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colon-cancer-spheroids_cell_NP40_R2\"/>
    </mc:Choice>
  </mc:AlternateContent>
  <bookViews>
    <workbookView xWindow="0" yWindow="0" windowWidth="25200" windowHeight="11385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6449" i="1" l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<sst xmlns="http://schemas.openxmlformats.org/spreadsheetml/2006/main" count="51595" uniqueCount="32047">
  <si>
    <t>Protein_ID</t>
  </si>
  <si>
    <t>plot</t>
  </si>
  <si>
    <t>gene_name</t>
  </si>
  <si>
    <t>uniprot_ac</t>
  </si>
  <si>
    <t>auc</t>
  </si>
  <si>
    <t>plot_link</t>
  </si>
  <si>
    <t>A0AVT1_UBA6</t>
  </si>
  <si>
    <t>A0MZ66_KIAA1598</t>
  </si>
  <si>
    <t>A1A5A9_KIAA0999</t>
  </si>
  <si>
    <t>A1BQX2_MARVELD2</t>
  </si>
  <si>
    <t>A1L0T0_ILVBL</t>
  </si>
  <si>
    <t>A1L188_C17orf89</t>
  </si>
  <si>
    <t>A1X283_SH3PXD2B</t>
  </si>
  <si>
    <t>A2A274_ACO2</t>
  </si>
  <si>
    <t>A2A2Q9_AAR2</t>
  </si>
  <si>
    <t>A2A2V4_VEGFA</t>
  </si>
  <si>
    <t>A2A2Y4-5_FRMD3</t>
  </si>
  <si>
    <t>A2AEA2_HLA-C</t>
  </si>
  <si>
    <t>A2BF36_HLA-DQB1</t>
  </si>
  <si>
    <t>A2RUC4_TYW5</t>
  </si>
  <si>
    <t>A3KN83-2_SBNO1</t>
  </si>
  <si>
    <t>A4D126_ISPD</t>
  </si>
  <si>
    <t>A4D161-2_FAM221A</t>
  </si>
  <si>
    <t>A4D1E9_GTPBP10</t>
  </si>
  <si>
    <t>A4D1S0_KLRG2</t>
  </si>
  <si>
    <t>A4D1U4_LCHN</t>
  </si>
  <si>
    <t>A4D212_DKFZP586J0619</t>
  </si>
  <si>
    <t>A4D2B0_MBLAC1</t>
  </si>
  <si>
    <t>A5PLL7_TMEM189</t>
  </si>
  <si>
    <t>A5YKK6_CNOT1</t>
  </si>
  <si>
    <t>A5YM69_ARHGEF35</t>
  </si>
  <si>
    <t>A6NC98-4_CCDC88B</t>
  </si>
  <si>
    <t>A6NDG6_PGP</t>
  </si>
  <si>
    <t>A6NDJ8_</t>
  </si>
  <si>
    <t>A6NDU8_C5orf51</t>
  </si>
  <si>
    <t>A6NED2_RCCD1</t>
  </si>
  <si>
    <t>A6NEM2_HCFC1</t>
  </si>
  <si>
    <t>A6NEM5_PIGK</t>
  </si>
  <si>
    <t>A6NEP9_TSPAN14</t>
  </si>
  <si>
    <t>A6NF51_BPNT1</t>
  </si>
  <si>
    <t>A6NFI3_ZNF316</t>
  </si>
  <si>
    <t>A6NG32_CHMP1A</t>
  </si>
  <si>
    <t>A6NG79_PRCC</t>
  </si>
  <si>
    <t>A6NGJ0_DYNLT3</t>
  </si>
  <si>
    <t>A6NHB5_ZMYM3</t>
  </si>
  <si>
    <t>A6NHL2-2_TUBAL3</t>
  </si>
  <si>
    <t>A6NHQ2_FBLL1</t>
  </si>
  <si>
    <t>A6NHR9_SMCHD1</t>
  </si>
  <si>
    <t>A6NHV6_PKMYT1</t>
  </si>
  <si>
    <t>A6NHX0_GATSL2</t>
  </si>
  <si>
    <t>A6NIH7_UNC119B</t>
  </si>
  <si>
    <t>A6NIR4_SPOCK2</t>
  </si>
  <si>
    <t>A6NJ78_METTL15</t>
  </si>
  <si>
    <t>A6NJ97_C13orf23</t>
  </si>
  <si>
    <t>A6NK58_LIPT2</t>
  </si>
  <si>
    <t>A6NKD9_CCDC85C</t>
  </si>
  <si>
    <t>A6NKF9_GPR89C</t>
  </si>
  <si>
    <t>A6NMH6_SEPT8</t>
  </si>
  <si>
    <t>A6NML8_DIAPH2</t>
  </si>
  <si>
    <t>A6NMQ1_POLA1</t>
  </si>
  <si>
    <t>A6NNI4_CD9</t>
  </si>
  <si>
    <t>A6PW57_PIP5K1A</t>
  </si>
  <si>
    <t>A7E2V4-5_ZSWIM8</t>
  </si>
  <si>
    <t>A7KAX9_ARHGAP32</t>
  </si>
  <si>
    <t>A7XYQ1_SOBP</t>
  </si>
  <si>
    <t>A8K0B5_ZBTB8OS</t>
  </si>
  <si>
    <t>A8K0M9_SELK</t>
  </si>
  <si>
    <t>A8K7Q2_HSPA8</t>
  </si>
  <si>
    <t>A8MPS7_YDJC</t>
  </si>
  <si>
    <t>A8MQ02_MLLT4</t>
  </si>
  <si>
    <t>A8MSH5_RTFDC1</t>
  </si>
  <si>
    <t>A8MT72_RTN1</t>
  </si>
  <si>
    <t>A8MTF8_FAM3B</t>
  </si>
  <si>
    <t>A8MTG8_ARMC8</t>
  </si>
  <si>
    <t>A8MTK3_POT1</t>
  </si>
  <si>
    <t>A8MTT3_hCG_1988162</t>
  </si>
  <si>
    <t>A8MTY9_DSCR3</t>
  </si>
  <si>
    <t>A8MU21_TMEM147</t>
  </si>
  <si>
    <t>A8MU44_HOOK1</t>
  </si>
  <si>
    <t>A8MUA9_SUMO3</t>
  </si>
  <si>
    <t>A8MUB1_TUBA4A</t>
  </si>
  <si>
    <t>A8MVZ6_BICD1</t>
  </si>
  <si>
    <t>A8MW61_PLRG1</t>
  </si>
  <si>
    <t>A8MWH4_MT1F</t>
  </si>
  <si>
    <t>A8MX75_ERCC2</t>
  </si>
  <si>
    <t>A8MXN1_REEP6</t>
  </si>
  <si>
    <t>A8MXP9_MATR3</t>
  </si>
  <si>
    <t>A8MXQ1_PTTG1IP</t>
  </si>
  <si>
    <t>A8MXV4_NUDT19</t>
  </si>
  <si>
    <t>A8MYT4_PIK3C3</t>
  </si>
  <si>
    <t>A8MZI9_RUNX1</t>
  </si>
  <si>
    <t>A9UHW6_MIF4GD</t>
  </si>
  <si>
    <t>A9Z1X7_SRRM1</t>
  </si>
  <si>
    <t>B0QY89_EIF3L</t>
  </si>
  <si>
    <t>B0QY95_SMCR7L</t>
  </si>
  <si>
    <t>B0QYI3_TBC1D22A</t>
  </si>
  <si>
    <t>B0QYK0_EWSR1</t>
  </si>
  <si>
    <t>B0QYW5_SLC25A17</t>
  </si>
  <si>
    <t>B0UX83_BAG6</t>
  </si>
  <si>
    <t>B0UXB6_ABHD16A</t>
  </si>
  <si>
    <t>B0UY12_HLA-C</t>
  </si>
  <si>
    <t>B0UZY3_EHMT2</t>
  </si>
  <si>
    <t>B0V043_VARS</t>
  </si>
  <si>
    <t>B0V0T3_PSMB9</t>
  </si>
  <si>
    <t>B0YIW2_APOC3</t>
  </si>
  <si>
    <t>B0YJC4_VIM</t>
  </si>
  <si>
    <t>B1AH87_TSPO</t>
  </si>
  <si>
    <t>B1AHD1_NHP2L1</t>
  </si>
  <si>
    <t>B1AJW0_FGF13</t>
  </si>
  <si>
    <t>B1AK13_HMGCL</t>
  </si>
  <si>
    <t>B1AK53_ESPN</t>
  </si>
  <si>
    <t>B1AKJ5_NRD1</t>
  </si>
  <si>
    <t>B1AKJ6_OSBPL9</t>
  </si>
  <si>
    <t>B1AKL4_EIF4ENIF1</t>
  </si>
  <si>
    <t>B1AKN6_NFIA</t>
  </si>
  <si>
    <t>B1AKY9_ATP1A2</t>
  </si>
  <si>
    <t>B1AL69_CDC37L1</t>
  </si>
  <si>
    <t>B1ALB4_SMG7</t>
  </si>
  <si>
    <t>B1ALH6_PHYH</t>
  </si>
  <si>
    <t>B1ALK7_ARHGEF7</t>
  </si>
  <si>
    <t>B1ALM5_TMEM9</t>
  </si>
  <si>
    <t>B1AMF0_UBE2J2</t>
  </si>
  <si>
    <t>B1AMS2_SEPT6</t>
  </si>
  <si>
    <t>B1AMW1_CD58</t>
  </si>
  <si>
    <t>B1AN89_EIF4G3</t>
  </si>
  <si>
    <t>B1AN99_PRSS3</t>
  </si>
  <si>
    <t>B1ANH0_GUK1</t>
  </si>
  <si>
    <t>B1AQP1_USF1</t>
  </si>
  <si>
    <t>B1AVQ7_MUC1</t>
  </si>
  <si>
    <t>B1AVU8_PSAP</t>
  </si>
  <si>
    <t>B1AZV3_TAP1</t>
  </si>
  <si>
    <t>B3KMK8_STBD1</t>
  </si>
  <si>
    <t>B3KPJ4_PHC2</t>
  </si>
  <si>
    <t>B3KR83_WBSCR22</t>
  </si>
  <si>
    <t>B3KS98_EIF3S3</t>
  </si>
  <si>
    <t>B3KSH1_EIF3F</t>
  </si>
  <si>
    <t>B3KSI9_LZTFL1</t>
  </si>
  <si>
    <t>B3KSJ7_DCLRE1C</t>
  </si>
  <si>
    <t>B3KUK2_SOD2</t>
  </si>
  <si>
    <t>B3KV61_UXS1</t>
  </si>
  <si>
    <t>B3KVH8_PHF23</t>
  </si>
  <si>
    <t>B3KVZ3_CENPH</t>
  </si>
  <si>
    <t>B3KWW1_DDX58</t>
  </si>
  <si>
    <t>B3KXW5_AP1G1</t>
  </si>
  <si>
    <t>B3KXX3_SLC12A6</t>
  </si>
  <si>
    <t>B3KY94_CDIPT</t>
  </si>
  <si>
    <t>B3V0L1_ARL6IP4</t>
  </si>
  <si>
    <t>B4DDF4_CNN2</t>
  </si>
  <si>
    <t>B4DDS3_CLPTM1</t>
  </si>
  <si>
    <t>B4DDV3_SIRT6</t>
  </si>
  <si>
    <t>B4DDY8_HARS2</t>
  </si>
  <si>
    <t>B4DEX5_PRNPIP</t>
  </si>
  <si>
    <t>B4DFI9_HUS1</t>
  </si>
  <si>
    <t>B4DFQ4_COMMD1</t>
  </si>
  <si>
    <t>B4DFR2_DYNLRB1</t>
  </si>
  <si>
    <t>B4DGU4_CTNNB1</t>
  </si>
  <si>
    <t>B4DGX2_PIP4K2A</t>
  </si>
  <si>
    <t>B4DH26_DCUN1D4</t>
  </si>
  <si>
    <t>B4DH53_MAP1S</t>
  </si>
  <si>
    <t>B4DHE8_MSI2</t>
  </si>
  <si>
    <t>B4DIG7_PIP5K1B</t>
  </si>
  <si>
    <t>B4DJA5_RAB5A</t>
  </si>
  <si>
    <t>B4DJC5_DHRS13</t>
  </si>
  <si>
    <t>B4DJN2_SLC25A14</t>
  </si>
  <si>
    <t>B4DJP7_SNRPD3</t>
  </si>
  <si>
    <t>B4DJV2_CS</t>
  </si>
  <si>
    <t>B4DJV5_PWP1</t>
  </si>
  <si>
    <t>B4DKF9_ZNF286A</t>
  </si>
  <si>
    <t>B4DKL4_LSR</t>
  </si>
  <si>
    <t>B4DL54_CHURC1-FNTB</t>
  </si>
  <si>
    <t>B4DLN1_SLC25A10</t>
  </si>
  <si>
    <t>B4DLR8_NQO1</t>
  </si>
  <si>
    <t>B4DLT4_RPS6KB1</t>
  </si>
  <si>
    <t>B4DLU3_PGS1</t>
  </si>
  <si>
    <t>B4DLZ9_RNF220</t>
  </si>
  <si>
    <t>B4DMU4_FAM45A</t>
  </si>
  <si>
    <t>B4DP21_PTGES3</t>
  </si>
  <si>
    <t>B4DPY8_TOX4</t>
  </si>
  <si>
    <t>B4DQJ8_PGD</t>
  </si>
  <si>
    <t>B4DQT1_MAEA</t>
  </si>
  <si>
    <t>B4DR52_HIST2H2BF</t>
  </si>
  <si>
    <t>B4DR61_SEC61A1</t>
  </si>
  <si>
    <t>B4DRL9_CHM</t>
  </si>
  <si>
    <t>B4DRN8_ZDHHC20</t>
  </si>
  <si>
    <t>B4DRS7_SH2D3A</t>
  </si>
  <si>
    <t>B4DSD4_C9orf41</t>
  </si>
  <si>
    <t>B4DSS8_PTBP2</t>
  </si>
  <si>
    <t>B4DT77_ANXA7</t>
  </si>
  <si>
    <t>B4DTA3_SLC25A46</t>
  </si>
  <si>
    <t>B4DUB9_SLC35F2</t>
  </si>
  <si>
    <t>B4DUE3_MYLK</t>
  </si>
  <si>
    <t>B4DUE9_SERINC3</t>
  </si>
  <si>
    <t>B4DVE7_ANXA11</t>
  </si>
  <si>
    <t>B4DVY1_EIF3D</t>
  </si>
  <si>
    <t>B4DWI1_HACL1</t>
  </si>
  <si>
    <t>B4DXN4_CNKSR1</t>
  </si>
  <si>
    <t>B4DXZ6_FXR1</t>
  </si>
  <si>
    <t>B4DYB4_NUP35</t>
  </si>
  <si>
    <t>B4DYR1_JAG1</t>
  </si>
  <si>
    <t>B4DYR7_SYPL2</t>
  </si>
  <si>
    <t>B4DZH6_HDAC6</t>
  </si>
  <si>
    <t>B4E0E3_TMEM134</t>
  </si>
  <si>
    <t>B4E0T2_PEX5</t>
  </si>
  <si>
    <t>B4E1J0_PBXIP1</t>
  </si>
  <si>
    <t>B4E1N1_ARMC6</t>
  </si>
  <si>
    <t>B4E1Q4_RIOK3</t>
  </si>
  <si>
    <t>B4E1S6_SDC4</t>
  </si>
  <si>
    <t>B4E1Y1_NET1</t>
  </si>
  <si>
    <t>B4E241_SFRS3</t>
  </si>
  <si>
    <t>B4E2S7_LAMP2</t>
  </si>
  <si>
    <t>B4E2V5_STOM</t>
  </si>
  <si>
    <t>B4E2W0_HADHB</t>
  </si>
  <si>
    <t>B4E2X3_METTL13</t>
  </si>
  <si>
    <t>B4E3L3_USP28</t>
  </si>
  <si>
    <t>B5MBW9_CHCHD10</t>
  </si>
  <si>
    <t>B5MBZ0_EML4</t>
  </si>
  <si>
    <t>B5MC53_MPV17</t>
  </si>
  <si>
    <t>B5MCA4_EPCAM</t>
  </si>
  <si>
    <t>B5MCF9_PES1</t>
  </si>
  <si>
    <t>B5MCT7_PPM1F</t>
  </si>
  <si>
    <t>B5MDE0_RFT1</t>
  </si>
  <si>
    <t>B5MDU6_C2orf43</t>
  </si>
  <si>
    <t>B5ME25_METTL8</t>
  </si>
  <si>
    <t>B5MEC7_PPP1R12C</t>
  </si>
  <si>
    <t>B7WP27_CWC22</t>
  </si>
  <si>
    <t>B7WPE2_EML3</t>
  </si>
  <si>
    <t>B7WPL0_RIC8B</t>
  </si>
  <si>
    <t>B7Z1U0_CNNM4</t>
  </si>
  <si>
    <t>B7Z202_DTNB</t>
  </si>
  <si>
    <t>B7Z254_PDIA6</t>
  </si>
  <si>
    <t>B7Z2Y5_RPS6KA5</t>
  </si>
  <si>
    <t>B7Z3D5_MTMR1</t>
  </si>
  <si>
    <t>B7Z3I9_ALAD</t>
  </si>
  <si>
    <t>B7Z3P1_TBCE</t>
  </si>
  <si>
    <t>B7Z463_NPEPPS</t>
  </si>
  <si>
    <t>B7Z493_FGD4</t>
  </si>
  <si>
    <t>B7Z4K6_DNASE2</t>
  </si>
  <si>
    <t>B7Z4W5_CCBL1</t>
  </si>
  <si>
    <t>B7Z5W1_F11R</t>
  </si>
  <si>
    <t>B7Z662_SLC27A1</t>
  </si>
  <si>
    <t>B7Z683_ABR</t>
  </si>
  <si>
    <t>B7Z6B6_ZNF346</t>
  </si>
  <si>
    <t>B7Z6B8_DECR1</t>
  </si>
  <si>
    <t>B7Z6M4_TNFAIP1</t>
  </si>
  <si>
    <t>B7Z7A3_GTPBP4</t>
  </si>
  <si>
    <t>B7Z7F3_RANBP3</t>
  </si>
  <si>
    <t>B7Z7H3_ZKSCAN4</t>
  </si>
  <si>
    <t>B7Z815_USP7</t>
  </si>
  <si>
    <t>B7Z817_DHCR24</t>
  </si>
  <si>
    <t>B7Z9I3_ATP6AP2</t>
  </si>
  <si>
    <t>B7Z9J4_CALB1</t>
  </si>
  <si>
    <t>B7Z9S8_ATP1B1</t>
  </si>
  <si>
    <t>B7ZAA0_PMS1</t>
  </si>
  <si>
    <t>B7ZAX5_GALK2</t>
  </si>
  <si>
    <t>B7ZBB8_PPP1R3G</t>
  </si>
  <si>
    <t>B7ZC38_SH3GLB2</t>
  </si>
  <si>
    <t>B7ZKK9_PPP2R5E</t>
  </si>
  <si>
    <t>B7ZKQ9_SCARB1</t>
  </si>
  <si>
    <t>B7ZL82_SMPD3</t>
  </si>
  <si>
    <t>B7ZL88_COX18</t>
  </si>
  <si>
    <t>B7ZLX3_CLASP1</t>
  </si>
  <si>
    <t>B7ZLZ2_EDEM3</t>
  </si>
  <si>
    <t>B8X2Z3_RLTPR</t>
  </si>
  <si>
    <t>B8ZZ99_CCDC115</t>
  </si>
  <si>
    <t>B8ZZC7_PIGQ</t>
  </si>
  <si>
    <t>B8ZZF8_LSM5</t>
  </si>
  <si>
    <t>B8ZZI5_STK16</t>
  </si>
  <si>
    <t>B8ZZN6_SUMO1</t>
  </si>
  <si>
    <t>B8ZZQ6_PTMA</t>
  </si>
  <si>
    <t>B8ZZS2_NAB1</t>
  </si>
  <si>
    <t>B8ZZU6_ATF2</t>
  </si>
  <si>
    <t>B8ZZV9_COQ10B</t>
  </si>
  <si>
    <t>B8ZZX4_TXNDC9</t>
  </si>
  <si>
    <t>B8ZZY2_AGFG1</t>
  </si>
  <si>
    <t>B9A018_USP39</t>
  </si>
  <si>
    <t>B9A057_COA5</t>
  </si>
  <si>
    <t>B9A067_IMMT</t>
  </si>
  <si>
    <t>C0H5Y7_BAK1</t>
  </si>
  <si>
    <t>C1IDX9_ATG12</t>
  </si>
  <si>
    <t>C1P671_KREMEN1</t>
  </si>
  <si>
    <t>C4AMC7_WASH3P</t>
  </si>
  <si>
    <t>C6G496_MAZ</t>
  </si>
  <si>
    <t>C6GKU9_MED30S</t>
  </si>
  <si>
    <t>C9IZP5_MKRN1</t>
  </si>
  <si>
    <t>C9IZW8_NDUFB2</t>
  </si>
  <si>
    <t>C9J0I9_ZC3HC1</t>
  </si>
  <si>
    <t>C9J0J0_CCDC126</t>
  </si>
  <si>
    <t>C9J0J7_PFN2</t>
  </si>
  <si>
    <t>C9J0K6_SRI</t>
  </si>
  <si>
    <t>C9J167_PMS2</t>
  </si>
  <si>
    <t>C9J1G2_DNAJB2</t>
  </si>
  <si>
    <t>C9J1K8_MEGF9</t>
  </si>
  <si>
    <t>C9J212_UBE2F</t>
  </si>
  <si>
    <t>C9J240_SLC4A10</t>
  </si>
  <si>
    <t>C9J2P0_UBE2E1</t>
  </si>
  <si>
    <t>C9J2P9_CBLL1</t>
  </si>
  <si>
    <t>C9J2U4_TAMM41</t>
  </si>
  <si>
    <t>C9J2Y9_POLR2B</t>
  </si>
  <si>
    <t>C9J3R8_B4GALT4</t>
  </si>
  <si>
    <t>C9J494_MKRN2</t>
  </si>
  <si>
    <t>C9J4K0_C2orf49</t>
  </si>
  <si>
    <t>C9J4T6_IL8</t>
  </si>
  <si>
    <t>C9J4Z3_RPL37A</t>
  </si>
  <si>
    <t>C9J5C3_PDCD10</t>
  </si>
  <si>
    <t>C9J5X1_IGF1R</t>
  </si>
  <si>
    <t>C9J652_ARHGAP31</t>
  </si>
  <si>
    <t>C9J695_TANGO2</t>
  </si>
  <si>
    <t>C9J712_PFN2</t>
  </si>
  <si>
    <t>C9J8Q5_ALDH5A1</t>
  </si>
  <si>
    <t>C9J976_SYNPR</t>
  </si>
  <si>
    <t>C9J9K3_RPSA</t>
  </si>
  <si>
    <t>C9JA08_NMD3</t>
  </si>
  <si>
    <t>C9JA28_SSR3</t>
  </si>
  <si>
    <t>C9JA69_BBX</t>
  </si>
  <si>
    <t>C9JAB2_SRSF7</t>
  </si>
  <si>
    <t>C9JAX1_FXN</t>
  </si>
  <si>
    <t>C9JB13_BSDC1</t>
  </si>
  <si>
    <t>C9JBA4_LYG2</t>
  </si>
  <si>
    <t>C9JBL1_SPCS1</t>
  </si>
  <si>
    <t>C9JCC6_DRAP1</t>
  </si>
  <si>
    <t>C9JDS9_TUBA4A</t>
  </si>
  <si>
    <t>C9JE12_TMUB1</t>
  </si>
  <si>
    <t>C9JE98_NCOR2</t>
  </si>
  <si>
    <t>C9JEZ4_CDC42EP3</t>
  </si>
  <si>
    <t>C9JFW7_C19orf55</t>
  </si>
  <si>
    <t>C9JG41_ITM2C</t>
  </si>
  <si>
    <t>C9JG97_AAMP</t>
  </si>
  <si>
    <t>C9JGI3_TYMP</t>
  </si>
  <si>
    <t>C9JH62_ZNF277</t>
  </si>
  <si>
    <t>C9JIF9_APEH</t>
  </si>
  <si>
    <t>C9JJU1_SLC38A5</t>
  </si>
  <si>
    <t>C9JK10_ITGA6</t>
  </si>
  <si>
    <t>C9JLU1_POLR2H</t>
  </si>
  <si>
    <t>C9JM82_SEPT5</t>
  </si>
  <si>
    <t>C9JME2_FARP1</t>
  </si>
  <si>
    <t>C9JNE2_OARD1</t>
  </si>
  <si>
    <t>C9JP00_MBNL1</t>
  </si>
  <si>
    <t>C9JPP2_NKIRAS2</t>
  </si>
  <si>
    <t>C9JQ41_CCDC58</t>
  </si>
  <si>
    <t>C9JQB1_NME6</t>
  </si>
  <si>
    <t>C9JQD4_PPIH</t>
  </si>
  <si>
    <t>C9JQV3_STK11IP</t>
  </si>
  <si>
    <t>C9JR56_SATB2</t>
  </si>
  <si>
    <t>C9JRY4_SEC22A</t>
  </si>
  <si>
    <t>C9JRZ6_CHCHD3</t>
  </si>
  <si>
    <t>C9JSZ2_SLC46A1</t>
  </si>
  <si>
    <t>C9JVP0_FOXJ3</t>
  </si>
  <si>
    <t>C9JWU9_MEST</t>
  </si>
  <si>
    <t>C9JYM0_POP7</t>
  </si>
  <si>
    <t>C9JYN0_SYPL1</t>
  </si>
  <si>
    <t>C9JYY6_NRCAM</t>
  </si>
  <si>
    <t>C9JZB0_INPP5K</t>
  </si>
  <si>
    <t>C9JZI1_RFC4</t>
  </si>
  <si>
    <t>C9JZI7_NAP1L4</t>
  </si>
  <si>
    <t>C9JZP6_DHRS2</t>
  </si>
  <si>
    <t>C9JZR4_ARFGAP3</t>
  </si>
  <si>
    <t>C9JZY3_PCBP4</t>
  </si>
  <si>
    <t>C9JZY6_UBE2H</t>
  </si>
  <si>
    <t>C9K0J5_RAPH1</t>
  </si>
  <si>
    <t>D3DQV9_EIF4G2</t>
  </si>
  <si>
    <t>D3DWK9_NRBP2</t>
  </si>
  <si>
    <t>D3K174_SLC4A7</t>
  </si>
  <si>
    <t>D3YTB1_RPL32</t>
  </si>
  <si>
    <t>D3YTG6_NDOR1</t>
  </si>
  <si>
    <t>D3YTI9_TAPBP</t>
  </si>
  <si>
    <t>D6R938_CAMK2D</t>
  </si>
  <si>
    <t>D6R9U7_POLR3G</t>
  </si>
  <si>
    <t>D6RAC5_SSBP2</t>
  </si>
  <si>
    <t>D6RAR3_TMEM161B</t>
  </si>
  <si>
    <t>D6RB34_IRF2</t>
  </si>
  <si>
    <t>D6RBE3_FAM173B</t>
  </si>
  <si>
    <t>D6RBW1_EIF4E</t>
  </si>
  <si>
    <t>D6RCC7_FAM135A</t>
  </si>
  <si>
    <t>D6RCD0_HSD17B11</t>
  </si>
  <si>
    <t>D6REA0_PET112</t>
  </si>
  <si>
    <t>D6REE2_DTWD2</t>
  </si>
  <si>
    <t>D6REL0_CDC42SE2</t>
  </si>
  <si>
    <t>D6REL5_FAM175A</t>
  </si>
  <si>
    <t>D6REX3_SEC31A</t>
  </si>
  <si>
    <t>D6RF48_STX18</t>
  </si>
  <si>
    <t>D6RFG8_DCK</t>
  </si>
  <si>
    <t>D6RFL4_CD14</t>
  </si>
  <si>
    <t>D6RGI3_SEPT11</t>
  </si>
  <si>
    <t>D6RHD3_CENPK</t>
  </si>
  <si>
    <t>D6RHI9_RNASET2</t>
  </si>
  <si>
    <t>D6RIE3_COX7A2</t>
  </si>
  <si>
    <t>D6RIZ4_MFSD10</t>
  </si>
  <si>
    <t>E2QRD0_VWA8</t>
  </si>
  <si>
    <t>E2QRD5_C15orf38-AP3S2</t>
  </si>
  <si>
    <t>E2QRF9_GMNN</t>
  </si>
  <si>
    <t>E5RFI2_MRPL13</t>
  </si>
  <si>
    <t>E5RFJ1_NSMCE2</t>
  </si>
  <si>
    <t>E5RG17_TATDN1</t>
  </si>
  <si>
    <t>E5RG44_TRIQK</t>
  </si>
  <si>
    <t>E5RGX5_STMN2</t>
  </si>
  <si>
    <t>E5RGY0_DERL1</t>
  </si>
  <si>
    <t>E5RHB1_EFCAB3</t>
  </si>
  <si>
    <t>E5RHG8_TCEB1</t>
  </si>
  <si>
    <t>E5RHK8_DNM3</t>
  </si>
  <si>
    <t>E5RHW0_TMEM66</t>
  </si>
  <si>
    <t>E5RHW4_ERLIN2</t>
  </si>
  <si>
    <t>E5RI99_RPL30</t>
  </si>
  <si>
    <t>E5RIH5_TTI2</t>
  </si>
  <si>
    <t>E5RIK9_MTERFD1</t>
  </si>
  <si>
    <t>E5RIP7_IMPA1</t>
  </si>
  <si>
    <t>E5RIQ9_SERF1A</t>
  </si>
  <si>
    <t>E5RIX2_IDO1</t>
  </si>
  <si>
    <t>E5RJ26_PSEN2</t>
  </si>
  <si>
    <t>E5RJ99_ZFAND1</t>
  </si>
  <si>
    <t>E5RJD2_DECR1</t>
  </si>
  <si>
    <t>E5RJJ3_NUDT18</t>
  </si>
  <si>
    <t>E5RJR5_SKP1</t>
  </si>
  <si>
    <t>E5RJS5_MTFR1</t>
  </si>
  <si>
    <t>E7EM50_PIGG</t>
  </si>
  <si>
    <t>E7EM64_COPS6</t>
  </si>
  <si>
    <t>E7EM95_RNF5</t>
  </si>
  <si>
    <t>E7EMB8_PTPN18</t>
  </si>
  <si>
    <t>E7EMC6_ANXA6</t>
  </si>
  <si>
    <t>E7EMM4_ASAH1</t>
  </si>
  <si>
    <t>E7EMN6_PPP1R2</t>
  </si>
  <si>
    <t>E7EMX7_RAI14</t>
  </si>
  <si>
    <t>E7EMZ9_TACC2</t>
  </si>
  <si>
    <t>E7EN73_KIAA0319L</t>
  </si>
  <si>
    <t>E7EN86_ZNF143</t>
  </si>
  <si>
    <t>E7ENA9_NCSTN</t>
  </si>
  <si>
    <t>E7ENU4_ADAR</t>
  </si>
  <si>
    <t>E7ENX6_LRFN4</t>
  </si>
  <si>
    <t>E7EP70_BRCA1</t>
  </si>
  <si>
    <t>E7EP87_NARF</t>
  </si>
  <si>
    <t>E7EPB3_RPL14</t>
  </si>
  <si>
    <t>E7EPC6_CD44</t>
  </si>
  <si>
    <t>E7EPD0_TOM1</t>
  </si>
  <si>
    <t>E7EPL4_PDXDC1</t>
  </si>
  <si>
    <t>E7EPM7_COQ2</t>
  </si>
  <si>
    <t>E7EPN9_PRRC2C</t>
  </si>
  <si>
    <t>E7EPT4_NDUFV2</t>
  </si>
  <si>
    <t>E7EPT6_TGFA</t>
  </si>
  <si>
    <t>E7EPY1_TNIP1</t>
  </si>
  <si>
    <t>E7EQ69_NAA50</t>
  </si>
  <si>
    <t>E7EQL6_PRODH</t>
  </si>
  <si>
    <t>E7EQN5_ARHGAP4</t>
  </si>
  <si>
    <t>E7EQN6_SENP6</t>
  </si>
  <si>
    <t>E7EQR8_YIPF3</t>
  </si>
  <si>
    <t>E7EQT4_ACIN1</t>
  </si>
  <si>
    <t>E7EQV9_RPL15</t>
  </si>
  <si>
    <t>E7ER26_PRDM15</t>
  </si>
  <si>
    <t>E7ER77_ERMP1</t>
  </si>
  <si>
    <t>E7ERB7_GMIP</t>
  </si>
  <si>
    <t>E7ERH3_TNS3</t>
  </si>
  <si>
    <t>E7ERS3_ZC3H18</t>
  </si>
  <si>
    <t>E7ES08_HMGB3</t>
  </si>
  <si>
    <t>E7ES35_TTC38</t>
  </si>
  <si>
    <t>E7ES43_HSPA4L</t>
  </si>
  <si>
    <t>E7ESA8_PRPF31</t>
  </si>
  <si>
    <t>E7ESP4_ITGA2</t>
  </si>
  <si>
    <t>E7ESU4_NAT10</t>
  </si>
  <si>
    <t>E7ESX1_CHRD</t>
  </si>
  <si>
    <t>E7ESZ7_NDUFA10</t>
  </si>
  <si>
    <t>E7ET15_U2SURP</t>
  </si>
  <si>
    <t>E7ET89_DTX2</t>
  </si>
  <si>
    <t>E7ETB3_DNPEP</t>
  </si>
  <si>
    <t>E7ETK0_RPS24</t>
  </si>
  <si>
    <t>E7ETZ4_BZW2</t>
  </si>
  <si>
    <t>E7EU19_RAD54L2</t>
  </si>
  <si>
    <t>E7EU23_GDI2</t>
  </si>
  <si>
    <t>E7EU96_CSNK2A1</t>
  </si>
  <si>
    <t>E7EUE1_ABCD3</t>
  </si>
  <si>
    <t>E7EUL7_SSFA2</t>
  </si>
  <si>
    <t>E7EUM5_NUP54</t>
  </si>
  <si>
    <t>E7EV46_PGBD3</t>
  </si>
  <si>
    <t>E7EV56_PCM1</t>
  </si>
  <si>
    <t>E7EVA0_MAP4</t>
  </si>
  <si>
    <t>E7EVC7_ATG16L1</t>
  </si>
  <si>
    <t>E7EVJ5_CYFIP2</t>
  </si>
  <si>
    <t>E7EVZ3_RAI1</t>
  </si>
  <si>
    <t>E7EW05_SDAD1</t>
  </si>
  <si>
    <t>E7EW18_POLB</t>
  </si>
  <si>
    <t>E7EW20_MYO6</t>
  </si>
  <si>
    <t>E7EW32_MON1B</t>
  </si>
  <si>
    <t>E7EW69_SEPT10</t>
  </si>
  <si>
    <t>E7EW77_ABI2</t>
  </si>
  <si>
    <t>E7EW84_EXOC6</t>
  </si>
  <si>
    <t>E7EWM3_ZMIZ2</t>
  </si>
  <si>
    <t>E7EWP0_NDUFB5</t>
  </si>
  <si>
    <t>E7EWX6_SIRT2</t>
  </si>
  <si>
    <t>E7EX01_MPP2</t>
  </si>
  <si>
    <t>E7EX17_EIF4B</t>
  </si>
  <si>
    <t>E7EX59_PCCB</t>
  </si>
  <si>
    <t>E7EX90_DCTN1</t>
  </si>
  <si>
    <t>E9PAL9_NT5DC2</t>
  </si>
  <si>
    <t>E9PAU2_RAVER1</t>
  </si>
  <si>
    <t>E9PAV9_GPATCH4</t>
  </si>
  <si>
    <t>E9PB28_HES4</t>
  </si>
  <si>
    <t>E9PB61_ALYREF</t>
  </si>
  <si>
    <t>E9PBR6_TMEM201</t>
  </si>
  <si>
    <t>E9PC62_CELF2</t>
  </si>
  <si>
    <t>E9PC69_MARK2</t>
  </si>
  <si>
    <t>E9PC74_EIF2B5</t>
  </si>
  <si>
    <t>E9PCD7_MAN2B2</t>
  </si>
  <si>
    <t>E9PCH4_FNIP1</t>
  </si>
  <si>
    <t>E9PCW1_GOSR1</t>
  </si>
  <si>
    <t>E9PD25_TLL1</t>
  </si>
  <si>
    <t>E9PD90_CKAP2</t>
  </si>
  <si>
    <t>E9PDC3_ARVCF</t>
  </si>
  <si>
    <t>E9PDF6_MYO1B</t>
  </si>
  <si>
    <t>E9PDG2_IFT122</t>
  </si>
  <si>
    <t>E9PDG9_RPAIN</t>
  </si>
  <si>
    <t>E9PEE8_ITGB6</t>
  </si>
  <si>
    <t>E9PEI0_CDCA2</t>
  </si>
  <si>
    <t>E9PEJ6_ATP11A</t>
  </si>
  <si>
    <t>E9PEN8_XPO7</t>
  </si>
  <si>
    <t>E9PER1_DIP2A</t>
  </si>
  <si>
    <t>E9PER6_PDPK1</t>
  </si>
  <si>
    <t>E9PEZ3_DIAPH1</t>
  </si>
  <si>
    <t>E9PF10_NUP155</t>
  </si>
  <si>
    <t>E9PF16_ACSF2</t>
  </si>
  <si>
    <t>E9PF18_HADH</t>
  </si>
  <si>
    <t>E9PF19_TBL2</t>
  </si>
  <si>
    <t>E9PF36_VPS41</t>
  </si>
  <si>
    <t>E9PF74_SLC25A19</t>
  </si>
  <si>
    <t>E9PFH7_MAPK8IP3</t>
  </si>
  <si>
    <t>E9PFK9_RABGEF1</t>
  </si>
  <si>
    <t>E9PFR3_PPP2R5D</t>
  </si>
  <si>
    <t>E9PG22_CEP97</t>
  </si>
  <si>
    <t>E9PGT1_TSN</t>
  </si>
  <si>
    <t>E9PGT3_RPS6KA1</t>
  </si>
  <si>
    <t>E9PH29_PRDX3</t>
  </si>
  <si>
    <t>E9PHF7_MCCC1</t>
  </si>
  <si>
    <t>E9PHG5_CYP20A1</t>
  </si>
  <si>
    <t>E9PHH8_PIAS3</t>
  </si>
  <si>
    <t>E9PHY5_EPB41L2</t>
  </si>
  <si>
    <t>E9PHY8_MROH1</t>
  </si>
  <si>
    <t>E9PIB1_HLA-DQB1</t>
  </si>
  <si>
    <t>E9PIC0_SDHD</t>
  </si>
  <si>
    <t>E9PIE4_MTCH2</t>
  </si>
  <si>
    <t>E9PJ04_SF3B2</t>
  </si>
  <si>
    <t>E9PJ55_TCP11L1</t>
  </si>
  <si>
    <t>E9PJ81_UBXN1</t>
  </si>
  <si>
    <t>E9PJD7_CYHR1</t>
  </si>
  <si>
    <t>E9PJF5_BRMS1</t>
  </si>
  <si>
    <t>E9PJK1_CD81</t>
  </si>
  <si>
    <t>E9PJM3_FBXO3</t>
  </si>
  <si>
    <t>E9PJN1_RPS6KA4</t>
  </si>
  <si>
    <t>E9PK01_EEF1D</t>
  </si>
  <si>
    <t>E9PK26_SNX15</t>
  </si>
  <si>
    <t>E9PK91_BCLAF1</t>
  </si>
  <si>
    <t>E9PKA7_RCE1</t>
  </si>
  <si>
    <t>E9PKC0_PLEKHA7</t>
  </si>
  <si>
    <t>E9PKF3_ACAT1</t>
  </si>
  <si>
    <t>E9PKG1_PRMT1</t>
  </si>
  <si>
    <t>E9PKP7_UBTF</t>
  </si>
  <si>
    <t>E9PKT4_TMEM123</t>
  </si>
  <si>
    <t>E9PKV2_MRPL17</t>
  </si>
  <si>
    <t>E9PKV8_TTC9C</t>
  </si>
  <si>
    <t>E9PL10_BTF3L4</t>
  </si>
  <si>
    <t>E9PL17_CLP1</t>
  </si>
  <si>
    <t>E9PL33_EI24</t>
  </si>
  <si>
    <t>E9PL56_RAB7L1</t>
  </si>
  <si>
    <t>E9PL57_NEDD8-MDP1</t>
  </si>
  <si>
    <t>E9PLK3_NPEPPS</t>
  </si>
  <si>
    <t>E9PLL6_RPL27A</t>
  </si>
  <si>
    <t>E9PLT1_CD36</t>
  </si>
  <si>
    <t>E9PM46_USP47</t>
  </si>
  <si>
    <t>E9PM92_C11orf58</t>
  </si>
  <si>
    <t>E9PMH5_BIRC2</t>
  </si>
  <si>
    <t>E9PMI6_CLNS1A</t>
  </si>
  <si>
    <t>E9PMJ2_FAM118B</t>
  </si>
  <si>
    <t>E9PML6_ATG13</t>
  </si>
  <si>
    <t>E9PMR4_CD151</t>
  </si>
  <si>
    <t>E9PMR6_ARHGEF12</t>
  </si>
  <si>
    <t>E9PMS6_LMO7</t>
  </si>
  <si>
    <t>E9PN48_ARFGAP2</t>
  </si>
  <si>
    <t>E9PN89_HSPA8</t>
  </si>
  <si>
    <t>E9PND3_EBAG9</t>
  </si>
  <si>
    <t>E9PNL8_DGKZ</t>
  </si>
  <si>
    <t>E9PNQ6_TXNRD1</t>
  </si>
  <si>
    <t>E9PNT2_ARHGAP27</t>
  </si>
  <si>
    <t>E9PNW4_CD59</t>
  </si>
  <si>
    <t>E9PPY3_RRP8</t>
  </si>
  <si>
    <t>E9PQC4_NUF2</t>
  </si>
  <si>
    <t>E9PQW0_PEX16</t>
  </si>
  <si>
    <t>E9PQW1_CARD16</t>
  </si>
  <si>
    <t>E9PQY2_PFDN4</t>
  </si>
  <si>
    <t>E9PR30_FAU</t>
  </si>
  <si>
    <t>E9PR76_MAF1</t>
  </si>
  <si>
    <t>E9PRM7_SLC22A18</t>
  </si>
  <si>
    <t>E9PRR8_EIF1AD</t>
  </si>
  <si>
    <t>E9PRY8_EEF1D</t>
  </si>
  <si>
    <t>E9PS17_SCYL1</t>
  </si>
  <si>
    <t>E9PSB8_SMCO4</t>
  </si>
  <si>
    <t>E9PSI1_TM9SF1</t>
  </si>
  <si>
    <t>F2Z2I2_PFKFB3</t>
  </si>
  <si>
    <t>F2Z2U8_MYH14</t>
  </si>
  <si>
    <t>F2Z2V1_FGGY</t>
  </si>
  <si>
    <t>F2Z2W7_TRMT2A</t>
  </si>
  <si>
    <t>F2Z2X4_XPO4</t>
  </si>
  <si>
    <t>F5GWD3_GTF2H3</t>
  </si>
  <si>
    <t>F5GWH5_TMEM258</t>
  </si>
  <si>
    <t>F5GWI9_CCDC53</t>
  </si>
  <si>
    <t>F5GWT4_WNK1</t>
  </si>
  <si>
    <t>F5GWX5_CHD4</t>
  </si>
  <si>
    <t>F5GWY5_PODXL</t>
  </si>
  <si>
    <t>F5GX09_FAM76B</t>
  </si>
  <si>
    <t>F5GX28_KDM4B</t>
  </si>
  <si>
    <t>F5GX82_FRYL</t>
  </si>
  <si>
    <t>F5GXC8_SUCLA2</t>
  </si>
  <si>
    <t>F5GXE4_ATE1</t>
  </si>
  <si>
    <t>F5GXF9_AFF1</t>
  </si>
  <si>
    <t>F5GXI4_PTPRK</t>
  </si>
  <si>
    <t>F5GXJ4_STIM2</t>
  </si>
  <si>
    <t>F5GXK8_DNAJB11</t>
  </si>
  <si>
    <t>F5GXX5_DAD1</t>
  </si>
  <si>
    <t>F5GXY5_SASS6</t>
  </si>
  <si>
    <t>F5GY92_GPBP1</t>
  </si>
  <si>
    <t>F5GY99_GALNT1</t>
  </si>
  <si>
    <t>F5GYJ5_</t>
  </si>
  <si>
    <t>F5GYN4_OTUB1</t>
  </si>
  <si>
    <t>F5GYQ1_ATP6V0D1</t>
  </si>
  <si>
    <t>F5GYV3_TM7SF2</t>
  </si>
  <si>
    <t>F5GZ44_EDEM2</t>
  </si>
  <si>
    <t>F5GZ78_PXN</t>
  </si>
  <si>
    <t>F5GZH3_PLEKHB1</t>
  </si>
  <si>
    <t>F5GZK1_EXTL2</t>
  </si>
  <si>
    <t>F5GZP3_TRIM59</t>
  </si>
  <si>
    <t>F5GZS0_DHX36</t>
  </si>
  <si>
    <t>F5GZS6_SLC3A2</t>
  </si>
  <si>
    <t>F5GZX9_FAM120B</t>
  </si>
  <si>
    <t>F5H012_TRIM21</t>
  </si>
  <si>
    <t>F5H0B0_TPD52</t>
  </si>
  <si>
    <t>F5H0F9_ANAPC5</t>
  </si>
  <si>
    <t>F5H0L8_SEC23IP</t>
  </si>
  <si>
    <t>F5H0Q6_CLASRP</t>
  </si>
  <si>
    <t>F5H0Y3_MLF2</t>
  </si>
  <si>
    <t>F5H144_GPR56</t>
  </si>
  <si>
    <t>F5H170_DNAJA4</t>
  </si>
  <si>
    <t>F5H1G9_ABI1</t>
  </si>
  <si>
    <t>F5H1L4_TXNRD2</t>
  </si>
  <si>
    <t>F5H1R7_FLJ22184</t>
  </si>
  <si>
    <t>F5H1X8_LRBA</t>
  </si>
  <si>
    <t>F5H1Y4_GOPC</t>
  </si>
  <si>
    <t>F5H1Z6_STARD10</t>
  </si>
  <si>
    <t>F5H211_ATXN3</t>
  </si>
  <si>
    <t>F5H269_DMXL1</t>
  </si>
  <si>
    <t>F5H2H5_ANKLE2</t>
  </si>
  <si>
    <t>F5H2J3_VMP1</t>
  </si>
  <si>
    <t>F5H2Q7_KIAA1715</t>
  </si>
  <si>
    <t>F5H2S7_DCTN2</t>
  </si>
  <si>
    <t>F5H2U2_PRPF4B</t>
  </si>
  <si>
    <t>F5H2V5_FADS3</t>
  </si>
  <si>
    <t>F5H315_XAB2</t>
  </si>
  <si>
    <t>F5H365_SEC23A</t>
  </si>
  <si>
    <t>F5H4G7_KPNA6</t>
  </si>
  <si>
    <t>F5H4H2_ATP5J2</t>
  </si>
  <si>
    <t>F5H4S9_TJP3</t>
  </si>
  <si>
    <t>F5H4V9_PDCD2</t>
  </si>
  <si>
    <t>F5H569_ATP6V0A1</t>
  </si>
  <si>
    <t>F5H577_BRK1</t>
  </si>
  <si>
    <t>F5H5D3_TUBA1C</t>
  </si>
  <si>
    <t>F5H5I6_GRSF1</t>
  </si>
  <si>
    <t>F5H5M7_IFNGR1</t>
  </si>
  <si>
    <t>F5H5N0_CDC42BPA</t>
  </si>
  <si>
    <t>F5H5N1_NDUFS7</t>
  </si>
  <si>
    <t>F5H5P2_BCKDHA</t>
  </si>
  <si>
    <t>F5H5R8_NAT1</t>
  </si>
  <si>
    <t>F5H604_CLASP2</t>
  </si>
  <si>
    <t>F5H620_OXNAD1</t>
  </si>
  <si>
    <t>F5H698_LARS</t>
  </si>
  <si>
    <t>F5H6G7_NOL10</t>
  </si>
  <si>
    <t>F5H702_MRPL48</t>
  </si>
  <si>
    <t>F5H721_WBP11</t>
  </si>
  <si>
    <t>F5H7C4_MSRB3</t>
  </si>
  <si>
    <t>F5H7F6_MGST1</t>
  </si>
  <si>
    <t>F5H7I4_GABPB1</t>
  </si>
  <si>
    <t>F5H7N9_MFGE8</t>
  </si>
  <si>
    <t>F5H7T0_RPS6KC1</t>
  </si>
  <si>
    <t>F5H7Z9_REEP1</t>
  </si>
  <si>
    <t>F5H801_OGDH</t>
  </si>
  <si>
    <t>F5H860_INPP4A</t>
  </si>
  <si>
    <t>F5H872_MED21</t>
  </si>
  <si>
    <t>F5H874_ASCC1</t>
  </si>
  <si>
    <t>F5H877_SPINT1</t>
  </si>
  <si>
    <t>F5H897_TRAP1</t>
  </si>
  <si>
    <t>F5H8D7_XRCC1</t>
  </si>
  <si>
    <t>F5H8H2_MVK</t>
  </si>
  <si>
    <t>F5H8L0_RABGAP1L</t>
  </si>
  <si>
    <t>F5H8L4_SIDT2</t>
  </si>
  <si>
    <t>F6PQP6_EPN2</t>
  </si>
  <si>
    <t>F6RY50_SIPA1</t>
  </si>
  <si>
    <t>F6TDL0_PIK3R3</t>
  </si>
  <si>
    <t>F6U1T9_PPP3R1</t>
  </si>
  <si>
    <t>F6UJY9_HYI</t>
  </si>
  <si>
    <t>F6V707_TPD52L1</t>
  </si>
  <si>
    <t>F6XY72_NME2</t>
  </si>
  <si>
    <t>F8VP89_EIF4B</t>
  </si>
  <si>
    <t>F8VPD4_CAD</t>
  </si>
  <si>
    <t>F8VQ10_DDX39B</t>
  </si>
  <si>
    <t>F8VQ19_BRF1</t>
  </si>
  <si>
    <t>F8VQY2_UIMC1</t>
  </si>
  <si>
    <t>F8VQZ7_METAP2</t>
  </si>
  <si>
    <t>F8VR27_RBFOX1</t>
  </si>
  <si>
    <t>F8VRE8_TMEM19</t>
  </si>
  <si>
    <t>F8VS47_NEK3</t>
  </si>
  <si>
    <t>F8VS78_TSPAN31</t>
  </si>
  <si>
    <t>F8VSL3_NFYB</t>
  </si>
  <si>
    <t>F8VSZ4_PLXNA1</t>
  </si>
  <si>
    <t>F8VU90_FKBP11</t>
  </si>
  <si>
    <t>F8VUJ3_POC1B-GALNT4</t>
  </si>
  <si>
    <t>F8VUW5_DAZAP2</t>
  </si>
  <si>
    <t>F8VV52_CNOT2</t>
  </si>
  <si>
    <t>F8VV56_CD63</t>
  </si>
  <si>
    <t>F8VV59_NAP1L1</t>
  </si>
  <si>
    <t>F8VVA7_COPZ1</t>
  </si>
  <si>
    <t>F8VW41_PACS2</t>
  </si>
  <si>
    <t>F8VW96_CSRP2</t>
  </si>
  <si>
    <t>F8VWA6_MON2</t>
  </si>
  <si>
    <t>F8VWA9_ALG10B</t>
  </si>
  <si>
    <t>F8VX04_SLC38A1</t>
  </si>
  <si>
    <t>F8VXG7_SCAF11</t>
  </si>
  <si>
    <t>F8VY35_NAP1L1</t>
  </si>
  <si>
    <t>F8VYN9_ARL1</t>
  </si>
  <si>
    <t>F8VZA2_LETMD1</t>
  </si>
  <si>
    <t>F8VZJ2_NACA</t>
  </si>
  <si>
    <t>F8W031_</t>
  </si>
  <si>
    <t>F8W038_C17orf49</t>
  </si>
  <si>
    <t>F8W0Q9_PPHLN1</t>
  </si>
  <si>
    <t>F8W1P7_SLC11A2</t>
  </si>
  <si>
    <t>F8W1Q3_BTD</t>
  </si>
  <si>
    <t>F8W689_RFX5</t>
  </si>
  <si>
    <t>F8W6I7_HNRNPA1</t>
  </si>
  <si>
    <t>F8W6N3_BAP1</t>
  </si>
  <si>
    <t>F8W726_UBAP2L</t>
  </si>
  <si>
    <t>F8W785_GOLIM4</t>
  </si>
  <si>
    <t>F8W7D6_GPHN</t>
  </si>
  <si>
    <t>F8W7Q4_FAM162A</t>
  </si>
  <si>
    <t>F8W7S1_FAM73A</t>
  </si>
  <si>
    <t>F8W8C2_VEZT</t>
  </si>
  <si>
    <t>F8W8D3_SLBP</t>
  </si>
  <si>
    <t>F8W8D8_PLS3</t>
  </si>
  <si>
    <t>F8W8E4_FAM179A</t>
  </si>
  <si>
    <t>F8W8H5_RAB24</t>
  </si>
  <si>
    <t>F8W8I6_TIA1</t>
  </si>
  <si>
    <t>F8W8P5_CADPS2</t>
  </si>
  <si>
    <t>F8W8Q9_STX5</t>
  </si>
  <si>
    <t>F8W946_FSD1L</t>
  </si>
  <si>
    <t>F8W998_CASK</t>
  </si>
  <si>
    <t>F8W9E7_ELMO3</t>
  </si>
  <si>
    <t>F8W9F3_PCMTD2</t>
  </si>
  <si>
    <t>F8W9F9_WNK2</t>
  </si>
  <si>
    <t>F8W9I9_DYRK1A</t>
  </si>
  <si>
    <t>F8W9Q9_LENG8</t>
  </si>
  <si>
    <t>F8W9R9_MED24</t>
  </si>
  <si>
    <t>F8W9X7_CCDC93</t>
  </si>
  <si>
    <t>F8WAB8_SLC25A26</t>
  </si>
  <si>
    <t>F8WAD8_ADAM22</t>
  </si>
  <si>
    <t>F8WAK8_STAG2</t>
  </si>
  <si>
    <t>F8WB74_SEPW1</t>
  </si>
  <si>
    <t>F8WBK5_MRPL40</t>
  </si>
  <si>
    <t>F8WBY6_GTPBP8</t>
  </si>
  <si>
    <t>F8WCP6_KIF21A</t>
  </si>
  <si>
    <t>F8WCZ9_OGG1</t>
  </si>
  <si>
    <t>F8WD04_ATL1</t>
  </si>
  <si>
    <t>F8WE42_NOL8</t>
  </si>
  <si>
    <t>F8WEA9_KSR1</t>
  </si>
  <si>
    <t>F8WEE4_ZFAND2B</t>
  </si>
  <si>
    <t>F8WF48_SEC62</t>
  </si>
  <si>
    <t>F8WF93_ALG3</t>
  </si>
  <si>
    <t>G3V0I5_NDUFV1</t>
  </si>
  <si>
    <t>G3V145_SDR16C5</t>
  </si>
  <si>
    <t>G3V1A6_GSDMD</t>
  </si>
  <si>
    <t>G3V1D3_DPP3</t>
  </si>
  <si>
    <t>G3V1K3_PON2</t>
  </si>
  <si>
    <t>G3V1P3_LOH12CR1</t>
  </si>
  <si>
    <t>G3V1R9_ISYNA1</t>
  </si>
  <si>
    <t>G3V1U0_ATF7IP</t>
  </si>
  <si>
    <t>G3V1U5_GOLT1B</t>
  </si>
  <si>
    <t>G3V1V1_ZCRB1</t>
  </si>
  <si>
    <t>G3V203_RPL18</t>
  </si>
  <si>
    <t>G3V207_TMCC3</t>
  </si>
  <si>
    <t>G3V238_METTL10</t>
  </si>
  <si>
    <t>G3V2F7_TMEM189</t>
  </si>
  <si>
    <t>G3V2U7_ACYP1</t>
  </si>
  <si>
    <t>G3V325_ATP5J2-PTCD1</t>
  </si>
  <si>
    <t>G3V379_FERMT2</t>
  </si>
  <si>
    <t>G3V394_MYO5A</t>
  </si>
  <si>
    <t>G3V396_C14orf93</t>
  </si>
  <si>
    <t>G3V3G9_DCAF8</t>
  </si>
  <si>
    <t>G3V3I4_NFKBIA</t>
  </si>
  <si>
    <t>G3V4A5_MED6</t>
  </si>
  <si>
    <t>G3V4J6_GPX2</t>
  </si>
  <si>
    <t>G3V4K3_VIPAS39</t>
  </si>
  <si>
    <t>G3V4W0_HNRNPC</t>
  </si>
  <si>
    <t>G3V583_FAM177A1</t>
  </si>
  <si>
    <t>G3V599_CTAGE5</t>
  </si>
  <si>
    <t>G3V5E1_CCNK</t>
  </si>
  <si>
    <t>G3V5N8_ZFYVE1</t>
  </si>
  <si>
    <t>G3V5T0_GSTZ1</t>
  </si>
  <si>
    <t>G3V5T9_CDK2</t>
  </si>
  <si>
    <t>G3V5W1_WARS</t>
  </si>
  <si>
    <t>G3V5Z7_PSMA6</t>
  </si>
  <si>
    <t>G3XA81_TMEM48</t>
  </si>
  <si>
    <t>G3XAA0_ARID1B</t>
  </si>
  <si>
    <t>G3XAA2_MAP4K4</t>
  </si>
  <si>
    <t>G3XAB3_TTC17</t>
  </si>
  <si>
    <t>G3XAC1_SLC26A6</t>
  </si>
  <si>
    <t>G3XAD5_PTPRD</t>
  </si>
  <si>
    <t>G3XAH6_PAPOLA</t>
  </si>
  <si>
    <t>G3XAI2_LAMB1</t>
  </si>
  <si>
    <t>G3XAI9_FAM133B</t>
  </si>
  <si>
    <t>G3XAN4_TRAM1</t>
  </si>
  <si>
    <t>G3XAN8_TIMM8B</t>
  </si>
  <si>
    <t>G5E933_SBF1</t>
  </si>
  <si>
    <t>G5E975_SMARCB1</t>
  </si>
  <si>
    <t>G5E9A6_USP11</t>
  </si>
  <si>
    <t>G5E9E7_TJP1</t>
  </si>
  <si>
    <t>G5E9P3_NKIRAS1</t>
  </si>
  <si>
    <t>G5EA30_CELF1</t>
  </si>
  <si>
    <t>G8JL98_TDG</t>
  </si>
  <si>
    <t>G8JLB3_PUS1</t>
  </si>
  <si>
    <t>G8JLB6_HNRNPH1</t>
  </si>
  <si>
    <t>G8JLI5_WDR45</t>
  </si>
  <si>
    <t>G8JLI6_LEPREL2</t>
  </si>
  <si>
    <t>G8JLK4_TACC1</t>
  </si>
  <si>
    <t>G8JLL2_PPT2</t>
  </si>
  <si>
    <t>G8JLL7_MVB12B</t>
  </si>
  <si>
    <t>G8JLM6_TAF6</t>
  </si>
  <si>
    <t>G8JLQ3_BLOC1S1</t>
  </si>
  <si>
    <t>H0UI80_TH1L</t>
  </si>
  <si>
    <t>H0Y2P9_PIGX</t>
  </si>
  <si>
    <t>H0Y2S9_MPRIP</t>
  </si>
  <si>
    <t>H0Y360_AMPD2</t>
  </si>
  <si>
    <t>H0Y362_SLC30A7</t>
  </si>
  <si>
    <t>H0Y384_ODF2</t>
  </si>
  <si>
    <t>H0Y3H2_ABCA3</t>
  </si>
  <si>
    <t>H0Y3P2_EIF4G2</t>
  </si>
  <si>
    <t>H0Y3Z8_</t>
  </si>
  <si>
    <t>H0Y412_PRRC2B</t>
  </si>
  <si>
    <t>H0Y4G9_MYD88</t>
  </si>
  <si>
    <t>H0Y4W2_TRRAP</t>
  </si>
  <si>
    <t>H0Y4Y2_NAPEPLD</t>
  </si>
  <si>
    <t>H0Y530_PAEP</t>
  </si>
  <si>
    <t>H0Y5A1_PTGDS</t>
  </si>
  <si>
    <t>H0Y5D5_CIZ1</t>
  </si>
  <si>
    <t>H0Y5J5_AAED1</t>
  </si>
  <si>
    <t>H0Y5Y0_PREP</t>
  </si>
  <si>
    <t>H0Y614_UFM1</t>
  </si>
  <si>
    <t>H0Y6A0_ARFGAP3</t>
  </si>
  <si>
    <t>H0Y6I7_KDM6A</t>
  </si>
  <si>
    <t>H0Y6K2_BRD2</t>
  </si>
  <si>
    <t>H0Y6K5_SP3</t>
  </si>
  <si>
    <t>H0Y6Y8_MRPL43</t>
  </si>
  <si>
    <t>H0Y7A7_CALM2</t>
  </si>
  <si>
    <t>H0Y882_FOXP1</t>
  </si>
  <si>
    <t>H0Y8C3_MTCH1</t>
  </si>
  <si>
    <t>H0Y8D0_TMEM222</t>
  </si>
  <si>
    <t>H0Y9D6_B4GALT7</t>
  </si>
  <si>
    <t>H0Y9S9_PPIP5K2</t>
  </si>
  <si>
    <t>H0Y9T8_PRR5-ARHGAP8</t>
  </si>
  <si>
    <t>H0Y9X1_TMA16</t>
  </si>
  <si>
    <t>H0YA52_PCBD2</t>
  </si>
  <si>
    <t>H0YA80_UBE2B</t>
  </si>
  <si>
    <t>H0YAV1_RRM2B</t>
  </si>
  <si>
    <t>H0YB73_UBE2W</t>
  </si>
  <si>
    <t>H0YBC7_BNIP3L</t>
  </si>
  <si>
    <t>H0YBI6_TXNRD3</t>
  </si>
  <si>
    <t>H0YBI8_VEGFA</t>
  </si>
  <si>
    <t>H0YBN0_VPS37A</t>
  </si>
  <si>
    <t>H0YBP1_PTK2</t>
  </si>
  <si>
    <t>H0YBR0_TRAPPC9</t>
  </si>
  <si>
    <t>H0YBR2_ESRP1</t>
  </si>
  <si>
    <t>H0YD93_RUFY2</t>
  </si>
  <si>
    <t>H0YDQ8_CRTC2</t>
  </si>
  <si>
    <t>H0YDU8_PPP5C</t>
  </si>
  <si>
    <t>H0YEA7_GNPTG</t>
  </si>
  <si>
    <t>H0YEB6_SSSCA1</t>
  </si>
  <si>
    <t>H0YEF3_RNASEH2C</t>
  </si>
  <si>
    <t>H0YEI0_RASSF7</t>
  </si>
  <si>
    <t>H0YEM6_PELI3</t>
  </si>
  <si>
    <t>H0YEP5_SMPD1</t>
  </si>
  <si>
    <t>H0YGA7_CADM1</t>
  </si>
  <si>
    <t>H0YGR4_REXO2</t>
  </si>
  <si>
    <t>H0YHG0_</t>
  </si>
  <si>
    <t>H0YHQ9_ARHGAP23</t>
  </si>
  <si>
    <t>H0YI09_METTL7A</t>
  </si>
  <si>
    <t>H0YI20_OAS1</t>
  </si>
  <si>
    <t>H0YIE9_FBXO21</t>
  </si>
  <si>
    <t>H0YIV9_</t>
  </si>
  <si>
    <t>H0YJ17_NGDN</t>
  </si>
  <si>
    <t>H0YJE3_CEP128</t>
  </si>
  <si>
    <t>H0YKD8_RPL28</t>
  </si>
  <si>
    <t>H0YKJ9_TSPAN3</t>
  </si>
  <si>
    <t>H0YL33_ANXA2</t>
  </si>
  <si>
    <t>H0YL70_TLE3</t>
  </si>
  <si>
    <t>H0YLB5_POU2F1</t>
  </si>
  <si>
    <t>H0YLX2_RFX7</t>
  </si>
  <si>
    <t>H0YMB3_GMPR2</t>
  </si>
  <si>
    <t>H0YME5_EIF2AK4</t>
  </si>
  <si>
    <t>H0YMG7_ALDH1A2</t>
  </si>
  <si>
    <t>H0YMJ0_MORF4L1</t>
  </si>
  <si>
    <t>H0YMJ1_ASB7</t>
  </si>
  <si>
    <t>H0YN78_C15orf57</t>
  </si>
  <si>
    <t>H0YNA7_SPPL2A</t>
  </si>
  <si>
    <t>H0YNE9_RAB8B</t>
  </si>
  <si>
    <t>H0YNG3_SEC11A</t>
  </si>
  <si>
    <t>H0YNH6_EMC9</t>
  </si>
  <si>
    <t>H0YNH8_UACA</t>
  </si>
  <si>
    <t>H0YNN9_</t>
  </si>
  <si>
    <t>H0YNU5_BLM</t>
  </si>
  <si>
    <t>H3BLV0_CD55</t>
  </si>
  <si>
    <t>H3BLZ2_DBNDD1</t>
  </si>
  <si>
    <t>H3BLZ8_DDX17</t>
  </si>
  <si>
    <t>H3BM14_NUB1</t>
  </si>
  <si>
    <t>H3BM42_GLG1</t>
  </si>
  <si>
    <t>H3BM67_NOL3</t>
  </si>
  <si>
    <t>H3BM91_COMMD4</t>
  </si>
  <si>
    <t>H3BMF4_SPNS1</t>
  </si>
  <si>
    <t>H3BML8_TMEM219</t>
  </si>
  <si>
    <t>H3BMM5_</t>
  </si>
  <si>
    <t>H3BN98_</t>
  </si>
  <si>
    <t>H3BNM4_INO80E</t>
  </si>
  <si>
    <t>H3BNT4_MPHOSPH6</t>
  </si>
  <si>
    <t>H3BNU9_CARHSP1</t>
  </si>
  <si>
    <t>H3BP13_TRAPPC2L</t>
  </si>
  <si>
    <t>H3BP20_HEXA</t>
  </si>
  <si>
    <t>H3BP28_COQ7</t>
  </si>
  <si>
    <t>H3BP77_TK2</t>
  </si>
  <si>
    <t>H3BPE1_MACF1</t>
  </si>
  <si>
    <t>H3BPJ7_TCF4</t>
  </si>
  <si>
    <t>H3BPL0_CLN3</t>
  </si>
  <si>
    <t>H3BPS8_ALDOA</t>
  </si>
  <si>
    <t>H3BQA0_SNAPC5</t>
  </si>
  <si>
    <t>H3BQA7_OBSCN</t>
  </si>
  <si>
    <t>H3BQQ9_UBE2I</t>
  </si>
  <si>
    <t>H3BQT8_TMEM170A</t>
  </si>
  <si>
    <t>H3BQV3_COG8</t>
  </si>
  <si>
    <t>H3BR01_SPINT1</t>
  </si>
  <si>
    <t>H3BR94_DCTN5</t>
  </si>
  <si>
    <t>H3BRF9_ZFYVE19</t>
  </si>
  <si>
    <t>H3BRL3_UBFD1</t>
  </si>
  <si>
    <t>H3BRN4_ABAT</t>
  </si>
  <si>
    <t>H3BRS1_NFATC3</t>
  </si>
  <si>
    <t>H3BRU1_FAM219B</t>
  </si>
  <si>
    <t>H3BRV0_EIF3C</t>
  </si>
  <si>
    <t>H3BRY6_VWA9</t>
  </si>
  <si>
    <t>H3BS42_ZNF768</t>
  </si>
  <si>
    <t>H3BSM5_GABARAPL2</t>
  </si>
  <si>
    <t>H3BSM7_C16orf58</t>
  </si>
  <si>
    <t>H3BST1_BLOC1S6</t>
  </si>
  <si>
    <t>H3BSW6_CTU2</t>
  </si>
  <si>
    <t>H3BTL1_MAP1LC3B</t>
  </si>
  <si>
    <t>H3BTN5_PKM</t>
  </si>
  <si>
    <t>H3BTQ7_ORC6</t>
  </si>
  <si>
    <t>H3BTX0_</t>
  </si>
  <si>
    <t>H3BU23_CDR2</t>
  </si>
  <si>
    <t>H3BU49_ARL2BP</t>
  </si>
  <si>
    <t>H3BUJ1_ITFG1</t>
  </si>
  <si>
    <t>H3BUQ2_OGFOD1</t>
  </si>
  <si>
    <t>H3BUY0_MRPL21</t>
  </si>
  <si>
    <t>H3BV80_RNPS1</t>
  </si>
  <si>
    <t>H3BVI4_LMF1</t>
  </si>
  <si>
    <t>H6UMI1_GABARAP</t>
  </si>
  <si>
    <t>H7BXD5_GCA</t>
  </si>
  <si>
    <t>H7BXF5_SAP130</t>
  </si>
  <si>
    <t>H7BXH2_PPP6R3</t>
  </si>
  <si>
    <t>H7BXH9_METTL21A</t>
  </si>
  <si>
    <t>H7BXI1_ESYT2</t>
  </si>
  <si>
    <t>H7BXI5_ERGIC3</t>
  </si>
  <si>
    <t>H7BXW7_MPC1</t>
  </si>
  <si>
    <t>H7BXY3_DHX30</t>
  </si>
  <si>
    <t>H7BY36_EWSR1</t>
  </si>
  <si>
    <t>H7BY58_PCMT1</t>
  </si>
  <si>
    <t>H7BYJ1_RNF34</t>
  </si>
  <si>
    <t>H7BYQ6_INTS9</t>
  </si>
  <si>
    <t>H7BYY1_TPM1</t>
  </si>
  <si>
    <t>H7BZ94_P4HB</t>
  </si>
  <si>
    <t>H7BZJ3_PDIA3</t>
  </si>
  <si>
    <t>H7BZK6_USP46</t>
  </si>
  <si>
    <t>H7BZT4_</t>
  </si>
  <si>
    <t>H7C0G7_NHEJ1</t>
  </si>
  <si>
    <t>H7C107_IQSEC1</t>
  </si>
  <si>
    <t>H7C144_ACTN4</t>
  </si>
  <si>
    <t>H7C155_RAF1</t>
  </si>
  <si>
    <t>H7C1F9_RALGAPA2</t>
  </si>
  <si>
    <t>H7C1I0_SLC35E1</t>
  </si>
  <si>
    <t>H7C1N3_BET1</t>
  </si>
  <si>
    <t>H7C1U3_CC2D1B</t>
  </si>
  <si>
    <t>H7C1U8_APOO</t>
  </si>
  <si>
    <t>H7C224_IRAK1</t>
  </si>
  <si>
    <t>H7C270_CTDSP1</t>
  </si>
  <si>
    <t>H7C285_TSPAN15</t>
  </si>
  <si>
    <t>H7C2G2_ART4</t>
  </si>
  <si>
    <t>H7C2Q8_EBNA1BP2</t>
  </si>
  <si>
    <t>H7C2W9_RPL31</t>
  </si>
  <si>
    <t>H7C3G9_NAGK</t>
  </si>
  <si>
    <t>H7C3P4_GNS</t>
  </si>
  <si>
    <t>H7C3Q6_MITD1</t>
  </si>
  <si>
    <t>H7C3T2_ATG2A</t>
  </si>
  <si>
    <t>H7C417_</t>
  </si>
  <si>
    <t>H7C484_ARV1</t>
  </si>
  <si>
    <t>H7C4K1_STK19</t>
  </si>
  <si>
    <t>H7C4W1_ITGB5</t>
  </si>
  <si>
    <t>H7C4X9_ZMYND8</t>
  </si>
  <si>
    <t>H7C5F7_NDFIP2</t>
  </si>
  <si>
    <t>H7C5G1_IAH1</t>
  </si>
  <si>
    <t>H7C5R4_GK5</t>
  </si>
  <si>
    <t>H7C5R8_PARP14</t>
  </si>
  <si>
    <t>H7C5W6_HEATR5A</t>
  </si>
  <si>
    <t>H9KV70_LCN2</t>
  </si>
  <si>
    <t>H9KVB4_TNRC18</t>
  </si>
  <si>
    <t>H9KVB8_MICU1</t>
  </si>
  <si>
    <t>I3L097_</t>
  </si>
  <si>
    <t>I3L0B8_SLC25A52</t>
  </si>
  <si>
    <t>I3L0C1_SMG1</t>
  </si>
  <si>
    <t>I3L0K1_GOSR2</t>
  </si>
  <si>
    <t>I3L0N3_NSF</t>
  </si>
  <si>
    <t>I3L0U5_CCDC137</t>
  </si>
  <si>
    <t>I3L112_DGKE</t>
  </si>
  <si>
    <t>I3L1H5_DPH1</t>
  </si>
  <si>
    <t>I3L1P8_SLC25A11</t>
  </si>
  <si>
    <t>I3L1Q3_ELP5</t>
  </si>
  <si>
    <t>I3L232_B3GNTL1</t>
  </si>
  <si>
    <t>I3L2B0_CLUH</t>
  </si>
  <si>
    <t>I3L2C7_GEMIN4</t>
  </si>
  <si>
    <t>I3L2J0_CIC</t>
  </si>
  <si>
    <t>I3L2J8_AZI1</t>
  </si>
  <si>
    <t>I3L2L5_FAM195B</t>
  </si>
  <si>
    <t>I3L2R4_SLC2A4</t>
  </si>
  <si>
    <t>I3L397_EIF5A</t>
  </si>
  <si>
    <t>I3L3A8_PELP1</t>
  </si>
  <si>
    <t>I3L3B4_</t>
  </si>
  <si>
    <t>I3L3P7_RPS15A</t>
  </si>
  <si>
    <t>I3L448_ATPAF1</t>
  </si>
  <si>
    <t>I3L4X2_ABCC1</t>
  </si>
  <si>
    <t>I3L4X3_NFKBIB</t>
  </si>
  <si>
    <t>I3L505_NDUFAB1</t>
  </si>
  <si>
    <t>I6L8B7_FABP5</t>
  </si>
  <si>
    <t>J3KMW8_CACTIN</t>
  </si>
  <si>
    <t>J3KMX2_SMARCD2</t>
  </si>
  <si>
    <t>J3KMY5_NPC2</t>
  </si>
  <si>
    <t>J3KMZ7_INTS2</t>
  </si>
  <si>
    <t>J3KMZ8_DPF2</t>
  </si>
  <si>
    <t>J3KMZ9_LDLR</t>
  </si>
  <si>
    <t>J3KN00_NDUFA13</t>
  </si>
  <si>
    <t>J3KN16_KIAA0368</t>
  </si>
  <si>
    <t>J3KN29_PSMD9</t>
  </si>
  <si>
    <t>J3KN32_RCOR1</t>
  </si>
  <si>
    <t>J3KN39_NLRP2</t>
  </si>
  <si>
    <t>J3KN66_TOR1AIP1</t>
  </si>
  <si>
    <t>J3KN67_TPM3</t>
  </si>
  <si>
    <t>J3KN69_NCEH1</t>
  </si>
  <si>
    <t>J3KN75_TBC1D8B</t>
  </si>
  <si>
    <t>J3KN82_APIP</t>
  </si>
  <si>
    <t>J3KNA0_OXA1L</t>
  </si>
  <si>
    <t>J3KND1_SAAL1</t>
  </si>
  <si>
    <t>J3KND3_MYL6</t>
  </si>
  <si>
    <t>J3KND8_PAH</t>
  </si>
  <si>
    <t>J3KNE0_RGPD3</t>
  </si>
  <si>
    <t>J3KNF4_CCS</t>
  </si>
  <si>
    <t>J3KNF5_CEP290</t>
  </si>
  <si>
    <t>J3KNF8_CYB5B</t>
  </si>
  <si>
    <t>J3KNI1_COG4</t>
  </si>
  <si>
    <t>J3KNL3_CHID1</t>
  </si>
  <si>
    <t>J3KNL6_SEC16A</t>
  </si>
  <si>
    <t>J3KNM5_YAF2</t>
  </si>
  <si>
    <t>J3KNN5_DDX41</t>
  </si>
  <si>
    <t>J3KNP4_SEMA4B</t>
  </si>
  <si>
    <t>J3KNR0_MARK3</t>
  </si>
  <si>
    <t>J3KNT4_FGFR1</t>
  </si>
  <si>
    <t>J3KNV1_ZNF292</t>
  </si>
  <si>
    <t>J3KNW7_CCDC41</t>
  </si>
  <si>
    <t>J3KNX9_MYO18A</t>
  </si>
  <si>
    <t>J3KP26_ANKRD46</t>
  </si>
  <si>
    <t>J3KPD4_MCF2L</t>
  </si>
  <si>
    <t>J3KPF9_KIF3A</t>
  </si>
  <si>
    <t>J3KPK1_SYNJ1</t>
  </si>
  <si>
    <t>J3KPL2_KDM1B</t>
  </si>
  <si>
    <t>J3KPP4_LUC7L3</t>
  </si>
  <si>
    <t>J3KPS0_DNAJB12</t>
  </si>
  <si>
    <t>J3KPT4_TRABD</t>
  </si>
  <si>
    <t>J3KPV1_CHCHD7</t>
  </si>
  <si>
    <t>J3KPV7_MPST</t>
  </si>
  <si>
    <t>J3KPW7_HDAC2</t>
  </si>
  <si>
    <t>J3KPX5_DNA2</t>
  </si>
  <si>
    <t>J3KPZ4_C1D</t>
  </si>
  <si>
    <t>J3KPZ8_RFXANK</t>
  </si>
  <si>
    <t>J3KQ32_OLA1</t>
  </si>
  <si>
    <t>J3KQ34_COPS7B</t>
  </si>
  <si>
    <t>J3KQ40_TBC1D8</t>
  </si>
  <si>
    <t>J3KQ48_PTRH2</t>
  </si>
  <si>
    <t>J3KQ88_C6orf203</t>
  </si>
  <si>
    <t>J3KQ98_PPP1R37</t>
  </si>
  <si>
    <t>J3KQA0_SYT1</t>
  </si>
  <si>
    <t>J3KQA6_CYTH2</t>
  </si>
  <si>
    <t>J3KQB0_THUMPD1</t>
  </si>
  <si>
    <t>J3KQE0_SUN2</t>
  </si>
  <si>
    <t>J3KQE5_RAN</t>
  </si>
  <si>
    <t>J3KQG4_GBA</t>
  </si>
  <si>
    <t>J3KQJ1_SUMF2</t>
  </si>
  <si>
    <t>J3KQL8_APOL2</t>
  </si>
  <si>
    <t>J3KQS6_BABAM1</t>
  </si>
  <si>
    <t>J3KR35_CCDC12</t>
  </si>
  <si>
    <t>J3KR97_TBCD</t>
  </si>
  <si>
    <t>J3KRC8_C16orf55</t>
  </si>
  <si>
    <t>J3KRP6_SS18</t>
  </si>
  <si>
    <t>J3KS05_CBX1</t>
  </si>
  <si>
    <t>J3KS15_ICT1</t>
  </si>
  <si>
    <t>J3KS94_MBP</t>
  </si>
  <si>
    <t>J3KSH1_AMZ2</t>
  </si>
  <si>
    <t>J3KSS7_GGA3</t>
  </si>
  <si>
    <t>J3KTA1_FBXL20</t>
  </si>
  <si>
    <t>J3KTA4_DDX5</t>
  </si>
  <si>
    <t>J3KTD2_RTTN</t>
  </si>
  <si>
    <t>J3KTE9_CDH3</t>
  </si>
  <si>
    <t>J3KTL2_SRSF1</t>
  </si>
  <si>
    <t>J3QK89_CHERP</t>
  </si>
  <si>
    <t>J3QK90_NSFL1C</t>
  </si>
  <si>
    <t>J3QKS7_SMARCE1</t>
  </si>
  <si>
    <t>J3QKZ6_C17orf62</t>
  </si>
  <si>
    <t>J3QL56_SCO1</t>
  </si>
  <si>
    <t>J3QL71_SCRN2</t>
  </si>
  <si>
    <t>J3QLB2_SLC39A11</t>
  </si>
  <si>
    <t>J3QLK4_ELAC2</t>
  </si>
  <si>
    <t>J3QLS3_MRPS7</t>
  </si>
  <si>
    <t>J3QLV8_SNX11</t>
  </si>
  <si>
    <t>J3QQJ0_SAP30BP</t>
  </si>
  <si>
    <t>J3QQJ5_TRAPPC8</t>
  </si>
  <si>
    <t>J3QQM4_SMURF2</t>
  </si>
  <si>
    <t>J3QQT2_RPL17</t>
  </si>
  <si>
    <t>J3QQW9_SUZ12</t>
  </si>
  <si>
    <t>J3QR07_YTHDC1</t>
  </si>
  <si>
    <t>J3QR09_RPL19</t>
  </si>
  <si>
    <t>J3QRH2_IFT20</t>
  </si>
  <si>
    <t>J3QRM9_ORMDL3</t>
  </si>
  <si>
    <t>J3QRS3_MYL12A</t>
  </si>
  <si>
    <t>J3QRS9_ZNF207</t>
  </si>
  <si>
    <t>J3QRU1_YES1</t>
  </si>
  <si>
    <t>J3QRU4_VAMP2</t>
  </si>
  <si>
    <t>J3QRV5_LLGL2</t>
  </si>
  <si>
    <t>J3QRX6_COPRS</t>
  </si>
  <si>
    <t>J3QS41_HELZ</t>
  </si>
  <si>
    <t>J3QSH4_VEZF1</t>
  </si>
  <si>
    <t>J3QSS3_ABCA2</t>
  </si>
  <si>
    <t>J3QSV6_RSL1D1</t>
  </si>
  <si>
    <t>J3QSW3_ZFP62</t>
  </si>
  <si>
    <t>J3QT87_CRBN</t>
  </si>
  <si>
    <t>J3QTA2_BAG1</t>
  </si>
  <si>
    <t>J3QTA6_CHCHD6</t>
  </si>
  <si>
    <t>J9JIC5_C17orf75</t>
  </si>
  <si>
    <t>J9JID7_LMNB2</t>
  </si>
  <si>
    <t>J9JID9_PITPNC1</t>
  </si>
  <si>
    <t>J9JIE6_TMCO1</t>
  </si>
  <si>
    <t>K4DI92_RWDD4</t>
  </si>
  <si>
    <t>K4DI93_CUL4B</t>
  </si>
  <si>
    <t>K4DIA0_ICOSLG</t>
  </si>
  <si>
    <t>K7EIJ0_WBP2</t>
  </si>
  <si>
    <t>K7EIN2_NUDT16L1</t>
  </si>
  <si>
    <t>K7EIN7_MKNK2</t>
  </si>
  <si>
    <t>K7EIP7_YIPF2</t>
  </si>
  <si>
    <t>K7EIU8_SMAD4</t>
  </si>
  <si>
    <t>K7EIY4_STX10</t>
  </si>
  <si>
    <t>K7EJ78_RPS15</t>
  </si>
  <si>
    <t>K7EJB9_CALR</t>
  </si>
  <si>
    <t>K7EJL1_AP1M1</t>
  </si>
  <si>
    <t>K7EJQ7_SEC11C</t>
  </si>
  <si>
    <t>K7EK00_FAM210A</t>
  </si>
  <si>
    <t>K7EK07_H3F3B</t>
  </si>
  <si>
    <t>K7EKE6_LONP1</t>
  </si>
  <si>
    <t>K7EKI0_EVPL</t>
  </si>
  <si>
    <t>K7EKI8_PPL</t>
  </si>
  <si>
    <t>K7EKW3_TMUB2</t>
  </si>
  <si>
    <t>K7EL21_CAPS</t>
  </si>
  <si>
    <t>K7EL68_CDC37</t>
  </si>
  <si>
    <t>K7ELL7_PRKCSH</t>
  </si>
  <si>
    <t>K7EM02_KATNAL2</t>
  </si>
  <si>
    <t>K7EM09_TMEM205</t>
  </si>
  <si>
    <t>K7EM88_UBALD1</t>
  </si>
  <si>
    <t>K7EMM8_GLYR1</t>
  </si>
  <si>
    <t>K7EMR7_RTN2</t>
  </si>
  <si>
    <t>K7EMV5_ZNF444</t>
  </si>
  <si>
    <t>K7EN05_ELOF1</t>
  </si>
  <si>
    <t>K7EN88_hCG_2039718</t>
  </si>
  <si>
    <t>K7ENC0_FUT5</t>
  </si>
  <si>
    <t>K7ENF0_NARS</t>
  </si>
  <si>
    <t>K7ENH4_PPAP2C</t>
  </si>
  <si>
    <t>K7ENL9_C18orf8</t>
  </si>
  <si>
    <t>K7ENR6_PSMG2</t>
  </si>
  <si>
    <t>K7EP31_ATP5SL</t>
  </si>
  <si>
    <t>K7EP32_UBXN6</t>
  </si>
  <si>
    <t>K7EP90_RBM42</t>
  </si>
  <si>
    <t>K7EPJ5_MGRN1</t>
  </si>
  <si>
    <t>K7EPU2_NFIX</t>
  </si>
  <si>
    <t>K7EPX7_MOB3A</t>
  </si>
  <si>
    <t>K7EQ34_TMEM161A</t>
  </si>
  <si>
    <t>K7EQH5_AES</t>
  </si>
  <si>
    <t>K7EQW8_TPM4</t>
  </si>
  <si>
    <t>K7ER00_FARSA</t>
  </si>
  <si>
    <t>K7ERF1_EIF3K</t>
  </si>
  <si>
    <t>K7ES11_UBE2O</t>
  </si>
  <si>
    <t>K7ES25_PEPD</t>
  </si>
  <si>
    <t>K7ESE3_RAD23A</t>
  </si>
  <si>
    <t>K7ESE6_G6PC3</t>
  </si>
  <si>
    <t>K7ESI9_DNM2</t>
  </si>
  <si>
    <t>M0QWZ7_SARS2</t>
  </si>
  <si>
    <t>M0QX35_PAF1</t>
  </si>
  <si>
    <t>M0QXA7_WIZ</t>
  </si>
  <si>
    <t>M0QXT0_USF2</t>
  </si>
  <si>
    <t>M0QXZ5_ZNF428</t>
  </si>
  <si>
    <t>M0QY01_EPS15L1</t>
  </si>
  <si>
    <t>M0QY29_LIPE</t>
  </si>
  <si>
    <t>M0QYH5_MPV17L2</t>
  </si>
  <si>
    <t>M0QYJ8_GMFG</t>
  </si>
  <si>
    <t>M0QYM7_TUBB4A</t>
  </si>
  <si>
    <t>M0QYS1_RPL13A</t>
  </si>
  <si>
    <t>M0QZ22_SAMD4B</t>
  </si>
  <si>
    <t>M0QZ67_METTL10</t>
  </si>
  <si>
    <t>M0QZM1_HNRNPM</t>
  </si>
  <si>
    <t>M0QZR4_ARHGEF1</t>
  </si>
  <si>
    <t>M0QZW1_PRKD2</t>
  </si>
  <si>
    <t>M0R042_TUBB4A</t>
  </si>
  <si>
    <t>M0R0B4_KXD1</t>
  </si>
  <si>
    <t>M0R0F0_RPS5</t>
  </si>
  <si>
    <t>M0R0N4_AP2S1</t>
  </si>
  <si>
    <t>M0R150_</t>
  </si>
  <si>
    <t>M0R226_MRPL34</t>
  </si>
  <si>
    <t>M0R2A0_EMC10</t>
  </si>
  <si>
    <t>M0R2B7_POLD1</t>
  </si>
  <si>
    <t>M0R2C4_LSR</t>
  </si>
  <si>
    <t>M0R2U7_HOMER3</t>
  </si>
  <si>
    <t>M0R2Z1_CGB1</t>
  </si>
  <si>
    <t>M0R300_MYO9B</t>
  </si>
  <si>
    <t>M0R328_PEX11G</t>
  </si>
  <si>
    <t>M0R366_FSD1</t>
  </si>
  <si>
    <t>M0R3D4_RABAC1</t>
  </si>
  <si>
    <t>O00116_AGPS</t>
  </si>
  <si>
    <t>O00139-2_KIF2A</t>
  </si>
  <si>
    <t>O00148_DDX39A</t>
  </si>
  <si>
    <t>O00151_PDLIM1</t>
  </si>
  <si>
    <t>O00154_ACOT7</t>
  </si>
  <si>
    <t>O00159_MYO1C</t>
  </si>
  <si>
    <t>O00161_SNAP23</t>
  </si>
  <si>
    <t>O00165-5_HAX1</t>
  </si>
  <si>
    <t>O00170_AIP</t>
  </si>
  <si>
    <t>O00178_GTPBP1</t>
  </si>
  <si>
    <t>O00186_STXBP3</t>
  </si>
  <si>
    <t>O00203_AP3B1</t>
  </si>
  <si>
    <t>O00217_NDUFS8</t>
  </si>
  <si>
    <t>O00220_TNFRSF10A</t>
  </si>
  <si>
    <t>O00221_NFKBIE</t>
  </si>
  <si>
    <t>O00231_PSMD11</t>
  </si>
  <si>
    <t>O00232_PSMD12</t>
  </si>
  <si>
    <t>O00244_ATOX1</t>
  </si>
  <si>
    <t>O00257_CBX4</t>
  </si>
  <si>
    <t>O00264_PGRMC1</t>
  </si>
  <si>
    <t>O00267-2_SUPT5H</t>
  </si>
  <si>
    <t>O00273_DFFA</t>
  </si>
  <si>
    <t>O00273-2_DFFA</t>
  </si>
  <si>
    <t>O00287_RFXAP</t>
  </si>
  <si>
    <t>O00291_HIP1</t>
  </si>
  <si>
    <t>O00299_CLIC1</t>
  </si>
  <si>
    <t>O00300_TNFRSF11B</t>
  </si>
  <si>
    <t>O00308_WWP2</t>
  </si>
  <si>
    <t>O00330_PDHX</t>
  </si>
  <si>
    <t>O00391_QSOX1</t>
  </si>
  <si>
    <t>O00399_DCTN6</t>
  </si>
  <si>
    <t>O00400_SLC33A1</t>
  </si>
  <si>
    <t>O00401_WASL</t>
  </si>
  <si>
    <t>O00410_IPO5</t>
  </si>
  <si>
    <t>O00418_EEF2K</t>
  </si>
  <si>
    <t>O00422_SAP18</t>
  </si>
  <si>
    <t>O00425_IGF2BP3</t>
  </si>
  <si>
    <t>O00429-3_DNM1L</t>
  </si>
  <si>
    <t>O00429-4_DNM1L</t>
  </si>
  <si>
    <t>O00442_RTCA</t>
  </si>
  <si>
    <t>O00459_PIK3R2</t>
  </si>
  <si>
    <t>O00462_MANBA</t>
  </si>
  <si>
    <t>O00463_TRAF5</t>
  </si>
  <si>
    <t>O00468-6_AGRN</t>
  </si>
  <si>
    <t>O00469-2_PLOD2</t>
  </si>
  <si>
    <t>O00471_EXOC5</t>
  </si>
  <si>
    <t>O00479_HMGN4</t>
  </si>
  <si>
    <t>O00483_NDUFA4</t>
  </si>
  <si>
    <t>O00487_PSMD14</t>
  </si>
  <si>
    <t>O00488_ZNF593</t>
  </si>
  <si>
    <t>O00505_KPNA3</t>
  </si>
  <si>
    <t>O00506_STK25</t>
  </si>
  <si>
    <t>O00512_BCL9</t>
  </si>
  <si>
    <t>O00515_LAD1</t>
  </si>
  <si>
    <t>O00533-2_CHL1</t>
  </si>
  <si>
    <t>O00534_VWA5A</t>
  </si>
  <si>
    <t>O00560_SDCBP</t>
  </si>
  <si>
    <t>O00566_MPHOSPH10</t>
  </si>
  <si>
    <t>O00567_NOP56</t>
  </si>
  <si>
    <t>O00571_DDX3X</t>
  </si>
  <si>
    <t>O00625_PIR</t>
  </si>
  <si>
    <t>O00629_KPNA4</t>
  </si>
  <si>
    <t>O00743_PPP6C</t>
  </si>
  <si>
    <t>O00754-2_MAN2B1</t>
  </si>
  <si>
    <t>O00757_FBP2</t>
  </si>
  <si>
    <t>O00762-2_UBE2C</t>
  </si>
  <si>
    <t>O00764_PDXK</t>
  </si>
  <si>
    <t>O00767_SCD</t>
  </si>
  <si>
    <t>O14497_ARID1A</t>
  </si>
  <si>
    <t>O14519-2_CDK2AP1</t>
  </si>
  <si>
    <t>O14523_C2CD2L</t>
  </si>
  <si>
    <t>O14545_TRAFD1</t>
  </si>
  <si>
    <t>O14548_COX7A2L</t>
  </si>
  <si>
    <t>O14556_GAPDHS</t>
  </si>
  <si>
    <t>O14561_NDUFAB1</t>
  </si>
  <si>
    <t>O14578-4_CIT</t>
  </si>
  <si>
    <t>O14579_COPE</t>
  </si>
  <si>
    <t>O14617_AP3D1</t>
  </si>
  <si>
    <t>O14646-2_CHD1</t>
  </si>
  <si>
    <t>O14656_TOR1A</t>
  </si>
  <si>
    <t>O14657_TOR1B</t>
  </si>
  <si>
    <t>O14662-2_STX16</t>
  </si>
  <si>
    <t>O14672_ADAM10</t>
  </si>
  <si>
    <t>O14686_MLL2</t>
  </si>
  <si>
    <t>O14732_IMPA2</t>
  </si>
  <si>
    <t>O14733_MAP2K7</t>
  </si>
  <si>
    <t>O14734_ACOT8</t>
  </si>
  <si>
    <t>O14737_PDCD5</t>
  </si>
  <si>
    <t>O14744_PRMT5</t>
  </si>
  <si>
    <t>O14745_SLC9A3R1</t>
  </si>
  <si>
    <t>O14757_CHEK1</t>
  </si>
  <si>
    <t>O14763-2_TNFRSF10B</t>
  </si>
  <si>
    <t>O14772_FPGT</t>
  </si>
  <si>
    <t>O14773_TPP1</t>
  </si>
  <si>
    <t>O14776-2_TCERG1</t>
  </si>
  <si>
    <t>O14777_NDC80</t>
  </si>
  <si>
    <t>O14787-2_TNPO2</t>
  </si>
  <si>
    <t>O14818_PSMA7</t>
  </si>
  <si>
    <t>O14828_SCAMP3</t>
  </si>
  <si>
    <t>O14841_OPLAH</t>
  </si>
  <si>
    <t>O14867_BACH1</t>
  </si>
  <si>
    <t>O14874_BCKDK</t>
  </si>
  <si>
    <t>O14896_IRF6</t>
  </si>
  <si>
    <t>O14907_TAX1BP3</t>
  </si>
  <si>
    <t>O14908_GIPC1</t>
  </si>
  <si>
    <t>O14920_IKBKB</t>
  </si>
  <si>
    <t>O14925_TIMM23</t>
  </si>
  <si>
    <t>O14929_HAT1</t>
  </si>
  <si>
    <t>O14933_UBE2L6</t>
  </si>
  <si>
    <t>O14949_UQCRQ</t>
  </si>
  <si>
    <t>O14964_HGS</t>
  </si>
  <si>
    <t>O14965_AURKA</t>
  </si>
  <si>
    <t>O14974_PPP1R12A</t>
  </si>
  <si>
    <t>O14975-2_SLC27A2</t>
  </si>
  <si>
    <t>O14976_GAK</t>
  </si>
  <si>
    <t>O14979-3_HNRPDL</t>
  </si>
  <si>
    <t>O14980_XPO1</t>
  </si>
  <si>
    <t>O14981_BTAF1</t>
  </si>
  <si>
    <t>O15014_ZNF609</t>
  </si>
  <si>
    <t>O15015_ZNF646</t>
  </si>
  <si>
    <t>O15020_SPTBN2</t>
  </si>
  <si>
    <t>O15031_PLXNB2</t>
  </si>
  <si>
    <t>O15034_RIMBP2</t>
  </si>
  <si>
    <t>O15037_KHNYN</t>
  </si>
  <si>
    <t>O15040_TECPR2</t>
  </si>
  <si>
    <t>O15047_SETD1A</t>
  </si>
  <si>
    <t>O15066_KIF3B</t>
  </si>
  <si>
    <t>O15067_PFAS</t>
  </si>
  <si>
    <t>O15075-4_DCLK1</t>
  </si>
  <si>
    <t>O15083_ERC2</t>
  </si>
  <si>
    <t>O15084_ANKRD28</t>
  </si>
  <si>
    <t>O15091-2_KIAA0391</t>
  </si>
  <si>
    <t>O15111_CHUK</t>
  </si>
  <si>
    <t>O15116_LSM1</t>
  </si>
  <si>
    <t>O15118_NPC1</t>
  </si>
  <si>
    <t>O15120_AGPAT2</t>
  </si>
  <si>
    <t>O15121_DEGS1</t>
  </si>
  <si>
    <t>O15126_SCAMP1</t>
  </si>
  <si>
    <t>O15127_SCAMP2</t>
  </si>
  <si>
    <t>O15143_ARPC1B</t>
  </si>
  <si>
    <t>O15144_ARPC2</t>
  </si>
  <si>
    <t>O15145_ARPC3</t>
  </si>
  <si>
    <t>O15156_ZBTB7B</t>
  </si>
  <si>
    <t>O15160_POLR1C</t>
  </si>
  <si>
    <t>O15164-2_TRIM24</t>
  </si>
  <si>
    <t>O15169-2_AXIN1</t>
  </si>
  <si>
    <t>O15173_PGRMC2</t>
  </si>
  <si>
    <t>O15212_PFDN6</t>
  </si>
  <si>
    <t>O15213_WDR46</t>
  </si>
  <si>
    <t>O15217_GSTA4</t>
  </si>
  <si>
    <t>O15228_GNPAT</t>
  </si>
  <si>
    <t>O15230_LAMA5</t>
  </si>
  <si>
    <t>O15234_CASC3</t>
  </si>
  <si>
    <t>O15240_VGF</t>
  </si>
  <si>
    <t>O15258_RER1</t>
  </si>
  <si>
    <t>O15264_MAPK13</t>
  </si>
  <si>
    <t>O15269_SPTLC1</t>
  </si>
  <si>
    <t>O15270_SPTLC2</t>
  </si>
  <si>
    <t>O15294_OGT</t>
  </si>
  <si>
    <t>O15305_PMM2</t>
  </si>
  <si>
    <t>O15327_INPP4B</t>
  </si>
  <si>
    <t>O15344_MID1</t>
  </si>
  <si>
    <t>O15355_PPM1G</t>
  </si>
  <si>
    <t>O15357_INPPL1</t>
  </si>
  <si>
    <t>O15379_HDAC3</t>
  </si>
  <si>
    <t>O15382_BCAT2</t>
  </si>
  <si>
    <t>O15397_IPO8</t>
  </si>
  <si>
    <t>O15400-2_STX7</t>
  </si>
  <si>
    <t>O15405-2_TOX3</t>
  </si>
  <si>
    <t>O15427_SLC16A3</t>
  </si>
  <si>
    <t>O15439-2_ABCC4</t>
  </si>
  <si>
    <t>O15446_CD3EAP</t>
  </si>
  <si>
    <t>O15460-2_P4HA2</t>
  </si>
  <si>
    <t>O15498_YKT6</t>
  </si>
  <si>
    <t>O15511_ARPC5</t>
  </si>
  <si>
    <t>O15514_POLR2D</t>
  </si>
  <si>
    <t>O15541_RNF113A</t>
  </si>
  <si>
    <t>O15551_CLDN3</t>
  </si>
  <si>
    <t>O43143_DHX15</t>
  </si>
  <si>
    <t>O43148_RNMT</t>
  </si>
  <si>
    <t>O43150-2_ASAP2</t>
  </si>
  <si>
    <t>O43156_TTI1</t>
  </si>
  <si>
    <t>O43157-2_PLXNB1</t>
  </si>
  <si>
    <t>O43164-2_PJA2</t>
  </si>
  <si>
    <t>O43172-2_PRPF4</t>
  </si>
  <si>
    <t>O43175_PHGDH</t>
  </si>
  <si>
    <t>O43181_NDUFS4</t>
  </si>
  <si>
    <t>O43237_DYNC1LI2</t>
  </si>
  <si>
    <t>O43242_PSMD3</t>
  </si>
  <si>
    <t>O43252_PAPSS1</t>
  </si>
  <si>
    <t>O43264_ZW10</t>
  </si>
  <si>
    <t>O43278-2_SPINT1</t>
  </si>
  <si>
    <t>O43286_B4GALT5</t>
  </si>
  <si>
    <t>O43290_SART1</t>
  </si>
  <si>
    <t>O43291_SPINT2</t>
  </si>
  <si>
    <t>O43292_GPAA1</t>
  </si>
  <si>
    <t>O43298_ZBTB43</t>
  </si>
  <si>
    <t>O43314-2_PPIP5K2</t>
  </si>
  <si>
    <t>O43318-2_MAP3K7</t>
  </si>
  <si>
    <t>O43325_LYRM1</t>
  </si>
  <si>
    <t>O43353_RIPK2</t>
  </si>
  <si>
    <t>O43379_WDR62</t>
  </si>
  <si>
    <t>O43390_HNRNPR</t>
  </si>
  <si>
    <t>O43395_PRPF3</t>
  </si>
  <si>
    <t>O43396_TXNL1</t>
  </si>
  <si>
    <t>O43399-4_TPD52L2</t>
  </si>
  <si>
    <t>O43399-5_TPD52L2</t>
  </si>
  <si>
    <t>O43402_EMC8</t>
  </si>
  <si>
    <t>O43422_PRKRIR</t>
  </si>
  <si>
    <t>O43427-2_FIBP</t>
  </si>
  <si>
    <t>O43432_EIF4G3</t>
  </si>
  <si>
    <t>O43439-2_CBFA2T2</t>
  </si>
  <si>
    <t>O43464-3_HTRA2</t>
  </si>
  <si>
    <t>O43474-1_KLF4</t>
  </si>
  <si>
    <t>O43482_OIP5</t>
  </si>
  <si>
    <t>O43488_AKR7A2</t>
  </si>
  <si>
    <t>O43490-4_PROM1</t>
  </si>
  <si>
    <t>O43493-4_TGOLN2</t>
  </si>
  <si>
    <t>O43502_RAD51C</t>
  </si>
  <si>
    <t>O43504_LAMTOR5</t>
  </si>
  <si>
    <t>O43505_B3GNT1</t>
  </si>
  <si>
    <t>O43513_MED7</t>
  </si>
  <si>
    <t>O43520_ATP8B1</t>
  </si>
  <si>
    <t>O43524_FOXO3</t>
  </si>
  <si>
    <t>O43567_RNF13</t>
  </si>
  <si>
    <t>O43583_DENR</t>
  </si>
  <si>
    <t>O43592_XPOT</t>
  </si>
  <si>
    <t>O43597_SPRY2</t>
  </si>
  <si>
    <t>O43598_DNPH1</t>
  </si>
  <si>
    <t>O43615_TIMM44</t>
  </si>
  <si>
    <t>O43617_TRAPPC3</t>
  </si>
  <si>
    <t>O43633_CHMP2A</t>
  </si>
  <si>
    <t>O43639_NCK2</t>
  </si>
  <si>
    <t>O43657_TSPAN6</t>
  </si>
  <si>
    <t>O43663-2_PRC1</t>
  </si>
  <si>
    <t>O43676_NDUFB3</t>
  </si>
  <si>
    <t>O43677_NDUFC1</t>
  </si>
  <si>
    <t>O43678_NDUFA2</t>
  </si>
  <si>
    <t>O43681_ASNA1</t>
  </si>
  <si>
    <t>O43684_BUB3</t>
  </si>
  <si>
    <t>O43707_ACTN4</t>
  </si>
  <si>
    <t>O43709_WBSCR22</t>
  </si>
  <si>
    <t>O43715_TRIAP1</t>
  </si>
  <si>
    <t>O43719_HTATSF1</t>
  </si>
  <si>
    <t>O43752_STX6</t>
  </si>
  <si>
    <t>O43760_SYNGR2</t>
  </si>
  <si>
    <t>O43765_SGTA</t>
  </si>
  <si>
    <t>O43766_LIAS</t>
  </si>
  <si>
    <t>O43768-2_ENSA</t>
  </si>
  <si>
    <t>O43772_SLC25A20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</si>
  <si>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</si>
  <si>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</si>
  <si>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</si>
  <si>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</si>
  <si>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</si>
  <si>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</si>
  <si>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</si>
  <si>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O43820-4_HYAL3</t>
  </si>
  <si>
    <t>O43823_AKAP8</t>
  </si>
  <si>
    <t>O43826_SLC37A4</t>
  </si>
  <si>
    <t>O43829_ZBTB14</t>
  </si>
  <si>
    <t>O43837_IDH3B</t>
  </si>
  <si>
    <t>O43852_CALU</t>
  </si>
  <si>
    <t>O43865_AHCYL1</t>
  </si>
  <si>
    <t>O43909_EXTL3</t>
  </si>
  <si>
    <t>O43913_ORC5</t>
  </si>
  <si>
    <t>O43920_NDUFS5</t>
  </si>
  <si>
    <t>O43924_PDE6D</t>
  </si>
  <si>
    <t>O43933_PEX1</t>
  </si>
  <si>
    <t>O60216_RAD21</t>
  </si>
  <si>
    <t>O60218_AKR1B10</t>
  </si>
  <si>
    <t>O60220_TIMM8A</t>
  </si>
  <si>
    <t>O60231_DHX16</t>
  </si>
  <si>
    <t>O60239_SH3BP5</t>
  </si>
  <si>
    <t>O60256_PRPSAP2</t>
  </si>
  <si>
    <t>O60264_SMARCA5</t>
  </si>
  <si>
    <t>O60271-4_SPAG9</t>
  </si>
  <si>
    <t>O60292_SIPA1L3</t>
  </si>
  <si>
    <t>O60294_LCMT2</t>
  </si>
  <si>
    <t>O60299-2_LZTS3</t>
  </si>
  <si>
    <t>O60306_AQR</t>
  </si>
  <si>
    <t>O60313-2_OPA1</t>
  </si>
  <si>
    <t>O60331-4_PIP5K1C</t>
  </si>
  <si>
    <t>O60333-2_KIF1B</t>
  </si>
  <si>
    <t>O60341_KDM1A</t>
  </si>
  <si>
    <t>O60343-2_TBC1D4</t>
  </si>
  <si>
    <t>O60344-4_ECE2</t>
  </si>
  <si>
    <t>O60346_PHLPP1</t>
  </si>
  <si>
    <t>O60347_TBC1D12</t>
  </si>
  <si>
    <t>O60353-2_FZD6</t>
  </si>
  <si>
    <t>O60427_FADS1</t>
  </si>
  <si>
    <t>O60449-2_LY75</t>
  </si>
  <si>
    <t>O60476_MAN1A2</t>
  </si>
  <si>
    <t>O60486_PLXNC1</t>
  </si>
  <si>
    <t>O60487_MPZL2</t>
  </si>
  <si>
    <t>O60488-2_ACSL4</t>
  </si>
  <si>
    <t>O60493_SNX3</t>
  </si>
  <si>
    <t>O60502_MGEA5</t>
  </si>
  <si>
    <t>O60504-2_SORBS3</t>
  </si>
  <si>
    <t>O60506-3_SYNCRIP</t>
  </si>
  <si>
    <t>O60508_CDC40</t>
  </si>
  <si>
    <t>O60518_RANBP6</t>
  </si>
  <si>
    <t>O60524-4_NEMF</t>
  </si>
  <si>
    <t>O60547_GMDS</t>
  </si>
  <si>
    <t>O60551_NMT2</t>
  </si>
  <si>
    <t>O60563_CCNT1</t>
  </si>
  <si>
    <t>O60566-3_BUB1B</t>
  </si>
  <si>
    <t>O60568_PLOD3</t>
  </si>
  <si>
    <t>O60573_EIF4E2</t>
  </si>
  <si>
    <t>O60583-2_CCNT2</t>
  </si>
  <si>
    <t>O60613_SEP15</t>
  </si>
  <si>
    <t>O60635_TSPAN1</t>
  </si>
  <si>
    <t>O60645-3_EXOC3</t>
  </si>
  <si>
    <t>O60662_KLHL41</t>
  </si>
  <si>
    <t>O60664_PLIN3</t>
  </si>
  <si>
    <t>O60671_RAD1</t>
  </si>
  <si>
    <t>O60678_PRMT3</t>
  </si>
  <si>
    <t>O60701_UGDH</t>
  </si>
  <si>
    <t>O60716-5_CTNND1</t>
  </si>
  <si>
    <t>O60725_ICMT</t>
  </si>
  <si>
    <t>O60749_SNX2</t>
  </si>
  <si>
    <t>O60763_USO1</t>
  </si>
  <si>
    <t>O60825-2_PFKFB2</t>
  </si>
  <si>
    <t>O60826_CCDC22</t>
  </si>
  <si>
    <t>O60828_PQBP1</t>
  </si>
  <si>
    <t>O60830_TIMM17B</t>
  </si>
  <si>
    <t>O60831_PRAF2</t>
  </si>
  <si>
    <t>O60832_DKC1</t>
  </si>
  <si>
    <t>O60841_EIF5B</t>
  </si>
  <si>
    <t>O60869_EDF1</t>
  </si>
  <si>
    <t>O60870_KIN</t>
  </si>
  <si>
    <t>O60884_DNAJA2</t>
  </si>
  <si>
    <t>O60885_BRD4</t>
  </si>
  <si>
    <t>O60888-3_CUTA</t>
  </si>
  <si>
    <t>O60925_PFDN1</t>
  </si>
  <si>
    <t>O60927_PPP1R11</t>
  </si>
  <si>
    <t>O60934_NBN</t>
  </si>
  <si>
    <t>O60942_RNGTT</t>
  </si>
  <si>
    <t>O75027_ABCB7</t>
  </si>
  <si>
    <t>O75044_SRGAP2</t>
  </si>
  <si>
    <t>O75051_PLXNA2</t>
  </si>
  <si>
    <t>O75054_IGSF3</t>
  </si>
  <si>
    <t>O75063_FAM20B</t>
  </si>
  <si>
    <t>O75071_EFCAB14</t>
  </si>
  <si>
    <t>O75083_WDR1</t>
  </si>
  <si>
    <t>O75095_MEGF6</t>
  </si>
  <si>
    <t>O75096_LRP4</t>
  </si>
  <si>
    <t>O75110_ATP9A</t>
  </si>
  <si>
    <t>O75113_N4BP1</t>
  </si>
  <si>
    <t>O75116_ROCK2</t>
  </si>
  <si>
    <t>O75128-3_COBL</t>
  </si>
  <si>
    <t>O75131_CPNE3</t>
  </si>
  <si>
    <t>O75146_HIP1R</t>
  </si>
  <si>
    <t>O75150_RNF40</t>
  </si>
  <si>
    <t>O75152_ZC3H11A</t>
  </si>
  <si>
    <t>O75153_CLUH</t>
  </si>
  <si>
    <t>O75157-2_TSC22D2</t>
  </si>
  <si>
    <t>O75161_NPHP4</t>
  </si>
  <si>
    <t>O75164_KDM4A</t>
  </si>
  <si>
    <t>O75165_DNAJC13</t>
  </si>
  <si>
    <t>O75170-4_PPP6R2</t>
  </si>
  <si>
    <t>O75175_CNOT3</t>
  </si>
  <si>
    <t>O75177-2_SS18L1</t>
  </si>
  <si>
    <t>O75179-2_ANKRD17</t>
  </si>
  <si>
    <t>O75185_ATP2C2</t>
  </si>
  <si>
    <t>O75191_XYLB</t>
  </si>
  <si>
    <t>O75208_COQ9</t>
  </si>
  <si>
    <t>O75223_GGCT</t>
  </si>
  <si>
    <t>O75306_NDUFS2</t>
  </si>
  <si>
    <t>O75312_ZNF259</t>
  </si>
  <si>
    <t>O75323_GBAS</t>
  </si>
  <si>
    <t>O75330-2_HMMR</t>
  </si>
  <si>
    <t>O75340_PDCD6</t>
  </si>
  <si>
    <t>O75347_TBCA</t>
  </si>
  <si>
    <t>O75348_ATP6V1G1</t>
  </si>
  <si>
    <t>O75351_VPS4B</t>
  </si>
  <si>
    <t>O75355_ENTPD3</t>
  </si>
  <si>
    <t>O75362_ZNF217</t>
  </si>
  <si>
    <t>O75367-2_H2AFY</t>
  </si>
  <si>
    <t>O75368_SH3BGRL</t>
  </si>
  <si>
    <t>O75369-2_FLNB</t>
  </si>
  <si>
    <t>O75376_NCOR1</t>
  </si>
  <si>
    <t>O75379-2_VAMP4</t>
  </si>
  <si>
    <t>O75380_NDUFS6</t>
  </si>
  <si>
    <t>O75381-2_PEX14</t>
  </si>
  <si>
    <t>O75382-2_TRIM3</t>
  </si>
  <si>
    <t>O75391_SPAG7</t>
  </si>
  <si>
    <t>O75396_SEC22B</t>
  </si>
  <si>
    <t>O75400-3_PRPF40A</t>
  </si>
  <si>
    <t>O75419-2_CDC45</t>
  </si>
  <si>
    <t>O75420_GIGYF1</t>
  </si>
  <si>
    <t>O75427_LRCH4</t>
  </si>
  <si>
    <t>O75436_VPS26A</t>
  </si>
  <si>
    <t>O75438_NDUFB1</t>
  </si>
  <si>
    <t>O75439_PMPCB</t>
  </si>
  <si>
    <t>O75446_SAP30</t>
  </si>
  <si>
    <t>O75449_KATNA1</t>
  </si>
  <si>
    <t>O75460_ERN1</t>
  </si>
  <si>
    <t>O75475_PSIP1</t>
  </si>
  <si>
    <t>O75475-3_PSIP1</t>
  </si>
  <si>
    <t>O75477_ERLIN1</t>
  </si>
  <si>
    <t>O75487_GPC4</t>
  </si>
  <si>
    <t>O75489_NDUFS3</t>
  </si>
  <si>
    <t>O75503_CLN5</t>
  </si>
  <si>
    <t>O75506_HSBP1</t>
  </si>
  <si>
    <t>O75521-2_ECI2</t>
  </si>
  <si>
    <t>O75530-3_EED</t>
  </si>
  <si>
    <t>O75531_BANF1</t>
  </si>
  <si>
    <t>O75533_SF3B1</t>
  </si>
  <si>
    <t>O75534_CSDE1</t>
  </si>
  <si>
    <t>O75554_WBP4</t>
  </si>
  <si>
    <t>O75569-3_PRKRA</t>
  </si>
  <si>
    <t>O75570_MTRF1</t>
  </si>
  <si>
    <t>O75600_GCAT</t>
  </si>
  <si>
    <t>O75607_NPM3</t>
  </si>
  <si>
    <t>O75608-2_LYPLA1</t>
  </si>
  <si>
    <t>O75616_ERAL1</t>
  </si>
  <si>
    <t>O75629_CREG1</t>
  </si>
  <si>
    <t>O75643_SNRNP200</t>
  </si>
  <si>
    <t>O75663_TIPRL</t>
  </si>
  <si>
    <t>O75683_SURF6</t>
  </si>
  <si>
    <t>O75688_PPM1B</t>
  </si>
  <si>
    <t>O75691_UTP20</t>
  </si>
  <si>
    <t>O75717_WDHD1</t>
  </si>
  <si>
    <t>O75746_SLC25A12</t>
  </si>
  <si>
    <t>O75791_GRAP2</t>
  </si>
  <si>
    <t>O75792_RNASEH2A</t>
  </si>
  <si>
    <t>O75794_CDC123</t>
  </si>
  <si>
    <t>O75808_SOLH</t>
  </si>
  <si>
    <t>O75818-2_RPP40</t>
  </si>
  <si>
    <t>O75821_EIF3G</t>
  </si>
  <si>
    <t>O75822_EIF3J</t>
  </si>
  <si>
    <t>O75828_CBR3</t>
  </si>
  <si>
    <t>O75832_PSMD10</t>
  </si>
  <si>
    <t>O75844_ZMPSTE24</t>
  </si>
  <si>
    <t>O75845_SC5D</t>
  </si>
  <si>
    <t>O75865_TRAPPC6A</t>
  </si>
  <si>
    <t>O75874_IDH1</t>
  </si>
  <si>
    <t>O75882_ATRN</t>
  </si>
  <si>
    <t>O75884_RBBP9</t>
  </si>
  <si>
    <t>O75886_STAM2</t>
  </si>
  <si>
    <t>O75891_ALDH1L1</t>
  </si>
  <si>
    <t>O75896_TUSC2</t>
  </si>
  <si>
    <t>O75915_ARL6IP5</t>
  </si>
  <si>
    <t>O75934_BCAS2</t>
  </si>
  <si>
    <t>O75935_DCTN3</t>
  </si>
  <si>
    <t>O75937_DNAJC8</t>
  </si>
  <si>
    <t>O75940_SMNDC1</t>
  </si>
  <si>
    <t>O75947_ATP5H</t>
  </si>
  <si>
    <t>O75955_FLOT1</t>
  </si>
  <si>
    <t>O75962_TRIO</t>
  </si>
  <si>
    <t>O75964_ATP5L</t>
  </si>
  <si>
    <t>O75976_CPD</t>
  </si>
  <si>
    <t>O76003_GLRX3</t>
  </si>
  <si>
    <t>O76024_WFS1</t>
  </si>
  <si>
    <t>O76031_CLPX</t>
  </si>
  <si>
    <t>O76041-2_NEBL</t>
  </si>
  <si>
    <t>O76054-4_SEC14L2</t>
  </si>
  <si>
    <t>O76061_STC2</t>
  </si>
  <si>
    <t>O76070_SNCG</t>
  </si>
  <si>
    <t>O76071_CIAO1</t>
  </si>
  <si>
    <t>O76074-2_PDE5A</t>
  </si>
  <si>
    <t>O76075_DFFB</t>
  </si>
  <si>
    <t>O76080_ZFAND5</t>
  </si>
  <si>
    <t>O76094_SRP72</t>
  </si>
  <si>
    <t>O76095-2_JTB</t>
  </si>
  <si>
    <t>O77932_DOM3Z</t>
  </si>
  <si>
    <t>O94760_DDAH1</t>
  </si>
  <si>
    <t>O94763_URI1</t>
  </si>
  <si>
    <t>O94766_B3GAT3</t>
  </si>
  <si>
    <t>O94776_MTA2</t>
  </si>
  <si>
    <t>O94804_STK10</t>
  </si>
  <si>
    <t>O94826_TOMM70A</t>
  </si>
  <si>
    <t>O94829_IPO13</t>
  </si>
  <si>
    <t>O94830_DDHD2</t>
  </si>
  <si>
    <t>O94832_MYO1D</t>
  </si>
  <si>
    <t>O94851-6_MICAL2</t>
  </si>
  <si>
    <t>O94855_SEC24D</t>
  </si>
  <si>
    <t>O94864-2_SUPT7L</t>
  </si>
  <si>
    <t>O94874_UFL1</t>
  </si>
  <si>
    <t>O94875-12_SORBS2</t>
  </si>
  <si>
    <t>O94876_TMCC1</t>
  </si>
  <si>
    <t>O94880_PHF14</t>
  </si>
  <si>
    <t>O94880-2_PHF14</t>
  </si>
  <si>
    <t>O94888_UBXN7</t>
  </si>
  <si>
    <t>O94889_KLHL18</t>
  </si>
  <si>
    <t>O94903_PROSC</t>
  </si>
  <si>
    <t>O94906-2_PRPF6</t>
  </si>
  <si>
    <t>O94907_DKK1</t>
  </si>
  <si>
    <t>O94913_PCF11</t>
  </si>
  <si>
    <t>O94916-2_NFAT5</t>
  </si>
  <si>
    <t>O94925_GLS</t>
  </si>
  <si>
    <t>O94925-3_GLS</t>
  </si>
  <si>
    <t>O94941-2_UBOX5</t>
  </si>
  <si>
    <t>O94966-7_USP19</t>
  </si>
  <si>
    <t>O94967-4_WDR47</t>
  </si>
  <si>
    <t>O94973-2_AP2A2</t>
  </si>
  <si>
    <t>O94992_HEXIM1</t>
  </si>
  <si>
    <t>O95059_RPP14</t>
  </si>
  <si>
    <t>O95067_CCNB2</t>
  </si>
  <si>
    <t>O95081_AGFG2</t>
  </si>
  <si>
    <t>O95104-3_SCAF4</t>
  </si>
  <si>
    <t>O95139_NDUFB6</t>
  </si>
  <si>
    <t>O95140_MFN2</t>
  </si>
  <si>
    <t>O95155-2_UBE4B</t>
  </si>
  <si>
    <t>O95159_ZFPL1</t>
  </si>
  <si>
    <t>O95163_IKBKAP</t>
  </si>
  <si>
    <t>O95167_NDUFA3</t>
  </si>
  <si>
    <t>O95168_NDUFB4</t>
  </si>
  <si>
    <t>O95171-3_SCEL</t>
  </si>
  <si>
    <t>O95182_NDUFA7</t>
  </si>
  <si>
    <t>O95196-3_CSPG5</t>
  </si>
  <si>
    <t>O95197-2_RTN3</t>
  </si>
  <si>
    <t>O95202_LETM1</t>
  </si>
  <si>
    <t>O95218-2_ZRANB2</t>
  </si>
  <si>
    <t>O95219_SNX4</t>
  </si>
  <si>
    <t>O95229_ZWINT</t>
  </si>
  <si>
    <t>O95231_VENTX</t>
  </si>
  <si>
    <t>O95232_LUC7L3</t>
  </si>
  <si>
    <t>O95239_KIF4A</t>
  </si>
  <si>
    <t>O95273_CCNDBP1</t>
  </si>
  <si>
    <t>O95274_LYPD3</t>
  </si>
  <si>
    <t>O95292_VAPB</t>
  </si>
  <si>
    <t>O95295_SNAPIN</t>
  </si>
  <si>
    <t>O95297-2_MPZL1</t>
  </si>
  <si>
    <t>O95298-2_NDUFC2</t>
  </si>
  <si>
    <t>O95302_FKBP9</t>
  </si>
  <si>
    <t>O95336_PGLS</t>
  </si>
  <si>
    <t>O95347_SMC2</t>
  </si>
  <si>
    <t>O95352_ATG7</t>
  </si>
  <si>
    <t>O95363_FARS2</t>
  </si>
  <si>
    <t>O95365_ZBTB7A</t>
  </si>
  <si>
    <t>O95372_LYPLA2</t>
  </si>
  <si>
    <t>O95373_IPO7</t>
  </si>
  <si>
    <t>O95376_ARIH2</t>
  </si>
  <si>
    <t>O95391_SLU7</t>
  </si>
  <si>
    <t>O95394_PGM3</t>
  </si>
  <si>
    <t>O95396_MOCS3</t>
  </si>
  <si>
    <t>O95400_CD2BP2</t>
  </si>
  <si>
    <t>O95402_MED26</t>
  </si>
  <si>
    <t>O95405-3_ZFYVE9</t>
  </si>
  <si>
    <t>O95409_ZIC2</t>
  </si>
  <si>
    <t>O95425-2_SVIL</t>
  </si>
  <si>
    <t>O95429-2_BAG4</t>
  </si>
  <si>
    <t>O95433_AHSA1</t>
  </si>
  <si>
    <t>O95453-2_PARN</t>
  </si>
  <si>
    <t>O95455_TGDS</t>
  </si>
  <si>
    <t>O95456-2_PSMG1</t>
  </si>
  <si>
    <t>O95470_SGPL1</t>
  </si>
  <si>
    <t>O95471_CLDN7</t>
  </si>
  <si>
    <t>O95486_SEC24A</t>
  </si>
  <si>
    <t>O95487-2_SEC24B</t>
  </si>
  <si>
    <t>O95544_NADK</t>
  </si>
  <si>
    <t>O95551_TDP2</t>
  </si>
  <si>
    <t>O95571_ETHE1</t>
  </si>
  <si>
    <t>O95573_ACSL3</t>
  </si>
  <si>
    <t>O95602_POLR1A</t>
  </si>
  <si>
    <t>O95619_YEATS4</t>
  </si>
  <si>
    <t>O95620_DUS4L</t>
  </si>
  <si>
    <t>O95628-5_CNOT4</t>
  </si>
  <si>
    <t>O95630_STAMBP</t>
  </si>
  <si>
    <t>O95639-3_CPSF4</t>
  </si>
  <si>
    <t>O95671-2_ASMTL</t>
  </si>
  <si>
    <t>O95684_FGFR1OP</t>
  </si>
  <si>
    <t>O95707_POP4</t>
  </si>
  <si>
    <t>O95716_RAB3D</t>
  </si>
  <si>
    <t>O95721_SNAP29</t>
  </si>
  <si>
    <t>O95747_OXSR1</t>
  </si>
  <si>
    <t>O95749_GGPS1</t>
  </si>
  <si>
    <t>O95750_FGF19</t>
  </si>
  <si>
    <t>O95758-1_PTBP3</t>
  </si>
  <si>
    <t>O95777_NAA38</t>
  </si>
  <si>
    <t>O95782-2_AP2A1</t>
  </si>
  <si>
    <t>O95801_TTC4</t>
  </si>
  <si>
    <t>O95807_TMEM50A</t>
  </si>
  <si>
    <t>O95810_SDPR</t>
  </si>
  <si>
    <t>O95816_BAG2</t>
  </si>
  <si>
    <t>O95817_BAG3</t>
  </si>
  <si>
    <t>O95822_MLYCD</t>
  </si>
  <si>
    <t>O95825_CRYZL1</t>
  </si>
  <si>
    <t>O95831-3_AIFM1</t>
  </si>
  <si>
    <t>O95833_CLIC3</t>
  </si>
  <si>
    <t>O95834-2_EML2</t>
  </si>
  <si>
    <t>O95848_NUDT14</t>
  </si>
  <si>
    <t>O95857_TSPAN13</t>
  </si>
  <si>
    <t>O95861_BPNT1</t>
  </si>
  <si>
    <t>O95865_DDAH2</t>
  </si>
  <si>
    <t>O95873_C6orf47</t>
  </si>
  <si>
    <t>O95881_TXNDC12</t>
  </si>
  <si>
    <t>O95905_ECD</t>
  </si>
  <si>
    <t>O95926_SYF2</t>
  </si>
  <si>
    <t>O95983-2_MBD3</t>
  </si>
  <si>
    <t>O95985_TOP3B</t>
  </si>
  <si>
    <t>O95989_NUDT3</t>
  </si>
  <si>
    <t>O95999_BCL10</t>
  </si>
  <si>
    <t>O96000_NDUFB10</t>
  </si>
  <si>
    <t>O96007_MOCS2</t>
  </si>
  <si>
    <t>O96008_TOMM40</t>
  </si>
  <si>
    <t>O96011-2_PEX11B</t>
  </si>
  <si>
    <t>O96013_PAK4</t>
  </si>
  <si>
    <t>O96017_CHEK2</t>
  </si>
  <si>
    <t>O96018_APBA3</t>
  </si>
  <si>
    <t>O96019_ACTL6A</t>
  </si>
  <si>
    <t>O96033_MOCS2</t>
  </si>
  <si>
    <t>P00167-2_CYB5A</t>
  </si>
  <si>
    <t>P00338_LDHA</t>
  </si>
  <si>
    <t>P00352_ALDH1A1</t>
  </si>
  <si>
    <t>P00367_GLUD1</t>
  </si>
  <si>
    <t>P00374_DHFR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</si>
  <si>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</si>
  <si>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</si>
  <si>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</si>
  <si>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</si>
  <si>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</si>
  <si>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</si>
  <si>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</si>
  <si>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P00558_PGK1</t>
  </si>
  <si>
    <t>P00813_ADA</t>
  </si>
  <si>
    <t>P00918_CA2</t>
  </si>
  <si>
    <t>P00966_ASS1</t>
  </si>
  <si>
    <t>P01023_A2M</t>
  </si>
  <si>
    <t>P01034_CST3</t>
  </si>
  <si>
    <t>P01037_CST1</t>
  </si>
  <si>
    <t>P01111_NRAS</t>
  </si>
  <si>
    <t>P01112_HRAS</t>
  </si>
  <si>
    <t>P01116-2_KRAS</t>
  </si>
  <si>
    <t>P01137_TGFB1</t>
  </si>
  <si>
    <t>P01350_GAST</t>
  </si>
  <si>
    <t>P01833_PIGR</t>
  </si>
  <si>
    <t>P02144_MB</t>
  </si>
  <si>
    <t>P02545_LMNA</t>
  </si>
  <si>
    <t>P02545-2_LMNA</t>
  </si>
  <si>
    <t>P02549-2_SPTA1</t>
  </si>
  <si>
    <t>P02649_APOE</t>
  </si>
  <si>
    <t>P02786_TFRC</t>
  </si>
  <si>
    <t>P02787_TF</t>
  </si>
  <si>
    <t>P02792_FTL</t>
  </si>
  <si>
    <t>P02794_FTH1</t>
  </si>
  <si>
    <t>P02795_MT2A</t>
  </si>
  <si>
    <t>P03928_MT-ATP8</t>
  </si>
  <si>
    <t>P03973_SLPI</t>
  </si>
  <si>
    <t>P04040_CAT</t>
  </si>
  <si>
    <t>P04066_FUCA1</t>
  </si>
  <si>
    <t>P04075_ALDOA</t>
  </si>
  <si>
    <t>P04080_CSTB</t>
  </si>
  <si>
    <t>P04083_ANXA1</t>
  </si>
  <si>
    <t>P04181_OAT</t>
  </si>
  <si>
    <t>P04183_TK1</t>
  </si>
  <si>
    <t>P04350_TUBB4A</t>
  </si>
  <si>
    <t>P04406_GAPDH</t>
  </si>
  <si>
    <t>P04424_ASL</t>
  </si>
  <si>
    <t>P04632_CAPNS1</t>
  </si>
  <si>
    <t>P04792_HSPB1</t>
  </si>
  <si>
    <t>P04818_TYMS</t>
  </si>
  <si>
    <t>P04843_RPN1</t>
  </si>
  <si>
    <t>P04844_RPN2</t>
  </si>
  <si>
    <t>P04899_GNAI2</t>
  </si>
  <si>
    <t>P04920-2_SLC4A2</t>
  </si>
  <si>
    <t>P05023-4_ATP1A1</t>
  </si>
  <si>
    <t>P05060_CHGB</t>
  </si>
  <si>
    <t>P05067-7_APP</t>
  </si>
  <si>
    <t>P05091_ALDH2</t>
  </si>
  <si>
    <t>P05114_HMGN1</t>
  </si>
  <si>
    <t>P05141_SLC25A5</t>
  </si>
  <si>
    <t>P05161_ISG15</t>
  </si>
  <si>
    <t>P05165-2_PCCA</t>
  </si>
  <si>
    <t>P05198_EIF2S1</t>
  </si>
  <si>
    <t>P05204_HMGN2</t>
  </si>
  <si>
    <t>P05362_ICAM1</t>
  </si>
  <si>
    <t>P05386_RPLP1</t>
  </si>
  <si>
    <t>P05387_RPLP2</t>
  </si>
  <si>
    <t>P05388_RPLP0</t>
  </si>
  <si>
    <t>P05412_JUN</t>
  </si>
  <si>
    <t>P05413_FABP3</t>
  </si>
  <si>
    <t>P05455_SSB</t>
  </si>
  <si>
    <t>P05556_ITGB1</t>
  </si>
  <si>
    <t>P05783_KRT18</t>
  </si>
  <si>
    <t>P05976-2_MYL1</t>
  </si>
  <si>
    <t>P06132_UROD</t>
  </si>
  <si>
    <t>P06276_BCHE</t>
  </si>
  <si>
    <t>P06280_GLA</t>
  </si>
  <si>
    <t>P06396-2_GSN</t>
  </si>
  <si>
    <t>P06400_RB1</t>
  </si>
  <si>
    <t>P06493_CDK1</t>
  </si>
  <si>
    <t>P06576_ATP5B</t>
  </si>
  <si>
    <t>P06733_ENO1</t>
  </si>
  <si>
    <t>P06733-2_ENO1</t>
  </si>
  <si>
    <t>P06737_PYGL</t>
  </si>
  <si>
    <t>P06744_GPI</t>
  </si>
  <si>
    <t>P06748_NPM1</t>
  </si>
  <si>
    <t>P06748-3_NPM1</t>
  </si>
  <si>
    <t>P06753-3_TPM3</t>
  </si>
  <si>
    <t>P06756-3_ITGAV</t>
  </si>
  <si>
    <t>P07108_DBI</t>
  </si>
  <si>
    <t>P07195_LDHB</t>
  </si>
  <si>
    <t>P07199_CENPB</t>
  </si>
  <si>
    <t>P07203_GPX1</t>
  </si>
  <si>
    <t>P07205_PGK2</t>
  </si>
  <si>
    <t>P07237_P4HB</t>
  </si>
  <si>
    <t>P07305-2_H1F0</t>
  </si>
  <si>
    <t>P07339_CTSD</t>
  </si>
  <si>
    <t>P07355_ANXA2</t>
  </si>
  <si>
    <t>P07384_CAPN1</t>
  </si>
  <si>
    <t>P07686_HEXB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</si>
  <si>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</si>
  <si>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</si>
  <si>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</si>
  <si>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</si>
  <si>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</si>
  <si>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</si>
  <si>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</si>
  <si>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</si>
  <si>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P07948-2_LYN</t>
  </si>
  <si>
    <t>P07951_TPM2</t>
  </si>
  <si>
    <t>P07954-2_FH</t>
  </si>
  <si>
    <t>P08034_GJB1</t>
  </si>
  <si>
    <t>P08047_SP1</t>
  </si>
  <si>
    <t>P08107_HSPA1A</t>
  </si>
  <si>
    <t>P08237_PFKM</t>
  </si>
  <si>
    <t>P08238_HSP90AB1</t>
  </si>
  <si>
    <t>P08240_SRPR</t>
  </si>
  <si>
    <t>P08243-2_ASNS</t>
  </si>
  <si>
    <t>P08294_SOD3</t>
  </si>
  <si>
    <t>P08397-2_HMBS</t>
  </si>
  <si>
    <t>P08473_MME</t>
  </si>
  <si>
    <t>P08559_PDHA1</t>
  </si>
  <si>
    <t>P08574_CYC1</t>
  </si>
  <si>
    <t>P08579_SNRPB2</t>
  </si>
  <si>
    <t>P08621_SNRNP70</t>
  </si>
  <si>
    <t>P08754_GNAI3</t>
  </si>
  <si>
    <t>P08758_ANXA5</t>
  </si>
  <si>
    <t>P08910_ABHD2</t>
  </si>
  <si>
    <t>P09012_SNRPA</t>
  </si>
  <si>
    <t>P09038-2_FGF2</t>
  </si>
  <si>
    <t>P09104_ENO2</t>
  </si>
  <si>
    <t>P09110_ACAA1</t>
  </si>
  <si>
    <t>P09132_SRP19</t>
  </si>
  <si>
    <t>P09172_DBH</t>
  </si>
  <si>
    <t>P09211_GSTP1</t>
  </si>
  <si>
    <t>P09234_SNRPC</t>
  </si>
  <si>
    <t>P09382_LGALS1</t>
  </si>
  <si>
    <t>P09417_QDPR</t>
  </si>
  <si>
    <t>P09429_HMGB1</t>
  </si>
  <si>
    <t>P09467_FBP1</t>
  </si>
  <si>
    <t>P09493-10_TPM1</t>
  </si>
  <si>
    <t>P09493-3_TPM1</t>
  </si>
  <si>
    <t>P09496-2_CLTA</t>
  </si>
  <si>
    <t>P09497-2_CLTB</t>
  </si>
  <si>
    <t>P09525_ANXA4</t>
  </si>
  <si>
    <t>P09543-2_CNP</t>
  </si>
  <si>
    <t>P09601_HMOX1</t>
  </si>
  <si>
    <t>P09619_PDGFRB</t>
  </si>
  <si>
    <t>P09622_DLD</t>
  </si>
  <si>
    <t>P09661_SNRPA1</t>
  </si>
  <si>
    <t>P09669_COX6C</t>
  </si>
  <si>
    <t>P09874_PARP1</t>
  </si>
  <si>
    <t>P09960_LTA4H</t>
  </si>
  <si>
    <t>P09972_ALDOC</t>
  </si>
  <si>
    <t>P0C024_NUDT7</t>
  </si>
  <si>
    <t>P0C7P0_CISD3</t>
  </si>
  <si>
    <t>P0C7T5_ATXN1L</t>
  </si>
  <si>
    <t>P0C870_JMJD7</t>
  </si>
  <si>
    <t>P0CAP2_POLR2M</t>
  </si>
  <si>
    <t>P0CG12_CHTF8</t>
  </si>
  <si>
    <t>P0CW22_RPS17L</t>
  </si>
  <si>
    <t>P0DJ93_SMIM13</t>
  </si>
  <si>
    <t>P10109_FDX1</t>
  </si>
  <si>
    <t>P10114_RAP2A</t>
  </si>
  <si>
    <t>P10155_TROVE2</t>
  </si>
  <si>
    <t>P10176_COX8A</t>
  </si>
  <si>
    <t>P10253_GAA</t>
  </si>
  <si>
    <t>P10301_RRAS</t>
  </si>
  <si>
    <t>P10412_HIST1H1E</t>
  </si>
  <si>
    <t>P10515_DLAT</t>
  </si>
  <si>
    <t>P10586-2_PTPRF</t>
  </si>
  <si>
    <t>P10599_TXN</t>
  </si>
  <si>
    <t>P10606_COX5B</t>
  </si>
  <si>
    <t>P10619_CTSA</t>
  </si>
  <si>
    <t>P10636-5_MAPT</t>
  </si>
  <si>
    <t>P10643_C7</t>
  </si>
  <si>
    <t>P10644_PRKAR1A</t>
  </si>
  <si>
    <t>P10746_UROS</t>
  </si>
  <si>
    <t>P10768_ESD</t>
  </si>
  <si>
    <t>P10809_HSPD1</t>
  </si>
  <si>
    <t>P10909-4_CLU</t>
  </si>
  <si>
    <t>P11021_HSPA5</t>
  </si>
  <si>
    <t>P11047_LAMC1</t>
  </si>
  <si>
    <t>P11086_PNMT</t>
  </si>
  <si>
    <t>P11117_ACP2</t>
  </si>
  <si>
    <t>P11142_HSPA8</t>
  </si>
  <si>
    <t>P11166_SLC2A1</t>
  </si>
  <si>
    <t>P11171_EPB41</t>
  </si>
  <si>
    <t>P11171-2_EPB41</t>
  </si>
  <si>
    <t>P11172_UMPS</t>
  </si>
  <si>
    <t>P11177_PDHB</t>
  </si>
  <si>
    <t>P11182_DBT</t>
  </si>
  <si>
    <t>P11216_PYGB</t>
  </si>
  <si>
    <t>P11233_RALA</t>
  </si>
  <si>
    <t>P11274_BCR</t>
  </si>
  <si>
    <t>P11279_LAMP1</t>
  </si>
  <si>
    <t>P11387_TOP1</t>
  </si>
  <si>
    <t>P11388_TOP2A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</si>
  <si>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</si>
  <si>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</si>
  <si>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</si>
  <si>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</si>
  <si>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</si>
  <si>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</si>
  <si>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</si>
  <si>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P11908_PRPS2</t>
  </si>
  <si>
    <t>P11940-2_PABPC1</t>
  </si>
  <si>
    <t>P12004_PCNA</t>
  </si>
  <si>
    <t>P12081_HARS</t>
  </si>
  <si>
    <t>P12109_COL6A1</t>
  </si>
  <si>
    <t>P12235_SLC25A4</t>
  </si>
  <si>
    <t>P12236_SLC25A6</t>
  </si>
  <si>
    <t>P12268_IMPDH2</t>
  </si>
  <si>
    <t>P12270_TPR</t>
  </si>
  <si>
    <t>P12273_PIP</t>
  </si>
  <si>
    <t>P12277_CKB</t>
  </si>
  <si>
    <t>P12429_ANXA3</t>
  </si>
  <si>
    <t>P12532_CKMT1A</t>
  </si>
  <si>
    <t>P12755_SKI</t>
  </si>
  <si>
    <t>P12814-2_ACTN1</t>
  </si>
  <si>
    <t>P12830_CDH1</t>
  </si>
  <si>
    <t>P12955_PEPD</t>
  </si>
  <si>
    <t>P12956_XRCC6</t>
  </si>
  <si>
    <t>P13010_XRCC5</t>
  </si>
  <si>
    <t>P13051_UNG</t>
  </si>
  <si>
    <t>P13056_NR2C1</t>
  </si>
  <si>
    <t>P13073_COX4I1</t>
  </si>
  <si>
    <t>P13196_ALAS1</t>
  </si>
  <si>
    <t>P13284_IFI30</t>
  </si>
  <si>
    <t>P13489_RNH1</t>
  </si>
  <si>
    <t>P13498_CYBA</t>
  </si>
  <si>
    <t>P13521_SCG2</t>
  </si>
  <si>
    <t>P13639_EEF2</t>
  </si>
  <si>
    <t>P13667_PDIA4</t>
  </si>
  <si>
    <t>P13674_P4HA1</t>
  </si>
  <si>
    <t>P13674-2_P4HA1</t>
  </si>
  <si>
    <t>P13693_TPT1</t>
  </si>
  <si>
    <t>P13804_ETFA</t>
  </si>
  <si>
    <t>P13861_PRKAR2A</t>
  </si>
  <si>
    <t>P13929_ENO3</t>
  </si>
  <si>
    <t>P13984_GTF2F2</t>
  </si>
  <si>
    <t>P13995_MTHFD2</t>
  </si>
  <si>
    <t>P14174_MIF</t>
  </si>
  <si>
    <t>P14222_PRF1</t>
  </si>
  <si>
    <t>P14324-2_FDPS</t>
  </si>
  <si>
    <t>P14550_AKR1A1</t>
  </si>
  <si>
    <t>P14555_PLA2G2A</t>
  </si>
  <si>
    <t>P14618_PKM</t>
  </si>
  <si>
    <t>P14618-2_PKM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</si>
  <si>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</si>
  <si>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</si>
  <si>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</si>
  <si>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</si>
  <si>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</si>
  <si>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</si>
  <si>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</si>
  <si>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</si>
  <si>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P14923_JUP</t>
  </si>
  <si>
    <t>P14927_UQCRB</t>
  </si>
  <si>
    <t>P15104_GLUL</t>
  </si>
  <si>
    <t>P15144_ANPEP</t>
  </si>
  <si>
    <t>P15151-3_PVR</t>
  </si>
  <si>
    <t>P15170-2_GSPT1</t>
  </si>
  <si>
    <t>P15289_ARSA</t>
  </si>
  <si>
    <t>P15291-2_B4GALT1</t>
  </si>
  <si>
    <t>P15311_EZR</t>
  </si>
  <si>
    <t>P15374_UCHL3</t>
  </si>
  <si>
    <t>P15407_FOSL1</t>
  </si>
  <si>
    <t>P15529-7_CD46</t>
  </si>
  <si>
    <t>P15531_NME1</t>
  </si>
  <si>
    <t>P15848_ARSB</t>
  </si>
  <si>
    <t>P15880_RPS2</t>
  </si>
  <si>
    <t>P15924_DSP</t>
  </si>
  <si>
    <t>P15927_RPA2</t>
  </si>
  <si>
    <t>P15954_COX7C</t>
  </si>
  <si>
    <t>P16144-2_ITGB4</t>
  </si>
  <si>
    <t>P16152_CBR1</t>
  </si>
  <si>
    <t>P16188_HLA-A</t>
  </si>
  <si>
    <t>P16219_ACADS</t>
  </si>
  <si>
    <t>P16220-2_CREB1</t>
  </si>
  <si>
    <t>P16278-3_GLB1</t>
  </si>
  <si>
    <t>P16298_PPP3CB</t>
  </si>
  <si>
    <t>P16383_GCFC2</t>
  </si>
  <si>
    <t>P16401_HIST1H1B</t>
  </si>
  <si>
    <t>P16435_POR</t>
  </si>
  <si>
    <t>P16455_MGMT</t>
  </si>
  <si>
    <t>P16615_ATP2A2</t>
  </si>
  <si>
    <t>P16930_FAH</t>
  </si>
  <si>
    <t>P16949_STMN1</t>
  </si>
  <si>
    <t>P16989_YBX3</t>
  </si>
  <si>
    <t>P16989-2_YBX3</t>
  </si>
  <si>
    <t>P17026_ZNF22</t>
  </si>
  <si>
    <t>P17028_ZNF24</t>
  </si>
  <si>
    <t>P17039_ZNF30</t>
  </si>
  <si>
    <t>P17050_NAGA</t>
  </si>
  <si>
    <t>P17066_HSPA6</t>
  </si>
  <si>
    <t>P17096_HMGA1</t>
  </si>
  <si>
    <t>P17096-2_HMGA1</t>
  </si>
  <si>
    <t>P17152_TMEM11</t>
  </si>
  <si>
    <t>P17174_GOT1</t>
  </si>
  <si>
    <t>P17252_PRKCA</t>
  </si>
  <si>
    <t>P17275_JUNB</t>
  </si>
  <si>
    <t>P17301_ITGA2</t>
  </si>
  <si>
    <t>P17535_JUND</t>
  </si>
  <si>
    <t>P17568_NDUFB7</t>
  </si>
  <si>
    <t>P17612_PRKACA</t>
  </si>
  <si>
    <t>P17655_CAPN2</t>
  </si>
  <si>
    <t>P17706-2_PTPN2</t>
  </si>
  <si>
    <t>P17812_CTPS1</t>
  </si>
  <si>
    <t>P17858_PFKL</t>
  </si>
  <si>
    <t>P17900_GM2A</t>
  </si>
  <si>
    <t>P17931_LGALS3</t>
  </si>
  <si>
    <t>P17987_TCP1</t>
  </si>
  <si>
    <t>P18031_PTPN1</t>
  </si>
  <si>
    <t>P18065_IGFBP2</t>
  </si>
  <si>
    <t>P18085_ARF4</t>
  </si>
  <si>
    <t>P18124_RPL7</t>
  </si>
  <si>
    <t>P18146_EGR1</t>
  </si>
  <si>
    <t>P18206-2_VCL</t>
  </si>
  <si>
    <t>P18283_GPX2</t>
  </si>
  <si>
    <t>P18583-2_SON</t>
  </si>
  <si>
    <t>P18615_NELFE</t>
  </si>
  <si>
    <t>P18669_PGAM1</t>
  </si>
  <si>
    <t>P18754_RCC1</t>
  </si>
  <si>
    <t>P18827_SDC1</t>
  </si>
  <si>
    <t>P18846_ATF1</t>
  </si>
  <si>
    <t>P18858_LIG1</t>
  </si>
  <si>
    <t>P18859_ATP5J</t>
  </si>
  <si>
    <t>P19021-6_PAM</t>
  </si>
  <si>
    <t>P19174_PLCG1</t>
  </si>
  <si>
    <t>P19338_NCL</t>
  </si>
  <si>
    <t>P19367_HK1</t>
  </si>
  <si>
    <t>P19387_POLR2C</t>
  </si>
  <si>
    <t>P19388_POLR2E</t>
  </si>
  <si>
    <t>P19525_EIF2AK2</t>
  </si>
  <si>
    <t>P19623_SRM</t>
  </si>
  <si>
    <t>P19784_CSNK2A2</t>
  </si>
  <si>
    <t>P19838_NFKB1</t>
  </si>
  <si>
    <t>P20020-6_ATP2B1</t>
  </si>
  <si>
    <t>P20042_EIF2S2</t>
  </si>
  <si>
    <t>P20248_CCNA2</t>
  </si>
  <si>
    <t>P20290_BTF3</t>
  </si>
  <si>
    <t>P20290-2_BTF3</t>
  </si>
  <si>
    <t>P20309_CHRM3</t>
  </si>
  <si>
    <t>P20336_RAB3A</t>
  </si>
  <si>
    <t>P20338_RAB4A</t>
  </si>
  <si>
    <t>P20340_RAB6A</t>
  </si>
  <si>
    <t>P20340-2_RAB6A</t>
  </si>
  <si>
    <t>P20585_MSH3</t>
  </si>
  <si>
    <t>P20618_PSMB1</t>
  </si>
  <si>
    <t>P20645_M6PR</t>
  </si>
  <si>
    <t>P20674_COX5A</t>
  </si>
  <si>
    <t>P20700_LMNB1</t>
  </si>
  <si>
    <t>P20719_HOXA5</t>
  </si>
  <si>
    <t>P20810-5_CAST</t>
  </si>
  <si>
    <t>P20933_AGA</t>
  </si>
  <si>
    <t>P20962_PTMS</t>
  </si>
  <si>
    <t>P21127-8_CDK11B</t>
  </si>
  <si>
    <t>P21281_ATP6V1B2</t>
  </si>
  <si>
    <t>P21283_ATP6V1C1</t>
  </si>
  <si>
    <t>P21291_CSRP1</t>
  </si>
  <si>
    <t>P21333-2_FLNA</t>
  </si>
  <si>
    <t>P21359-2_NF1</t>
  </si>
  <si>
    <t>P21397_MAOA</t>
  </si>
  <si>
    <t>P21399_ACO1</t>
  </si>
  <si>
    <t>P21580_TNFAIP3</t>
  </si>
  <si>
    <t>P21583-2_KITLG</t>
  </si>
  <si>
    <t>P21695-2_GPD1</t>
  </si>
  <si>
    <t>P21796_VDAC1</t>
  </si>
  <si>
    <t>P21912_SDHB</t>
  </si>
  <si>
    <t>P21953_BCKDHB</t>
  </si>
  <si>
    <t>P21964-2_COMT</t>
  </si>
  <si>
    <t>P22033_MUT</t>
  </si>
  <si>
    <t>P22059_OSBP</t>
  </si>
  <si>
    <t>P22083_FUT4</t>
  </si>
  <si>
    <t>P22087_FBL</t>
  </si>
  <si>
    <t>P22102_GART</t>
  </si>
  <si>
    <t>P22234_PAICS</t>
  </si>
  <si>
    <t>P22304_IDS</t>
  </si>
  <si>
    <t>P22307-6_SCP2</t>
  </si>
  <si>
    <t>P22314_UBA1</t>
  </si>
  <si>
    <t>P22532_SPRR2D</t>
  </si>
  <si>
    <t>P22570_FDXR</t>
  </si>
  <si>
    <t>P22626_HNRNPA2B1</t>
  </si>
  <si>
    <t>P22681_CBL</t>
  </si>
  <si>
    <t>P22694_PRKACB</t>
  </si>
  <si>
    <t>P22695_UQCRC2</t>
  </si>
  <si>
    <t>P22830_FECH</t>
  </si>
  <si>
    <t>P23025_XPA</t>
  </si>
  <si>
    <t>P23141-3_CES1</t>
  </si>
  <si>
    <t>P23193_TCEA1</t>
  </si>
  <si>
    <t>P23246_SFPQ</t>
  </si>
  <si>
    <t>P23258_TUBG1</t>
  </si>
  <si>
    <t>P23280_CA6</t>
  </si>
  <si>
    <t>P23284_PPIB</t>
  </si>
  <si>
    <t>P23368_ME2</t>
  </si>
  <si>
    <t>P23381_WARS</t>
  </si>
  <si>
    <t>P23396_RPS3</t>
  </si>
  <si>
    <t>P23409_MYF6</t>
  </si>
  <si>
    <t>P23434_GCSH</t>
  </si>
  <si>
    <t>P23458_JAK1</t>
  </si>
  <si>
    <t>P23469-2_PTPRE</t>
  </si>
  <si>
    <t>P23470-2_PTPRG</t>
  </si>
  <si>
    <t>P23497_SP100</t>
  </si>
  <si>
    <t>P23511-2_NFYA</t>
  </si>
  <si>
    <t>P23526_AHCY</t>
  </si>
  <si>
    <t>P23528_CFL1</t>
  </si>
  <si>
    <t>P23610_F8A1</t>
  </si>
  <si>
    <t>P23786_CPT2</t>
  </si>
  <si>
    <t>P23919_DTYMK</t>
  </si>
  <si>
    <t>P23921_RRM1</t>
  </si>
  <si>
    <t>P24385_CCND1</t>
  </si>
  <si>
    <t>P24468_NR2F2</t>
  </si>
  <si>
    <t>P24534_EEF1B2</t>
  </si>
  <si>
    <t>P24593_IGFBP5</t>
  </si>
  <si>
    <t>P24666_ACP1</t>
  </si>
  <si>
    <t>P24666-2_ACP1</t>
  </si>
  <si>
    <t>P24752_ACAT1</t>
  </si>
  <si>
    <t>P24928_POLR2A</t>
  </si>
  <si>
    <t>P25054-2_APC</t>
  </si>
  <si>
    <t>P25098_ADRBK1</t>
  </si>
  <si>
    <t>P25205_MCM3</t>
  </si>
  <si>
    <t>P25311_AZGP1</t>
  </si>
  <si>
    <t>P25398_RPS12</t>
  </si>
  <si>
    <t>P25490_YY1</t>
  </si>
  <si>
    <t>P25685_DNAJB1</t>
  </si>
  <si>
    <t>P25705_ATP5A1</t>
  </si>
  <si>
    <t>P25705-2_ATP5A1</t>
  </si>
  <si>
    <t>P25786_PSMA1</t>
  </si>
  <si>
    <t>P25787_PSMA2</t>
  </si>
  <si>
    <t>P25788-2_PSMA3</t>
  </si>
  <si>
    <t>P25789_PSMA4</t>
  </si>
  <si>
    <t>P25815_S100P</t>
  </si>
  <si>
    <t>P26038_MSN</t>
  </si>
  <si>
    <t>P26196_DDX6</t>
  </si>
  <si>
    <t>P26358_DNMT1</t>
  </si>
  <si>
    <t>P26368-2_U2AF2</t>
  </si>
  <si>
    <t>P26373_RPL13</t>
  </si>
  <si>
    <t>P26440_IVD</t>
  </si>
  <si>
    <t>P26447_S100A4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</si>
  <si>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</si>
  <si>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</si>
  <si>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</si>
  <si>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</si>
  <si>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</si>
  <si>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</si>
  <si>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</si>
  <si>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P27338_MAOB</t>
  </si>
  <si>
    <t>P27348_YWHAQ</t>
  </si>
  <si>
    <t>P27361_MAPK3</t>
  </si>
  <si>
    <t>P27449_ATP6V0C</t>
  </si>
  <si>
    <t>P27482_CALML3</t>
  </si>
  <si>
    <t>P27540-2_ARNT</t>
  </si>
  <si>
    <t>P27635_RPL10</t>
  </si>
  <si>
    <t>P27694_RPA1</t>
  </si>
  <si>
    <t>P27695_APEX1</t>
  </si>
  <si>
    <t>P27797_CALR</t>
  </si>
  <si>
    <t>P27824_CANX</t>
  </si>
  <si>
    <t>P27986_PIK3R1</t>
  </si>
  <si>
    <t>P27987_ITPKB</t>
  </si>
  <si>
    <t>P28062-2_PSMB8</t>
  </si>
  <si>
    <t>P28066_PSMA5</t>
  </si>
  <si>
    <t>P28070_PSMB4</t>
  </si>
  <si>
    <t>P28072_PSMB6</t>
  </si>
  <si>
    <t>P28074_PSMB5</t>
  </si>
  <si>
    <t>P28331-4_NDUFS1</t>
  </si>
  <si>
    <t>P28482_MAPK1</t>
  </si>
  <si>
    <t>P28702_RXRB</t>
  </si>
  <si>
    <t>P28715_ERCC5</t>
  </si>
  <si>
    <t>P28799_GRN</t>
  </si>
  <si>
    <t>P28838-2_LAP3</t>
  </si>
  <si>
    <t>P29034_S100A2</t>
  </si>
  <si>
    <t>P29083_GTF2E1</t>
  </si>
  <si>
    <t>P29084_GTF2E2</t>
  </si>
  <si>
    <t>P29144_TPP2</t>
  </si>
  <si>
    <t>P29218_IMPA1</t>
  </si>
  <si>
    <t>P29317_EPHA2</t>
  </si>
  <si>
    <t>P29323-2_EPHB2</t>
  </si>
  <si>
    <t>P29350_PTPN6</t>
  </si>
  <si>
    <t>P29353-2_SHC1</t>
  </si>
  <si>
    <t>P29372-5_MPG</t>
  </si>
  <si>
    <t>P29373_CRABP2</t>
  </si>
  <si>
    <t>P29400_COL4A5</t>
  </si>
  <si>
    <t>P29401_TKT</t>
  </si>
  <si>
    <t>P29590-11_PML</t>
  </si>
  <si>
    <t>P29966_MARCKS</t>
  </si>
  <si>
    <t>P29992_GNA11</t>
  </si>
  <si>
    <t>P30038_ALDH4A1</t>
  </si>
  <si>
    <t>P30040_ERP29</t>
  </si>
  <si>
    <t>P30041_PRDX6</t>
  </si>
  <si>
    <t>P30042_C21orf33</t>
  </si>
  <si>
    <t>P30043_BLVRB</t>
  </si>
  <si>
    <t>P30044_PRDX5</t>
  </si>
  <si>
    <t>P30046_DDT</t>
  </si>
  <si>
    <t>P30047_GCHFR</t>
  </si>
  <si>
    <t>P30049_ATP5D</t>
  </si>
  <si>
    <t>P30050_RPL12</t>
  </si>
  <si>
    <t>P30084_ECHS1</t>
  </si>
  <si>
    <t>P30085_CMPK1</t>
  </si>
  <si>
    <t>P30086_PEBP1</t>
  </si>
  <si>
    <t>P30101_PDIA3</t>
  </si>
  <si>
    <t>P30153_PPP2R1A</t>
  </si>
  <si>
    <t>P30154_PPP2R1B</t>
  </si>
  <si>
    <t>P30260_CDC27</t>
  </si>
  <si>
    <t>P30281-3_CCND3</t>
  </si>
  <si>
    <t>P30291_WEE1</t>
  </si>
  <si>
    <t>P30405_PPIF</t>
  </si>
  <si>
    <t>P30414_NKTR</t>
  </si>
  <si>
    <t>P30419_NMT1</t>
  </si>
  <si>
    <t>P30443_HLA-A</t>
  </si>
  <si>
    <t>P30504_HLA-C</t>
  </si>
  <si>
    <t>P30508_HLA-C</t>
  </si>
  <si>
    <t>P30519_HMOX2</t>
  </si>
  <si>
    <t>P30520_ADSS</t>
  </si>
  <si>
    <t>P30533_LRPAP1</t>
  </si>
  <si>
    <t>P30566_ADSL</t>
  </si>
  <si>
    <t>P30622-2_CLIP1</t>
  </si>
  <si>
    <t>P30711_GSTT1</t>
  </si>
  <si>
    <t>P30740_SERPINB1</t>
  </si>
  <si>
    <t>P30825_SLC7A1</t>
  </si>
  <si>
    <t>P30837_ALDH1B1</t>
  </si>
  <si>
    <t>P30838_ALDH3A1</t>
  </si>
  <si>
    <t>P31040_SDHA</t>
  </si>
  <si>
    <t>P31146_CORO1A</t>
  </si>
  <si>
    <t>P31150_GDI1</t>
  </si>
  <si>
    <t>P31153_MAT2A</t>
  </si>
  <si>
    <t>P31321_PRKAR1B</t>
  </si>
  <si>
    <t>P31323_PRKAR2B</t>
  </si>
  <si>
    <t>P31350_RRM2</t>
  </si>
  <si>
    <t>P31641_SLC6A6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</si>
  <si>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</si>
  <si>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</si>
  <si>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</si>
  <si>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</si>
  <si>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</si>
  <si>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</si>
  <si>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</si>
  <si>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P31946_YWHAB</t>
  </si>
  <si>
    <t>P31947_SFN</t>
  </si>
  <si>
    <t>P31948_STIP1</t>
  </si>
  <si>
    <t>P31949_S100A11</t>
  </si>
  <si>
    <t>P32119_PRDX2</t>
  </si>
  <si>
    <t>P32121-5_ARRB2</t>
  </si>
  <si>
    <t>P32189-1_GK</t>
  </si>
  <si>
    <t>P32321-2_DCTD</t>
  </si>
  <si>
    <t>P32322_PYCR1</t>
  </si>
  <si>
    <t>P32519-2_ELF1</t>
  </si>
  <si>
    <t>P32780_GTF2H1</t>
  </si>
  <si>
    <t>P32929_CTH</t>
  </si>
  <si>
    <t>P32969_RPL9</t>
  </si>
  <si>
    <t>P33121_ACSL1</t>
  </si>
  <si>
    <t>P33176_KIF5B</t>
  </si>
  <si>
    <t>P33240-2_CSTF2</t>
  </si>
  <si>
    <t>P33241-2_LSP1</t>
  </si>
  <si>
    <t>P33316-2_DUT</t>
  </si>
  <si>
    <t>P33552_CKS2</t>
  </si>
  <si>
    <t>P33764_S100A3</t>
  </si>
  <si>
    <t>P33908_MAN1A1</t>
  </si>
  <si>
    <t>P33981-2_TTK</t>
  </si>
  <si>
    <t>P33991_MCM4</t>
  </si>
  <si>
    <t>P33992_MCM5</t>
  </si>
  <si>
    <t>P33993_MCM7</t>
  </si>
  <si>
    <t>P34059_GALNS</t>
  </si>
  <si>
    <t>P34896-2_SHMT1</t>
  </si>
  <si>
    <t>P34897-3_SHMT2</t>
  </si>
  <si>
    <t>P34932_HSPA4</t>
  </si>
  <si>
    <t>P34949_MPI</t>
  </si>
  <si>
    <t>P35219_CA8</t>
  </si>
  <si>
    <t>P35221_CTNNA1</t>
  </si>
  <si>
    <t>P35227_PCGF2</t>
  </si>
  <si>
    <t>P35232_PHB</t>
  </si>
  <si>
    <t>P35237_SERPINB6</t>
  </si>
  <si>
    <t>P35241_RDX</t>
  </si>
  <si>
    <t>P35244_RPA3</t>
  </si>
  <si>
    <t>P35250_RFC2</t>
  </si>
  <si>
    <t>P35251-2_RFC1</t>
  </si>
  <si>
    <t>P35268_RPL22</t>
  </si>
  <si>
    <t>P35269_GTF2F1</t>
  </si>
  <si>
    <t>P35270_SPR</t>
  </si>
  <si>
    <t>P35318_ADM</t>
  </si>
  <si>
    <t>P35475_IDUA</t>
  </si>
  <si>
    <t>P35573_AGL</t>
  </si>
  <si>
    <t>P35579_MYH9</t>
  </si>
  <si>
    <t>P35580_MYH10</t>
  </si>
  <si>
    <t>P35606_COPB2</t>
  </si>
  <si>
    <t>P35610_SOAT1</t>
  </si>
  <si>
    <t>P35611_ADD1</t>
  </si>
  <si>
    <t>P35613-2_BSG</t>
  </si>
  <si>
    <t>P35637-2_FUS</t>
  </si>
  <si>
    <t>P35658-2_NUP214</t>
  </si>
  <si>
    <t>P35659_DEK</t>
  </si>
  <si>
    <t>P35754_GLRX</t>
  </si>
  <si>
    <t>P35790_CHKA</t>
  </si>
  <si>
    <t>P35813_PPM1A</t>
  </si>
  <si>
    <t>P35998_PSMC2</t>
  </si>
  <si>
    <t>P36404_ARL2</t>
  </si>
  <si>
    <t>P36405_ARL3</t>
  </si>
  <si>
    <t>P36507_MAP2K2</t>
  </si>
  <si>
    <t>P36542_ATP5C1</t>
  </si>
  <si>
    <t>P36543_ATP6V1E1</t>
  </si>
  <si>
    <t>P36551_CPOX</t>
  </si>
  <si>
    <t>P36578_RPL4</t>
  </si>
  <si>
    <t>P36639-4_NUDT1</t>
  </si>
  <si>
    <t>P36871_PGM1</t>
  </si>
  <si>
    <t>P36873-2_PPP1CC</t>
  </si>
  <si>
    <t>P36915_GNL1</t>
  </si>
  <si>
    <t>P36952_SERPINB5</t>
  </si>
  <si>
    <t>P36954_POLR2I</t>
  </si>
  <si>
    <t>P36955_SERPINF1</t>
  </si>
  <si>
    <t>P36957_DLST</t>
  </si>
  <si>
    <t>P36959_GMPR</t>
  </si>
  <si>
    <t>P36969-2_GPX4</t>
  </si>
  <si>
    <t>P37108_SRP14</t>
  </si>
  <si>
    <t>P37198_NUP62</t>
  </si>
  <si>
    <t>P37235_HPCAL1</t>
  </si>
  <si>
    <t>P37268_FDFT1</t>
  </si>
  <si>
    <t>P37802_TAGLN2</t>
  </si>
  <si>
    <t>P37837_TALDO1</t>
  </si>
  <si>
    <t>P38117_ETFB</t>
  </si>
  <si>
    <t>P38159_RBMX</t>
  </si>
  <si>
    <t>P38432_COIL</t>
  </si>
  <si>
    <t>P38435_GGCX</t>
  </si>
  <si>
    <t>P38571-2_LIPA</t>
  </si>
  <si>
    <t>P38606_ATP6V1A</t>
  </si>
  <si>
    <t>P38646_HSPA9</t>
  </si>
  <si>
    <t>P38919_EIF4A3</t>
  </si>
  <si>
    <t>P38935_IGHMBP2</t>
  </si>
  <si>
    <t>P39019_RPS19</t>
  </si>
  <si>
    <t>P39023_RPL3</t>
  </si>
  <si>
    <t>P39656_DDOST</t>
  </si>
  <si>
    <t>P39687_ANP32A</t>
  </si>
  <si>
    <t>P39748_FEN1</t>
  </si>
  <si>
    <t>P39880-3_CUX1</t>
  </si>
  <si>
    <t>P40222_TXLNA</t>
  </si>
  <si>
    <t>P40227_CCT6A</t>
  </si>
  <si>
    <t>P40692_MLH1</t>
  </si>
  <si>
    <t>P40763_STAT3</t>
  </si>
  <si>
    <t>P40818_USP8</t>
  </si>
  <si>
    <t>P40925_MDH1</t>
  </si>
  <si>
    <t>P40926_MDH2</t>
  </si>
  <si>
    <t>P40937_RFC5</t>
  </si>
  <si>
    <t>P40938-2_RFC3</t>
  </si>
  <si>
    <t>P40939_HADHA</t>
  </si>
  <si>
    <t>P41091_EIF2S3</t>
  </si>
  <si>
    <t>P41134_ID1</t>
  </si>
  <si>
    <t>P41182-2_BCL6</t>
  </si>
  <si>
    <t>P41208_CETN2</t>
  </si>
  <si>
    <t>P41214_EIF2D</t>
  </si>
  <si>
    <t>P41223_BUD31</t>
  </si>
  <si>
    <t>P41227_NAA10</t>
  </si>
  <si>
    <t>P41229-3_KDM5C</t>
  </si>
  <si>
    <t>P41240_CSK</t>
  </si>
  <si>
    <t>P41247_PNPLA4</t>
  </si>
  <si>
    <t>P41250_GARS</t>
  </si>
  <si>
    <t>P41252_IARS</t>
  </si>
  <si>
    <t>P41440-2_SLC19A1</t>
  </si>
  <si>
    <t>P41567_EIF1</t>
  </si>
  <si>
    <t>P41743_PRKCI</t>
  </si>
  <si>
    <t>P42025_ACTR1B</t>
  </si>
  <si>
    <t>P42126-2_ECI1</t>
  </si>
  <si>
    <t>P42166_TMPO</t>
  </si>
  <si>
    <t>P42167_TMPO</t>
  </si>
  <si>
    <t>P42167-2_TMPO</t>
  </si>
  <si>
    <t>P42224_STAT1</t>
  </si>
  <si>
    <t>P42226_STAT6</t>
  </si>
  <si>
    <t>P42285_SKIV2L2</t>
  </si>
  <si>
    <t>P42330_AKR1C3</t>
  </si>
  <si>
    <t>P42336_PIK3CA</t>
  </si>
  <si>
    <t>P42345_MTOR</t>
  </si>
  <si>
    <t>P42566_EPS15</t>
  </si>
  <si>
    <t>P42574_CASP3</t>
  </si>
  <si>
    <t>P42575_CASP2</t>
  </si>
  <si>
    <t>P42677_RPS27</t>
  </si>
  <si>
    <t>P42685_FRK</t>
  </si>
  <si>
    <t>P42695_NCAPD3</t>
  </si>
  <si>
    <t>P42704_LRPPRC</t>
  </si>
  <si>
    <t>P42765_ACAA2</t>
  </si>
  <si>
    <t>P42766_RPL35</t>
  </si>
  <si>
    <t>P42772_CDKN2B</t>
  </si>
  <si>
    <t>P42785_PRCP</t>
  </si>
  <si>
    <t>P42858_HTT</t>
  </si>
  <si>
    <t>P42892-3_ECE1</t>
  </si>
  <si>
    <t>P42898_MTHFR</t>
  </si>
  <si>
    <t>P43003-2_SLC1A3</t>
  </si>
  <si>
    <t>P43007_SLC1A4</t>
  </si>
  <si>
    <t>P43034_PAFAH1B1</t>
  </si>
  <si>
    <t>P43121_MCAM</t>
  </si>
  <si>
    <t>P43155-2_CRAT</t>
  </si>
  <si>
    <t>P43246_MSH2</t>
  </si>
  <si>
    <t>P43304_GPD2</t>
  </si>
  <si>
    <t>P43307_SSR1</t>
  </si>
  <si>
    <t>P43378_PTPN9</t>
  </si>
  <si>
    <t>P43405_SYK</t>
  </si>
  <si>
    <t>P43487_RANBP1</t>
  </si>
  <si>
    <t>P43490_NAMPT</t>
  </si>
  <si>
    <t>P43686_PSMC4</t>
  </si>
  <si>
    <t>P43897_TSFM</t>
  </si>
  <si>
    <t>P45877_PPIC</t>
  </si>
  <si>
    <t>P45880_VDAC2</t>
  </si>
  <si>
    <t>P45954_ACADSB</t>
  </si>
  <si>
    <t>P45973_CBX5</t>
  </si>
  <si>
    <t>P45974-2_USP5</t>
  </si>
  <si>
    <t>P45983-3_MAPK8</t>
  </si>
  <si>
    <t>P45984-3_MAPK9</t>
  </si>
  <si>
    <t>P45985_MAP2K4</t>
  </si>
  <si>
    <t>P46013_MKI67</t>
  </si>
  <si>
    <t>P46019_PHKA2</t>
  </si>
  <si>
    <t>P46060_RANGAP1</t>
  </si>
  <si>
    <t>P46063_RECQL</t>
  </si>
  <si>
    <t>P46087_NOP2</t>
  </si>
  <si>
    <t>P46100-2_ATRX</t>
  </si>
  <si>
    <t>P46108_CRK</t>
  </si>
  <si>
    <t>P46108-2_CRK</t>
  </si>
  <si>
    <t>P46109_CRKL</t>
  </si>
  <si>
    <t>P46199_MTIF2</t>
  </si>
  <si>
    <t>P46527_CDKN1B</t>
  </si>
  <si>
    <t>P46531_NOTCH1</t>
  </si>
  <si>
    <t>P46734_MAP2K3</t>
  </si>
  <si>
    <t>P46736-2_BRCC3</t>
  </si>
  <si>
    <t>P46777_RPL5</t>
  </si>
  <si>
    <t>P46778_RPL21</t>
  </si>
  <si>
    <t>P46781_RPS9</t>
  </si>
  <si>
    <t>P46783_RPS10</t>
  </si>
  <si>
    <t>P46926_GNPDA1</t>
  </si>
  <si>
    <t>P46937_YAP1</t>
  </si>
  <si>
    <t>P46939_UTRN</t>
  </si>
  <si>
    <t>P46940_IQGAP1</t>
  </si>
  <si>
    <t>P46976-2_GYG1</t>
  </si>
  <si>
    <t>P46977_STT3A</t>
  </si>
  <si>
    <t>P47712_PLA2G4A</t>
  </si>
  <si>
    <t>P47755_CAPZA2</t>
  </si>
  <si>
    <t>P47756-2_CAPZB</t>
  </si>
  <si>
    <t>P47813_EIF1AX</t>
  </si>
  <si>
    <t>P47897_QARS</t>
  </si>
  <si>
    <t>P47914_RPL29</t>
  </si>
  <si>
    <t>P47929_LGALS7</t>
  </si>
  <si>
    <t>P47985_UQCRFS1</t>
  </si>
  <si>
    <t>P48029_SLC6A8</t>
  </si>
  <si>
    <t>P48047_ATP5O</t>
  </si>
  <si>
    <t>P48059_LIMS1</t>
  </si>
  <si>
    <t>P48067-2_SLC6A9</t>
  </si>
  <si>
    <t>P48147_PREP</t>
  </si>
  <si>
    <t>P48163_ME1</t>
  </si>
  <si>
    <t>P48200_IREB2</t>
  </si>
  <si>
    <t>P48380-2_RFX3</t>
  </si>
  <si>
    <t>P48431_SOX2</t>
  </si>
  <si>
    <t>P48436_SOX9</t>
  </si>
  <si>
    <t>P48444_ARCN1</t>
  </si>
  <si>
    <t>P48449_LSS</t>
  </si>
  <si>
    <t>P48454-2_PPP3CC</t>
  </si>
  <si>
    <t>P48506_GCLC</t>
  </si>
  <si>
    <t>P48507_GCLM</t>
  </si>
  <si>
    <t>P48634_PRRC2A</t>
  </si>
  <si>
    <t>P48637_GSS</t>
  </si>
  <si>
    <t>P48643_CCT5</t>
  </si>
  <si>
    <t>P48651_PTDSS1</t>
  </si>
  <si>
    <t>P48723_HSPA13</t>
  </si>
  <si>
    <t>P48728_AMT</t>
  </si>
  <si>
    <t>P48729_CSNK1A1</t>
  </si>
  <si>
    <t>P48730-2_CSNK1D</t>
  </si>
  <si>
    <t>P48735_IDH2</t>
  </si>
  <si>
    <t>P48739_PITPNB</t>
  </si>
  <si>
    <t>P48960-2_CD97</t>
  </si>
  <si>
    <t>P49005_POLD2</t>
  </si>
  <si>
    <t>P49006_MARCKSL1</t>
  </si>
  <si>
    <t>P49069_CAMLG</t>
  </si>
  <si>
    <t>P49116_NR2C2</t>
  </si>
  <si>
    <t>P49137_MAPKAPK2</t>
  </si>
  <si>
    <t>P49189_ALDH9A1</t>
  </si>
  <si>
    <t>P49207_RPL34</t>
  </si>
  <si>
    <t>P49247_RPIA</t>
  </si>
  <si>
    <t>P49257_LMAN1</t>
  </si>
  <si>
    <t>P49321-3_NASP</t>
  </si>
  <si>
    <t>P49327_FASN</t>
  </si>
  <si>
    <t>P49336-2_CDK8</t>
  </si>
  <si>
    <t>P49354_FNTA</t>
  </si>
  <si>
    <t>P49366_DHPS</t>
  </si>
  <si>
    <t>P49368_CCT3</t>
  </si>
  <si>
    <t>P49406_MRPL19</t>
  </si>
  <si>
    <t>P49407-2_ARRB1</t>
  </si>
  <si>
    <t>P49411_TUFM</t>
  </si>
  <si>
    <t>P49419-2_ALDH7A1</t>
  </si>
  <si>
    <t>P49427_CDC34</t>
  </si>
  <si>
    <t>P49441_INPP1</t>
  </si>
  <si>
    <t>P49454_CENPF</t>
  </si>
  <si>
    <t>P49458_SRP9</t>
  </si>
  <si>
    <t>P49459_UBE2A</t>
  </si>
  <si>
    <t>P49585_PCYT1A</t>
  </si>
  <si>
    <t>P49588_AARS</t>
  </si>
  <si>
    <t>P49589-3_CARS</t>
  </si>
  <si>
    <t>P49591_SARS</t>
  </si>
  <si>
    <t>P49642_PRIM1</t>
  </si>
  <si>
    <t>P49643_PRIM2</t>
  </si>
  <si>
    <t>P49662_CASP4</t>
  </si>
  <si>
    <t>P49674_CSNK1E</t>
  </si>
  <si>
    <t>P49711-2_CTCF</t>
  </si>
  <si>
    <t>P49720_PSMB3</t>
  </si>
  <si>
    <t>P49721_PSMB2</t>
  </si>
  <si>
    <t>P49736_MCM2</t>
  </si>
  <si>
    <t>P49748-2_ACADVL</t>
  </si>
  <si>
    <t>P49750-4_YLPM1</t>
  </si>
  <si>
    <t>P49753_ACOT2</t>
  </si>
  <si>
    <t>P49755_TMED10</t>
  </si>
  <si>
    <t>P49756_RBM25</t>
  </si>
  <si>
    <t>P49757-4_NUMB</t>
  </si>
  <si>
    <t>P49770_EIF2B2</t>
  </si>
  <si>
    <t>P49773_HINT1</t>
  </si>
  <si>
    <t>P49789_FHIT</t>
  </si>
  <si>
    <t>P49790_NUP153</t>
  </si>
  <si>
    <t>P49792_RANBP2</t>
  </si>
  <si>
    <t>P49840_GSK3A</t>
  </si>
  <si>
    <t>P49841_GSK3B</t>
  </si>
  <si>
    <t>P49902_NT5C2</t>
  </si>
  <si>
    <t>P49903_SEPHS1</t>
  </si>
  <si>
    <t>P49914_MTHFS</t>
  </si>
  <si>
    <t>P49915_GMPS</t>
  </si>
  <si>
    <t>P49916_LIG3</t>
  </si>
  <si>
    <t>P49959_MRE11A</t>
  </si>
  <si>
    <t>P49961_ENTPD1</t>
  </si>
  <si>
    <t>P50053_KHK</t>
  </si>
  <si>
    <t>P50148_GNAQ</t>
  </si>
  <si>
    <t>P50151_GNG10</t>
  </si>
  <si>
    <t>P50213_IDH3A</t>
  </si>
  <si>
    <t>P50238_CRIP1</t>
  </si>
  <si>
    <t>P50336_PPOX</t>
  </si>
  <si>
    <t>P50402_EMD</t>
  </si>
  <si>
    <t>P50416-2_CPT1A</t>
  </si>
  <si>
    <t>P50452_SERPINB8</t>
  </si>
  <si>
    <t>P50453_SERPINB9</t>
  </si>
  <si>
    <t>P50454_SERPINH1</t>
  </si>
  <si>
    <t>P50502_ST13</t>
  </si>
  <si>
    <t>P50552_VASP</t>
  </si>
  <si>
    <t>P50570-4_DNM2</t>
  </si>
  <si>
    <t>P50579_METAP2</t>
  </si>
  <si>
    <t>P50583_NUDT2</t>
  </si>
  <si>
    <t>P50613_CDK7</t>
  </si>
  <si>
    <t>P50747_HLCS</t>
  </si>
  <si>
    <t>P50748_KNTC1</t>
  </si>
  <si>
    <t>P50750_CDK9</t>
  </si>
  <si>
    <t>P50895_BCAM</t>
  </si>
  <si>
    <t>P50897_PPT1</t>
  </si>
  <si>
    <t>P50990_CCT8</t>
  </si>
  <si>
    <t>P50991_CCT4</t>
  </si>
  <si>
    <t>P51116_FXR2</t>
  </si>
  <si>
    <t>P51148_RAB5C</t>
  </si>
  <si>
    <t>P51149_RAB7A</t>
  </si>
  <si>
    <t>P51151_RAB9A</t>
  </si>
  <si>
    <t>P51153_RAB13</t>
  </si>
  <si>
    <t>P51157_RAB28</t>
  </si>
  <si>
    <t>P51161_FABP6</t>
  </si>
  <si>
    <t>P51397_DAP</t>
  </si>
  <si>
    <t>P51398-2_DAP3</t>
  </si>
  <si>
    <t>P51452_DUSP3</t>
  </si>
  <si>
    <t>P51531-2_SMARCA2</t>
  </si>
  <si>
    <t>P51553_IDH3G</t>
  </si>
  <si>
    <t>P51570_GALK1</t>
  </si>
  <si>
    <t>P51571_SSR4</t>
  </si>
  <si>
    <t>P51572_BCAP31</t>
  </si>
  <si>
    <t>P51580_TPMT</t>
  </si>
  <si>
    <t>P51608_MECP2</t>
  </si>
  <si>
    <t>P51610-2_HCFC1</t>
  </si>
  <si>
    <t>P51648_ALDH3A2</t>
  </si>
  <si>
    <t>P51659_HSD17B4</t>
  </si>
  <si>
    <t>P51665_PSMD7</t>
  </si>
  <si>
    <t>P51687_SUOX</t>
  </si>
  <si>
    <t>P51688_SGSH</t>
  </si>
  <si>
    <t>P51787-2_KCNQ1</t>
  </si>
  <si>
    <t>P51790-4_CLCN3</t>
  </si>
  <si>
    <t>P51797_CLCN6</t>
  </si>
  <si>
    <t>P51798-2_CLCN7</t>
  </si>
  <si>
    <t>P51805_PLXNA3</t>
  </si>
  <si>
    <t>P51809_VAMP7</t>
  </si>
  <si>
    <t>P51812_RPS6KA3</t>
  </si>
  <si>
    <t>P51817_PRKX</t>
  </si>
  <si>
    <t>P51857-2_AKR1D1</t>
  </si>
  <si>
    <t>P51858_HDGF</t>
  </si>
  <si>
    <t>P51946_CCNH</t>
  </si>
  <si>
    <t>P51948-2_MNAT1</t>
  </si>
  <si>
    <t>P51970_NDUFA8</t>
  </si>
  <si>
    <t>P51991_HNRNPA3</t>
  </si>
  <si>
    <t>P52272-2_HNRNPM</t>
  </si>
  <si>
    <t>P52292_KPNA2</t>
  </si>
  <si>
    <t>P52294_KPNA1</t>
  </si>
  <si>
    <t>P52298_NCBP2</t>
  </si>
  <si>
    <t>P52306_RAP1GDS1</t>
  </si>
  <si>
    <t>P52564_MAP2K6</t>
  </si>
  <si>
    <t>P52565_ARHGDIA</t>
  </si>
  <si>
    <t>P52597_HNRNPF</t>
  </si>
  <si>
    <t>P52630-4_STAT2</t>
  </si>
  <si>
    <t>P52655_GTF2A1</t>
  </si>
  <si>
    <t>P52657_GTF2A2</t>
  </si>
  <si>
    <t>P52701_MSH6</t>
  </si>
  <si>
    <t>P52732_KIF11</t>
  </si>
  <si>
    <t>P52756_RBM5</t>
  </si>
  <si>
    <t>P52758_HRSP12</t>
  </si>
  <si>
    <t>P52788_SMS</t>
  </si>
  <si>
    <t>P52789_HK2</t>
  </si>
  <si>
    <t>P52798-2_EFNA4</t>
  </si>
  <si>
    <t>P52799_EFNB2</t>
  </si>
  <si>
    <t>P52888_THOP1</t>
  </si>
  <si>
    <t>P52907_CAPZA1</t>
  </si>
  <si>
    <t>P52943_CRIP2</t>
  </si>
  <si>
    <t>P52948-6_NUP98</t>
  </si>
  <si>
    <t>P53004_BLVRA</t>
  </si>
  <si>
    <t>P53007_SLC25A1</t>
  </si>
  <si>
    <t>P53350_PLK1</t>
  </si>
  <si>
    <t>P53365_ARFIP2</t>
  </si>
  <si>
    <t>P53367_ARFIP1</t>
  </si>
  <si>
    <t>P53367-2_ARFIP1</t>
  </si>
  <si>
    <t>P53370_NUDT6</t>
  </si>
  <si>
    <t>P53384-2_NUBP1</t>
  </si>
  <si>
    <t>P53396_ACLY</t>
  </si>
  <si>
    <t>P53567_CEBPG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</si>
  <si>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</si>
  <si>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</si>
  <si>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</si>
  <si>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</si>
  <si>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</si>
  <si>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</si>
  <si>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</si>
  <si>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</si>
  <si>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P53677_AP3M2</t>
  </si>
  <si>
    <t>P53701_HCCS</t>
  </si>
  <si>
    <t>P53778_MAPK12</t>
  </si>
  <si>
    <t>P53794_SLC5A3</t>
  </si>
  <si>
    <t>P53803_POLR2K</t>
  </si>
  <si>
    <t>P53814-5_SMTN</t>
  </si>
  <si>
    <t>P53985_SLC16A1</t>
  </si>
  <si>
    <t>P53990-2_IST1</t>
  </si>
  <si>
    <t>P53992_SEC24C</t>
  </si>
  <si>
    <t>P53999_SUB1</t>
  </si>
  <si>
    <t>P54098_POLG</t>
  </si>
  <si>
    <t>P54136_RARS</t>
  </si>
  <si>
    <t>P54136-2_RARS</t>
  </si>
  <si>
    <t>P54259_ATN1</t>
  </si>
  <si>
    <t>P54577_YARS</t>
  </si>
  <si>
    <t>P54578_USP14</t>
  </si>
  <si>
    <t>P54619-2_PRKAG1</t>
  </si>
  <si>
    <t>P54652_HSPA2</t>
  </si>
  <si>
    <t>P54709_ATP1B3</t>
  </si>
  <si>
    <t>P54727_RAD23B</t>
  </si>
  <si>
    <t>P54753_EPHB3</t>
  </si>
  <si>
    <t>P54764_EPHA4</t>
  </si>
  <si>
    <t>P54802_NAGLU</t>
  </si>
  <si>
    <t>P54819_AK2</t>
  </si>
  <si>
    <t>P54886-2_ALDH18A1</t>
  </si>
  <si>
    <t>P54920_NAPA</t>
  </si>
  <si>
    <t>P55010_EIF5</t>
  </si>
  <si>
    <t>P55011-3_SLC12A2</t>
  </si>
  <si>
    <t>P55036_PSMD4</t>
  </si>
  <si>
    <t>P55039_DRG2</t>
  </si>
  <si>
    <t>P55060-3_CSE1L</t>
  </si>
  <si>
    <t>P55072_VCP</t>
  </si>
  <si>
    <t>P55081_MFAP1</t>
  </si>
  <si>
    <t>P55082-2_MFAP3</t>
  </si>
  <si>
    <t>P55145_MANF</t>
  </si>
  <si>
    <t>P55199_ELL</t>
  </si>
  <si>
    <t>P55210_CASP7</t>
  </si>
  <si>
    <t>P55211_CASP9</t>
  </si>
  <si>
    <t>P55212_CASP6</t>
  </si>
  <si>
    <t>P55263_ADK</t>
  </si>
  <si>
    <t>P55268_LAMB2</t>
  </si>
  <si>
    <t>P55273_CDKN2D</t>
  </si>
  <si>
    <t>P55327-2_TPD52</t>
  </si>
  <si>
    <t>P55735_SEC13</t>
  </si>
  <si>
    <t>P55789_GFER</t>
  </si>
  <si>
    <t>P55795_HNRNPH2</t>
  </si>
  <si>
    <t>P55809_OXCT1</t>
  </si>
  <si>
    <t>P55884_EIF3B</t>
  </si>
  <si>
    <t>P55957_BID</t>
  </si>
  <si>
    <t>P56181_NDUFV3</t>
  </si>
  <si>
    <t>P56181-2_NDUFV3</t>
  </si>
  <si>
    <t>P56182_RRP1</t>
  </si>
  <si>
    <t>P56192_MARS</t>
  </si>
  <si>
    <t>P56199_ITGA1</t>
  </si>
  <si>
    <t>P56211_ARPP19</t>
  </si>
  <si>
    <t>P56270-2_MAZ</t>
  </si>
  <si>
    <t>P56277_CMC4</t>
  </si>
  <si>
    <t>P56378_MP68</t>
  </si>
  <si>
    <t>P56381_ATP5E</t>
  </si>
  <si>
    <t>P56385_ATP5I</t>
  </si>
  <si>
    <t>P56524_HDAC4</t>
  </si>
  <si>
    <t>P56537_EIF6</t>
  </si>
  <si>
    <t>P56545-2_CTBP2</t>
  </si>
  <si>
    <t>P56556_NDUFA6</t>
  </si>
  <si>
    <t>P56589_PEX3</t>
  </si>
  <si>
    <t>P56749_CLDN12</t>
  </si>
  <si>
    <t>P56937-3_HSD17B7</t>
  </si>
  <si>
    <t>P56945-5_BCAR1</t>
  </si>
  <si>
    <t>P56962_STX17</t>
  </si>
  <si>
    <t>P57054-3_PIGP</t>
  </si>
  <si>
    <t>P57076_C21orf59</t>
  </si>
  <si>
    <t>P57081-2_WDR4</t>
  </si>
  <si>
    <t>P57088_TMEM33</t>
  </si>
  <si>
    <t>P57105_SYNJ2BP</t>
  </si>
  <si>
    <t>P57682_KLF3</t>
  </si>
  <si>
    <t>P57735_RAB25</t>
  </si>
  <si>
    <t>P57737-3_CORO7</t>
  </si>
  <si>
    <t>P57740_NUP107</t>
  </si>
  <si>
    <t>P57772_EEFSEC</t>
  </si>
  <si>
    <t>P58546_MTPN</t>
  </si>
  <si>
    <t>P59998_ARPC4</t>
  </si>
  <si>
    <t>P60059_SEC61G</t>
  </si>
  <si>
    <t>P60174_TPI1</t>
  </si>
  <si>
    <t>P60228_EIF3E</t>
  </si>
  <si>
    <t>P60468_SEC61B</t>
  </si>
  <si>
    <t>P60484_PTEN</t>
  </si>
  <si>
    <t>P60510_PPP4C</t>
  </si>
  <si>
    <t>P60602_ROMO1</t>
  </si>
  <si>
    <t>P60604-2_UBE2G2</t>
  </si>
  <si>
    <t>P60709_ACTB</t>
  </si>
  <si>
    <t>P60763_RAC3</t>
  </si>
  <si>
    <t>P60842_EIF4A1</t>
  </si>
  <si>
    <t>P60866_RPS20</t>
  </si>
  <si>
    <t>P60891_PRPS1</t>
  </si>
  <si>
    <t>P60896_SHFM1</t>
  </si>
  <si>
    <t>P60903_S100A10</t>
  </si>
  <si>
    <t>P60953_CDC42</t>
  </si>
  <si>
    <t>P60981_DSTN</t>
  </si>
  <si>
    <t>P60983_GMFB</t>
  </si>
  <si>
    <t>P61006_RAB8A</t>
  </si>
  <si>
    <t>P61009_SPCS3</t>
  </si>
  <si>
    <t>P61011_SRP54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</si>
  <si>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</si>
  <si>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</si>
  <si>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</si>
  <si>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</si>
  <si>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</si>
  <si>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</si>
  <si>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</si>
  <si>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</si>
  <si>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</si>
  <si>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P61129_ZC3H6</t>
  </si>
  <si>
    <t>P61158_ACTR3</t>
  </si>
  <si>
    <t>P61160_ACTR2</t>
  </si>
  <si>
    <t>P61163_ACTR1A</t>
  </si>
  <si>
    <t>P61201_COPS2</t>
  </si>
  <si>
    <t>P61204_ARF3</t>
  </si>
  <si>
    <t>P61218_POLR2F</t>
  </si>
  <si>
    <t>P61221_ABCE1</t>
  </si>
  <si>
    <t>P61224_RAP1B</t>
  </si>
  <si>
    <t>P61225_RAP2B</t>
  </si>
  <si>
    <t>P61244-2_MAX</t>
  </si>
  <si>
    <t>P61247_RPS3A</t>
  </si>
  <si>
    <t>P61254_RPL26</t>
  </si>
  <si>
    <t>P61289_PSME3</t>
  </si>
  <si>
    <t>P61326_MAGOH</t>
  </si>
  <si>
    <t>P61353_RPL27</t>
  </si>
  <si>
    <t>P61457_PCBD1</t>
  </si>
  <si>
    <t>P61586_RHOA</t>
  </si>
  <si>
    <t>P61599_NAA20</t>
  </si>
  <si>
    <t>P61601_NCALD</t>
  </si>
  <si>
    <t>P61604_HSPE1</t>
  </si>
  <si>
    <t>P61758_VBP1</t>
  </si>
  <si>
    <t>P61764_STXBP1</t>
  </si>
  <si>
    <t>P61769_B2M</t>
  </si>
  <si>
    <t>P61812_TGFB2</t>
  </si>
  <si>
    <t>P61927_RPL37</t>
  </si>
  <si>
    <t>P61962_DCAF7</t>
  </si>
  <si>
    <t>P61964_WDR5</t>
  </si>
  <si>
    <t>P61966_AP1S1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</si>
  <si>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</si>
  <si>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</si>
  <si>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</si>
  <si>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</si>
  <si>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</si>
  <si>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</si>
  <si>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</si>
  <si>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</si>
  <si>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P62191_PSMC1</t>
  </si>
  <si>
    <t>P62195-2_PSMC5</t>
  </si>
  <si>
    <t>P62241_RPS8</t>
  </si>
  <si>
    <t>P62249_RPS16</t>
  </si>
  <si>
    <t>P62253_UBE2G1</t>
  </si>
  <si>
    <t>P62258_YWHAE</t>
  </si>
  <si>
    <t>P62263_RPS14</t>
  </si>
  <si>
    <t>P62266_RPS23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</si>
  <si>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</si>
  <si>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</si>
  <si>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</si>
  <si>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</si>
  <si>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</si>
  <si>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</si>
  <si>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</si>
  <si>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</si>
  <si>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</si>
  <si>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</si>
  <si>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</si>
  <si>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P62324_BTG1</t>
  </si>
  <si>
    <t>P62328_TMSB4X</t>
  </si>
  <si>
    <t>P62330_ARF6</t>
  </si>
  <si>
    <t>P62333_PSMC6</t>
  </si>
  <si>
    <t>P62341_SELT</t>
  </si>
  <si>
    <t>P62380_TBPL1</t>
  </si>
  <si>
    <t>P62424_RPL7A</t>
  </si>
  <si>
    <t>P62487_POLR2G</t>
  </si>
  <si>
    <t>P62495_ETF1</t>
  </si>
  <si>
    <t>P62633-2_CNBP</t>
  </si>
  <si>
    <t>P62633-4_CNBP</t>
  </si>
  <si>
    <t>P62633-5_CNBP</t>
  </si>
  <si>
    <t>P62701_RPS4X</t>
  </si>
  <si>
    <t>P62714_PPP2CB</t>
  </si>
  <si>
    <t>P62745_RHOB</t>
  </si>
  <si>
    <t>P62750_RPL23A</t>
  </si>
  <si>
    <t>P62753_RPS6</t>
  </si>
  <si>
    <t>P62760_VSNL1</t>
  </si>
  <si>
    <t>P62805_HIST1H4A</t>
  </si>
  <si>
    <t>P62820_RAB1A</t>
  </si>
  <si>
    <t>P62829_RPL23</t>
  </si>
  <si>
    <t>P62834_RAP1A</t>
  </si>
  <si>
    <t>P62837_UBE2D2</t>
  </si>
  <si>
    <t>P62851_RPS25</t>
  </si>
  <si>
    <t>P62854_RPS26</t>
  </si>
  <si>
    <t>P62857_RPS28</t>
  </si>
  <si>
    <t>P62873_GNB1</t>
  </si>
  <si>
    <t>P62877_RBX1</t>
  </si>
  <si>
    <t>P62879_GNB2</t>
  </si>
  <si>
    <t>P62906_RPL10A</t>
  </si>
  <si>
    <t>P62913-2_RPL11</t>
  </si>
  <si>
    <t>P62917_RPL8</t>
  </si>
  <si>
    <t>P62937_PPIA</t>
  </si>
  <si>
    <t>P62942_FKBP1A</t>
  </si>
  <si>
    <t>P62979_RPS27A</t>
  </si>
  <si>
    <t>P62987_UBA52</t>
  </si>
  <si>
    <t>P62993_GRB2</t>
  </si>
  <si>
    <t>P62995-3_TRA2B</t>
  </si>
  <si>
    <t>P63000_RAC1</t>
  </si>
  <si>
    <t>P63010_AP2B1</t>
  </si>
  <si>
    <t>P63092-3_GNAS</t>
  </si>
  <si>
    <t>P63096_GNAI1</t>
  </si>
  <si>
    <t>P63104_YWHAZ</t>
  </si>
  <si>
    <t>P63151_PPP2R2A</t>
  </si>
  <si>
    <t>P63167_DYNLL1</t>
  </si>
  <si>
    <t>P63173_RPL38</t>
  </si>
  <si>
    <t>P63218_GNG5</t>
  </si>
  <si>
    <t>P63244_GNB2L1</t>
  </si>
  <si>
    <t>P63272_SUPT4H1</t>
  </si>
  <si>
    <t>P67775_PPP2CA</t>
  </si>
  <si>
    <t>P67809_YBX1</t>
  </si>
  <si>
    <t>P67936_TPM4</t>
  </si>
  <si>
    <t>P68036_UBE2L3</t>
  </si>
  <si>
    <t>P68104_EEF1A1</t>
  </si>
  <si>
    <t>P68133_ACTA1</t>
  </si>
  <si>
    <t>P68363_TUBA1B</t>
  </si>
  <si>
    <t>P68371_TUBB4B</t>
  </si>
  <si>
    <t>P68402_PAFAH1B2</t>
  </si>
  <si>
    <t>P68871_HBB</t>
  </si>
  <si>
    <t>P69905_HBA1</t>
  </si>
  <si>
    <t>P78310_CXADR</t>
  </si>
  <si>
    <t>P78316_NOP14</t>
  </si>
  <si>
    <t>P78318_IGBP1</t>
  </si>
  <si>
    <t>P78330_PSPH</t>
  </si>
  <si>
    <t>P78332_RBM6</t>
  </si>
  <si>
    <t>P78345_RPP38</t>
  </si>
  <si>
    <t>P78346_RPP30</t>
  </si>
  <si>
    <t>P78347-2_GTF2I</t>
  </si>
  <si>
    <t>P78356_PIP4K2B</t>
  </si>
  <si>
    <t>P78368_CSNK1G2</t>
  </si>
  <si>
    <t>P78371_CCT2</t>
  </si>
  <si>
    <t>P78406_RAE1</t>
  </si>
  <si>
    <t>P78417_GSTO1</t>
  </si>
  <si>
    <t>P78524_ST5</t>
  </si>
  <si>
    <t>P78527_PRKDC</t>
  </si>
  <si>
    <t>P78536_ADAM17</t>
  </si>
  <si>
    <t>P78540_ARG2</t>
  </si>
  <si>
    <t>P78549_NTHL1</t>
  </si>
  <si>
    <t>P80162_CXCL6</t>
  </si>
  <si>
    <t>P80217_IFI35</t>
  </si>
  <si>
    <t>P80294_MT1H</t>
  </si>
  <si>
    <t>P80297_MT1X</t>
  </si>
  <si>
    <t>P80303_NUCB2</t>
  </si>
  <si>
    <t>P80723_BASP1</t>
  </si>
  <si>
    <t>P81605_DCD</t>
  </si>
  <si>
    <t>P82094_TMF1</t>
  </si>
  <si>
    <t>P82664_MRPS10</t>
  </si>
  <si>
    <t>P82673_MRPS35</t>
  </si>
  <si>
    <t>P82909_MRPS36</t>
  </si>
  <si>
    <t>P82930_MRPS34</t>
  </si>
  <si>
    <t>P82933_MRPS9</t>
  </si>
  <si>
    <t>P82979_SARNP</t>
  </si>
  <si>
    <t>P83111_LACTB</t>
  </si>
  <si>
    <t>P83436_COG7</t>
  </si>
  <si>
    <t>P83731_RPL24</t>
  </si>
  <si>
    <t>P84085_ARF5</t>
  </si>
  <si>
    <t>P84090_ERH</t>
  </si>
  <si>
    <t>P84095_RHOG</t>
  </si>
  <si>
    <t>P84101-4_SERF2</t>
  </si>
  <si>
    <t>P84157_MXRA7</t>
  </si>
  <si>
    <t>P84157-2_MXRA7</t>
  </si>
  <si>
    <t>P85037_FOXK1</t>
  </si>
  <si>
    <t>P86397_RPP14</t>
  </si>
  <si>
    <t>P86791_CCZ1</t>
  </si>
  <si>
    <t>P98170_XIAP</t>
  </si>
  <si>
    <t>P98172_EFNB1</t>
  </si>
  <si>
    <t>P98173-3_FAM3A</t>
  </si>
  <si>
    <t>P98175-2_RBM10</t>
  </si>
  <si>
    <t>P98179_RBM3</t>
  </si>
  <si>
    <t>P98194-2_ATP2C1</t>
  </si>
  <si>
    <t>P99999_CYCS</t>
  </si>
  <si>
    <t>Q00059_TFAM</t>
  </si>
  <si>
    <t>Q00169_PITPNA</t>
  </si>
  <si>
    <t>Q00266_MAT1A</t>
  </si>
  <si>
    <t>Q00325-2_SLC25A3</t>
  </si>
  <si>
    <t>Q00341_HDLBP</t>
  </si>
  <si>
    <t>Q00403_GTF2B</t>
  </si>
  <si>
    <t>Q00534_CDK6</t>
  </si>
  <si>
    <t>Q00535_CDK5</t>
  </si>
  <si>
    <t>Q00577_PURA</t>
  </si>
  <si>
    <t>Q00587-2_CDC42EP1</t>
  </si>
  <si>
    <t>Q00610-2_CLTC</t>
  </si>
  <si>
    <t>Q00613-2_HSF1</t>
  </si>
  <si>
    <t>Q00653-4_NFKB2</t>
  </si>
  <si>
    <t>Q00688_FKBP3</t>
  </si>
  <si>
    <t>Q00765_REEP5</t>
  </si>
  <si>
    <t>Q00796_SORD</t>
  </si>
  <si>
    <t>Q00839-2_HNRNPU</t>
  </si>
  <si>
    <t>Q01081_U2AF1</t>
  </si>
  <si>
    <t>Q01082_SPTBN1</t>
  </si>
  <si>
    <t>Q01082-3_SPTBN1</t>
  </si>
  <si>
    <t>Q01085-2_TIAL1</t>
  </si>
  <si>
    <t>Q01105_SET</t>
  </si>
  <si>
    <t>Q01130_SRSF2</t>
  </si>
  <si>
    <t>Q01167_FOXK2</t>
  </si>
  <si>
    <t>Q01432-6_AMPD3</t>
  </si>
  <si>
    <t>Q01469_FABP5</t>
  </si>
  <si>
    <t>Q01518-2_CAP1</t>
  </si>
  <si>
    <t>Q01581_HMGCS1</t>
  </si>
  <si>
    <t>Q01650_SLC7A5</t>
  </si>
  <si>
    <t>Q01658_DR1</t>
  </si>
  <si>
    <t>Q01664_TFAP4</t>
  </si>
  <si>
    <t>Q01780-2_EXOSC10</t>
  </si>
  <si>
    <t>Q01813_PFKP</t>
  </si>
  <si>
    <t>Q01968-2_OCRL</t>
  </si>
  <si>
    <t>Q01970_PLCB3</t>
  </si>
  <si>
    <t>Q01995_TAGLN</t>
  </si>
  <si>
    <t>Q02083-2_NAAA</t>
  </si>
  <si>
    <t>Q02127_DHODH</t>
  </si>
  <si>
    <t>Q02156_PRKCE</t>
  </si>
  <si>
    <t>Q02241_KIF23</t>
  </si>
  <si>
    <t>Q02252_ALDH6A1</t>
  </si>
  <si>
    <t>Q02318_CYP27A1</t>
  </si>
  <si>
    <t>Q02338_BDH1</t>
  </si>
  <si>
    <t>Q02383_SEMG2</t>
  </si>
  <si>
    <t>Q02446_SP4</t>
  </si>
  <si>
    <t>Q02487-2_DSC2</t>
  </si>
  <si>
    <t>Q02543_RPL18A</t>
  </si>
  <si>
    <t>Q02742_GCNT1</t>
  </si>
  <si>
    <t>Q02750_MAP2K1</t>
  </si>
  <si>
    <t>Q02790_FKBP4</t>
  </si>
  <si>
    <t>Q02809_PLOD1</t>
  </si>
  <si>
    <t>Q02818_NUCB1</t>
  </si>
  <si>
    <t>Q02878_RPL6</t>
  </si>
  <si>
    <t>Q02880-2_TOP2B</t>
  </si>
  <si>
    <t>Q02952-3_AKAP12</t>
  </si>
  <si>
    <t>Q03001_DST</t>
  </si>
  <si>
    <t>Q03111_MLLT1</t>
  </si>
  <si>
    <t>Q03113_GNA12</t>
  </si>
  <si>
    <t>Q03154_ACY1</t>
  </si>
  <si>
    <t>Q03164-2_MLL</t>
  </si>
  <si>
    <t>Q03167-2_TGFBR3</t>
  </si>
  <si>
    <t>Q03169_TNFAIP2</t>
  </si>
  <si>
    <t>Q03393_PTS</t>
  </si>
  <si>
    <t>Q03519_TAP2</t>
  </si>
  <si>
    <t>Q03701_CEBPZ</t>
  </si>
  <si>
    <t>Q04446_GBE1</t>
  </si>
  <si>
    <t>Q04637-5_EIF4G1</t>
  </si>
  <si>
    <t>Q04656-5_ATP7A</t>
  </si>
  <si>
    <t>Q04721_NOTCH2</t>
  </si>
  <si>
    <t>Q04724_TLE1</t>
  </si>
  <si>
    <t>Q04726-5_TLE3</t>
  </si>
  <si>
    <t>Q04759_PRKCQ</t>
  </si>
  <si>
    <t>Q04760_GLO1</t>
  </si>
  <si>
    <t>Q04828_AKR1C1</t>
  </si>
  <si>
    <t>Q04837_SSBP1</t>
  </si>
  <si>
    <t>Q04917_YWHAH</t>
  </si>
  <si>
    <t>Q04941_PLP2</t>
  </si>
  <si>
    <t>Q05048_CSTF1</t>
  </si>
  <si>
    <t>Q05084_ICA1</t>
  </si>
  <si>
    <t>Q05086-3_UBE3A</t>
  </si>
  <si>
    <t>Q05193-5_DNM1</t>
  </si>
  <si>
    <t>Q05209_PTPN12</t>
  </si>
  <si>
    <t>Q05513_PRKCZ</t>
  </si>
  <si>
    <t>Q05519-2_SRSF11</t>
  </si>
  <si>
    <t>Q05655_PRKCD</t>
  </si>
  <si>
    <t>Q05682-5_CALD1</t>
  </si>
  <si>
    <t>Q05932-3_FPGS</t>
  </si>
  <si>
    <t>Q05BQ5-3_MBTD1</t>
  </si>
  <si>
    <t>Q06124-2_PTPN11</t>
  </si>
  <si>
    <t>Q06136_KDSR</t>
  </si>
  <si>
    <t>Q06203_PPAT</t>
  </si>
  <si>
    <t>Q06210-2_GFPT1</t>
  </si>
  <si>
    <t>Q06265_EXOSC9</t>
  </si>
  <si>
    <t>Q06323_PSME1</t>
  </si>
  <si>
    <t>Q06330-5_RBPJ</t>
  </si>
  <si>
    <t>Q06481_APLP2</t>
  </si>
  <si>
    <t>Q06546_GABPA</t>
  </si>
  <si>
    <t>Q06587_RING1</t>
  </si>
  <si>
    <t>Q06609-3_RAD51</t>
  </si>
  <si>
    <t>Q06787-8_FMR1</t>
  </si>
  <si>
    <t>Q06830_PRDX1</t>
  </si>
  <si>
    <t>Q07021_C1QBP</t>
  </si>
  <si>
    <t>Q07065_CKAP4</t>
  </si>
  <si>
    <t>Q07654_TFF3</t>
  </si>
  <si>
    <t>Q07666_KHDRBS1</t>
  </si>
  <si>
    <t>Q07812-5_BAX</t>
  </si>
  <si>
    <t>Q07866-6_KLC1</t>
  </si>
  <si>
    <t>Q07954_LRP1</t>
  </si>
  <si>
    <t>Q07960_ARHGAP1</t>
  </si>
  <si>
    <t>Q08170_SRSF4</t>
  </si>
  <si>
    <t>Q08209-2_PPP3CA</t>
  </si>
  <si>
    <t>Q08211_DHX9</t>
  </si>
  <si>
    <t>Q08257_CRYZ</t>
  </si>
  <si>
    <t>Q08357_SLC20A2</t>
  </si>
  <si>
    <t>Q08378_GOLGA3</t>
  </si>
  <si>
    <t>Q08379_GOLGA2</t>
  </si>
  <si>
    <t>Q08380_LGALS3BP</t>
  </si>
  <si>
    <t>Q08426_EHHADH</t>
  </si>
  <si>
    <t>Q08722_CD47</t>
  </si>
  <si>
    <t>Q08752_PPID</t>
  </si>
  <si>
    <t>Q08945_SSRP1</t>
  </si>
  <si>
    <t>Q08AF3_SLFN5</t>
  </si>
  <si>
    <t>Q08AG7_MZT1</t>
  </si>
  <si>
    <t>Q08AM6_VAC14</t>
  </si>
  <si>
    <t>Q08E86_KIAA0100</t>
  </si>
  <si>
    <t>Q08J23_NSUN2</t>
  </si>
  <si>
    <t>Q09028-3_RBBP4</t>
  </si>
  <si>
    <t>Q09161_NCBP1</t>
  </si>
  <si>
    <t>Q09328_MGAT5</t>
  </si>
  <si>
    <t>Q09472_EP300</t>
  </si>
  <si>
    <t>Q09666_AHNAK</t>
  </si>
  <si>
    <t>Q0D2K5_EGFEM1P</t>
  </si>
  <si>
    <t>Q0JRZ9_FCHO2</t>
  </si>
  <si>
    <t>Q0PNE2_ELP6</t>
  </si>
  <si>
    <t>Q0VDF9_HSPA14</t>
  </si>
  <si>
    <t>Q0VDG4-2_SCRN3</t>
  </si>
  <si>
    <t>Q0VG06_FAAP100</t>
  </si>
  <si>
    <t>Q0VGL1_LAMTOR4</t>
  </si>
  <si>
    <t>Q10469_MGAT2</t>
  </si>
  <si>
    <t>Q10471_GALNT2</t>
  </si>
  <si>
    <t>Q10567-3_AP1B1</t>
  </si>
  <si>
    <t>Q10570_CPSF1</t>
  </si>
  <si>
    <t>Q10713_PMPCA</t>
  </si>
  <si>
    <t>Q12765_SCRN1</t>
  </si>
  <si>
    <t>Q12768_KIAA0196</t>
  </si>
  <si>
    <t>Q12769_NUP160</t>
  </si>
  <si>
    <t>Q12770_SCAP</t>
  </si>
  <si>
    <t>Q12774_ARHGEF5</t>
  </si>
  <si>
    <t>Q12788_TBL3</t>
  </si>
  <si>
    <t>Q12789-3_GTF3C1</t>
  </si>
  <si>
    <t>Q12792_TWF1</t>
  </si>
  <si>
    <t>Q12797_ASPH</t>
  </si>
  <si>
    <t>Q12800-4_TFCP2</t>
  </si>
  <si>
    <t>Q12802-4_AKAP13</t>
  </si>
  <si>
    <t>Q12830-4_BPTF</t>
  </si>
  <si>
    <t>Q12834_CDC20</t>
  </si>
  <si>
    <t>Q12846_STX4</t>
  </si>
  <si>
    <t>Q12872_SFSWAP</t>
  </si>
  <si>
    <t>Q12874_SF3A3</t>
  </si>
  <si>
    <t>Q12888_TP53BP1</t>
  </si>
  <si>
    <t>Q12894_IFRD2</t>
  </si>
  <si>
    <t>Q12899_TRIM26</t>
  </si>
  <si>
    <t>Q12904_AIMP1</t>
  </si>
  <si>
    <t>Q12905_ILF2</t>
  </si>
  <si>
    <t>Q12906_ILF3</t>
  </si>
  <si>
    <t>Q12907_LMAN2</t>
  </si>
  <si>
    <t>Q12929_EPS8</t>
  </si>
  <si>
    <t>Q12933-3_TRAF2</t>
  </si>
  <si>
    <t>Q12955_ANK3</t>
  </si>
  <si>
    <t>Q12959-5_DLG1</t>
  </si>
  <si>
    <t>Q12962_TAF10</t>
  </si>
  <si>
    <t>Q12965_MYO1E</t>
  </si>
  <si>
    <t>Q12972_PPP1R8</t>
  </si>
  <si>
    <t>Q12981_BNIP1</t>
  </si>
  <si>
    <t>Q12986_NFX1</t>
  </si>
  <si>
    <t>Q12996_CSTF3</t>
  </si>
  <si>
    <t>Q13011_ECH1</t>
  </si>
  <si>
    <t>Q13017-2_ARHGAP5</t>
  </si>
  <si>
    <t>Q13033-2_STRN3</t>
  </si>
  <si>
    <t>Q13043_STK4</t>
  </si>
  <si>
    <t>Q13045_FLII</t>
  </si>
  <si>
    <t>Q13049_TRIM32</t>
  </si>
  <si>
    <t>Q13057_COASY</t>
  </si>
  <si>
    <t>Q13085-3_ACACA</t>
  </si>
  <si>
    <t>Q13098_GPS1</t>
  </si>
  <si>
    <t>Q13107-2_USP4</t>
  </si>
  <si>
    <t>Q13111_CHAF1A</t>
  </si>
  <si>
    <t>Q13112_CHAF1B</t>
  </si>
  <si>
    <t>Q13123_IK</t>
  </si>
  <si>
    <t>Q13126_MTAP</t>
  </si>
  <si>
    <t>Q13131_PRKAA1</t>
  </si>
  <si>
    <t>Q13136_PPFIA1</t>
  </si>
  <si>
    <t>Q13145_BAMBI</t>
  </si>
  <si>
    <t>Q13148_TARDBP</t>
  </si>
  <si>
    <t>Q13151_HNRNPA0</t>
  </si>
  <si>
    <t>Q13153_PAK1</t>
  </si>
  <si>
    <t>Q13155_AIMP2</t>
  </si>
  <si>
    <t>Q13158_FADD</t>
  </si>
  <si>
    <t>Q13162_PRDX4</t>
  </si>
  <si>
    <t>Q13164-3_MAPK7</t>
  </si>
  <si>
    <t>Q13177_PAK2</t>
  </si>
  <si>
    <t>Q13185_CBX3</t>
  </si>
  <si>
    <t>Q13188_STK3</t>
  </si>
  <si>
    <t>Q13200_PSMD2</t>
  </si>
  <si>
    <t>Q13206_DDX10</t>
  </si>
  <si>
    <t>Q13214-2_SEMA3B</t>
  </si>
  <si>
    <t>Q13216_ERCC8</t>
  </si>
  <si>
    <t>Q13217_DNAJC3</t>
  </si>
  <si>
    <t>Q13228_SELENBP1</t>
  </si>
  <si>
    <t>Q13232_NME3</t>
  </si>
  <si>
    <t>Q13242_SRSF9</t>
  </si>
  <si>
    <t>Q13243-3_SRSF5</t>
  </si>
  <si>
    <t>Q13247-3_SRSF6</t>
  </si>
  <si>
    <t>Q13257_MAD2L1</t>
  </si>
  <si>
    <t>Q13263_TRIM28</t>
  </si>
  <si>
    <t>Q13277-2_STX3</t>
  </si>
  <si>
    <t>Q13283_G3BP1</t>
  </si>
  <si>
    <t>Q13287_NMI</t>
  </si>
  <si>
    <t>Q13308_PTK7</t>
  </si>
  <si>
    <t>Q13309-2_SKP2</t>
  </si>
  <si>
    <t>Q13310-2_PABPC4</t>
  </si>
  <si>
    <t>Q13315_ATM</t>
  </si>
  <si>
    <t>Q13322-3_GRB10</t>
  </si>
  <si>
    <t>Q13330-3_MTA1</t>
  </si>
  <si>
    <t>Q13347_EIF3I</t>
  </si>
  <si>
    <t>Q13356_PPIL2</t>
  </si>
  <si>
    <t>Q13362-3_PPP2R5C</t>
  </si>
  <si>
    <t>Q13363_CTBP1</t>
  </si>
  <si>
    <t>Q13371_PDCL</t>
  </si>
  <si>
    <t>Q13395_TARBP1</t>
  </si>
  <si>
    <t>Q13405_MRPL49</t>
  </si>
  <si>
    <t>Q13409-3_DYNC1I2</t>
  </si>
  <si>
    <t>Q13416_ORC2</t>
  </si>
  <si>
    <t>Q13418_ILK</t>
  </si>
  <si>
    <t>Q13423_NNT</t>
  </si>
  <si>
    <t>Q13425_SNTB2</t>
  </si>
  <si>
    <t>Q13426_XRCC4</t>
  </si>
  <si>
    <t>Q13427_PPIG</t>
  </si>
  <si>
    <t>Q13428-3_TCOF1</t>
  </si>
  <si>
    <t>Q13432-2_UNC119</t>
  </si>
  <si>
    <t>Q13433_SLC39A6</t>
  </si>
  <si>
    <t>Q13435_SF3B2</t>
  </si>
  <si>
    <t>Q13438-4_OS9</t>
  </si>
  <si>
    <t>Q13439-3_GOLGA4</t>
  </si>
  <si>
    <t>Q13442_PDAP1</t>
  </si>
  <si>
    <t>Q13443_ADAM9</t>
  </si>
  <si>
    <t>Q13445_TMED1</t>
  </si>
  <si>
    <t>Q13451_FKBP5</t>
  </si>
  <si>
    <t>Q13464_ROCK1</t>
  </si>
  <si>
    <t>Q13488_TCIRG1</t>
  </si>
  <si>
    <t>Q13492-2_PICALM</t>
  </si>
  <si>
    <t>Q13496_MTM1</t>
  </si>
  <si>
    <t>Q13501_SQSTM1</t>
  </si>
  <si>
    <t>Q13505-3_MTX1</t>
  </si>
  <si>
    <t>Q13509_TUBB3</t>
  </si>
  <si>
    <t>Q13526_PIN1</t>
  </si>
  <si>
    <t>Q13535-3_ATR</t>
  </si>
  <si>
    <t>Q13541_EIF4EBP1</t>
  </si>
  <si>
    <t>Q13542_EIF4EBP2</t>
  </si>
  <si>
    <t>Q13546_RIPK1</t>
  </si>
  <si>
    <t>Q13547_HDAC1</t>
  </si>
  <si>
    <t>Q13564_NAE1</t>
  </si>
  <si>
    <t>Q13572_ITPK1</t>
  </si>
  <si>
    <t>Q13573_SNW1</t>
  </si>
  <si>
    <t>Q13586_STIM1</t>
  </si>
  <si>
    <t>Q13596_SNX1</t>
  </si>
  <si>
    <t>Q13601-2_KRR1</t>
  </si>
  <si>
    <t>Q13608_PEX6</t>
  </si>
  <si>
    <t>Q13614_MTMR2</t>
  </si>
  <si>
    <t>Q13616_CUL1</t>
  </si>
  <si>
    <t>Q13617_CUL2</t>
  </si>
  <si>
    <t>Q13618_CUL3</t>
  </si>
  <si>
    <t>Q13619_CUL4A</t>
  </si>
  <si>
    <t>Q13625-2_TP53BP2</t>
  </si>
  <si>
    <t>Q13630_TSTA3</t>
  </si>
  <si>
    <t>Q13641_TPBG</t>
  </si>
  <si>
    <t>Q13642-1_FHL1</t>
  </si>
  <si>
    <t>Q13643_FHL3</t>
  </si>
  <si>
    <t>Q13686_ALKBH1</t>
  </si>
  <si>
    <t>Q13724_MOGS</t>
  </si>
  <si>
    <t>Q13733_ATP1A4</t>
  </si>
  <si>
    <t>Q13740-2_ALCAM</t>
  </si>
  <si>
    <t>Q13751_LAMB3</t>
  </si>
  <si>
    <t>Q13753_LAMC2</t>
  </si>
  <si>
    <t>Q13769_THOC5</t>
  </si>
  <si>
    <t>Q13795_ARFRP1</t>
  </si>
  <si>
    <t>Q13813_SPTAN1</t>
  </si>
  <si>
    <t>Q13813-2_SPTAN1</t>
  </si>
  <si>
    <t>Q13825_AUH</t>
  </si>
  <si>
    <t>Q13867_BLMH</t>
  </si>
  <si>
    <t>Q13868_EXOSC2</t>
  </si>
  <si>
    <t>Q13884_SNTB1</t>
  </si>
  <si>
    <t>Q13885_TUBB2A</t>
  </si>
  <si>
    <t>Q13887_KLF5</t>
  </si>
  <si>
    <t>Q13895_BYSL</t>
  </si>
  <si>
    <t>Q13907_IDI1</t>
  </si>
  <si>
    <t>Q13951_CBFB</t>
  </si>
  <si>
    <t>Q13951-2_CBFB</t>
  </si>
  <si>
    <t>Q13952-3_NFYC</t>
  </si>
  <si>
    <t>Q13976_PRKG1</t>
  </si>
  <si>
    <t>Q14008-2_CKAP5</t>
  </si>
  <si>
    <t>Q14011_CIRBP</t>
  </si>
  <si>
    <t>Q14019_COTL1</t>
  </si>
  <si>
    <t>Q14050_COL9A3</t>
  </si>
  <si>
    <t>Q14061_COX17</t>
  </si>
  <si>
    <t>Q14103-3_HNRNPD</t>
  </si>
  <si>
    <t>Q14108_SCARB2</t>
  </si>
  <si>
    <t>Q14114-4_LRP8</t>
  </si>
  <si>
    <t>Q14118_DAG1</t>
  </si>
  <si>
    <t>Q14126_DSG2</t>
  </si>
  <si>
    <t>Q14135_VGLL4</t>
  </si>
  <si>
    <t>Q14137_BOP1</t>
  </si>
  <si>
    <t>Q14139_UBE4A</t>
  </si>
  <si>
    <t>Q14145_KEAP1</t>
  </si>
  <si>
    <t>Q14146_URB2</t>
  </si>
  <si>
    <t>Q14149_MORC3</t>
  </si>
  <si>
    <t>Q14151_SAFB2</t>
  </si>
  <si>
    <t>Q14152_EIF3A</t>
  </si>
  <si>
    <t>Q14157-1_UBAP2L</t>
  </si>
  <si>
    <t>Q14157-5_UBAP2L</t>
  </si>
  <si>
    <t>Q14160_SCRIB</t>
  </si>
  <si>
    <t>Q14165_MLEC</t>
  </si>
  <si>
    <t>Q14166_TTLL12</t>
  </si>
  <si>
    <t>Q14181_POLA2</t>
  </si>
  <si>
    <t>Q14186_TFDP1</t>
  </si>
  <si>
    <t>Q14191_WRN</t>
  </si>
  <si>
    <t>Q14195_DPYSL3</t>
  </si>
  <si>
    <t>Q14204_DYNC1H1</t>
  </si>
  <si>
    <t>Q14232_EIF2B1</t>
  </si>
  <si>
    <t>Q14240_EIF4A2</t>
  </si>
  <si>
    <t>Q14241_TCEB3</t>
  </si>
  <si>
    <t>Q14244_MAP7</t>
  </si>
  <si>
    <t>Q14247_CTTN</t>
  </si>
  <si>
    <t>Q14247-3_CTTN</t>
  </si>
  <si>
    <t>Q14249_ENDOG</t>
  </si>
  <si>
    <t>Q14254_FLOT2</t>
  </si>
  <si>
    <t>Q14257_RCN2</t>
  </si>
  <si>
    <t>Q14258_TRIM25</t>
  </si>
  <si>
    <t>Q14318-2_FKBP8</t>
  </si>
  <si>
    <t>Q14320_FAM50A</t>
  </si>
  <si>
    <t>Q14331_FRG1</t>
  </si>
  <si>
    <t>Q14344_GNA13</t>
  </si>
  <si>
    <t>Q14376_GALE</t>
  </si>
  <si>
    <t>Q14435_GALNT3</t>
  </si>
  <si>
    <t>Q14444-2_CAPRIN1</t>
  </si>
  <si>
    <t>Q14451_GRB7</t>
  </si>
  <si>
    <t>Q14457_BECN1</t>
  </si>
  <si>
    <t>Q14469_HES1</t>
  </si>
  <si>
    <t>Q14498-2_RBM39</t>
  </si>
  <si>
    <t>Q14508_WFDC2</t>
  </si>
  <si>
    <t>Q14511-3_NEDD9</t>
  </si>
  <si>
    <t>Q14520-2_HABP2</t>
  </si>
  <si>
    <t>Q14526_HIC1</t>
  </si>
  <si>
    <t>Q14534_SQLE</t>
  </si>
  <si>
    <t>Q14554_PDIA5</t>
  </si>
  <si>
    <t>Q14558-2_PRPSAP1</t>
  </si>
  <si>
    <t>Q14562_DHX8</t>
  </si>
  <si>
    <t>Q14566_MCM6</t>
  </si>
  <si>
    <t>Q14571_ITPR2</t>
  </si>
  <si>
    <t>Q14573_ITPR3</t>
  </si>
  <si>
    <t>Q14651_PLS1</t>
  </si>
  <si>
    <t>Q14653_IRF3</t>
  </si>
  <si>
    <t>Q14657_LAGE3</t>
  </si>
  <si>
    <t>Q14669-2_TRIP12</t>
  </si>
  <si>
    <t>Q14676_MDC1</t>
  </si>
  <si>
    <t>Q14677_CLINT1</t>
  </si>
  <si>
    <t>Q14678_KANK1</t>
  </si>
  <si>
    <t>Q14681_KCTD2</t>
  </si>
  <si>
    <t>Q14683_SMC1A</t>
  </si>
  <si>
    <t>Q14684-2_RRP1B</t>
  </si>
  <si>
    <t>Q14686_NCOA6</t>
  </si>
  <si>
    <t>Q14687-2_GSE1</t>
  </si>
  <si>
    <t>Q14691_GINS1</t>
  </si>
  <si>
    <t>Q14694_USP10</t>
  </si>
  <si>
    <t>Q14696_MESDC2</t>
  </si>
  <si>
    <t>Q14697_GANAB</t>
  </si>
  <si>
    <t>Q14699_RFTN1</t>
  </si>
  <si>
    <t>Q14739_LBR</t>
  </si>
  <si>
    <t>Q14746-2_COG2</t>
  </si>
  <si>
    <t>Q14789_GOLGB1</t>
  </si>
  <si>
    <t>Q14790_CASP8</t>
  </si>
  <si>
    <t>Q147X3_NAA30</t>
  </si>
  <si>
    <t>Q14802-2_FXYD3</t>
  </si>
  <si>
    <t>Q14807_KIF22</t>
  </si>
  <si>
    <t>Q14847_LASP1</t>
  </si>
  <si>
    <t>Q14849-2_STARD3</t>
  </si>
  <si>
    <t>Q14872_MTF1</t>
  </si>
  <si>
    <t>Q14914-2_PTGR1</t>
  </si>
  <si>
    <t>Q14964_RAB39A</t>
  </si>
  <si>
    <t>Q14966_ZNF638</t>
  </si>
  <si>
    <t>Q14974_KPNB1</t>
  </si>
  <si>
    <t>Q14978-2_NOLC1</t>
  </si>
  <si>
    <t>Q14978-3_NOLC1</t>
  </si>
  <si>
    <t>Q14980_NUMA1</t>
  </si>
  <si>
    <t>Q14997_PSME4</t>
  </si>
  <si>
    <t>Q14BN4-2_SLMAP</t>
  </si>
  <si>
    <t>Q14C86-6_GAPVD1</t>
  </si>
  <si>
    <t>Q14CM0_FRMPD4</t>
  </si>
  <si>
    <t>Q14CS0_UBXN2B</t>
  </si>
  <si>
    <t>Q14CX7_NAA25</t>
  </si>
  <si>
    <t>Q14CZ7_FASTKD3</t>
  </si>
  <si>
    <t>Q15003_NCAPH</t>
  </si>
  <si>
    <t>Q15004_KIAA0101</t>
  </si>
  <si>
    <t>Q15005_SPCS2</t>
  </si>
  <si>
    <t>Q15006_EMC2</t>
  </si>
  <si>
    <t>Q15007_WTAP</t>
  </si>
  <si>
    <t>Q15008_PSMD6</t>
  </si>
  <si>
    <t>Q15011-3_HERPUD1</t>
  </si>
  <si>
    <t>Q15012_LAPTM4A</t>
  </si>
  <si>
    <t>Q15013_MAD2L1BP</t>
  </si>
  <si>
    <t>Q15018_FAM175B</t>
  </si>
  <si>
    <t>Q15019_SEPT2</t>
  </si>
  <si>
    <t>Q15020_SART3</t>
  </si>
  <si>
    <t>Q15021_NCAPD2</t>
  </si>
  <si>
    <t>Q15024_EXOSC7</t>
  </si>
  <si>
    <t>Q15029-2_EFTUD2</t>
  </si>
  <si>
    <t>Q15031_LARS2</t>
  </si>
  <si>
    <t>Q15036-2_SNX17</t>
  </si>
  <si>
    <t>Q15042_RAB3GAP1</t>
  </si>
  <si>
    <t>Q15043-2_SLC39A14</t>
  </si>
  <si>
    <t>Q15046_KARS</t>
  </si>
  <si>
    <t>Q15047-3_SETDB1</t>
  </si>
  <si>
    <t>Q15050_RRS1</t>
  </si>
  <si>
    <t>Q15056_EIF4H</t>
  </si>
  <si>
    <t>Q15056-2_EIF4H</t>
  </si>
  <si>
    <t>Q15057_ACAP2</t>
  </si>
  <si>
    <t>Q15059_BRD3</t>
  </si>
  <si>
    <t>Q15061_WDR43</t>
  </si>
  <si>
    <t>Q15067-2_ACOX1</t>
  </si>
  <si>
    <t>Q15075_EEA1</t>
  </si>
  <si>
    <t>Q15102_PAFAH1B3</t>
  </si>
  <si>
    <t>Q15118_PDK1</t>
  </si>
  <si>
    <t>Q15120_PDK3</t>
  </si>
  <si>
    <t>Q15121_PEA15</t>
  </si>
  <si>
    <t>Q15125_EBP</t>
  </si>
  <si>
    <t>Q15126_PMVK</t>
  </si>
  <si>
    <t>Q15139_PRKD1</t>
  </si>
  <si>
    <t>Q15149-4_PLEC</t>
  </si>
  <si>
    <t>Q15155_NOMO1</t>
  </si>
  <si>
    <t>Q15166_PON3</t>
  </si>
  <si>
    <t>Q15170-2_TCEAL1</t>
  </si>
  <si>
    <t>Q15172_PPP2R5A</t>
  </si>
  <si>
    <t>Q15181_PPA1</t>
  </si>
  <si>
    <t>Q15208_STK38</t>
  </si>
  <si>
    <t>Q15223_PVRL1</t>
  </si>
  <si>
    <t>Q15233_NONO</t>
  </si>
  <si>
    <t>Q15257_PPP2R4</t>
  </si>
  <si>
    <t>Q15269_PWP2</t>
  </si>
  <si>
    <t>Q15274_QPRT</t>
  </si>
  <si>
    <t>Q15276_RABEP1</t>
  </si>
  <si>
    <t>Q15283-2_RASA2</t>
  </si>
  <si>
    <t>Q15286_RAB35</t>
  </si>
  <si>
    <t>Q15291_RBBP5</t>
  </si>
  <si>
    <t>Q15293_RCN1</t>
  </si>
  <si>
    <t>Q15311_RALBP1</t>
  </si>
  <si>
    <t>Q15334_LLGL1</t>
  </si>
  <si>
    <t>Q15345-3_LRRC41</t>
  </si>
  <si>
    <t>Q15363_TMED2</t>
  </si>
  <si>
    <t>Q15365_PCBP1</t>
  </si>
  <si>
    <t>Q15366_PCBP2</t>
  </si>
  <si>
    <t>Q15366-2_PCBP2</t>
  </si>
  <si>
    <t>Q15366-3_PCBP2</t>
  </si>
  <si>
    <t>Q15370_TCEB2</t>
  </si>
  <si>
    <t>Q15382_RHEB</t>
  </si>
  <si>
    <t>Q15386_UBE3C</t>
  </si>
  <si>
    <t>Q15393_SF3B3</t>
  </si>
  <si>
    <t>Q15398-3_DLGAP5</t>
  </si>
  <si>
    <t>Q15404_RSU1</t>
  </si>
  <si>
    <t>Q15417_CNN3</t>
  </si>
  <si>
    <t>Q15424_SAFB</t>
  </si>
  <si>
    <t>Q15428_SF3A2</t>
  </si>
  <si>
    <t>Q15435_PPP1R7</t>
  </si>
  <si>
    <t>Q15437_SEC23B</t>
  </si>
  <si>
    <t>Q15459_SF3A1</t>
  </si>
  <si>
    <t>Q15464_SHB</t>
  </si>
  <si>
    <t>Q15477_SKIV2L</t>
  </si>
  <si>
    <t>Q15506_SPA17</t>
  </si>
  <si>
    <t>Q15526-2_SURF1</t>
  </si>
  <si>
    <t>Q15527_SURF2</t>
  </si>
  <si>
    <t>Q15543_TAF13</t>
  </si>
  <si>
    <t>Q15545_TAF7</t>
  </si>
  <si>
    <t>Q15554_TERF2</t>
  </si>
  <si>
    <t>Q15555-4_MAPRE2</t>
  </si>
  <si>
    <t>Q15560-2_TCEA2</t>
  </si>
  <si>
    <t>Q15599_SLC9A3R2</t>
  </si>
  <si>
    <t>Q15628_TRADD</t>
  </si>
  <si>
    <t>Q15633-2_TARBP2</t>
  </si>
  <si>
    <t>Q15637-5_SF1</t>
  </si>
  <si>
    <t>Q15637-6_SF1</t>
  </si>
  <si>
    <t>Q15642_TRIP10</t>
  </si>
  <si>
    <t>Q15643_TRIP11</t>
  </si>
  <si>
    <t>Q15645_TRIP13</t>
  </si>
  <si>
    <t>Q15648_MED1</t>
  </si>
  <si>
    <t>Q15649_ZNHIT3</t>
  </si>
  <si>
    <t>Q15650_TRIP4</t>
  </si>
  <si>
    <t>Q15651_HMGN3</t>
  </si>
  <si>
    <t>Q15652-3_JMJD1C</t>
  </si>
  <si>
    <t>Q15654_TRIP6</t>
  </si>
  <si>
    <t>Q15691_MAPRE1</t>
  </si>
  <si>
    <t>Q15714_TSC22D1</t>
  </si>
  <si>
    <t>Q15717_ELAVL1</t>
  </si>
  <si>
    <t>Q15738_NSDHL</t>
  </si>
  <si>
    <t>Q15750-2_TAB1</t>
  </si>
  <si>
    <t>Q15758_SLC1A5</t>
  </si>
  <si>
    <t>Q15771_RAB30</t>
  </si>
  <si>
    <t>Q15785_TOMM34</t>
  </si>
  <si>
    <t>Q15788-2_NCOA1</t>
  </si>
  <si>
    <t>Q15796-2_SMAD2</t>
  </si>
  <si>
    <t>Q15797_SMAD1</t>
  </si>
  <si>
    <t>Q15800_MSMO1</t>
  </si>
  <si>
    <t>Q15813_TBCE</t>
  </si>
  <si>
    <t>Q15814_TBCC</t>
  </si>
  <si>
    <t>Q15819_UBE2V2</t>
  </si>
  <si>
    <t>Q15831-2_STK11</t>
  </si>
  <si>
    <t>Q15833_STXBP2</t>
  </si>
  <si>
    <t>Q15836_VAMP3</t>
  </si>
  <si>
    <t>Q15843_NEDD8</t>
  </si>
  <si>
    <t>Q15847_ADIRF</t>
  </si>
  <si>
    <t>Q15904_ATP6AP1</t>
  </si>
  <si>
    <t>Q15907_RAB11B</t>
  </si>
  <si>
    <t>Q15942_ZYX</t>
  </si>
  <si>
    <t>Q16134_ETFDH</t>
  </si>
  <si>
    <t>Q16181_SEPT7</t>
  </si>
  <si>
    <t>Q16186_ADRM1</t>
  </si>
  <si>
    <t>Q16204_CCDC6</t>
  </si>
  <si>
    <t>Q16222-2_UAP1</t>
  </si>
  <si>
    <t>Q16254_E2F4</t>
  </si>
  <si>
    <t>Q16401-2_PSMD5</t>
  </si>
  <si>
    <t>Q16512_PKN1</t>
  </si>
  <si>
    <t>Q16513_PKN2</t>
  </si>
  <si>
    <t>Q16514-2_TAF12</t>
  </si>
  <si>
    <t>Q16531_DDB1</t>
  </si>
  <si>
    <t>Q16539-2_MAPK14</t>
  </si>
  <si>
    <t>Q16543_CDC37</t>
  </si>
  <si>
    <t>Q16555_DPYSL2</t>
  </si>
  <si>
    <t>Q16576_RBBP7</t>
  </si>
  <si>
    <t>Q16610_ECM1</t>
  </si>
  <si>
    <t>Q16625-4_OCLN</t>
  </si>
  <si>
    <t>Q16626_MEA1</t>
  </si>
  <si>
    <t>Q16630-2_CPSF6</t>
  </si>
  <si>
    <t>Q16635-6_TAZ</t>
  </si>
  <si>
    <t>Q16643_DBN1</t>
  </si>
  <si>
    <t>Q16644_MAPKAPK3</t>
  </si>
  <si>
    <t>Q16656-2_NRF1</t>
  </si>
  <si>
    <t>Q16658_FSCN1</t>
  </si>
  <si>
    <t>Q16670-2_ZSCAN26</t>
  </si>
  <si>
    <t>Q16706_MAN2A1</t>
  </si>
  <si>
    <t>Q16718_NDUFA5</t>
  </si>
  <si>
    <t>Q16720-8_ATP2B3</t>
  </si>
  <si>
    <t>Q16740_CLPP</t>
  </si>
  <si>
    <t>Q16762_TST</t>
  </si>
  <si>
    <t>Q16763_UBE2S</t>
  </si>
  <si>
    <t>Q16769_QPCT</t>
  </si>
  <si>
    <t>Q16775-2_HAGH</t>
  </si>
  <si>
    <t>Q16778_HIST2H2BE</t>
  </si>
  <si>
    <t>Q16787_LAMA3</t>
  </si>
  <si>
    <t>Q16790_CA9</t>
  </si>
  <si>
    <t>Q16795_NDUFA9</t>
  </si>
  <si>
    <t>Q16822_PCK2</t>
  </si>
  <si>
    <t>Q16850_CYP51A1</t>
  </si>
  <si>
    <t>Q16851_UGP2</t>
  </si>
  <si>
    <t>Q16854_DGUOK</t>
  </si>
  <si>
    <t>Q16864_ATP6V1F</t>
  </si>
  <si>
    <t>Q16880_UGT8</t>
  </si>
  <si>
    <t>Q17R31-2_TATDN3</t>
  </si>
  <si>
    <t>Q17RN3_FAM98C</t>
  </si>
  <si>
    <t>Q17RU2_REL</t>
  </si>
  <si>
    <t>Q18PE1-2_DOK7</t>
  </si>
  <si>
    <t>Q1ED39_KNOP1</t>
  </si>
  <si>
    <t>Q1KMD3_HNRNPUL2</t>
  </si>
  <si>
    <t>Q1MSJ5-1_CSPP1</t>
  </si>
  <si>
    <t>Q24JP5_TMEM132A</t>
  </si>
  <si>
    <t>Q27J81-2_INF2</t>
  </si>
  <si>
    <t>Q29RF7_PDS5A</t>
  </si>
  <si>
    <t>Q2M296-2_MTHFSD</t>
  </si>
  <si>
    <t>Q2M2I8-2_AAK1</t>
  </si>
  <si>
    <t>Q2M2Z5-5_PLK1S1</t>
  </si>
  <si>
    <t>Q2M389_KIAA1033</t>
  </si>
  <si>
    <t>Q2N1I1_KCNE3</t>
  </si>
  <si>
    <t>Q2NKX8_ERCC6L</t>
  </si>
  <si>
    <t>Q2NL82_TSR1</t>
  </si>
  <si>
    <t>Q2NL98_VMAC</t>
  </si>
  <si>
    <t>Q2T9J0_TYSND1</t>
  </si>
  <si>
    <t>Q2TAA5_ALG11</t>
  </si>
  <si>
    <t>Q2TAL8_QRICH1</t>
  </si>
  <si>
    <t>Q2TAM5_RELA</t>
  </si>
  <si>
    <t>Q2TAM9_TUSC1</t>
  </si>
  <si>
    <t>Q2TAY7_SMU1</t>
  </si>
  <si>
    <t>Q2TBE0_CWF19L2</t>
  </si>
  <si>
    <t>Q32MZ4-2_LRRFIP1</t>
  </si>
  <si>
    <t>Q32MZ4-3_LRRFIP1</t>
  </si>
  <si>
    <t>Q32MZ9_POLD3</t>
  </si>
  <si>
    <t>Q32P28_LEPRE1</t>
  </si>
  <si>
    <t>Q32P41_TRMT5</t>
  </si>
  <si>
    <t>Q32Q12_NME1-NME2</t>
  </si>
  <si>
    <t>Q3B726_TWISTNB</t>
  </si>
  <si>
    <t>Q3B7J2_GFOD2</t>
  </si>
  <si>
    <t>Q3KQV9_UAP1L1</t>
  </si>
  <si>
    <t>Q3KRA6_C2orf76</t>
  </si>
  <si>
    <t>Q3KRA9_ALKBH6</t>
  </si>
  <si>
    <t>Q3LXA3_DAK</t>
  </si>
  <si>
    <t>Q3MHD2_LSM12</t>
  </si>
  <si>
    <t>Q3MIR4_TMEM30B</t>
  </si>
  <si>
    <t>Q3MIT2_PUS10</t>
  </si>
  <si>
    <t>Q3SXM5_HSDL1</t>
  </si>
  <si>
    <t>Q3SY69_ALDH1L2</t>
  </si>
  <si>
    <t>Q3YEC7_RABL6</t>
  </si>
  <si>
    <t>Q3ZAQ7_VMA21</t>
  </si>
  <si>
    <t>Q3ZCM7_TUBB8</t>
  </si>
  <si>
    <t>Q3ZCQ8_TIMM50</t>
  </si>
  <si>
    <t>Q3ZCW2_LGALSL</t>
  </si>
  <si>
    <t>Q495W5-2_FUT11</t>
  </si>
  <si>
    <t>Q49AH0-2_CDNF</t>
  </si>
  <si>
    <t>Q49AQ3_LASS5</t>
  </si>
  <si>
    <t>Q49AR2_C5orf22</t>
  </si>
  <si>
    <t>Q49B96_COX19</t>
  </si>
  <si>
    <t>Q4G0F5_VPS26B</t>
  </si>
  <si>
    <t>Q4G0I0_CCSMST1</t>
  </si>
  <si>
    <t>Q4G0N4_NADKD1</t>
  </si>
  <si>
    <t>Q4G0X9-3_CCDC40</t>
  </si>
  <si>
    <t>Q4G148-2_GXYLT1</t>
  </si>
  <si>
    <t>Q4G176_ACSF3</t>
  </si>
  <si>
    <t>Q4J6C6-4_PREPL</t>
  </si>
  <si>
    <t>Q4JM47_AGR2</t>
  </si>
  <si>
    <t>Q4KMP7_TBC1D10B</t>
  </si>
  <si>
    <t>Q4KWH8-3_PLCH1</t>
  </si>
  <si>
    <t>Q4LDG9-3_DNAL1</t>
  </si>
  <si>
    <t>Q4LE39-3_ARID4B</t>
  </si>
  <si>
    <t>Q4V328_GRIPAP1</t>
  </si>
  <si>
    <t>Q4VC05_BCL7A</t>
  </si>
  <si>
    <t>Q4VCS5_AMOT</t>
  </si>
  <si>
    <t>Q4VXZ8_DECR2</t>
  </si>
  <si>
    <t>Q4ZIN3-2_TMEM259</t>
  </si>
  <si>
    <t>Q504Q3-2_PAN2</t>
  </si>
  <si>
    <t>Q52LA3_LIN52</t>
  </si>
  <si>
    <t>Q52LJ0-2_FAM98B</t>
  </si>
  <si>
    <t>Q53EL6-2_PDCD4</t>
  </si>
  <si>
    <t>Q53EZ4_CEP55</t>
  </si>
  <si>
    <t>Q53F19_C17orf85</t>
  </si>
  <si>
    <t>Q53FA7_TP53I3</t>
  </si>
  <si>
    <t>Q53FT3_C11orf73</t>
  </si>
  <si>
    <t>Q53GG5-2_PDLIM3</t>
  </si>
  <si>
    <t>Q53GQ0_HSD17B12</t>
  </si>
  <si>
    <t>Q53H12_AGK</t>
  </si>
  <si>
    <t>Q53H47_SETMAR</t>
  </si>
  <si>
    <t>Q53H82_LACTB2</t>
  </si>
  <si>
    <t>Q53H96_PYCRL</t>
  </si>
  <si>
    <t>Q53HC9_TSSC1</t>
  </si>
  <si>
    <t>Q53HV7_SMUG1</t>
  </si>
  <si>
    <t>Q53R41_FASTKD1</t>
  </si>
  <si>
    <t>Q53S33_BOLA3</t>
  </si>
  <si>
    <t>Q53SF7-4_COBLL1</t>
  </si>
  <si>
    <t>Q53T59_HS1BP3</t>
  </si>
  <si>
    <t>Q567Q0_PPIA</t>
  </si>
  <si>
    <t>Q56VL3_OCIAD2</t>
  </si>
  <si>
    <t>Q573B4_LCK</t>
  </si>
  <si>
    <t>Q587I9_SFT2D3</t>
  </si>
  <si>
    <t>Q58A45_PAN3</t>
  </si>
  <si>
    <t>Q58FF8_HSP90AB2P</t>
  </si>
  <si>
    <t>Q58FG1_HSP90AA4P</t>
  </si>
  <si>
    <t>Q58WW2_DCAF6</t>
  </si>
  <si>
    <t>Q59GN2_RPL39P5</t>
  </si>
  <si>
    <t>Q5BJF2_TMEM97</t>
  </si>
  <si>
    <t>Q5BKU9_OXLD1</t>
  </si>
  <si>
    <t>Q5BKX5_C19orf54</t>
  </si>
  <si>
    <t>Q5BKZ1_ZNF326</t>
  </si>
  <si>
    <t>Q5D1E8_ZC3H12A</t>
  </si>
  <si>
    <t>Q5EBL8_PDZD11</t>
  </si>
  <si>
    <t>Q5F1R6_DNAJC21</t>
  </si>
  <si>
    <t>Q5GFL6_VWA2</t>
  </si>
  <si>
    <t>Q5GLZ8-3_HERC4</t>
  </si>
  <si>
    <t>Q5H8X8_UTS2</t>
  </si>
  <si>
    <t>Q5HY62_CXorf40B</t>
  </si>
  <si>
    <t>Q5HYI7_MTX3</t>
  </si>
  <si>
    <t>Q5HYI8_RABL3</t>
  </si>
  <si>
    <t>Q5HYK3_COQ5</t>
  </si>
  <si>
    <t>Q5HYK7-2_SH3D19</t>
  </si>
  <si>
    <t>Q5JP53_TUBB</t>
  </si>
  <si>
    <t>Q5JPE7-2_NOMO2</t>
  </si>
  <si>
    <t>Q5JPH6_EARS2</t>
  </si>
  <si>
    <t>Q5JQQ2_DPCD</t>
  </si>
  <si>
    <t>Q5JR08_RHOC</t>
  </si>
  <si>
    <t>Q5JR12-2_PPM1J</t>
  </si>
  <si>
    <t>Q5JRA6_MIA3</t>
  </si>
  <si>
    <t>Q5JRG1_NUPL1</t>
  </si>
  <si>
    <t>Q5JRI1_SRSF10</t>
  </si>
  <si>
    <t>Q5JRX3_PITRM1</t>
  </si>
  <si>
    <t>Q5JS37_NHLRC3</t>
  </si>
  <si>
    <t>Q5JS54_PSMG4</t>
  </si>
  <si>
    <t>Q5JSH3-2_WDR44</t>
  </si>
  <si>
    <t>Q5JSL0_HMGN5</t>
  </si>
  <si>
    <t>Q5JSZ5_PRRC2B</t>
  </si>
  <si>
    <t>Q5JTD0-2_TJAP1</t>
  </si>
  <si>
    <t>Q5JTJ3-3_COA6</t>
  </si>
  <si>
    <t>Q5JTV1_GMEB2</t>
  </si>
  <si>
    <t>Q5JTV8_TOR1AIP1</t>
  </si>
  <si>
    <t>Q5JTZ9_AARS2</t>
  </si>
  <si>
    <t>Q5JU69_TOR2A</t>
  </si>
  <si>
    <t>Q5JUR7_TEX30</t>
  </si>
  <si>
    <t>Q5JUW8_DLG3</t>
  </si>
  <si>
    <t>Q5JUX0_SPIN3</t>
  </si>
  <si>
    <t>Q5JVF3-3_PCID2</t>
  </si>
  <si>
    <t>Q5JVG8-2_ZNF506</t>
  </si>
  <si>
    <t>Q5JVS0_HABP4</t>
  </si>
  <si>
    <t>Q5JW30_STAU1</t>
  </si>
  <si>
    <t>Q5JWB9_TMEM230</t>
  </si>
  <si>
    <t>Q5JWT2_MED23</t>
  </si>
  <si>
    <t>Q5JXX2_MORF4L2</t>
  </si>
  <si>
    <t>Q5JY65_CRNKL1</t>
  </si>
  <si>
    <t>Q5K4L6_SLC27A3</t>
  </si>
  <si>
    <t>Q5M775_SPECC1</t>
  </si>
  <si>
    <t>Q5M8T2_SLC35D3</t>
  </si>
  <si>
    <t>Q5MIZ7-3_SMEK2</t>
  </si>
  <si>
    <t>Q5MNZ6_WDR45B</t>
  </si>
  <si>
    <t>Q5NDL2_EOGT</t>
  </si>
  <si>
    <t>Q5QJE6_DNTTIP2</t>
  </si>
  <si>
    <t>Q5QNY5_PEX19</t>
  </si>
  <si>
    <t>Q5QNZ2_ATP5F1</t>
  </si>
  <si>
    <t>Q5QP56_BCL2L1</t>
  </si>
  <si>
    <t>Q5QP82-2_DCAF10</t>
  </si>
  <si>
    <t>Q5QPK2_DPM1</t>
  </si>
  <si>
    <t>Q5QPL9_RALY</t>
  </si>
  <si>
    <t>Q5QPM7_PSMF1</t>
  </si>
  <si>
    <t>Q5R372-4_RABGAP1L</t>
  </si>
  <si>
    <t>Q5R3B4_MPC2</t>
  </si>
  <si>
    <t>Q5RI15_COX20</t>
  </si>
  <si>
    <t>Q5RKV6_EXOSC6</t>
  </si>
  <si>
    <t>Q5SQI0-5_ATAT1</t>
  </si>
  <si>
    <t>Q5SR50_PIK3CD</t>
  </si>
  <si>
    <t>Q5SR54_CLSTN1</t>
  </si>
  <si>
    <t>Q5SR56_HIATL1</t>
  </si>
  <si>
    <t>Q5SRE5_NUP188</t>
  </si>
  <si>
    <t>Q5SRI9_MANEA</t>
  </si>
  <si>
    <t>Q5SRQ6_CSNK2B</t>
  </si>
  <si>
    <t>Q5SSJ5_HP1BP3</t>
  </si>
  <si>
    <t>Q5SVS4_SLC25A30</t>
  </si>
  <si>
    <t>Q5SW79_CEP170</t>
  </si>
  <si>
    <t>Q5SWX8-4_ODR4</t>
  </si>
  <si>
    <t>Q5SXM8_DNLZ</t>
  </si>
  <si>
    <t>Q5SYE7-2_NHSL1</t>
  </si>
  <si>
    <t>Q5SZ64_SF3B4</t>
  </si>
  <si>
    <t>Q5SZE2_CERS2</t>
  </si>
  <si>
    <t>Q5SZR4_TDRKH</t>
  </si>
  <si>
    <t>Q5T085_AMY1B</t>
  </si>
  <si>
    <t>Q5T0N5-3_FNBP1L</t>
  </si>
  <si>
    <t>Q5T0Z8_C6orf132</t>
  </si>
  <si>
    <t>Q5T123_SH3BGRL3</t>
  </si>
  <si>
    <t>Q5T160_RARS2</t>
  </si>
  <si>
    <t>Q5T171_PYGO2</t>
  </si>
  <si>
    <t>Q5T1M5_FKBP15</t>
  </si>
  <si>
    <t>Q5T1V6_DDX59</t>
  </si>
  <si>
    <t>Q5T1Z4_PUM1</t>
  </si>
  <si>
    <t>Q5T200_ZC3H13</t>
  </si>
  <si>
    <t>Q5T2E6_C10orf76</t>
  </si>
  <si>
    <t>Q5T2R2-3_PDSS1</t>
  </si>
  <si>
    <t>Q5T2W9_C1orf159</t>
  </si>
  <si>
    <t>Q5T2Z0_PSRC1</t>
  </si>
  <si>
    <t>Q5T3F8_TMEM63B</t>
  </si>
  <si>
    <t>Q5T3J3_LRIF1</t>
  </si>
  <si>
    <t>Q5T3U5-2_ABCC10</t>
  </si>
  <si>
    <t>Q5T440_IBA57</t>
  </si>
  <si>
    <t>Q5T447_HECTD3</t>
  </si>
  <si>
    <t>Q5T4F4-7_ZFYVE27</t>
  </si>
  <si>
    <t>Q5T4P9_PLEKHO1</t>
  </si>
  <si>
    <t>Q5T4S7-3_UBR4</t>
  </si>
  <si>
    <t>Q5T4U5_ACADM</t>
  </si>
  <si>
    <t>Q5T5C0-3_STXBP5</t>
  </si>
  <si>
    <t>Q5T5P2_KIAA1217</t>
  </si>
  <si>
    <t>Q5T5U3_ARHGAP21</t>
  </si>
  <si>
    <t>Q5T5Y3-2_CAMSAP1</t>
  </si>
  <si>
    <t>Q5T6F2_UBAP2</t>
  </si>
  <si>
    <t>Q5T6N4_ABLIM1</t>
  </si>
  <si>
    <t>Q5T6V5_C9orf64</t>
  </si>
  <si>
    <t>Q5T750_XP32</t>
  </si>
  <si>
    <t>Q5T7M9_FAM69A</t>
  </si>
  <si>
    <t>Q5T7V8_GORAB</t>
  </si>
  <si>
    <t>Q5T8D3-4_ACBD5</t>
  </si>
  <si>
    <t>Q5T8I0_COX6A1P2</t>
  </si>
  <si>
    <t>Q5T8P6_RBM26</t>
  </si>
  <si>
    <t>Q5T8U5_SURF4</t>
  </si>
  <si>
    <t>Q5T9B7_AK1</t>
  </si>
  <si>
    <t>Q5T9C2-2_FAM102A</t>
  </si>
  <si>
    <t>Q5TA02_GSTO1</t>
  </si>
  <si>
    <t>Q5TA31_RNF187</t>
  </si>
  <si>
    <t>Q5TA45-3_CPSF3L</t>
  </si>
  <si>
    <t>Q5TA50_GLTPD1</t>
  </si>
  <si>
    <t>Q5TAX3_ZCCHC11</t>
  </si>
  <si>
    <t>Q5TBA9_FRY</t>
  </si>
  <si>
    <t>Q5TBB1_RNASEH2B</t>
  </si>
  <si>
    <t>Q5TBP5_TAF4</t>
  </si>
  <si>
    <t>Q5TD07_NQO2</t>
  </si>
  <si>
    <t>Q5TDC5_C6orf89</t>
  </si>
  <si>
    <t>Q5TDG9_DNAJC16</t>
  </si>
  <si>
    <t>Q5TDH0_DDI2</t>
  </si>
  <si>
    <t>Q5TEU4-2_NDUFAF5</t>
  </si>
  <si>
    <t>Q5TFE4_NT5DC1</t>
  </si>
  <si>
    <t>Q5TH58_C6orf106</t>
  </si>
  <si>
    <t>Q5TH69_ARFGEF3</t>
  </si>
  <si>
    <t>Q5THJ1_PRDM2</t>
  </si>
  <si>
    <t>Q5THK1-3_PRR14L</t>
  </si>
  <si>
    <t>Q5TI78_METTL18</t>
  </si>
  <si>
    <t>Q5TIE1_SLC19A2</t>
  </si>
  <si>
    <t>Q5TZA2_CROCC</t>
  </si>
  <si>
    <t>Q5U5X0_LYRM7</t>
  </si>
  <si>
    <t>Q5U649_C12orf60</t>
  </si>
  <si>
    <t>Q5UIP0-2_RIF1</t>
  </si>
  <si>
    <t>Q5VIR6-4_VPS53</t>
  </si>
  <si>
    <t>Q5VSL9_STRIP1</t>
  </si>
  <si>
    <t>Q5VST6_ABHD17B</t>
  </si>
  <si>
    <t>Q5VT06_CEP350</t>
  </si>
  <si>
    <t>Q5VT52-3_RPRD2</t>
  </si>
  <si>
    <t>Q5VT66_MARC1</t>
  </si>
  <si>
    <t>Q5VT94_GHITM</t>
  </si>
  <si>
    <t>Q5VTL8_PRPF38B</t>
  </si>
  <si>
    <t>Q5VTQ0-2_TTC39B</t>
  </si>
  <si>
    <t>Q5VTR2_RNF20</t>
  </si>
  <si>
    <t>Q5VTU3_DYNLT1</t>
  </si>
  <si>
    <t>Q5VU58_TPM3</t>
  </si>
  <si>
    <t>Q5VUA4_ZNF318</t>
  </si>
  <si>
    <t>Q5VUE5_C1orf53</t>
  </si>
  <si>
    <t>Q5VUM1_C6orf57</t>
  </si>
  <si>
    <t>Q5VV41_ARHGEF16</t>
  </si>
  <si>
    <t>Q5VV42_CDKAL1</t>
  </si>
  <si>
    <t>Q5VV50_ZNF691</t>
  </si>
  <si>
    <t>Q5VV87_MGST3</t>
  </si>
  <si>
    <t>Q5VVJ2-2_MYSM1</t>
  </si>
  <si>
    <t>Q5VVQ6-2_YOD1</t>
  </si>
  <si>
    <t>Q5VW27_NFIB</t>
  </si>
  <si>
    <t>Q5VW32_BROX</t>
  </si>
  <si>
    <t>Q5VW36_FOCAD</t>
  </si>
  <si>
    <t>Q5VW52_GPAM</t>
  </si>
  <si>
    <t>Q5VWJ9_SNX30</t>
  </si>
  <si>
    <t>Q5VWP2_FAM46C</t>
  </si>
  <si>
    <t>Q5VWQ0_RSBN1</t>
  </si>
  <si>
    <t>Q5VWQ8-2_DAB2IP</t>
  </si>
  <si>
    <t>Q5VWV2_PARD3</t>
  </si>
  <si>
    <t>Q5VWZ2_LYPLAL1</t>
  </si>
  <si>
    <t>Q5VY93_ARHGEF2</t>
  </si>
  <si>
    <t>Q5VZE5_NAA35</t>
  </si>
  <si>
    <t>Q5VZK9_LRRC16A</t>
  </si>
  <si>
    <t>Q5W0A2_ITM2B</t>
  </si>
  <si>
    <t>Q5W0U4_BSPRY</t>
  </si>
  <si>
    <t>Q5W0V3_FAM160B1</t>
  </si>
  <si>
    <t>Q5W0Z9-3_ZDHHC20</t>
  </si>
  <si>
    <t>Q5W111_SPRYD7</t>
  </si>
  <si>
    <t>Q5W145_NDUFB8</t>
  </si>
  <si>
    <t>Q5XKP0_QIL1</t>
  </si>
  <si>
    <t>Q5XUX1-3_FBXW9</t>
  </si>
  <si>
    <t>Q5ZPR3_CD276</t>
  </si>
  <si>
    <t>Q63HN8_RNF213</t>
  </si>
  <si>
    <t>Q641Q2_FAM21A</t>
  </si>
  <si>
    <t>Q643R3_LPCAT4</t>
  </si>
  <si>
    <t>Q658Y4_FAM91A1</t>
  </si>
  <si>
    <t>Q659C4_LARP1B</t>
  </si>
  <si>
    <t>Q66K14-2_TBC1D9B</t>
  </si>
  <si>
    <t>Q66K64_DCAF15</t>
  </si>
  <si>
    <t>Q66PJ3_ARL6IP4</t>
  </si>
  <si>
    <t>Q66S35_PFKFB4</t>
  </si>
  <si>
    <t>Q68CQ4_DIEXF</t>
  </si>
  <si>
    <t>Q68D10_SPTY2D1</t>
  </si>
  <si>
    <t>Q68D91_MBLAC2</t>
  </si>
  <si>
    <t>Q68DA7-5_FMN1</t>
  </si>
  <si>
    <t>Q68DH5_LMBRD2</t>
  </si>
  <si>
    <t>Q68E01-2_INTS3</t>
  </si>
  <si>
    <t>Q68EM7-2_ARHGAP17</t>
  </si>
  <si>
    <t>Q69YL0_</t>
  </si>
  <si>
    <t>Q69YN2_CWF19L1</t>
  </si>
  <si>
    <t>Q69YN4_KIAA1429</t>
  </si>
  <si>
    <t>Q69YU5_C12orf73</t>
  </si>
  <si>
    <t>Q6AZZ1_TRIM68</t>
  </si>
  <si>
    <t>Q6B0J5_HFE</t>
  </si>
  <si>
    <t>Q6BDS2_UHRF1BP1</t>
  </si>
  <si>
    <t>Q6DD87_ZNF787</t>
  </si>
  <si>
    <t>Q6DD88_ATL3</t>
  </si>
  <si>
    <t>Q6DHV7-3_ADAL</t>
  </si>
  <si>
    <t>Q6DKK2_TTC19</t>
  </si>
  <si>
    <t>Q6DT37_CDC42BPG</t>
  </si>
  <si>
    <t>Q6EEV4-2_POLR2M</t>
  </si>
  <si>
    <t>Q6EMK4_VASN</t>
  </si>
  <si>
    <t>Q6FI81-3_CIAPIN1</t>
  </si>
  <si>
    <t>Q6FIF0-2_ZFAND6</t>
  </si>
  <si>
    <t>Q6GMV2_SMYD5</t>
  </si>
  <si>
    <t>Q6GMV3_PTRHD1</t>
  </si>
  <si>
    <t>Q6GQQ9_OTUD7B</t>
  </si>
  <si>
    <t>Q6GYA4_SELS</t>
  </si>
  <si>
    <t>Q6H9L7-5_ISM2</t>
  </si>
  <si>
    <t>Q6I9Y2_THOC7</t>
  </si>
  <si>
    <t>Q6IA17_SIGIRR</t>
  </si>
  <si>
    <t>Q6IA69_NADSYN1</t>
  </si>
  <si>
    <t>Q6IA86-5_ELP2</t>
  </si>
  <si>
    <t>Q6IAA8_LAMTOR1</t>
  </si>
  <si>
    <t>Q6IAN0_DHRS7B</t>
  </si>
  <si>
    <t>Q6IBS0_TWF2</t>
  </si>
  <si>
    <t>Q6IBW4-2_NCAPH2</t>
  </si>
  <si>
    <t>Q6ICB0_DESI1</t>
  </si>
  <si>
    <t>Q6ICG6_KIAA0930</t>
  </si>
  <si>
    <t>Q6ICJ4_Em:AP000351.3</t>
  </si>
  <si>
    <t>Q6IN85_SMEK1</t>
  </si>
  <si>
    <t>Q6IPR1_LYRM5</t>
  </si>
  <si>
    <t>Q6IPR3_TYW3</t>
  </si>
  <si>
    <t>Q6IQ22_RAB12</t>
  </si>
  <si>
    <t>Q6ISB3_GRHL2</t>
  </si>
  <si>
    <t>Q6JHV3_USP3</t>
  </si>
  <si>
    <t>Q6JQN1_ACAD10</t>
  </si>
  <si>
    <t>Q6KC79-2_NIPBL</t>
  </si>
  <si>
    <t>Q6KCM7-2_SLC25A25</t>
  </si>
  <si>
    <t>Q6L8Q7-2_PDE12</t>
  </si>
  <si>
    <t>Q6L9W6_B4GALNT3</t>
  </si>
  <si>
    <t>Q6MZP7-4_LIN54</t>
  </si>
  <si>
    <t>Q6N043-2_ZNF280D</t>
  </si>
  <si>
    <t>Q6N063_OGFOD2</t>
  </si>
  <si>
    <t>Q6N069_NAA16</t>
  </si>
  <si>
    <t>Q6NSJ0_KIAA1161</t>
  </si>
  <si>
    <t>Q6NT16_SLC18B1</t>
  </si>
  <si>
    <t>Q6NTE8_C5orf45</t>
  </si>
  <si>
    <t>Q6NUK1_SLC25A24</t>
  </si>
  <si>
    <t>Q6NUK4_REEP3</t>
  </si>
  <si>
    <t>Q6NUM9_RETSAT</t>
  </si>
  <si>
    <t>Q6NUQ1_RINT1</t>
  </si>
  <si>
    <t>Q6NUQ4-2_TMEM214</t>
  </si>
  <si>
    <t>Q6NUS6_TCTN3</t>
  </si>
  <si>
    <t>Q6NV74_KIAA1211L</t>
  </si>
  <si>
    <t>Q6NVH7_SWSAP1</t>
  </si>
  <si>
    <t>Q6NVU6_UFSP1</t>
  </si>
  <si>
    <t>Q6NVY1_HIBCH</t>
  </si>
  <si>
    <t>Q6NXS1_PPP1R2P3</t>
  </si>
  <si>
    <t>Q6NXT1_ANKRD54</t>
  </si>
  <si>
    <t>Q6NXT6_TAPT1</t>
  </si>
  <si>
    <t>Q6NYC1_JMJD6</t>
  </si>
  <si>
    <t>Q6NYC8_PPP1R18</t>
  </si>
  <si>
    <t>Q6NZY4_ZCCHC8</t>
  </si>
  <si>
    <t>Q6P087-2_RPUSD3</t>
  </si>
  <si>
    <t>Q6P158_DHX57</t>
  </si>
  <si>
    <t>Q6P161_MRPL54</t>
  </si>
  <si>
    <t>Q6P179-3_ERAP2</t>
  </si>
  <si>
    <t>Q6P1J9_CDC73</t>
  </si>
  <si>
    <t>Q6P1K2-4_PMF1</t>
  </si>
  <si>
    <t>Q6P1L5_FAM117B</t>
  </si>
  <si>
    <t>Q6P1L8_MRPL14</t>
  </si>
  <si>
    <t>Q6P1M0_SLC27A4</t>
  </si>
  <si>
    <t>Q6P1N0_CC2D1A</t>
  </si>
  <si>
    <t>Q6P1Q9_METTL2B</t>
  </si>
  <si>
    <t>Q6P1R4_DUS1L</t>
  </si>
  <si>
    <t>Q6P1X6_C8orf82</t>
  </si>
  <si>
    <t>Q6P275_STAG1</t>
  </si>
  <si>
    <t>Q6P2E9_EDC4</t>
  </si>
  <si>
    <t>Q6P2H3-2_CEP85</t>
  </si>
  <si>
    <t>Q6P2P2_PRMT10</t>
  </si>
  <si>
    <t>Q6P2Q9_PRPF8</t>
  </si>
  <si>
    <t>Q6P3S6_FBXO42</t>
  </si>
  <si>
    <t>Q6P3W7_SCYL2</t>
  </si>
  <si>
    <t>Q6P3X3_TTC27</t>
  </si>
  <si>
    <t>Q6P4A7_SFXN4</t>
  </si>
  <si>
    <t>Q6P4A8_PLBD1</t>
  </si>
  <si>
    <t>Q6P4E1_CASC4</t>
  </si>
  <si>
    <t>Q6P4F2_FDX1L</t>
  </si>
  <si>
    <t>Q6P4G0_RECQL5</t>
  </si>
  <si>
    <t>Q6P4I2_WDR73</t>
  </si>
  <si>
    <t>Q6P4R8-3_NFRKB</t>
  </si>
  <si>
    <t>Q6P582_MZT2A</t>
  </si>
  <si>
    <t>Q6P587_FAHD1</t>
  </si>
  <si>
    <t>Q6P6C2_ALKBH5</t>
  </si>
  <si>
    <t>Q6P988_NOTUM</t>
  </si>
  <si>
    <t>Q6PCB5_RSBN1L</t>
  </si>
  <si>
    <t>Q6PCB6-2_ABHD17C</t>
  </si>
  <si>
    <t>Q6PCE3_PGM2L1</t>
  </si>
  <si>
    <t>Q6PD62_CTR9</t>
  </si>
  <si>
    <t>Q6PD74_AAGAB</t>
  </si>
  <si>
    <t>Q6PGP7_TTC37</t>
  </si>
  <si>
    <t>Q6PH81_C16orf87</t>
  </si>
  <si>
    <t>Q6PI47-3_KCTD18</t>
  </si>
  <si>
    <t>Q6PI48_DARS2</t>
  </si>
  <si>
    <t>Q6PID6_TTC33</t>
  </si>
  <si>
    <t>Q6PII3_CCDC174</t>
  </si>
  <si>
    <t>Q6PII5-2_HAGHL</t>
  </si>
  <si>
    <t>Q6PIJ6_FBXO38</t>
  </si>
  <si>
    <t>Q6PIW4-2_FIGNL1</t>
  </si>
  <si>
    <t>Q6PJ69_TRIM65</t>
  </si>
  <si>
    <t>Q6PJF5-2_RHBDF2</t>
  </si>
  <si>
    <t>Q6PJG6_BRAT1</t>
  </si>
  <si>
    <t>Q6PJT7-9_ZC3H14</t>
  </si>
  <si>
    <t>Q6PJZ0_RAB17</t>
  </si>
  <si>
    <t>Q6PK81-2_ZNF773</t>
  </si>
  <si>
    <t>Q6PKC3-2_TXNDC11</t>
  </si>
  <si>
    <t>Q6PKG0_LARP1</t>
  </si>
  <si>
    <t>Q6PL24_TMED8</t>
  </si>
  <si>
    <t>Q6PML9_SLC30A9</t>
  </si>
  <si>
    <t>Q6QNY0_BLOC1S3</t>
  </si>
  <si>
    <t>Q6QNY1_BLOC1S2</t>
  </si>
  <si>
    <t>Q6RFH5-2_WDR74</t>
  </si>
  <si>
    <t>Q6RW13_AGTRAP</t>
  </si>
  <si>
    <t>Q6S8J3_POTEE</t>
  </si>
  <si>
    <t>Q6SZW1-2_SARM1</t>
  </si>
  <si>
    <t>Q6UB28_METAP1D</t>
  </si>
  <si>
    <t>Q6UB35_MTHFD1L</t>
  </si>
  <si>
    <t>Q6ULP2-5_AFTPH</t>
  </si>
  <si>
    <t>Q6UN15_FIP1L1</t>
  </si>
  <si>
    <t>Q6UUV9-3_CRTC1</t>
  </si>
  <si>
    <t>Q6UW56_ATRAID</t>
  </si>
  <si>
    <t>Q6UW63_KDELC1</t>
  </si>
  <si>
    <t>Q6UW78_C11orf83</t>
  </si>
  <si>
    <t>Q6UWE0_LRSAM1</t>
  </si>
  <si>
    <t>Q6UWP2_DHRS11</t>
  </si>
  <si>
    <t>Q6UWP7-3_LCLAT1</t>
  </si>
  <si>
    <t>Q6UWW0_LCN15</t>
  </si>
  <si>
    <t>Q6UWY0_ARSK</t>
  </si>
  <si>
    <t>Q6UX04_CWC27</t>
  </si>
  <si>
    <t>Q6UXG2-2_KIAA1324</t>
  </si>
  <si>
    <t>Q6UXH1-5_CRELD2</t>
  </si>
  <si>
    <t>Q6UXN9_WDR82</t>
  </si>
  <si>
    <t>Q6UXV4_APOOL</t>
  </si>
  <si>
    <t>Q6WCQ1-2_MPRIP</t>
  </si>
  <si>
    <t>Q6WKZ4_RAB11FIP1</t>
  </si>
  <si>
    <t>Q6XQN6_NAPRT1</t>
  </si>
  <si>
    <t>Q6Y1H2_PTPLB</t>
  </si>
  <si>
    <t>Q6Y2X3_DNAJC14</t>
  </si>
  <si>
    <t>Q6Y7W6_GIGYF2</t>
  </si>
  <si>
    <t>Q6YHK3_CD109</t>
  </si>
  <si>
    <t>Q6YHU6-3_THADA</t>
  </si>
  <si>
    <t>Q6YN16_HSDL2</t>
  </si>
  <si>
    <t>Q6YP21-3_CCBL2</t>
  </si>
  <si>
    <t>Q6ZMG9_CERS6</t>
  </si>
  <si>
    <t>Q6ZMI0_PPP1R21</t>
  </si>
  <si>
    <t>Q6ZMR3_LDHAL6A</t>
  </si>
  <si>
    <t>Q6ZN04_MEX3B</t>
  </si>
  <si>
    <t>Q6ZN17-2_LIN28B</t>
  </si>
  <si>
    <t>Q6ZNB6_NFXL1</t>
  </si>
  <si>
    <t>Q6ZNW5_GDPGP1</t>
  </si>
  <si>
    <t>Q6ZPD9_DPY19L3</t>
  </si>
  <si>
    <t>Q6ZRP7_QSOX2</t>
  </si>
  <si>
    <t>Q6ZRS2-2_SRCAP</t>
  </si>
  <si>
    <t>Q6ZS17-2_FAM65A</t>
  </si>
  <si>
    <t>Q6ZS30_NBEAL1</t>
  </si>
  <si>
    <t>Q6ZSJ8_C1orf122</t>
  </si>
  <si>
    <t>Q6ZSS7_MFSD6</t>
  </si>
  <si>
    <t>Q6ZT12_UBR3</t>
  </si>
  <si>
    <t>Q6ZT21-2_TMPPE</t>
  </si>
  <si>
    <t>Q6ZT62_SH3BP1</t>
  </si>
  <si>
    <t>Q6ZTQ3-4_RASSF6</t>
  </si>
  <si>
    <t>Q6ZVF9_GPRIN3</t>
  </si>
  <si>
    <t>Q6ZVM7-2_TOM1L2</t>
  </si>
  <si>
    <t>Q6ZW13_C16orf86</t>
  </si>
  <si>
    <t>Q6ZW49-4_PAXIP1</t>
  </si>
  <si>
    <t>Q6ZXV5-2_TMTC3</t>
  </si>
  <si>
    <t>Q6ZYL4_GTF2H5</t>
  </si>
  <si>
    <t>Q709C8-3_VPS13C</t>
  </si>
  <si>
    <t>Q709F0_ACAD11</t>
  </si>
  <si>
    <t>Q70CQ2_USP34</t>
  </si>
  <si>
    <t>Q70IA6_MOB2</t>
  </si>
  <si>
    <t>Q70UQ0_IKBIP</t>
  </si>
  <si>
    <t>Q70UQ0-4_IKBIP</t>
  </si>
  <si>
    <t>Q70Z53-2_FRA10AC1</t>
  </si>
  <si>
    <t>Q712K3_UBE2R2</t>
  </si>
  <si>
    <t>Q71RC2-5_LARP4</t>
  </si>
  <si>
    <t>Q71SY5-5_MED25</t>
  </si>
  <si>
    <t>Q71UI9_H2AFV</t>
  </si>
  <si>
    <t>Q75QN2-2_INTS8</t>
  </si>
  <si>
    <t>Q765P7_MTSS1L</t>
  </si>
  <si>
    <t>Q7KZ85_SUPT6H</t>
  </si>
  <si>
    <t>Q7KZ85-2_SUPT6H</t>
  </si>
  <si>
    <t>Q7KZF4_SND1</t>
  </si>
  <si>
    <t>Q7KZN9-2_COX15</t>
  </si>
  <si>
    <t>Q7L014_DDX46</t>
  </si>
  <si>
    <t>Q7L099-4_RUFY3</t>
  </si>
  <si>
    <t>Q7L0Y3_TRMT10C</t>
  </si>
  <si>
    <t>Q7L1Q6-2_BZW1</t>
  </si>
  <si>
    <t>Q7L1T6_CYB5R4</t>
  </si>
  <si>
    <t>Q7L266_ASRGL1</t>
  </si>
  <si>
    <t>Q7L273_KCTD9</t>
  </si>
  <si>
    <t>Q7L2H7_EIF3M</t>
  </si>
  <si>
    <t>Q7L2J0_MEPCE</t>
  </si>
  <si>
    <t>Q7L3T8_PARS2</t>
  </si>
  <si>
    <t>Q7L4I2_RSRC2</t>
  </si>
  <si>
    <t>Q7L523_RRAGA</t>
  </si>
  <si>
    <t>Q7L576_CYFIP1</t>
  </si>
  <si>
    <t>Q7L592_NDUFAF7</t>
  </si>
  <si>
    <t>Q7L5D6_GET4</t>
  </si>
  <si>
    <t>Q7L5N7_LPCAT2</t>
  </si>
  <si>
    <t>Q7L5Y1_ENOSF1</t>
  </si>
  <si>
    <t>Q7L775_EPM2AIP1</t>
  </si>
  <si>
    <t>Q7L7V1_DHX32</t>
  </si>
  <si>
    <t>Q7L7X3_TAOK1</t>
  </si>
  <si>
    <t>Q7L8L6_FASTKD5</t>
  </si>
  <si>
    <t>Q7L8W6_ATPBD4</t>
  </si>
  <si>
    <t>Q7L9B9_EEPD1</t>
  </si>
  <si>
    <t>Q7LBC6_KDM3B</t>
  </si>
  <si>
    <t>Q7LBR1_CHMP1B</t>
  </si>
  <si>
    <t>Q7LGA3_HS2ST1</t>
  </si>
  <si>
    <t>Q7RTP6_MICAL3</t>
  </si>
  <si>
    <t>Q7RTV0_PHF5A</t>
  </si>
  <si>
    <t>Q7RTX0_TAS1R3</t>
  </si>
  <si>
    <t>Q7Z2E3-8_APTX</t>
  </si>
  <si>
    <t>Q7Z2K8_GPRIN1</t>
  </si>
  <si>
    <t>Q7Z2T5_TRMT1L</t>
  </si>
  <si>
    <t>Q7Z2W4_ZC3HAV1</t>
  </si>
  <si>
    <t>Q7Z2Y8_GVINP1</t>
  </si>
  <si>
    <t>Q7Z2Z2_EFTUD1</t>
  </si>
  <si>
    <t>Q7Z309_FAM122B</t>
  </si>
  <si>
    <t>Q7Z309-4_FAM122B</t>
  </si>
  <si>
    <t>Q7Z3B1_NEGR1</t>
  </si>
  <si>
    <t>Q7Z3D4_LYSMD3</t>
  </si>
  <si>
    <t>Q7Z3D6-2_C14orf159</t>
  </si>
  <si>
    <t>Q7Z3E2_C10orf118</t>
  </si>
  <si>
    <t>Q7Z3F1_GPR155</t>
  </si>
  <si>
    <t>Q7Z3K3-5_POGZ</t>
  </si>
  <si>
    <t>Q7Z3T8_ZFYVE16</t>
  </si>
  <si>
    <t>Q7Z401_DENND4A</t>
  </si>
  <si>
    <t>Q7Z404-1_TMC4</t>
  </si>
  <si>
    <t>Q7Z417_NUFIP2</t>
  </si>
  <si>
    <t>Q7Z422-2_SZRD1</t>
  </si>
  <si>
    <t>Q7Z434_MAVS</t>
  </si>
  <si>
    <t>Q7Z449_CYP2U1</t>
  </si>
  <si>
    <t>Q7Z478_DHX29</t>
  </si>
  <si>
    <t>Q7Z4G1_COMMD6</t>
  </si>
  <si>
    <t>Q7Z4G4-2_TRMT11</t>
  </si>
  <si>
    <t>Q7Z4H3_HDDC2</t>
  </si>
  <si>
    <t>Q7Z4H8_KDELC2</t>
  </si>
  <si>
    <t>Q7Z4I7-4_LIMS2</t>
  </si>
  <si>
    <t>Q7Z4Q2_HEATR3</t>
  </si>
  <si>
    <t>Q7Z4V5_HDGFRP2</t>
  </si>
  <si>
    <t>Q7Z4W1_DCXR</t>
  </si>
  <si>
    <t>Q7Z569_BRAP</t>
  </si>
  <si>
    <t>Q7Z5G4-3_GOLGA7</t>
  </si>
  <si>
    <t>Q7Z5K2_WAPAL</t>
  </si>
  <si>
    <t>Q7Z5L9-2_IRF2BP2</t>
  </si>
  <si>
    <t>Q7Z649_TMEM9B</t>
  </si>
  <si>
    <t>Q7Z6B0-2_CCDC91</t>
  </si>
  <si>
    <t>Q7Z6B7-2_SRGAP1</t>
  </si>
  <si>
    <t>Q7Z6E9_RBBP6</t>
  </si>
  <si>
    <t>Q7Z6I8_C5orf24</t>
  </si>
  <si>
    <t>Q7Z6J8_UBE3D</t>
  </si>
  <si>
    <t>Q7Z6J9_TSEN54</t>
  </si>
  <si>
    <t>Q7Z6K3_PTAR1</t>
  </si>
  <si>
    <t>Q7Z6L1_TECPR1</t>
  </si>
  <si>
    <t>Q7Z6M1_RABEPK</t>
  </si>
  <si>
    <t>Q7Z6M2_FBXO33</t>
  </si>
  <si>
    <t>Q7Z6M4_MTERFD2</t>
  </si>
  <si>
    <t>Q7Z6V5_ADAT2</t>
  </si>
  <si>
    <t>Q7Z6Z7-2_HUWE1</t>
  </si>
  <si>
    <t>Q7Z7A3_CTU1</t>
  </si>
  <si>
    <t>Q7Z7A4_PXK</t>
  </si>
  <si>
    <t>Q7Z7C8_TAF8</t>
  </si>
  <si>
    <t>Q7Z7E8_UBE2Q1</t>
  </si>
  <si>
    <t>Q7Z7F0-2_KIAA0907</t>
  </si>
  <si>
    <t>Q7Z7H5-3_TMED4</t>
  </si>
  <si>
    <t>Q7Z7K0_CMC1</t>
  </si>
  <si>
    <t>Q7Z7K6-3_CENPV</t>
  </si>
  <si>
    <t>Q7Z7N9_TMEM179B</t>
  </si>
  <si>
    <t>Q86SQ9-3_DHDDS</t>
  </si>
  <si>
    <t>Q86SR1-2_GALNT10</t>
  </si>
  <si>
    <t>Q86SX6_GLRX5</t>
  </si>
  <si>
    <t>Q86SZ2_TRAPPC6B</t>
  </si>
  <si>
    <t>Q86T03_TMEM55B</t>
  </si>
  <si>
    <t>Q86TB9-4_PATL1</t>
  </si>
  <si>
    <t>Q86TG7_PEG10</t>
  </si>
  <si>
    <t>Q86TI0_TBC1D1</t>
  </si>
  <si>
    <t>Q86TI2_DPP9</t>
  </si>
  <si>
    <t>Q86TM6-2_SYVN1</t>
  </si>
  <si>
    <t>Q86TN4_TRPT1</t>
  </si>
  <si>
    <t>Q86TP1_PRUNE</t>
  </si>
  <si>
    <t>Q86TS9-3_MRPL52</t>
  </si>
  <si>
    <t>Q86TU7_SETD3</t>
  </si>
  <si>
    <t>Q86TW2-3_ADCK1</t>
  </si>
  <si>
    <t>Q86TX2_ACOT1</t>
  </si>
  <si>
    <t>Q86TZ8_TINF2</t>
  </si>
  <si>
    <t>Q86U28_ISCA2</t>
  </si>
  <si>
    <t>Q86U38_NOP9</t>
  </si>
  <si>
    <t>Q86U44_METTL3</t>
  </si>
  <si>
    <t>Q86U70-3_LDB1</t>
  </si>
  <si>
    <t>Q86U86-5_PBRM1</t>
  </si>
  <si>
    <t>Q86U90_YRDC</t>
  </si>
  <si>
    <t>Q86UA1_PRPF39</t>
  </si>
  <si>
    <t>Q86UD0_SAPCD2</t>
  </si>
  <si>
    <t>Q86UE4_MTDH</t>
  </si>
  <si>
    <t>Q86UE8-2_TLK2</t>
  </si>
  <si>
    <t>Q86UK7-3_ZNF598</t>
  </si>
  <si>
    <t>Q86UL3_AGPAT6</t>
  </si>
  <si>
    <t>Q86UP2_KTN1</t>
  </si>
  <si>
    <t>Q86UT6-2_NLRX1</t>
  </si>
  <si>
    <t>Q86UU0-4_BCL9L</t>
  </si>
  <si>
    <t>Q86UV5_USP48</t>
  </si>
  <si>
    <t>Q86UX3_ABCC5</t>
  </si>
  <si>
    <t>Q86UX6_STK32C</t>
  </si>
  <si>
    <t>Q86UY0_TXNDC5</t>
  </si>
  <si>
    <t>Q86UY8_NT5DC3</t>
  </si>
  <si>
    <t>Q86V21_AACS</t>
  </si>
  <si>
    <t>Q86V48-2_LUZP1</t>
  </si>
  <si>
    <t>Q86V85_GPR180</t>
  </si>
  <si>
    <t>Q86V87_FAM160B2</t>
  </si>
  <si>
    <t>Q86V88_MDP1</t>
  </si>
  <si>
    <t>Q86V97_KBTBD6</t>
  </si>
  <si>
    <t>Q86VF7-4_NRAP</t>
  </si>
  <si>
    <t>Q86VI3_IQGAP3</t>
  </si>
  <si>
    <t>Q86VN1-2_VPS36</t>
  </si>
  <si>
    <t>Q86VP6_CAND1</t>
  </si>
  <si>
    <t>Q86VQ1_GLCCI1</t>
  </si>
  <si>
    <t>Q86VR2_FAM134C</t>
  </si>
  <si>
    <t>Q86VS8_HOOK3</t>
  </si>
  <si>
    <t>Q86VU5_COMTD1</t>
  </si>
  <si>
    <t>Q86VW0_SESTD1</t>
  </si>
  <si>
    <t>Q86VX9_MON1A</t>
  </si>
  <si>
    <t>Q86W42_THOC6</t>
  </si>
  <si>
    <t>Q86W50_METTL16</t>
  </si>
  <si>
    <t>Q86W56_PARG</t>
  </si>
  <si>
    <t>Q86W92-4_PPFIBP1</t>
  </si>
  <si>
    <t>Q86WA6-2_BPHL</t>
  </si>
  <si>
    <t>Q86WA8_LONP2</t>
  </si>
  <si>
    <t>Q86WJ1-2_CHD1L</t>
  </si>
  <si>
    <t>Q86WQ0_NR2C2AP</t>
  </si>
  <si>
    <t>Q86WR0_CCDC25</t>
  </si>
  <si>
    <t>Q86WR7_PROSER2</t>
  </si>
  <si>
    <t>Q86WU2-2_LDHD</t>
  </si>
  <si>
    <t>Q86WV5_TEN1</t>
  </si>
  <si>
    <t>Q86WV7_CCDC43</t>
  </si>
  <si>
    <t>Q86WX3_RPS19BP1</t>
  </si>
  <si>
    <t>Q86X53_ERICH1</t>
  </si>
  <si>
    <t>Q86X55-1_CARM1</t>
  </si>
  <si>
    <t>Q86X76-2_NIT1</t>
  </si>
  <si>
    <t>Q86X83_COMMD2</t>
  </si>
  <si>
    <t>Q86X95-2_CIR1</t>
  </si>
  <si>
    <t>Q86XP0_PLA2G4D</t>
  </si>
  <si>
    <t>Q86XP1_DGKH</t>
  </si>
  <si>
    <t>Q86XP3_DDX42</t>
  </si>
  <si>
    <t>Q86XX4_FRAS1</t>
  </si>
  <si>
    <t>Q86XZ4_SPATS2</t>
  </si>
  <si>
    <t>Q86Y07_VRK2</t>
  </si>
  <si>
    <t>Q86Y39_NDUFA11</t>
  </si>
  <si>
    <t>Q86Y56_HEATR2</t>
  </si>
  <si>
    <t>Q86Y79_PTRH1</t>
  </si>
  <si>
    <t>Q86Y82_STX12</t>
  </si>
  <si>
    <t>Q86YB8_ERO1LB</t>
  </si>
  <si>
    <t>Q86YH6_PDSS2</t>
  </si>
  <si>
    <t>Q86YM7_HOMER1</t>
  </si>
  <si>
    <t>Q86YN1-2_DOLPP1</t>
  </si>
  <si>
    <t>Q86YP4_GATAD2A</t>
  </si>
  <si>
    <t>Q86YS7_C2CD5</t>
  </si>
  <si>
    <t>Q86YT6_MIB1</t>
  </si>
  <si>
    <t>Q86YV5_SGK223</t>
  </si>
  <si>
    <t>Q86YV9_HPS6</t>
  </si>
  <si>
    <t>Q8IU81_IRF2BP1</t>
  </si>
  <si>
    <t>Q8IUC4_RHPN2</t>
  </si>
  <si>
    <t>Q8IUD2-2_ERC1</t>
  </si>
  <si>
    <t>Q8IUF8_MINA</t>
  </si>
  <si>
    <t>Q8IUH3-3_RBM45</t>
  </si>
  <si>
    <t>Q8IUH4_ZDHHC13</t>
  </si>
  <si>
    <t>Q8IUI8_CRLF3</t>
  </si>
  <si>
    <t>Q8IUR0_TRAPPC5</t>
  </si>
  <si>
    <t>Q8IUW5_RELL1</t>
  </si>
  <si>
    <t>Q8IUX1-4_TMEM126B</t>
  </si>
  <si>
    <t>Q8IUZ5_AGXT2L2</t>
  </si>
  <si>
    <t>Q8IV08_PLD3</t>
  </si>
  <si>
    <t>Q8IV20_LACC1</t>
  </si>
  <si>
    <t>Q8IV36-2_HID1</t>
  </si>
  <si>
    <t>Q8IV38_ANKMY2</t>
  </si>
  <si>
    <t>Q8IV45_UNC5CL</t>
  </si>
  <si>
    <t>Q8IV50_LYSMD2</t>
  </si>
  <si>
    <t>Q8IV56_PRR15</t>
  </si>
  <si>
    <t>Q8IV63-3_VRK3</t>
  </si>
  <si>
    <t>Q8IVD9_NUDCD3</t>
  </si>
  <si>
    <t>Q8IVF2-3_AHNAK2</t>
  </si>
  <si>
    <t>Q8IVH4_MMAA</t>
  </si>
  <si>
    <t>Q8IVH8-3_MAP4K3</t>
  </si>
  <si>
    <t>Q8IVL1-4_NAV2</t>
  </si>
  <si>
    <t>Q8IVM0_CCDC50</t>
  </si>
  <si>
    <t>Q8IVM0-2_CCDC50</t>
  </si>
  <si>
    <t>Q8IVN8_SBSPON</t>
  </si>
  <si>
    <t>Q8IVQ6_ZDHHC21</t>
  </si>
  <si>
    <t>Q8IVR6_PPM1D</t>
  </si>
  <si>
    <t>Q8IVS2_MCAT</t>
  </si>
  <si>
    <t>Q8IVT2_C19orf21</t>
  </si>
  <si>
    <t>Q8IVW6-3_ARID3B</t>
  </si>
  <si>
    <t>Q8IW45_CARKD</t>
  </si>
  <si>
    <t>Q8IWA0_WDR75</t>
  </si>
  <si>
    <t>Q8IWA4_MFN1</t>
  </si>
  <si>
    <t>Q8IWB1_ITPRIP</t>
  </si>
  <si>
    <t>Q8IWB7_WDFY1</t>
  </si>
  <si>
    <t>Q8IWB9_TEX2</t>
  </si>
  <si>
    <t>Q8IWC1-2_MAP7D3</t>
  </si>
  <si>
    <t>Q8IWD4_CCDC117</t>
  </si>
  <si>
    <t>Q8IWE2_FAM114A1</t>
  </si>
  <si>
    <t>Q8IWE4_DCUN1D3</t>
  </si>
  <si>
    <t>Q8IWF6_DENND6A</t>
  </si>
  <si>
    <t>Q8IWJ2_GCC2</t>
  </si>
  <si>
    <t>Q8IWL3_HSCB</t>
  </si>
  <si>
    <t>Q8IWR0_ZC3H7A</t>
  </si>
  <si>
    <t>Q8IWS0_PHF6</t>
  </si>
  <si>
    <t>Q8IWU2_LMTK2</t>
  </si>
  <si>
    <t>Q8IWV7_UBR1</t>
  </si>
  <si>
    <t>Q8IWV8-4_UBR2</t>
  </si>
  <si>
    <t>Q8IWW6-2_ARHGAP12</t>
  </si>
  <si>
    <t>Q8IWZ3-6_ANKHD1</t>
  </si>
  <si>
    <t>Q8IWZ8_SUGP1</t>
  </si>
  <si>
    <t>Q8IX12-2_CCAR1</t>
  </si>
  <si>
    <t>Q8IX18-3_DHX40</t>
  </si>
  <si>
    <t>Q8IX90_SKA3</t>
  </si>
  <si>
    <t>Q8IXB1_DNAJC10</t>
  </si>
  <si>
    <t>Q8IXI1_RHOT2</t>
  </si>
  <si>
    <t>Q8IXI2-4_RHOT1</t>
  </si>
  <si>
    <t>Q8IXN7_RIMKLA</t>
  </si>
  <si>
    <t>Q8IXQ4_KIAA1704</t>
  </si>
  <si>
    <t>Q8IXW5-2_RPAP2</t>
  </si>
  <si>
    <t>Q8IY17-5_PNPLA6</t>
  </si>
  <si>
    <t>Q8IY18_SMC5</t>
  </si>
  <si>
    <t>Q8IY22_CMIP</t>
  </si>
  <si>
    <t>Q8IY26_PPAPDC2</t>
  </si>
  <si>
    <t>Q8IY37_DHX37</t>
  </si>
  <si>
    <t>Q8IY47_KBTBD2</t>
  </si>
  <si>
    <t>Q8IY50-2_SLC35F3</t>
  </si>
  <si>
    <t>Q8IY81_FTSJ3</t>
  </si>
  <si>
    <t>Q8IY95-2_TMEM192</t>
  </si>
  <si>
    <t>Q8IYB1_MB21D2</t>
  </si>
  <si>
    <t>Q8IYB5-3_SMAP1</t>
  </si>
  <si>
    <t>Q8IYB7_DIS3L2</t>
  </si>
  <si>
    <t>Q8IYB8_SUPV3L1</t>
  </si>
  <si>
    <t>Q8IYD1_GSPT2</t>
  </si>
  <si>
    <t>Q8IYE0-2_CCDC146</t>
  </si>
  <si>
    <t>Q8IYI6_EXOC8</t>
  </si>
  <si>
    <t>Q8IYL3_C1orf174</t>
  </si>
  <si>
    <t>Q8IYN6_UBALD2</t>
  </si>
  <si>
    <t>Q8IYQ7_THNSL1</t>
  </si>
  <si>
    <t>Q8IYR2_SMYD4</t>
  </si>
  <si>
    <t>Q8IYS1_PM20D2</t>
  </si>
  <si>
    <t>Q8IYS2_KIAA2013</t>
  </si>
  <si>
    <t>Q8IYU8_MICU2</t>
  </si>
  <si>
    <t>Q8IYW5_RNF168</t>
  </si>
  <si>
    <t>Q8IZ07_ANKRD13A</t>
  </si>
  <si>
    <t>Q8IZ21-3_PHACTR4</t>
  </si>
  <si>
    <t>Q8IZ40_RCOR2</t>
  </si>
  <si>
    <t>Q8IZ41_RASEF</t>
  </si>
  <si>
    <t>Q8IZ52_CHPF</t>
  </si>
  <si>
    <t>Q8IZ68_MTX2</t>
  </si>
  <si>
    <t>Q8IZ73_RPUSD2</t>
  </si>
  <si>
    <t>Q8IZ81_ELMOD2</t>
  </si>
  <si>
    <t>Q8IZ83_ALDH16A1</t>
  </si>
  <si>
    <t>Q8IZF0_NALCN</t>
  </si>
  <si>
    <t>Q8IZH2-2_XRN1</t>
  </si>
  <si>
    <t>Q8IZL2_MAML2</t>
  </si>
  <si>
    <t>Q8IZQ5_SELH</t>
  </si>
  <si>
    <t>Q8IZR5-2_CMTM4</t>
  </si>
  <si>
    <t>Q8IZV5_RDH10</t>
  </si>
  <si>
    <t>Q8IZW8_TNS4</t>
  </si>
  <si>
    <t>Q8J025_APCDD1</t>
  </si>
  <si>
    <t>Q8N0T1_C8orf59</t>
  </si>
  <si>
    <t>Q8N0U4_FAM185A</t>
  </si>
  <si>
    <t>Q8N0U8_VKORC1L1</t>
  </si>
  <si>
    <t>Q8N0W3_FUK</t>
  </si>
  <si>
    <t>Q8N0X4_CLYBL</t>
  </si>
  <si>
    <t>Q8N0Z6_TTC5</t>
  </si>
  <si>
    <t>Q8N0Z8_PUSL1</t>
  </si>
  <si>
    <t>Q8N0Z9-2_VSIG10</t>
  </si>
  <si>
    <t>Q8N108-17_MIER1</t>
  </si>
  <si>
    <t>Q8N122_RPTOR</t>
  </si>
  <si>
    <t>Q8N129_CNPY4</t>
  </si>
  <si>
    <t>Q8N163_KIAA1967</t>
  </si>
  <si>
    <t>Q8N183_NDUFAF2</t>
  </si>
  <si>
    <t>Q8N1B4_VPS52</t>
  </si>
  <si>
    <t>Q8N1F7_NUP93</t>
  </si>
  <si>
    <t>Q8N1G0_ZNF687</t>
  </si>
  <si>
    <t>Q8N1G2_FTSJD2</t>
  </si>
  <si>
    <t>Q8N1G4_LRRC47</t>
  </si>
  <si>
    <t>Q8N1K5_THEMIS</t>
  </si>
  <si>
    <t>Q8N2A8_PLD6</t>
  </si>
  <si>
    <t>Q8N2F6-3_ARMC10</t>
  </si>
  <si>
    <t>Q8N2G8-3_GHDC</t>
  </si>
  <si>
    <t>Q8N2K0_ABHD12</t>
  </si>
  <si>
    <t>Q8N2Z9_APITD1</t>
  </si>
  <si>
    <t>Q8N300_CCDC23</t>
  </si>
  <si>
    <t>Q8N335_GPD1L</t>
  </si>
  <si>
    <t>Q8N350_DOS</t>
  </si>
  <si>
    <t>Q8N392-2_ARHGAP18</t>
  </si>
  <si>
    <t>Q8N398-2_VWA5B2</t>
  </si>
  <si>
    <t>Q8N3C0_ASCC3</t>
  </si>
  <si>
    <t>Q8N3D4_EHBP1L1</t>
  </si>
  <si>
    <t>Q8N3F8_MICALL1</t>
  </si>
  <si>
    <t>Q8N3R9-2_MPP5</t>
  </si>
  <si>
    <t>Q8N3X1_FNBP4</t>
  </si>
  <si>
    <t>Q8N442_GUF1</t>
  </si>
  <si>
    <t>Q8N465_D2HGDH</t>
  </si>
  <si>
    <t>Q8N488_RYBP</t>
  </si>
  <si>
    <t>Q8N490-2_PNKD</t>
  </si>
  <si>
    <t>Q8N490-4_PNKD</t>
  </si>
  <si>
    <t>Q8N4C8-2_MINK1</t>
  </si>
  <si>
    <t>Q8N4H5_TOMM5</t>
  </si>
  <si>
    <t>Q8N4P3_HDDC3</t>
  </si>
  <si>
    <t>Q8N4Q0_ZADH2</t>
  </si>
  <si>
    <t>Q8N4Q1_CHCHD4</t>
  </si>
  <si>
    <t>Q8N4T8_CBR4</t>
  </si>
  <si>
    <t>Q8N4V1_MMGT1</t>
  </si>
  <si>
    <t>Q8N567_ZCCHC9</t>
  </si>
  <si>
    <t>Q8N573-2_OXR1</t>
  </si>
  <si>
    <t>Q8N584_TTC39C</t>
  </si>
  <si>
    <t>Q8N5A5-3_ZGPAT</t>
  </si>
  <si>
    <t>Q8N5C6_SRBD1</t>
  </si>
  <si>
    <t>Q8N5C7_DTWD1</t>
  </si>
  <si>
    <t>Q8N5D0-5_WDTC1</t>
  </si>
  <si>
    <t>Q8N5F7_NKAP</t>
  </si>
  <si>
    <t>Q8N5G0-2_SMIM20</t>
  </si>
  <si>
    <t>Q8N5G2_TMEM57</t>
  </si>
  <si>
    <t>Q8N5I2_ARRDC1</t>
  </si>
  <si>
    <t>Q8N5I9_C12orf45</t>
  </si>
  <si>
    <t>Q8N5K1_CISD2</t>
  </si>
  <si>
    <t>Q8N5L8_RPP25L</t>
  </si>
  <si>
    <t>Q8N5M1_ATPAF2</t>
  </si>
  <si>
    <t>Q8N5M9_JAGN1</t>
  </si>
  <si>
    <t>Q8N5N7_MRPL50</t>
  </si>
  <si>
    <t>Q8N5P1_ZC3H8</t>
  </si>
  <si>
    <t>Q8N5X7-2_EIF4E3</t>
  </si>
  <si>
    <t>Q8N5Y8_PARP16</t>
  </si>
  <si>
    <t>Q8N612_FAM160A2</t>
  </si>
  <si>
    <t>Q8N684-2_CPSF7</t>
  </si>
  <si>
    <t>Q8N697_SLC15A4</t>
  </si>
  <si>
    <t>Q8N6H7_ARFGAP2</t>
  </si>
  <si>
    <t>Q8N6M0_OTUD6B</t>
  </si>
  <si>
    <t>Q8N6N3-2_C1orf52</t>
  </si>
  <si>
    <t>Q8N6N7_ACBD7</t>
  </si>
  <si>
    <t>Q8N6Q8_METTL25</t>
  </si>
  <si>
    <t>Q8N6T3_ARFGAP1</t>
  </si>
  <si>
    <t>Q8N749_TOM1L1</t>
  </si>
  <si>
    <t>Q8N766-3_EMC1</t>
  </si>
  <si>
    <t>Q8N7R7-3_CCNYL1</t>
  </si>
  <si>
    <t>Q8N806_UBR7</t>
  </si>
  <si>
    <t>Q8N8J7_C4orf32</t>
  </si>
  <si>
    <t>Q8N8N7_PTGR2</t>
  </si>
  <si>
    <t>Q8N8R5_C2orf69</t>
  </si>
  <si>
    <t>Q8N8R7_ARL14EP</t>
  </si>
  <si>
    <t>Q8N8S7_ENAH</t>
  </si>
  <si>
    <t>Q8N954_GPATCH11</t>
  </si>
  <si>
    <t>Q8N999_C12orf29</t>
  </si>
  <si>
    <t>Q8N9F7_GDPD1</t>
  </si>
  <si>
    <t>Q8N9M5_TMEM102</t>
  </si>
  <si>
    <t>Q8N9N7_LRRC57</t>
  </si>
  <si>
    <t>Q8N9T8_KRI1</t>
  </si>
  <si>
    <t>Q8N9V3_WDSUB1</t>
  </si>
  <si>
    <t>Q8NAT1_GTDC2</t>
  </si>
  <si>
    <t>Q8NAV1_PRPF38A</t>
  </si>
  <si>
    <t>Q8NAX2_C1orf172</t>
  </si>
  <si>
    <t>Q8NB15-2_ZNF511</t>
  </si>
  <si>
    <t>Q8NB16_MLKL</t>
  </si>
  <si>
    <t>Q8NB37_PDDC1</t>
  </si>
  <si>
    <t>Q8NB46_ANKRD52</t>
  </si>
  <si>
    <t>Q8NB49-2_ATP11C</t>
  </si>
  <si>
    <t>Q8NB90_SPATA5</t>
  </si>
  <si>
    <t>Q8NBF2_NHLRC2</t>
  </si>
  <si>
    <t>Q8NBF6_AVL9</t>
  </si>
  <si>
    <t>Q8NBI6_XXYLT1</t>
  </si>
  <si>
    <t>Q8NBJ4-2_GOLM1</t>
  </si>
  <si>
    <t>Q8NBJ5_COLGALT1</t>
  </si>
  <si>
    <t>Q8NBK3-4_SUMF1</t>
  </si>
  <si>
    <t>Q8NBM4-2_UBAC2</t>
  </si>
  <si>
    <t>Q8NBM8_PCYOX1L</t>
  </si>
  <si>
    <t>Q8NBN3_TMEM87A</t>
  </si>
  <si>
    <t>Q8NBN7_RDH13</t>
  </si>
  <si>
    <t>Q8NBP0_TTC13</t>
  </si>
  <si>
    <t>Q8NBP7_PCSK9</t>
  </si>
  <si>
    <t>Q8NBU5_ATAD1</t>
  </si>
  <si>
    <t>Q8NBX0_SCCPDH</t>
  </si>
  <si>
    <t>Q8NBY1_MST4</t>
  </si>
  <si>
    <t>Q8NC51_SERBP1</t>
  </si>
  <si>
    <t>Q8NC54_KCT2</t>
  </si>
  <si>
    <t>Q8NC56_LEMD2</t>
  </si>
  <si>
    <t>Q8NC60_NOA1</t>
  </si>
  <si>
    <t>Q8NC96_NECAP1</t>
  </si>
  <si>
    <t>Q8NCA5-2_FAM98A</t>
  </si>
  <si>
    <t>Q8NCC3_PLA2G15</t>
  </si>
  <si>
    <t>Q8NCE0-4_TSEN2</t>
  </si>
  <si>
    <t>Q8NCE2_MTMR14</t>
  </si>
  <si>
    <t>Q8NCF5_NFATC2IP</t>
  </si>
  <si>
    <t>Q8NCG7_DAGLB</t>
  </si>
  <si>
    <t>Q8NCL4_GALNT6</t>
  </si>
  <si>
    <t>Q8NCN4_RNF169</t>
  </si>
  <si>
    <t>Q8NCN5_PDPR</t>
  </si>
  <si>
    <t>Q8NCW5_APOA1BP</t>
  </si>
  <si>
    <t>Q8ND04_SMG8</t>
  </si>
  <si>
    <t>Q8ND24_RNF214</t>
  </si>
  <si>
    <t>Q8ND56-2_LSM14A</t>
  </si>
  <si>
    <t>Q8ND76_CCNY</t>
  </si>
  <si>
    <t>Q8ND90_PNMA1</t>
  </si>
  <si>
    <t>Q8NDC0_MAPK1IP1L</t>
  </si>
  <si>
    <t>Q8NDD1-3_C1orf131</t>
  </si>
  <si>
    <t>Q8NDH3_NPEPL1</t>
  </si>
  <si>
    <t>Q8NDI1-3_EHBP1</t>
  </si>
  <si>
    <t>Q8NDT2_RBM15B</t>
  </si>
  <si>
    <t>Q8NDV3-2_SMC1B</t>
  </si>
  <si>
    <t>Q8NDZ4_C3orf58</t>
  </si>
  <si>
    <t>Q8NE62_CHDH</t>
  </si>
  <si>
    <t>Q8NE71_ABCF1</t>
  </si>
  <si>
    <t>Q8NEG4_FAM83F</t>
  </si>
  <si>
    <t>Q8NEL9-2_DDHD1</t>
  </si>
  <si>
    <t>Q8NEN9_PDZD8</t>
  </si>
  <si>
    <t>Q8NEU8-2_APPL2</t>
  </si>
  <si>
    <t>Q8NEZ5_FBXO22</t>
  </si>
  <si>
    <t>Q8NF37_LPCAT1</t>
  </si>
  <si>
    <t>Q8NFC6_BOD1L1</t>
  </si>
  <si>
    <t>Q8NFF5-2_FLAD1</t>
  </si>
  <si>
    <t>Q8NFH3_NUP43</t>
  </si>
  <si>
    <t>Q8NFH4_NUP37</t>
  </si>
  <si>
    <t>Q8NFI3_ENGASE</t>
  </si>
  <si>
    <t>Q8NFQ8_TOR1AIP2</t>
  </si>
  <si>
    <t>Q8NFU3_TSTD1</t>
  </si>
  <si>
    <t>Q8NFU3-4_TSTD1</t>
  </si>
  <si>
    <t>Q8NFV4_ABHD11</t>
  </si>
  <si>
    <t>Q8NFW8_CMAS</t>
  </si>
  <si>
    <t>Q8NFX7-2_STXBP6</t>
  </si>
  <si>
    <t>Q8NG68_TTL</t>
  </si>
  <si>
    <t>Q8NHG7_SVIP</t>
  </si>
  <si>
    <t>Q8NHG8_ZNRF2</t>
  </si>
  <si>
    <t>Q8NHH9_ATL2</t>
  </si>
  <si>
    <t>Q8NHM5-4_KDM2B</t>
  </si>
  <si>
    <t>Q8NHP8_PLBD2</t>
  </si>
  <si>
    <t>Q8NHU6_TDRD7</t>
  </si>
  <si>
    <t>Q8NHV1_GIMAP7</t>
  </si>
  <si>
    <t>Q8NHV4_NEDD1</t>
  </si>
  <si>
    <t>Q8NI08-2_NCOA7</t>
  </si>
  <si>
    <t>Q8NI22-2_MCFD2</t>
  </si>
  <si>
    <t>Q8NI27_THOC2</t>
  </si>
  <si>
    <t>Q8NI35_INADL</t>
  </si>
  <si>
    <t>Q8NI36_WDR36</t>
  </si>
  <si>
    <t>Q8NI37_PPTC7</t>
  </si>
  <si>
    <t>Q8NI60_ADCK3</t>
  </si>
  <si>
    <t>Q8TA86_RP9</t>
  </si>
  <si>
    <t>Q8TAA5_GRPEL2</t>
  </si>
  <si>
    <t>Q8TAE6_PPP1R14C</t>
  </si>
  <si>
    <t>Q8TAE8_GADD45GIP1</t>
  </si>
  <si>
    <t>Q8TAF3_WDR48</t>
  </si>
  <si>
    <t>Q8TAM6_ERMN</t>
  </si>
  <si>
    <t>Q8TAP6_CEP76</t>
  </si>
  <si>
    <t>Q8TAQ2_SMARCC2</t>
  </si>
  <si>
    <t>Q8TAT6_NPLOC4</t>
  </si>
  <si>
    <t>Q8TB36_GDAP1</t>
  </si>
  <si>
    <t>Q8TB37_NUBPL</t>
  </si>
  <si>
    <t>Q8TB52_FBXO30</t>
  </si>
  <si>
    <t>Q8TB61-3_SLC35B2</t>
  </si>
  <si>
    <t>Q8TB72-3_PUM2</t>
  </si>
  <si>
    <t>Q8TBA6-2_GOLGA5</t>
  </si>
  <si>
    <t>Q8TBB1_LNX1</t>
  </si>
  <si>
    <t>Q8TBB5-3_KLHDC4</t>
  </si>
  <si>
    <t>Q8TBC4_UBA3</t>
  </si>
  <si>
    <t>Q8TBE9_NANP</t>
  </si>
  <si>
    <t>Q8TBF2_FAM213B</t>
  </si>
  <si>
    <t>Q8TBK2-2_SETD6</t>
  </si>
  <si>
    <t>Q8TBP6_SLC25A40</t>
  </si>
  <si>
    <t>Q8TBX8_PIP4K2C</t>
  </si>
  <si>
    <t>Q8TBZ3-4_WDR20</t>
  </si>
  <si>
    <t>Q8TBZ6_TRMT10A</t>
  </si>
  <si>
    <t>Q8TC07-2_TBC1D15</t>
  </si>
  <si>
    <t>Q8TC12_RDH11</t>
  </si>
  <si>
    <t>Q8TCA0_LRRC20</t>
  </si>
  <si>
    <t>Q8TCD1_C18orf32</t>
  </si>
  <si>
    <t>Q8TCD5_NT5C</t>
  </si>
  <si>
    <t>Q8TCG1_KIAA1524</t>
  </si>
  <si>
    <t>Q8TCG2_PI4K2B</t>
  </si>
  <si>
    <t>Q8TCJ2_STT3B</t>
  </si>
  <si>
    <t>Q8TCS8_PNPT1</t>
  </si>
  <si>
    <t>Q8TCT9-5_HM13</t>
  </si>
  <si>
    <t>Q8TCX5-2_RHPN1</t>
  </si>
  <si>
    <t>Q8TCY9-3_URGCP</t>
  </si>
  <si>
    <t>Q8TD16_BICD2</t>
  </si>
  <si>
    <t>Q8TD19_NEK9</t>
  </si>
  <si>
    <t>Q8TD30_GPT2</t>
  </si>
  <si>
    <t>Q8TDB6_DTX3L</t>
  </si>
  <si>
    <t>Q8TDD1-2_DDX54</t>
  </si>
  <si>
    <t>Q8TDH9_BLOC1S5</t>
  </si>
  <si>
    <t>Q8TDJ6-2_DMXL2</t>
  </si>
  <si>
    <t>Q8TDQ7_GNPDA2</t>
  </si>
  <si>
    <t>Q8TDR2_STK35</t>
  </si>
  <si>
    <t>Q8TDX7_NEK7</t>
  </si>
  <si>
    <t>Q8TDY2-2_RB1CC1</t>
  </si>
  <si>
    <t>Q8TDZ2_MICAL1</t>
  </si>
  <si>
    <t>Q8TE04-2_PANK1</t>
  </si>
  <si>
    <t>Q8TE77_SSH3</t>
  </si>
  <si>
    <t>Q8TEA1_NSUN6</t>
  </si>
  <si>
    <t>Q8TEA7-3_TBCK</t>
  </si>
  <si>
    <t>Q8TEA8_DTD1</t>
  </si>
  <si>
    <t>Q8TEB1-2_DCAF11</t>
  </si>
  <si>
    <t>Q8TED0_UTP15</t>
  </si>
  <si>
    <t>Q8TEM1_NUP210</t>
  </si>
  <si>
    <t>Q8TEQ6_GEMIN5</t>
  </si>
  <si>
    <t>Q8TEQ8-2_PIGO</t>
  </si>
  <si>
    <t>Q8TET4_GANC</t>
  </si>
  <si>
    <t>Q8TEV9-2_SMCR8</t>
  </si>
  <si>
    <t>Q8TEX9_IPO4</t>
  </si>
  <si>
    <t>Q8TF01_PNISR</t>
  </si>
  <si>
    <t>Q8TF05-2_PPP4R1</t>
  </si>
  <si>
    <t>Q8TF71_SLC16A10</t>
  </si>
  <si>
    <t>Q8TF74_WIPF2</t>
  </si>
  <si>
    <t>Q8WTS1_ABHD5</t>
  </si>
  <si>
    <t>Q8WTS6_SETD7</t>
  </si>
  <si>
    <t>Q8WTW3_COG1</t>
  </si>
  <si>
    <t>Q8WTW4_NPRL2</t>
  </si>
  <si>
    <t>Q8WTX9_ZDHHC1</t>
  </si>
  <si>
    <t>Q8WU10_PYROXD1</t>
  </si>
  <si>
    <t>Q8WU79-2_SMAP2</t>
  </si>
  <si>
    <t>Q8WU90_ZC3H15</t>
  </si>
  <si>
    <t>Q8WUA2_PPIL4</t>
  </si>
  <si>
    <t>Q8WUA4_GTF3C2</t>
  </si>
  <si>
    <t>Q8WUD1_RAB2B</t>
  </si>
  <si>
    <t>Q8WUF5_PPP1R13L</t>
  </si>
  <si>
    <t>Q8WUF8-3_FAM172A</t>
  </si>
  <si>
    <t>Q8WUH6_C12orf23</t>
  </si>
  <si>
    <t>Q8WUJ0_STYX</t>
  </si>
  <si>
    <t>Q8WUJ3-2_KIAA1199</t>
  </si>
  <si>
    <t>Q8WUK0_PTPMT1</t>
  </si>
  <si>
    <t>Q8WUM0_NUP133</t>
  </si>
  <si>
    <t>Q8WUM4_PDCD6IP</t>
  </si>
  <si>
    <t>Q8WUN7_UBTD2</t>
  </si>
  <si>
    <t>Q8WUP2_FBLIM1</t>
  </si>
  <si>
    <t>Q8WUR7_C15orf40</t>
  </si>
  <si>
    <t>Q8WUX2_CHAC2</t>
  </si>
  <si>
    <t>Q8WUX9_CHMP7</t>
  </si>
  <si>
    <t>Q8WUY1_THEM6</t>
  </si>
  <si>
    <t>Q8WUY8_NAT14</t>
  </si>
  <si>
    <t>Q8WV22_NSMCE1</t>
  </si>
  <si>
    <t>Q8WV41_SNX33</t>
  </si>
  <si>
    <t>Q8WV60_PTCD2</t>
  </si>
  <si>
    <t>Q8WV74_NUDT8</t>
  </si>
  <si>
    <t>Q8WV93_LACE1</t>
  </si>
  <si>
    <t>Q8WVB6_CHTF18</t>
  </si>
  <si>
    <t>Q8WVC0_LEO1</t>
  </si>
  <si>
    <t>Q8WVC2_RPS21</t>
  </si>
  <si>
    <t>Q8WVJ2_NUDCD2</t>
  </si>
  <si>
    <t>Q8WVK2_SNRNP27</t>
  </si>
  <si>
    <t>Q8WVL7_ANKRD49</t>
  </si>
  <si>
    <t>Q8WVM0_TFB1M</t>
  </si>
  <si>
    <t>Q8WVM8_SCFD1</t>
  </si>
  <si>
    <t>Q8WVQ1_CANT1</t>
  </si>
  <si>
    <t>Q8WVT3_TRAPPC12</t>
  </si>
  <si>
    <t>Q8WVV4_POF1B</t>
  </si>
  <si>
    <t>Q8WVV9-4_HNRPLL</t>
  </si>
  <si>
    <t>Q8WVX9_FAR1</t>
  </si>
  <si>
    <t>Q8WVY7_UBLCP1</t>
  </si>
  <si>
    <t>Q8WVZ9_KBTBD7</t>
  </si>
  <si>
    <t>Q8WW01_TSEN15</t>
  </si>
  <si>
    <t>Q8WW12_PCNP</t>
  </si>
  <si>
    <t>Q8WW59_SPRYD4</t>
  </si>
  <si>
    <t>Q8WWB7-2_C1orf85</t>
  </si>
  <si>
    <t>Q8WWC4_C2orf47</t>
  </si>
  <si>
    <t>Q8WWH5_TRUB1</t>
  </si>
  <si>
    <t>Q8WWI5_SLC44A1</t>
  </si>
  <si>
    <t>Q8WWM7_ATXN2L</t>
  </si>
  <si>
    <t>Q8WWV3_RTN4IP1</t>
  </si>
  <si>
    <t>Q8WWX9_SELM</t>
  </si>
  <si>
    <t>Q8WX77_IGFBPL1</t>
  </si>
  <si>
    <t>Q8WX92_NELFB</t>
  </si>
  <si>
    <t>Q8WXA9-2_SREK1</t>
  </si>
  <si>
    <t>Q8WXD2_SCG3</t>
  </si>
  <si>
    <t>Q8WXD5_GEMIN6</t>
  </si>
  <si>
    <t>Q8WXE1-5_ATRIP</t>
  </si>
  <si>
    <t>Q8WXF1_PSPC1</t>
  </si>
  <si>
    <t>Q8WXG6-6_MADD</t>
  </si>
  <si>
    <t>Q8WXH0_SYNE2</t>
  </si>
  <si>
    <t>Q8WXI9_GATAD2B</t>
  </si>
  <si>
    <t>Q8WXX0_DNAH7</t>
  </si>
  <si>
    <t>Q8WXX5_DNAJC9</t>
  </si>
  <si>
    <t>Q8WY22_BRI3BP</t>
  </si>
  <si>
    <t>Q8WYA6_CTNNBL1</t>
  </si>
  <si>
    <t>Q8WYP5_AHCTF1</t>
  </si>
  <si>
    <t>Q8WZ82_OVCA2</t>
  </si>
  <si>
    <t>Q8WZA0_LZIC</t>
  </si>
  <si>
    <t>Q8WZA9_IRGQ</t>
  </si>
  <si>
    <t>Q92466_DDB2</t>
  </si>
  <si>
    <t>Q92485_SMPDL3B</t>
  </si>
  <si>
    <t>Q92499_DDX1</t>
  </si>
  <si>
    <t>Q92504_SLC39A7</t>
  </si>
  <si>
    <t>Q92506_HSD17B8</t>
  </si>
  <si>
    <t>Q92508_PIEZO1</t>
  </si>
  <si>
    <t>Q92520_FAM3C</t>
  </si>
  <si>
    <t>Q92522_H1FX</t>
  </si>
  <si>
    <t>Q92526_CCT6B</t>
  </si>
  <si>
    <t>Q92536_SLC7A6</t>
  </si>
  <si>
    <t>Q92538_GBF1</t>
  </si>
  <si>
    <t>Q92541_RTF1</t>
  </si>
  <si>
    <t>Q92544_TM9SF4</t>
  </si>
  <si>
    <t>Q92547_TOPBP1</t>
  </si>
  <si>
    <t>Q92551_IP6K1</t>
  </si>
  <si>
    <t>Q92552_MRPS27</t>
  </si>
  <si>
    <t>Q92558_WASF1</t>
  </si>
  <si>
    <t>Q92572_AP3S1</t>
  </si>
  <si>
    <t>Q92575_UBXN4</t>
  </si>
  <si>
    <t>Q92576-2_PHF3</t>
  </si>
  <si>
    <t>Q92581_SLC9A6</t>
  </si>
  <si>
    <t>Q92585_MAML1</t>
  </si>
  <si>
    <t>Q92597_NDRG1</t>
  </si>
  <si>
    <t>Q92598-2_HSPH1</t>
  </si>
  <si>
    <t>Q92600_RQCD1</t>
  </si>
  <si>
    <t>Q92609_TBC1D5</t>
  </si>
  <si>
    <t>Q92615_LARP4B</t>
  </si>
  <si>
    <t>Q92616_GCN1L1</t>
  </si>
  <si>
    <t>Q92620_DHX38</t>
  </si>
  <si>
    <t>Q92621_NUP205</t>
  </si>
  <si>
    <t>Q92623_TTC9</t>
  </si>
  <si>
    <t>Q92625_ANKS1A</t>
  </si>
  <si>
    <t>Q92636_NSMAF</t>
  </si>
  <si>
    <t>Q92664-2_GTF3A</t>
  </si>
  <si>
    <t>Q92665_MRPS31</t>
  </si>
  <si>
    <t>Q92667_AKAP1</t>
  </si>
  <si>
    <t>Q92673_SORL1</t>
  </si>
  <si>
    <t>Q92686_NRGN</t>
  </si>
  <si>
    <t>Q92688-2_ANP32B</t>
  </si>
  <si>
    <t>Q92692_PVRL2</t>
  </si>
  <si>
    <t>Q92692-2_PVRL2</t>
  </si>
  <si>
    <t>Q92696_RABGGTA</t>
  </si>
  <si>
    <t>Q92734-2_TFG</t>
  </si>
  <si>
    <t>Q92738_USP6NL</t>
  </si>
  <si>
    <t>Q92747_ARPC1A</t>
  </si>
  <si>
    <t>Q92759_GTF2H4</t>
  </si>
  <si>
    <t>Q92783-2_STAM</t>
  </si>
  <si>
    <t>Q92786_PROX1</t>
  </si>
  <si>
    <t>Q92793_CREBBP</t>
  </si>
  <si>
    <t>Q92797_SYMPK</t>
  </si>
  <si>
    <t>Q92804-2_TAF15</t>
  </si>
  <si>
    <t>Q92805_GOLGA1</t>
  </si>
  <si>
    <t>Q92820_GGH</t>
  </si>
  <si>
    <t>Q92843-2_BCL2L2</t>
  </si>
  <si>
    <t>Q92845-2_KIFAP3</t>
  </si>
  <si>
    <t>Q92854_SEMA4D</t>
  </si>
  <si>
    <t>Q92876_KLK6</t>
  </si>
  <si>
    <t>Q92878_RAD50</t>
  </si>
  <si>
    <t>Q92882_OSTF1</t>
  </si>
  <si>
    <t>Q92890_UFD1L</t>
  </si>
  <si>
    <t>Q92896_GLG1</t>
  </si>
  <si>
    <t>Q92900_UPF1</t>
  </si>
  <si>
    <t>Q92902-2_HPS1</t>
  </si>
  <si>
    <t>Q92905_COPS5</t>
  </si>
  <si>
    <t>Q92917_GPKOW</t>
  </si>
  <si>
    <t>Q92922_SMARCC1</t>
  </si>
  <si>
    <t>Q92934_BAD</t>
  </si>
  <si>
    <t>Q92945_KHSRP</t>
  </si>
  <si>
    <t>Q92947_GCDH</t>
  </si>
  <si>
    <t>Q92963-2_RIT1</t>
  </si>
  <si>
    <t>Q92968_PEX13</t>
  </si>
  <si>
    <t>Q92973-2_TNPO1</t>
  </si>
  <si>
    <t>Q92979_EMG1</t>
  </si>
  <si>
    <t>Q92990_GLMN</t>
  </si>
  <si>
    <t>Q92995_USP13</t>
  </si>
  <si>
    <t>Q93008-1_USP9X</t>
  </si>
  <si>
    <t>Q93015-2_NAT6</t>
  </si>
  <si>
    <t>Q93034_CUL5</t>
  </si>
  <si>
    <t>Q93052_LPP</t>
  </si>
  <si>
    <t>Q93063_EXT2</t>
  </si>
  <si>
    <t>Q93077_HIST1H2AC</t>
  </si>
  <si>
    <t>Q969E4_TCEAL3</t>
  </si>
  <si>
    <t>Q969E8_TSR2</t>
  </si>
  <si>
    <t>Q969G6_RFK</t>
  </si>
  <si>
    <t>Q969H6-2_POP5</t>
  </si>
  <si>
    <t>Q969H8_C19orf10</t>
  </si>
  <si>
    <t>Q969L2_MAL2</t>
  </si>
  <si>
    <t>Q969M3_YIPF5</t>
  </si>
  <si>
    <t>Q969N2-4_PIGT</t>
  </si>
  <si>
    <t>Q969P0-3_IGSF8</t>
  </si>
  <si>
    <t>Q969Q0_RPL36AL</t>
  </si>
  <si>
    <t>Q969S3_ZNF622</t>
  </si>
  <si>
    <t>Q969S9-3_GFM2</t>
  </si>
  <si>
    <t>Q969T7-2_NT5C3B</t>
  </si>
  <si>
    <t>Q969V3-2_NCLN</t>
  </si>
  <si>
    <t>Q969X5-2_ERGIC1</t>
  </si>
  <si>
    <t>Q969X6_CIRH1A</t>
  </si>
  <si>
    <t>Q969Y2-3_GTPBP3</t>
  </si>
  <si>
    <t>Q969Z0_TBRG4</t>
  </si>
  <si>
    <t>Q96A22_C11orf52</t>
  </si>
  <si>
    <t>Q96A29-2_SLC35C1</t>
  </si>
  <si>
    <t>Q96A33_CCDC47</t>
  </si>
  <si>
    <t>Q96A49_SYAP1</t>
  </si>
  <si>
    <t>Q96A59-2_MARVELD3</t>
  </si>
  <si>
    <t>Q96A65_EXOC4</t>
  </si>
  <si>
    <t>Q96A73_KIAA1191</t>
  </si>
  <si>
    <t>Q96AB3_ISOC2</t>
  </si>
  <si>
    <t>Q96AB6_NTAN1</t>
  </si>
  <si>
    <t>Q96AE4_FUBP1</t>
  </si>
  <si>
    <t>Q96AE4-2_FUBP1</t>
  </si>
  <si>
    <t>Q96AG4_LRRC59</t>
  </si>
  <si>
    <t>Q96AJ9-1_VTI1A</t>
  </si>
  <si>
    <t>Q96AQ8_MCUR1</t>
  </si>
  <si>
    <t>Q96AT1_KIAA1143</t>
  </si>
  <si>
    <t>Q96AT9_RPE</t>
  </si>
  <si>
    <t>Q96AY3_FKBP10</t>
  </si>
  <si>
    <t>Q96AZ6_ISG20</t>
  </si>
  <si>
    <t>Q96B01-2_RAD51AP1</t>
  </si>
  <si>
    <t>Q96B21_TMEM45B</t>
  </si>
  <si>
    <t>Q96B23-2_C18orf25</t>
  </si>
  <si>
    <t>Q96B26_EXOSC8</t>
  </si>
  <si>
    <t>Q96B36_AKT1S1</t>
  </si>
  <si>
    <t>Q96B45_C10orf32</t>
  </si>
  <si>
    <t>Q96B49_TOMM6</t>
  </si>
  <si>
    <t>Q96B70_LENG9</t>
  </si>
  <si>
    <t>Q96B97_SH3KBP1</t>
  </si>
  <si>
    <t>Q96BJ3_AIDA</t>
  </si>
  <si>
    <t>Q96BK5_PINX1</t>
  </si>
  <si>
    <t>Q96BM9_ARL8A</t>
  </si>
  <si>
    <t>Q96BN8_FAM105B</t>
  </si>
  <si>
    <t>Q96BP2_CHCHD1</t>
  </si>
  <si>
    <t>Q96BP3_PPWD1</t>
  </si>
  <si>
    <t>Q96BR5_SELRC1</t>
  </si>
  <si>
    <t>Q96BW1_UPRT</t>
  </si>
  <si>
    <t>Q96BW5-2_PTER</t>
  </si>
  <si>
    <t>Q96BY7_ATG2B</t>
  </si>
  <si>
    <t>Q96BZ8_LENG1</t>
  </si>
  <si>
    <t>Q96BZ9_TBC1D20</t>
  </si>
  <si>
    <t>Q96C01_FAM136A</t>
  </si>
  <si>
    <t>Q96C19_EFHD2</t>
  </si>
  <si>
    <t>Q96C23_GALM</t>
  </si>
  <si>
    <t>Q96C34-2_RUNDC1</t>
  </si>
  <si>
    <t>Q96C36_PYCR2</t>
  </si>
  <si>
    <t>Q96C57_C12orf43</t>
  </si>
  <si>
    <t>Q96C86_DCPS</t>
  </si>
  <si>
    <t>Q96C90_PPP1R14B</t>
  </si>
  <si>
    <t>Q96CB9_NSUN4</t>
  </si>
  <si>
    <t>Q96CD0_FBXL8</t>
  </si>
  <si>
    <t>Q96CD2_PPCDC</t>
  </si>
  <si>
    <t>Q96CF2_CHMP4C</t>
  </si>
  <si>
    <t>Q96CG8_CTHRC1</t>
  </si>
  <si>
    <t>Q96CN7_ISOC1</t>
  </si>
  <si>
    <t>Q96CN9_GCC1</t>
  </si>
  <si>
    <t>Q96CP2_FLYWCH2</t>
  </si>
  <si>
    <t>Q96CS2_HAUS1</t>
  </si>
  <si>
    <t>Q96CS3_FAF2</t>
  </si>
  <si>
    <t>Q96CT7_CCDC124</t>
  </si>
  <si>
    <t>Q96CU9_FOXRED1</t>
  </si>
  <si>
    <t>Q96CV9-3_OPTN</t>
  </si>
  <si>
    <t>Q96CW1-2_AP2M1</t>
  </si>
  <si>
    <t>Q96CW5_TUBGCP3</t>
  </si>
  <si>
    <t>Q96CW6_SLC7A6OS</t>
  </si>
  <si>
    <t>Q96CX2_KCTD12</t>
  </si>
  <si>
    <t>Q96D31-2_ORAI1</t>
  </si>
  <si>
    <t>Q96D53-2_ADCK4</t>
  </si>
  <si>
    <t>Q96D71-3_REPS1</t>
  </si>
  <si>
    <t>Q96DA6_DNAJC19</t>
  </si>
  <si>
    <t>Q96DB5_RMDN1</t>
  </si>
  <si>
    <t>Q96DD7_SHISA4</t>
  </si>
  <si>
    <t>Q96DE0_NUDT16</t>
  </si>
  <si>
    <t>Q96DF8_DGCR14</t>
  </si>
  <si>
    <t>Q96DG6_CMBL</t>
  </si>
  <si>
    <t>Q96DI7_SNRNP40</t>
  </si>
  <si>
    <t>Q96DR4_STARD4</t>
  </si>
  <si>
    <t>Q96DV4_MRPL38</t>
  </si>
  <si>
    <t>Q96DX4_RSPRY1</t>
  </si>
  <si>
    <t>Q96DX5-2_ASB9</t>
  </si>
  <si>
    <t>Q96DX7_TRIM44</t>
  </si>
  <si>
    <t>Q96DZ1_ERLEC1</t>
  </si>
  <si>
    <t>Q96E09_FAM122A</t>
  </si>
  <si>
    <t>Q96E11-3_MRRF</t>
  </si>
  <si>
    <t>Q96E14_RMI2</t>
  </si>
  <si>
    <t>Q96E22_NUS1</t>
  </si>
  <si>
    <t>Q96E52_OMA1</t>
  </si>
  <si>
    <t>Q96EA4_SPDL1</t>
  </si>
  <si>
    <t>Q96EB1_ELP4</t>
  </si>
  <si>
    <t>Q96EB6_SIRT1</t>
  </si>
  <si>
    <t>Q96EC8_YIPF6</t>
  </si>
  <si>
    <t>Q96EE3-1_SEH1L</t>
  </si>
  <si>
    <t>Q96EF9_ZHX1-C8orf76</t>
  </si>
  <si>
    <t>Q96EH3_MALSU1</t>
  </si>
  <si>
    <t>Q96EI5_TCEAL4</t>
  </si>
  <si>
    <t>Q96EK5_KIAA1279</t>
  </si>
  <si>
    <t>Q96EK6_GNPNAT1</t>
  </si>
  <si>
    <t>Q96EL3_MRPL53</t>
  </si>
  <si>
    <t>Q96EP0_RNF31</t>
  </si>
  <si>
    <t>Q96EP5-2_DAZAP1</t>
  </si>
  <si>
    <t>Q96EQ0_SGTB</t>
  </si>
  <si>
    <t>Q96ER3_SAAL1</t>
  </si>
  <si>
    <t>Q96ER9_CCDC51</t>
  </si>
  <si>
    <t>Q96ES7_CCDC101</t>
  </si>
  <si>
    <t>Q96EU6-2_RRP36</t>
  </si>
  <si>
    <t>Q96EU7_C1GALT1C1</t>
  </si>
  <si>
    <t>Q96EV2_RBM33</t>
  </si>
  <si>
    <t>Q96EV8_DTNBP1</t>
  </si>
  <si>
    <t>Q96EW2_HSPBAP1</t>
  </si>
  <si>
    <t>Q96EX1_SMIM12</t>
  </si>
  <si>
    <t>Q96EX3_WDR34</t>
  </si>
  <si>
    <t>Q96EY1_DNAJA3</t>
  </si>
  <si>
    <t>Q96EY5_MVB12A</t>
  </si>
  <si>
    <t>Q96EY7_PTCD3</t>
  </si>
  <si>
    <t>Q96EY8_MMAB</t>
  </si>
  <si>
    <t>Q96EY9_ADAT3</t>
  </si>
  <si>
    <t>Q96F24-2_NRBF2</t>
  </si>
  <si>
    <t>Q96F25_ALG14</t>
  </si>
  <si>
    <t>Q96F45_ZNF503</t>
  </si>
  <si>
    <t>Q96F63_CCDC97</t>
  </si>
  <si>
    <t>Q96F86_EDC3</t>
  </si>
  <si>
    <t>Q96FA3_PELI1</t>
  </si>
  <si>
    <t>Q96FC9-4_DDX11</t>
  </si>
  <si>
    <t>Q96FE5-2_LINGO1</t>
  </si>
  <si>
    <t>Q96FF7_</t>
  </si>
  <si>
    <t>Q96FH0_MEF2BNB</t>
  </si>
  <si>
    <t>Q96FK6_WDR89</t>
  </si>
  <si>
    <t>Q96FQ6_S100A16</t>
  </si>
  <si>
    <t>Q96FV9_THOC1</t>
  </si>
  <si>
    <t>Q96FX2_DPH3</t>
  </si>
  <si>
    <t>Q96FX7_TRMT61A</t>
  </si>
  <si>
    <t>Q96FZ2_C3orf37</t>
  </si>
  <si>
    <t>Q96FZ7_CHMP6</t>
  </si>
  <si>
    <t>Q96G03_PGM2</t>
  </si>
  <si>
    <t>Q96G04_FAM86A</t>
  </si>
  <si>
    <t>Q96G25_MED8</t>
  </si>
  <si>
    <t>Q96G28_CCDC104</t>
  </si>
  <si>
    <t>Q96G46_DUS3L</t>
  </si>
  <si>
    <t>Q96G74-3_OTUD5</t>
  </si>
  <si>
    <t>Q96GA3_LTV1</t>
  </si>
  <si>
    <t>Q96GA7_SDSL</t>
  </si>
  <si>
    <t>Q96GD0_PDXP</t>
  </si>
  <si>
    <t>Q96GF1_RNF185</t>
  </si>
  <si>
    <t>Q96GG9_DCUN1D1</t>
  </si>
  <si>
    <t>Q96GK7_FAHD2A</t>
  </si>
  <si>
    <t>Q96GM8_TOE1</t>
  </si>
  <si>
    <t>Q96GQ7_DDX27</t>
  </si>
  <si>
    <t>Q96GS4_C17orf59</t>
  </si>
  <si>
    <t>Q96GV9_C5orf30</t>
  </si>
  <si>
    <t>Q96GW9_MARS2</t>
  </si>
  <si>
    <t>Q96GX2_ATXN7L3B</t>
  </si>
  <si>
    <t>Q96GX5-2_MASTL</t>
  </si>
  <si>
    <t>Q96GX9-3_APIP</t>
  </si>
  <si>
    <t>Q96GY0_ZC2HC1A</t>
  </si>
  <si>
    <t>Q96H20_SNF8</t>
  </si>
  <si>
    <t>Q96H79_ZC3HAV1L</t>
  </si>
  <si>
    <t>Q96HC4_PDLIM5</t>
  </si>
  <si>
    <t>Q96HD1_CRELD1</t>
  </si>
  <si>
    <t>Q96HE7_ERO1L</t>
  </si>
  <si>
    <t>Q96HJ9_C7orf55</t>
  </si>
  <si>
    <t>Q96HJ9-2_C7orf55</t>
  </si>
  <si>
    <t>Q96HL8-2_SH3YL1</t>
  </si>
  <si>
    <t>Q96HN2-2_AHCYL2</t>
  </si>
  <si>
    <t>Q96HQ2-2_CDKN2AIPNL</t>
  </si>
  <si>
    <t>Q96HR8-2_NAF1</t>
  </si>
  <si>
    <t>Q96HS1_PGAM5</t>
  </si>
  <si>
    <t>Q96HW7_INTS4</t>
  </si>
  <si>
    <t>Q96HY6_DDRGK1</t>
  </si>
  <si>
    <t>Q96HY7_DHTKD1</t>
  </si>
  <si>
    <t>Q96I15_SCLY</t>
  </si>
  <si>
    <t>Q96I24_FUBP3</t>
  </si>
  <si>
    <t>Q96I25_RBM17</t>
  </si>
  <si>
    <t>Q96I36_COX14</t>
  </si>
  <si>
    <t>Q96I51_WBSCR16</t>
  </si>
  <si>
    <t>Q96I59_NARS2</t>
  </si>
  <si>
    <t>Q96I99_SUCLG2</t>
  </si>
  <si>
    <t>Q96IJ6_GMPPA</t>
  </si>
  <si>
    <t>Q96IK1_BOD1</t>
  </si>
  <si>
    <t>Q96IQ9_ZNF414</t>
  </si>
  <si>
    <t>Q96IR2_ZNF845</t>
  </si>
  <si>
    <t>Q96IR7_HPDL</t>
  </si>
  <si>
    <t>Q96IU4_ABHD14B</t>
  </si>
  <si>
    <t>Q96IV0-2_NGLY1</t>
  </si>
  <si>
    <t>Q96IX5_USMG5</t>
  </si>
  <si>
    <t>Q96IY1_NSL1</t>
  </si>
  <si>
    <t>Q96IZ0_PAWR</t>
  </si>
  <si>
    <t>Q96IZ7-2_RSRC1</t>
  </si>
  <si>
    <t>Q96J01_THOC3</t>
  </si>
  <si>
    <t>Q96J02-2_ITCH</t>
  </si>
  <si>
    <t>Q96J92-3_WNK4</t>
  </si>
  <si>
    <t>Q96JA1_LRIG1</t>
  </si>
  <si>
    <t>Q96JB2_COG3</t>
  </si>
  <si>
    <t>Q96JB5_CDK5RAP3</t>
  </si>
  <si>
    <t>Q96JC1-2_VPS39</t>
  </si>
  <si>
    <t>Q96JC9_EAF1</t>
  </si>
  <si>
    <t>Q96JG6-3_CCDC132</t>
  </si>
  <si>
    <t>Q96JH7_VCPIP1</t>
  </si>
  <si>
    <t>Q96JJ7_TMX3</t>
  </si>
  <si>
    <t>Q96JK9_MAML3</t>
  </si>
  <si>
    <t>Q96JM3_CHAMP1</t>
  </si>
  <si>
    <t>Q96JM7-2_L3MBTL3</t>
  </si>
  <si>
    <t>Q96JP5_ZFP91</t>
  </si>
  <si>
    <t>Q96K17-2_BTF3L4</t>
  </si>
  <si>
    <t>Q96K19-2_RNF170</t>
  </si>
  <si>
    <t>Q96K80_ZC3H10</t>
  </si>
  <si>
    <t>Q96KA5-2_CLPTM1L</t>
  </si>
  <si>
    <t>Q96KB5_PBK</t>
  </si>
  <si>
    <t>Q96KC8_DNAJC1</t>
  </si>
  <si>
    <t>Q96KN1_FAM84B</t>
  </si>
  <si>
    <t>Q96KP1_EXOC2</t>
  </si>
  <si>
    <t>Q96KP4_CNDP2</t>
  </si>
  <si>
    <t>Q96KR1_ZFR</t>
  </si>
  <si>
    <t>Q96L58_B3GALT6</t>
  </si>
  <si>
    <t>Q96L91-4_EP400</t>
  </si>
  <si>
    <t>Q96L92_SNX27</t>
  </si>
  <si>
    <t>Q96L93-6_KIF16B</t>
  </si>
  <si>
    <t>Q96L96_ALPK3</t>
  </si>
  <si>
    <t>Q96LA8_PRMT6</t>
  </si>
  <si>
    <t>Q96LB3_IFT74</t>
  </si>
  <si>
    <t>Q96LD4_TRIM47</t>
  </si>
  <si>
    <t>Q96LD8_SENP8</t>
  </si>
  <si>
    <t>Q96LJ7_DHRS1</t>
  </si>
  <si>
    <t>Q96LR5_UBE2E2</t>
  </si>
  <si>
    <t>Q96M20-2_CNBD2</t>
  </si>
  <si>
    <t>Q96M27_PRRC1</t>
  </si>
  <si>
    <t>Q96ME1-4_FBXL18</t>
  </si>
  <si>
    <t>Q96MG2_JSRP1</t>
  </si>
  <si>
    <t>Q96MG7_NDNL2</t>
  </si>
  <si>
    <t>Q96MH2_HEXIM2</t>
  </si>
  <si>
    <t>Q96MH6_TMEM68</t>
  </si>
  <si>
    <t>Q96MX6_WDR92</t>
  </si>
  <si>
    <t>Q96N21-2_ENTHD2</t>
  </si>
  <si>
    <t>Q96N66-2_MBOAT7</t>
  </si>
  <si>
    <t>Q96N67-4_DOCK7</t>
  </si>
  <si>
    <t>Q96NB2_SFXN2</t>
  </si>
  <si>
    <t>Q96NB3_ZNF830</t>
  </si>
  <si>
    <t>Q96NC0_ZMAT2</t>
  </si>
  <si>
    <t>Q96NT1_NAP1L5</t>
  </si>
  <si>
    <t>Q96NU7_AMDHD1</t>
  </si>
  <si>
    <t>Q96NY7-2_CLIC6</t>
  </si>
  <si>
    <t>Q96P11-2_NSUN5</t>
  </si>
  <si>
    <t>Q96P16_RPRD1A</t>
  </si>
  <si>
    <t>Q96P48-3_ARAP1</t>
  </si>
  <si>
    <t>Q96P70_IPO9</t>
  </si>
  <si>
    <t>Q96PD2_DCBLD2</t>
  </si>
  <si>
    <t>Q96PE2_ARHGEF17</t>
  </si>
  <si>
    <t>Q96PE7_MCEE</t>
  </si>
  <si>
    <t>Q96PK6_RBM14</t>
  </si>
  <si>
    <t>Q96PM5_RCHY1</t>
  </si>
  <si>
    <t>Q96PY5_FMNL2</t>
  </si>
  <si>
    <t>Q96PZ0_PUS7</t>
  </si>
  <si>
    <t>Q96Q11-2_TRNT1</t>
  </si>
  <si>
    <t>Q96Q83_ALKBH3</t>
  </si>
  <si>
    <t>Q96QC0_PPP1R10</t>
  </si>
  <si>
    <t>Q96QC4_MICA</t>
  </si>
  <si>
    <t>Q96QD8_SLC38A2</t>
  </si>
  <si>
    <t>Q96QE2_SLC2A13</t>
  </si>
  <si>
    <t>Q96QE5_TEFM</t>
  </si>
  <si>
    <t>Q96QF0-2_RAB3IP</t>
  </si>
  <si>
    <t>Q96QK1_VPS35</t>
  </si>
  <si>
    <t>Q96QR8_PURB</t>
  </si>
  <si>
    <t>Q96QU8_XPO6</t>
  </si>
  <si>
    <t>Q96QZ7-6_MAGI1</t>
  </si>
  <si>
    <t>Q96R06_SPAG5</t>
  </si>
  <si>
    <t>Q96RD7-2_PANX1</t>
  </si>
  <si>
    <t>Q96RE7_NACC1</t>
  </si>
  <si>
    <t>Q96RL7-4_VPS13A</t>
  </si>
  <si>
    <t>Q96RN5-3_MED15</t>
  </si>
  <si>
    <t>Q96RP9_GFM1</t>
  </si>
  <si>
    <t>Q96RP9-2_GFM1</t>
  </si>
  <si>
    <t>Q96RQ1_ERGIC2</t>
  </si>
  <si>
    <t>Q96RR1_PEO1</t>
  </si>
  <si>
    <t>Q96RR4-2_CAMKK2</t>
  </si>
  <si>
    <t>Q96RS0_TGS1</t>
  </si>
  <si>
    <t>Q96RS6_NUDCD1</t>
  </si>
  <si>
    <t>Q96RT1-4_ERBB2IP</t>
  </si>
  <si>
    <t>Q96S16_JMJD8</t>
  </si>
  <si>
    <t>Q96S19_C16orf13</t>
  </si>
  <si>
    <t>Q96S44_TP53RK</t>
  </si>
  <si>
    <t>Q96S52_PIGS</t>
  </si>
  <si>
    <t>Q96S55-2_WRNIP1</t>
  </si>
  <si>
    <t>Q96S59_RANBP9</t>
  </si>
  <si>
    <t>Q96S66_CLCC1</t>
  </si>
  <si>
    <t>Q96S82_UBL7</t>
  </si>
  <si>
    <t>Q96S90_LYSMD1</t>
  </si>
  <si>
    <t>Q96S94_CCNL2</t>
  </si>
  <si>
    <t>Q96S99_PLEKHF1</t>
  </si>
  <si>
    <t>Q96SB4_SRPK1</t>
  </si>
  <si>
    <t>Q96SB8_SMC6</t>
  </si>
  <si>
    <t>Q96SH1_TFAP2A</t>
  </si>
  <si>
    <t>Q96SI1_KCTD15</t>
  </si>
  <si>
    <t>Q96SK2-2_TMEM209</t>
  </si>
  <si>
    <t>Q96ST2_IWS1</t>
  </si>
  <si>
    <t>Q96ST3_SIN3A</t>
  </si>
  <si>
    <t>Q96SZ5_ADO</t>
  </si>
  <si>
    <t>Q96SZ6-3_CDK5RAP1</t>
  </si>
  <si>
    <t>Q96T17_MAP7D2</t>
  </si>
  <si>
    <t>Q96T21-2_SECISBP2</t>
  </si>
  <si>
    <t>Q96T23-2_RSF1</t>
  </si>
  <si>
    <t>Q96T25_ZIC5</t>
  </si>
  <si>
    <t>Q96T37-2_RBM15</t>
  </si>
  <si>
    <t>Q96T51_RUFY1</t>
  </si>
  <si>
    <t>Q96T58_SPEN</t>
  </si>
  <si>
    <t>Q96T60_PNKP</t>
  </si>
  <si>
    <t>Q96T66_NMNAT3</t>
  </si>
  <si>
    <t>Q96T76_MMS19</t>
  </si>
  <si>
    <t>Q96T88_UHRF1</t>
  </si>
  <si>
    <t>Q96TA1-2_FAM129B</t>
  </si>
  <si>
    <t>Q96TA2-3_YME1L1</t>
  </si>
  <si>
    <t>Q96TC7_RMDN3</t>
  </si>
  <si>
    <t>Q99081_TCF12</t>
  </si>
  <si>
    <t>Q99417_MYCBP</t>
  </si>
  <si>
    <t>Q99426_TBCB</t>
  </si>
  <si>
    <t>Q99436_PSMB7</t>
  </si>
  <si>
    <t>Q99447_PCYT2</t>
  </si>
  <si>
    <t>Q99459_CDC5L</t>
  </si>
  <si>
    <t>Q99460_PSMD1</t>
  </si>
  <si>
    <t>Q99470_SDF2</t>
  </si>
  <si>
    <t>Q99471_PFDN5</t>
  </si>
  <si>
    <t>Q99487_PAFAH2</t>
  </si>
  <si>
    <t>Q99489-2_DDO</t>
  </si>
  <si>
    <t>Q99496_RNF2</t>
  </si>
  <si>
    <t>Q99497_PARK7</t>
  </si>
  <si>
    <t>Q99519_NEU1</t>
  </si>
  <si>
    <t>Q99523_SORT1</t>
  </si>
  <si>
    <t>Q99536_VAT1</t>
  </si>
  <si>
    <t>Q99538_LGMN</t>
  </si>
  <si>
    <t>Q99541_PLIN2</t>
  </si>
  <si>
    <t>Q99543_DNAJC2</t>
  </si>
  <si>
    <t>Q99549_MPHOSPH8</t>
  </si>
  <si>
    <t>Q99567_NUP88</t>
  </si>
  <si>
    <t>Q99570_PIK3R4</t>
  </si>
  <si>
    <t>Q99574_SERPINI1</t>
  </si>
  <si>
    <t>Q99575_POP1</t>
  </si>
  <si>
    <t>Q99583_MNT</t>
  </si>
  <si>
    <t>Q99584_S100A13</t>
  </si>
  <si>
    <t>Q99592_ZBTB18</t>
  </si>
  <si>
    <t>Q99595_TIMM17A</t>
  </si>
  <si>
    <t>Q99598_TSNAX</t>
  </si>
  <si>
    <t>Q99611_SEPHS2</t>
  </si>
  <si>
    <t>Q99614_TTC1</t>
  </si>
  <si>
    <t>Q99615_DNAJC7</t>
  </si>
  <si>
    <t>Q99618_CDCA3</t>
  </si>
  <si>
    <t>Q99622_C12orf57</t>
  </si>
  <si>
    <t>Q99623_PHB2</t>
  </si>
  <si>
    <t>Q99627_COPS8</t>
  </si>
  <si>
    <t>Q99633_PRPF18</t>
  </si>
  <si>
    <t>Q99638_RAD9A</t>
  </si>
  <si>
    <t>Q99653_CHP1</t>
  </si>
  <si>
    <t>Q99661_KIF2C</t>
  </si>
  <si>
    <t>Q99674_CGREF1</t>
  </si>
  <si>
    <t>Q99700-4_ATXN2</t>
  </si>
  <si>
    <t>Q99704_DOK1</t>
  </si>
  <si>
    <t>Q99707_MTR</t>
  </si>
  <si>
    <t>Q99714_HSD17B10</t>
  </si>
  <si>
    <t>Q99720_SIGMAR1</t>
  </si>
  <si>
    <t>Q99729-3_HNRNPAB</t>
  </si>
  <si>
    <t>Q99733_NAP1L4</t>
  </si>
  <si>
    <t>Q99735-2_MGST2</t>
  </si>
  <si>
    <t>Q99747_NAPG</t>
  </si>
  <si>
    <t>Q99757_TXN2</t>
  </si>
  <si>
    <t>Q99766_ATP5S</t>
  </si>
  <si>
    <t>Q99797_MIPEP</t>
  </si>
  <si>
    <t>Q99805_TM9SF2</t>
  </si>
  <si>
    <t>Q99808_SLC29A1</t>
  </si>
  <si>
    <t>Q99816_TSG101</t>
  </si>
  <si>
    <t>Q99828_CIB1</t>
  </si>
  <si>
    <t>Q99829_CPNE1</t>
  </si>
  <si>
    <t>Q99832_CCT7</t>
  </si>
  <si>
    <t>Q99878_HIST1H2AJ</t>
  </si>
  <si>
    <t>Q99959-2_PKP2</t>
  </si>
  <si>
    <t>Q99961_SH3GL1</t>
  </si>
  <si>
    <t>Q99986_VRK1</t>
  </si>
  <si>
    <t>Q99988_GDF15</t>
  </si>
  <si>
    <t>Q99996-5_AKAP9</t>
  </si>
  <si>
    <t>Q9BPW8_NIPSNAP1</t>
  </si>
  <si>
    <t>Q9BPX3_NCAPG</t>
  </si>
  <si>
    <t>Q9BPX5_ARPC5L</t>
  </si>
  <si>
    <t>Q9BQ13_KCTD14</t>
  </si>
  <si>
    <t>Q9BQ24_ZFYVE21</t>
  </si>
  <si>
    <t>Q9BQ39_DDX50</t>
  </si>
  <si>
    <t>Q9BQ52_ELAC2</t>
  </si>
  <si>
    <t>Q9BQ61_C19orf43</t>
  </si>
  <si>
    <t>Q9BQ67_GRWD1</t>
  </si>
  <si>
    <t>Q9BQ69_MACROD1</t>
  </si>
  <si>
    <t>Q9BQ70_TCF25</t>
  </si>
  <si>
    <t>Q9BQ90_KLHDC3</t>
  </si>
  <si>
    <t>Q9BQ95_ECSIT</t>
  </si>
  <si>
    <t>Q9BQA1_WDR77</t>
  </si>
  <si>
    <t>Q9BQC3_DPH2</t>
  </si>
  <si>
    <t>Q9BQG0_MYBBP1A</t>
  </si>
  <si>
    <t>Q9BQG2_NUDT12</t>
  </si>
  <si>
    <t>Q9BQI7_PSD2</t>
  </si>
  <si>
    <t>Q9BQL6_FERMT1</t>
  </si>
  <si>
    <t>Q9BQP7_MGME1</t>
  </si>
  <si>
    <t>Q9BQQ3_GORASP1</t>
  </si>
  <si>
    <t>Q9BQS8_FYCO1</t>
  </si>
  <si>
    <t>Q9BQT8-2_SLC25A21</t>
  </si>
  <si>
    <t>Q9BQT9_CLSTN3</t>
  </si>
  <si>
    <t>Q9BR61_ACBD6</t>
  </si>
  <si>
    <t>Q9BR76_CORO1B</t>
  </si>
  <si>
    <t>Q9BRA0-2_LSMD1</t>
  </si>
  <si>
    <t>Q9BRA2_TXNDC17</t>
  </si>
  <si>
    <t>Q9BRD0_BUD13</t>
  </si>
  <si>
    <t>Q9BRF8_CPPED1</t>
  </si>
  <si>
    <t>Q9BRG1_VPS25</t>
  </si>
  <si>
    <t>Q9BRJ2_MRPL45</t>
  </si>
  <si>
    <t>Q9BRK5_SDF4</t>
  </si>
  <si>
    <t>Q9BRL6-2_SRSF8</t>
  </si>
  <si>
    <t>Q9BRP1_PDCD2L</t>
  </si>
  <si>
    <t>Q9BRP4_PAAF1</t>
  </si>
  <si>
    <t>Q9BRP8-2_WIBG</t>
  </si>
  <si>
    <t>Q9BRQ8_AIFM2</t>
  </si>
  <si>
    <t>Q9BRR0-2_ZKSCAN3</t>
  </si>
  <si>
    <t>Q9BRR6-2_ADPGK</t>
  </si>
  <si>
    <t>Q9BRS2_RIOK1</t>
  </si>
  <si>
    <t>Q9BRT2_MNF1</t>
  </si>
  <si>
    <t>Q9BRT3_MIEN1</t>
  </si>
  <si>
    <t>Q9BRT8-3_CBWD1</t>
  </si>
  <si>
    <t>Q9BRT9_GINS4</t>
  </si>
  <si>
    <t>Q9BRV8_SIKE1</t>
  </si>
  <si>
    <t>Q9BRX2_PELO</t>
  </si>
  <si>
    <t>Q9BRX5_GINS3</t>
  </si>
  <si>
    <t>Q9BRX8-2_FAM213A</t>
  </si>
  <si>
    <t>Q9BRZ2_TRIM56</t>
  </si>
  <si>
    <t>Q9BS18_ANAPC13</t>
  </si>
  <si>
    <t>Q9BS26_ERP44</t>
  </si>
  <si>
    <t>Q9BSB4_ATG101</t>
  </si>
  <si>
    <t>Q9BSD7_NTPCR</t>
  </si>
  <si>
    <t>Q9BSE5_AGMAT</t>
  </si>
  <si>
    <t>Q9BSF4_C19orf52</t>
  </si>
  <si>
    <t>Q9BSH4_TACO1</t>
  </si>
  <si>
    <t>Q9BSH5_HDHD3</t>
  </si>
  <si>
    <t>Q9BSJ2_TUBGCP2</t>
  </si>
  <si>
    <t>Q9BSJ5-3_C17orf80</t>
  </si>
  <si>
    <t>Q9BSJ6_FAM64A</t>
  </si>
  <si>
    <t>Q9BSJ8_ESYT1</t>
  </si>
  <si>
    <t>Q9BSK2_SLC25A33</t>
  </si>
  <si>
    <t>Q9BSL1_UBAC1</t>
  </si>
  <si>
    <t>Q9BSR8_YIPF4</t>
  </si>
  <si>
    <t>Q9BST9_RTKN</t>
  </si>
  <si>
    <t>Q9BSU1_C16orf70</t>
  </si>
  <si>
    <t>Q9BSV6_TSEN34</t>
  </si>
  <si>
    <t>Q9BSY4_CHCHD5</t>
  </si>
  <si>
    <t>Q9BT09_CNPY3</t>
  </si>
  <si>
    <t>Q9BT17_MTG1</t>
  </si>
  <si>
    <t>Q9BT22_ALG1</t>
  </si>
  <si>
    <t>Q9BT23_LIMD2</t>
  </si>
  <si>
    <t>Q9BT30_ALKBH7</t>
  </si>
  <si>
    <t>Q9BT73_PSMG3</t>
  </si>
  <si>
    <t>Q9BT78_COPS4</t>
  </si>
  <si>
    <t>Q9BTA9_WAC</t>
  </si>
  <si>
    <t>Q9BTC0_DIDO1</t>
  </si>
  <si>
    <t>Q9BTE3-2_MCMBP</t>
  </si>
  <si>
    <t>Q9BTE6_AARSD1</t>
  </si>
  <si>
    <t>Q9BTE7_DCUN1D5</t>
  </si>
  <si>
    <t>Q9BTF0-2_THUMPD2</t>
  </si>
  <si>
    <t>Q9BTL3_FAM103A1</t>
  </si>
  <si>
    <t>Q9BTT0_ANP32E</t>
  </si>
  <si>
    <t>Q9BTT6_LRRC1</t>
  </si>
  <si>
    <t>Q9BTU6_PI4K2A</t>
  </si>
  <si>
    <t>Q9BTV4_TMEM43</t>
  </si>
  <si>
    <t>Q9BTV6_WDR85</t>
  </si>
  <si>
    <t>Q9BTX7_TTPAL</t>
  </si>
  <si>
    <t>Q9BTY2_FUCA2</t>
  </si>
  <si>
    <t>Q9BTY7_FAM203A</t>
  </si>
  <si>
    <t>Q9BTZ2_DHRS4</t>
  </si>
  <si>
    <t>Q9BU02_THTPA</t>
  </si>
  <si>
    <t>Q9BU23-3_LMF2</t>
  </si>
  <si>
    <t>Q9BU61_NDUFAF3</t>
  </si>
  <si>
    <t>Q9BU76-4_MMTAG2</t>
  </si>
  <si>
    <t>Q9BU89_DOHH</t>
  </si>
  <si>
    <t>Q9BUA3_C11orf84</t>
  </si>
  <si>
    <t>Q9BUB7-2_TMEM70</t>
  </si>
  <si>
    <t>Q9BUE6_ISCA1</t>
  </si>
  <si>
    <t>Q9BUF5_TUBB6</t>
  </si>
  <si>
    <t>Q9BUH6_C9orf142</t>
  </si>
  <si>
    <t>Q9BUI4_POLR3C</t>
  </si>
  <si>
    <t>Q9BUJ2-2_HNRNPUL1</t>
  </si>
  <si>
    <t>Q9BUK6-2_MSTO1</t>
  </si>
  <si>
    <t>Q9BUL9_RPP25</t>
  </si>
  <si>
    <t>Q9BUP3-3_HTATIP2</t>
  </si>
  <si>
    <t>Q9BUQ8_DDX23</t>
  </si>
  <si>
    <t>Q9BUR4_WRAP53</t>
  </si>
  <si>
    <t>Q9BUT9_FAM195A</t>
  </si>
  <si>
    <t>Q9BUW7_C9orf16</t>
  </si>
  <si>
    <t>Q9BUZ4-2_TRAF4</t>
  </si>
  <si>
    <t>Q9BV19_C1orf50</t>
  </si>
  <si>
    <t>Q9BV20_MRI1</t>
  </si>
  <si>
    <t>Q9BV23_ABHD6</t>
  </si>
  <si>
    <t>Q9BV35_SLC25A23</t>
  </si>
  <si>
    <t>Q9BV38_WDR18</t>
  </si>
  <si>
    <t>Q9BV40_VAMP8</t>
  </si>
  <si>
    <t>Q9BV44_THUMPD3</t>
  </si>
  <si>
    <t>Q9BV57_ADI1</t>
  </si>
  <si>
    <t>Q9BV68-2_RNF126</t>
  </si>
  <si>
    <t>Q9BV79_MECR</t>
  </si>
  <si>
    <t>Q9BV86_NTMT1</t>
  </si>
  <si>
    <t>Q9BVA0_KATNB1</t>
  </si>
  <si>
    <t>Q9BVA1_TUBB2B</t>
  </si>
  <si>
    <t>Q9BVC3_DSCC1</t>
  </si>
  <si>
    <t>Q9BVC4_MLST8</t>
  </si>
  <si>
    <t>Q9BVC6_TMEM109</t>
  </si>
  <si>
    <t>Q9BVG4_PBDC1</t>
  </si>
  <si>
    <t>Q9BVG9_PTDSS2</t>
  </si>
  <si>
    <t>Q9BVJ6-3_UTP14A</t>
  </si>
  <si>
    <t>Q9BVJ7_DUSP23</t>
  </si>
  <si>
    <t>Q9BVK6_TMED9</t>
  </si>
  <si>
    <t>Q9BVL4_SELO</t>
  </si>
  <si>
    <t>Q9BVM4_GGACT</t>
  </si>
  <si>
    <t>Q9BVP2-2_GNL3</t>
  </si>
  <si>
    <t>Q9BVQ7_SPATA5L1</t>
  </si>
  <si>
    <t>Q9BVS5_TRMT61B</t>
  </si>
  <si>
    <t>Q9BVV7_TIMM21</t>
  </si>
  <si>
    <t>Q9BVW5_TIPIN</t>
  </si>
  <si>
    <t>Q9BW04_SARG</t>
  </si>
  <si>
    <t>Q9BW19_KIFC1</t>
  </si>
  <si>
    <t>Q9BW27_NUP85</t>
  </si>
  <si>
    <t>Q9BW30_TPPP3</t>
  </si>
  <si>
    <t>Q9BW60_ELOVL1</t>
  </si>
  <si>
    <t>Q9BW61_DDA1</t>
  </si>
  <si>
    <t>Q9BW71_HIRIP3</t>
  </si>
  <si>
    <t>Q9BW83_IFT27</t>
  </si>
  <si>
    <t>Q9BW85_CCDC94</t>
  </si>
  <si>
    <t>Q9BW91-2_NUDT9</t>
  </si>
  <si>
    <t>Q9BW92_TARS2</t>
  </si>
  <si>
    <t>Q9BWD1_ACAT2</t>
  </si>
  <si>
    <t>Q9BWE0_REPIN1</t>
  </si>
  <si>
    <t>Q9BWF3_RBM4</t>
  </si>
  <si>
    <t>Q9BWH2_FUNDC2</t>
  </si>
  <si>
    <t>Q9BWH6_RPAP1</t>
  </si>
  <si>
    <t>Q9BWJ5_SF3B5</t>
  </si>
  <si>
    <t>Q9BWM7_SFXN3</t>
  </si>
  <si>
    <t>Q9BWT3_PAPOLG</t>
  </si>
  <si>
    <t>Q9BWU0_SLC4A1AP</t>
  </si>
  <si>
    <t>Q9BX40_LSM14B</t>
  </si>
  <si>
    <t>Q9BX66-9_SORBS1</t>
  </si>
  <si>
    <t>Q9BX68_HINT2</t>
  </si>
  <si>
    <t>Q9BX95_SGPP1</t>
  </si>
  <si>
    <t>Q9BXH1-2_BBC3</t>
  </si>
  <si>
    <t>Q9BXI6_TBC1D10A</t>
  </si>
  <si>
    <t>Q9BXJ9_NAA15</t>
  </si>
  <si>
    <t>Q9BXK1_KLF16</t>
  </si>
  <si>
    <t>Q9BXK5_BCL2L13</t>
  </si>
  <si>
    <t>Q9BXP2_SLC12A9</t>
  </si>
  <si>
    <t>Q9BXP5-4_SRRT</t>
  </si>
  <si>
    <t>Q9BXR0_QTRT1</t>
  </si>
  <si>
    <t>Q9BXS4_TMEM59</t>
  </si>
  <si>
    <t>Q9BXS6-2_NUSAP1</t>
  </si>
  <si>
    <t>Q9BXV9_C14orf142</t>
  </si>
  <si>
    <t>Q9BXW6_OSBPL1A</t>
  </si>
  <si>
    <t>Q9BXW7-2_CECR5</t>
  </si>
  <si>
    <t>Q9BXW9-3_FANCD2</t>
  </si>
  <si>
    <t>Q9BY32_ITPA</t>
  </si>
  <si>
    <t>Q9BY43_CHMP4A</t>
  </si>
  <si>
    <t>Q9BY44_EIF2A</t>
  </si>
  <si>
    <t>Q9BY77_POLDIP3</t>
  </si>
  <si>
    <t>Q9BY89_KIAA1671</t>
  </si>
  <si>
    <t>Q9BYB4_GNB1L</t>
  </si>
  <si>
    <t>Q9BYC8_MRPL32</t>
  </si>
  <si>
    <t>Q9BYD6_MRPL1</t>
  </si>
  <si>
    <t>Q9BYG5_PARD6B</t>
  </si>
  <si>
    <t>Q9BYM8-3_RBCK1</t>
  </si>
  <si>
    <t>Q9BYN8_MRPS26</t>
  </si>
  <si>
    <t>Q9BYT8_NLN</t>
  </si>
  <si>
    <t>Q9BYW2_SETD2</t>
  </si>
  <si>
    <t>Q9BZ23-3_PANK2</t>
  </si>
  <si>
    <t>Q9BZ29-3_DOCK9</t>
  </si>
  <si>
    <t>Q9BZ67-2_FRMD8</t>
  </si>
  <si>
    <t>Q9BZ95-4_WHSC1L1</t>
  </si>
  <si>
    <t>Q9BZE1_MRPL37</t>
  </si>
  <si>
    <t>Q9BZE2_PUS3</t>
  </si>
  <si>
    <t>Q9BZE9_ASPSCR1</t>
  </si>
  <si>
    <t>Q9BZF1-3_OSBPL8</t>
  </si>
  <si>
    <t>Q9BZH6_WDR11</t>
  </si>
  <si>
    <t>Q9BZI7-2_UPF3B</t>
  </si>
  <si>
    <t>Q9BZK7_TBL1XR1</t>
  </si>
  <si>
    <t>Q9BZL1_UBL5</t>
  </si>
  <si>
    <t>Q9BZM1_PLA2G12A</t>
  </si>
  <si>
    <t>Q9BZM4_ULBP3</t>
  </si>
  <si>
    <t>Q9BZM5_ULBP2</t>
  </si>
  <si>
    <t>Q9BZX2_UCK2</t>
  </si>
  <si>
    <t>Q9BZZ5_API5</t>
  </si>
  <si>
    <t>Q9BZZ5-2_API5</t>
  </si>
  <si>
    <t>Q9C004_SPRY4</t>
  </si>
  <si>
    <t>Q9C005_DPY30</t>
  </si>
  <si>
    <t>Q9C037-2_TRIM4</t>
  </si>
  <si>
    <t>Q9C040_TRIM2</t>
  </si>
  <si>
    <t>Q9C0B0_UNK</t>
  </si>
  <si>
    <t>Q9C0B1_FTO</t>
  </si>
  <si>
    <t>Q9C0B5-2_ZDHHC5</t>
  </si>
  <si>
    <t>Q9C0C2_TNKS1BP1</t>
  </si>
  <si>
    <t>Q9C0C4_SEMA4C</t>
  </si>
  <si>
    <t>Q9C0C7-6_AMBRA1</t>
  </si>
  <si>
    <t>Q9C0C9_UBE2O</t>
  </si>
  <si>
    <t>Q9C0D3_ZYG11B</t>
  </si>
  <si>
    <t>Q9C0D5-2_TANC1</t>
  </si>
  <si>
    <t>Q9C0H2-2_TTYH3</t>
  </si>
  <si>
    <t>Q9C0I1_MTMR12</t>
  </si>
  <si>
    <t>Q9C0J8_WDR33</t>
  </si>
  <si>
    <t>Q9C0K1-2_SLC39A8</t>
  </si>
  <si>
    <t>Q9GZL7_WDR12</t>
  </si>
  <si>
    <t>Q9GZN8_C20orf27</t>
  </si>
  <si>
    <t>Q9GZP1_NRSN2</t>
  </si>
  <si>
    <t>Q9GZP4_PITHD1</t>
  </si>
  <si>
    <t>Q9GZP9_DERL2</t>
  </si>
  <si>
    <t>Q9GZQ3_COMMD5</t>
  </si>
  <si>
    <t>Q9GZS1-2_POLR1E</t>
  </si>
  <si>
    <t>Q9GZS3_WDR61</t>
  </si>
  <si>
    <t>Q9GZT3_SLIRP</t>
  </si>
  <si>
    <t>Q9GZT5_WNT10A</t>
  </si>
  <si>
    <t>Q9GZT6-2_CCDC90B</t>
  </si>
  <si>
    <t>Q9GZT8-2_NIF3L1</t>
  </si>
  <si>
    <t>Q9GZT9_EGLN1</t>
  </si>
  <si>
    <t>Q9GZU8_FAM192A</t>
  </si>
  <si>
    <t>Q9GZX9_TWSG1</t>
  </si>
  <si>
    <t>Q9GZY8-2_MFF</t>
  </si>
  <si>
    <t>Q9GZY8-5_MFF</t>
  </si>
  <si>
    <t>Q9GZZ9_UBA5</t>
  </si>
  <si>
    <t>Q9H008_LHPP</t>
  </si>
  <si>
    <t>Q9H019-3_MTFR1L</t>
  </si>
  <si>
    <t>Q9H061_TMEM126A</t>
  </si>
  <si>
    <t>Q9H074_PAIP1</t>
  </si>
  <si>
    <t>Q9H078-2_CLPB</t>
  </si>
  <si>
    <t>Q9H082_RAB33B</t>
  </si>
  <si>
    <t>Q9H089_LSG1</t>
  </si>
  <si>
    <t>Q9H0B6_KLC2</t>
  </si>
  <si>
    <t>Q9H0C8_ILKAP</t>
  </si>
  <si>
    <t>Q9H0D6_XRN2</t>
  </si>
  <si>
    <t>Q9H0E2_TOLLIP</t>
  </si>
  <si>
    <t>Q9H0E9-2_BRD8</t>
  </si>
  <si>
    <t>Q9H0F7_ARL6</t>
  </si>
  <si>
    <t>Q9H0G5_NSRP1</t>
  </si>
  <si>
    <t>Q9H0H5_RACGAP1</t>
  </si>
  <si>
    <t>Q9H0J9_PARP12</t>
  </si>
  <si>
    <t>Q9H0K6_PUS7L</t>
  </si>
  <si>
    <t>Q9H0L4_CSTF2T</t>
  </si>
  <si>
    <t>Q9H0P0-1_NT5C3A</t>
  </si>
  <si>
    <t>Q9H0R4_HDHD2</t>
  </si>
  <si>
    <t>Q9H0R6_QRSL1</t>
  </si>
  <si>
    <t>Q9H0S4-2_DDX47</t>
  </si>
  <si>
    <t>Q9H0U3_MAGT1</t>
  </si>
  <si>
    <t>Q9H0U4_RAB1B</t>
  </si>
  <si>
    <t>Q9H0U6_MRPL18</t>
  </si>
  <si>
    <t>Q9H0V9_LMAN2L</t>
  </si>
  <si>
    <t>Q9H0W8-2_SMG9</t>
  </si>
  <si>
    <t>Q9H0W9_C11orf54</t>
  </si>
  <si>
    <t>Q9H0X4_ITFG3</t>
  </si>
  <si>
    <t>Q9H115_NAPB</t>
  </si>
  <si>
    <t>Q9H173_SIL1</t>
  </si>
  <si>
    <t>Q9H1B7_IRF2BPL</t>
  </si>
  <si>
    <t>Q9H1C4_UNC93B1</t>
  </si>
  <si>
    <t>Q9H1D9_POLR3F</t>
  </si>
  <si>
    <t>Q9H1E3_NUCKS1</t>
  </si>
  <si>
    <t>Q9H1E5_TMX4</t>
  </si>
  <si>
    <t>Q9H1I8-3_ASCC2</t>
  </si>
  <si>
    <t>Q9H1J1_UPF3A</t>
  </si>
  <si>
    <t>Q9H1K0_ZFYVE20</t>
  </si>
  <si>
    <t>Q9H1K1_ISCU</t>
  </si>
  <si>
    <t>Q9H1P3-2_OSBPL2</t>
  </si>
  <si>
    <t>Q9H1Z4_WDR13</t>
  </si>
  <si>
    <t>Q9H204_MED28</t>
  </si>
  <si>
    <t>Q9H223_EHD4</t>
  </si>
  <si>
    <t>Q9H267_VPS33B</t>
  </si>
  <si>
    <t>Q9H269_VPS16</t>
  </si>
  <si>
    <t>Q9H270_VPS11</t>
  </si>
  <si>
    <t>Q9H2C0_GAN</t>
  </si>
  <si>
    <t>Q9H2D6-5_TRIOBP</t>
  </si>
  <si>
    <t>Q9H2G2_SLK</t>
  </si>
  <si>
    <t>Q9H2H8_PPIL3</t>
  </si>
  <si>
    <t>Q9H2J4_PDCL3</t>
  </si>
  <si>
    <t>Q9H2K0_MTIF3</t>
  </si>
  <si>
    <t>Q9H2K8_TAOK3</t>
  </si>
  <si>
    <t>Q9H2M9_RAB3GAP2</t>
  </si>
  <si>
    <t>Q9H2P0_ADNP</t>
  </si>
  <si>
    <t>Q9H2P9_DPH5</t>
  </si>
  <si>
    <t>Q9H2U2_PPA2</t>
  </si>
  <si>
    <t>Q9H2W6_MRPL46</t>
  </si>
  <si>
    <t>Q9H300_PARL</t>
  </si>
  <si>
    <t>Q9H307_PNN</t>
  </si>
  <si>
    <t>Q9H330-2_TMEM245</t>
  </si>
  <si>
    <t>Q9H3C7_GGNBP2</t>
  </si>
  <si>
    <t>Q9H3F6_KCTD10</t>
  </si>
  <si>
    <t>Q9H3H1-4_TRIT1</t>
  </si>
  <si>
    <t>Q9H3H3_C11orf68</t>
  </si>
  <si>
    <t>Q9H3H5-2_DPAGT1</t>
  </si>
  <si>
    <t>Q9H3J6_C12orf65</t>
  </si>
  <si>
    <t>Q9H3K6_BOLA2</t>
  </si>
  <si>
    <t>Q9H3N1_TMX1</t>
  </si>
  <si>
    <t>Q9H3P2_NELFA</t>
  </si>
  <si>
    <t>Q9H3P7_ACBD3</t>
  </si>
  <si>
    <t>Q9H3Q1_CDC42EP4</t>
  </si>
  <si>
    <t>Q9H3R0-4_KDM4C</t>
  </si>
  <si>
    <t>Q9H3S7_PTPN23</t>
  </si>
  <si>
    <t>Q9H3U1_UNC45A</t>
  </si>
  <si>
    <t>Q9H3U5-4_MFSD1</t>
  </si>
  <si>
    <t>Q9H3Y8_PPDPF</t>
  </si>
  <si>
    <t>Q9H3Z4-2_DNAJC5</t>
  </si>
  <si>
    <t>Q9H410_DSN1</t>
  </si>
  <si>
    <t>Q9H425_C1orf198</t>
  </si>
  <si>
    <t>Q9H444_CHMP4B</t>
  </si>
  <si>
    <t>Q9H467_CUEDC2</t>
  </si>
  <si>
    <t>Q9H479_FN3K</t>
  </si>
  <si>
    <t>Q9H488_POFUT1</t>
  </si>
  <si>
    <t>Q9H490-2_PIGU</t>
  </si>
  <si>
    <t>Q9H496_IFRG15</t>
  </si>
  <si>
    <t>Q9H4A4_RNPEP</t>
  </si>
  <si>
    <t>Q9H4A5_GOLPH3L</t>
  </si>
  <si>
    <t>Q9H4A6_GOLPH3</t>
  </si>
  <si>
    <t>Q9H4B0_OSGEPL1</t>
  </si>
  <si>
    <t>Q9H4I2_ZHX3</t>
  </si>
  <si>
    <t>Q9H4K7_GTPBP5</t>
  </si>
  <si>
    <t>Q9H4L5-2_OSBPL3</t>
  </si>
  <si>
    <t>Q9H4L7-2_SMARCAD1</t>
  </si>
  <si>
    <t>Q9H4M9_EHD1</t>
  </si>
  <si>
    <t>Q9H4P4-2_RNF41</t>
  </si>
  <si>
    <t>Q9H4Z3_PCIF1</t>
  </si>
  <si>
    <t>Q9H501_ESF1</t>
  </si>
  <si>
    <t>Q9H553_ALG2</t>
  </si>
  <si>
    <t>Q9H583_HEATR1</t>
  </si>
  <si>
    <t>Q9H5K3_SGK196</t>
  </si>
  <si>
    <t>Q9H5N1_RABEP2</t>
  </si>
  <si>
    <t>Q9H5Q4_TFB2M</t>
  </si>
  <si>
    <t>Q9H5V8_CDCP1</t>
  </si>
  <si>
    <t>Q9H5V9_CXorf56</t>
  </si>
  <si>
    <t>Q9H5X1_FAM96A</t>
  </si>
  <si>
    <t>Q9H5Y7_SLITRK6</t>
  </si>
  <si>
    <t>Q9H649_NSUN3</t>
  </si>
  <si>
    <t>Q9H6A9-2_PCNXL3</t>
  </si>
  <si>
    <t>Q9H6E4_CCDC134</t>
  </si>
  <si>
    <t>Q9H6F5_CCDC86</t>
  </si>
  <si>
    <t>Q9H6H4_REEP4</t>
  </si>
  <si>
    <t>Q9H6K4_OPA3</t>
  </si>
  <si>
    <t>Q9H6L4_ARMC7</t>
  </si>
  <si>
    <t>Q9H6L5_FAM134B</t>
  </si>
  <si>
    <t>Q9H6P5_TASP1</t>
  </si>
  <si>
    <t>Q9H6Q4_NARFL</t>
  </si>
  <si>
    <t>Q9H6R0_DHX33</t>
  </si>
  <si>
    <t>Q9H6R4-4_NOL6</t>
  </si>
  <si>
    <t>Q9H6R7-2_C2orf44</t>
  </si>
  <si>
    <t>Q9H6S3_EPS8L2</t>
  </si>
  <si>
    <t>Q9H6T0-2_ESRP2</t>
  </si>
  <si>
    <t>Q9H6T3_RPAP3</t>
  </si>
  <si>
    <t>Q9H6U6-2_BCAS3</t>
  </si>
  <si>
    <t>Q9H6U8_ALG9</t>
  </si>
  <si>
    <t>Q9H6Y2_WDR55</t>
  </si>
  <si>
    <t>Q9H773_DCTPP1</t>
  </si>
  <si>
    <t>Q9H788-2_SH2D4A</t>
  </si>
  <si>
    <t>Q9H7B4_SMYD3</t>
  </si>
  <si>
    <t>Q9H7C9_AAMDC</t>
  </si>
  <si>
    <t>Q9H7D7-2_WDR26</t>
  </si>
  <si>
    <t>Q9H7E2-3_TDRD3</t>
  </si>
  <si>
    <t>Q9H7F0_ATP13A3</t>
  </si>
  <si>
    <t>Q9H7J1_PPP1R3E</t>
  </si>
  <si>
    <t>Q9H7L9_SUDS3</t>
  </si>
  <si>
    <t>Q9H7N4_SCAF1</t>
  </si>
  <si>
    <t>Q9H7S9_ZNF703</t>
  </si>
  <si>
    <t>Q9H7Z6_KAT8</t>
  </si>
  <si>
    <t>Q9H7Z7_PTGES2</t>
  </si>
  <si>
    <t>Q9H814_PHAX</t>
  </si>
  <si>
    <t>Q9H832_UBE2Z</t>
  </si>
  <si>
    <t>Q9H840_GEMIN7</t>
  </si>
  <si>
    <t>Q9H845_ACAD9</t>
  </si>
  <si>
    <t>Q9H875_PRKRIP1</t>
  </si>
  <si>
    <t>Q9H8G2_CAAP1</t>
  </si>
  <si>
    <t>Q9H8H0_NOL11</t>
  </si>
  <si>
    <t>Q9H8J5_MANSC1</t>
  </si>
  <si>
    <t>Q9H8M7_FAM188A</t>
  </si>
  <si>
    <t>Q9H8S9_MOB1A</t>
  </si>
  <si>
    <t>Q9H8U3_ZFAND3</t>
  </si>
  <si>
    <t>Q9H8V3_ECT2</t>
  </si>
  <si>
    <t>Q9H8Y5_ANKZF1</t>
  </si>
  <si>
    <t>Q9H8Y8_GORASP2</t>
  </si>
  <si>
    <t>Q9H900_ZWILCH</t>
  </si>
  <si>
    <t>Q9H903-1_MTHFD2L</t>
  </si>
  <si>
    <t>Q9H910_HN1L</t>
  </si>
  <si>
    <t>Q9H910-2_HN1L</t>
  </si>
  <si>
    <t>Q9H936_SLC25A22</t>
  </si>
  <si>
    <t>Q9H939_PSTPIP2</t>
  </si>
  <si>
    <t>Q9H944_MED20</t>
  </si>
  <si>
    <t>Q9H974_QTRTD1</t>
  </si>
  <si>
    <t>Q9H977_WDR54</t>
  </si>
  <si>
    <t>Q9H993_C6orf211</t>
  </si>
  <si>
    <t>Q9H9A5-2_CNOT10</t>
  </si>
  <si>
    <t>Q9H9A6_LRRC40</t>
  </si>
  <si>
    <t>Q9H9A7_RMI1</t>
  </si>
  <si>
    <t>Q9H9B1_EHMT1</t>
  </si>
  <si>
    <t>Q9H9B4_SFXN1</t>
  </si>
  <si>
    <t>Q9H9F9_ACTR5</t>
  </si>
  <si>
    <t>Q9H9G7_AGO3</t>
  </si>
  <si>
    <t>Q9H9H4_VPS37B</t>
  </si>
  <si>
    <t>Q9H9J2_MRPL44</t>
  </si>
  <si>
    <t>Q9H9P8_L2HGDH</t>
  </si>
  <si>
    <t>Q9H9S4_CAB39L</t>
  </si>
  <si>
    <t>Q9H9T3-2_ELP3</t>
  </si>
  <si>
    <t>Q9H9V9-2_JMJD4</t>
  </si>
  <si>
    <t>Q9HA38-2_ZMAT3</t>
  </si>
  <si>
    <t>Q9HA47-3_UCK1</t>
  </si>
  <si>
    <t>Q9HA64_FN3KRP</t>
  </si>
  <si>
    <t>Q9HA65_TBC1D17</t>
  </si>
  <si>
    <t>Q9HA77_CARS2</t>
  </si>
  <si>
    <t>Q9HA90_EFCC1</t>
  </si>
  <si>
    <t>Q9HA92_RSAD1</t>
  </si>
  <si>
    <t>Q9HAB8_PPCS</t>
  </si>
  <si>
    <t>Q9HAF1-2_MEAF6</t>
  </si>
  <si>
    <t>Q9HAN9_NMNAT1</t>
  </si>
  <si>
    <t>Q9HAU0_PLEKHA5</t>
  </si>
  <si>
    <t>Q9HAU5_UPF2</t>
  </si>
  <si>
    <t>Q9HAV4_XPO5</t>
  </si>
  <si>
    <t>Q9HAV7_GRPEL1</t>
  </si>
  <si>
    <t>Q9HAW4-3_CLSPN</t>
  </si>
  <si>
    <t>Q9HB07_C12orf10</t>
  </si>
  <si>
    <t>Q9HB21_PLEKHA1</t>
  </si>
  <si>
    <t>Q9HB40_SCPEP1</t>
  </si>
  <si>
    <t>Q9HB71_CACYBP</t>
  </si>
  <si>
    <t>Q9HB90_RRAGC</t>
  </si>
  <si>
    <t>Q9HBD4_SMARCA4</t>
  </si>
  <si>
    <t>Q9HBH1_PDF</t>
  </si>
  <si>
    <t>Q9HBH5_RDH14</t>
  </si>
  <si>
    <t>Q9HBI0-3_PARVG</t>
  </si>
  <si>
    <t>Q9HBI1_PARVB</t>
  </si>
  <si>
    <t>Q9HBL7_PLGRKT</t>
  </si>
  <si>
    <t>Q9HBL8_NMRAL1</t>
  </si>
  <si>
    <t>Q9HBM1_SPC25</t>
  </si>
  <si>
    <t>Q9HBM6_TAF9B</t>
  </si>
  <si>
    <t>Q9HBM8_AGPAT1</t>
  </si>
  <si>
    <t>Q9HBU6_ETNK1</t>
  </si>
  <si>
    <t>Q9HC35_EML4</t>
  </si>
  <si>
    <t>Q9HC36_RNMTL1</t>
  </si>
  <si>
    <t>Q9HC38-2_GLOD4</t>
  </si>
  <si>
    <t>Q9HC52_CBX8</t>
  </si>
  <si>
    <t>Q9HCC0_MCCC2</t>
  </si>
  <si>
    <t>Q9HCD5_NCOA5</t>
  </si>
  <si>
    <t>Q9HCE1_MOV10</t>
  </si>
  <si>
    <t>Q9HCE5_METTL14</t>
  </si>
  <si>
    <t>Q9HCG7_GBA2</t>
  </si>
  <si>
    <t>Q9HCJ3-2_RAVER2</t>
  </si>
  <si>
    <t>Q9HCK8-2_CHD8</t>
  </si>
  <si>
    <t>Q9HCM4-2_EPB41L5</t>
  </si>
  <si>
    <t>Q9HCN3_TMEM8A</t>
  </si>
  <si>
    <t>Q9HCN4_GPN1</t>
  </si>
  <si>
    <t>Q9HCN8_SDF2L1</t>
  </si>
  <si>
    <t>Q9HCR9_PDE11A</t>
  </si>
  <si>
    <t>Q9HCU5_PREB</t>
  </si>
  <si>
    <t>Q9HCU8_POLD4</t>
  </si>
  <si>
    <t>Q9HCY8_S100A14</t>
  </si>
  <si>
    <t>Q9HD15_SRA1</t>
  </si>
  <si>
    <t>Q9HD20-2_ATP13A1</t>
  </si>
  <si>
    <t>Q9HD23-2_MRS2</t>
  </si>
  <si>
    <t>Q9HD33-2_MRPL47</t>
  </si>
  <si>
    <t>Q9HD34_LYRM4</t>
  </si>
  <si>
    <t>Q9HD40-3_SEPSECS</t>
  </si>
  <si>
    <t>Q9HD42_CHMP1A</t>
  </si>
  <si>
    <t>Q9HD45_TM9SF3</t>
  </si>
  <si>
    <t>Q9HD47-2_RANGRF</t>
  </si>
  <si>
    <t>Q9HD67_MYO10</t>
  </si>
  <si>
    <t>Q9HDC5_JPH1</t>
  </si>
  <si>
    <t>Q9HDC9_APMAP</t>
  </si>
  <si>
    <t>Q9NNW5_WDR6</t>
  </si>
  <si>
    <t>Q9NP58-4_ABCB6</t>
  </si>
  <si>
    <t>Q9NP66_HMG20A</t>
  </si>
  <si>
    <t>Q9NP72_RAB18</t>
  </si>
  <si>
    <t>Q9NP73-2_ALG13</t>
  </si>
  <si>
    <t>Q9NP77_SSU72</t>
  </si>
  <si>
    <t>Q9NP79_VTA1</t>
  </si>
  <si>
    <t>Q9NP80-3_PNPLA8</t>
  </si>
  <si>
    <t>Q9NP84_TNFRSF12A</t>
  </si>
  <si>
    <t>Q9NP92_MRPS30</t>
  </si>
  <si>
    <t>Q9NPA0_EMC7</t>
  </si>
  <si>
    <t>Q9NPA3_MID1IP1</t>
  </si>
  <si>
    <t>Q9NPA8-2_ENY2</t>
  </si>
  <si>
    <t>Q9NPB8_GPCPD1</t>
  </si>
  <si>
    <t>Q9NPD3_EXOSC4</t>
  </si>
  <si>
    <t>Q9NPD8_UBE2T</t>
  </si>
  <si>
    <t>Q9NPE2_NGRN</t>
  </si>
  <si>
    <t>Q9NPE3_NOP10</t>
  </si>
  <si>
    <t>Q9NPF0_CD320</t>
  </si>
  <si>
    <t>Q9NPF4_OSGEP</t>
  </si>
  <si>
    <t>Q9NPH0_ACP6</t>
  </si>
  <si>
    <t>Q9NPI1_BRD7</t>
  </si>
  <si>
    <t>Q9NPI6_DCP1A</t>
  </si>
  <si>
    <t>Q9NPJ3_ACOT13</t>
  </si>
  <si>
    <t>Q9NPJ6_MED4</t>
  </si>
  <si>
    <t>Q9NPL8_TIMMDC1</t>
  </si>
  <si>
    <t>Q9NPQ8-4_RIC8A</t>
  </si>
  <si>
    <t>Q9NPR9_GPR108</t>
  </si>
  <si>
    <t>Q9NQ29_LUC7L</t>
  </si>
  <si>
    <t>Q9NQ88_TIGAR</t>
  </si>
  <si>
    <t>Q9NQC3_RTN4</t>
  </si>
  <si>
    <t>Q9NQC3-2_RTN4</t>
  </si>
  <si>
    <t>Q9NQE9_HINT3</t>
  </si>
  <si>
    <t>Q9NQG1_MANBAL</t>
  </si>
  <si>
    <t>Q9NQG5_RPRD1B</t>
  </si>
  <si>
    <t>Q9NQG7-3_HPS4</t>
  </si>
  <si>
    <t>Q9NQH7-2_XPNPEP3</t>
  </si>
  <si>
    <t>Q9NQR4_NIT2</t>
  </si>
  <si>
    <t>Q9NQS1_AVEN</t>
  </si>
  <si>
    <t>Q9NQT4_EXOSC5</t>
  </si>
  <si>
    <t>Q9NQT5_EXOSC3</t>
  </si>
  <si>
    <t>Q9NQT8_KIF13B</t>
  </si>
  <si>
    <t>Q9NQW6-2_ANLN</t>
  </si>
  <si>
    <t>Q9NQW7_XPNPEP1</t>
  </si>
  <si>
    <t>Q9NQW7-3_XPNPEP1</t>
  </si>
  <si>
    <t>Q9NQY0_BIN3</t>
  </si>
  <si>
    <t>Q9NQZ2_UTP3</t>
  </si>
  <si>
    <t>Q9NQZ5_STARD7</t>
  </si>
  <si>
    <t>Q9NQZ6-3_ZC4H2</t>
  </si>
  <si>
    <t>Q9NR09_BIRC6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</si>
  <si>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</si>
  <si>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</si>
  <si>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</si>
  <si>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</si>
  <si>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</si>
  <si>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</si>
  <si>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</si>
  <si>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Q9NR48-2_ASH1L</t>
  </si>
  <si>
    <t>Q9NR50_EIF2B3</t>
  </si>
  <si>
    <t>Q9NRD5_PICK1</t>
  </si>
  <si>
    <t>Q9NRF8_CTPS2</t>
  </si>
  <si>
    <t>Q9NRF9_POLE3</t>
  </si>
  <si>
    <t>Q9NRG0_CHRAC1</t>
  </si>
  <si>
    <t>Q9NRG1_PRTFDC1</t>
  </si>
  <si>
    <t>Q9NRG4_SMYD2</t>
  </si>
  <si>
    <t>Q9NRG7-2_SDR39U1</t>
  </si>
  <si>
    <t>Q9NRG9_AAAS</t>
  </si>
  <si>
    <t>Q9NRH1_YAE1D1</t>
  </si>
  <si>
    <t>Q9NRK6_ABCB10</t>
  </si>
  <si>
    <t>Q9NRL2-2_BAZ1A</t>
  </si>
  <si>
    <t>Q9NRL3_STRN4</t>
  </si>
  <si>
    <t>Q9NRM6_IL17RB</t>
  </si>
  <si>
    <t>Q9NRN7_AASDHPPT</t>
  </si>
  <si>
    <t>Q9NRN9_METTL5</t>
  </si>
  <si>
    <t>Q9NRP0_OSTC</t>
  </si>
  <si>
    <t>Q9NRP2_CMC2</t>
  </si>
  <si>
    <t>Q9NRP4_ACN9</t>
  </si>
  <si>
    <t>Q9NRR5_UBQLN4</t>
  </si>
  <si>
    <t>Q9NRR8_CDC42SE1</t>
  </si>
  <si>
    <t>Q9NRV9_HEBP1</t>
  </si>
  <si>
    <t>Q9NRW1_RAB6B</t>
  </si>
  <si>
    <t>Q9NRW4_DUSP22</t>
  </si>
  <si>
    <t>Q9NRW7_VPS45</t>
  </si>
  <si>
    <t>Q9NRX1_PNO1</t>
  </si>
  <si>
    <t>Q9NRX3_NDUFA4L2</t>
  </si>
  <si>
    <t>Q9NRX4_PHPT1</t>
  </si>
  <si>
    <t>Q9NRY2_INIP</t>
  </si>
  <si>
    <t>Q9NRY4_ARHGAP35</t>
  </si>
  <si>
    <t>Q9NRY5_FAM114A2</t>
  </si>
  <si>
    <t>Q9NRZ5_AGPAT4</t>
  </si>
  <si>
    <t>Q9NRZ7-2_AGPAT3</t>
  </si>
  <si>
    <t>Q9NRZ9-2_HELLS</t>
  </si>
  <si>
    <t>Q9NS18_GLRX2</t>
  </si>
  <si>
    <t>Q9NS69_TOMM22</t>
  </si>
  <si>
    <t>Q9NS73-5_MBIP</t>
  </si>
  <si>
    <t>Q9NS86_LANCL2</t>
  </si>
  <si>
    <t>Q9NS87-2_KIF15</t>
  </si>
  <si>
    <t>Q9NS91_RAD18</t>
  </si>
  <si>
    <t>Q9NS93_TM7SF3</t>
  </si>
  <si>
    <t>Q9NSA3_CTNNBIP1</t>
  </si>
  <si>
    <t>Q9NSD9_FARSB</t>
  </si>
  <si>
    <t>Q9NSE4_IARS2</t>
  </si>
  <si>
    <t>Q9NSI2-2_FAM207A</t>
  </si>
  <si>
    <t>Q9NSI8-2_SAMSN1</t>
  </si>
  <si>
    <t>Q9NSK0_KLC4</t>
  </si>
  <si>
    <t>Q9NT62_ATG3</t>
  </si>
  <si>
    <t>Q9NTG7_SIRT3</t>
  </si>
  <si>
    <t>Q9NTI5-2_PDS5B</t>
  </si>
  <si>
    <t>Q9NTJ3_SMC4</t>
  </si>
  <si>
    <t>Q9NTJ4-3_MAN2C1</t>
  </si>
  <si>
    <t>Q9NTJ5_SACM1L</t>
  </si>
  <si>
    <t>Q9NTK5-2_OLA1</t>
  </si>
  <si>
    <t>Q9NTM9_CUTC</t>
  </si>
  <si>
    <t>Q9NTX5-2_ECHDC1</t>
  </si>
  <si>
    <t>Q9NTX7-2_RNF146</t>
  </si>
  <si>
    <t>Q9NTZ6_RBM12</t>
  </si>
  <si>
    <t>Q9NU19_TBC1D22B</t>
  </si>
  <si>
    <t>Q9NU22_MDN1</t>
  </si>
  <si>
    <t>Q9NU23_LYRM2</t>
  </si>
  <si>
    <t>Q9NUB1-2_ACSS1</t>
  </si>
  <si>
    <t>Q9NUD5_ZCCHC3</t>
  </si>
  <si>
    <t>Q9NUG6_PDRG1</t>
  </si>
  <si>
    <t>Q9NUJ1_ABHD10</t>
  </si>
  <si>
    <t>Q9NUL5-3_C19orf66</t>
  </si>
  <si>
    <t>Q9NUL7_DDX28</t>
  </si>
  <si>
    <t>Q9NUM4_TMEM106B</t>
  </si>
  <si>
    <t>Q9NUN5-3_LMBRD1</t>
  </si>
  <si>
    <t>Q9NUP1_BLOC1S4</t>
  </si>
  <si>
    <t>Q9NUP7_TRMT13</t>
  </si>
  <si>
    <t>Q9NUP9_LIN7C</t>
  </si>
  <si>
    <t>Q9NUQ2_AGPAT5</t>
  </si>
  <si>
    <t>Q9NUQ3_TXLNG</t>
  </si>
  <si>
    <t>Q9NUQ7_UFSP2</t>
  </si>
  <si>
    <t>Q9NUQ8-2_ABCF3</t>
  </si>
  <si>
    <t>Q9NUQ9_FAM49B</t>
  </si>
  <si>
    <t>Q9NUU7_DDX19A</t>
  </si>
  <si>
    <t>Q9NUW8_TDP1</t>
  </si>
  <si>
    <t>Q9NUY8_TBC1D23</t>
  </si>
  <si>
    <t>Q9NV06_DCAF13</t>
  </si>
  <si>
    <t>Q9NV35_NUDT15</t>
  </si>
  <si>
    <t>Q9NV56_MRGBP</t>
  </si>
  <si>
    <t>Q9NV70_EXOC1</t>
  </si>
  <si>
    <t>Q9NV96-2_TMEM30A</t>
  </si>
  <si>
    <t>Q9NVA1_UQCC</t>
  </si>
  <si>
    <t>Q9NVA4_TMEM184C</t>
  </si>
  <si>
    <t>Q9NVC6_MED17</t>
  </si>
  <si>
    <t>Q9NVE7_PANK4</t>
  </si>
  <si>
    <t>Q9NVG8_TBC1D13</t>
  </si>
  <si>
    <t>Q9NVH0_EXD2</t>
  </si>
  <si>
    <t>Q9NVH1-3_DNAJC11</t>
  </si>
  <si>
    <t>Q9NVH2-3_INTS7</t>
  </si>
  <si>
    <t>Q9NVH6_TMLHE</t>
  </si>
  <si>
    <t>Q9NVI1_FANCI</t>
  </si>
  <si>
    <t>Q9NVI7-2_ATAD3A</t>
  </si>
  <si>
    <t>Q9NVJ2_ARL8B</t>
  </si>
  <si>
    <t>Q9NVK5-2_FGFR1OP2</t>
  </si>
  <si>
    <t>Q9NVM4-3_PRMT7</t>
  </si>
  <si>
    <t>Q9NVM6_DNAJC17</t>
  </si>
  <si>
    <t>Q9NVM9_ASUN</t>
  </si>
  <si>
    <t>Q9NVN8_GNL3L</t>
  </si>
  <si>
    <t>Q9NVP1_DDX18</t>
  </si>
  <si>
    <t>Q9NVP2_ASF1B</t>
  </si>
  <si>
    <t>Q9NVQ4_FAIM</t>
  </si>
  <si>
    <t>Q9NVR0_KLHL11</t>
  </si>
  <si>
    <t>Q9NVR2_INTS10</t>
  </si>
  <si>
    <t>Q9NVR5_DNAAF2</t>
  </si>
  <si>
    <t>Q9NVS9_PNPO</t>
  </si>
  <si>
    <t>Q9NVT9_ARMC1</t>
  </si>
  <si>
    <t>Q9NVU0-3_POLR3E</t>
  </si>
  <si>
    <t>Q9NVV4_MTPAP</t>
  </si>
  <si>
    <t>Q9NVX2_NLE1</t>
  </si>
  <si>
    <t>Q9NVX7_KBTBD4</t>
  </si>
  <si>
    <t>Q9NVZ3_NECAP2</t>
  </si>
  <si>
    <t>Q9NW07_ZNF358</t>
  </si>
  <si>
    <t>Q9NW15_ANO10</t>
  </si>
  <si>
    <t>Q9NW64_RBM22</t>
  </si>
  <si>
    <t>Q9NW75_GPATCH2</t>
  </si>
  <si>
    <t>Q9NW82_WDR70</t>
  </si>
  <si>
    <t>Q9NWA0_MED9</t>
  </si>
  <si>
    <t>Q9NWB6_ARGLU1</t>
  </si>
  <si>
    <t>Q9NWH2_TMEM242</t>
  </si>
  <si>
    <t>Q9NWH9_SLTM</t>
  </si>
  <si>
    <t>Q9NWM3_CUEDC1</t>
  </si>
  <si>
    <t>Q9NWM8_FKBP14</t>
  </si>
  <si>
    <t>Q9NWQ9_C14orf119</t>
  </si>
  <si>
    <t>Q9NWS0_PIH1D1</t>
  </si>
  <si>
    <t>Q9NWS6_FAM118A</t>
  </si>
  <si>
    <t>Q9NWS8_RMND1</t>
  </si>
  <si>
    <t>Q9NWT6_HIF1AN</t>
  </si>
  <si>
    <t>Q9NWU1_OXSM</t>
  </si>
  <si>
    <t>Q9NWV4_C1orf123</t>
  </si>
  <si>
    <t>Q9NWX5_ASB6</t>
  </si>
  <si>
    <t>Q9NWX6_THG1L</t>
  </si>
  <si>
    <t>Q9NWY4_C4orf27</t>
  </si>
  <si>
    <t>Q9NWZ3_IRAK4</t>
  </si>
  <si>
    <t>Q9NWZ5_UCKL1</t>
  </si>
  <si>
    <t>Q9NX00_TMEM160</t>
  </si>
  <si>
    <t>Q9NX01_TXNL4B</t>
  </si>
  <si>
    <t>Q9NX07_TRNAU1AP</t>
  </si>
  <si>
    <t>Q9NX08_COMMD8</t>
  </si>
  <si>
    <t>Q9NX14-2_NDUFB11</t>
  </si>
  <si>
    <t>Q9NX24_NHP2</t>
  </si>
  <si>
    <t>Q9NX38_FAM206A</t>
  </si>
  <si>
    <t>Q9NX40_OCIAD1</t>
  </si>
  <si>
    <t>Q9NX46_ADPRHL2</t>
  </si>
  <si>
    <t>Q9NX47_MARCH5</t>
  </si>
  <si>
    <t>Q9NX55_HYPK</t>
  </si>
  <si>
    <t>Q9NX57_RAB20</t>
  </si>
  <si>
    <t>Q9NX58_LYAR</t>
  </si>
  <si>
    <t>Q9NX62_IMPAD1</t>
  </si>
  <si>
    <t>Q9NX70_MED29</t>
  </si>
  <si>
    <t>Q9NX74_DUS2L</t>
  </si>
  <si>
    <t>Q9NXA8_SIRT5</t>
  </si>
  <si>
    <t>Q9NXC5_MIOS</t>
  </si>
  <si>
    <t>Q9NXE8_CWC25</t>
  </si>
  <si>
    <t>Q9NXF1-2_TEX10</t>
  </si>
  <si>
    <t>Q9NXF7_DCAF16</t>
  </si>
  <si>
    <t>Q9NXF8_ZDHHC7</t>
  </si>
  <si>
    <t>Q9NXG6_P4HTM</t>
  </si>
  <si>
    <t>Q9NXH9_TRMT1</t>
  </si>
  <si>
    <t>Q9NXR1-2_NDE1</t>
  </si>
  <si>
    <t>Q9NXR5_ANKRD10</t>
  </si>
  <si>
    <t>Q9NXR7_BRE</t>
  </si>
  <si>
    <t>Q9NXS2_QPCTL</t>
  </si>
  <si>
    <t>Q9NXU5_ARL15</t>
  </si>
  <si>
    <t>Q9NXV2_KCTD5</t>
  </si>
  <si>
    <t>Q9NXV6_CDKN2AIP</t>
  </si>
  <si>
    <t>Q9NXW9_ALKBH4</t>
  </si>
  <si>
    <t>Q9NXX6_NSMCE4A</t>
  </si>
  <si>
    <t>Q9NY27_PPP4R2</t>
  </si>
  <si>
    <t>Q9NY61_AATF</t>
  </si>
  <si>
    <t>Q9NYB0_TERF2IP</t>
  </si>
  <si>
    <t>Q9NYF8-2_BCLAF1</t>
  </si>
  <si>
    <t>Q9NYG2_ZDHHC3</t>
  </si>
  <si>
    <t>Q9NYG5_ANAPC11</t>
  </si>
  <si>
    <t>Q9NYH9_UTP6</t>
  </si>
  <si>
    <t>Q9NYJ1_COA4</t>
  </si>
  <si>
    <t>Q9NYK5_MRPL39</t>
  </si>
  <si>
    <t>Q9NYK6-3_EURL</t>
  </si>
  <si>
    <t>Q9NYL2-2_MLTK</t>
  </si>
  <si>
    <t>Q9NYL9_TMOD3</t>
  </si>
  <si>
    <t>Q9NYM9_BET1L</t>
  </si>
  <si>
    <t>Q9NYP9_MIS18A</t>
  </si>
  <si>
    <t>Q9NYQ6_CELSR1</t>
  </si>
  <si>
    <t>Q9NYQ7_CELSR3</t>
  </si>
  <si>
    <t>Q9NYU2-2_UGGT1</t>
  </si>
  <si>
    <t>Q9NYV4-2_CDK12</t>
  </si>
  <si>
    <t>Q9NYY8_FASTKD2</t>
  </si>
  <si>
    <t>Q9NZ01_TECR</t>
  </si>
  <si>
    <t>Q9NZ08_ERAP1</t>
  </si>
  <si>
    <t>Q9NZ09-2_UBAP1</t>
  </si>
  <si>
    <t>Q9NZ32_ACTR10</t>
  </si>
  <si>
    <t>Q9NZ43_USE1</t>
  </si>
  <si>
    <t>Q9NZ45_CISD1</t>
  </si>
  <si>
    <t>Q9NZ53_PODXL2</t>
  </si>
  <si>
    <t>Q9NZ63_C9orf78</t>
  </si>
  <si>
    <t>Q9NZB2-4_FAM120A</t>
  </si>
  <si>
    <t>Q9NZC3_GDE1</t>
  </si>
  <si>
    <t>Q9NZC7_WWOX</t>
  </si>
  <si>
    <t>Q9NZD2_GLTP</t>
  </si>
  <si>
    <t>Q9NZD8-2_SPG21</t>
  </si>
  <si>
    <t>Q9NZI7-4_UBP1</t>
  </si>
  <si>
    <t>Q9NZI8_IGF2BP1</t>
  </si>
  <si>
    <t>Q9NZJ4-2_SACS</t>
  </si>
  <si>
    <t>Q9NZJ5_EIF2AK3</t>
  </si>
  <si>
    <t>Q9NZJ6_COQ3</t>
  </si>
  <si>
    <t>Q9NZJ9-2_NUDT4</t>
  </si>
  <si>
    <t>Q9NZL4_HSPBP1</t>
  </si>
  <si>
    <t>Q9NZL9_MAT2B</t>
  </si>
  <si>
    <t>Q9NZM3-2_ITSN2</t>
  </si>
  <si>
    <t>Q9NZM4-2_GLTSCR1</t>
  </si>
  <si>
    <t>Q9NZP8_C1RL</t>
  </si>
  <si>
    <t>Q9NZQ3-3_NCKIPSD</t>
  </si>
  <si>
    <t>Q9NZT2-2_OGFR</t>
  </si>
  <si>
    <t>Q9NZU5_LMCD1</t>
  </si>
  <si>
    <t>Q9NZW5_MPP6</t>
  </si>
  <si>
    <t>Q9NZZ3_CHMP5</t>
  </si>
  <si>
    <t>Q9P000_COMMD9</t>
  </si>
  <si>
    <t>Q9P013_CWC15</t>
  </si>
  <si>
    <t>Q9P016_THYN1</t>
  </si>
  <si>
    <t>Q9P021_CRIPT</t>
  </si>
  <si>
    <t>Q9P031_CCDC59</t>
  </si>
  <si>
    <t>Q9P032_NDUFAF4</t>
  </si>
  <si>
    <t>Q9P035_PTPLAD1</t>
  </si>
  <si>
    <t>Q9P0B6_CCDC167</t>
  </si>
  <si>
    <t>Q9P0I2_EMC3</t>
  </si>
  <si>
    <t>Q9P0J1_PDP1</t>
  </si>
  <si>
    <t>Q9P0L0_VAPA</t>
  </si>
  <si>
    <t>Q9P0P0_RNF181</t>
  </si>
  <si>
    <t>Q9P0R6_GSKIP</t>
  </si>
  <si>
    <t>Q9P0S2_COX16</t>
  </si>
  <si>
    <t>Q9P0U4_CXXC1</t>
  </si>
  <si>
    <t>Q9P0V3_SH3BP4</t>
  </si>
  <si>
    <t>Q9P0W2-2_HMG20B</t>
  </si>
  <si>
    <t>Q9P0Z9_PIPOX</t>
  </si>
  <si>
    <t>Q9P1F3_ABRACL</t>
  </si>
  <si>
    <t>Q9P1U1_ACTR3B</t>
  </si>
  <si>
    <t>Q9P1Y5_CAMSAP3</t>
  </si>
  <si>
    <t>Q9P1Z2-2_CALCOCO1</t>
  </si>
  <si>
    <t>Q9P206-2_KIAA1522</t>
  </si>
  <si>
    <t>Q9P219_CCDC88C</t>
  </si>
  <si>
    <t>Q9P253_VPS18</t>
  </si>
  <si>
    <t>Q9P258_RCC2</t>
  </si>
  <si>
    <t>Q9P260_KIAA1468</t>
  </si>
  <si>
    <t>Q9P265_DIP2B</t>
  </si>
  <si>
    <t>Q9P266_KIAA1462</t>
  </si>
  <si>
    <t>Q9P270_SLAIN2</t>
  </si>
  <si>
    <t>Q9P273_TENM3</t>
  </si>
  <si>
    <t>Q9P287_BCCIP</t>
  </si>
  <si>
    <t>Q9P287-2_BCCIP</t>
  </si>
  <si>
    <t>Q9P2B2_PTGFRN</t>
  </si>
  <si>
    <t>Q9P2B4_CTTNBP2NL</t>
  </si>
  <si>
    <t>Q9P2C4_TMEM181</t>
  </si>
  <si>
    <t>Q9P2D1_CHD7</t>
  </si>
  <si>
    <t>Q9P2D3-3_HEATR5B</t>
  </si>
  <si>
    <t>Q9P2E9_RRBP1</t>
  </si>
  <si>
    <t>Q9P2I0_CPSF2</t>
  </si>
  <si>
    <t>Q9P2J9_PDP2</t>
  </si>
  <si>
    <t>Q9P2K2_TXNDC16</t>
  </si>
  <si>
    <t>Q9P2K3_RCOR3</t>
  </si>
  <si>
    <t>Q9P2K5-2_MYEF2</t>
  </si>
  <si>
    <t>Q9P2K6_KLHL42</t>
  </si>
  <si>
    <t>Q9P2M7_CGN</t>
  </si>
  <si>
    <t>Q9P2N5_RBM27</t>
  </si>
  <si>
    <t>Q9P2R3_ANKFY1</t>
  </si>
  <si>
    <t>Q9P2R6_RERE</t>
  </si>
  <si>
    <t>Q9P2W1-2_PSMC3IP</t>
  </si>
  <si>
    <t>Q9P2X0_DPM3</t>
  </si>
  <si>
    <t>Q9P2Y4_ZNF219</t>
  </si>
  <si>
    <t>Q9UBB4_ATXN10</t>
  </si>
  <si>
    <t>Q9UBB5_MBD2</t>
  </si>
  <si>
    <t>Q9UBB6_NCDN</t>
  </si>
  <si>
    <t>Q9UBB9_TFIP11</t>
  </si>
  <si>
    <t>Q9UBC2-2_EPS15L1</t>
  </si>
  <si>
    <t>Q9UBC2-4_EPS15L1</t>
  </si>
  <si>
    <t>Q9UBD5_ORC3</t>
  </si>
  <si>
    <t>Q9UBE0_SAE1</t>
  </si>
  <si>
    <t>Q9UBF2_COPG2</t>
  </si>
  <si>
    <t>Q9UBF6_RNF7</t>
  </si>
  <si>
    <t>Q9UBF8-2_PI4KB</t>
  </si>
  <si>
    <t>Q9UBI6_GNG12</t>
  </si>
  <si>
    <t>Q9UBK8-2_MTRR</t>
  </si>
  <si>
    <t>Q9UBK9_UXT</t>
  </si>
  <si>
    <t>Q9UBL3-3_ASH2L</t>
  </si>
  <si>
    <t>Q9UBM7_DHCR7</t>
  </si>
  <si>
    <t>Q9UBN6_TNFRSF10D</t>
  </si>
  <si>
    <t>Q9UBP0-3_SPAST</t>
  </si>
  <si>
    <t>Q9UBP6_METTL1</t>
  </si>
  <si>
    <t>Q9UBQ0_VPS29</t>
  </si>
  <si>
    <t>Q9UBQ7_GRHPR</t>
  </si>
  <si>
    <t>Q9UBR2_CTSZ</t>
  </si>
  <si>
    <t>Q9UBS0_RPS6KB2</t>
  </si>
  <si>
    <t>Q9UBS4_DNAJB11</t>
  </si>
  <si>
    <t>Q9UBS8_RNF14</t>
  </si>
  <si>
    <t>Q9UBT2_UBA2</t>
  </si>
  <si>
    <t>Q9UBU9_NXF1</t>
  </si>
  <si>
    <t>Q9UBV2_SEL1L</t>
  </si>
  <si>
    <t>Q9UBV8_PEF1</t>
  </si>
  <si>
    <t>Q9UBW7_ZMYM2</t>
  </si>
  <si>
    <t>Q9UBW8_COPS7A</t>
  </si>
  <si>
    <t>Q9UBX3_SLC25A10</t>
  </si>
  <si>
    <t>Q9UC07-2_ZNF69</t>
  </si>
  <si>
    <t>Q9UD71_PPP1R1B</t>
  </si>
  <si>
    <t>Q9UDW1_UQCR10</t>
  </si>
  <si>
    <t>Q9UDX5_MTFP1</t>
  </si>
  <si>
    <t>Q9UDY2-3_TJP2</t>
  </si>
  <si>
    <t>Q9UDY4_DNAJB4</t>
  </si>
  <si>
    <t>Q9UDY8_MALT1</t>
  </si>
  <si>
    <t>Q9UEE9_CFDP1</t>
  </si>
  <si>
    <t>Q9UEG4_ZNF629</t>
  </si>
  <si>
    <t>Q9UEL6_MPZL1</t>
  </si>
  <si>
    <t>Q9UER7-3_DAXX</t>
  </si>
  <si>
    <t>Q9UET6-2_FTSJ1</t>
  </si>
  <si>
    <t>Q9UEU0_VTI1B</t>
  </si>
  <si>
    <t>Q9UEW8_STK39</t>
  </si>
  <si>
    <t>Q9UEY8-2_ADD3</t>
  </si>
  <si>
    <t>Q9UFC0_LRWD1</t>
  </si>
  <si>
    <t>Q9UFG5_C19orf25</t>
  </si>
  <si>
    <t>Q9UFN0_NIPSNAP3A</t>
  </si>
  <si>
    <t>Q9UFW8_CGGBP1</t>
  </si>
  <si>
    <t>Q9UG56-2_PISD</t>
  </si>
  <si>
    <t>Q9UG63_ABCF2</t>
  </si>
  <si>
    <t>Q9UGC7_MTRF1L</t>
  </si>
  <si>
    <t>Q9UGI8_TES</t>
  </si>
  <si>
    <t>Q9UGK3_STAP2</t>
  </si>
  <si>
    <t>Q9UGK8_SERGEF</t>
  </si>
  <si>
    <t>Q9UGM6_WARS2</t>
  </si>
  <si>
    <t>Q9UGP4_LIMD1</t>
  </si>
  <si>
    <t>Q9UGP8_SEC63</t>
  </si>
  <si>
    <t>Q9UGQ3-2_SLC2A6</t>
  </si>
  <si>
    <t>Q9UGR2-2_ZC3H7B</t>
  </si>
  <si>
    <t>Q9UGU0-2_TCF20</t>
  </si>
  <si>
    <t>Q9UGV2_NDRG3</t>
  </si>
  <si>
    <t>Q9UH62_ARMCX3</t>
  </si>
  <si>
    <t>Q9UH65_SWAP70</t>
  </si>
  <si>
    <t>Q9UHA4_LAMTOR3</t>
  </si>
  <si>
    <t>Q9UHB6_LIMA1</t>
  </si>
  <si>
    <t>Q9UHB7_AFF4</t>
  </si>
  <si>
    <t>Q9UHB9_SRP68</t>
  </si>
  <si>
    <t>Q9UHD1_CHORDC1</t>
  </si>
  <si>
    <t>Q9UHD8_SEPT9</t>
  </si>
  <si>
    <t>Q9UHD9_UBQLN2</t>
  </si>
  <si>
    <t>Q9UHE8_STEAP1</t>
  </si>
  <si>
    <t>Q9UHF7_TRPS1</t>
  </si>
  <si>
    <t>Q9UHG3_PCYOX1</t>
  </si>
  <si>
    <t>Q9UHI6_DDX20</t>
  </si>
  <si>
    <t>Q9UHJ3-2_SFMBT1</t>
  </si>
  <si>
    <t>Q9UHJ6_SHPK</t>
  </si>
  <si>
    <t>Q9UHK6_AMACR</t>
  </si>
  <si>
    <t>Q9UHL4_DPP7</t>
  </si>
  <si>
    <t>Q9UHN1_POLG2</t>
  </si>
  <si>
    <t>Q9UHN6_TMEM2</t>
  </si>
  <si>
    <t>Q9UHP3_USP25</t>
  </si>
  <si>
    <t>Q9UHQ4_BCAP29</t>
  </si>
  <si>
    <t>Q9UHQ9_CYB5R1</t>
  </si>
  <si>
    <t>Q9UHR4_BAIAP2L1</t>
  </si>
  <si>
    <t>Q9UHR6_ZNHIT2</t>
  </si>
  <si>
    <t>Q9UHV9_PFDN2</t>
  </si>
  <si>
    <t>Q9UHW5_GPN3</t>
  </si>
  <si>
    <t>Q9UHX1-4_PUF60</t>
  </si>
  <si>
    <t>Q9UHX3-4_EMR2</t>
  </si>
  <si>
    <t>Q9UHY1_NRBP1</t>
  </si>
  <si>
    <t>Q9UHY7_ENOPH1</t>
  </si>
  <si>
    <t>Q9UI10_EIF2B4</t>
  </si>
  <si>
    <t>Q9UI12-2_ATP6V1H</t>
  </si>
  <si>
    <t>Q9UI15_TAGLN3</t>
  </si>
  <si>
    <t>Q9UI26_IPO11</t>
  </si>
  <si>
    <t>Q9UI30_TRMT112</t>
  </si>
  <si>
    <t>Q9UI32_GLS2</t>
  </si>
  <si>
    <t>Q9UI36-2_DACH1</t>
  </si>
  <si>
    <t>Q9UIC8_LCMT1</t>
  </si>
  <si>
    <t>Q9UID3_VPS51</t>
  </si>
  <si>
    <t>Q9UII2_ATPIF1</t>
  </si>
  <si>
    <t>Q9UIJ7_AK3</t>
  </si>
  <si>
    <t>Q9UIK4_DAPK2</t>
  </si>
  <si>
    <t>Q9UIL1-3_SCOC</t>
  </si>
  <si>
    <t>Q9UIM3_FKBPL</t>
  </si>
  <si>
    <t>Q9UIQ6-3_LNPEP</t>
  </si>
  <si>
    <t>Q9UIU6_SIX4</t>
  </si>
  <si>
    <t>Q9UJ14_GGT7</t>
  </si>
  <si>
    <t>Q9UJ68-2_MSRA</t>
  </si>
  <si>
    <t>Q9UJA2-2_CRLS1</t>
  </si>
  <si>
    <t>Q9UJA5_TRMT6</t>
  </si>
  <si>
    <t>Q9UJA9_ENPP5</t>
  </si>
  <si>
    <t>Q9UJC5_SH3BGRL2</t>
  </si>
  <si>
    <t>Q9UJK0_TSR3</t>
  </si>
  <si>
    <t>Q9UJS0_SLC25A13</t>
  </si>
  <si>
    <t>Q9UJT0_TUBE1</t>
  </si>
  <si>
    <t>Q9UJU6_DBNL</t>
  </si>
  <si>
    <t>Q9UJU6-2_DBNL</t>
  </si>
  <si>
    <t>Q9UJW0_DCTN4</t>
  </si>
  <si>
    <t>Q9UJX3-2_ANAPC7</t>
  </si>
  <si>
    <t>Q9UJX5-2_ANAPC4</t>
  </si>
  <si>
    <t>Q9UJX6-2_ANAPC2</t>
  </si>
  <si>
    <t>Q9UJY4_GGA2</t>
  </si>
  <si>
    <t>Q9UJY5-4_GGA1</t>
  </si>
  <si>
    <t>Q9UJZ1_STOML2</t>
  </si>
  <si>
    <t>Q9UK22_FBXO2</t>
  </si>
  <si>
    <t>Q9UK23_NAGPA</t>
  </si>
  <si>
    <t>Q9UK41_VPS28</t>
  </si>
  <si>
    <t>Q9UK45_LSM7</t>
  </si>
  <si>
    <t>Q9UK53-2_ING1</t>
  </si>
  <si>
    <t>Q9UK59_DBR1</t>
  </si>
  <si>
    <t>Q9UK76_HN1</t>
  </si>
  <si>
    <t>Q9UK97-3_FBXO9</t>
  </si>
  <si>
    <t>Q9UKA2_FBXL4</t>
  </si>
  <si>
    <t>Q9UKA4_AKAP11</t>
  </si>
  <si>
    <t>Q9UKB3_DNAJC12</t>
  </si>
  <si>
    <t>Q9UKB5_AJAP1</t>
  </si>
  <si>
    <t>Q9UKD2_MRTO4</t>
  </si>
  <si>
    <t>Q9UKF6_CPSF3</t>
  </si>
  <si>
    <t>Q9UKG1_APPL1</t>
  </si>
  <si>
    <t>Q9UKI8-5_TLK1</t>
  </si>
  <si>
    <t>Q9UKJ3_GPATCH8</t>
  </si>
  <si>
    <t>Q9UKK9_NUDT5</t>
  </si>
  <si>
    <t>Q9UKL3_CASP8AP2</t>
  </si>
  <si>
    <t>Q9UKL6_PCTP</t>
  </si>
  <si>
    <t>Q9UKM7_MAN1B1</t>
  </si>
  <si>
    <t>Q9UKN8_GTF3C4</t>
  </si>
  <si>
    <t>Q9UKQ2-2_ADAM28</t>
  </si>
  <si>
    <t>Q9UKR5_C14orf1</t>
  </si>
  <si>
    <t>Q9UKS6_PACSIN3</t>
  </si>
  <si>
    <t>Q9UKT5_FBXO4</t>
  </si>
  <si>
    <t>Q9UKU7_ACAD8</t>
  </si>
  <si>
    <t>Q9UKV8_AGO2</t>
  </si>
  <si>
    <t>Q9UKX7-2_NUP50</t>
  </si>
  <si>
    <t>Q9UKY7_CDV3</t>
  </si>
  <si>
    <t>Q9UKZ1_CNOT11</t>
  </si>
  <si>
    <t>Q9UL15_BAG5</t>
  </si>
  <si>
    <t>Q9UL18_AGO1</t>
  </si>
  <si>
    <t>Q9UL25_RAB21</t>
  </si>
  <si>
    <t>Q9UL26_RAB22A</t>
  </si>
  <si>
    <t>Q9UL42_PNMA2</t>
  </si>
  <si>
    <t>Q9UL46_PSME2</t>
  </si>
  <si>
    <t>Q9UL54-2_TAOK2</t>
  </si>
  <si>
    <t>Q9UL63_MKLN1</t>
  </si>
  <si>
    <t>Q9ULC3_RAB23</t>
  </si>
  <si>
    <t>Q9ULC4_MCTS1</t>
  </si>
  <si>
    <t>Q9ULC5_ACSL5</t>
  </si>
  <si>
    <t>Q9ULD9_ZNF608</t>
  </si>
  <si>
    <t>Q9ULE6_PALD1</t>
  </si>
  <si>
    <t>Q9ULF5_SLC39A10</t>
  </si>
  <si>
    <t>Q9ULH0-2_KIDINS220</t>
  </si>
  <si>
    <t>Q9ULH7-4_MKL2</t>
  </si>
  <si>
    <t>Q9ULJ6_ZMIZ1</t>
  </si>
  <si>
    <t>Q9ULJ8_PPP1R9A</t>
  </si>
  <si>
    <t>Q9ULL5-3_PRR12</t>
  </si>
  <si>
    <t>Q9ULM3_YEATS2</t>
  </si>
  <si>
    <t>Q9ULP9-2_TBC1D24</t>
  </si>
  <si>
    <t>Q9ULR0_ISY1</t>
  </si>
  <si>
    <t>Q9ULR3_PPM1H</t>
  </si>
  <si>
    <t>Q9ULT8_HECTD1</t>
  </si>
  <si>
    <t>Q9ULV4_CORO1C</t>
  </si>
  <si>
    <t>Q9ULW0_TPX2</t>
  </si>
  <si>
    <t>Q9ULX3_NOB1</t>
  </si>
  <si>
    <t>Q9ULX6_AKAP8L</t>
  </si>
  <si>
    <t>Q9ULX9_MAFF</t>
  </si>
  <si>
    <t>Q9ULZ3-2_PYCARD</t>
  </si>
  <si>
    <t>Q9UMS0-3_NFU1</t>
  </si>
  <si>
    <t>Q9UMS4_PRPF19</t>
  </si>
  <si>
    <t>Q9UMX0_UBQLN1</t>
  </si>
  <si>
    <t>Q9UMX5_NENF</t>
  </si>
  <si>
    <t>Q9UMY1_NOL7</t>
  </si>
  <si>
    <t>Q9UMY4-2_SNX12</t>
  </si>
  <si>
    <t>Q9UMZ2-6_SYNRG</t>
  </si>
  <si>
    <t>Q9UN37_VPS4A</t>
  </si>
  <si>
    <t>Q9UN79_SOX13</t>
  </si>
  <si>
    <t>Q9UN86-2_G3BP2</t>
  </si>
  <si>
    <t>Q9UNE7_STUB1</t>
  </si>
  <si>
    <t>Q9UNF0-2_PACSIN2</t>
  </si>
  <si>
    <t>Q9UNF1_MAGED2</t>
  </si>
  <si>
    <t>Q9UNH7_SNX6</t>
  </si>
  <si>
    <t>Q9UNI6_DUSP12</t>
  </si>
  <si>
    <t>Q9UNK0_STX8</t>
  </si>
  <si>
    <t>Q9UNK9_ANGEL1</t>
  </si>
  <si>
    <t>Q9UNM6_PSMD13</t>
  </si>
  <si>
    <t>Q9UNN5_FAF1</t>
  </si>
  <si>
    <t>Q9UNP9_PPIE</t>
  </si>
  <si>
    <t>Q9UNS1-2_TIMELESS</t>
  </si>
  <si>
    <t>Q9UNS2_COPS3</t>
  </si>
  <si>
    <t>Q9UNW1_MINPP1</t>
  </si>
  <si>
    <t>Q9UNX4_WDR3</t>
  </si>
  <si>
    <t>Q9UNY4_TTF2</t>
  </si>
  <si>
    <t>Q9UNZ5_C19orf53</t>
  </si>
  <si>
    <t>Q9UP83-3_COG5</t>
  </si>
  <si>
    <t>Q9UPN6_SCAF8</t>
  </si>
  <si>
    <t>Q9UPN7_PPP6R1</t>
  </si>
  <si>
    <t>Q9UPN9-2_TRIM33</t>
  </si>
  <si>
    <t>Q9UPP1-4_PHF8</t>
  </si>
  <si>
    <t>Q9UPQ9-1_TNRC6B</t>
  </si>
  <si>
    <t>Q9UPT5-1_EXOC7</t>
  </si>
  <si>
    <t>Q9UPT8_ZC3H4</t>
  </si>
  <si>
    <t>Q9UPT9-2_USP22</t>
  </si>
  <si>
    <t>Q9UPU5_USP24</t>
  </si>
  <si>
    <t>Q9UPW5_AGTPBP1</t>
  </si>
  <si>
    <t>Q9UPY3_DICER1</t>
  </si>
  <si>
    <t>Q9UPY5_SLC7A11</t>
  </si>
  <si>
    <t>Q9UPZ3-2_HPS5</t>
  </si>
  <si>
    <t>Q9UQ13-2_SHOC2</t>
  </si>
  <si>
    <t>Q9UQ35_SRRM2</t>
  </si>
  <si>
    <t>Q9UQ80_PA2G4</t>
  </si>
  <si>
    <t>Q9UQ90_SPG7</t>
  </si>
  <si>
    <t>Q9UQB8-5_BAIAP2</t>
  </si>
  <si>
    <t>Q9UQC2-2_GAB2</t>
  </si>
  <si>
    <t>Q9UQE7_SMC3</t>
  </si>
  <si>
    <t>Q9UQL0_UBE2D4</t>
  </si>
  <si>
    <t>Q9UQN3_CHMP2B</t>
  </si>
  <si>
    <t>Q9Y217_MTMR6</t>
  </si>
  <si>
    <t>Q9Y219_JAG2</t>
  </si>
  <si>
    <t>Q9Y221-2_NIP7</t>
  </si>
  <si>
    <t>Q9Y223_GNE</t>
  </si>
  <si>
    <t>Q9Y224_C14orf166</t>
  </si>
  <si>
    <t>Q9Y230_RUVBL2</t>
  </si>
  <si>
    <t>Q9Y232-2_CDYL</t>
  </si>
  <si>
    <t>Q9Y234_LIPT1</t>
  </si>
  <si>
    <t>Q9Y235_APOBEC2</t>
  </si>
  <si>
    <t>Q9Y237_PIN4</t>
  </si>
  <si>
    <t>Q9Y242_TCF19</t>
  </si>
  <si>
    <t>Q9Y243-2_AKT3</t>
  </si>
  <si>
    <t>Q9Y244_POMP</t>
  </si>
  <si>
    <t>Q9Y247_FAM50B</t>
  </si>
  <si>
    <t>Q9Y248_GINS2</t>
  </si>
  <si>
    <t>Q9Y259_CHKB</t>
  </si>
  <si>
    <t>Q9Y263_PLAA</t>
  </si>
  <si>
    <t>Q9Y265_RUVBL1</t>
  </si>
  <si>
    <t>Q9Y266_NUDC</t>
  </si>
  <si>
    <t>Q9Y276_BCS1L</t>
  </si>
  <si>
    <t>Q9Y277_VDAC3</t>
  </si>
  <si>
    <t>Q9Y281_CFL2</t>
  </si>
  <si>
    <t>Q9Y289_SLC5A6</t>
  </si>
  <si>
    <t>Q9Y294_ASF1A</t>
  </si>
  <si>
    <t>Q9Y295_DRG1</t>
  </si>
  <si>
    <t>Q9Y296_TRAPPC4</t>
  </si>
  <si>
    <t>Q9Y2A7_NCKAP1</t>
  </si>
  <si>
    <t>Q9Y2A9_B3GNT3</t>
  </si>
  <si>
    <t>Q9Y2B0_CNPY2</t>
  </si>
  <si>
    <t>Q9Y2C4_EXOG</t>
  </si>
  <si>
    <t>Q9Y2D0_CA5B</t>
  </si>
  <si>
    <t>Q9Y2D4_EXOC6B</t>
  </si>
  <si>
    <t>Q9Y2D5_AKAP2</t>
  </si>
  <si>
    <t>Q9Y2G5_POFUT2</t>
  </si>
  <si>
    <t>Q9Y2H0-3_DLGAP4</t>
  </si>
  <si>
    <t>Q9Y2H1_STK38L</t>
  </si>
  <si>
    <t>Q9Y2H6-2_FNDC3A</t>
  </si>
  <si>
    <t>Q9Y2I1_NISCH</t>
  </si>
  <si>
    <t>Q9Y2I8_WDR37</t>
  </si>
  <si>
    <t>Q9Y2K6_USP20</t>
  </si>
  <si>
    <t>Q9Y2K7_KDM2A</t>
  </si>
  <si>
    <t>Q9Y2L1_DIS3</t>
  </si>
  <si>
    <t>Q9Y2L9-2_LRCH1</t>
  </si>
  <si>
    <t>Q9Y2Q3_GSTK1</t>
  </si>
  <si>
    <t>Q9Y2Q5_LAMTOR2</t>
  </si>
  <si>
    <t>Q9Y2Q9_MRPS28</t>
  </si>
  <si>
    <t>Q9Y2R0_COA3</t>
  </si>
  <si>
    <t>Q9Y2R4_DDX52</t>
  </si>
  <si>
    <t>Q9Y2S0_POLR1D</t>
  </si>
  <si>
    <t>Q9Y2S2-2_CRYL1</t>
  </si>
  <si>
    <t>Q9Y2S6_TMA7</t>
  </si>
  <si>
    <t>Q9Y2S7_POLDIP2</t>
  </si>
  <si>
    <t>Q9Y2T2_AP3M1</t>
  </si>
  <si>
    <t>Q9Y2U8_LEMD3</t>
  </si>
  <si>
    <t>Q9Y2V2_CARHSP1</t>
  </si>
  <si>
    <t>Q9Y2V7-2_COG6</t>
  </si>
  <si>
    <t>Q9Y2W1_THRAP3</t>
  </si>
  <si>
    <t>Q9Y2X0-2_MED16</t>
  </si>
  <si>
    <t>Q9Y2X3_NOP58</t>
  </si>
  <si>
    <t>Q9Y2X7-3_GIT1</t>
  </si>
  <si>
    <t>Q9Y2Y1_POLR3K</t>
  </si>
  <si>
    <t>Q9Y2Z0-2_SUGT1</t>
  </si>
  <si>
    <t>Q9Y2Z2-4_MTO1</t>
  </si>
  <si>
    <t>Q9Y2Z4_YARS2</t>
  </si>
  <si>
    <t>Q9Y2Z9-3_COQ6</t>
  </si>
  <si>
    <t>Q9Y303_AMDHD2</t>
  </si>
  <si>
    <t>Q9Y305_ACOT9</t>
  </si>
  <si>
    <t>Q9Y314_NOSIP</t>
  </si>
  <si>
    <t>Q9Y315_DERA</t>
  </si>
  <si>
    <t>Q9Y316_MEMO1</t>
  </si>
  <si>
    <t>Q9Y320-2_TMX2</t>
  </si>
  <si>
    <t>Q9Y333_LSM2</t>
  </si>
  <si>
    <t>Q9Y371_SH3GLB1</t>
  </si>
  <si>
    <t>Q9Y375_NDUFAF1</t>
  </si>
  <si>
    <t>Q9Y376_CAB39</t>
  </si>
  <si>
    <t>Q9Y383_LUC7L2</t>
  </si>
  <si>
    <t>Q9Y388_RBMX2</t>
  </si>
  <si>
    <t>Q9Y394-2_DHRS7</t>
  </si>
  <si>
    <t>Q9Y399_MRPS2</t>
  </si>
  <si>
    <t>Q9Y3A0-2_COQ4</t>
  </si>
  <si>
    <t>Q9Y3A3-3_MOB4</t>
  </si>
  <si>
    <t>Q9Y3A5_SBDS</t>
  </si>
  <si>
    <t>Q9Y3A6_TMED5</t>
  </si>
  <si>
    <t>Q9Y3B1_SLMO2</t>
  </si>
  <si>
    <t>Q9Y3B2_EXOSC1</t>
  </si>
  <si>
    <t>Q9Y3B3_TMED7</t>
  </si>
  <si>
    <t>Q9Y3B4_SF3B14</t>
  </si>
  <si>
    <t>Q9Y3B7-2_MRPL11</t>
  </si>
  <si>
    <t>Q9Y3B9_RRP15</t>
  </si>
  <si>
    <t>Q9Y3C1_NOP16</t>
  </si>
  <si>
    <t>Q9Y3C4_TPRKB</t>
  </si>
  <si>
    <t>Q9Y3C6_PPIL1</t>
  </si>
  <si>
    <t>Q9Y3C8_UFC1</t>
  </si>
  <si>
    <t>Q9Y3D0_FAM96B</t>
  </si>
  <si>
    <t>Q9Y3D2_MSRB2</t>
  </si>
  <si>
    <t>Q9Y3D5_MRPS18C</t>
  </si>
  <si>
    <t>Q9Y3D6_FIS1</t>
  </si>
  <si>
    <t>Q9Y3D8_TAF9</t>
  </si>
  <si>
    <t>Q9Y3D9_MRPS23</t>
  </si>
  <si>
    <t>Q9Y3E2_BOLA1</t>
  </si>
  <si>
    <t>Q9Y3E7-4_CHMP3</t>
  </si>
  <si>
    <t>Q9Y3F4_STRAP</t>
  </si>
  <si>
    <t>Q9Y3I0_C22orf28</t>
  </si>
  <si>
    <t>Q9Y3I1_FBXO7</t>
  </si>
  <si>
    <t>Q9Y3L5_RAP2C</t>
  </si>
  <si>
    <t>Q9Y3P8_SIT1</t>
  </si>
  <si>
    <t>Q9Y3P9_RABGAP1</t>
  </si>
  <si>
    <t>Q9Y3R5-2_DOPEY2</t>
  </si>
  <si>
    <t>Q9Y3S2_ZNF330</t>
  </si>
  <si>
    <t>Q9Y3T6_R3HCC1</t>
  </si>
  <si>
    <t>Q9Y3T9_NOC2L</t>
  </si>
  <si>
    <t>Q9Y3U8_RPL36</t>
  </si>
  <si>
    <t>Q9Y3X0_CCDC9</t>
  </si>
  <si>
    <t>Q9Y3Y2-4_CHTOP</t>
  </si>
  <si>
    <t>Q9Y3Z3_SAMHD1</t>
  </si>
  <si>
    <t>Q9Y421_FAM32A</t>
  </si>
  <si>
    <t>Q9Y446_PKP3</t>
  </si>
  <si>
    <t>Q9Y448-2_KNSTRN</t>
  </si>
  <si>
    <t>Q9Y450_HBS1L</t>
  </si>
  <si>
    <t>Q9Y478_PRKAB1</t>
  </si>
  <si>
    <t>Q9Y487_ATP6V0A2</t>
  </si>
  <si>
    <t>Q9Y490_TLN1</t>
  </si>
  <si>
    <t>Q9Y4B6_VPRBP</t>
  </si>
  <si>
    <t>Q9Y4C1_KDM3A</t>
  </si>
  <si>
    <t>Q9Y4C2-2_FAM115A</t>
  </si>
  <si>
    <t>Q9Y4E1-2_FAM21C</t>
  </si>
  <si>
    <t>Q9Y4E6-2_WDR7</t>
  </si>
  <si>
    <t>Q9Y4E8_USP15</t>
  </si>
  <si>
    <t>Q9Y4H2_IRS2</t>
  </si>
  <si>
    <t>Q9Y4K1_AIM1</t>
  </si>
  <si>
    <t>Q9Y4K3_TRAF6</t>
  </si>
  <si>
    <t>Q9Y4K4_MAP4K5</t>
  </si>
  <si>
    <t>Q9Y4L1_HYOU1</t>
  </si>
  <si>
    <t>Q9Y4P1-6_ATG4B</t>
  </si>
  <si>
    <t>Q9Y4P8-3_WIPI2</t>
  </si>
  <si>
    <t>Q9Y4R8_TELO2</t>
  </si>
  <si>
    <t>Q9Y4U1_MMACHC</t>
  </si>
  <si>
    <t>Q9Y4W6_AFG3L2</t>
  </si>
  <si>
    <t>Q9Y4X0-4_AMMECR1</t>
  </si>
  <si>
    <t>Q9Y4X5_ARIH1</t>
  </si>
  <si>
    <t>Q9Y4Z0_LSM4</t>
  </si>
  <si>
    <t>Q9Y508_RNF114</t>
  </si>
  <si>
    <t>Q9Y512_SAMM50</t>
  </si>
  <si>
    <t>Q9Y520-7_PRRC2C</t>
  </si>
  <si>
    <t>Q9Y570_PPME1</t>
  </si>
  <si>
    <t>Q9Y584_TIMM22</t>
  </si>
  <si>
    <t>Q9Y597-2_KCTD3</t>
  </si>
  <si>
    <t>Q9Y5A9-2_YTHDF2</t>
  </si>
  <si>
    <t>Q9Y5B0_CTDP1</t>
  </si>
  <si>
    <t>Q9Y5B6_PAXBP1</t>
  </si>
  <si>
    <t>Q9Y5B8_NME7</t>
  </si>
  <si>
    <t>Q9Y5B9_SUPT16H</t>
  </si>
  <si>
    <t>Q9Y5J1_UTP18</t>
  </si>
  <si>
    <t>Q9Y5J6_TIMM10B</t>
  </si>
  <si>
    <t>Q9Y5J7_TIMM9</t>
  </si>
  <si>
    <t>Q9Y5K3-2_PCYT1B</t>
  </si>
  <si>
    <t>Q9Y5K5-2_UCHL5</t>
  </si>
  <si>
    <t>Q9Y5K6_CD2AP</t>
  </si>
  <si>
    <t>Q9Y5K8_ATP6V1D</t>
  </si>
  <si>
    <t>Q9Y5L0_TNPO3</t>
  </si>
  <si>
    <t>Q9Y5L3_ENTPD2</t>
  </si>
  <si>
    <t>Q9Y5L4_TIMM13</t>
  </si>
  <si>
    <t>Q9Y5M8_SRPRB</t>
  </si>
  <si>
    <t>Q9Y5P4-2_COL4A3BP</t>
  </si>
  <si>
    <t>Q9Y5P6_GMPPB</t>
  </si>
  <si>
    <t>Q9Y5Q8_GTF3C5</t>
  </si>
  <si>
    <t>Q9Y5Q9_GTF3C3</t>
  </si>
  <si>
    <t>Q9Y5R8_TRAPPC1</t>
  </si>
  <si>
    <t>Q9Y5S2_CDC42BPB</t>
  </si>
  <si>
    <t>Q9Y5S9_RBM8A</t>
  </si>
  <si>
    <t>Q9Y5T4_DNAJC15</t>
  </si>
  <si>
    <t>Q9Y5U2-2_TSSC4</t>
  </si>
  <si>
    <t>Q9Y5V0_ZNF706</t>
  </si>
  <si>
    <t>Q9Y5X1_SNX9</t>
  </si>
  <si>
    <t>Q9Y5X2_SNX8</t>
  </si>
  <si>
    <t>Q9Y5X3_SNX5</t>
  </si>
  <si>
    <t>Q9Y5Y0_FLVCR1</t>
  </si>
  <si>
    <t>Q9Y5Y2_NUBP2</t>
  </si>
  <si>
    <t>Q9Y5Y6_ST14</t>
  </si>
  <si>
    <t>Q9Y5Z4_HEBP2</t>
  </si>
  <si>
    <t>Q9Y605_MRFAP1</t>
  </si>
  <si>
    <t>Q9Y608-2_LRRFIP2</t>
  </si>
  <si>
    <t>Q9Y613_FHOD1</t>
  </si>
  <si>
    <t>Q9Y617_PSAT1</t>
  </si>
  <si>
    <t>Q9Y619_SLC25A15</t>
  </si>
  <si>
    <t>Q9Y639_NPTN</t>
  </si>
  <si>
    <t>Q9Y646_CPQ</t>
  </si>
  <si>
    <t>Q9Y657_SPIN1</t>
  </si>
  <si>
    <t>Q9Y666_SLC12A7</t>
  </si>
  <si>
    <t>Q9Y673_ALG5</t>
  </si>
  <si>
    <t>Q9Y678_COPG1</t>
  </si>
  <si>
    <t>Q9Y679-2_AUP1</t>
  </si>
  <si>
    <t>Q9Y680-3_FKBP7</t>
  </si>
  <si>
    <t>Q9Y696_CLIC4</t>
  </si>
  <si>
    <t>Q9Y697-2_NFS1</t>
  </si>
  <si>
    <t>Q9Y6A4_C16orf80</t>
  </si>
  <si>
    <t>Q9Y6A5_TACC3</t>
  </si>
  <si>
    <t>Q9Y6B6_SAR1B</t>
  </si>
  <si>
    <t>Q9Y6C9_MTCH2</t>
  </si>
  <si>
    <t>Q9Y6D5_ARFGEF2</t>
  </si>
  <si>
    <t>Q9Y6D6_ARFGEF1</t>
  </si>
  <si>
    <t>Q9Y6D9_MAD1L1</t>
  </si>
  <si>
    <t>Q9Y6E0-2_STK24</t>
  </si>
  <si>
    <t>Q9Y6G5_COMMD10</t>
  </si>
  <si>
    <t>Q9Y6G9_DYNC1LI1</t>
  </si>
  <si>
    <t>Q9Y6H1_CHCHD2</t>
  </si>
  <si>
    <t>Q9Y6I3_EPN1</t>
  </si>
  <si>
    <t>Q9Y6I9_TEX264</t>
  </si>
  <si>
    <t>Q9Y6K5_OAS3</t>
  </si>
  <si>
    <t>Q9Y6K9_IKBKG</t>
  </si>
  <si>
    <t>Q9Y6M4-4_CSNK1G3</t>
  </si>
  <si>
    <t>Q9Y6M5_SLC30A1</t>
  </si>
  <si>
    <t>Q9Y6M9_NDUFB9</t>
  </si>
  <si>
    <t>Q9Y6N1_COX11</t>
  </si>
  <si>
    <t>Q9Y6N5_SQRDL</t>
  </si>
  <si>
    <t>Q9Y6N7-4_ROBO1</t>
  </si>
  <si>
    <t>Q9Y6Q5_AP1M2</t>
  </si>
  <si>
    <t>Q9Y6Q9-2_NCOA3</t>
  </si>
  <si>
    <t>Q9Y6U3_SCIN</t>
  </si>
  <si>
    <t>Q9Y6V7_DDX49</t>
  </si>
  <si>
    <t>Q9Y6W3_CAPN7</t>
  </si>
  <si>
    <t>Q9Y6W5_WASF2</t>
  </si>
  <si>
    <t>Q9Y6X5_ENPP4</t>
  </si>
  <si>
    <t>Q9Y6X8_ZHX2</t>
  </si>
  <si>
    <t>Q9Y6X9_MORC2</t>
  </si>
  <si>
    <t>R4GMR5_PSMD8</t>
  </si>
  <si>
    <t>R4GMU1_H6PD</t>
  </si>
  <si>
    <t>R4GMX3_BMI1</t>
  </si>
  <si>
    <t>R4GMX8_RANBP10</t>
  </si>
  <si>
    <t>R4GMZ0_PRSS56</t>
  </si>
  <si>
    <t>R4GN50_PTP4A2</t>
  </si>
  <si>
    <t>R4GN55_YTHDF3</t>
  </si>
  <si>
    <t>R4GN98_S100A6</t>
  </si>
  <si>
    <t>R4GNB1_AASDH</t>
  </si>
  <si>
    <t>R4GNB2_DENND4C</t>
  </si>
  <si>
    <t>R4GND3_PHLDA1</t>
  </si>
  <si>
    <t>R4GND4_ACD</t>
  </si>
  <si>
    <t>R4GNH3_PSMC3</t>
  </si>
  <si>
    <t>Melting_Curves/meltCurve_A0AVT1_UBA6.pdf</t>
  </si>
  <si>
    <t>Melting_Curves/meltCurve_A0MZ66_KIAA1598.pdf</t>
  </si>
  <si>
    <t>Melting_Curves/meltCurve_A1A5A9_KIAA0999.pdf</t>
  </si>
  <si>
    <t>Melting_Curves/meltCurve_A1BQX2_MARVELD2.pdf</t>
  </si>
  <si>
    <t>Melting_Curves/meltCurve_A1L0T0_ILVBL.pdf</t>
  </si>
  <si>
    <t>Melting_Curves/meltCurve_A1L188_C17orf89.pdf</t>
  </si>
  <si>
    <t>Melting_Curves/meltCurve_A1X283_SH3PXD2B.pdf</t>
  </si>
  <si>
    <t>Melting_Curves/meltCurve_A2A274_ACO2.pdf</t>
  </si>
  <si>
    <t>Melting_Curves/meltCurve_A2A2Q9_AAR2.pdf</t>
  </si>
  <si>
    <t>Melting_Curves/meltCurve_A2A2V4_VEGFA.pdf</t>
  </si>
  <si>
    <t>Melting_Curves/meltCurve_A2A2Y4_5_FRMD3.pdf</t>
  </si>
  <si>
    <t>Melting_Curves/meltCurve_A2AEA2_HLA_C.pdf</t>
  </si>
  <si>
    <t>Melting_Curves/meltCurve_A2BF36_HLA_DQB1.pdf</t>
  </si>
  <si>
    <t>Melting_Curves/meltCurve_A2RUC4_TYW5.pdf</t>
  </si>
  <si>
    <t>Melting_Curves/meltCurve_A3KN83_2_SBNO1.pdf</t>
  </si>
  <si>
    <t>Melting_Curves/meltCurve_A4D126_ISPD.pdf</t>
  </si>
  <si>
    <t>Melting_Curves/meltCurve_A4D161_2_FAM221A.pdf</t>
  </si>
  <si>
    <t>Melting_Curves/meltCurve_A4D1E9_GTPBP10.pdf</t>
  </si>
  <si>
    <t>Melting_Curves/meltCurve_A4D1S0_KLRG2.pdf</t>
  </si>
  <si>
    <t>Melting_Curves/meltCurve_A4D1U4_LCHN.pdf</t>
  </si>
  <si>
    <t>Melting_Curves/meltCurve_A4D212_DKFZP586J0619.pdf</t>
  </si>
  <si>
    <t>Melting_Curves/meltCurve_A4D2B0_MBLAC1.pdf</t>
  </si>
  <si>
    <t>Melting_Curves/meltCurve_A5PLL7_TMEM189.pdf</t>
  </si>
  <si>
    <t>Melting_Curves/meltCurve_A5YKK6_CNOT1.pdf</t>
  </si>
  <si>
    <t>Melting_Curves/meltCurve_A5YM69_ARHGEF35.pdf</t>
  </si>
  <si>
    <t>Melting_Curves/meltCurve_A6NC98_4_CCDC88B.pdf</t>
  </si>
  <si>
    <t>Melting_Curves/meltCurve_A6NDG6_PGP.pdf</t>
  </si>
  <si>
    <t>Melting_Curves/meltCurve_A6NDJ8_.pdf</t>
  </si>
  <si>
    <t>Melting_Curves/meltCurve_A6NDU8_C5orf51.pdf</t>
  </si>
  <si>
    <t>Melting_Curves/meltCurve_A6NED2_RCCD1.pdf</t>
  </si>
  <si>
    <t>Melting_Curves/meltCurve_A6NEM2_HCFC1.pdf</t>
  </si>
  <si>
    <t>Melting_Curves/meltCurve_A6NEM5_PIGK.pdf</t>
  </si>
  <si>
    <t>Melting_Curves/meltCurve_A6NEP9_TSPAN14.pdf</t>
  </si>
  <si>
    <t>Melting_Curves/meltCurve_A6NF51_BPNT1.pdf</t>
  </si>
  <si>
    <t>Melting_Curves/meltCurve_A6NFI3_ZNF316.pdf</t>
  </si>
  <si>
    <t>Melting_Curves/meltCurve_A6NG32_CHMP1A.pdf</t>
  </si>
  <si>
    <t>Melting_Curves/meltCurve_A6NG79_PRCC.pdf</t>
  </si>
  <si>
    <t>Melting_Curves/meltCurve_A6NGJ0_DYNLT3.pdf</t>
  </si>
  <si>
    <t>Melting_Curves/meltCurve_A6NHB5_ZMYM3.pdf</t>
  </si>
  <si>
    <t>Melting_Curves/meltCurve_A6NHL2_2_TUBAL3.pdf</t>
  </si>
  <si>
    <t>Melting_Curves/meltCurve_A6NHQ2_FBLL1.pdf</t>
  </si>
  <si>
    <t>Melting_Curves/meltCurve_A6NHR9_SMCHD1.pdf</t>
  </si>
  <si>
    <t>Melting_Curves/meltCurve_A6NHV6_PKMYT1.pdf</t>
  </si>
  <si>
    <t>Melting_Curves/meltCurve_A6NHX0_GATSL2.pdf</t>
  </si>
  <si>
    <t>Melting_Curves/meltCurve_A6NIH7_UNC119B.pdf</t>
  </si>
  <si>
    <t>Melting_Curves/meltCurve_A6NIR4_SPOCK2.pdf</t>
  </si>
  <si>
    <t>Melting_Curves/meltCurve_A6NJ78_METTL15.pdf</t>
  </si>
  <si>
    <t>Melting_Curves/meltCurve_A6NJ97_C13orf23.pdf</t>
  </si>
  <si>
    <t>Melting_Curves/meltCurve_A6NK58_LIPT2.pdf</t>
  </si>
  <si>
    <t>Melting_Curves/meltCurve_A6NKD9_CCDC85C.pdf</t>
  </si>
  <si>
    <t>Melting_Curves/meltCurve_A6NKF9_GPR89C.pdf</t>
  </si>
  <si>
    <t>Melting_Curves/meltCurve_A6NMH6_SEPT8.pdf</t>
  </si>
  <si>
    <t>Melting_Curves/meltCurve_A6NML8_DIAPH2.pdf</t>
  </si>
  <si>
    <t>Melting_Curves/meltCurve_A6NMQ1_POLA1.pdf</t>
  </si>
  <si>
    <t>Melting_Curves/meltCurve_A6NNI4_CD9.pdf</t>
  </si>
  <si>
    <t>Melting_Curves/meltCurve_A6PW57_PIP5K1A.pdf</t>
  </si>
  <si>
    <t>Melting_Curves/meltCurve_A7E2V4_5_ZSWIM8.pdf</t>
  </si>
  <si>
    <t>Melting_Curves/meltCurve_A7KAX9_ARHGAP32.pdf</t>
  </si>
  <si>
    <t>Melting_Curves/meltCurve_A7XYQ1_SOBP.pdf</t>
  </si>
  <si>
    <t>Melting_Curves/meltCurve_A8K0B5_ZBTB8OS.pdf</t>
  </si>
  <si>
    <t>Melting_Curves/meltCurve_A8K0M9_SELK.pdf</t>
  </si>
  <si>
    <t>Melting_Curves/meltCurve_A8K7Q2_HSPA8.pdf</t>
  </si>
  <si>
    <t>Melting_Curves/meltCurve_A8MPS7_YDJC.pdf</t>
  </si>
  <si>
    <t>Melting_Curves/meltCurve_A8MQ02_MLLT4.pdf</t>
  </si>
  <si>
    <t>Melting_Curves/meltCurve_A8MSH5_RTFDC1.pdf</t>
  </si>
  <si>
    <t>Melting_Curves/meltCurve_A8MT72_RTN1.pdf</t>
  </si>
  <si>
    <t>Melting_Curves/meltCurve_A8MTF8_FAM3B.pdf</t>
  </si>
  <si>
    <t>Melting_Curves/meltCurve_A8MTG8_ARMC8.pdf</t>
  </si>
  <si>
    <t>Melting_Curves/meltCurve_A8MTK3_POT1.pdf</t>
  </si>
  <si>
    <t>Melting_Curves/meltCurve_A8MTT3_hCG_1988162.pdf</t>
  </si>
  <si>
    <t>Melting_Curves/meltCurve_A8MTY9_DSCR3.pdf</t>
  </si>
  <si>
    <t>Melting_Curves/meltCurve_A8MU21_TMEM147.pdf</t>
  </si>
  <si>
    <t>Melting_Curves/meltCurve_A8MU44_HOOK1.pdf</t>
  </si>
  <si>
    <t>Melting_Curves/meltCurve_A8MUA9_SUMO3.pdf</t>
  </si>
  <si>
    <t>Melting_Curves/meltCurve_A8MUB1_TUBA4A.pdf</t>
  </si>
  <si>
    <t>Melting_Curves/meltCurve_A8MVZ6_BICD1.pdf</t>
  </si>
  <si>
    <t>Melting_Curves/meltCurve_A8MW61_PLRG1.pdf</t>
  </si>
  <si>
    <t>Melting_Curves/meltCurve_A8MWH4_MT1F.pdf</t>
  </si>
  <si>
    <t>Melting_Curves/meltCurve_A8MX75_ERCC2.pdf</t>
  </si>
  <si>
    <t>Melting_Curves/meltCurve_A8MXN1_REEP6.pdf</t>
  </si>
  <si>
    <t>Melting_Curves/meltCurve_A8MXP9_MATR3.pdf</t>
  </si>
  <si>
    <t>Melting_Curves/meltCurve_A8MXQ1_PTTG1IP.pdf</t>
  </si>
  <si>
    <t>Melting_Curves/meltCurve_A8MXV4_NUDT19.pdf</t>
  </si>
  <si>
    <t>Melting_Curves/meltCurve_A8MYT4_PIK3C3.pdf</t>
  </si>
  <si>
    <t>Melting_Curves/meltCurve_A8MZI9_RUNX1.pdf</t>
  </si>
  <si>
    <t>Melting_Curves/meltCurve_A9UHW6_MIF4GD.pdf</t>
  </si>
  <si>
    <t>Melting_Curves/meltCurve_A9Z1X7_SRRM1.pdf</t>
  </si>
  <si>
    <t>Melting_Curves/meltCurve_B0QY89_EIF3L.pdf</t>
  </si>
  <si>
    <t>Melting_Curves/meltCurve_B0QY95_SMCR7L.pdf</t>
  </si>
  <si>
    <t>Melting_Curves/meltCurve_B0QYI3_TBC1D22A.pdf</t>
  </si>
  <si>
    <t>Melting_Curves/meltCurve_B0QYK0_EWSR1.pdf</t>
  </si>
  <si>
    <t>Melting_Curves/meltCurve_B0QYW5_SLC25A17.pdf</t>
  </si>
  <si>
    <t>Melting_Curves/meltCurve_B0UX83_BAG6.pdf</t>
  </si>
  <si>
    <t>Melting_Curves/meltCurve_B0UXB6_ABHD16A.pdf</t>
  </si>
  <si>
    <t>Melting_Curves/meltCurve_B0UY12_HLA_C.pdf</t>
  </si>
  <si>
    <t>Melting_Curves/meltCurve_B0UZY3_EHMT2.pdf</t>
  </si>
  <si>
    <t>Melting_Curves/meltCurve_B0V043_VARS.pdf</t>
  </si>
  <si>
    <t>Melting_Curves/meltCurve_B0V0T3_PSMB9.pdf</t>
  </si>
  <si>
    <t>Melting_Curves/meltCurve_B0YIW2_APOC3.pdf</t>
  </si>
  <si>
    <t>Melting_Curves/meltCurve_B0YJC4_VIM.pdf</t>
  </si>
  <si>
    <t>Melting_Curves/meltCurve_B1AH87_TSPO.pdf</t>
  </si>
  <si>
    <t>Melting_Curves/meltCurve_B1AHD1_NHP2L1.pdf</t>
  </si>
  <si>
    <t>Melting_Curves/meltCurve_B1AJW0_FGF13.pdf</t>
  </si>
  <si>
    <t>Melting_Curves/meltCurve_B1AK13_HMGCL.pdf</t>
  </si>
  <si>
    <t>Melting_Curves/meltCurve_B1AK53_ESPN.pdf</t>
  </si>
  <si>
    <t>Melting_Curves/meltCurve_B1AKJ5_NRD1.pdf</t>
  </si>
  <si>
    <t>Melting_Curves/meltCurve_B1AKJ6_OSBPL9.pdf</t>
  </si>
  <si>
    <t>Melting_Curves/meltCurve_B1AKL4_EIF4ENIF1.pdf</t>
  </si>
  <si>
    <t>Melting_Curves/meltCurve_B1AKN6_NFIA.pdf</t>
  </si>
  <si>
    <t>Melting_Curves/meltCurve_B1AKY9_ATP1A2.pdf</t>
  </si>
  <si>
    <t>Melting_Curves/meltCurve_B1AL69_CDC37L1.pdf</t>
  </si>
  <si>
    <t>Melting_Curves/meltCurve_B1ALB4_SMG7.pdf</t>
  </si>
  <si>
    <t>Melting_Curves/meltCurve_B1ALH6_PHYH.pdf</t>
  </si>
  <si>
    <t>Melting_Curves/meltCurve_B1ALK7_ARHGEF7.pdf</t>
  </si>
  <si>
    <t>Melting_Curves/meltCurve_B1ALM5_TMEM9.pdf</t>
  </si>
  <si>
    <t>Melting_Curves/meltCurve_B1AMF0_UBE2J2.pdf</t>
  </si>
  <si>
    <t>Melting_Curves/meltCurve_B1AMS2_SEPT6.pdf</t>
  </si>
  <si>
    <t>Melting_Curves/meltCurve_B1AMW1_CD58.pdf</t>
  </si>
  <si>
    <t>Melting_Curves/meltCurve_B1AN89_EIF4G3.pdf</t>
  </si>
  <si>
    <t>Melting_Curves/meltCurve_B1AN99_PRSS3.pdf</t>
  </si>
  <si>
    <t>Melting_Curves/meltCurve_B1ANH0_GUK1.pdf</t>
  </si>
  <si>
    <t>Melting_Curves/meltCurve_B1AQP1_USF1.pdf</t>
  </si>
  <si>
    <t>Melting_Curves/meltCurve_B1AVQ7_MUC1.pdf</t>
  </si>
  <si>
    <t>Melting_Curves/meltCurve_B1AVU8_PSAP.pdf</t>
  </si>
  <si>
    <t>Melting_Curves/meltCurve_B1AZV3_TAP1.pdf</t>
  </si>
  <si>
    <t>Melting_Curves/meltCurve_B3KMK8_STBD1.pdf</t>
  </si>
  <si>
    <t>Melting_Curves/meltCurve_B3KPJ4_PHC2.pdf</t>
  </si>
  <si>
    <t>Melting_Curves/meltCurve_B3KR83_WBSCR22.pdf</t>
  </si>
  <si>
    <t>Melting_Curves/meltCurve_B3KS98_EIF3S3.pdf</t>
  </si>
  <si>
    <t>Melting_Curves/meltCurve_B3KSH1_EIF3F.pdf</t>
  </si>
  <si>
    <t>Melting_Curves/meltCurve_B3KSI9_LZTFL1.pdf</t>
  </si>
  <si>
    <t>Melting_Curves/meltCurve_B3KSJ7_DCLRE1C.pdf</t>
  </si>
  <si>
    <t>Melting_Curves/meltCurve_B3KUK2_SOD2.pdf</t>
  </si>
  <si>
    <t>Melting_Curves/meltCurve_B3KV61_UXS1.pdf</t>
  </si>
  <si>
    <t>Melting_Curves/meltCurve_B3KVH8_PHF23.pdf</t>
  </si>
  <si>
    <t>Melting_Curves/meltCurve_B3KVZ3_CENPH.pdf</t>
  </si>
  <si>
    <t>Melting_Curves/meltCurve_B3KWW1_DDX58.pdf</t>
  </si>
  <si>
    <t>Melting_Curves/meltCurve_B3KXW5_AP1G1.pdf</t>
  </si>
  <si>
    <t>Melting_Curves/meltCurve_B3KXX3_SLC12A6.pdf</t>
  </si>
  <si>
    <t>Melting_Curves/meltCurve_B3KY94_CDIPT.pdf</t>
  </si>
  <si>
    <t>Melting_Curves/meltCurve_B3V0L1_ARL6IP4.pdf</t>
  </si>
  <si>
    <t>Melting_Curves/meltCurve_B4DDF4_CNN2.pdf</t>
  </si>
  <si>
    <t>Melting_Curves/meltCurve_B4DDS3_CLPTM1.pdf</t>
  </si>
  <si>
    <t>Melting_Curves/meltCurve_B4DDV3_SIRT6.pdf</t>
  </si>
  <si>
    <t>Melting_Curves/meltCurve_B4DDY8_HARS2.pdf</t>
  </si>
  <si>
    <t>Melting_Curves/meltCurve_B4DEX5_PRNPIP.pdf</t>
  </si>
  <si>
    <t>Melting_Curves/meltCurve_B4DFI9_HUS1.pdf</t>
  </si>
  <si>
    <t>Melting_Curves/meltCurve_B4DFQ4_COMMD1.pdf</t>
  </si>
  <si>
    <t>Melting_Curves/meltCurve_B4DFR2_DYNLRB1.pdf</t>
  </si>
  <si>
    <t>Melting_Curves/meltCurve_B4DGU4_CTNNB1.pdf</t>
  </si>
  <si>
    <t>Melting_Curves/meltCurve_B4DGX2_PIP4K2A.pdf</t>
  </si>
  <si>
    <t>Melting_Curves/meltCurve_B4DH26_DCUN1D4.pdf</t>
  </si>
  <si>
    <t>Melting_Curves/meltCurve_B4DH53_MAP1S.pdf</t>
  </si>
  <si>
    <t>Melting_Curves/meltCurve_B4DHE8_MSI2.pdf</t>
  </si>
  <si>
    <t>Melting_Curves/meltCurve_B4DIG7_PIP5K1B.pdf</t>
  </si>
  <si>
    <t>Melting_Curves/meltCurve_B4DJA5_RAB5A.pdf</t>
  </si>
  <si>
    <t>Melting_Curves/meltCurve_B4DJC5_DHRS13.pdf</t>
  </si>
  <si>
    <t>Melting_Curves/meltCurve_B4DJN2_SLC25A14.pdf</t>
  </si>
  <si>
    <t>Melting_Curves/meltCurve_B4DJP7_SNRPD3.pdf</t>
  </si>
  <si>
    <t>Melting_Curves/meltCurve_B4DJV2_CS.pdf</t>
  </si>
  <si>
    <t>Melting_Curves/meltCurve_B4DJV5_PWP1.pdf</t>
  </si>
  <si>
    <t>Melting_Curves/meltCurve_B4DKF9_ZNF286A.pdf</t>
  </si>
  <si>
    <t>Melting_Curves/meltCurve_B4DKL4_LSR.pdf</t>
  </si>
  <si>
    <t>Melting_Curves/meltCurve_B4DL54_CHURC1_FNTB.pdf</t>
  </si>
  <si>
    <t>Melting_Curves/meltCurve_B4DLN1_SLC25A10.pdf</t>
  </si>
  <si>
    <t>Melting_Curves/meltCurve_B4DLR8_NQO1.pdf</t>
  </si>
  <si>
    <t>Melting_Curves/meltCurve_B4DLT4_RPS6KB1.pdf</t>
  </si>
  <si>
    <t>Melting_Curves/meltCurve_B4DLU3_PGS1.pdf</t>
  </si>
  <si>
    <t>Melting_Curves/meltCurve_B4DLZ9_RNF220.pdf</t>
  </si>
  <si>
    <t>Melting_Curves/meltCurve_B4DMU4_FAM45A.pdf</t>
  </si>
  <si>
    <t>Melting_Curves/meltCurve_B4DP21_PTGES3.pdf</t>
  </si>
  <si>
    <t>Melting_Curves/meltCurve_B4DPY8_TOX4.pdf</t>
  </si>
  <si>
    <t>Melting_Curves/meltCurve_B4DQJ8_PGD.pdf</t>
  </si>
  <si>
    <t>Melting_Curves/meltCurve_B4DQT1_MAEA.pdf</t>
  </si>
  <si>
    <t>Melting_Curves/meltCurve_B4DR52_HIST2H2BF.pdf</t>
  </si>
  <si>
    <t>Melting_Curves/meltCurve_B4DR61_SEC61A1.pdf</t>
  </si>
  <si>
    <t>Melting_Curves/meltCurve_B4DRL9_CHM.pdf</t>
  </si>
  <si>
    <t>Melting_Curves/meltCurve_B4DRN8_ZDHHC20.pdf</t>
  </si>
  <si>
    <t>Melting_Curves/meltCurve_B4DRS7_SH2D3A.pdf</t>
  </si>
  <si>
    <t>Melting_Curves/meltCurve_B4DSD4_C9orf41.pdf</t>
  </si>
  <si>
    <t>Melting_Curves/meltCurve_B4DSS8_PTBP2.pdf</t>
  </si>
  <si>
    <t>Melting_Curves/meltCurve_B4DT77_ANXA7.pdf</t>
  </si>
  <si>
    <t>Melting_Curves/meltCurve_B4DTA3_SLC25A46.pdf</t>
  </si>
  <si>
    <t>Melting_Curves/meltCurve_B4DUB9_SLC35F2.pdf</t>
  </si>
  <si>
    <t>Melting_Curves/meltCurve_B4DUE3_MYLK.pdf</t>
  </si>
  <si>
    <t>Melting_Curves/meltCurve_B4DUE9_SERINC3.pdf</t>
  </si>
  <si>
    <t>Melting_Curves/meltCurve_B4DVE7_ANXA11.pdf</t>
  </si>
  <si>
    <t>Melting_Curves/meltCurve_B4DVY1_EIF3D.pdf</t>
  </si>
  <si>
    <t>Melting_Curves/meltCurve_B4DWI1_HACL1.pdf</t>
  </si>
  <si>
    <t>Melting_Curves/meltCurve_B4DXN4_CNKSR1.pdf</t>
  </si>
  <si>
    <t>Melting_Curves/meltCurve_B4DXZ6_FXR1.pdf</t>
  </si>
  <si>
    <t>Melting_Curves/meltCurve_B4DYB4_NUP35.pdf</t>
  </si>
  <si>
    <t>Melting_Curves/meltCurve_B4DYR1_JAG1.pdf</t>
  </si>
  <si>
    <t>Melting_Curves/meltCurve_B4DYR7_SYPL2.pdf</t>
  </si>
  <si>
    <t>Melting_Curves/meltCurve_B4DZH6_HDAC6.pdf</t>
  </si>
  <si>
    <t>Melting_Curves/meltCurve_B4E0E3_TMEM134.pdf</t>
  </si>
  <si>
    <t>Melting_Curves/meltCurve_B4E0T2_PEX5.pdf</t>
  </si>
  <si>
    <t>Melting_Curves/meltCurve_B4E1J0_PBXIP1.pdf</t>
  </si>
  <si>
    <t>Melting_Curves/meltCurve_B4E1N1_ARMC6.pdf</t>
  </si>
  <si>
    <t>Melting_Curves/meltCurve_B4E1Q4_RIOK3.pdf</t>
  </si>
  <si>
    <t>Melting_Curves/meltCurve_B4E1S6_SDC4.pdf</t>
  </si>
  <si>
    <t>Melting_Curves/meltCurve_B4E1Y1_NET1.pdf</t>
  </si>
  <si>
    <t>Melting_Curves/meltCurve_B4E241_SFRS3.pdf</t>
  </si>
  <si>
    <t>Melting_Curves/meltCurve_B4E2S7_LAMP2.pdf</t>
  </si>
  <si>
    <t>Melting_Curves/meltCurve_B4E2V5_STOM.pdf</t>
  </si>
  <si>
    <t>Melting_Curves/meltCurve_B4E2W0_HADHB.pdf</t>
  </si>
  <si>
    <t>Melting_Curves/meltCurve_B4E2X3_METTL13.pdf</t>
  </si>
  <si>
    <t>Melting_Curves/meltCurve_B4E3L3_USP28.pdf</t>
  </si>
  <si>
    <t>Melting_Curves/meltCurve_B5MBW9_CHCHD10.pdf</t>
  </si>
  <si>
    <t>Melting_Curves/meltCurve_B5MBZ0_EML4.pdf</t>
  </si>
  <si>
    <t>Melting_Curves/meltCurve_B5MC53_MPV17.pdf</t>
  </si>
  <si>
    <t>Melting_Curves/meltCurve_B5MCA4_EPCAM.pdf</t>
  </si>
  <si>
    <t>Melting_Curves/meltCurve_B5MCF9_PES1.pdf</t>
  </si>
  <si>
    <t>Melting_Curves/meltCurve_B5MCT7_PPM1F.pdf</t>
  </si>
  <si>
    <t>Melting_Curves/meltCurve_B5MDE0_RFT1.pdf</t>
  </si>
  <si>
    <t>Melting_Curves/meltCurve_B5MDU6_C2orf43.pdf</t>
  </si>
  <si>
    <t>Melting_Curves/meltCurve_B5ME25_METTL8.pdf</t>
  </si>
  <si>
    <t>Melting_Curves/meltCurve_B5MEC7_PPP1R12C.pdf</t>
  </si>
  <si>
    <t>Melting_Curves/meltCurve_B7WP27_CWC22.pdf</t>
  </si>
  <si>
    <t>Melting_Curves/meltCurve_B7WPE2_EML3.pdf</t>
  </si>
  <si>
    <t>Melting_Curves/meltCurve_B7WPL0_RIC8B.pdf</t>
  </si>
  <si>
    <t>Melting_Curves/meltCurve_B7Z1U0_CNNM4.pdf</t>
  </si>
  <si>
    <t>Melting_Curves/meltCurve_B7Z202_DTNB.pdf</t>
  </si>
  <si>
    <t>Melting_Curves/meltCurve_B7Z254_PDIA6.pdf</t>
  </si>
  <si>
    <t>Melting_Curves/meltCurve_B7Z2Y5_RPS6KA5.pdf</t>
  </si>
  <si>
    <t>Melting_Curves/meltCurve_B7Z3D5_MTMR1.pdf</t>
  </si>
  <si>
    <t>Melting_Curves/meltCurve_B7Z3I9_ALAD.pdf</t>
  </si>
  <si>
    <t>Melting_Curves/meltCurve_B7Z3P1_TBCE.pdf</t>
  </si>
  <si>
    <t>Melting_Curves/meltCurve_B7Z463_NPEPPS.pdf</t>
  </si>
  <si>
    <t>Melting_Curves/meltCurve_B7Z493_FGD4.pdf</t>
  </si>
  <si>
    <t>Melting_Curves/meltCurve_B7Z4K6_DNASE2.pdf</t>
  </si>
  <si>
    <t>Melting_Curves/meltCurve_B7Z4W5_CCBL1.pdf</t>
  </si>
  <si>
    <t>Melting_Curves/meltCurve_B7Z5W1_F11R.pdf</t>
  </si>
  <si>
    <t>Melting_Curves/meltCurve_B7Z662_SLC27A1.pdf</t>
  </si>
  <si>
    <t>Melting_Curves/meltCurve_B7Z683_ABR.pdf</t>
  </si>
  <si>
    <t>Melting_Curves/meltCurve_B7Z6B6_ZNF346.pdf</t>
  </si>
  <si>
    <t>Melting_Curves/meltCurve_B7Z6B8_DECR1.pdf</t>
  </si>
  <si>
    <t>Melting_Curves/meltCurve_B7Z6M4_TNFAIP1.pdf</t>
  </si>
  <si>
    <t>Melting_Curves/meltCurve_B7Z7A3_GTPBP4.pdf</t>
  </si>
  <si>
    <t>Melting_Curves/meltCurve_B7Z7F3_RANBP3.pdf</t>
  </si>
  <si>
    <t>Melting_Curves/meltCurve_B7Z7H3_ZKSCAN4.pdf</t>
  </si>
  <si>
    <t>Melting_Curves/meltCurve_B7Z815_USP7.pdf</t>
  </si>
  <si>
    <t>Melting_Curves/meltCurve_B7Z817_DHCR24.pdf</t>
  </si>
  <si>
    <t>Melting_Curves/meltCurve_B7Z9I3_ATP6AP2.pdf</t>
  </si>
  <si>
    <t>Melting_Curves/meltCurve_B7Z9J4_CALB1.pdf</t>
  </si>
  <si>
    <t>Melting_Curves/meltCurve_B7Z9S8_ATP1B1.pdf</t>
  </si>
  <si>
    <t>Melting_Curves/meltCurve_B7ZAA0_PMS1.pdf</t>
  </si>
  <si>
    <t>Melting_Curves/meltCurve_B7ZAX5_GALK2.pdf</t>
  </si>
  <si>
    <t>Melting_Curves/meltCurve_B7ZBB8_PPP1R3G.pdf</t>
  </si>
  <si>
    <t>Melting_Curves/meltCurve_B7ZC38_SH3GLB2.pdf</t>
  </si>
  <si>
    <t>Melting_Curves/meltCurve_B7ZKK9_PPP2R5E.pdf</t>
  </si>
  <si>
    <t>Melting_Curves/meltCurve_B7ZKQ9_SCARB1.pdf</t>
  </si>
  <si>
    <t>Melting_Curves/meltCurve_B7ZL82_SMPD3.pdf</t>
  </si>
  <si>
    <t>Melting_Curves/meltCurve_B7ZL88_COX18.pdf</t>
  </si>
  <si>
    <t>Melting_Curves/meltCurve_B7ZLX3_CLASP1.pdf</t>
  </si>
  <si>
    <t>Melting_Curves/meltCurve_B7ZLZ2_EDEM3.pdf</t>
  </si>
  <si>
    <t>Melting_Curves/meltCurve_B8X2Z3_RLTPR.pdf</t>
  </si>
  <si>
    <t>Melting_Curves/meltCurve_B8ZZ99_CCDC115.pdf</t>
  </si>
  <si>
    <t>Melting_Curves/meltCurve_B8ZZC7_PIGQ.pdf</t>
  </si>
  <si>
    <t>Melting_Curves/meltCurve_B8ZZF8_LSM5.pdf</t>
  </si>
  <si>
    <t>Melting_Curves/meltCurve_B8ZZI5_STK16.pdf</t>
  </si>
  <si>
    <t>Melting_Curves/meltCurve_B8ZZN6_SUMO1.pdf</t>
  </si>
  <si>
    <t>Melting_Curves/meltCurve_B8ZZQ6_PTMA.pdf</t>
  </si>
  <si>
    <t>Melting_Curves/meltCurve_B8ZZS2_NAB1.pdf</t>
  </si>
  <si>
    <t>Melting_Curves/meltCurve_B8ZZU6_ATF2.pdf</t>
  </si>
  <si>
    <t>Melting_Curves/meltCurve_B8ZZV9_COQ10B.pdf</t>
  </si>
  <si>
    <t>Melting_Curves/meltCurve_B8ZZX4_TXNDC9.pdf</t>
  </si>
  <si>
    <t>Melting_Curves/meltCurve_B8ZZY2_AGFG1.pdf</t>
  </si>
  <si>
    <t>Melting_Curves/meltCurve_B9A018_USP39.pdf</t>
  </si>
  <si>
    <t>Melting_Curves/meltCurve_B9A057_COA5.pdf</t>
  </si>
  <si>
    <t>Melting_Curves/meltCurve_B9A067_IMMT.pdf</t>
  </si>
  <si>
    <t>Melting_Curves/meltCurve_C0H5Y7_BAK1.pdf</t>
  </si>
  <si>
    <t>Melting_Curves/meltCurve_C1IDX9_ATG12.pdf</t>
  </si>
  <si>
    <t>Melting_Curves/meltCurve_C1P671_KREMEN1.pdf</t>
  </si>
  <si>
    <t>Melting_Curves/meltCurve_C4AMC7_WASH3P.pdf</t>
  </si>
  <si>
    <t>Melting_Curves/meltCurve_C6G496_MAZ.pdf</t>
  </si>
  <si>
    <t>Melting_Curves/meltCurve_C6GKU9_MED30S.pdf</t>
  </si>
  <si>
    <t>Melting_Curves/meltCurve_C9IZP5_MKRN1.pdf</t>
  </si>
  <si>
    <t>Melting_Curves/meltCurve_C9IZW8_NDUFB2.pdf</t>
  </si>
  <si>
    <t>Melting_Curves/meltCurve_C9J0I9_ZC3HC1.pdf</t>
  </si>
  <si>
    <t>Melting_Curves/meltCurve_C9J0J0_CCDC126.pdf</t>
  </si>
  <si>
    <t>Melting_Curves/meltCurve_C9J0J7_PFN2.pdf</t>
  </si>
  <si>
    <t>Melting_Curves/meltCurve_C9J0K6_SRI.pdf</t>
  </si>
  <si>
    <t>Melting_Curves/meltCurve_C9J167_PMS2.pdf</t>
  </si>
  <si>
    <t>Melting_Curves/meltCurve_C9J1G2_DNAJB2.pdf</t>
  </si>
  <si>
    <t>Melting_Curves/meltCurve_C9J1K8_MEGF9.pdf</t>
  </si>
  <si>
    <t>Melting_Curves/meltCurve_C9J212_UBE2F.pdf</t>
  </si>
  <si>
    <t>Melting_Curves/meltCurve_C9J240_SLC4A10.pdf</t>
  </si>
  <si>
    <t>Melting_Curves/meltCurve_C9J2P0_UBE2E1.pdf</t>
  </si>
  <si>
    <t>Melting_Curves/meltCurve_C9J2P9_CBLL1.pdf</t>
  </si>
  <si>
    <t>Melting_Curves/meltCurve_C9J2U4_TAMM41.pdf</t>
  </si>
  <si>
    <t>Melting_Curves/meltCurve_C9J2Y9_POLR2B.pdf</t>
  </si>
  <si>
    <t>Melting_Curves/meltCurve_C9J3R8_B4GALT4.pdf</t>
  </si>
  <si>
    <t>Melting_Curves/meltCurve_C9J494_MKRN2.pdf</t>
  </si>
  <si>
    <t>Melting_Curves/meltCurve_C9J4K0_C2orf49.pdf</t>
  </si>
  <si>
    <t>Melting_Curves/meltCurve_C9J4T6_IL8.pdf</t>
  </si>
  <si>
    <t>Melting_Curves/meltCurve_C9J4Z3_RPL37A.pdf</t>
  </si>
  <si>
    <t>Melting_Curves/meltCurve_C9J5C3_PDCD10.pdf</t>
  </si>
  <si>
    <t>Melting_Curves/meltCurve_C9J5X1_IGF1R.pdf</t>
  </si>
  <si>
    <t>Melting_Curves/meltCurve_C9J652_ARHGAP31.pdf</t>
  </si>
  <si>
    <t>Melting_Curves/meltCurve_C9J695_TANGO2.pdf</t>
  </si>
  <si>
    <t>Melting_Curves/meltCurve_C9J712_PFN2.pdf</t>
  </si>
  <si>
    <t>Melting_Curves/meltCurve_C9J8Q5_ALDH5A1.pdf</t>
  </si>
  <si>
    <t>Melting_Curves/meltCurve_C9J976_SYNPR.pdf</t>
  </si>
  <si>
    <t>Melting_Curves/meltCurve_C9J9K3_RPSA.pdf</t>
  </si>
  <si>
    <t>Melting_Curves/meltCurve_C9JA08_NMD3.pdf</t>
  </si>
  <si>
    <t>Melting_Curves/meltCurve_C9JA28_SSR3.pdf</t>
  </si>
  <si>
    <t>Melting_Curves/meltCurve_C9JA69_BBX.pdf</t>
  </si>
  <si>
    <t>Melting_Curves/meltCurve_C9JAB2_SRSF7.pdf</t>
  </si>
  <si>
    <t>Melting_Curves/meltCurve_C9JAX1_FXN.pdf</t>
  </si>
  <si>
    <t>Melting_Curves/meltCurve_C9JB13_BSDC1.pdf</t>
  </si>
  <si>
    <t>Melting_Curves/meltCurve_C9JBA4_LYG2.pdf</t>
  </si>
  <si>
    <t>Melting_Curves/meltCurve_C9JBL1_SPCS1.pdf</t>
  </si>
  <si>
    <t>Melting_Curves/meltCurve_C9JCC6_DRAP1.pdf</t>
  </si>
  <si>
    <t>Melting_Curves/meltCurve_C9JDS9_TUBA4A.pdf</t>
  </si>
  <si>
    <t>Melting_Curves/meltCurve_C9JE12_TMUB1.pdf</t>
  </si>
  <si>
    <t>Melting_Curves/meltCurve_C9JE98_NCOR2.pdf</t>
  </si>
  <si>
    <t>Melting_Curves/meltCurve_C9JEZ4_CDC42EP3.pdf</t>
  </si>
  <si>
    <t>Melting_Curves/meltCurve_C9JFW7_C19orf55.pdf</t>
  </si>
  <si>
    <t>Melting_Curves/meltCurve_C9JG41_ITM2C.pdf</t>
  </si>
  <si>
    <t>Melting_Curves/meltCurve_C9JG97_AAMP.pdf</t>
  </si>
  <si>
    <t>Melting_Curves/meltCurve_C9JGI3_TYMP.pdf</t>
  </si>
  <si>
    <t>Melting_Curves/meltCurve_C9JH62_ZNF277.pdf</t>
  </si>
  <si>
    <t>Melting_Curves/meltCurve_C9JIF9_APEH.pdf</t>
  </si>
  <si>
    <t>Melting_Curves/meltCurve_C9JJU1_SLC38A5.pdf</t>
  </si>
  <si>
    <t>Melting_Curves/meltCurve_C9JK10_ITGA6.pdf</t>
  </si>
  <si>
    <t>Melting_Curves/meltCurve_C9JLU1_POLR2H.pdf</t>
  </si>
  <si>
    <t>Melting_Curves/meltCurve_C9JM82_SEPT5.pdf</t>
  </si>
  <si>
    <t>Melting_Curves/meltCurve_C9JME2_FARP1.pdf</t>
  </si>
  <si>
    <t>Melting_Curves/meltCurve_C9JNE2_OARD1.pdf</t>
  </si>
  <si>
    <t>Melting_Curves/meltCurve_C9JP00_MBNL1.pdf</t>
  </si>
  <si>
    <t>Melting_Curves/meltCurve_C9JPP2_NKIRAS2.pdf</t>
  </si>
  <si>
    <t>Melting_Curves/meltCurve_C9JQ41_CCDC58.pdf</t>
  </si>
  <si>
    <t>Melting_Curves/meltCurve_C9JQB1_NME6.pdf</t>
  </si>
  <si>
    <t>Melting_Curves/meltCurve_C9JQD4_PPIH.pdf</t>
  </si>
  <si>
    <t>Melting_Curves/meltCurve_C9JQV3_STK11IP.pdf</t>
  </si>
  <si>
    <t>Melting_Curves/meltCurve_C9JR56_SATB2.pdf</t>
  </si>
  <si>
    <t>Melting_Curves/meltCurve_C9JRY4_SEC22A.pdf</t>
  </si>
  <si>
    <t>Melting_Curves/meltCurve_C9JRZ6_CHCHD3.pdf</t>
  </si>
  <si>
    <t>Melting_Curves/meltCurve_C9JSZ2_SLC46A1.pdf</t>
  </si>
  <si>
    <t>Melting_Curves/meltCurve_C9JVP0_FOXJ3.pdf</t>
  </si>
  <si>
    <t>Melting_Curves/meltCurve_C9JWU9_MEST.pdf</t>
  </si>
  <si>
    <t>Melting_Curves/meltCurve_C9JYM0_POP7.pdf</t>
  </si>
  <si>
    <t>Melting_Curves/meltCurve_C9JYN0_SYPL1.pdf</t>
  </si>
  <si>
    <t>Melting_Curves/meltCurve_C9JYY6_NRCAM.pdf</t>
  </si>
  <si>
    <t>Melting_Curves/meltCurve_C9JZB0_INPP5K.pdf</t>
  </si>
  <si>
    <t>Melting_Curves/meltCurve_C9JZI1_RFC4.pdf</t>
  </si>
  <si>
    <t>Melting_Curves/meltCurve_C9JZI7_NAP1L4.pdf</t>
  </si>
  <si>
    <t>Melting_Curves/meltCurve_C9JZP6_DHRS2.pdf</t>
  </si>
  <si>
    <t>Melting_Curves/meltCurve_C9JZR4_ARFGAP3.pdf</t>
  </si>
  <si>
    <t>Melting_Curves/meltCurve_C9JZY3_PCBP4.pdf</t>
  </si>
  <si>
    <t>Melting_Curves/meltCurve_C9JZY6_UBE2H.pdf</t>
  </si>
  <si>
    <t>Melting_Curves/meltCurve_C9K0J5_RAPH1.pdf</t>
  </si>
  <si>
    <t>Melting_Curves/meltCurve_D3DQV9_EIF4G2.pdf</t>
  </si>
  <si>
    <t>Melting_Curves/meltCurve_D3DWK9_NRBP2.pdf</t>
  </si>
  <si>
    <t>Melting_Curves/meltCurve_D3K174_SLC4A7.pdf</t>
  </si>
  <si>
    <t>Melting_Curves/meltCurve_D3YTB1_RPL32.pdf</t>
  </si>
  <si>
    <t>Melting_Curves/meltCurve_D3YTG6_NDOR1.pdf</t>
  </si>
  <si>
    <t>Melting_Curves/meltCurve_D3YTI9_TAPBP.pdf</t>
  </si>
  <si>
    <t>Melting_Curves/meltCurve_D6R938_CAMK2D.pdf</t>
  </si>
  <si>
    <t>Melting_Curves/meltCurve_D6R9U7_POLR3G.pdf</t>
  </si>
  <si>
    <t>Melting_Curves/meltCurve_D6RAC5_SSBP2.pdf</t>
  </si>
  <si>
    <t>Melting_Curves/meltCurve_D6RAR3_TMEM161B.pdf</t>
  </si>
  <si>
    <t>Melting_Curves/meltCurve_D6RB34_IRF2.pdf</t>
  </si>
  <si>
    <t>Melting_Curves/meltCurve_D6RBE3_FAM173B.pdf</t>
  </si>
  <si>
    <t>Melting_Curves/meltCurve_D6RBW1_EIF4E.pdf</t>
  </si>
  <si>
    <t>Melting_Curves/meltCurve_D6RCC7_FAM135A.pdf</t>
  </si>
  <si>
    <t>Melting_Curves/meltCurve_D6RCD0_HSD17B11.pdf</t>
  </si>
  <si>
    <t>Melting_Curves/meltCurve_D6REA0_PET112.pdf</t>
  </si>
  <si>
    <t>Melting_Curves/meltCurve_D6REE2_DTWD2.pdf</t>
  </si>
  <si>
    <t>Melting_Curves/meltCurve_D6REL0_CDC42SE2.pdf</t>
  </si>
  <si>
    <t>Melting_Curves/meltCurve_D6REL5_FAM175A.pdf</t>
  </si>
  <si>
    <t>Melting_Curves/meltCurve_D6REX3_SEC31A.pdf</t>
  </si>
  <si>
    <t>Melting_Curves/meltCurve_D6RF48_STX18.pdf</t>
  </si>
  <si>
    <t>Melting_Curves/meltCurve_D6RFG8_DCK.pdf</t>
  </si>
  <si>
    <t>Melting_Curves/meltCurve_D6RFL4_CD14.pdf</t>
  </si>
  <si>
    <t>Melting_Curves/meltCurve_D6RGI3_SEPT11.pdf</t>
  </si>
  <si>
    <t>Melting_Curves/meltCurve_D6RHD3_CENPK.pdf</t>
  </si>
  <si>
    <t>Melting_Curves/meltCurve_D6RHI9_RNASET2.pdf</t>
  </si>
  <si>
    <t>Melting_Curves/meltCurve_D6RIE3_COX7A2.pdf</t>
  </si>
  <si>
    <t>Melting_Curves/meltCurve_D6RIZ4_MFSD10.pdf</t>
  </si>
  <si>
    <t>Melting_Curves/meltCurve_E2QRD0_VWA8.pdf</t>
  </si>
  <si>
    <t>Melting_Curves/meltCurve_E2QRD5_C15orf38_AP3S2.pdf</t>
  </si>
  <si>
    <t>Melting_Curves/meltCurve_E2QRF9_GMNN.pdf</t>
  </si>
  <si>
    <t>Melting_Curves/meltCurve_E5RFI2_MRPL13.pdf</t>
  </si>
  <si>
    <t>Melting_Curves/meltCurve_E5RFJ1_NSMCE2.pdf</t>
  </si>
  <si>
    <t>Melting_Curves/meltCurve_E5RG17_TATDN1.pdf</t>
  </si>
  <si>
    <t>Melting_Curves/meltCurve_E5RG44_TRIQK.pdf</t>
  </si>
  <si>
    <t>Melting_Curves/meltCurve_E5RGX5_STMN2.pdf</t>
  </si>
  <si>
    <t>Melting_Curves/meltCurve_E5RGY0_DERL1.pdf</t>
  </si>
  <si>
    <t>Melting_Curves/meltCurve_E5RHB1_EFCAB3.pdf</t>
  </si>
  <si>
    <t>Melting_Curves/meltCurve_E5RHG8_TCEB1.pdf</t>
  </si>
  <si>
    <t>Melting_Curves/meltCurve_E5RHK8_DNM3.pdf</t>
  </si>
  <si>
    <t>Melting_Curves/meltCurve_E5RHW0_TMEM66.pdf</t>
  </si>
  <si>
    <t>Melting_Curves/meltCurve_E5RHW4_ERLIN2.pdf</t>
  </si>
  <si>
    <t>Melting_Curves/meltCurve_E5RI99_RPL30.pdf</t>
  </si>
  <si>
    <t>Melting_Curves/meltCurve_E5RIH5_TTI2.pdf</t>
  </si>
  <si>
    <t>Melting_Curves/meltCurve_E5RIK9_MTERFD1.pdf</t>
  </si>
  <si>
    <t>Melting_Curves/meltCurve_E5RIP7_IMPA1.pdf</t>
  </si>
  <si>
    <t>Melting_Curves/meltCurve_E5RIQ9_SERF1A.pdf</t>
  </si>
  <si>
    <t>Melting_Curves/meltCurve_E5RIX2_IDO1.pdf</t>
  </si>
  <si>
    <t>Melting_Curves/meltCurve_E5RJ26_PSEN2.pdf</t>
  </si>
  <si>
    <t>Melting_Curves/meltCurve_E5RJ99_ZFAND1.pdf</t>
  </si>
  <si>
    <t>Melting_Curves/meltCurve_E5RJD2_DECR1.pdf</t>
  </si>
  <si>
    <t>Melting_Curves/meltCurve_E5RJJ3_NUDT18.pdf</t>
  </si>
  <si>
    <t>Melting_Curves/meltCurve_E5RJR5_SKP1.pdf</t>
  </si>
  <si>
    <t>Melting_Curves/meltCurve_E5RJS5_MTFR1.pdf</t>
  </si>
  <si>
    <t>Melting_Curves/meltCurve_E7EM50_PIGG.pdf</t>
  </si>
  <si>
    <t>Melting_Curves/meltCurve_E7EM64_COPS6.pdf</t>
  </si>
  <si>
    <t>Melting_Curves/meltCurve_E7EM95_RNF5.pdf</t>
  </si>
  <si>
    <t>Melting_Curves/meltCurve_E7EMB8_PTPN18.pdf</t>
  </si>
  <si>
    <t>Melting_Curves/meltCurve_E7EMC6_ANXA6.pdf</t>
  </si>
  <si>
    <t>Melting_Curves/meltCurve_E7EMM4_ASAH1.pdf</t>
  </si>
  <si>
    <t>Melting_Curves/meltCurve_E7EMN6_PPP1R2.pdf</t>
  </si>
  <si>
    <t>Melting_Curves/meltCurve_E7EMX7_RAI14.pdf</t>
  </si>
  <si>
    <t>Melting_Curves/meltCurve_E7EMZ9_TACC2.pdf</t>
  </si>
  <si>
    <t>Melting_Curves/meltCurve_E7EN73_KIAA0319L.pdf</t>
  </si>
  <si>
    <t>Melting_Curves/meltCurve_E7EN86_ZNF143.pdf</t>
  </si>
  <si>
    <t>Melting_Curves/meltCurve_E7ENA9_NCSTN.pdf</t>
  </si>
  <si>
    <t>Melting_Curves/meltCurve_E7ENU4_ADAR.pdf</t>
  </si>
  <si>
    <t>Melting_Curves/meltCurve_E7ENX6_LRFN4.pdf</t>
  </si>
  <si>
    <t>Melting_Curves/meltCurve_E7EP70_BRCA1.pdf</t>
  </si>
  <si>
    <t>Melting_Curves/meltCurve_E7EP87_NARF.pdf</t>
  </si>
  <si>
    <t>Melting_Curves/meltCurve_E7EPB3_RPL14.pdf</t>
  </si>
  <si>
    <t>Melting_Curves/meltCurve_E7EPC6_CD44.pdf</t>
  </si>
  <si>
    <t>Melting_Curves/meltCurve_E7EPD0_TOM1.pdf</t>
  </si>
  <si>
    <t>Melting_Curves/meltCurve_E7EPL4_PDXDC1.pdf</t>
  </si>
  <si>
    <t>Melting_Curves/meltCurve_E7EPM7_COQ2.pdf</t>
  </si>
  <si>
    <t>Melting_Curves/meltCurve_E7EPN9_PRRC2C.pdf</t>
  </si>
  <si>
    <t>Melting_Curves/meltCurve_E7EPT4_NDUFV2.pdf</t>
  </si>
  <si>
    <t>Melting_Curves/meltCurve_E7EPT6_TGFA.pdf</t>
  </si>
  <si>
    <t>Melting_Curves/meltCurve_E7EPY1_TNIP1.pdf</t>
  </si>
  <si>
    <t>Melting_Curves/meltCurve_E7EQ69_NAA50.pdf</t>
  </si>
  <si>
    <t>Melting_Curves/meltCurve_E7EQL6_PRODH.pdf</t>
  </si>
  <si>
    <t>Melting_Curves/meltCurve_E7EQN5_ARHGAP4.pdf</t>
  </si>
  <si>
    <t>Melting_Curves/meltCurve_E7EQN6_SENP6.pdf</t>
  </si>
  <si>
    <t>Melting_Curves/meltCurve_E7EQR8_YIPF3.pdf</t>
  </si>
  <si>
    <t>Melting_Curves/meltCurve_E7EQT4_ACIN1.pdf</t>
  </si>
  <si>
    <t>Melting_Curves/meltCurve_E7EQV9_RPL15.pdf</t>
  </si>
  <si>
    <t>Melting_Curves/meltCurve_E7ER26_PRDM15.pdf</t>
  </si>
  <si>
    <t>Melting_Curves/meltCurve_E7ER77_ERMP1.pdf</t>
  </si>
  <si>
    <t>Melting_Curves/meltCurve_E7ERB7_GMIP.pdf</t>
  </si>
  <si>
    <t>Melting_Curves/meltCurve_E7ERH3_TNS3.pdf</t>
  </si>
  <si>
    <t>Melting_Curves/meltCurve_E7ERS3_ZC3H18.pdf</t>
  </si>
  <si>
    <t>Melting_Curves/meltCurve_E7ES08_HMGB3.pdf</t>
  </si>
  <si>
    <t>Melting_Curves/meltCurve_E7ES35_TTC38.pdf</t>
  </si>
  <si>
    <t>Melting_Curves/meltCurve_E7ES43_HSPA4L.pdf</t>
  </si>
  <si>
    <t>Melting_Curves/meltCurve_E7ESA8_PRPF31.pdf</t>
  </si>
  <si>
    <t>Melting_Curves/meltCurve_E7ESP4_ITGA2.pdf</t>
  </si>
  <si>
    <t>Melting_Curves/meltCurve_E7ESU4_NAT10.pdf</t>
  </si>
  <si>
    <t>Melting_Curves/meltCurve_E7ESX1_CHRD.pdf</t>
  </si>
  <si>
    <t>Melting_Curves/meltCurve_E7ESZ7_NDUFA10.pdf</t>
  </si>
  <si>
    <t>Melting_Curves/meltCurve_E7ET15_U2SURP.pdf</t>
  </si>
  <si>
    <t>Melting_Curves/meltCurve_E7ET89_DTX2.pdf</t>
  </si>
  <si>
    <t>Melting_Curves/meltCurve_E7ETB3_DNPEP.pdf</t>
  </si>
  <si>
    <t>Melting_Curves/meltCurve_E7ETK0_RPS24.pdf</t>
  </si>
  <si>
    <t>Melting_Curves/meltCurve_E7ETZ4_BZW2.pdf</t>
  </si>
  <si>
    <t>Melting_Curves/meltCurve_E7EU19_RAD54L2.pdf</t>
  </si>
  <si>
    <t>Melting_Curves/meltCurve_E7EU23_GDI2.pdf</t>
  </si>
  <si>
    <t>Melting_Curves/meltCurve_E7EU96_CSNK2A1.pdf</t>
  </si>
  <si>
    <t>Melting_Curves/meltCurve_E7EUE1_ABCD3.pdf</t>
  </si>
  <si>
    <t>Melting_Curves/meltCurve_E7EUL7_SSFA2.pdf</t>
  </si>
  <si>
    <t>Melting_Curves/meltCurve_E7EUM5_NUP54.pdf</t>
  </si>
  <si>
    <t>Melting_Curves/meltCurve_E7EV46_PGBD3.pdf</t>
  </si>
  <si>
    <t>Melting_Curves/meltCurve_E7EV56_PCM1.pdf</t>
  </si>
  <si>
    <t>Melting_Curves/meltCurve_E7EVA0_MAP4.pdf</t>
  </si>
  <si>
    <t>Melting_Curves/meltCurve_E7EVC7_ATG16L1.pdf</t>
  </si>
  <si>
    <t>Melting_Curves/meltCurve_E7EVJ5_CYFIP2.pdf</t>
  </si>
  <si>
    <t>Melting_Curves/meltCurve_E7EVZ3_RAI1.pdf</t>
  </si>
  <si>
    <t>Melting_Curves/meltCurve_E7EW05_SDAD1.pdf</t>
  </si>
  <si>
    <t>Melting_Curves/meltCurve_E7EW18_POLB.pdf</t>
  </si>
  <si>
    <t>Melting_Curves/meltCurve_E7EW20_MYO6.pdf</t>
  </si>
  <si>
    <t>Melting_Curves/meltCurve_E7EW32_MON1B.pdf</t>
  </si>
  <si>
    <t>Melting_Curves/meltCurve_E7EW69_SEPT10.pdf</t>
  </si>
  <si>
    <t>Melting_Curves/meltCurve_E7EW77_ABI2.pdf</t>
  </si>
  <si>
    <t>Melting_Curves/meltCurve_E7EW84_EXOC6.pdf</t>
  </si>
  <si>
    <t>Melting_Curves/meltCurve_E7EWM3_ZMIZ2.pdf</t>
  </si>
  <si>
    <t>Melting_Curves/meltCurve_E7EWP0_NDUFB5.pdf</t>
  </si>
  <si>
    <t>Melting_Curves/meltCurve_E7EWX6_SIRT2.pdf</t>
  </si>
  <si>
    <t>Melting_Curves/meltCurve_E7EX01_MPP2.pdf</t>
  </si>
  <si>
    <t>Melting_Curves/meltCurve_E7EX17_EIF4B.pdf</t>
  </si>
  <si>
    <t>Melting_Curves/meltCurve_E7EX59_PCCB.pdf</t>
  </si>
  <si>
    <t>Melting_Curves/meltCurve_E7EX90_DCTN1.pdf</t>
  </si>
  <si>
    <t>Melting_Curves/meltCurve_E9PAL9_NT5DC2.pdf</t>
  </si>
  <si>
    <t>Melting_Curves/meltCurve_E9PAU2_RAVER1.pdf</t>
  </si>
  <si>
    <t>Melting_Curves/meltCurve_E9PAV9_GPATCH4.pdf</t>
  </si>
  <si>
    <t>Melting_Curves/meltCurve_E9PB28_HES4.pdf</t>
  </si>
  <si>
    <t>Melting_Curves/meltCurve_E9PB61_ALYREF.pdf</t>
  </si>
  <si>
    <t>Melting_Curves/meltCurve_E9PBR6_TMEM201.pdf</t>
  </si>
  <si>
    <t>Melting_Curves/meltCurve_E9PC62_CELF2.pdf</t>
  </si>
  <si>
    <t>Melting_Curves/meltCurve_E9PC69_MARK2.pdf</t>
  </si>
  <si>
    <t>Melting_Curves/meltCurve_E9PC74_EIF2B5.pdf</t>
  </si>
  <si>
    <t>Melting_Curves/meltCurve_E9PCD7_MAN2B2.pdf</t>
  </si>
  <si>
    <t>Melting_Curves/meltCurve_E9PCH4_FNIP1.pdf</t>
  </si>
  <si>
    <t>Melting_Curves/meltCurve_E9PCW1_GOSR1.pdf</t>
  </si>
  <si>
    <t>Melting_Curves/meltCurve_E9PD25_TLL1.pdf</t>
  </si>
  <si>
    <t>Melting_Curves/meltCurve_E9PD90_CKAP2.pdf</t>
  </si>
  <si>
    <t>Melting_Curves/meltCurve_E9PDC3_ARVCF.pdf</t>
  </si>
  <si>
    <t>Melting_Curves/meltCurve_E9PDF6_MYO1B.pdf</t>
  </si>
  <si>
    <t>Melting_Curves/meltCurve_E9PDG2_IFT122.pdf</t>
  </si>
  <si>
    <t>Melting_Curves/meltCurve_E9PDG9_RPAIN.pdf</t>
  </si>
  <si>
    <t>Melting_Curves/meltCurve_E9PEE8_ITGB6.pdf</t>
  </si>
  <si>
    <t>Melting_Curves/meltCurve_E9PEI0_CDCA2.pdf</t>
  </si>
  <si>
    <t>Melting_Curves/meltCurve_E9PEJ6_ATP11A.pdf</t>
  </si>
  <si>
    <t>Melting_Curves/meltCurve_E9PEN8_XPO7.pdf</t>
  </si>
  <si>
    <t>Melting_Curves/meltCurve_E9PER1_DIP2A.pdf</t>
  </si>
  <si>
    <t>Melting_Curves/meltCurve_E9PER6_PDPK1.pdf</t>
  </si>
  <si>
    <t>Melting_Curves/meltCurve_E9PEZ3_DIAPH1.pdf</t>
  </si>
  <si>
    <t>Melting_Curves/meltCurve_E9PF10_NUP155.pdf</t>
  </si>
  <si>
    <t>Melting_Curves/meltCurve_E9PF16_ACSF2.pdf</t>
  </si>
  <si>
    <t>Melting_Curves/meltCurve_E9PF18_HADH.pdf</t>
  </si>
  <si>
    <t>Melting_Curves/meltCurve_E9PF19_TBL2.pdf</t>
  </si>
  <si>
    <t>Melting_Curves/meltCurve_E9PF36_VPS41.pdf</t>
  </si>
  <si>
    <t>Melting_Curves/meltCurve_E9PF74_SLC25A19.pdf</t>
  </si>
  <si>
    <t>Melting_Curves/meltCurve_E9PFH7_MAPK8IP3.pdf</t>
  </si>
  <si>
    <t>Melting_Curves/meltCurve_E9PFK9_RABGEF1.pdf</t>
  </si>
  <si>
    <t>Melting_Curves/meltCurve_E9PFR3_PPP2R5D.pdf</t>
  </si>
  <si>
    <t>Melting_Curves/meltCurve_E9PG22_CEP97.pdf</t>
  </si>
  <si>
    <t>Melting_Curves/meltCurve_E9PGT1_TSN.pdf</t>
  </si>
  <si>
    <t>Melting_Curves/meltCurve_E9PGT3_RPS6KA1.pdf</t>
  </si>
  <si>
    <t>Melting_Curves/meltCurve_E9PH29_PRDX3.pdf</t>
  </si>
  <si>
    <t>Melting_Curves/meltCurve_E9PHF7_MCCC1.pdf</t>
  </si>
  <si>
    <t>Melting_Curves/meltCurve_E9PHG5_CYP20A1.pdf</t>
  </si>
  <si>
    <t>Melting_Curves/meltCurve_E9PHH8_PIAS3.pdf</t>
  </si>
  <si>
    <t>Melting_Curves/meltCurve_E9PHY5_EPB41L2.pdf</t>
  </si>
  <si>
    <t>Melting_Curves/meltCurve_E9PHY8_MROH1.pdf</t>
  </si>
  <si>
    <t>Melting_Curves/meltCurve_E9PIB1_HLA_DQB1.pdf</t>
  </si>
  <si>
    <t>Melting_Curves/meltCurve_E9PIC0_SDHD.pdf</t>
  </si>
  <si>
    <t>Melting_Curves/meltCurve_E9PIE4_MTCH2.pdf</t>
  </si>
  <si>
    <t>Melting_Curves/meltCurve_E9PJ04_SF3B2.pdf</t>
  </si>
  <si>
    <t>Melting_Curves/meltCurve_E9PJ55_TCP11L1.pdf</t>
  </si>
  <si>
    <t>Melting_Curves/meltCurve_E9PJ81_UBXN1.pdf</t>
  </si>
  <si>
    <t>Melting_Curves/meltCurve_E9PJD7_CYHR1.pdf</t>
  </si>
  <si>
    <t>Melting_Curves/meltCurve_E9PJF5_BRMS1.pdf</t>
  </si>
  <si>
    <t>Melting_Curves/meltCurve_E9PJK1_CD81.pdf</t>
  </si>
  <si>
    <t>Melting_Curves/meltCurve_E9PJM3_FBXO3.pdf</t>
  </si>
  <si>
    <t>Melting_Curves/meltCurve_E9PJN1_RPS6KA4.pdf</t>
  </si>
  <si>
    <t>Melting_Curves/meltCurve_E9PK01_EEF1D.pdf</t>
  </si>
  <si>
    <t>Melting_Curves/meltCurve_E9PK26_SNX15.pdf</t>
  </si>
  <si>
    <t>Melting_Curves/meltCurve_E9PK91_BCLAF1.pdf</t>
  </si>
  <si>
    <t>Melting_Curves/meltCurve_E9PKA7_RCE1.pdf</t>
  </si>
  <si>
    <t>Melting_Curves/meltCurve_E9PKC0_PLEKHA7.pdf</t>
  </si>
  <si>
    <t>Melting_Curves/meltCurve_E9PKF3_ACAT1.pdf</t>
  </si>
  <si>
    <t>Melting_Curves/meltCurve_E9PKG1_PRMT1.pdf</t>
  </si>
  <si>
    <t>Melting_Curves/meltCurve_E9PKP7_UBTF.pdf</t>
  </si>
  <si>
    <t>Melting_Curves/meltCurve_E9PKT4_TMEM123.pdf</t>
  </si>
  <si>
    <t>Melting_Curves/meltCurve_E9PKV2_MRPL17.pdf</t>
  </si>
  <si>
    <t>Melting_Curves/meltCurve_E9PKV8_TTC9C.pdf</t>
  </si>
  <si>
    <t>Melting_Curves/meltCurve_E9PL10_BTF3L4.pdf</t>
  </si>
  <si>
    <t>Melting_Curves/meltCurve_E9PL17_CLP1.pdf</t>
  </si>
  <si>
    <t>Melting_Curves/meltCurve_E9PL33_EI24.pdf</t>
  </si>
  <si>
    <t>Melting_Curves/meltCurve_E9PL56_RAB7L1.pdf</t>
  </si>
  <si>
    <t>Melting_Curves/meltCurve_E9PL57_NEDD8_MDP1.pdf</t>
  </si>
  <si>
    <t>Melting_Curves/meltCurve_E9PLK3_NPEPPS.pdf</t>
  </si>
  <si>
    <t>Melting_Curves/meltCurve_E9PLL6_RPL27A.pdf</t>
  </si>
  <si>
    <t>Melting_Curves/meltCurve_E9PLT1_CD36.pdf</t>
  </si>
  <si>
    <t>Melting_Curves/meltCurve_E9PM46_USP47.pdf</t>
  </si>
  <si>
    <t>Melting_Curves/meltCurve_E9PM92_C11orf58.pdf</t>
  </si>
  <si>
    <t>Melting_Curves/meltCurve_E9PMH5_BIRC2.pdf</t>
  </si>
  <si>
    <t>Melting_Curves/meltCurve_E9PMI6_CLNS1A.pdf</t>
  </si>
  <si>
    <t>Melting_Curves/meltCurve_E9PMJ2_FAM118B.pdf</t>
  </si>
  <si>
    <t>Melting_Curves/meltCurve_E9PML6_ATG13.pdf</t>
  </si>
  <si>
    <t>Melting_Curves/meltCurve_E9PMR4_CD151.pdf</t>
  </si>
  <si>
    <t>Melting_Curves/meltCurve_E9PMR6_ARHGEF12.pdf</t>
  </si>
  <si>
    <t>Melting_Curves/meltCurve_E9PMS6_LMO7.pdf</t>
  </si>
  <si>
    <t>Melting_Curves/meltCurve_E9PN48_ARFGAP2.pdf</t>
  </si>
  <si>
    <t>Melting_Curves/meltCurve_E9PN89_HSPA8.pdf</t>
  </si>
  <si>
    <t>Melting_Curves/meltCurve_E9PND3_EBAG9.pdf</t>
  </si>
  <si>
    <t>Melting_Curves/meltCurve_E9PNL8_DGKZ.pdf</t>
  </si>
  <si>
    <t>Melting_Curves/meltCurve_E9PNQ6_TXNRD1.pdf</t>
  </si>
  <si>
    <t>Melting_Curves/meltCurve_E9PNT2_ARHGAP27.pdf</t>
  </si>
  <si>
    <t>Melting_Curves/meltCurve_E9PNW4_CD59.pdf</t>
  </si>
  <si>
    <t>Melting_Curves/meltCurve_E9PPY3_RRP8.pdf</t>
  </si>
  <si>
    <t>Melting_Curves/meltCurve_E9PQC4_NUF2.pdf</t>
  </si>
  <si>
    <t>Melting_Curves/meltCurve_E9PQW0_PEX16.pdf</t>
  </si>
  <si>
    <t>Melting_Curves/meltCurve_E9PQW1_CARD16.pdf</t>
  </si>
  <si>
    <t>Melting_Curves/meltCurve_E9PQY2_PFDN4.pdf</t>
  </si>
  <si>
    <t>Melting_Curves/meltCurve_E9PR30_FAU.pdf</t>
  </si>
  <si>
    <t>Melting_Curves/meltCurve_E9PR76_MAF1.pdf</t>
  </si>
  <si>
    <t>Melting_Curves/meltCurve_E9PRM7_SLC22A18.pdf</t>
  </si>
  <si>
    <t>Melting_Curves/meltCurve_E9PRR8_EIF1AD.pdf</t>
  </si>
  <si>
    <t>Melting_Curves/meltCurve_E9PRY8_EEF1D.pdf</t>
  </si>
  <si>
    <t>Melting_Curves/meltCurve_E9PS17_SCYL1.pdf</t>
  </si>
  <si>
    <t>Melting_Curves/meltCurve_E9PSB8_SMCO4.pdf</t>
  </si>
  <si>
    <t>Melting_Curves/meltCurve_E9PSI1_TM9SF1.pdf</t>
  </si>
  <si>
    <t>Melting_Curves/meltCurve_F2Z2I2_PFKFB3.pdf</t>
  </si>
  <si>
    <t>Melting_Curves/meltCurve_F2Z2U8_MYH14.pdf</t>
  </si>
  <si>
    <t>Melting_Curves/meltCurve_F2Z2V1_FGGY.pdf</t>
  </si>
  <si>
    <t>Melting_Curves/meltCurve_F2Z2W7_TRMT2A.pdf</t>
  </si>
  <si>
    <t>Melting_Curves/meltCurve_F2Z2X4_XPO4.pdf</t>
  </si>
  <si>
    <t>Melting_Curves/meltCurve_F5GWD3_GTF2H3.pdf</t>
  </si>
  <si>
    <t>Melting_Curves/meltCurve_F5GWH5_TMEM258.pdf</t>
  </si>
  <si>
    <t>Melting_Curves/meltCurve_F5GWI9_CCDC53.pdf</t>
  </si>
  <si>
    <t>Melting_Curves/meltCurve_F5GWT4_WNK1.pdf</t>
  </si>
  <si>
    <t>Melting_Curves/meltCurve_F5GWX5_CHD4.pdf</t>
  </si>
  <si>
    <t>Melting_Curves/meltCurve_F5GWY5_PODXL.pdf</t>
  </si>
  <si>
    <t>Melting_Curves/meltCurve_F5GX09_FAM76B.pdf</t>
  </si>
  <si>
    <t>Melting_Curves/meltCurve_F5GX28_KDM4B.pdf</t>
  </si>
  <si>
    <t>Melting_Curves/meltCurve_F5GX82_FRYL.pdf</t>
  </si>
  <si>
    <t>Melting_Curves/meltCurve_F5GXC8_SUCLA2.pdf</t>
  </si>
  <si>
    <t>Melting_Curves/meltCurve_F5GXE4_ATE1.pdf</t>
  </si>
  <si>
    <t>Melting_Curves/meltCurve_F5GXF9_AFF1.pdf</t>
  </si>
  <si>
    <t>Melting_Curves/meltCurve_F5GXI4_PTPRK.pdf</t>
  </si>
  <si>
    <t>Melting_Curves/meltCurve_F5GXJ4_STIM2.pdf</t>
  </si>
  <si>
    <t>Melting_Curves/meltCurve_F5GXK8_DNAJB11.pdf</t>
  </si>
  <si>
    <t>Melting_Curves/meltCurve_F5GXX5_DAD1.pdf</t>
  </si>
  <si>
    <t>Melting_Curves/meltCurve_F5GXY5_SASS6.pdf</t>
  </si>
  <si>
    <t>Melting_Curves/meltCurve_F5GY92_GPBP1.pdf</t>
  </si>
  <si>
    <t>Melting_Curves/meltCurve_F5GY99_GALNT1.pdf</t>
  </si>
  <si>
    <t>Melting_Curves/meltCurve_F5GYJ5_.pdf</t>
  </si>
  <si>
    <t>Melting_Curves/meltCurve_F5GYN4_OTUB1.pdf</t>
  </si>
  <si>
    <t>Melting_Curves/meltCurve_F5GYQ1_ATP6V0D1.pdf</t>
  </si>
  <si>
    <t>Melting_Curves/meltCurve_F5GYV3_TM7SF2.pdf</t>
  </si>
  <si>
    <t>Melting_Curves/meltCurve_F5GZ44_EDEM2.pdf</t>
  </si>
  <si>
    <t>Melting_Curves/meltCurve_F5GZ78_PXN.pdf</t>
  </si>
  <si>
    <t>Melting_Curves/meltCurve_F5GZH3_PLEKHB1.pdf</t>
  </si>
  <si>
    <t>Melting_Curves/meltCurve_F5GZK1_EXTL2.pdf</t>
  </si>
  <si>
    <t>Melting_Curves/meltCurve_F5GZP3_TRIM59.pdf</t>
  </si>
  <si>
    <t>Melting_Curves/meltCurve_F5GZS0_DHX36.pdf</t>
  </si>
  <si>
    <t>Melting_Curves/meltCurve_F5GZS6_SLC3A2.pdf</t>
  </si>
  <si>
    <t>Melting_Curves/meltCurve_F5GZX9_FAM120B.pdf</t>
  </si>
  <si>
    <t>Melting_Curves/meltCurve_F5H012_TRIM21.pdf</t>
  </si>
  <si>
    <t>Melting_Curves/meltCurve_F5H0B0_TPD52.pdf</t>
  </si>
  <si>
    <t>Melting_Curves/meltCurve_F5H0F9_ANAPC5.pdf</t>
  </si>
  <si>
    <t>Melting_Curves/meltCurve_F5H0L8_SEC23IP.pdf</t>
  </si>
  <si>
    <t>Melting_Curves/meltCurve_F5H0Q6_CLASRP.pdf</t>
  </si>
  <si>
    <t>Melting_Curves/meltCurve_F5H0Y3_MLF2.pdf</t>
  </si>
  <si>
    <t>Melting_Curves/meltCurve_F5H144_GPR56.pdf</t>
  </si>
  <si>
    <t>Melting_Curves/meltCurve_F5H170_DNAJA4.pdf</t>
  </si>
  <si>
    <t>Melting_Curves/meltCurve_F5H1G9_ABI1.pdf</t>
  </si>
  <si>
    <t>Melting_Curves/meltCurve_F5H1L4_TXNRD2.pdf</t>
  </si>
  <si>
    <t>Melting_Curves/meltCurve_F5H1R7_FLJ22184.pdf</t>
  </si>
  <si>
    <t>Melting_Curves/meltCurve_F5H1X8_LRBA.pdf</t>
  </si>
  <si>
    <t>Melting_Curves/meltCurve_F5H1Y4_GOPC.pdf</t>
  </si>
  <si>
    <t>Melting_Curves/meltCurve_F5H1Z6_STARD10.pdf</t>
  </si>
  <si>
    <t>Melting_Curves/meltCurve_F5H211_ATXN3.pdf</t>
  </si>
  <si>
    <t>Melting_Curves/meltCurve_F5H269_DMXL1.pdf</t>
  </si>
  <si>
    <t>Melting_Curves/meltCurve_F5H2H5_ANKLE2.pdf</t>
  </si>
  <si>
    <t>Melting_Curves/meltCurve_F5H2J3_VMP1.pdf</t>
  </si>
  <si>
    <t>Melting_Curves/meltCurve_F5H2Q7_KIAA1715.pdf</t>
  </si>
  <si>
    <t>Melting_Curves/meltCurve_F5H2S7_DCTN2.pdf</t>
  </si>
  <si>
    <t>Melting_Curves/meltCurve_F5H2U2_PRPF4B.pdf</t>
  </si>
  <si>
    <t>Melting_Curves/meltCurve_F5H2V5_FADS3.pdf</t>
  </si>
  <si>
    <t>Melting_Curves/meltCurve_F5H315_XAB2.pdf</t>
  </si>
  <si>
    <t>Melting_Curves/meltCurve_F5H365_SEC23A.pdf</t>
  </si>
  <si>
    <t>Melting_Curves/meltCurve_F5H4G7_KPNA6.pdf</t>
  </si>
  <si>
    <t>Melting_Curves/meltCurve_F5H4H2_ATP5J2.pdf</t>
  </si>
  <si>
    <t>Melting_Curves/meltCurve_F5H4S9_TJP3.pdf</t>
  </si>
  <si>
    <t>Melting_Curves/meltCurve_F5H4V9_PDCD2.pdf</t>
  </si>
  <si>
    <t>Melting_Curves/meltCurve_F5H569_ATP6V0A1.pdf</t>
  </si>
  <si>
    <t>Melting_Curves/meltCurve_F5H577_BRK1.pdf</t>
  </si>
  <si>
    <t>Melting_Curves/meltCurve_F5H5D3_TUBA1C.pdf</t>
  </si>
  <si>
    <t>Melting_Curves/meltCurve_F5H5I6_GRSF1.pdf</t>
  </si>
  <si>
    <t>Melting_Curves/meltCurve_F5H5M7_IFNGR1.pdf</t>
  </si>
  <si>
    <t>Melting_Curves/meltCurve_F5H5N0_CDC42BPA.pdf</t>
  </si>
  <si>
    <t>Melting_Curves/meltCurve_F5H5N1_NDUFS7.pdf</t>
  </si>
  <si>
    <t>Melting_Curves/meltCurve_F5H5P2_BCKDHA.pdf</t>
  </si>
  <si>
    <t>Melting_Curves/meltCurve_F5H5R8_NAT1.pdf</t>
  </si>
  <si>
    <t>Melting_Curves/meltCurve_F5H604_CLASP2.pdf</t>
  </si>
  <si>
    <t>Melting_Curves/meltCurve_F5H620_OXNAD1.pdf</t>
  </si>
  <si>
    <t>Melting_Curves/meltCurve_F5H698_LARS.pdf</t>
  </si>
  <si>
    <t>Melting_Curves/meltCurve_F5H6G7_NOL10.pdf</t>
  </si>
  <si>
    <t>Melting_Curves/meltCurve_F5H702_MRPL48.pdf</t>
  </si>
  <si>
    <t>Melting_Curves/meltCurve_F5H721_WBP11.pdf</t>
  </si>
  <si>
    <t>Melting_Curves/meltCurve_F5H7C4_MSRB3.pdf</t>
  </si>
  <si>
    <t>Melting_Curves/meltCurve_F5H7F6_MGST1.pdf</t>
  </si>
  <si>
    <t>Melting_Curves/meltCurve_F5H7I4_GABPB1.pdf</t>
  </si>
  <si>
    <t>Melting_Curves/meltCurve_F5H7N9_MFGE8.pdf</t>
  </si>
  <si>
    <t>Melting_Curves/meltCurve_F5H7T0_RPS6KC1.pdf</t>
  </si>
  <si>
    <t>Melting_Curves/meltCurve_F5H7Z9_REEP1.pdf</t>
  </si>
  <si>
    <t>Melting_Curves/meltCurve_F5H801_OGDH.pdf</t>
  </si>
  <si>
    <t>Melting_Curves/meltCurve_F5H860_INPP4A.pdf</t>
  </si>
  <si>
    <t>Melting_Curves/meltCurve_F5H872_MED21.pdf</t>
  </si>
  <si>
    <t>Melting_Curves/meltCurve_F5H874_ASCC1.pdf</t>
  </si>
  <si>
    <t>Melting_Curves/meltCurve_F5H877_SPINT1.pdf</t>
  </si>
  <si>
    <t>Melting_Curves/meltCurve_F5H897_TRAP1.pdf</t>
  </si>
  <si>
    <t>Melting_Curves/meltCurve_F5H8D7_XRCC1.pdf</t>
  </si>
  <si>
    <t>Melting_Curves/meltCurve_F5H8H2_MVK.pdf</t>
  </si>
  <si>
    <t>Melting_Curves/meltCurve_F5H8L0_RABGAP1L.pdf</t>
  </si>
  <si>
    <t>Melting_Curves/meltCurve_F5H8L4_SIDT2.pdf</t>
  </si>
  <si>
    <t>Melting_Curves/meltCurve_F6PQP6_EPN2.pdf</t>
  </si>
  <si>
    <t>Melting_Curves/meltCurve_F6RY50_SIPA1.pdf</t>
  </si>
  <si>
    <t>Melting_Curves/meltCurve_F6TDL0_PIK3R3.pdf</t>
  </si>
  <si>
    <t>Melting_Curves/meltCurve_F6U1T9_PPP3R1.pdf</t>
  </si>
  <si>
    <t>Melting_Curves/meltCurve_F6UJY9_HYI.pdf</t>
  </si>
  <si>
    <t>Melting_Curves/meltCurve_F6V707_TPD52L1.pdf</t>
  </si>
  <si>
    <t>Melting_Curves/meltCurve_F6XY72_NME2.pdf</t>
  </si>
  <si>
    <t>Melting_Curves/meltCurve_F8VP89_EIF4B.pdf</t>
  </si>
  <si>
    <t>Melting_Curves/meltCurve_F8VPD4_CAD.pdf</t>
  </si>
  <si>
    <t>Melting_Curves/meltCurve_F8VQ10_DDX39B.pdf</t>
  </si>
  <si>
    <t>Melting_Curves/meltCurve_F8VQ19_BRF1.pdf</t>
  </si>
  <si>
    <t>Melting_Curves/meltCurve_F8VQY2_UIMC1.pdf</t>
  </si>
  <si>
    <t>Melting_Curves/meltCurve_F8VQZ7_METAP2.pdf</t>
  </si>
  <si>
    <t>Melting_Curves/meltCurve_F8VR27_RBFOX1.pdf</t>
  </si>
  <si>
    <t>Melting_Curves/meltCurve_F8VRE8_TMEM19.pdf</t>
  </si>
  <si>
    <t>Melting_Curves/meltCurve_F8VS47_NEK3.pdf</t>
  </si>
  <si>
    <t>Melting_Curves/meltCurve_F8VS78_TSPAN31.pdf</t>
  </si>
  <si>
    <t>Melting_Curves/meltCurve_F8VSL3_NFYB.pdf</t>
  </si>
  <si>
    <t>Melting_Curves/meltCurve_F8VSZ4_PLXNA1.pdf</t>
  </si>
  <si>
    <t>Melting_Curves/meltCurve_F8VU90_FKBP11.pdf</t>
  </si>
  <si>
    <t>Melting_Curves/meltCurve_F8VUJ3_POC1B_GALNT4.pdf</t>
  </si>
  <si>
    <t>Melting_Curves/meltCurve_F8VUW5_DAZAP2.pdf</t>
  </si>
  <si>
    <t>Melting_Curves/meltCurve_F8VV52_CNOT2.pdf</t>
  </si>
  <si>
    <t>Melting_Curves/meltCurve_F8VV56_CD63.pdf</t>
  </si>
  <si>
    <t>Melting_Curves/meltCurve_F8VV59_NAP1L1.pdf</t>
  </si>
  <si>
    <t>Melting_Curves/meltCurve_F8VVA7_COPZ1.pdf</t>
  </si>
  <si>
    <t>Melting_Curves/meltCurve_F8VW41_PACS2.pdf</t>
  </si>
  <si>
    <t>Melting_Curves/meltCurve_F8VW96_CSRP2.pdf</t>
  </si>
  <si>
    <t>Melting_Curves/meltCurve_F8VWA6_MON2.pdf</t>
  </si>
  <si>
    <t>Melting_Curves/meltCurve_F8VWA9_ALG10B.pdf</t>
  </si>
  <si>
    <t>Melting_Curves/meltCurve_F8VX04_SLC38A1.pdf</t>
  </si>
  <si>
    <t>Melting_Curves/meltCurve_F8VXG7_SCAF11.pdf</t>
  </si>
  <si>
    <t>Melting_Curves/meltCurve_F8VY35_NAP1L1.pdf</t>
  </si>
  <si>
    <t>Melting_Curves/meltCurve_F8VYN9_ARL1.pdf</t>
  </si>
  <si>
    <t>Melting_Curves/meltCurve_F8VZA2_LETMD1.pdf</t>
  </si>
  <si>
    <t>Melting_Curves/meltCurve_F8VZJ2_NACA.pdf</t>
  </si>
  <si>
    <t>Melting_Curves/meltCurve_F8W031_.pdf</t>
  </si>
  <si>
    <t>Melting_Curves/meltCurve_F8W038_C17orf49.pdf</t>
  </si>
  <si>
    <t>Melting_Curves/meltCurve_F8W0Q9_PPHLN1.pdf</t>
  </si>
  <si>
    <t>Melting_Curves/meltCurve_F8W1P7_SLC11A2.pdf</t>
  </si>
  <si>
    <t>Melting_Curves/meltCurve_F8W1Q3_BTD.pdf</t>
  </si>
  <si>
    <t>Melting_Curves/meltCurve_F8W689_RFX5.pdf</t>
  </si>
  <si>
    <t>Melting_Curves/meltCurve_F8W6I7_HNRNPA1.pdf</t>
  </si>
  <si>
    <t>Melting_Curves/meltCurve_F8W6N3_BAP1.pdf</t>
  </si>
  <si>
    <t>Melting_Curves/meltCurve_F8W726_UBAP2L.pdf</t>
  </si>
  <si>
    <t>Melting_Curves/meltCurve_F8W785_GOLIM4.pdf</t>
  </si>
  <si>
    <t>Melting_Curves/meltCurve_F8W7D6_GPHN.pdf</t>
  </si>
  <si>
    <t>Melting_Curves/meltCurve_F8W7Q4_FAM162A.pdf</t>
  </si>
  <si>
    <t>Melting_Curves/meltCurve_F8W7S1_FAM73A.pdf</t>
  </si>
  <si>
    <t>Melting_Curves/meltCurve_F8W8C2_VEZT.pdf</t>
  </si>
  <si>
    <t>Melting_Curves/meltCurve_F8W8D3_SLBP.pdf</t>
  </si>
  <si>
    <t>Melting_Curves/meltCurve_F8W8D8_PLS3.pdf</t>
  </si>
  <si>
    <t>Melting_Curves/meltCurve_F8W8E4_FAM179A.pdf</t>
  </si>
  <si>
    <t>Melting_Curves/meltCurve_F8W8H5_RAB24.pdf</t>
  </si>
  <si>
    <t>Melting_Curves/meltCurve_F8W8I6_TIA1.pdf</t>
  </si>
  <si>
    <t>Melting_Curves/meltCurve_F8W8P5_CADPS2.pdf</t>
  </si>
  <si>
    <t>Melting_Curves/meltCurve_F8W8Q9_STX5.pdf</t>
  </si>
  <si>
    <t>Melting_Curves/meltCurve_F8W946_FSD1L.pdf</t>
  </si>
  <si>
    <t>Melting_Curves/meltCurve_F8W998_CASK.pdf</t>
  </si>
  <si>
    <t>Melting_Curves/meltCurve_F8W9E7_ELMO3.pdf</t>
  </si>
  <si>
    <t>Melting_Curves/meltCurve_F8W9F3_PCMTD2.pdf</t>
  </si>
  <si>
    <t>Melting_Curves/meltCurve_F8W9F9_WNK2.pdf</t>
  </si>
  <si>
    <t>Melting_Curves/meltCurve_F8W9I9_DYRK1A.pdf</t>
  </si>
  <si>
    <t>Melting_Curves/meltCurve_F8W9Q9_LENG8.pdf</t>
  </si>
  <si>
    <t>Melting_Curves/meltCurve_F8W9R9_MED24.pdf</t>
  </si>
  <si>
    <t>Melting_Curves/meltCurve_F8W9X7_CCDC93.pdf</t>
  </si>
  <si>
    <t>Melting_Curves/meltCurve_F8WAB8_SLC25A26.pdf</t>
  </si>
  <si>
    <t>Melting_Curves/meltCurve_F8WAD8_ADAM22.pdf</t>
  </si>
  <si>
    <t>Melting_Curves/meltCurve_F8WAK8_STAG2.pdf</t>
  </si>
  <si>
    <t>Melting_Curves/meltCurve_F8WB74_SEPW1.pdf</t>
  </si>
  <si>
    <t>Melting_Curves/meltCurve_F8WBK5_MRPL40.pdf</t>
  </si>
  <si>
    <t>Melting_Curves/meltCurve_F8WBY6_GTPBP8.pdf</t>
  </si>
  <si>
    <t>Melting_Curves/meltCurve_F8WCP6_KIF21A.pdf</t>
  </si>
  <si>
    <t>Melting_Curves/meltCurve_F8WCZ9_OGG1.pdf</t>
  </si>
  <si>
    <t>Melting_Curves/meltCurve_F8WD04_ATL1.pdf</t>
  </si>
  <si>
    <t>Melting_Curves/meltCurve_F8WE42_NOL8.pdf</t>
  </si>
  <si>
    <t>Melting_Curves/meltCurve_F8WEA9_KSR1.pdf</t>
  </si>
  <si>
    <t>Melting_Curves/meltCurve_F8WEE4_ZFAND2B.pdf</t>
  </si>
  <si>
    <t>Melting_Curves/meltCurve_F8WF48_SEC62.pdf</t>
  </si>
  <si>
    <t>Melting_Curves/meltCurve_F8WF93_ALG3.pdf</t>
  </si>
  <si>
    <t>Melting_Curves/meltCurve_G3V0I5_NDUFV1.pdf</t>
  </si>
  <si>
    <t>Melting_Curves/meltCurve_G3V145_SDR16C5.pdf</t>
  </si>
  <si>
    <t>Melting_Curves/meltCurve_G3V1A6_GSDMD.pdf</t>
  </si>
  <si>
    <t>Melting_Curves/meltCurve_G3V1D3_DPP3.pdf</t>
  </si>
  <si>
    <t>Melting_Curves/meltCurve_G3V1K3_PON2.pdf</t>
  </si>
  <si>
    <t>Melting_Curves/meltCurve_G3V1P3_LOH12CR1.pdf</t>
  </si>
  <si>
    <t>Melting_Curves/meltCurve_G3V1R9_ISYNA1.pdf</t>
  </si>
  <si>
    <t>Melting_Curves/meltCurve_G3V1U0_ATF7IP.pdf</t>
  </si>
  <si>
    <t>Melting_Curves/meltCurve_G3V1U5_GOLT1B.pdf</t>
  </si>
  <si>
    <t>Melting_Curves/meltCurve_G3V1V1_ZCRB1.pdf</t>
  </si>
  <si>
    <t>Melting_Curves/meltCurve_G3V203_RPL18.pdf</t>
  </si>
  <si>
    <t>Melting_Curves/meltCurve_G3V207_TMCC3.pdf</t>
  </si>
  <si>
    <t>Melting_Curves/meltCurve_G3V238_METTL10.pdf</t>
  </si>
  <si>
    <t>Melting_Curves/meltCurve_G3V2F7_TMEM189.pdf</t>
  </si>
  <si>
    <t>Melting_Curves/meltCurve_G3V2U7_ACYP1.pdf</t>
  </si>
  <si>
    <t>Melting_Curves/meltCurve_G3V325_ATP5J2_PTCD1.pdf</t>
  </si>
  <si>
    <t>Melting_Curves/meltCurve_G3V379_FERMT2.pdf</t>
  </si>
  <si>
    <t>Melting_Curves/meltCurve_G3V394_MYO5A.pdf</t>
  </si>
  <si>
    <t>Melting_Curves/meltCurve_G3V396_C14orf93.pdf</t>
  </si>
  <si>
    <t>Melting_Curves/meltCurve_G3V3G9_DCAF8.pdf</t>
  </si>
  <si>
    <t>Melting_Curves/meltCurve_G3V3I4_NFKBIA.pdf</t>
  </si>
  <si>
    <t>Melting_Curves/meltCurve_G3V4A5_MED6.pdf</t>
  </si>
  <si>
    <t>Melting_Curves/meltCurve_G3V4J6_GPX2.pdf</t>
  </si>
  <si>
    <t>Melting_Curves/meltCurve_G3V4K3_VIPAS39.pdf</t>
  </si>
  <si>
    <t>Melting_Curves/meltCurve_G3V4W0_HNRNPC.pdf</t>
  </si>
  <si>
    <t>Melting_Curves/meltCurve_G3V583_FAM177A1.pdf</t>
  </si>
  <si>
    <t>Melting_Curves/meltCurve_G3V599_CTAGE5.pdf</t>
  </si>
  <si>
    <t>Melting_Curves/meltCurve_G3V5E1_CCNK.pdf</t>
  </si>
  <si>
    <t>Melting_Curves/meltCurve_G3V5N8_ZFYVE1.pdf</t>
  </si>
  <si>
    <t>Melting_Curves/meltCurve_G3V5T0_GSTZ1.pdf</t>
  </si>
  <si>
    <t>Melting_Curves/meltCurve_G3V5T9_CDK2.pdf</t>
  </si>
  <si>
    <t>Melting_Curves/meltCurve_G3V5W1_WARS.pdf</t>
  </si>
  <si>
    <t>Melting_Curves/meltCurve_G3V5Z7_PSMA6.pdf</t>
  </si>
  <si>
    <t>Melting_Curves/meltCurve_G3XA81_TMEM48.pdf</t>
  </si>
  <si>
    <t>Melting_Curves/meltCurve_G3XAA0_ARID1B.pdf</t>
  </si>
  <si>
    <t>Melting_Curves/meltCurve_G3XAA2_MAP4K4.pdf</t>
  </si>
  <si>
    <t>Melting_Curves/meltCurve_G3XAB3_TTC17.pdf</t>
  </si>
  <si>
    <t>Melting_Curves/meltCurve_G3XAC1_SLC26A6.pdf</t>
  </si>
  <si>
    <t>Melting_Curves/meltCurve_G3XAD5_PTPRD.pdf</t>
  </si>
  <si>
    <t>Melting_Curves/meltCurve_G3XAH6_PAPOLA.pdf</t>
  </si>
  <si>
    <t>Melting_Curves/meltCurve_G3XAI2_LAMB1.pdf</t>
  </si>
  <si>
    <t>Melting_Curves/meltCurve_G3XAI9_FAM133B.pdf</t>
  </si>
  <si>
    <t>Melting_Curves/meltCurve_G3XAN4_TRAM1.pdf</t>
  </si>
  <si>
    <t>Melting_Curves/meltCurve_G3XAN8_TIMM8B.pdf</t>
  </si>
  <si>
    <t>Melting_Curves/meltCurve_G5E933_SBF1.pdf</t>
  </si>
  <si>
    <t>Melting_Curves/meltCurve_G5E975_SMARCB1.pdf</t>
  </si>
  <si>
    <t>Melting_Curves/meltCurve_G5E9A6_USP11.pdf</t>
  </si>
  <si>
    <t>Melting_Curves/meltCurve_G5E9E7_TJP1.pdf</t>
  </si>
  <si>
    <t>Melting_Curves/meltCurve_G5E9P3_NKIRAS1.pdf</t>
  </si>
  <si>
    <t>Melting_Curves/meltCurve_G5EA30_CELF1.pdf</t>
  </si>
  <si>
    <t>Melting_Curves/meltCurve_G8JL98_TDG.pdf</t>
  </si>
  <si>
    <t>Melting_Curves/meltCurve_G8JLB3_PUS1.pdf</t>
  </si>
  <si>
    <t>Melting_Curves/meltCurve_G8JLB6_HNRNPH1.pdf</t>
  </si>
  <si>
    <t>Melting_Curves/meltCurve_G8JLI5_WDR45.pdf</t>
  </si>
  <si>
    <t>Melting_Curves/meltCurve_G8JLI6_LEPREL2.pdf</t>
  </si>
  <si>
    <t>Melting_Curves/meltCurve_G8JLK4_TACC1.pdf</t>
  </si>
  <si>
    <t>Melting_Curves/meltCurve_G8JLL2_PPT2.pdf</t>
  </si>
  <si>
    <t>Melting_Curves/meltCurve_G8JLL7_MVB12B.pdf</t>
  </si>
  <si>
    <t>Melting_Curves/meltCurve_G8JLM6_TAF6.pdf</t>
  </si>
  <si>
    <t>Melting_Curves/meltCurve_G8JLQ3_BLOC1S1.pdf</t>
  </si>
  <si>
    <t>Melting_Curves/meltCurve_H0UI80_TH1L.pdf</t>
  </si>
  <si>
    <t>Melting_Curves/meltCurve_H0Y2P9_PIGX.pdf</t>
  </si>
  <si>
    <t>Melting_Curves/meltCurve_H0Y2S9_MPRIP.pdf</t>
  </si>
  <si>
    <t>Melting_Curves/meltCurve_H0Y360_AMPD2.pdf</t>
  </si>
  <si>
    <t>Melting_Curves/meltCurve_H0Y362_SLC30A7.pdf</t>
  </si>
  <si>
    <t>Melting_Curves/meltCurve_H0Y384_ODF2.pdf</t>
  </si>
  <si>
    <t>Melting_Curves/meltCurve_H0Y3H2_ABCA3.pdf</t>
  </si>
  <si>
    <t>Melting_Curves/meltCurve_H0Y3P2_EIF4G2.pdf</t>
  </si>
  <si>
    <t>Melting_Curves/meltCurve_H0Y3Z8_.pdf</t>
  </si>
  <si>
    <t>Melting_Curves/meltCurve_H0Y412_PRRC2B.pdf</t>
  </si>
  <si>
    <t>Melting_Curves/meltCurve_H0Y4G9_MYD88.pdf</t>
  </si>
  <si>
    <t>Melting_Curves/meltCurve_H0Y4W2_TRRAP.pdf</t>
  </si>
  <si>
    <t>Melting_Curves/meltCurve_H0Y4Y2_NAPEPLD.pdf</t>
  </si>
  <si>
    <t>Melting_Curves/meltCurve_H0Y530_PAEP.pdf</t>
  </si>
  <si>
    <t>Melting_Curves/meltCurve_H0Y5A1_PTGDS.pdf</t>
  </si>
  <si>
    <t>Melting_Curves/meltCurve_H0Y5D5_CIZ1.pdf</t>
  </si>
  <si>
    <t>Melting_Curves/meltCurve_H0Y5J5_AAED1.pdf</t>
  </si>
  <si>
    <t>Melting_Curves/meltCurve_H0Y5Y0_PREP.pdf</t>
  </si>
  <si>
    <t>Melting_Curves/meltCurve_H0Y614_UFM1.pdf</t>
  </si>
  <si>
    <t>Melting_Curves/meltCurve_H0Y6A0_ARFGAP3.pdf</t>
  </si>
  <si>
    <t>Melting_Curves/meltCurve_H0Y6I7_KDM6A.pdf</t>
  </si>
  <si>
    <t>Melting_Curves/meltCurve_H0Y6K2_BRD2.pdf</t>
  </si>
  <si>
    <t>Melting_Curves/meltCurve_H0Y6K5_SP3.pdf</t>
  </si>
  <si>
    <t>Melting_Curves/meltCurve_H0Y6Y8_MRPL43.pdf</t>
  </si>
  <si>
    <t>Melting_Curves/meltCurve_H0Y7A7_CALM2.pdf</t>
  </si>
  <si>
    <t>Melting_Curves/meltCurve_H0Y882_FOXP1.pdf</t>
  </si>
  <si>
    <t>Melting_Curves/meltCurve_H0Y8C3_MTCH1.pdf</t>
  </si>
  <si>
    <t>Melting_Curves/meltCurve_H0Y8D0_TMEM222.pdf</t>
  </si>
  <si>
    <t>Melting_Curves/meltCurve_H0Y9D6_B4GALT7.pdf</t>
  </si>
  <si>
    <t>Melting_Curves/meltCurve_H0Y9S9_PPIP5K2.pdf</t>
  </si>
  <si>
    <t>Melting_Curves/meltCurve_H0Y9T8_PRR5_ARHGAP8.pdf</t>
  </si>
  <si>
    <t>Melting_Curves/meltCurve_H0Y9X1_TMA16.pdf</t>
  </si>
  <si>
    <t>Melting_Curves/meltCurve_H0YA52_PCBD2.pdf</t>
  </si>
  <si>
    <t>Melting_Curves/meltCurve_H0YA80_UBE2B.pdf</t>
  </si>
  <si>
    <t>Melting_Curves/meltCurve_H0YAV1_RRM2B.pdf</t>
  </si>
  <si>
    <t>Melting_Curves/meltCurve_H0YB73_UBE2W.pdf</t>
  </si>
  <si>
    <t>Melting_Curves/meltCurve_H0YBC7_BNIP3L.pdf</t>
  </si>
  <si>
    <t>Melting_Curves/meltCurve_H0YBI6_TXNRD3.pdf</t>
  </si>
  <si>
    <t>Melting_Curves/meltCurve_H0YBI8_VEGFA.pdf</t>
  </si>
  <si>
    <t>Melting_Curves/meltCurve_H0YBN0_VPS37A.pdf</t>
  </si>
  <si>
    <t>Melting_Curves/meltCurve_H0YBP1_PTK2.pdf</t>
  </si>
  <si>
    <t>Melting_Curves/meltCurve_H0YBR0_TRAPPC9.pdf</t>
  </si>
  <si>
    <t>Melting_Curves/meltCurve_H0YBR2_ESRP1.pdf</t>
  </si>
  <si>
    <t>Melting_Curves/meltCurve_H0YD93_RUFY2.pdf</t>
  </si>
  <si>
    <t>Melting_Curves/meltCurve_H0YDQ8_CRTC2.pdf</t>
  </si>
  <si>
    <t>Melting_Curves/meltCurve_H0YDU8_PPP5C.pdf</t>
  </si>
  <si>
    <t>Melting_Curves/meltCurve_H0YEA7_GNPTG.pdf</t>
  </si>
  <si>
    <t>Melting_Curves/meltCurve_H0YEB6_SSSCA1.pdf</t>
  </si>
  <si>
    <t>Melting_Curves/meltCurve_H0YEF3_RNASEH2C.pdf</t>
  </si>
  <si>
    <t>Melting_Curves/meltCurve_H0YEI0_RASSF7.pdf</t>
  </si>
  <si>
    <t>Melting_Curves/meltCurve_H0YEM6_PELI3.pdf</t>
  </si>
  <si>
    <t>Melting_Curves/meltCurve_H0YEP5_SMPD1.pdf</t>
  </si>
  <si>
    <t>Melting_Curves/meltCurve_H0YGA7_CADM1.pdf</t>
  </si>
  <si>
    <t>Melting_Curves/meltCurve_H0YGR4_REXO2.pdf</t>
  </si>
  <si>
    <t>Melting_Curves/meltCurve_H0YHG0_.pdf</t>
  </si>
  <si>
    <t>Melting_Curves/meltCurve_H0YHQ9_ARHGAP23.pdf</t>
  </si>
  <si>
    <t>Melting_Curves/meltCurve_H0YI09_METTL7A.pdf</t>
  </si>
  <si>
    <t>Melting_Curves/meltCurve_H0YI20_OAS1.pdf</t>
  </si>
  <si>
    <t>Melting_Curves/meltCurve_H0YIE9_FBXO21.pdf</t>
  </si>
  <si>
    <t>Melting_Curves/meltCurve_H0YIV9_.pdf</t>
  </si>
  <si>
    <t>Melting_Curves/meltCurve_H0YJ17_NGDN.pdf</t>
  </si>
  <si>
    <t>Melting_Curves/meltCurve_H0YJE3_CEP128.pdf</t>
  </si>
  <si>
    <t>Melting_Curves/meltCurve_H0YKD8_RPL28.pdf</t>
  </si>
  <si>
    <t>Melting_Curves/meltCurve_H0YKJ9_TSPAN3.pdf</t>
  </si>
  <si>
    <t>Melting_Curves/meltCurve_H0YL33_ANXA2.pdf</t>
  </si>
  <si>
    <t>Melting_Curves/meltCurve_H0YL70_TLE3.pdf</t>
  </si>
  <si>
    <t>Melting_Curves/meltCurve_H0YLB5_POU2F1.pdf</t>
  </si>
  <si>
    <t>Melting_Curves/meltCurve_H0YLX2_RFX7.pdf</t>
  </si>
  <si>
    <t>Melting_Curves/meltCurve_H0YMB3_GMPR2.pdf</t>
  </si>
  <si>
    <t>Melting_Curves/meltCurve_H0YME5_EIF2AK4.pdf</t>
  </si>
  <si>
    <t>Melting_Curves/meltCurve_H0YMG7_ALDH1A2.pdf</t>
  </si>
  <si>
    <t>Melting_Curves/meltCurve_H0YMJ0_MORF4L1.pdf</t>
  </si>
  <si>
    <t>Melting_Curves/meltCurve_H0YMJ1_ASB7.pdf</t>
  </si>
  <si>
    <t>Melting_Curves/meltCurve_H0YN78_C15orf57.pdf</t>
  </si>
  <si>
    <t>Melting_Curves/meltCurve_H0YNA7_SPPL2A.pdf</t>
  </si>
  <si>
    <t>Melting_Curves/meltCurve_H0YNE9_RAB8B.pdf</t>
  </si>
  <si>
    <t>Melting_Curves/meltCurve_H0YNG3_SEC11A.pdf</t>
  </si>
  <si>
    <t>Melting_Curves/meltCurve_H0YNH6_EMC9.pdf</t>
  </si>
  <si>
    <t>Melting_Curves/meltCurve_H0YNH8_UACA.pdf</t>
  </si>
  <si>
    <t>Melting_Curves/meltCurve_H0YNN9_.pdf</t>
  </si>
  <si>
    <t>Melting_Curves/meltCurve_H0YNU5_BLM.pdf</t>
  </si>
  <si>
    <t>Melting_Curves/meltCurve_H3BLV0_CD55.pdf</t>
  </si>
  <si>
    <t>Melting_Curves/meltCurve_H3BLZ2_DBNDD1.pdf</t>
  </si>
  <si>
    <t>Melting_Curves/meltCurve_H3BLZ8_DDX17.pdf</t>
  </si>
  <si>
    <t>Melting_Curves/meltCurve_H3BM14_NUB1.pdf</t>
  </si>
  <si>
    <t>Melting_Curves/meltCurve_H3BM42_GLG1.pdf</t>
  </si>
  <si>
    <t>Melting_Curves/meltCurve_H3BM67_NOL3.pdf</t>
  </si>
  <si>
    <t>Melting_Curves/meltCurve_H3BM91_COMMD4.pdf</t>
  </si>
  <si>
    <t>Melting_Curves/meltCurve_H3BMF4_SPNS1.pdf</t>
  </si>
  <si>
    <t>Melting_Curves/meltCurve_H3BML8_TMEM219.pdf</t>
  </si>
  <si>
    <t>Melting_Curves/meltCurve_H3BMM5_.pdf</t>
  </si>
  <si>
    <t>Melting_Curves/meltCurve_H3BN98_.pdf</t>
  </si>
  <si>
    <t>Melting_Curves/meltCurve_H3BNM4_INO80E.pdf</t>
  </si>
  <si>
    <t>Melting_Curves/meltCurve_H3BNT4_MPHOSPH6.pdf</t>
  </si>
  <si>
    <t>Melting_Curves/meltCurve_H3BNU9_CARHSP1.pdf</t>
  </si>
  <si>
    <t>Melting_Curves/meltCurve_H3BP13_TRAPPC2L.pdf</t>
  </si>
  <si>
    <t>Melting_Curves/meltCurve_H3BP20_HEXA.pdf</t>
  </si>
  <si>
    <t>Melting_Curves/meltCurve_H3BP28_COQ7.pdf</t>
  </si>
  <si>
    <t>Melting_Curves/meltCurve_H3BP77_TK2.pdf</t>
  </si>
  <si>
    <t>Melting_Curves/meltCurve_H3BPE1_MACF1.pdf</t>
  </si>
  <si>
    <t>Melting_Curves/meltCurve_H3BPJ7_TCF4.pdf</t>
  </si>
  <si>
    <t>Melting_Curves/meltCurve_H3BPL0_CLN3.pdf</t>
  </si>
  <si>
    <t>Melting_Curves/meltCurve_H3BPS8_ALDOA.pdf</t>
  </si>
  <si>
    <t>Melting_Curves/meltCurve_H3BQA0_SNAPC5.pdf</t>
  </si>
  <si>
    <t>Melting_Curves/meltCurve_H3BQA7_OBSCN.pdf</t>
  </si>
  <si>
    <t>Melting_Curves/meltCurve_H3BQQ9_UBE2I.pdf</t>
  </si>
  <si>
    <t>Melting_Curves/meltCurve_H3BQT8_TMEM170A.pdf</t>
  </si>
  <si>
    <t>Melting_Curves/meltCurve_H3BQV3_COG8.pdf</t>
  </si>
  <si>
    <t>Melting_Curves/meltCurve_H3BR01_SPINT1.pdf</t>
  </si>
  <si>
    <t>Melting_Curves/meltCurve_H3BR94_DCTN5.pdf</t>
  </si>
  <si>
    <t>Melting_Curves/meltCurve_H3BRF9_ZFYVE19.pdf</t>
  </si>
  <si>
    <t>Melting_Curves/meltCurve_H3BRL3_UBFD1.pdf</t>
  </si>
  <si>
    <t>Melting_Curves/meltCurve_H3BRN4_ABAT.pdf</t>
  </si>
  <si>
    <t>Melting_Curves/meltCurve_H3BRS1_NFATC3.pdf</t>
  </si>
  <si>
    <t>Melting_Curves/meltCurve_H3BRU1_FAM219B.pdf</t>
  </si>
  <si>
    <t>Melting_Curves/meltCurve_H3BRV0_EIF3C.pdf</t>
  </si>
  <si>
    <t>Melting_Curves/meltCurve_H3BRY6_VWA9.pdf</t>
  </si>
  <si>
    <t>Melting_Curves/meltCurve_H3BS42_ZNF768.pdf</t>
  </si>
  <si>
    <t>Melting_Curves/meltCurve_H3BSM5_GABARAPL2.pdf</t>
  </si>
  <si>
    <t>Melting_Curves/meltCurve_H3BSM7_C16orf58.pdf</t>
  </si>
  <si>
    <t>Melting_Curves/meltCurve_H3BST1_BLOC1S6.pdf</t>
  </si>
  <si>
    <t>Melting_Curves/meltCurve_H3BSW6_CTU2.pdf</t>
  </si>
  <si>
    <t>Melting_Curves/meltCurve_H3BTL1_MAP1LC3B.pdf</t>
  </si>
  <si>
    <t>Melting_Curves/meltCurve_H3BTN5_PKM.pdf</t>
  </si>
  <si>
    <t>Melting_Curves/meltCurve_H3BTQ7_ORC6.pdf</t>
  </si>
  <si>
    <t>Melting_Curves/meltCurve_H3BTX0_.pdf</t>
  </si>
  <si>
    <t>Melting_Curves/meltCurve_H3BU23_CDR2.pdf</t>
  </si>
  <si>
    <t>Melting_Curves/meltCurve_H3BU49_ARL2BP.pdf</t>
  </si>
  <si>
    <t>Melting_Curves/meltCurve_H3BUJ1_ITFG1.pdf</t>
  </si>
  <si>
    <t>Melting_Curves/meltCurve_H3BUQ2_OGFOD1.pdf</t>
  </si>
  <si>
    <t>Melting_Curves/meltCurve_H3BUY0_MRPL21.pdf</t>
  </si>
  <si>
    <t>Melting_Curves/meltCurve_H3BV80_RNPS1.pdf</t>
  </si>
  <si>
    <t>Melting_Curves/meltCurve_H3BVI4_LMF1.pdf</t>
  </si>
  <si>
    <t>Melting_Curves/meltCurve_H6UMI1_GABARAP.pdf</t>
  </si>
  <si>
    <t>Melting_Curves/meltCurve_H7BXD5_GCA.pdf</t>
  </si>
  <si>
    <t>Melting_Curves/meltCurve_H7BXF5_SAP130.pdf</t>
  </si>
  <si>
    <t>Melting_Curves/meltCurve_H7BXH2_PPP6R3.pdf</t>
  </si>
  <si>
    <t>Melting_Curves/meltCurve_H7BXH9_METTL21A.pdf</t>
  </si>
  <si>
    <t>Melting_Curves/meltCurve_H7BXI1_ESYT2.pdf</t>
  </si>
  <si>
    <t>Melting_Curves/meltCurve_H7BXI5_ERGIC3.pdf</t>
  </si>
  <si>
    <t>Melting_Curves/meltCurve_H7BXW7_MPC1.pdf</t>
  </si>
  <si>
    <t>Melting_Curves/meltCurve_H7BXY3_DHX30.pdf</t>
  </si>
  <si>
    <t>Melting_Curves/meltCurve_H7BY36_EWSR1.pdf</t>
  </si>
  <si>
    <t>Melting_Curves/meltCurve_H7BY58_PCMT1.pdf</t>
  </si>
  <si>
    <t>Melting_Curves/meltCurve_H7BYJ1_RNF34.pdf</t>
  </si>
  <si>
    <t>Melting_Curves/meltCurve_H7BYQ6_INTS9.pdf</t>
  </si>
  <si>
    <t>Melting_Curves/meltCurve_H7BYY1_TPM1.pdf</t>
  </si>
  <si>
    <t>Melting_Curves/meltCurve_H7BZ94_P4HB.pdf</t>
  </si>
  <si>
    <t>Melting_Curves/meltCurve_H7BZJ3_PDIA3.pdf</t>
  </si>
  <si>
    <t>Melting_Curves/meltCurve_H7BZK6_USP46.pdf</t>
  </si>
  <si>
    <t>Melting_Curves/meltCurve_H7BZT4_.pdf</t>
  </si>
  <si>
    <t>Melting_Curves/meltCurve_H7C0G7_NHEJ1.pdf</t>
  </si>
  <si>
    <t>Melting_Curves/meltCurve_H7C107_IQSEC1.pdf</t>
  </si>
  <si>
    <t>Melting_Curves/meltCurve_H7C144_ACTN4.pdf</t>
  </si>
  <si>
    <t>Melting_Curves/meltCurve_H7C155_RAF1.pdf</t>
  </si>
  <si>
    <t>Melting_Curves/meltCurve_H7C1F9_RALGAPA2.pdf</t>
  </si>
  <si>
    <t>Melting_Curves/meltCurve_H7C1I0_SLC35E1.pdf</t>
  </si>
  <si>
    <t>Melting_Curves/meltCurve_H7C1N3_BET1.pdf</t>
  </si>
  <si>
    <t>Melting_Curves/meltCurve_H7C1U3_CC2D1B.pdf</t>
  </si>
  <si>
    <t>Melting_Curves/meltCurve_H7C1U8_APOO.pdf</t>
  </si>
  <si>
    <t>Melting_Curves/meltCurve_H7C224_IRAK1.pdf</t>
  </si>
  <si>
    <t>Melting_Curves/meltCurve_H7C270_CTDSP1.pdf</t>
  </si>
  <si>
    <t>Melting_Curves/meltCurve_H7C285_TSPAN15.pdf</t>
  </si>
  <si>
    <t>Melting_Curves/meltCurve_H7C2G2_ART4.pdf</t>
  </si>
  <si>
    <t>Melting_Curves/meltCurve_H7C2Q8_EBNA1BP2.pdf</t>
  </si>
  <si>
    <t>Melting_Curves/meltCurve_H7C2W9_RPL31.pdf</t>
  </si>
  <si>
    <t>Melting_Curves/meltCurve_H7C3G9_NAGK.pdf</t>
  </si>
  <si>
    <t>Melting_Curves/meltCurve_H7C3P4_GNS.pdf</t>
  </si>
  <si>
    <t>Melting_Curves/meltCurve_H7C3Q6_MITD1.pdf</t>
  </si>
  <si>
    <t>Melting_Curves/meltCurve_H7C3T2_ATG2A.pdf</t>
  </si>
  <si>
    <t>Melting_Curves/meltCurve_H7C417_.pdf</t>
  </si>
  <si>
    <t>Melting_Curves/meltCurve_H7C484_ARV1.pdf</t>
  </si>
  <si>
    <t>Melting_Curves/meltCurve_H7C4K1_STK19.pdf</t>
  </si>
  <si>
    <t>Melting_Curves/meltCurve_H7C4W1_ITGB5.pdf</t>
  </si>
  <si>
    <t>Melting_Curves/meltCurve_H7C4X9_ZMYND8.pdf</t>
  </si>
  <si>
    <t>Melting_Curves/meltCurve_H7C5F7_NDFIP2.pdf</t>
  </si>
  <si>
    <t>Melting_Curves/meltCurve_H7C5G1_IAH1.pdf</t>
  </si>
  <si>
    <t>Melting_Curves/meltCurve_H7C5R4_GK5.pdf</t>
  </si>
  <si>
    <t>Melting_Curves/meltCurve_H7C5R8_PARP14.pdf</t>
  </si>
  <si>
    <t>Melting_Curves/meltCurve_H7C5W6_HEATR5A.pdf</t>
  </si>
  <si>
    <t>Melting_Curves/meltCurve_H9KV70_LCN2.pdf</t>
  </si>
  <si>
    <t>Melting_Curves/meltCurve_H9KVB4_TNRC18.pdf</t>
  </si>
  <si>
    <t>Melting_Curves/meltCurve_H9KVB8_MICU1.pdf</t>
  </si>
  <si>
    <t>Melting_Curves/meltCurve_I3L097_.pdf</t>
  </si>
  <si>
    <t>Melting_Curves/meltCurve_I3L0B8_SLC25A52.pdf</t>
  </si>
  <si>
    <t>Melting_Curves/meltCurve_I3L0C1_SMG1.pdf</t>
  </si>
  <si>
    <t>Melting_Curves/meltCurve_I3L0K1_GOSR2.pdf</t>
  </si>
  <si>
    <t>Melting_Curves/meltCurve_I3L0N3_NSF.pdf</t>
  </si>
  <si>
    <t>Melting_Curves/meltCurve_I3L0U5_CCDC137.pdf</t>
  </si>
  <si>
    <t>Melting_Curves/meltCurve_I3L112_DGKE.pdf</t>
  </si>
  <si>
    <t>Melting_Curves/meltCurve_I3L1H5_DPH1.pdf</t>
  </si>
  <si>
    <t>Melting_Curves/meltCurve_I3L1P8_SLC25A11.pdf</t>
  </si>
  <si>
    <t>Melting_Curves/meltCurve_I3L1Q3_ELP5.pdf</t>
  </si>
  <si>
    <t>Melting_Curves/meltCurve_I3L232_B3GNTL1.pdf</t>
  </si>
  <si>
    <t>Melting_Curves/meltCurve_I3L2B0_CLUH.pdf</t>
  </si>
  <si>
    <t>Melting_Curves/meltCurve_I3L2C7_GEMIN4.pdf</t>
  </si>
  <si>
    <t>Melting_Curves/meltCurve_I3L2J0_CIC.pdf</t>
  </si>
  <si>
    <t>Melting_Curves/meltCurve_I3L2J8_AZI1.pdf</t>
  </si>
  <si>
    <t>Melting_Curves/meltCurve_I3L2L5_FAM195B.pdf</t>
  </si>
  <si>
    <t>Melting_Curves/meltCurve_I3L2R4_SLC2A4.pdf</t>
  </si>
  <si>
    <t>Melting_Curves/meltCurve_I3L397_EIF5A.pdf</t>
  </si>
  <si>
    <t>Melting_Curves/meltCurve_I3L3A8_PELP1.pdf</t>
  </si>
  <si>
    <t>Melting_Curves/meltCurve_I3L3B4_.pdf</t>
  </si>
  <si>
    <t>Melting_Curves/meltCurve_I3L3P7_RPS15A.pdf</t>
  </si>
  <si>
    <t>Melting_Curves/meltCurve_I3L448_ATPAF1.pdf</t>
  </si>
  <si>
    <t>Melting_Curves/meltCurve_I3L4X2_ABCC1.pdf</t>
  </si>
  <si>
    <t>Melting_Curves/meltCurve_I3L4X3_NFKBIB.pdf</t>
  </si>
  <si>
    <t>Melting_Curves/meltCurve_I3L505_NDUFAB1.pdf</t>
  </si>
  <si>
    <t>Melting_Curves/meltCurve_I6L8B7_FABP5.pdf</t>
  </si>
  <si>
    <t>Melting_Curves/meltCurve_J3KMW8_CACTIN.pdf</t>
  </si>
  <si>
    <t>Melting_Curves/meltCurve_J3KMX2_SMARCD2.pdf</t>
  </si>
  <si>
    <t>Melting_Curves/meltCurve_J3KMY5_NPC2.pdf</t>
  </si>
  <si>
    <t>Melting_Curves/meltCurve_J3KMZ7_INTS2.pdf</t>
  </si>
  <si>
    <t>Melting_Curves/meltCurve_J3KMZ8_DPF2.pdf</t>
  </si>
  <si>
    <t>Melting_Curves/meltCurve_J3KMZ9_LDLR.pdf</t>
  </si>
  <si>
    <t>Melting_Curves/meltCurve_J3KN00_NDUFA13.pdf</t>
  </si>
  <si>
    <t>Melting_Curves/meltCurve_J3KN16_KIAA0368.pdf</t>
  </si>
  <si>
    <t>Melting_Curves/meltCurve_J3KN29_PSMD9.pdf</t>
  </si>
  <si>
    <t>Melting_Curves/meltCurve_J3KN32_RCOR1.pdf</t>
  </si>
  <si>
    <t>Melting_Curves/meltCurve_J3KN39_NLRP2.pdf</t>
  </si>
  <si>
    <t>Melting_Curves/meltCurve_J3KN66_TOR1AIP1.pdf</t>
  </si>
  <si>
    <t>Melting_Curves/meltCurve_J3KN67_TPM3.pdf</t>
  </si>
  <si>
    <t>Melting_Curves/meltCurve_J3KN69_NCEH1.pdf</t>
  </si>
  <si>
    <t>Melting_Curves/meltCurve_J3KN75_TBC1D8B.pdf</t>
  </si>
  <si>
    <t>Melting_Curves/meltCurve_J3KN82_APIP.pdf</t>
  </si>
  <si>
    <t>Melting_Curves/meltCurve_J3KNA0_OXA1L.pdf</t>
  </si>
  <si>
    <t>Melting_Curves/meltCurve_J3KND1_SAAL1.pdf</t>
  </si>
  <si>
    <t>Melting_Curves/meltCurve_J3KND3_MYL6.pdf</t>
  </si>
  <si>
    <t>Melting_Curves/meltCurve_J3KND8_PAH.pdf</t>
  </si>
  <si>
    <t>Melting_Curves/meltCurve_J3KNE0_RGPD3.pdf</t>
  </si>
  <si>
    <t>Melting_Curves/meltCurve_J3KNF4_CCS.pdf</t>
  </si>
  <si>
    <t>Melting_Curves/meltCurve_J3KNF5_CEP290.pdf</t>
  </si>
  <si>
    <t>Melting_Curves/meltCurve_J3KNF8_CYB5B.pdf</t>
  </si>
  <si>
    <t>Melting_Curves/meltCurve_J3KNI1_COG4.pdf</t>
  </si>
  <si>
    <t>Melting_Curves/meltCurve_J3KNL3_CHID1.pdf</t>
  </si>
  <si>
    <t>Melting_Curves/meltCurve_J3KNL6_SEC16A.pdf</t>
  </si>
  <si>
    <t>Melting_Curves/meltCurve_J3KNM5_YAF2.pdf</t>
  </si>
  <si>
    <t>Melting_Curves/meltCurve_J3KNN5_DDX41.pdf</t>
  </si>
  <si>
    <t>Melting_Curves/meltCurve_J3KNP4_SEMA4B.pdf</t>
  </si>
  <si>
    <t>Melting_Curves/meltCurve_J3KNR0_MARK3.pdf</t>
  </si>
  <si>
    <t>Melting_Curves/meltCurve_J3KNT4_FGFR1.pdf</t>
  </si>
  <si>
    <t>Melting_Curves/meltCurve_J3KNV1_ZNF292.pdf</t>
  </si>
  <si>
    <t>Melting_Curves/meltCurve_J3KNW7_CCDC41.pdf</t>
  </si>
  <si>
    <t>Melting_Curves/meltCurve_J3KNX9_MYO18A.pdf</t>
  </si>
  <si>
    <t>Melting_Curves/meltCurve_J3KP26_ANKRD46.pdf</t>
  </si>
  <si>
    <t>Melting_Curves/meltCurve_J3KPD4_MCF2L.pdf</t>
  </si>
  <si>
    <t>Melting_Curves/meltCurve_J3KPF9_KIF3A.pdf</t>
  </si>
  <si>
    <t>Melting_Curves/meltCurve_J3KPK1_SYNJ1.pdf</t>
  </si>
  <si>
    <t>Melting_Curves/meltCurve_J3KPL2_KDM1B.pdf</t>
  </si>
  <si>
    <t>Melting_Curves/meltCurve_J3KPP4_LUC7L3.pdf</t>
  </si>
  <si>
    <t>Melting_Curves/meltCurve_J3KPS0_DNAJB12.pdf</t>
  </si>
  <si>
    <t>Melting_Curves/meltCurve_J3KPT4_TRABD.pdf</t>
  </si>
  <si>
    <t>Melting_Curves/meltCurve_J3KPV1_CHCHD7.pdf</t>
  </si>
  <si>
    <t>Melting_Curves/meltCurve_J3KPV7_MPST.pdf</t>
  </si>
  <si>
    <t>Melting_Curves/meltCurve_J3KPW7_HDAC2.pdf</t>
  </si>
  <si>
    <t>Melting_Curves/meltCurve_J3KPX5_DNA2.pdf</t>
  </si>
  <si>
    <t>Melting_Curves/meltCurve_J3KPZ4_C1D.pdf</t>
  </si>
  <si>
    <t>Melting_Curves/meltCurve_J3KPZ8_RFXANK.pdf</t>
  </si>
  <si>
    <t>Melting_Curves/meltCurve_J3KQ32_OLA1.pdf</t>
  </si>
  <si>
    <t>Melting_Curves/meltCurve_J3KQ34_COPS7B.pdf</t>
  </si>
  <si>
    <t>Melting_Curves/meltCurve_J3KQ40_TBC1D8.pdf</t>
  </si>
  <si>
    <t>Melting_Curves/meltCurve_J3KQ48_PTRH2.pdf</t>
  </si>
  <si>
    <t>Melting_Curves/meltCurve_J3KQ88_C6orf203.pdf</t>
  </si>
  <si>
    <t>Melting_Curves/meltCurve_J3KQ98_PPP1R37.pdf</t>
  </si>
  <si>
    <t>Melting_Curves/meltCurve_J3KQA0_SYT1.pdf</t>
  </si>
  <si>
    <t>Melting_Curves/meltCurve_J3KQA6_CYTH2.pdf</t>
  </si>
  <si>
    <t>Melting_Curves/meltCurve_J3KQB0_THUMPD1.pdf</t>
  </si>
  <si>
    <t>Melting_Curves/meltCurve_J3KQE0_SUN2.pdf</t>
  </si>
  <si>
    <t>Melting_Curves/meltCurve_J3KQE5_RAN.pdf</t>
  </si>
  <si>
    <t>Melting_Curves/meltCurve_J3KQG4_GBA.pdf</t>
  </si>
  <si>
    <t>Melting_Curves/meltCurve_J3KQJ1_SUMF2.pdf</t>
  </si>
  <si>
    <t>Melting_Curves/meltCurve_J3KQL8_APOL2.pdf</t>
  </si>
  <si>
    <t>Melting_Curves/meltCurve_J3KQS6_BABAM1.pdf</t>
  </si>
  <si>
    <t>Melting_Curves/meltCurve_J3KR35_CCDC12.pdf</t>
  </si>
  <si>
    <t>Melting_Curves/meltCurve_J3KR97_TBCD.pdf</t>
  </si>
  <si>
    <t>Melting_Curves/meltCurve_J3KRC8_C16orf55.pdf</t>
  </si>
  <si>
    <t>Melting_Curves/meltCurve_J3KRP6_SS18.pdf</t>
  </si>
  <si>
    <t>Melting_Curves/meltCurve_J3KS05_CBX1.pdf</t>
  </si>
  <si>
    <t>Melting_Curves/meltCurve_J3KS15_ICT1.pdf</t>
  </si>
  <si>
    <t>Melting_Curves/meltCurve_J3KS94_MBP.pdf</t>
  </si>
  <si>
    <t>Melting_Curves/meltCurve_J3KSH1_AMZ2.pdf</t>
  </si>
  <si>
    <t>Melting_Curves/meltCurve_J3KSS7_GGA3.pdf</t>
  </si>
  <si>
    <t>Melting_Curves/meltCurve_J3KTA1_FBXL20.pdf</t>
  </si>
  <si>
    <t>Melting_Curves/meltCurve_J3KTA4_DDX5.pdf</t>
  </si>
  <si>
    <t>Melting_Curves/meltCurve_J3KTD2_RTTN.pdf</t>
  </si>
  <si>
    <t>Melting_Curves/meltCurve_J3KTE9_CDH3.pdf</t>
  </si>
  <si>
    <t>Melting_Curves/meltCurve_J3KTL2_SRSF1.pdf</t>
  </si>
  <si>
    <t>Melting_Curves/meltCurve_J3QK89_CHERP.pdf</t>
  </si>
  <si>
    <t>Melting_Curves/meltCurve_J3QK90_NSFL1C.pdf</t>
  </si>
  <si>
    <t>Melting_Curves/meltCurve_J3QKS7_SMARCE1.pdf</t>
  </si>
  <si>
    <t>Melting_Curves/meltCurve_J3QKZ6_C17orf62.pdf</t>
  </si>
  <si>
    <t>Melting_Curves/meltCurve_J3QL56_SCO1.pdf</t>
  </si>
  <si>
    <t>Melting_Curves/meltCurve_J3QL71_SCRN2.pdf</t>
  </si>
  <si>
    <t>Melting_Curves/meltCurve_J3QLB2_SLC39A11.pdf</t>
  </si>
  <si>
    <t>Melting_Curves/meltCurve_J3QLK4_ELAC2.pdf</t>
  </si>
  <si>
    <t>Melting_Curves/meltCurve_J3QLS3_MRPS7.pdf</t>
  </si>
  <si>
    <t>Melting_Curves/meltCurve_J3QLV8_SNX11.pdf</t>
  </si>
  <si>
    <t>Melting_Curves/meltCurve_J3QQJ0_SAP30BP.pdf</t>
  </si>
  <si>
    <t>Melting_Curves/meltCurve_J3QQJ5_TRAPPC8.pdf</t>
  </si>
  <si>
    <t>Melting_Curves/meltCurve_J3QQM4_SMURF2.pdf</t>
  </si>
  <si>
    <t>Melting_Curves/meltCurve_J3QQT2_RPL17.pdf</t>
  </si>
  <si>
    <t>Melting_Curves/meltCurve_J3QQW9_SUZ12.pdf</t>
  </si>
  <si>
    <t>Melting_Curves/meltCurve_J3QR07_YTHDC1.pdf</t>
  </si>
  <si>
    <t>Melting_Curves/meltCurve_J3QR09_RPL19.pdf</t>
  </si>
  <si>
    <t>Melting_Curves/meltCurve_J3QRH2_IFT20.pdf</t>
  </si>
  <si>
    <t>Melting_Curves/meltCurve_J3QRM9_ORMDL3.pdf</t>
  </si>
  <si>
    <t>Melting_Curves/meltCurve_J3QRS3_MYL12A.pdf</t>
  </si>
  <si>
    <t>Melting_Curves/meltCurve_J3QRS9_ZNF207.pdf</t>
  </si>
  <si>
    <t>Melting_Curves/meltCurve_J3QRU1_YES1.pdf</t>
  </si>
  <si>
    <t>Melting_Curves/meltCurve_J3QRU4_VAMP2.pdf</t>
  </si>
  <si>
    <t>Melting_Curves/meltCurve_J3QRV5_LLGL2.pdf</t>
  </si>
  <si>
    <t>Melting_Curves/meltCurve_J3QRX6_COPRS.pdf</t>
  </si>
  <si>
    <t>Melting_Curves/meltCurve_J3QS41_HELZ.pdf</t>
  </si>
  <si>
    <t>Melting_Curves/meltCurve_J3QSH4_VEZF1.pdf</t>
  </si>
  <si>
    <t>Melting_Curves/meltCurve_J3QSS3_ABCA2.pdf</t>
  </si>
  <si>
    <t>Melting_Curves/meltCurve_J3QSV6_RSL1D1.pdf</t>
  </si>
  <si>
    <t>Melting_Curves/meltCurve_J3QSW3_ZFP62.pdf</t>
  </si>
  <si>
    <t>Melting_Curves/meltCurve_J3QT87_CRBN.pdf</t>
  </si>
  <si>
    <t>Melting_Curves/meltCurve_J3QTA2_BAG1.pdf</t>
  </si>
  <si>
    <t>Melting_Curves/meltCurve_J3QTA6_CHCHD6.pdf</t>
  </si>
  <si>
    <t>Melting_Curves/meltCurve_J9JIC5_C17orf75.pdf</t>
  </si>
  <si>
    <t>Melting_Curves/meltCurve_J9JID7_LMNB2.pdf</t>
  </si>
  <si>
    <t>Melting_Curves/meltCurve_J9JID9_PITPNC1.pdf</t>
  </si>
  <si>
    <t>Melting_Curves/meltCurve_J9JIE6_TMCO1.pdf</t>
  </si>
  <si>
    <t>Melting_Curves/meltCurve_K4DI92_RWDD4.pdf</t>
  </si>
  <si>
    <t>Melting_Curves/meltCurve_K4DI93_CUL4B.pdf</t>
  </si>
  <si>
    <t>Melting_Curves/meltCurve_K4DIA0_ICOSLG.pdf</t>
  </si>
  <si>
    <t>Melting_Curves/meltCurve_K7EIJ0_WBP2.pdf</t>
  </si>
  <si>
    <t>Melting_Curves/meltCurve_K7EIN2_NUDT16L1.pdf</t>
  </si>
  <si>
    <t>Melting_Curves/meltCurve_K7EIN7_MKNK2.pdf</t>
  </si>
  <si>
    <t>Melting_Curves/meltCurve_K7EIP7_YIPF2.pdf</t>
  </si>
  <si>
    <t>Melting_Curves/meltCurve_K7EIU8_SMAD4.pdf</t>
  </si>
  <si>
    <t>Melting_Curves/meltCurve_K7EIY4_STX10.pdf</t>
  </si>
  <si>
    <t>Melting_Curves/meltCurve_K7EJ78_RPS15.pdf</t>
  </si>
  <si>
    <t>Melting_Curves/meltCurve_K7EJB9_CALR.pdf</t>
  </si>
  <si>
    <t>Melting_Curves/meltCurve_K7EJL1_AP1M1.pdf</t>
  </si>
  <si>
    <t>Melting_Curves/meltCurve_K7EJQ7_SEC11C.pdf</t>
  </si>
  <si>
    <t>Melting_Curves/meltCurve_K7EK00_FAM210A.pdf</t>
  </si>
  <si>
    <t>Melting_Curves/meltCurve_K7EK07_H3F3B.pdf</t>
  </si>
  <si>
    <t>Melting_Curves/meltCurve_K7EKE6_LONP1.pdf</t>
  </si>
  <si>
    <t>Melting_Curves/meltCurve_K7EKI0_EVPL.pdf</t>
  </si>
  <si>
    <t>Melting_Curves/meltCurve_K7EKI8_PPL.pdf</t>
  </si>
  <si>
    <t>Melting_Curves/meltCurve_K7EKW3_TMUB2.pdf</t>
  </si>
  <si>
    <t>Melting_Curves/meltCurve_K7EL21_CAPS.pdf</t>
  </si>
  <si>
    <t>Melting_Curves/meltCurve_K7EL68_CDC37.pdf</t>
  </si>
  <si>
    <t>Melting_Curves/meltCurve_K7ELL7_PRKCSH.pdf</t>
  </si>
  <si>
    <t>Melting_Curves/meltCurve_K7EM02_KATNAL2.pdf</t>
  </si>
  <si>
    <t>Melting_Curves/meltCurve_K7EM09_TMEM205.pdf</t>
  </si>
  <si>
    <t>Melting_Curves/meltCurve_K7EM88_UBALD1.pdf</t>
  </si>
  <si>
    <t>Melting_Curves/meltCurve_K7EMM8_GLYR1.pdf</t>
  </si>
  <si>
    <t>Melting_Curves/meltCurve_K7EMR7_RTN2.pdf</t>
  </si>
  <si>
    <t>Melting_Curves/meltCurve_K7EMV5_ZNF444.pdf</t>
  </si>
  <si>
    <t>Melting_Curves/meltCurve_K7EN05_ELOF1.pdf</t>
  </si>
  <si>
    <t>Melting_Curves/meltCurve_K7EN88_hCG_2039718.pdf</t>
  </si>
  <si>
    <t>Melting_Curves/meltCurve_K7ENC0_FUT5.pdf</t>
  </si>
  <si>
    <t>Melting_Curves/meltCurve_K7ENF0_NARS.pdf</t>
  </si>
  <si>
    <t>Melting_Curves/meltCurve_K7ENH4_PPAP2C.pdf</t>
  </si>
  <si>
    <t>Melting_Curves/meltCurve_K7ENL9_C18orf8.pdf</t>
  </si>
  <si>
    <t>Melting_Curves/meltCurve_K7ENR6_PSMG2.pdf</t>
  </si>
  <si>
    <t>Melting_Curves/meltCurve_K7EP31_ATP5SL.pdf</t>
  </si>
  <si>
    <t>Melting_Curves/meltCurve_K7EP32_UBXN6.pdf</t>
  </si>
  <si>
    <t>Melting_Curves/meltCurve_K7EP90_RBM42.pdf</t>
  </si>
  <si>
    <t>Melting_Curves/meltCurve_K7EPJ5_MGRN1.pdf</t>
  </si>
  <si>
    <t>Melting_Curves/meltCurve_K7EPU2_NFIX.pdf</t>
  </si>
  <si>
    <t>Melting_Curves/meltCurve_K7EPX7_MOB3A.pdf</t>
  </si>
  <si>
    <t>Melting_Curves/meltCurve_K7EQ34_TMEM161A.pdf</t>
  </si>
  <si>
    <t>Melting_Curves/meltCurve_K7EQH5_AES.pdf</t>
  </si>
  <si>
    <t>Melting_Curves/meltCurve_K7EQW8_TPM4.pdf</t>
  </si>
  <si>
    <t>Melting_Curves/meltCurve_K7ER00_FARSA.pdf</t>
  </si>
  <si>
    <t>Melting_Curves/meltCurve_K7ERF1_EIF3K.pdf</t>
  </si>
  <si>
    <t>Melting_Curves/meltCurve_K7ES11_UBE2O.pdf</t>
  </si>
  <si>
    <t>Melting_Curves/meltCurve_K7ES25_PEPD.pdf</t>
  </si>
  <si>
    <t>Melting_Curves/meltCurve_K7ESE3_RAD23A.pdf</t>
  </si>
  <si>
    <t>Melting_Curves/meltCurve_K7ESE6_G6PC3.pdf</t>
  </si>
  <si>
    <t>Melting_Curves/meltCurve_K7ESI9_DNM2.pdf</t>
  </si>
  <si>
    <t>Melting_Curves/meltCurve_M0QWZ7_SARS2.pdf</t>
  </si>
  <si>
    <t>Melting_Curves/meltCurve_M0QX35_PAF1.pdf</t>
  </si>
  <si>
    <t>Melting_Curves/meltCurve_M0QXA7_WIZ.pdf</t>
  </si>
  <si>
    <t>Melting_Curves/meltCurve_M0QXT0_USF2.pdf</t>
  </si>
  <si>
    <t>Melting_Curves/meltCurve_M0QXZ5_ZNF428.pdf</t>
  </si>
  <si>
    <t>Melting_Curves/meltCurve_M0QY01_EPS15L1.pdf</t>
  </si>
  <si>
    <t>Melting_Curves/meltCurve_M0QY29_LIPE.pdf</t>
  </si>
  <si>
    <t>Melting_Curves/meltCurve_M0QYH5_MPV17L2.pdf</t>
  </si>
  <si>
    <t>Melting_Curves/meltCurve_M0QYJ8_GMFG.pdf</t>
  </si>
  <si>
    <t>Melting_Curves/meltCurve_M0QYM7_TUBB4A.pdf</t>
  </si>
  <si>
    <t>Melting_Curves/meltCurve_M0QYS1_RPL13A.pdf</t>
  </si>
  <si>
    <t>Melting_Curves/meltCurve_M0QZ22_SAMD4B.pdf</t>
  </si>
  <si>
    <t>Melting_Curves/meltCurve_M0QZ67_METTL10.pdf</t>
  </si>
  <si>
    <t>Melting_Curves/meltCurve_M0QZM1_HNRNPM.pdf</t>
  </si>
  <si>
    <t>Melting_Curves/meltCurve_M0QZR4_ARHGEF1.pdf</t>
  </si>
  <si>
    <t>Melting_Curves/meltCurve_M0QZW1_PRKD2.pdf</t>
  </si>
  <si>
    <t>Melting_Curves/meltCurve_M0R042_TUBB4A.pdf</t>
  </si>
  <si>
    <t>Melting_Curves/meltCurve_M0R0B4_KXD1.pdf</t>
  </si>
  <si>
    <t>Melting_Curves/meltCurve_M0R0F0_RPS5.pdf</t>
  </si>
  <si>
    <t>Melting_Curves/meltCurve_M0R0N4_AP2S1.pdf</t>
  </si>
  <si>
    <t>Melting_Curves/meltCurve_M0R150_.pdf</t>
  </si>
  <si>
    <t>Melting_Curves/meltCurve_M0R226_MRPL34.pdf</t>
  </si>
  <si>
    <t>Melting_Curves/meltCurve_M0R2A0_EMC10.pdf</t>
  </si>
  <si>
    <t>Melting_Curves/meltCurve_M0R2B7_POLD1.pdf</t>
  </si>
  <si>
    <t>Melting_Curves/meltCurve_M0R2C4_LSR.pdf</t>
  </si>
  <si>
    <t>Melting_Curves/meltCurve_M0R2U7_HOMER3.pdf</t>
  </si>
  <si>
    <t>Melting_Curves/meltCurve_M0R2Z1_CGB1.pdf</t>
  </si>
  <si>
    <t>Melting_Curves/meltCurve_M0R300_MYO9B.pdf</t>
  </si>
  <si>
    <t>Melting_Curves/meltCurve_M0R328_PEX11G.pdf</t>
  </si>
  <si>
    <t>Melting_Curves/meltCurve_M0R366_FSD1.pdf</t>
  </si>
  <si>
    <t>Melting_Curves/meltCurve_M0R3D4_RABAC1.pdf</t>
  </si>
  <si>
    <t>Melting_Curves/meltCurve_O00116_AGPS.pdf</t>
  </si>
  <si>
    <t>Melting_Curves/meltCurve_O00139_2_KIF2A.pdf</t>
  </si>
  <si>
    <t>Melting_Curves/meltCurve_O00148_DDX39A.pdf</t>
  </si>
  <si>
    <t>Melting_Curves/meltCurve_O00151_PDLIM1.pdf</t>
  </si>
  <si>
    <t>Melting_Curves/meltCurve_O00154_ACOT7.pdf</t>
  </si>
  <si>
    <t>Melting_Curves/meltCurve_O00159_MYO1C.pdf</t>
  </si>
  <si>
    <t>Melting_Curves/meltCurve_O00161_SNAP23.pdf</t>
  </si>
  <si>
    <t>Melting_Curves/meltCurve_O00165_5_HAX1.pdf</t>
  </si>
  <si>
    <t>Melting_Curves/meltCurve_O00170_AIP.pdf</t>
  </si>
  <si>
    <t>Melting_Curves/meltCurve_O00178_GTPBP1.pdf</t>
  </si>
  <si>
    <t>Melting_Curves/meltCurve_O00186_STXBP3.pdf</t>
  </si>
  <si>
    <t>Melting_Curves/meltCurve_O00203_AP3B1.pdf</t>
  </si>
  <si>
    <t>Melting_Curves/meltCurve_O00217_NDUFS8.pdf</t>
  </si>
  <si>
    <t>Melting_Curves/meltCurve_O00220_TNFRSF10A.pdf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</si>
  <si>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</si>
  <si>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</si>
  <si>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</si>
  <si>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</si>
  <si>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Melting_Curves/meltCurve_O00257_CBX4.pdf</t>
  </si>
  <si>
    <t>Melting_Curves/meltCurve_O00264_PGRMC1.pdf</t>
  </si>
  <si>
    <t>Melting_Curves/meltCurve_O00267_2_SUPT5H.pdf</t>
  </si>
  <si>
    <t>Melting_Curves/meltCurve_O00273_DFFA.pdf</t>
  </si>
  <si>
    <t>Melting_Curves/meltCurve_O00273_2_DFFA.pdf</t>
  </si>
  <si>
    <t>Melting_Curves/meltCurve_O00287_RFXAP.pdf</t>
  </si>
  <si>
    <t>Melting_Curves/meltCurve_O00291_HIP1.pdf</t>
  </si>
  <si>
    <t>Melting_Curves/meltCurve_O00299_CLIC1.pdf</t>
  </si>
  <si>
    <t>Melting_Curves/meltCurve_O00300_TNFRSF11B.pdf</t>
  </si>
  <si>
    <t>Melting_Curves/meltCurve_O00308_WWP2.pdf</t>
  </si>
  <si>
    <t>Melting_Curves/meltCurve_O00330_PDHX.pdf</t>
  </si>
  <si>
    <t>Melting_Curves/meltCurve_O00391_QSOX1.pdf</t>
  </si>
  <si>
    <t>Melting_Curves/meltCurve_O00399_DCTN6.pdf</t>
  </si>
  <si>
    <t>Melting_Curves/meltCurve_O00400_SLC33A1.pdf</t>
  </si>
  <si>
    <t>Melting_Curves/meltCurve_O00401_WASL.pdf</t>
  </si>
  <si>
    <t>Melting_Curves/meltCurve_O00410_IPO5.pdf</t>
  </si>
  <si>
    <t>Melting_Curves/meltCurve_O00418_EEF2K.pdf</t>
  </si>
  <si>
    <t>Melting_Curves/meltCurve_O00422_SAP18.pdf</t>
  </si>
  <si>
    <t>Melting_Curves/meltCurve_O00425_IGF2BP3.pdf</t>
  </si>
  <si>
    <t>Melting_Curves/meltCurve_O00429_3_DNM1L.pdf</t>
  </si>
  <si>
    <t>Melting_Curves/meltCurve_O00429_4_DNM1L.pdf</t>
  </si>
  <si>
    <t>Melting_Curves/meltCurve_O00442_RTCA.pdf</t>
  </si>
  <si>
    <t>Melting_Curves/meltCurve_O00459_PIK3R2.pdf</t>
  </si>
  <si>
    <t>Melting_Curves/meltCurve_O00462_MANBA.pdf</t>
  </si>
  <si>
    <t>Melting_Curves/meltCurve_O00463_TRAF5.pdf</t>
  </si>
  <si>
    <t>Melting_Curves/meltCurve_O00468_6_AGRN.pdf</t>
  </si>
  <si>
    <t>Melting_Curves/meltCurve_O00469_2_PLOD2.pdf</t>
  </si>
  <si>
    <t>Melting_Curves/meltCurve_O00471_EXOC5.pdf</t>
  </si>
  <si>
    <t>Melting_Curves/meltCurve_O00479_HMGN4.pdf</t>
  </si>
  <si>
    <t>Melting_Curves/meltCurve_O00483_NDUFA4.pdf</t>
  </si>
  <si>
    <t>Melting_Curves/meltCurve_O00487_PSMD14.pdf</t>
  </si>
  <si>
    <t>Melting_Curves/meltCurve_O00488_ZNF593.pdf</t>
  </si>
  <si>
    <t>Melting_Curves/meltCurve_O00505_KPNA3.pdf</t>
  </si>
  <si>
    <t>Melting_Curves/meltCurve_O00506_STK25.pdf</t>
  </si>
  <si>
    <t>Melting_Curves/meltCurve_O00512_BCL9.pdf</t>
  </si>
  <si>
    <t>Melting_Curves/meltCurve_O00515_LAD1.pdf</t>
  </si>
  <si>
    <t>Melting_Curves/meltCurve_O00533_2_CHL1.pdf</t>
  </si>
  <si>
    <t>Melting_Curves/meltCurve_O00534_VWA5A.pdf</t>
  </si>
  <si>
    <t>Melting_Curves/meltCurve_O00560_SDCBP.pdf</t>
  </si>
  <si>
    <t>Melting_Curves/meltCurve_O00566_MPHOSPH10.pdf</t>
  </si>
  <si>
    <t>Melting_Curves/meltCurve_O00567_NOP56.pdf</t>
  </si>
  <si>
    <t>Melting_Curves/meltCurve_O00571_DDX3X.pdf</t>
  </si>
  <si>
    <t>Melting_Curves/meltCurve_O00625_PIR.pdf</t>
  </si>
  <si>
    <t>Melting_Curves/meltCurve_O00629_KPNA4.pdf</t>
  </si>
  <si>
    <t>Melting_Curves/meltCurve_O00743_PPP6C.pdf</t>
  </si>
  <si>
    <t>Melting_Curves/meltCurve_O00754_2_MAN2B1.pdf</t>
  </si>
  <si>
    <t>Melting_Curves/meltCurve_O00757_FBP2.pdf</t>
  </si>
  <si>
    <t>Melting_Curves/meltCurve_O00762_2_UBE2C.pdf</t>
  </si>
  <si>
    <t>Melting_Curves/meltCurve_O00764_PDXK.pdf</t>
  </si>
  <si>
    <t>Melting_Curves/meltCurve_O00767_SCD.pdf</t>
  </si>
  <si>
    <t>Melting_Curves/meltCurve_O14497_ARID1A.pdf</t>
  </si>
  <si>
    <t>Melting_Curves/meltCurve_O14519_2_CDK2AP1.pdf</t>
  </si>
  <si>
    <t>Melting_Curves/meltCurve_O14523_C2CD2L.pdf</t>
  </si>
  <si>
    <t>Melting_Curves/meltCurve_O14545_TRAFD1.pdf</t>
  </si>
  <si>
    <t>Melting_Curves/meltCurve_O14548_COX7A2L.pdf</t>
  </si>
  <si>
    <t>Melting_Curves/meltCurve_O14556_GAPDHS.pdf</t>
  </si>
  <si>
    <t>Melting_Curves/meltCurve_O14561_NDUFAB1.pdf</t>
  </si>
  <si>
    <t>Melting_Curves/meltCurve_O14578_4_CIT.pdf</t>
  </si>
  <si>
    <t>Melting_Curves/meltCurve_O14579_COPE.pdf</t>
  </si>
  <si>
    <t>Melting_Curves/meltCurve_O14617_AP3D1.pdf</t>
  </si>
  <si>
    <t>Melting_Curves/meltCurve_O14646_2_CHD1.pdf</t>
  </si>
  <si>
    <t>Melting_Curves/meltCurve_O14656_TOR1A.pdf</t>
  </si>
  <si>
    <t>Melting_Curves/meltCurve_O14657_TOR1B.pdf</t>
  </si>
  <si>
    <t>Melting_Curves/meltCurve_O14662_2_STX16.pdf</t>
  </si>
  <si>
    <t>Melting_Curves/meltCurve_O14672_ADAM10.pdf</t>
  </si>
  <si>
    <t>Melting_Curves/meltCurve_O14686_MLL2.pdf</t>
  </si>
  <si>
    <t>Melting_Curves/meltCurve_O14732_IMPA2.pdf</t>
  </si>
  <si>
    <t>Melting_Curves/meltCurve_O14733_MAP2K7.pdf</t>
  </si>
  <si>
    <t>Melting_Curves/meltCurve_O14734_ACOT8.pdf</t>
  </si>
  <si>
    <t>Melting_Curves/meltCurve_O14737_PDCD5.pdf</t>
  </si>
  <si>
    <t>Melting_Curves/meltCurve_O14744_PRMT5.pdf</t>
  </si>
  <si>
    <t>Melting_Curves/meltCurve_O14745_SLC9A3R1.pdf</t>
  </si>
  <si>
    <t>Melting_Curves/meltCurve_O14757_CHEK1.pdf</t>
  </si>
  <si>
    <t>Melting_Curves/meltCurve_O14763_2_TNFRSF10B.pdf</t>
  </si>
  <si>
    <t>Melting_Curves/meltCurve_O14772_FPGT.pdf</t>
  </si>
  <si>
    <t>Melting_Curves/meltCurve_O14773_TPP1.pdf</t>
  </si>
  <si>
    <t>Melting_Curves/meltCurve_O14776_2_TCERG1.pdf</t>
  </si>
  <si>
    <t>Melting_Curves/meltCurve_O14777_NDC80.pdf</t>
  </si>
  <si>
    <t>Melting_Curves/meltCurve_O14787_2_TNPO2.pdf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</si>
  <si>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</si>
  <si>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</si>
  <si>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</si>
  <si>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</si>
  <si>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Melting_Curves/meltCurve_O14874_BCKDK.pdf</t>
  </si>
  <si>
    <t>Melting_Curves/meltCurve_O14896_IRF6.pdf</t>
  </si>
  <si>
    <t>Melting_Curves/meltCurve_O14907_TAX1BP3.pdf</t>
  </si>
  <si>
    <t>Melting_Curves/meltCurve_O14908_GIPC1.pdf</t>
  </si>
  <si>
    <t>Melting_Curves/meltCurve_O14920_IKBKB.pdf</t>
  </si>
  <si>
    <t>Melting_Curves/meltCurve_O14925_TIMM23.pdf</t>
  </si>
  <si>
    <t>Melting_Curves/meltCurve_O14929_HAT1.pdf</t>
  </si>
  <si>
    <t>Melting_Curves/meltCurve_O14933_UBE2L6.pdf</t>
  </si>
  <si>
    <t>Melting_Curves/meltCurve_O14949_UQCRQ.pdf</t>
  </si>
  <si>
    <t>Melting_Curves/meltCurve_O14964_HGS.pdf</t>
  </si>
  <si>
    <t>Melting_Curves/meltCurve_O14965_AURKA.pdf</t>
  </si>
  <si>
    <t>Melting_Curves/meltCurve_O14974_PPP1R12A.pdf</t>
  </si>
  <si>
    <t>Melting_Curves/meltCurve_O14975_2_SLC27A2.pdf</t>
  </si>
  <si>
    <t>Melting_Curves/meltCurve_O14976_GAK.pdf</t>
  </si>
  <si>
    <t>Melting_Curves/meltCurve_O14979_3_HNRPDL.pdf</t>
  </si>
  <si>
    <t>Melting_Curves/meltCurve_O14980_XPO1.pdf</t>
  </si>
  <si>
    <t>Melting_Curves/meltCurve_O14981_BTAF1.pdf</t>
  </si>
  <si>
    <t>Melting_Curves/meltCurve_O15014_ZNF609.pdf</t>
  </si>
  <si>
    <t>Melting_Curves/meltCurve_O15015_ZNF646.pdf</t>
  </si>
  <si>
    <t>Melting_Curves/meltCurve_O15020_SPTBN2.pdf</t>
  </si>
  <si>
    <t>Melting_Curves/meltCurve_O15031_PLXNB2.pdf</t>
  </si>
  <si>
    <t>Melting_Curves/meltCurve_O15034_RIMBP2.pdf</t>
  </si>
  <si>
    <t>Melting_Curves/meltCurve_O15037_KHNYN.pdf</t>
  </si>
  <si>
    <t>Melting_Curves/meltCurve_O15040_TECPR2.pdf</t>
  </si>
  <si>
    <t>Melting_Curves/meltCurve_O15047_SETD1A.pdf</t>
  </si>
  <si>
    <t>Melting_Curves/meltCurve_O15066_KIF3B.pdf</t>
  </si>
  <si>
    <t>Melting_Curves/meltCurve_O15067_PFAS.pdf</t>
  </si>
  <si>
    <t>Melting_Curves/meltCurve_O15075_4_DCLK1.pdf</t>
  </si>
  <si>
    <t>Melting_Curves/meltCurve_O15083_ERC2.pdf</t>
  </si>
  <si>
    <t>Melting_Curves/meltCurve_O15084_ANKRD28.pdf</t>
  </si>
  <si>
    <t>Melting_Curves/meltCurve_O15091_2_KIAA0391.pdf</t>
  </si>
  <si>
    <t>Melting_Curves/meltCurve_O15111_CHUK.pdf</t>
  </si>
  <si>
    <t>Melting_Curves/meltCurve_O15116_LSM1.pdf</t>
  </si>
  <si>
    <t>Melting_Curves/meltCurve_O15118_NPC1.pdf</t>
  </si>
  <si>
    <t>Melting_Curves/meltCurve_O15120_AGPAT2.pdf</t>
  </si>
  <si>
    <t>Melting_Curves/meltCurve_O15121_DEGS1.pdf</t>
  </si>
  <si>
    <t>Melting_Curves/meltCurve_O15126_SCAMP1.pdf</t>
  </si>
  <si>
    <t>Melting_Curves/meltCurve_O15127_SCAMP2.pdf</t>
  </si>
  <si>
    <t>Melting_Curves/meltCurve_O15143_ARPC1B.pdf</t>
  </si>
  <si>
    <t>Melting_Curves/meltCurve_O15144_ARPC2.pdf</t>
  </si>
  <si>
    <t>Melting_Curves/meltCurve_O15145_ARPC3.pdf</t>
  </si>
  <si>
    <t>Melting_Curves/meltCurve_O15156_ZBTB7B.pdf</t>
  </si>
  <si>
    <t>Melting_Curves/meltCurve_O15160_POLR1C.pdf</t>
  </si>
  <si>
    <t>Melting_Curves/meltCurve_O15164_2_TRIM24.pdf</t>
  </si>
  <si>
    <t>Melting_Curves/meltCurve_O15169_2_AXIN1.pdf</t>
  </si>
  <si>
    <t>Melting_Curves/meltCurve_O15173_PGRMC2.pdf</t>
  </si>
  <si>
    <t>Melting_Curves/meltCurve_O15212_PFDN6.pdf</t>
  </si>
  <si>
    <t>Melting_Curves/meltCurve_O15213_WDR46.pdf</t>
  </si>
  <si>
    <t>Melting_Curves/meltCurve_O15217_GSTA4.pdf</t>
  </si>
  <si>
    <t>Melting_Curves/meltCurve_O15228_GNPAT.pdf</t>
  </si>
  <si>
    <t>Melting_Curves/meltCurve_O15230_LAMA5.pdf</t>
  </si>
  <si>
    <t>Melting_Curves/meltCurve_O15234_CASC3.pdf</t>
  </si>
  <si>
    <t>Melting_Curves/meltCurve_O15240_VGF.pdf</t>
  </si>
  <si>
    <t>Melting_Curves/meltCurve_O15258_RER1.pdf</t>
  </si>
  <si>
    <t>Melting_Curves/meltCurve_O15264_MAPK13.pdf</t>
  </si>
  <si>
    <t>Melting_Curves/meltCurve_O15269_SPTLC1.pdf</t>
  </si>
  <si>
    <t>Melting_Curves/meltCurve_O15270_SPTLC2.pdf</t>
  </si>
  <si>
    <t>Melting_Curves/meltCurve_O15294_OGT.pdf</t>
  </si>
  <si>
    <t>Melting_Curves/meltCurve_O15305_PMM2.pdf</t>
  </si>
  <si>
    <t>Melting_Curves/meltCurve_O15327_INPP4B.pdf</t>
  </si>
  <si>
    <t>Melting_Curves/meltCurve_O15344_MID1.pdf</t>
  </si>
  <si>
    <t>Melting_Curves/meltCurve_O15355_PPM1G.pdf</t>
  </si>
  <si>
    <t>Melting_Curves/meltCurve_O15357_INPPL1.pdf</t>
  </si>
  <si>
    <t>Melting_Curves/meltCurve_O15379_HDAC3.pdf</t>
  </si>
  <si>
    <t>Melting_Curves/meltCurve_O15382_BCAT2.pdf</t>
  </si>
  <si>
    <t>Melting_Curves/meltCurve_O15397_IPO8.pdf</t>
  </si>
  <si>
    <t>Melting_Curves/meltCurve_O15400_2_STX7.pdf</t>
  </si>
  <si>
    <t>Melting_Curves/meltCurve_O15405_2_TOX3.pdf</t>
  </si>
  <si>
    <t>Melting_Curves/meltCurve_O15427_SLC16A3.pdf</t>
  </si>
  <si>
    <t>Melting_Curves/meltCurve_O15439_2_ABCC4.pdf</t>
  </si>
  <si>
    <t>Melting_Curves/meltCurve_O15446_CD3EAP.pdf</t>
  </si>
  <si>
    <t>Melting_Curves/meltCurve_O15460_2_P4HA2.pdf</t>
  </si>
  <si>
    <t>Melting_Curves/meltCurve_O15498_YKT6.pdf</t>
  </si>
  <si>
    <t>Melting_Curves/meltCurve_O15511_ARPC5.pdf</t>
  </si>
  <si>
    <t>Melting_Curves/meltCurve_O15514_POLR2D.pdf</t>
  </si>
  <si>
    <t>Melting_Curves/meltCurve_O15541_RNF113A.pdf</t>
  </si>
  <si>
    <t>Melting_Curves/meltCurve_O15551_CLDN3.pdf</t>
  </si>
  <si>
    <t>Melting_Curves/meltCurve_O43143_DHX15.pdf</t>
  </si>
  <si>
    <t>Melting_Curves/meltCurve_O43148_RNMT.pdf</t>
  </si>
  <si>
    <t>Melting_Curves/meltCurve_O43150_2_ASAP2.pdf</t>
  </si>
  <si>
    <t>Melting_Curves/meltCurve_O43156_TTI1.pdf</t>
  </si>
  <si>
    <t>Melting_Curves/meltCurve_O43157_2_PLXNB1.pdf</t>
  </si>
  <si>
    <t>Melting_Curves/meltCurve_O43164_2_PJA2.pdf</t>
  </si>
  <si>
    <t>Melting_Curves/meltCurve_O43172_2_PRPF4.pdf</t>
  </si>
  <si>
    <t>Melting_Curves/meltCurve_O43175_PHGDH.pdf</t>
  </si>
  <si>
    <t>Melting_Curves/meltCurve_O43181_NDUFS4.pdf</t>
  </si>
  <si>
    <t>Melting_Curves/meltCurve_O43237_DYNC1LI2.pdf</t>
  </si>
  <si>
    <t>Melting_Curves/meltCurve_O43242_PSMD3.pdf</t>
  </si>
  <si>
    <t>Melting_Curves/meltCurve_O43252_PAPSS1.pdf</t>
  </si>
  <si>
    <t>Melting_Curves/meltCurve_O43264_ZW10.pdf</t>
  </si>
  <si>
    <t>Melting_Curves/meltCurve_O43278_2_SPINT1.pdf</t>
  </si>
  <si>
    <t>Melting_Curves/meltCurve_O43286_B4GALT5.pdf</t>
  </si>
  <si>
    <t>Melting_Curves/meltCurve_O43290_SART1.pdf</t>
  </si>
  <si>
    <t>Melting_Curves/meltCurve_O43291_SPINT2.pdf</t>
  </si>
  <si>
    <t>Melting_Curves/meltCurve_O43292_GPAA1.pdf</t>
  </si>
  <si>
    <t>Melting_Curves/meltCurve_O43298_ZBTB43.pdf</t>
  </si>
  <si>
    <t>Melting_Curves/meltCurve_O43314_2_PPIP5K2.pdf</t>
  </si>
  <si>
    <t>Melting_Curves/meltCurve_O43318_2_MAP3K7.pdf</t>
  </si>
  <si>
    <t>Melting_Curves/meltCurve_O43325_LYRM1.pdf</t>
  </si>
  <si>
    <t>Melting_Curves/meltCurve_O43353_RIPK2.pdf</t>
  </si>
  <si>
    <t>Melting_Curves/meltCurve_O43379_WDR62.pdf</t>
  </si>
  <si>
    <t>Melting_Curves/meltCurve_O43390_HNRNPR.pdf</t>
  </si>
  <si>
    <t>Melting_Curves/meltCurve_O43395_PRPF3.pdf</t>
  </si>
  <si>
    <t>Melting_Curves/meltCurve_O43396_TXNL1.pdf</t>
  </si>
  <si>
    <t>Melting_Curves/meltCurve_O43399_4_TPD52L2.pdf</t>
  </si>
  <si>
    <t>Melting_Curves/meltCurve_O43399_5_TPD52L2.pdf</t>
  </si>
  <si>
    <t>Melting_Curves/meltCurve_O43402_EMC8.pdf</t>
  </si>
  <si>
    <t>Melting_Curves/meltCurve_O43422_PRKRIR.pdf</t>
  </si>
  <si>
    <t>Melting_Curves/meltCurve_O43427_2_FIBP.pdf</t>
  </si>
  <si>
    <t>Melting_Curves/meltCurve_O43432_EIF4G3.pdf</t>
  </si>
  <si>
    <t>Melting_Curves/meltCurve_O43439_2_CBFA2T2.pdf</t>
  </si>
  <si>
    <t>Melting_Curves/meltCurve_O43464_3_HTRA2.pdf</t>
  </si>
  <si>
    <t>Melting_Curves/meltCurve_O43474_1_KLF4.pdf</t>
  </si>
  <si>
    <t>Melting_Curves/meltCurve_O43482_OIP5.pdf</t>
  </si>
  <si>
    <t>Melting_Curves/meltCurve_O43488_AKR7A2.pdf</t>
  </si>
  <si>
    <t>Melting_Curves/meltCurve_O43490_4_PROM1.pdf</t>
  </si>
  <si>
    <t>Melting_Curves/meltCurve_O43493_4_TGOLN2.pdf</t>
  </si>
  <si>
    <t>Melting_Curves/meltCurve_O43502_RAD51C.pdf</t>
  </si>
  <si>
    <t>Melting_Curves/meltCurve_O43504_LAMTOR5.pdf</t>
  </si>
  <si>
    <t>Melting_Curves/meltCurve_O43505_B3GNT1.pdf</t>
  </si>
  <si>
    <t>Melting_Curves/meltCurve_O43513_MED7.pdf</t>
  </si>
  <si>
    <t>Melting_Curves/meltCurve_O43520_ATP8B1.pdf</t>
  </si>
  <si>
    <t>Melting_Curves/meltCurve_O43524_FOXO3.pdf</t>
  </si>
  <si>
    <t>Melting_Curves/meltCurve_O43567_RNF13.pdf</t>
  </si>
  <si>
    <t>Melting_Curves/meltCurve_O43583_DENR.pdf</t>
  </si>
  <si>
    <t>Melting_Curves/meltCurve_O43592_XPOT.pdf</t>
  </si>
  <si>
    <t>Melting_Curves/meltCurve_O43597_SPRY2.pdf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</si>
  <si>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</si>
  <si>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</si>
  <si>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</si>
  <si>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</si>
  <si>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</si>
  <si>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Melting_Curves/meltCurve_O43657_TSPAN6.pdf</t>
  </si>
  <si>
    <t>Melting_Curves/meltCurve_O43663_2_PRC1.pdf</t>
  </si>
  <si>
    <t>Melting_Curves/meltCurve_O43676_NDUFB3.pdf</t>
  </si>
  <si>
    <t>Melting_Curves/meltCurve_O43677_NDUFC1.pdf</t>
  </si>
  <si>
    <t>Melting_Curves/meltCurve_O43678_NDUFA2.pdf</t>
  </si>
  <si>
    <t>Melting_Curves/meltCurve_O43681_ASNA1.pdf</t>
  </si>
  <si>
    <t>Melting_Curves/meltCurve_O43684_BUB3.pdf</t>
  </si>
  <si>
    <t>Melting_Curves/meltCurve_O43707_ACTN4.pdf</t>
  </si>
  <si>
    <t>Melting_Curves/meltCurve_O43709_WBSCR22.pdf</t>
  </si>
  <si>
    <t>Melting_Curves/meltCurve_O43715_TRIAP1.pdf</t>
  </si>
  <si>
    <t>Melting_Curves/meltCurve_O43719_HTATSF1.pdf</t>
  </si>
  <si>
    <t>Melting_Curves/meltCurve_O43752_STX6.pdf</t>
  </si>
  <si>
    <t>Melting_Curves/meltCurve_O43760_SYNGR2.pdf</t>
  </si>
  <si>
    <t>Melting_Curves/meltCurve_O43765_SGTA.pdf</t>
  </si>
  <si>
    <t>Melting_Curves/meltCurve_O43766_LIAS.pdf</t>
  </si>
  <si>
    <t>Melting_Curves/meltCurve_O43768_2_ENSA.pdf</t>
  </si>
  <si>
    <t>Melting_Curves/meltCurve_O43772_SLC25A20.pdf</t>
  </si>
  <si>
    <t>Melting_Curves/meltCurve_O43776_NARS.pdf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</si>
  <si>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</si>
  <si>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</si>
  <si>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</si>
  <si>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</si>
  <si>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</si>
  <si>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Melting_Curves/meltCurve_O43819_SCO2.pdf</t>
  </si>
  <si>
    <t>Melting_Curves/meltCurve_O43820_4_HYAL3.pdf</t>
  </si>
  <si>
    <t>Melting_Curves/meltCurve_O43823_AKAP8.pdf</t>
  </si>
  <si>
    <t>Melting_Curves/meltCurve_O43826_SLC37A4.pdf</t>
  </si>
  <si>
    <t>Melting_Curves/meltCurve_O43829_ZBTB14.pdf</t>
  </si>
  <si>
    <t>Melting_Curves/meltCurve_O43837_IDH3B.pdf</t>
  </si>
  <si>
    <t>Melting_Curves/meltCurve_O43852_CALU.pdf</t>
  </si>
  <si>
    <t>Melting_Curves/meltCurve_O43865_AHCYL1.pdf</t>
  </si>
  <si>
    <t>Melting_Curves/meltCurve_O43909_EXTL3.pdf</t>
  </si>
  <si>
    <t>Melting_Curves/meltCurve_O43913_ORC5.pdf</t>
  </si>
  <si>
    <t>Melting_Curves/meltCurve_O43920_NDUFS5.pdf</t>
  </si>
  <si>
    <t>Melting_Curves/meltCurve_O43924_PDE6D.pdf</t>
  </si>
  <si>
    <t>Melting_Curves/meltCurve_O43933_PEX1.pdf</t>
  </si>
  <si>
    <t>Melting_Curves/meltCurve_O60216_RAD21.pdf</t>
  </si>
  <si>
    <t>Melting_Curves/meltCurve_O60218_AKR1B10.pdf</t>
  </si>
  <si>
    <t>Melting_Curves/meltCurve_O60220_TIMM8A.pdf</t>
  </si>
  <si>
    <t>Melting_Curves/meltCurve_O60231_DHX16.pdf</t>
  </si>
  <si>
    <t>Melting_Curves/meltCurve_O60239_SH3BP5.pdf</t>
  </si>
  <si>
    <t>Melting_Curves/meltCurve_O60256_PRPSAP2.pdf</t>
  </si>
  <si>
    <t>Melting_Curves/meltCurve_O60264_SMARCA5.pdf</t>
  </si>
  <si>
    <t>Melting_Curves/meltCurve_O60271_4_SPAG9.pdf</t>
  </si>
  <si>
    <t>Melting_Curves/meltCurve_O60292_SIPA1L3.pdf</t>
  </si>
  <si>
    <t>Melting_Curves/meltCurve_O60294_LCMT2.pdf</t>
  </si>
  <si>
    <t>Melting_Curves/meltCurve_O60299_2_LZTS3.pdf</t>
  </si>
  <si>
    <t>Melting_Curves/meltCurve_O60306_AQR.pdf</t>
  </si>
  <si>
    <t>Melting_Curves/meltCurve_O60313_2_OPA1.pdf</t>
  </si>
  <si>
    <t>Melting_Curves/meltCurve_O60331_4_PIP5K1C.pdf</t>
  </si>
  <si>
    <t>Melting_Curves/meltCurve_O60333_2_KIF1B.pdf</t>
  </si>
  <si>
    <t>Melting_Curves/meltCurve_O60341_KDM1A.pdf</t>
  </si>
  <si>
    <t>Melting_Curves/meltCurve_O60343_2_TBC1D4.pdf</t>
  </si>
  <si>
    <t>Melting_Curves/meltCurve_O60344_4_ECE2.pdf</t>
  </si>
  <si>
    <t>Melting_Curves/meltCurve_O60346_PHLPP1.pdf</t>
  </si>
  <si>
    <t>Melting_Curves/meltCurve_O60347_TBC1D12.pdf</t>
  </si>
  <si>
    <t>Melting_Curves/meltCurve_O60353_2_FZD6.pdf</t>
  </si>
  <si>
    <t>Melting_Curves/meltCurve_O60427_FADS1.pdf</t>
  </si>
  <si>
    <t>Melting_Curves/meltCurve_O60449_2_LY75.pdf</t>
  </si>
  <si>
    <t>Melting_Curves/meltCurve_O60476_MAN1A2.pdf</t>
  </si>
  <si>
    <t>Melting_Curves/meltCurve_O60486_PLXNC1.pdf</t>
  </si>
  <si>
    <t>Melting_Curves/meltCurve_O60487_MPZL2.pdf</t>
  </si>
  <si>
    <t>Melting_Curves/meltCurve_O60488_2_ACSL4.pdf</t>
  </si>
  <si>
    <t>Melting_Curves/meltCurve_O60493_SNX3.pdf</t>
  </si>
  <si>
    <t>Melting_Curves/meltCurve_O60502_MGEA5.pdf</t>
  </si>
  <si>
    <t>Melting_Curves/meltCurve_O60504_2_SORBS3.pdf</t>
  </si>
  <si>
    <t>Melting_Curves/meltCurve_O60506_3_SYNCRIP.pdf</t>
  </si>
  <si>
    <t>Melting_Curves/meltCurve_O60508_CDC40.pdf</t>
  </si>
  <si>
    <t>Melting_Curves/meltCurve_O60518_RANBP6.pdf</t>
  </si>
  <si>
    <t>Melting_Curves/meltCurve_O60524_4_NEMF.pdf</t>
  </si>
  <si>
    <t>Melting_Curves/meltCurve_O60547_GMDS.pdf</t>
  </si>
  <si>
    <t>Melting_Curves/meltCurve_O60551_NMT2.pdf</t>
  </si>
  <si>
    <t>Melting_Curves/meltCurve_O60563_CCNT1.pdf</t>
  </si>
  <si>
    <t>Melting_Curves/meltCurve_O60566_3_BUB1B.pdf</t>
  </si>
  <si>
    <t>Melting_Curves/meltCurve_O60568_PLOD3.pdf</t>
  </si>
  <si>
    <t>Melting_Curves/meltCurve_O60573_EIF4E2.pdf</t>
  </si>
  <si>
    <t>Melting_Curves/meltCurve_O60583_2_CCNT2.pdf</t>
  </si>
  <si>
    <t>Melting_Curves/meltCurve_O60613_SEP15.pdf</t>
  </si>
  <si>
    <t>Melting_Curves/meltCurve_O60635_TSPAN1.pdf</t>
  </si>
  <si>
    <t>Melting_Curves/meltCurve_O60645_3_EXOC3.pdf</t>
  </si>
  <si>
    <t>Melting_Curves/meltCurve_O60662_KLHL41.pdf</t>
  </si>
  <si>
    <t>Melting_Curves/meltCurve_O60664_PLIN3.pdf</t>
  </si>
  <si>
    <t>Melting_Curves/meltCurve_O60671_RAD1.pdf</t>
  </si>
  <si>
    <t>Melting_Curves/meltCurve_O60678_PRMT3.pdf</t>
  </si>
  <si>
    <t>Melting_Curves/meltCurve_O60701_UGDH.pdf</t>
  </si>
  <si>
    <t>Melting_Curves/meltCurve_O60716_5_CTNND1.pdf</t>
  </si>
  <si>
    <t>Melting_Curves/meltCurve_O60725_ICMT.pdf</t>
  </si>
  <si>
    <t>Melting_Curves/meltCurve_O60749_SNX2.pdf</t>
  </si>
  <si>
    <t>Melting_Curves/meltCurve_O60763_USO1.pdf</t>
  </si>
  <si>
    <t>Melting_Curves/meltCurve_O60825_2_PFKFB2.pdf</t>
  </si>
  <si>
    <t>Melting_Curves/meltCurve_O60826_CCDC22.pdf</t>
  </si>
  <si>
    <t>Melting_Curves/meltCurve_O60828_PQBP1.pdf</t>
  </si>
  <si>
    <t>Melting_Curves/meltCurve_O60830_TIMM17B.pdf</t>
  </si>
  <si>
    <t>Melting_Curves/meltCurve_O60831_PRAF2.pdf</t>
  </si>
  <si>
    <t>Melting_Curves/meltCurve_O60832_DKC1.pdf</t>
  </si>
  <si>
    <t>Melting_Curves/meltCurve_O60841_EIF5B.pdf</t>
  </si>
  <si>
    <t>Melting_Curves/meltCurve_O60869_EDF1.pdf</t>
  </si>
  <si>
    <t>Melting_Curves/meltCurve_O60870_KIN.pdf</t>
  </si>
  <si>
    <t>Melting_Curves/meltCurve_O60884_DNAJA2.pdf</t>
  </si>
  <si>
    <t>Melting_Curves/meltCurve_O60885_BRD4.pdf</t>
  </si>
  <si>
    <t>Melting_Curves/meltCurve_O60888_3_CUTA.pdf</t>
  </si>
  <si>
    <t>Melting_Curves/meltCurve_O60925_PFDN1.pdf</t>
  </si>
  <si>
    <t>Melting_Curves/meltCurve_O60927_PPP1R11.pdf</t>
  </si>
  <si>
    <t>Melting_Curves/meltCurve_O60934_NBN.pdf</t>
  </si>
  <si>
    <t>Melting_Curves/meltCurve_O60942_RNGTT.pdf</t>
  </si>
  <si>
    <t>Melting_Curves/meltCurve_O75027_ABCB7.pdf</t>
  </si>
  <si>
    <t>Melting_Curves/meltCurve_O75044_SRGAP2.pdf</t>
  </si>
  <si>
    <t>Melting_Curves/meltCurve_O75051_PLXNA2.pdf</t>
  </si>
  <si>
    <t>Melting_Curves/meltCurve_O75054_IGSF3.pdf</t>
  </si>
  <si>
    <t>Melting_Curves/meltCurve_O75063_FAM20B.pdf</t>
  </si>
  <si>
    <t>Melting_Curves/meltCurve_O75071_EFCAB14.pdf</t>
  </si>
  <si>
    <t>Melting_Curves/meltCurve_O75083_WDR1.pdf</t>
  </si>
  <si>
    <t>Melting_Curves/meltCurve_O75095_MEGF6.pdf</t>
  </si>
  <si>
    <t>Melting_Curves/meltCurve_O75096_LRP4.pdf</t>
  </si>
  <si>
    <t>Melting_Curves/meltCurve_O75110_ATP9A.pdf</t>
  </si>
  <si>
    <t>Melting_Curves/meltCurve_O75113_N4BP1.pdf</t>
  </si>
  <si>
    <t>Melting_Curves/meltCurve_O75116_ROCK2.pdf</t>
  </si>
  <si>
    <t>Melting_Curves/meltCurve_O75128_3_COBL.pdf</t>
  </si>
  <si>
    <t>Melting_Curves/meltCurve_O75131_CPNE3.pdf</t>
  </si>
  <si>
    <t>Melting_Curves/meltCurve_O75146_HIP1R.pdf</t>
  </si>
  <si>
    <t>Melting_Curves/meltCurve_O75150_RNF40.pdf</t>
  </si>
  <si>
    <t>Melting_Curves/meltCurve_O75152_ZC3H11A.pdf</t>
  </si>
  <si>
    <t>Melting_Curves/meltCurve_O75153_CLUH.pdf</t>
  </si>
  <si>
    <t>Melting_Curves/meltCurve_O75157_2_TSC22D2.pdf</t>
  </si>
  <si>
    <t>Melting_Curves/meltCurve_O75161_NPHP4.pdf</t>
  </si>
  <si>
    <t>Melting_Curves/meltCurve_O75164_KDM4A.pdf</t>
  </si>
  <si>
    <t>Melting_Curves/meltCurve_O75165_DNAJC13.pdf</t>
  </si>
  <si>
    <t>Melting_Curves/meltCurve_O75170_4_PPP6R2.pdf</t>
  </si>
  <si>
    <t>Melting_Curves/meltCurve_O75175_CNOT3.pdf</t>
  </si>
  <si>
    <t>Melting_Curves/meltCurve_O75177_2_SS18L1.pdf</t>
  </si>
  <si>
    <t>Melting_Curves/meltCurve_O75179_2_ANKRD17.pdf</t>
  </si>
  <si>
    <t>Melting_Curves/meltCurve_O75185_ATP2C2.pdf</t>
  </si>
  <si>
    <t>Melting_Curves/meltCurve_O75191_XYLB.pdf</t>
  </si>
  <si>
    <t>Melting_Curves/meltCurve_O75208_COQ9.pdf</t>
  </si>
  <si>
    <t>Melting_Curves/meltCurve_O75223_GGCT.pdf</t>
  </si>
  <si>
    <t>Melting_Curves/meltCurve_O75306_NDUFS2.pdf</t>
  </si>
  <si>
    <t>Melting_Curves/meltCurve_O75312_ZNF259.pdf</t>
  </si>
  <si>
    <t>Melting_Curves/meltCurve_O75323_GBAS.pdf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</si>
  <si>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</si>
  <si>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</si>
  <si>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</si>
  <si>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</si>
  <si>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</si>
  <si>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Melting_Curves/meltCurve_O75355_ENTPD3.pdf</t>
  </si>
  <si>
    <t>Melting_Curves/meltCurve_O75362_ZNF217.pdf</t>
  </si>
  <si>
    <t>Melting_Curves/meltCurve_O75367_2_H2AFY.pdf</t>
  </si>
  <si>
    <t>Melting_Curves/meltCurve_O75368_SH3BGRL.pdf</t>
  </si>
  <si>
    <t>Melting_Curves/meltCurve_O75369_2_FLNB.pdf</t>
  </si>
  <si>
    <t>Melting_Curves/meltCurve_O75376_NCOR1.pdf</t>
  </si>
  <si>
    <t>Melting_Curves/meltCurve_O75379_2_VAMP4.pdf</t>
  </si>
  <si>
    <t>Melting_Curves/meltCurve_O75380_NDUFS6.pdf</t>
  </si>
  <si>
    <t>Melting_Curves/meltCurve_O75381_2_PEX14.pdf</t>
  </si>
  <si>
    <t>Melting_Curves/meltCurve_O75382_2_TRIM3.pdf</t>
  </si>
  <si>
    <t>Melting_Curves/meltCurve_O75391_SPAG7.pdf</t>
  </si>
  <si>
    <t>Melting_Curves/meltCurve_O75396_SEC22B.pdf</t>
  </si>
  <si>
    <t>Melting_Curves/meltCurve_O75400_3_PRPF40A.pdf</t>
  </si>
  <si>
    <t>Melting_Curves/meltCurve_O75419_2_CDC45.pdf</t>
  </si>
  <si>
    <t>Melting_Curves/meltCurve_O75420_GIGYF1.pdf</t>
  </si>
  <si>
    <t>Melting_Curves/meltCurve_O75427_LRCH4.pdf</t>
  </si>
  <si>
    <t>Melting_Curves/meltCurve_O75436_VPS26A.pdf</t>
  </si>
  <si>
    <t>Melting_Curves/meltCurve_O75438_NDUFB1.pdf</t>
  </si>
  <si>
    <t>Melting_Curves/meltCurve_O75439_PMPCB.pdf</t>
  </si>
  <si>
    <t>Melting_Curves/meltCurve_O75446_SAP30.pdf</t>
  </si>
  <si>
    <t>Melting_Curves/meltCurve_O75449_KATNA1.pdf</t>
  </si>
  <si>
    <t>Melting_Curves/meltCurve_O75460_ERN1.pdf</t>
  </si>
  <si>
    <t>Melting_Curves/meltCurve_O75475_PSIP1.pdf</t>
  </si>
  <si>
    <t>Melting_Curves/meltCurve_O75475_3_PSIP1.pdf</t>
  </si>
  <si>
    <t>Melting_Curves/meltCurve_O75477_ERLIN1.pdf</t>
  </si>
  <si>
    <t>Melting_Curves/meltCurve_O75487_GPC4.pdf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</si>
  <si>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</si>
  <si>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</si>
  <si>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</si>
  <si>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</si>
  <si>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Melting_Curves/meltCurve_O75530_3_EED.pdf</t>
  </si>
  <si>
    <t>Melting_Curves/meltCurve_O75531_BANF1.pdf</t>
  </si>
  <si>
    <t>Melting_Curves/meltCurve_O75533_SF3B1.pdf</t>
  </si>
  <si>
    <t>Melting_Curves/meltCurve_O75534_CSDE1.pdf</t>
  </si>
  <si>
    <t>Melting_Curves/meltCurve_O75554_WBP4.pdf</t>
  </si>
  <si>
    <t>Melting_Curves/meltCurve_O75569_3_PRKRA.pdf</t>
  </si>
  <si>
    <t>Melting_Curves/meltCurve_O75570_MTRF1.pdf</t>
  </si>
  <si>
    <t>Melting_Curves/meltCurve_O75600_GCAT.pdf</t>
  </si>
  <si>
    <t>Melting_Curves/meltCurve_O75607_NPM3.pdf</t>
  </si>
  <si>
    <t>Melting_Curves/meltCurve_O75608_2_LYPLA1.pdf</t>
  </si>
  <si>
    <t>Melting_Curves/meltCurve_O75616_ERAL1.pdf</t>
  </si>
  <si>
    <t>Melting_Curves/meltCurve_O75629_CREG1.pdf</t>
  </si>
  <si>
    <t>Melting_Curves/meltCurve_O75643_SNRNP200.pdf</t>
  </si>
  <si>
    <t>Melting_Curves/meltCurve_O75663_TIPRL.pdf</t>
  </si>
  <si>
    <t>Melting_Curves/meltCurve_O75683_SURF6.pdf</t>
  </si>
  <si>
    <t>Melting_Curves/meltCurve_O75688_PPM1B.pdf</t>
  </si>
  <si>
    <t>Melting_Curves/meltCurve_O75691_UTP20.pdf</t>
  </si>
  <si>
    <t>Melting_Curves/meltCurve_O75717_WDHD1.pdf</t>
  </si>
  <si>
    <t>Melting_Curves/meltCurve_O75746_SLC25A12.pdf</t>
  </si>
  <si>
    <t>Melting_Curves/meltCurve_O75791_GRAP2.pdf</t>
  </si>
  <si>
    <t>Melting_Curves/meltCurve_O75792_RNASEH2A.pdf</t>
  </si>
  <si>
    <t>Melting_Curves/meltCurve_O75794_CDC123.pdf</t>
  </si>
  <si>
    <t>Melting_Curves/meltCurve_O75808_SOLH.pdf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</si>
  <si>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</si>
  <si>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</si>
  <si>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</si>
  <si>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</si>
  <si>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Melting_Curves/meltCurve_O75832_PSMD10.pdf</t>
  </si>
  <si>
    <t>Melting_Curves/meltCurve_O75844_ZMPSTE24.pdf</t>
  </si>
  <si>
    <t>Melting_Curves/meltCurve_O75845_SC5D.pdf</t>
  </si>
  <si>
    <t>Melting_Curves/meltCurve_O75865_TRAPPC6A.pdf</t>
  </si>
  <si>
    <t>Melting_Curves/meltCurve_O75874_IDH1.pdf</t>
  </si>
  <si>
    <t>Melting_Curves/meltCurve_O75882_ATRN.pdf</t>
  </si>
  <si>
    <t>Melting_Curves/meltCurve_O75884_RBBP9.pdf</t>
  </si>
  <si>
    <t>Melting_Curves/meltCurve_O75886_STAM2.pdf</t>
  </si>
  <si>
    <t>Melting_Curves/meltCurve_O75891_ALDH1L1.pdf</t>
  </si>
  <si>
    <t>Melting_Curves/meltCurve_O75896_TUSC2.pdf</t>
  </si>
  <si>
    <t>Melting_Curves/meltCurve_O75915_ARL6IP5.pdf</t>
  </si>
  <si>
    <t>Melting_Curves/meltCurve_O75934_BCAS2.pdf</t>
  </si>
  <si>
    <t>Melting_Curves/meltCurve_O75935_DCTN3.pdf</t>
  </si>
  <si>
    <t>Melting_Curves/meltCurve_O75937_DNAJC8.pdf</t>
  </si>
  <si>
    <t>Melting_Curves/meltCurve_O75940_SMNDC1.pdf</t>
  </si>
  <si>
    <t>Melting_Curves/meltCurve_O75947_ATP5H.pdf</t>
  </si>
  <si>
    <t>Melting_Curves/meltCurve_O75955_FLOT1.pdf</t>
  </si>
  <si>
    <t>Melting_Curves/meltCurve_O75962_TRIO.pdf</t>
  </si>
  <si>
    <t>Melting_Curves/meltCurve_O75964_ATP5L.pdf</t>
  </si>
  <si>
    <t>Melting_Curves/meltCurve_O75976_CPD.pdf</t>
  </si>
  <si>
    <t>Melting_Curves/meltCurve_O76003_GLRX3.pdf</t>
  </si>
  <si>
    <t>Melting_Curves/meltCurve_O76024_WFS1.pdf</t>
  </si>
  <si>
    <t>Melting_Curves/meltCurve_O76031_CLPX.pdf</t>
  </si>
  <si>
    <t>Melting_Curves/meltCurve_O76041_2_NEBL.pdf</t>
  </si>
  <si>
    <t>Melting_Curves/meltCurve_O76054_4_SEC14L2.pdf</t>
  </si>
  <si>
    <t>Melting_Curves/meltCurve_O76061_STC2.pdf</t>
  </si>
  <si>
    <t>Melting_Curves/meltCurve_O76070_SNCG.pdf</t>
  </si>
  <si>
    <t>Melting_Curves/meltCurve_O76071_CIAO1.pdf</t>
  </si>
  <si>
    <t>Melting_Curves/meltCurve_O76074_2_PDE5A.pdf</t>
  </si>
  <si>
    <t>Melting_Curves/meltCurve_O76075_DFFB.pdf</t>
  </si>
  <si>
    <t>Melting_Curves/meltCurve_O76080_ZFAND5.pdf</t>
  </si>
  <si>
    <t>Melting_Curves/meltCurve_O76094_SRP72.pdf</t>
  </si>
  <si>
    <t>Melting_Curves/meltCurve_O76095_2_JTB.pdf</t>
  </si>
  <si>
    <t>Melting_Curves/meltCurve_O77932_DOM3Z.pdf</t>
  </si>
  <si>
    <t>Melting_Curves/meltCurve_O94760_DDAH1.pdf</t>
  </si>
  <si>
    <t>Melting_Curves/meltCurve_O94763_URI1.pdf</t>
  </si>
  <si>
    <t>Melting_Curves/meltCurve_O94766_B3GAT3.pdf</t>
  </si>
  <si>
    <t>Melting_Curves/meltCurve_O94776_MTA2.pdf</t>
  </si>
  <si>
    <t>Melting_Curves/meltCurve_O94804_STK10.pdf</t>
  </si>
  <si>
    <t>Melting_Curves/meltCurve_O94826_TOMM70A.pdf</t>
  </si>
  <si>
    <t>Melting_Curves/meltCurve_O94829_IPO13.pdf</t>
  </si>
  <si>
    <t>Melting_Curves/meltCurve_O94830_DDHD2.pdf</t>
  </si>
  <si>
    <t>Melting_Curves/meltCurve_O94832_MYO1D.pdf</t>
  </si>
  <si>
    <t>Melting_Curves/meltCurve_O94851_6_MICAL2.pdf</t>
  </si>
  <si>
    <t>Melting_Curves/meltCurve_O94855_SEC24D.pdf</t>
  </si>
  <si>
    <t>Melting_Curves/meltCurve_O94864_2_SUPT7L.pdf</t>
  </si>
  <si>
    <t>Melting_Curves/meltCurve_O94874_UFL1.pdf</t>
  </si>
  <si>
    <t>Melting_Curves/meltCurve_O94875_12_SORBS2.pdf</t>
  </si>
  <si>
    <t>Melting_Curves/meltCurve_O94876_TMCC1.pdf</t>
  </si>
  <si>
    <t>Melting_Curves/meltCurve_O94880_PHF14.pdf</t>
  </si>
  <si>
    <t>Melting_Curves/meltCurve_O94880_2_PHF14.pdf</t>
  </si>
  <si>
    <t>Melting_Curves/meltCurve_O94888_UBXN7.pdf</t>
  </si>
  <si>
    <t>Melting_Curves/meltCurve_O94889_KLHL18.pdf</t>
  </si>
  <si>
    <t>Melting_Curves/meltCurve_O94903_PROSC.pdf</t>
  </si>
  <si>
    <t>Melting_Curves/meltCurve_O94906_2_PRPF6.pdf</t>
  </si>
  <si>
    <t>Melting_Curves/meltCurve_O94907_DKK1.pdf</t>
  </si>
  <si>
    <t>Melting_Curves/meltCurve_O94913_PCF11.pdf</t>
  </si>
  <si>
    <t>Melting_Curves/meltCurve_O94916_2_NFAT5.pdf</t>
  </si>
  <si>
    <t>Melting_Curves/meltCurve_O94925_GLS.pdf</t>
  </si>
  <si>
    <t>Melting_Curves/meltCurve_O94925_3_GLS.pdf</t>
  </si>
  <si>
    <t>Melting_Curves/meltCurve_O94941_2_UBOX5.pdf</t>
  </si>
  <si>
    <t>Melting_Curves/meltCurve_O94966_7_USP19.pdf</t>
  </si>
  <si>
    <t>Melting_Curves/meltCurve_O94967_4_WDR47.pdf</t>
  </si>
  <si>
    <t>Melting_Curves/meltCurve_O94973_2_AP2A2.pdf</t>
  </si>
  <si>
    <t>Melting_Curves/meltCurve_O94992_HEXIM1.pdf</t>
  </si>
  <si>
    <t>Melting_Curves/meltCurve_O95059_RPP14.pdf</t>
  </si>
  <si>
    <t>Melting_Curves/meltCurve_O95067_CCNB2.pdf</t>
  </si>
  <si>
    <t>Melting_Curves/meltCurve_O95081_AGFG2.pdf</t>
  </si>
  <si>
    <t>Melting_Curves/meltCurve_O95104_3_SCAF4.pdf</t>
  </si>
  <si>
    <t>Melting_Curves/meltCurve_O95139_NDUFB6.pdf</t>
  </si>
  <si>
    <t>Melting_Curves/meltCurve_O95140_MFN2.pdf</t>
  </si>
  <si>
    <t>Melting_Curves/meltCurve_O95155_2_UBE4B.pdf</t>
  </si>
  <si>
    <t>Melting_Curves/meltCurve_O95159_ZFPL1.pdf</t>
  </si>
  <si>
    <t>Melting_Curves/meltCurve_O95163_IKBKAP.pdf</t>
  </si>
  <si>
    <t>Melting_Curves/meltCurve_O95167_NDUFA3.pdf</t>
  </si>
  <si>
    <t>Melting_Curves/meltCurve_O95168_NDUFB4.pdf</t>
  </si>
  <si>
    <t>Melting_Curves/meltCurve_O95171_3_SCEL.pdf</t>
  </si>
  <si>
    <t>Melting_Curves/meltCurve_O95182_NDUFA7.pdf</t>
  </si>
  <si>
    <t>Melting_Curves/meltCurve_O95196_3_CSPG5.pdf</t>
  </si>
  <si>
    <t>Melting_Curves/meltCurve_O95197_2_RTN3.pdf</t>
  </si>
  <si>
    <t>Melting_Curves/meltCurve_O95202_LETM1.pdf</t>
  </si>
  <si>
    <t>Melting_Curves/meltCurve_O95218_2_ZRANB2.pdf</t>
  </si>
  <si>
    <t>Melting_Curves/meltCurve_O95219_SNX4.pdf</t>
  </si>
  <si>
    <t>Melting_Curves/meltCurve_O95229_ZWINT.pdf</t>
  </si>
  <si>
    <t>Melting_Curves/meltCurve_O95231_VENTX.pdf</t>
  </si>
  <si>
    <t>Melting_Curves/meltCurve_O95232_LUC7L3.pdf</t>
  </si>
  <si>
    <t>Melting_Curves/meltCurve_O95239_KIF4A.pdf</t>
  </si>
  <si>
    <t>Melting_Curves/meltCurve_O95273_CCNDBP1.pdf</t>
  </si>
  <si>
    <t>Melting_Curves/meltCurve_O95274_LYPD3.pdf</t>
  </si>
  <si>
    <t>Melting_Curves/meltCurve_O95292_VAPB.pdf</t>
  </si>
  <si>
    <t>Melting_Curves/meltCurve_O95295_SNAPIN.pdf</t>
  </si>
  <si>
    <t>Melting_Curves/meltCurve_O95297_2_MPZL1.pdf</t>
  </si>
  <si>
    <t>Melting_Curves/meltCurve_O95298_2_NDUFC2.pdf</t>
  </si>
  <si>
    <t>Melting_Curves/meltCurve_O95302_FKBP9.pdf</t>
  </si>
  <si>
    <t>Melting_Curves/meltCurve_O95336_PGLS.pdf</t>
  </si>
  <si>
    <t>Melting_Curves/meltCurve_O95347_SMC2.pdf</t>
  </si>
  <si>
    <t>Melting_Curves/meltCurve_O95352_ATG7.pdf</t>
  </si>
  <si>
    <t>Melting_Curves/meltCurve_O95363_FARS2.pdf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</si>
  <si>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</si>
  <si>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</si>
  <si>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</si>
  <si>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</si>
  <si>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Melting_Curves/meltCurve_O95391_SLU7.pdf</t>
  </si>
  <si>
    <t>Melting_Curves/meltCurve_O95394_PGM3.pdf</t>
  </si>
  <si>
    <t>Melting_Curves/meltCurve_O95396_MOCS3.pdf</t>
  </si>
  <si>
    <t>Melting_Curves/meltCurve_O95400_CD2BP2.pdf</t>
  </si>
  <si>
    <t>Melting_Curves/meltCurve_O95402_MED26.pdf</t>
  </si>
  <si>
    <t>Melting_Curves/meltCurve_O95405_3_ZFYVE9.pdf</t>
  </si>
  <si>
    <t>Melting_Curves/meltCurve_O95409_ZIC2.pdf</t>
  </si>
  <si>
    <t>Melting_Curves/meltCurve_O95425_2_SVIL.pdf</t>
  </si>
  <si>
    <t>Melting_Curves/meltCurve_O95429_2_BAG4.pdf</t>
  </si>
  <si>
    <t>Melting_Curves/meltCurve_O95433_AHSA1.pdf</t>
  </si>
  <si>
    <t>Melting_Curves/meltCurve_O95453_2_PARN.pdf</t>
  </si>
  <si>
    <t>Melting_Curves/meltCurve_O95455_TGDS.pdf</t>
  </si>
  <si>
    <t>Melting_Curves/meltCurve_O95456_2_PSMG1.pdf</t>
  </si>
  <si>
    <t>Melting_Curves/meltCurve_O95470_SGPL1.pdf</t>
  </si>
  <si>
    <t>Melting_Curves/meltCurve_O95471_CLDN7.pdf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</si>
  <si>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</si>
  <si>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</si>
  <si>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</si>
  <si>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</si>
  <si>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Melting_Curves/meltCurve_O95571_ETHE1.pdf</t>
  </si>
  <si>
    <t>Melting_Curves/meltCurve_O95573_ACSL3.pdf</t>
  </si>
  <si>
    <t>Melting_Curves/meltCurve_O95602_POLR1A.pdf</t>
  </si>
  <si>
    <t>Melting_Curves/meltCurve_O95619_YEATS4.pdf</t>
  </si>
  <si>
    <t>Melting_Curves/meltCurve_O95620_DUS4L.pdf</t>
  </si>
  <si>
    <t>Melting_Curves/meltCurve_O95628_5_CNOT4.pdf</t>
  </si>
  <si>
    <t>Melting_Curves/meltCurve_O95630_STAMBP.pdf</t>
  </si>
  <si>
    <t>Melting_Curves/meltCurve_O95639_3_CPSF4.pdf</t>
  </si>
  <si>
    <t>Melting_Curves/meltCurve_O95671_2_ASMTL.pdf</t>
  </si>
  <si>
    <t>Melting_Curves/meltCurve_O95684_FGFR1OP.pdf</t>
  </si>
  <si>
    <t>Melting_Curves/meltCurve_O95707_POP4.pdf</t>
  </si>
  <si>
    <t>Melting_Curves/meltCurve_O95716_RAB3D.pdf</t>
  </si>
  <si>
    <t>Melting_Curves/meltCurve_O95721_SNAP29.pdf</t>
  </si>
  <si>
    <t>Melting_Curves/meltCurve_O95747_OXSR1.pdf</t>
  </si>
  <si>
    <t>Melting_Curves/meltCurve_O95749_GGPS1.pdf</t>
  </si>
  <si>
    <t>Melting_Curves/meltCurve_O95750_FGF19.pdf</t>
  </si>
  <si>
    <t>Melting_Curves/meltCurve_O95758_1_PTBP3.pdf</t>
  </si>
  <si>
    <t>Melting_Curves/meltCurve_O95777_NAA38.pdf</t>
  </si>
  <si>
    <t>Melting_Curves/meltCurve_O95782_2_AP2A1.pdf</t>
  </si>
  <si>
    <t>Melting_Curves/meltCurve_O95801_TTC4.pdf</t>
  </si>
  <si>
    <t>Melting_Curves/meltCurve_O95807_TMEM50A.pdf</t>
  </si>
  <si>
    <t>Melting_Curves/meltCurve_O95810_SDPR.pdf</t>
  </si>
  <si>
    <t>Melting_Curves/meltCurve_O95816_BAG2.pdf</t>
  </si>
  <si>
    <t>Melting_Curves/meltCurve_O95817_BAG3.pdf</t>
  </si>
  <si>
    <t>Melting_Curves/meltCurve_O95822_MLYCD.pdf</t>
  </si>
  <si>
    <t>Melting_Curves/meltCurve_O95825_CRYZL1.pdf</t>
  </si>
  <si>
    <t>Melting_Curves/meltCurve_O95831_3_AIFM1.pdf</t>
  </si>
  <si>
    <t>Melting_Curves/meltCurve_O95833_CLIC3.pdf</t>
  </si>
  <si>
    <t>Melting_Curves/meltCurve_O95834_2_EML2.pdf</t>
  </si>
  <si>
    <t>Melting_Curves/meltCurve_O95848_NUDT14.pdf</t>
  </si>
  <si>
    <t>Melting_Curves/meltCurve_O95857_TSPAN13.pdf</t>
  </si>
  <si>
    <t>Melting_Curves/meltCurve_O95861_BPNT1.pdf</t>
  </si>
  <si>
    <t>Melting_Curves/meltCurve_O95865_DDAH2.pdf</t>
  </si>
  <si>
    <t>Melting_Curves/meltCurve_O95873_C6orf47.pdf</t>
  </si>
  <si>
    <t>Melting_Curves/meltCurve_O95881_TXNDC12.pdf</t>
  </si>
  <si>
    <t>Melting_Curves/meltCurve_O95905_ECD.pdf</t>
  </si>
  <si>
    <t>Melting_Curves/meltCurve_O95926_SYF2.pdf</t>
  </si>
  <si>
    <t>Melting_Curves/meltCurve_O95983_2_MBD3.pdf</t>
  </si>
  <si>
    <t>Melting_Curves/meltCurve_O95985_TOP3B.pdf</t>
  </si>
  <si>
    <t>Melting_Curves/meltCurve_O95989_NUDT3.pdf</t>
  </si>
  <si>
    <t>Melting_Curves/meltCurve_O95999_BCL10.pdf</t>
  </si>
  <si>
    <t>Melting_Curves/meltCurve_O96000_NDUFB10.pdf</t>
  </si>
  <si>
    <t>Melting_Curves/meltCurve_O96007_MOCS2.pdf</t>
  </si>
  <si>
    <t>Melting_Curves/meltCurve_O96008_TOMM40.pdf</t>
  </si>
  <si>
    <t>Melting_Curves/meltCurve_O96011_2_PEX11B.pdf</t>
  </si>
  <si>
    <t>Melting_Curves/meltCurve_O96013_PAK4.pdf</t>
  </si>
  <si>
    <t>Melting_Curves/meltCurve_O96017_CHEK2.pdf</t>
  </si>
  <si>
    <t>Melting_Curves/meltCurve_O96018_APBA3.pdf</t>
  </si>
  <si>
    <t>Melting_Curves/meltCurve_O96019_ACTL6A.pdf</t>
  </si>
  <si>
    <t>Melting_Curves/meltCurve_O96033_MOCS2.pdf</t>
  </si>
  <si>
    <t>Melting_Curves/meltCurve_P00167_2_CYB5A.pdf</t>
  </si>
  <si>
    <t>Melting_Curves/meltCurve_P00338_LDHA.pdf</t>
  </si>
  <si>
    <t>Melting_Curves/meltCurve_P00352_ALDH1A1.pdf</t>
  </si>
  <si>
    <t>Melting_Curves/meltCurve_P00367_GLUD1.pdf</t>
  </si>
  <si>
    <t>Melting_Curves/meltCurve_P00374_DHFR.pdf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</si>
  <si>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</si>
  <si>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</si>
  <si>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</si>
  <si>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</si>
  <si>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</si>
  <si>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</si>
  <si>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</si>
  <si>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Melting_Curves/meltCurve_P00558_PGK1.pdf</t>
  </si>
  <si>
    <t>Melting_Curves/meltCurve_P00813_ADA.pdf</t>
  </si>
  <si>
    <t>Melting_Curves/meltCurve_P00918_CA2.pdf</t>
  </si>
  <si>
    <t>Melting_Curves/meltCurve_P00966_ASS1.pdf</t>
  </si>
  <si>
    <t>Melting_Curves/meltCurve_P01023_A2M.pdf</t>
  </si>
  <si>
    <t>Melting_Curves/meltCurve_P01034_CST3.pdf</t>
  </si>
  <si>
    <t>Melting_Curves/meltCurve_P01037_CST1.pdf</t>
  </si>
  <si>
    <t>Melting_Curves/meltCurve_P01111_NRAS.pdf</t>
  </si>
  <si>
    <t>Melting_Curves/meltCurve_P01112_HRAS.pdf</t>
  </si>
  <si>
    <t>Melting_Curves/meltCurve_P01116_2_KRAS.pdf</t>
  </si>
  <si>
    <t>Melting_Curves/meltCurve_P01137_TGFB1.pdf</t>
  </si>
  <si>
    <t>Melting_Curves/meltCurve_P01350_GAST.pdf</t>
  </si>
  <si>
    <t>Melting_Curves/meltCurve_P01833_PIGR.pdf</t>
  </si>
  <si>
    <t>Melting_Curves/meltCurve_P02144_MB.pdf</t>
  </si>
  <si>
    <t>Melting_Curves/meltCurve_P02545_LMNA.pdf</t>
  </si>
  <si>
    <t>Melting_Curves/meltCurve_P02545_2_LMNA.pdf</t>
  </si>
  <si>
    <t>Melting_Curves/meltCurve_P02549_2_SPTA1.pdf</t>
  </si>
  <si>
    <t>Melting_Curves/meltCurve_P02649_APOE.pdf</t>
  </si>
  <si>
    <t>Melting_Curves/meltCurve_P02786_TFRC.pdf</t>
  </si>
  <si>
    <t>Melting_Curves/meltCurve_P02787_TF.pdf</t>
  </si>
  <si>
    <t>Melting_Curves/meltCurve_P02792_FTL.pdf</t>
  </si>
  <si>
    <t>Melting_Curves/meltCurve_P02794_FTH1.pdf</t>
  </si>
  <si>
    <t>Melting_Curves/meltCurve_P02795_MT2A.pdf</t>
  </si>
  <si>
    <t>Melting_Curves/meltCurve_P03928_MT_ATP8.pdf</t>
  </si>
  <si>
    <t>Melting_Curves/meltCurve_P03973_SLPI.pdf</t>
  </si>
  <si>
    <t>Melting_Curves/meltCurve_P04040_CAT.pdf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</si>
  <si>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</si>
  <si>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</si>
  <si>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</si>
  <si>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</si>
  <si>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Melting_Curves/meltCurve_P04181_OAT.pdf</t>
  </si>
  <si>
    <t>Melting_Curves/meltCurve_P04183_TK1.pdf</t>
  </si>
  <si>
    <t>Melting_Curves/meltCurve_P04350_TUBB4A.pdf</t>
  </si>
  <si>
    <t>Melting_Curves/meltCurve_P04406_GAPDH.pdf</t>
  </si>
  <si>
    <t>Melting_Curves/meltCurve_P04424_ASL.pdf</t>
  </si>
  <si>
    <t>Melting_Curves/meltCurve_P04632_CAPNS1.pdf</t>
  </si>
  <si>
    <t>Melting_Curves/meltCurve_P04792_HSPB1.pdf</t>
  </si>
  <si>
    <t>Melting_Curves/meltCurve_P04818_TYMS.pdf</t>
  </si>
  <si>
    <t>Melting_Curves/meltCurve_P04843_RPN1.pdf</t>
  </si>
  <si>
    <t>Melting_Curves/meltCurve_P04844_RPN2.pdf</t>
  </si>
  <si>
    <t>Melting_Curves/meltCurve_P04899_GNAI2.pdf</t>
  </si>
  <si>
    <t>Melting_Curves/meltCurve_P04920_2_SLC4A2.pdf</t>
  </si>
  <si>
    <t>Melting_Curves/meltCurve_P05023_4_ATP1A1.pdf</t>
  </si>
  <si>
    <t>Melting_Curves/meltCurve_P05060_CHGB.pdf</t>
  </si>
  <si>
    <t>Melting_Curves/meltCurve_P05067_7_APP.pdf</t>
  </si>
  <si>
    <t>Melting_Curves/meltCurve_P05091_ALDH2.pdf</t>
  </si>
  <si>
    <t>Melting_Curves/meltCurve_P05114_HMGN1.pdf</t>
  </si>
  <si>
    <t>Melting_Curves/meltCurve_P05141_SLC25A5.pdf</t>
  </si>
  <si>
    <t>Melting_Curves/meltCurve_P05161_ISG15.pdf</t>
  </si>
  <si>
    <t>Melting_Curves/meltCurve_P05165_2_PCCA.pdf</t>
  </si>
  <si>
    <t>Melting_Curves/meltCurve_P05198_EIF2S1.pdf</t>
  </si>
  <si>
    <t>Melting_Curves/meltCurve_P05204_HMGN2.pdf</t>
  </si>
  <si>
    <t>Melting_Curves/meltCurve_P05362_ICAM1.pdf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</si>
  <si>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</si>
  <si>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</si>
  <si>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</si>
  <si>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</si>
  <si>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Melting_Curves/meltCurve_P05413_FABP3.pdf</t>
  </si>
  <si>
    <t>Melting_Curves/meltCurve_P05455_SSB.pdf</t>
  </si>
  <si>
    <t>Melting_Curves/meltCurve_P05556_ITGB1.pdf</t>
  </si>
  <si>
    <t>Melting_Curves/meltCurve_P05783_KRT18.pdf</t>
  </si>
  <si>
    <t>Melting_Curves/meltCurve_P05976_2_MYL1.pdf</t>
  </si>
  <si>
    <t>Melting_Curves/meltCurve_P06132_UROD.pdf</t>
  </si>
  <si>
    <t>Melting_Curves/meltCurve_P06276_BCHE.pdf</t>
  </si>
  <si>
    <t>Melting_Curves/meltCurve_P06280_GLA.pdf</t>
  </si>
  <si>
    <t>Melting_Curves/meltCurve_P06396_2_GSN.pdf</t>
  </si>
  <si>
    <t>Melting_Curves/meltCurve_P06400_RB1.pdf</t>
  </si>
  <si>
    <t>Melting_Curves/meltCurve_P06493_CDK1.pdf</t>
  </si>
  <si>
    <t>Melting_Curves/meltCurve_P06576_ATP5B.pdf</t>
  </si>
  <si>
    <t>Melting_Curves/meltCurve_P06733_ENO1.pdf</t>
  </si>
  <si>
    <t>Melting_Curves/meltCurve_P06733_2_ENO1.pdf</t>
  </si>
  <si>
    <t>Melting_Curves/meltCurve_P06737_PYGL.pdf</t>
  </si>
  <si>
    <t>Melting_Curves/meltCurve_P06744_GPI.pdf</t>
  </si>
  <si>
    <t>Melting_Curves/meltCurve_P06748_NPM1.pdf</t>
  </si>
  <si>
    <t>Melting_Curves/meltCurve_P06748_3_NPM1.pdf</t>
  </si>
  <si>
    <t>Melting_Curves/meltCurve_P06753_3_TPM3.pdf</t>
  </si>
  <si>
    <t>Melting_Curves/meltCurve_P06756_3_ITGAV.pdf</t>
  </si>
  <si>
    <t>Melting_Curves/meltCurve_P07108_DBI.pdf</t>
  </si>
  <si>
    <t>Melting_Curves/meltCurve_P07195_LDHB.pdf</t>
  </si>
  <si>
    <t>Melting_Curves/meltCurve_P07199_CENPB.pdf</t>
  </si>
  <si>
    <t>Melting_Curves/meltCurve_P07203_GPX1.pdf</t>
  </si>
  <si>
    <t>Melting_Curves/meltCurve_P07205_PGK2.pdf</t>
  </si>
  <si>
    <t>Melting_Curves/meltCurve_P07237_P4HB.pdf</t>
  </si>
  <si>
    <t>Melting_Curves/meltCurve_P07305_2_H1F0.pdf</t>
  </si>
  <si>
    <t>Melting_Curves/meltCurve_P07339_CTSD.pdf</t>
  </si>
  <si>
    <t>Melting_Curves/meltCurve_P07355_ANXA2.pdf</t>
  </si>
  <si>
    <t>Melting_Curves/meltCurve_P07384_CAPN1.pdf</t>
  </si>
  <si>
    <t>Melting_Curves/meltCurve_P07686_HEXB.pdf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</si>
  <si>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</si>
  <si>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</si>
  <si>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</si>
  <si>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</si>
  <si>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</si>
  <si>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</si>
  <si>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</si>
  <si>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</si>
  <si>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Melting_Curves/meltCurve_P07948_2_LYN.pdf</t>
  </si>
  <si>
    <t>Melting_Curves/meltCurve_P07951_TPM2.pdf</t>
  </si>
  <si>
    <t>Melting_Curves/meltCurve_P07954_2_FH.pdf</t>
  </si>
  <si>
    <t>Melting_Curves/meltCurve_P08034_GJB1.pdf</t>
  </si>
  <si>
    <t>Melting_Curves/meltCurve_P08047_SP1.pdf</t>
  </si>
  <si>
    <t>Melting_Curves/meltCurve_P08107_HSPA1A.pdf</t>
  </si>
  <si>
    <t>Melting_Curves/meltCurve_P08237_PFKM.pdf</t>
  </si>
  <si>
    <t>Melting_Curves/meltCurve_P08238_HSP90AB1.pdf</t>
  </si>
  <si>
    <t>Melting_Curves/meltCurve_P08240_SRPR.pdf</t>
  </si>
  <si>
    <t>Melting_Curves/meltCurve_P08243_2_ASNS.pdf</t>
  </si>
  <si>
    <t>Melting_Curves/meltCurve_P08294_SOD3.pdf</t>
  </si>
  <si>
    <t>Melting_Curves/meltCurve_P08397_2_HMBS.pdf</t>
  </si>
  <si>
    <t>Melting_Curves/meltCurve_P08473_MME.pdf</t>
  </si>
  <si>
    <t>Melting_Curves/meltCurve_P08559_PDHA1.pdf</t>
  </si>
  <si>
    <t>Melting_Curves/meltCurve_P08574_CYC1.pdf</t>
  </si>
  <si>
    <t>Melting_Curves/meltCurve_P08579_SNRPB2.pdf</t>
  </si>
  <si>
    <t>Melting_Curves/meltCurve_P08621_SNRNP70.pdf</t>
  </si>
  <si>
    <t>Melting_Curves/meltCurve_P08754_GNAI3.pdf</t>
  </si>
  <si>
    <t>Melting_Curves/meltCurve_P08758_ANXA5.pdf</t>
  </si>
  <si>
    <t>Melting_Curves/meltCurve_P08910_ABHD2.pdf</t>
  </si>
  <si>
    <t>Melting_Curves/meltCurve_P09012_SNRPA.pdf</t>
  </si>
  <si>
    <t>Melting_Curves/meltCurve_P09038_2_FGF2.pdf</t>
  </si>
  <si>
    <t>Melting_Curves/meltCurve_P09104_ENO2.pdf</t>
  </si>
  <si>
    <t>Melting_Curves/meltCurve_P09110_ACAA1.pdf</t>
  </si>
  <si>
    <t>Melting_Curves/meltCurve_P09132_SRP19.pdf</t>
  </si>
  <si>
    <t>Melting_Curves/meltCurve_P09172_DBH.pdf</t>
  </si>
  <si>
    <t>Melting_Curves/meltCurve_P09211_GSTP1.pdf</t>
  </si>
  <si>
    <t>Melting_Curves/meltCurve_P09234_SNRPC.pdf</t>
  </si>
  <si>
    <t>Melting_Curves/meltCurve_P09382_LGALS1.pdf</t>
  </si>
  <si>
    <t>Melting_Curves/meltCurve_P09417_QDPR.pdf</t>
  </si>
  <si>
    <t>Melting_Curves/meltCurve_P09429_HMGB1.pdf</t>
  </si>
  <si>
    <t>Melting_Curves/meltCurve_P09467_FBP1.pdf</t>
  </si>
  <si>
    <t>Melting_Curves/meltCurve_P09493_10_TPM1.pdf</t>
  </si>
  <si>
    <t>Melting_Curves/meltCurve_P09493_3_TPM1.pdf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</si>
  <si>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</si>
  <si>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</si>
  <si>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</si>
  <si>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</si>
  <si>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Melting_Curves/meltCurve_P09601_HMOX1.pdf</t>
  </si>
  <si>
    <t>Melting_Curves/meltCurve_P09619_PDGFRB.pdf</t>
  </si>
  <si>
    <t>Melting_Curves/meltCurve_P09622_DLD.pdf</t>
  </si>
  <si>
    <t>Melting_Curves/meltCurve_P09661_SNRPA1.pdf</t>
  </si>
  <si>
    <t>Melting_Curves/meltCurve_P09669_COX6C.pdf</t>
  </si>
  <si>
    <t>Melting_Curves/meltCurve_P09874_PARP1.pdf</t>
  </si>
  <si>
    <t>Melting_Curves/meltCurve_P09960_LTA4H.pdf</t>
  </si>
  <si>
    <t>Melting_Curves/meltCurve_P09972_ALDOC.pdf</t>
  </si>
  <si>
    <t>Melting_Curves/meltCurve_P0C024_NUDT7.pdf</t>
  </si>
  <si>
    <t>Melting_Curves/meltCurve_P0C7P0_CISD3.pdf</t>
  </si>
  <si>
    <t>Melting_Curves/meltCurve_P0C7T5_ATXN1L.pdf</t>
  </si>
  <si>
    <t>Melting_Curves/meltCurve_P0C870_JMJD7.pdf</t>
  </si>
  <si>
    <t>Melting_Curves/meltCurve_P0CAP2_POLR2M.pdf</t>
  </si>
  <si>
    <t>Melting_Curves/meltCurve_P0CG12_CHTF8.pdf</t>
  </si>
  <si>
    <t>Melting_Curves/meltCurve_P0CW22_RPS17L.pdf</t>
  </si>
  <si>
    <t>Melting_Curves/meltCurve_P0DJ93_SMIM13.pdf</t>
  </si>
  <si>
    <t>Melting_Curves/meltCurve_P10109_FDX1.pdf</t>
  </si>
  <si>
    <t>Melting_Curves/meltCurve_P10114_RAP2A.pdf</t>
  </si>
  <si>
    <t>Melting_Curves/meltCurve_P10155_TROVE2.pdf</t>
  </si>
  <si>
    <t>Melting_Curves/meltCurve_P10176_COX8A.pdf</t>
  </si>
  <si>
    <t>Melting_Curves/meltCurve_P10253_GAA.pdf</t>
  </si>
  <si>
    <t>Melting_Curves/meltCurve_P10301_RRAS.pdf</t>
  </si>
  <si>
    <t>Melting_Curves/meltCurve_P10412_HIST1H1E.pdf</t>
  </si>
  <si>
    <t>Melting_Curves/meltCurve_P10515_DLAT.pdf</t>
  </si>
  <si>
    <t>Melting_Curves/meltCurve_P10586_2_PTPRF.pdf</t>
  </si>
  <si>
    <t>Melting_Curves/meltCurve_P10599_TXN.pdf</t>
  </si>
  <si>
    <t>Melting_Curves/meltCurve_P10606_COX5B.pdf</t>
  </si>
  <si>
    <t>Melting_Curves/meltCurve_P10619_CTSA.pdf</t>
  </si>
  <si>
    <t>Melting_Curves/meltCurve_P10636_5_MAPT.pdf</t>
  </si>
  <si>
    <t>Melting_Curves/meltCurve_P10643_C7.pdf</t>
  </si>
  <si>
    <t>Melting_Curves/meltCurve_P10644_PRKAR1A.pdf</t>
  </si>
  <si>
    <t>Melting_Curves/meltCurve_P10746_UROS.pdf</t>
  </si>
  <si>
    <t>Melting_Curves/meltCurve_P10768_ESD.pdf</t>
  </si>
  <si>
    <t>Melting_Curves/meltCurve_P10809_HSPD1.pdf</t>
  </si>
  <si>
    <t>Melting_Curves/meltCurve_P10909_4_CLU.pdf</t>
  </si>
  <si>
    <t>Melting_Curves/meltCurve_P11021_HSPA5.pdf</t>
  </si>
  <si>
    <t>Melting_Curves/meltCurve_P11047_LAMC1.pdf</t>
  </si>
  <si>
    <t>Melting_Curves/meltCurve_P11086_PNMT.pdf</t>
  </si>
  <si>
    <t>Melting_Curves/meltCurve_P11117_ACP2.pdf</t>
  </si>
  <si>
    <t>Melting_Curves/meltCurve_P11142_HSPA8.pdf</t>
  </si>
  <si>
    <t>Melting_Curves/meltCurve_P11166_SLC2A1.pdf</t>
  </si>
  <si>
    <t>Melting_Curves/meltCurve_P11171_EPB41.pdf</t>
  </si>
  <si>
    <t>Melting_Curves/meltCurve_P11171_2_EPB41.pdf</t>
  </si>
  <si>
    <t>Melting_Curves/meltCurve_P11172_UMPS.pdf</t>
  </si>
  <si>
    <t>Melting_Curves/meltCurve_P11177_PDHB.pdf</t>
  </si>
  <si>
    <t>Melting_Curves/meltCurve_P11182_DBT.pdf</t>
  </si>
  <si>
    <t>Melting_Curves/meltCurve_P11216_PYGB.pdf</t>
  </si>
  <si>
    <t>Melting_Curves/meltCurve_P11233_RALA.pdf</t>
  </si>
  <si>
    <t>Melting_Curves/meltCurve_P11274_BCR.pdf</t>
  </si>
  <si>
    <t>Melting_Curves/meltCurve_P11279_LAMP1.pdf</t>
  </si>
  <si>
    <t>Melting_Curves/meltCurve_P11387_TOP1.pdf</t>
  </si>
  <si>
    <t>Melting_Curves/meltCurve_P11388_TOP2A.pdf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</si>
  <si>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</si>
  <si>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</si>
  <si>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</si>
  <si>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</si>
  <si>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</si>
  <si>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</si>
  <si>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</si>
  <si>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Melting_Curves/meltCurve_P11908_PRPS2.pdf</t>
  </si>
  <si>
    <t>Melting_Curves/meltCurve_P11940_2_PABPC1.pdf</t>
  </si>
  <si>
    <t>Melting_Curves/meltCurve_P12004_PCNA.pdf</t>
  </si>
  <si>
    <t>Melting_Curves/meltCurve_P12081_HARS.pdf</t>
  </si>
  <si>
    <t>Melting_Curves/meltCurve_P12109_COL6A1.pdf</t>
  </si>
  <si>
    <t>Melting_Curves/meltCurve_P12235_SLC25A4.pdf</t>
  </si>
  <si>
    <t>Melting_Curves/meltCurve_P12236_SLC25A6.pdf</t>
  </si>
  <si>
    <t>Melting_Curves/meltCurve_P12268_IMPDH2.pdf</t>
  </si>
  <si>
    <t>Melting_Curves/meltCurve_P12270_TPR.pdf</t>
  </si>
  <si>
    <t>Melting_Curves/meltCurve_P12273_PIP.pdf</t>
  </si>
  <si>
    <t>Melting_Curves/meltCurve_P12277_CKB.pdf</t>
  </si>
  <si>
    <t>Melting_Curves/meltCurve_P12429_ANXA3.pdf</t>
  </si>
  <si>
    <t>Melting_Curves/meltCurve_P12532_CKMT1A.pdf</t>
  </si>
  <si>
    <t>Melting_Curves/meltCurve_P12755_SKI.pdf</t>
  </si>
  <si>
    <t>Melting_Curves/meltCurve_P12814_2_ACTN1.pdf</t>
  </si>
  <si>
    <t>Melting_Curves/meltCurve_P12830_CDH1.pdf</t>
  </si>
  <si>
    <t>Melting_Curves/meltCurve_P12955_PEPD.pdf</t>
  </si>
  <si>
    <t>Melting_Curves/meltCurve_P12956_XRCC6.pdf</t>
  </si>
  <si>
    <t>Melting_Curves/meltCurve_P13010_XRCC5.pdf</t>
  </si>
  <si>
    <t>Melting_Curves/meltCurve_P13051_UNG.pdf</t>
  </si>
  <si>
    <t>Melting_Curves/meltCurve_P13056_NR2C1.pdf</t>
  </si>
  <si>
    <t>Melting_Curves/meltCurve_P13073_COX4I1.pdf</t>
  </si>
  <si>
    <t>Melting_Curves/meltCurve_P13196_ALAS1.pdf</t>
  </si>
  <si>
    <t>Melting_Curves/meltCurve_P13284_IFI30.pdf</t>
  </si>
  <si>
    <t>Melting_Curves/meltCurve_P13489_RNH1.pdf</t>
  </si>
  <si>
    <t>Melting_Curves/meltCurve_P13498_CYBA.pdf</t>
  </si>
  <si>
    <t>Melting_Curves/meltCurve_P13521_SCG2.pdf</t>
  </si>
  <si>
    <t>Melting_Curves/meltCurve_P13639_EEF2.pdf</t>
  </si>
  <si>
    <t>Melting_Curves/meltCurve_P13667_PDIA4.pdf</t>
  </si>
  <si>
    <t>Melting_Curves/meltCurve_P13674_P4HA1.pdf</t>
  </si>
  <si>
    <t>Melting_Curves/meltCurve_P13674_2_P4HA1.pdf</t>
  </si>
  <si>
    <t>Melting_Curves/meltCurve_P13693_TPT1.pdf</t>
  </si>
  <si>
    <t>Melting_Curves/meltCurve_P13804_ETFA.pdf</t>
  </si>
  <si>
    <t>Melting_Curves/meltCurve_P13861_PRKAR2A.pdf</t>
  </si>
  <si>
    <t>Melting_Curves/meltCurve_P13929_ENO3.pdf</t>
  </si>
  <si>
    <t>Melting_Curves/meltCurve_P13984_GTF2F2.pdf</t>
  </si>
  <si>
    <t>Melting_Curves/meltCurve_P13995_MTHFD2.pdf</t>
  </si>
  <si>
    <t>Melting_Curves/meltCurve_P14174_MIF.pdf</t>
  </si>
  <si>
    <t>Melting_Curves/meltCurve_P14222_PRF1.pdf</t>
  </si>
  <si>
    <t>Melting_Curves/meltCurve_P14324_2_FDPS.pdf</t>
  </si>
  <si>
    <t>Melting_Curves/meltCurve_P14550_AKR1A1.pdf</t>
  </si>
  <si>
    <t>Melting_Curves/meltCurve_P14555_PLA2G2A.pdf</t>
  </si>
  <si>
    <t>Melting_Curves/meltCurve_P14618_PKM.pdf</t>
  </si>
  <si>
    <t>Melting_Curves/meltCurve_P14618_2_PKM.pdf</t>
  </si>
  <si>
    <t>Melting_Curves/meltCurve_P14625_HSP90B1.pdf</t>
  </si>
  <si>
    <t>Melting_Curves/meltCurve_P14635_CCNB1.pdf</t>
  </si>
  <si>
    <t>Melting_Curves/meltCurve_P14649_MYL6B.pdf</t>
  </si>
  <si>
    <t>Melting_Curves/meltCurve_P14678_2_SNRPB.pdf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</si>
  <si>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</si>
  <si>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</si>
  <si>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</si>
  <si>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</si>
  <si>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</si>
  <si>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</si>
  <si>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Melting_Curves/meltCurve_P15104_GLUL.pdf</t>
  </si>
  <si>
    <t>Melting_Curves/meltCurve_P15144_ANPEP.pdf</t>
  </si>
  <si>
    <t>Melting_Curves/meltCurve_P15151_3_PVR.pdf</t>
  </si>
  <si>
    <t>Melting_Curves/meltCurve_P15170_2_GSPT1.pdf</t>
  </si>
  <si>
    <t>Melting_Curves/meltCurve_P15289_ARSA.pdf</t>
  </si>
  <si>
    <t>Melting_Curves/meltCurve_P15291_2_B4GALT1.pdf</t>
  </si>
  <si>
    <t>Melting_Curves/meltCurve_P15311_EZR.pdf</t>
  </si>
  <si>
    <t>Melting_Curves/meltCurve_P15374_UCHL3.pdf</t>
  </si>
  <si>
    <t>Melting_Curves/meltCurve_P15407_FOSL1.pdf</t>
  </si>
  <si>
    <t>Melting_Curves/meltCurve_P15529_7_CD46.pdf</t>
  </si>
  <si>
    <t>Melting_Curves/meltCurve_P15531_NME1.pdf</t>
  </si>
  <si>
    <t>Melting_Curves/meltCurve_P15848_ARSB.pdf</t>
  </si>
  <si>
    <t>Melting_Curves/meltCurve_P15880_RPS2.pdf</t>
  </si>
  <si>
    <t>Melting_Curves/meltCurve_P15924_DSP.pdf</t>
  </si>
  <si>
    <t>Melting_Curves/meltCurve_P15927_RPA2.pdf</t>
  </si>
  <si>
    <t>Melting_Curves/meltCurve_P15954_COX7C.pdf</t>
  </si>
  <si>
    <t>Melting_Curves/meltCurve_P16144_2_ITGB4.pdf</t>
  </si>
  <si>
    <t>Melting_Curves/meltCurve_P16152_CBR1.pdf</t>
  </si>
  <si>
    <t>Melting_Curves/meltCurve_P16188_HLA_A.pdf</t>
  </si>
  <si>
    <t>Melting_Curves/meltCurve_P16219_ACADS.pdf</t>
  </si>
  <si>
    <t>Melting_Curves/meltCurve_P16220_2_CREB1.pdf</t>
  </si>
  <si>
    <t>Melting_Curves/meltCurve_P16278_3_GLB1.pdf</t>
  </si>
  <si>
    <t>Melting_Curves/meltCurve_P16298_PPP3CB.pdf</t>
  </si>
  <si>
    <t>Melting_Curves/meltCurve_P16383_GCFC2.pdf</t>
  </si>
  <si>
    <t>Melting_Curves/meltCurve_P16401_HIST1H1B.pdf</t>
  </si>
  <si>
    <t>Melting_Curves/meltCurve_P16435_POR.pdf</t>
  </si>
  <si>
    <t>Melting_Curves/meltCurve_P16455_MGMT.pdf</t>
  </si>
  <si>
    <t>Melting_Curves/meltCurve_P16615_ATP2A2.pdf</t>
  </si>
  <si>
    <t>Melting_Curves/meltCurve_P16930_FAH.pdf</t>
  </si>
  <si>
    <t>Melting_Curves/meltCurve_P16949_STMN1.pdf</t>
  </si>
  <si>
    <t>Melting_Curves/meltCurve_P16989_YBX3.pdf</t>
  </si>
  <si>
    <t>Melting_Curves/meltCurve_P16989_2_YBX3.pdf</t>
  </si>
  <si>
    <t>Melting_Curves/meltCurve_P17026_ZNF22.pdf</t>
  </si>
  <si>
    <t>Melting_Curves/meltCurve_P17028_ZNF24.pdf</t>
  </si>
  <si>
    <t>Melting_Curves/meltCurve_P17039_ZNF30.pdf</t>
  </si>
  <si>
    <t>Melting_Curves/meltCurve_P17050_NAGA.pdf</t>
  </si>
  <si>
    <t>Melting_Curves/meltCurve_P17066_HSPA6.pdf</t>
  </si>
  <si>
    <t>Melting_Curves/meltCurve_P17096_HMGA1.pdf</t>
  </si>
  <si>
    <t>Melting_Curves/meltCurve_P17096_2_HMGA1.pdf</t>
  </si>
  <si>
    <t>Melting_Curves/meltCurve_P17152_TMEM11.pdf</t>
  </si>
  <si>
    <t>Melting_Curves/meltCurve_P17174_GOT1.pdf</t>
  </si>
  <si>
    <t>Melting_Curves/meltCurve_P17252_PRKCA.pdf</t>
  </si>
  <si>
    <t>Melting_Curves/meltCurve_P17275_JUNB.pdf</t>
  </si>
  <si>
    <t>Melting_Curves/meltCurve_P17301_ITGA2.pdf</t>
  </si>
  <si>
    <t>Melting_Curves/meltCurve_P17535_JUND.pdf</t>
  </si>
  <si>
    <t>Melting_Curves/meltCurve_P17568_NDUFB7.pdf</t>
  </si>
  <si>
    <t>Melting_Curves/meltCurve_P17612_PRKACA.pdf</t>
  </si>
  <si>
    <t>Melting_Curves/meltCurve_P17655_CAPN2.pdf</t>
  </si>
  <si>
    <t>Melting_Curves/meltCurve_P17706_2_PTPN2.pdf</t>
  </si>
  <si>
    <t>Melting_Curves/meltCurve_P17812_CTPS1.pdf</t>
  </si>
  <si>
    <t>Melting_Curves/meltCurve_P17858_PFKL.pdf</t>
  </si>
  <si>
    <t>Melting_Curves/meltCurve_P17900_GM2A.pdf</t>
  </si>
  <si>
    <t>Melting_Curves/meltCurve_P17931_LGALS3.pdf</t>
  </si>
  <si>
    <t>Melting_Curves/meltCurve_P17987_TCP1.pdf</t>
  </si>
  <si>
    <t>Melting_Curves/meltCurve_P18031_PTPN1.pdf</t>
  </si>
  <si>
    <t>Melting_Curves/meltCurve_P18065_IGFBP2.pdf</t>
  </si>
  <si>
    <t>Melting_Curves/meltCurve_P18085_ARF4.pdf</t>
  </si>
  <si>
    <t>Melting_Curves/meltCurve_P18124_RPL7.pdf</t>
  </si>
  <si>
    <t>Melting_Curves/meltCurve_P18146_EGR1.pdf</t>
  </si>
  <si>
    <t>Melting_Curves/meltCurve_P18206_2_VCL.pdf</t>
  </si>
  <si>
    <t>Melting_Curves/meltCurve_P18283_GPX2.pdf</t>
  </si>
  <si>
    <t>Melting_Curves/meltCurve_P18583_2_SON.pdf</t>
  </si>
  <si>
    <t>Melting_Curves/meltCurve_P18615_NELFE.pdf</t>
  </si>
  <si>
    <t>Melting_Curves/meltCurve_P18669_PGAM1.pdf</t>
  </si>
  <si>
    <t>Melting_Curves/meltCurve_P18754_RCC1.pdf</t>
  </si>
  <si>
    <t>Melting_Curves/meltCurve_P18827_SDC1.pdf</t>
  </si>
  <si>
    <t>Melting_Curves/meltCurve_P18846_ATF1.pdf</t>
  </si>
  <si>
    <t>Melting_Curves/meltCurve_P18858_LIG1.pdf</t>
  </si>
  <si>
    <t>Melting_Curves/meltCurve_P18859_ATP5J.pdf</t>
  </si>
  <si>
    <t>Melting_Curves/meltCurve_P19021_6_PAM.pdf</t>
  </si>
  <si>
    <t>Melting_Curves/meltCurve_P19174_PLCG1.pdf</t>
  </si>
  <si>
    <t>Melting_Curves/meltCurve_P19338_NCL.pdf</t>
  </si>
  <si>
    <t>Melting_Curves/meltCurve_P19367_HK1.pdf</t>
  </si>
  <si>
    <t>Melting_Curves/meltCurve_P19387_POLR2C.pdf</t>
  </si>
  <si>
    <t>Melting_Curves/meltCurve_P19388_POLR2E.pdf</t>
  </si>
  <si>
    <t>Melting_Curves/meltCurve_P19525_EIF2AK2.pdf</t>
  </si>
  <si>
    <t>Melting_Curves/meltCurve_P19623_SRM.pdf</t>
  </si>
  <si>
    <t>Melting_Curves/meltCurve_P19784_CSNK2A2.pdf</t>
  </si>
  <si>
    <t>Melting_Curves/meltCurve_P19838_NFKB1.pdf</t>
  </si>
  <si>
    <t>Melting_Curves/meltCurve_P20020_6_ATP2B1.pdf</t>
  </si>
  <si>
    <t>Melting_Curves/meltCurve_P20042_EIF2S2.pdf</t>
  </si>
  <si>
    <t>Melting_Curves/meltCurve_P20248_CCNA2.pdf</t>
  </si>
  <si>
    <t>Melting_Curves/meltCurve_P20290_BTF3.pdf</t>
  </si>
  <si>
    <t>Melting_Curves/meltCurve_P20290_2_BTF3.pdf</t>
  </si>
  <si>
    <t>Melting_Curves/meltCurve_P20309_CHRM3.pdf</t>
  </si>
  <si>
    <t>Melting_Curves/meltCurve_P20336_RAB3A.pdf</t>
  </si>
  <si>
    <t>Melting_Curves/meltCurve_P20338_RAB4A.pdf</t>
  </si>
  <si>
    <t>Melting_Curves/meltCurve_P20340_RAB6A.pdf</t>
  </si>
  <si>
    <t>Melting_Curves/meltCurve_P20340_2_RAB6A.pdf</t>
  </si>
  <si>
    <t>Melting_Curves/meltCurve_P20585_MSH3.pdf</t>
  </si>
  <si>
    <t>Melting_Curves/meltCurve_P20618_PSMB1.pdf</t>
  </si>
  <si>
    <t>Melting_Curves/meltCurve_P20645_M6PR.pdf</t>
  </si>
  <si>
    <t>Melting_Curves/meltCurve_P20674_COX5A.pdf</t>
  </si>
  <si>
    <t>Melting_Curves/meltCurve_P20700_LMNB1.pdf</t>
  </si>
  <si>
    <t>Melting_Curves/meltCurve_P20719_HOXA5.pdf</t>
  </si>
  <si>
    <t>Melting_Curves/meltCurve_P20810_5_CAST.pdf</t>
  </si>
  <si>
    <t>Melting_Curves/meltCurve_P20933_AGA.pdf</t>
  </si>
  <si>
    <t>Melting_Curves/meltCurve_P20962_PTMS.pdf</t>
  </si>
  <si>
    <t>Melting_Curves/meltCurve_P21127_8_CDK11B.pdf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</si>
  <si>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</si>
  <si>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</si>
  <si>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</si>
  <si>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</si>
  <si>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Melting_Curves/meltCurve_P21359_2_NF1.pdf</t>
  </si>
  <si>
    <t>Melting_Curves/meltCurve_P21397_MAOA.pdf</t>
  </si>
  <si>
    <t>Melting_Curves/meltCurve_P21399_ACO1.pdf</t>
  </si>
  <si>
    <t>Melting_Curves/meltCurve_P21580_TNFAIP3.pdf</t>
  </si>
  <si>
    <t>Melting_Curves/meltCurve_P21583_2_KITLG.pdf</t>
  </si>
  <si>
    <t>Melting_Curves/meltCurve_P21695_2_GPD1.pdf</t>
  </si>
  <si>
    <t>Melting_Curves/meltCurve_P21796_VDAC1.pdf</t>
  </si>
  <si>
    <t>Melting_Curves/meltCurve_P21912_SDHB.pdf</t>
  </si>
  <si>
    <t>Melting_Curves/meltCurve_P21953_BCKDHB.pdf</t>
  </si>
  <si>
    <t>Melting_Curves/meltCurve_P21964_2_COMT.pdf</t>
  </si>
  <si>
    <t>Melting_Curves/meltCurve_P22033_MUT.pdf</t>
  </si>
  <si>
    <t>Melting_Curves/meltCurve_P22059_OSBP.pdf</t>
  </si>
  <si>
    <t>Melting_Curves/meltCurve_P22083_FUT4.pdf</t>
  </si>
  <si>
    <t>Melting_Curves/meltCurve_P22087_FBL.pdf</t>
  </si>
  <si>
    <t>Melting_Curves/meltCurve_P22102_GART.pdf</t>
  </si>
  <si>
    <t>Melting_Curves/meltCurve_P22234_PAICS.pdf</t>
  </si>
  <si>
    <t>Melting_Curves/meltCurve_P22304_IDS.pdf</t>
  </si>
  <si>
    <t>Melting_Curves/meltCurve_P22307_6_SCP2.pdf</t>
  </si>
  <si>
    <t>Melting_Curves/meltCurve_P22314_UBA1.pdf</t>
  </si>
  <si>
    <t>Melting_Curves/meltCurve_P22532_SPRR2D.pdf</t>
  </si>
  <si>
    <t>Melting_Curves/meltCurve_P22570_FDXR.pdf</t>
  </si>
  <si>
    <t>Melting_Curves/meltCurve_P22626_HNRNPA2B1.pdf</t>
  </si>
  <si>
    <t>Melting_Curves/meltCurve_P22681_CBL.pdf</t>
  </si>
  <si>
    <t>Melting_Curves/meltCurve_P22694_PRKACB.pdf</t>
  </si>
  <si>
    <t>Melting_Curves/meltCurve_P22695_UQCRC2.pdf</t>
  </si>
  <si>
    <t>Melting_Curves/meltCurve_P22830_FECH.pdf</t>
  </si>
  <si>
    <t>Melting_Curves/meltCurve_P23025_XPA.pdf</t>
  </si>
  <si>
    <t>Melting_Curves/meltCurve_P23141_3_CES1.pdf</t>
  </si>
  <si>
    <t>Melting_Curves/meltCurve_P23193_TCEA1.pdf</t>
  </si>
  <si>
    <t>Melting_Curves/meltCurve_P23246_SFPQ.pdf</t>
  </si>
  <si>
    <t>Melting_Curves/meltCurve_P23258_TUBG1.pdf</t>
  </si>
  <si>
    <t>Melting_Curves/meltCurve_P23280_CA6.pdf</t>
  </si>
  <si>
    <t>Melting_Curves/meltCurve_P23284_PPIB.pdf</t>
  </si>
  <si>
    <t>Melting_Curves/meltCurve_P23368_ME2.pdf</t>
  </si>
  <si>
    <t>Melting_Curves/meltCurve_P23381_WARS.pdf</t>
  </si>
  <si>
    <t>Melting_Curves/meltCurve_P23396_RPS3.pdf</t>
  </si>
  <si>
    <t>Melting_Curves/meltCurve_P23409_MYF6.pdf</t>
  </si>
  <si>
    <t>Melting_Curves/meltCurve_P23434_GCSH.pdf</t>
  </si>
  <si>
    <t>Melting_Curves/meltCurve_P23458_JAK1.pdf</t>
  </si>
  <si>
    <t>Melting_Curves/meltCurve_P23469_2_PTPRE.pdf</t>
  </si>
  <si>
    <t>Melting_Curves/meltCurve_P23470_2_PTPRG.pdf</t>
  </si>
  <si>
    <t>Melting_Curves/meltCurve_P23497_SP100.pdf</t>
  </si>
  <si>
    <t>Melting_Curves/meltCurve_P23511_2_NFYA.pdf</t>
  </si>
  <si>
    <t>Melting_Curves/meltCurve_P23526_AHCY.pdf</t>
  </si>
  <si>
    <t>Melting_Curves/meltCurve_P23528_CFL1.pdf</t>
  </si>
  <si>
    <t>Melting_Curves/meltCurve_P23610_F8A1.pdf</t>
  </si>
  <si>
    <t>Melting_Curves/meltCurve_P23786_CPT2.pdf</t>
  </si>
  <si>
    <t>Melting_Curves/meltCurve_P23919_DTYMK.pdf</t>
  </si>
  <si>
    <t>Melting_Curves/meltCurve_P23921_RRM1.pdf</t>
  </si>
  <si>
    <t>Melting_Curves/meltCurve_P24385_CCND1.pdf</t>
  </si>
  <si>
    <t>Melting_Curves/meltCurve_P24468_NR2F2.pdf</t>
  </si>
  <si>
    <t>Melting_Curves/meltCurve_P24534_EEF1B2.pdf</t>
  </si>
  <si>
    <t>Melting_Curves/meltCurve_P24593_IGFBP5.pdf</t>
  </si>
  <si>
    <t>Melting_Curves/meltCurve_P24666_ACP1.pdf</t>
  </si>
  <si>
    <t>Melting_Curves/meltCurve_P24666_2_ACP1.pdf</t>
  </si>
  <si>
    <t>Melting_Curves/meltCurve_P24752_ACAT1.pdf</t>
  </si>
  <si>
    <t>Melting_Curves/meltCurve_P24928_POLR2A.pdf</t>
  </si>
  <si>
    <t>Melting_Curves/meltCurve_P25054_2_APC.pdf</t>
  </si>
  <si>
    <t>Melting_Curves/meltCurve_P25098_ADRBK1.pdf</t>
  </si>
  <si>
    <t>Melting_Curves/meltCurve_P25205_MCM3.pdf</t>
  </si>
  <si>
    <t>Melting_Curves/meltCurve_P25311_AZGP1.pdf</t>
  </si>
  <si>
    <t>Melting_Curves/meltCurve_P25398_RPS12.pdf</t>
  </si>
  <si>
    <t>Melting_Curves/meltCurve_P25490_YY1.pdf</t>
  </si>
  <si>
    <t>Melting_Curves/meltCurve_P25685_DNAJB1.pdf</t>
  </si>
  <si>
    <t>Melting_Curves/meltCurve_P25705_ATP5A1.pdf</t>
  </si>
  <si>
    <t>Melting_Curves/meltCurve_P25705_2_ATP5A1.pdf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</si>
  <si>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</si>
  <si>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</si>
  <si>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</si>
  <si>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</si>
  <si>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Melting_Curves/meltCurve_P25815_S100P.pdf</t>
  </si>
  <si>
    <t>Melting_Curves/meltCurve_P26038_MSN.pdf</t>
  </si>
  <si>
    <t>Melting_Curves/meltCurve_P26196_DDX6.pdf</t>
  </si>
  <si>
    <t>Melting_Curves/meltCurve_P26358_DNMT1.pdf</t>
  </si>
  <si>
    <t>Melting_Curves/meltCurve_P26368_2_U2AF2.pdf</t>
  </si>
  <si>
    <t>Melting_Curves/meltCurve_P26373_RPL13.pdf</t>
  </si>
  <si>
    <t>Melting_Curves/meltCurve_P26440_IVD.pdf</t>
  </si>
  <si>
    <t>Melting_Curves/meltCurve_P26447_S100A4.pdf</t>
  </si>
  <si>
    <t>Melting_Curves/meltCurve_P26572_MGAT1.pdf</t>
  </si>
  <si>
    <t>Melting_Curves/meltCurve_P26583_HMGB2.pdf</t>
  </si>
  <si>
    <t>Melting_Curves/meltCurve_P26599_PTBP1.pdf</t>
  </si>
  <si>
    <t>Melting_Curves/meltCurve_P26639_TARS.pdf</t>
  </si>
  <si>
    <t>Melting_Curves/meltCurve_P26641_EEF1G.pdf</t>
  </si>
  <si>
    <t>Melting_Curves/meltCurve_P26885_FKBP2.pdf</t>
  </si>
  <si>
    <t>Melting_Curves/meltCurve_P27144_AK4.pdf</t>
  </si>
  <si>
    <t>Melting_Curves/meltCurve_P27338_MAOB.pdf</t>
  </si>
  <si>
    <t>Melting_Curves/meltCurve_P27348_YWHAQ.pdf</t>
  </si>
  <si>
    <t>Melting_Curves/meltCurve_P27361_MAPK3.pdf</t>
  </si>
  <si>
    <t>Melting_Curves/meltCurve_P27449_ATP6V0C.pdf</t>
  </si>
  <si>
    <t>Melting_Curves/meltCurve_P27482_CALML3.pdf</t>
  </si>
  <si>
    <t>Melting_Curves/meltCurve_P27540_2_ARNT.pdf</t>
  </si>
  <si>
    <t>Melting_Curves/meltCurve_P27635_RPL10.pdf</t>
  </si>
  <si>
    <t>Melting_Curves/meltCurve_P27694_RPA1.pdf</t>
  </si>
  <si>
    <t>Melting_Curves/meltCurve_P27695_APEX1.pdf</t>
  </si>
  <si>
    <t>Melting_Curves/meltCurve_P27797_CALR.pdf</t>
  </si>
  <si>
    <t>Melting_Curves/meltCurve_P27824_CANX.pdf</t>
  </si>
  <si>
    <t>Melting_Curves/meltCurve_P27986_PIK3R1.pdf</t>
  </si>
  <si>
    <t>Melting_Curves/meltCurve_P27987_ITPKB.pdf</t>
  </si>
  <si>
    <t>Melting_Curves/meltCurve_P28062_2_PSMB8.pdf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</si>
  <si>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</si>
  <si>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</si>
  <si>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</si>
  <si>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</si>
  <si>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Melting_Curves/meltCurve_P28331_4_NDUFS1.pdf</t>
  </si>
  <si>
    <t>Melting_Curves/meltCurve_P28482_MAPK1.pdf</t>
  </si>
  <si>
    <t>Melting_Curves/meltCurve_P28702_RXRB.pdf</t>
  </si>
  <si>
    <t>Melting_Curves/meltCurve_P28715_ERCC5.pdf</t>
  </si>
  <si>
    <t>Melting_Curves/meltCurve_P28799_GRN.pdf</t>
  </si>
  <si>
    <t>Melting_Curves/meltCurve_P28838_2_LAP3.pdf</t>
  </si>
  <si>
    <t>Melting_Curves/meltCurve_P29034_S100A2.pdf</t>
  </si>
  <si>
    <t>Melting_Curves/meltCurve_P29083_GTF2E1.pdf</t>
  </si>
  <si>
    <t>Melting_Curves/meltCurve_P29084_GTF2E2.pdf</t>
  </si>
  <si>
    <t>Melting_Curves/meltCurve_P29144_TPP2.pdf</t>
  </si>
  <si>
    <t>Melting_Curves/meltCurve_P29218_IMPA1.pdf</t>
  </si>
  <si>
    <t>Melting_Curves/meltCurve_P29317_EPHA2.pdf</t>
  </si>
  <si>
    <t>Melting_Curves/meltCurve_P29323_2_EPHB2.pdf</t>
  </si>
  <si>
    <t>Melting_Curves/meltCurve_P29350_PTPN6.pdf</t>
  </si>
  <si>
    <t>Melting_Curves/meltCurve_P29353_2_SHC1.pdf</t>
  </si>
  <si>
    <t>Melting_Curves/meltCurve_P29372_5_MPG.pdf</t>
  </si>
  <si>
    <t>Melting_Curves/meltCurve_P29373_CRABP2.pdf</t>
  </si>
  <si>
    <t>Melting_Curves/meltCurve_P29400_COL4A5.pdf</t>
  </si>
  <si>
    <t>Melting_Curves/meltCurve_P29401_TKT.pdf</t>
  </si>
  <si>
    <t>Melting_Curves/meltCurve_P29590_11_PML.pdf</t>
  </si>
  <si>
    <t>Melting_Curves/meltCurve_P29966_MARCKS.pdf</t>
  </si>
  <si>
    <t>Melting_Curves/meltCurve_P29992_GNA11.pdf</t>
  </si>
  <si>
    <t>Melting_Curves/meltCurve_P30038_ALDH4A1.pdf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</si>
  <si>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</si>
  <si>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</si>
  <si>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</si>
  <si>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</si>
  <si>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Melting_Curves/meltCurve_P30044_PRDX5.pdf</t>
  </si>
  <si>
    <t>Melting_Curves/meltCurve_P30046_DDT.pdf</t>
  </si>
  <si>
    <t>Melting_Curves/meltCurve_P30047_GCHFR.pdf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</si>
  <si>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</si>
  <si>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</si>
  <si>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</si>
  <si>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</si>
  <si>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</si>
  <si>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Melting_Curves/meltCurve_P30101_PDIA3.pdf</t>
  </si>
  <si>
    <t>Melting_Curves/meltCurve_P30153_PPP2R1A.pdf</t>
  </si>
  <si>
    <t>Melting_Curves/meltCurve_P30154_PPP2R1B.pdf</t>
  </si>
  <si>
    <t>Melting_Curves/meltCurve_P30260_CDC27.pdf</t>
  </si>
  <si>
    <t>Melting_Curves/meltCurve_P30281_3_CCND3.pdf</t>
  </si>
  <si>
    <t>Melting_Curves/meltCurve_P30291_WEE1.pdf</t>
  </si>
  <si>
    <t>Melting_Curves/meltCurve_P30405_PPIF.pdf</t>
  </si>
  <si>
    <t>Melting_Curves/meltCurve_P30414_NKTR.pdf</t>
  </si>
  <si>
    <t>Melting_Curves/meltCurve_P30419_NMT1.pdf</t>
  </si>
  <si>
    <t>Melting_Curves/meltCurve_P30443_HLA_A.pdf</t>
  </si>
  <si>
    <t>Melting_Curves/meltCurve_P30504_HLA_C.pdf</t>
  </si>
  <si>
    <t>Melting_Curves/meltCurve_P30508_HLA_C.pdf</t>
  </si>
  <si>
    <t>Melting_Curves/meltCurve_P30519_HMOX2.pdf</t>
  </si>
  <si>
    <t>Melting_Curves/meltCurve_P30520_ADSS.pdf</t>
  </si>
  <si>
    <t>Melting_Curves/meltCurve_P30533_LRPAP1.pdf</t>
  </si>
  <si>
    <t>Melting_Curves/meltCurve_P30566_ADSL.pdf</t>
  </si>
  <si>
    <t>Melting_Curves/meltCurve_P30622_2_CLIP1.pdf</t>
  </si>
  <si>
    <t>Melting_Curves/meltCurve_P30711_GSTT1.pdf</t>
  </si>
  <si>
    <t>Melting_Curves/meltCurve_P30740_SERPINB1.pdf</t>
  </si>
  <si>
    <t>Melting_Curves/meltCurve_P30825_SLC7A1.pdf</t>
  </si>
  <si>
    <t>Melting_Curves/meltCurve_P30837_ALDH1B1.pdf</t>
  </si>
  <si>
    <t>Melting_Curves/meltCurve_P30838_ALDH3A1.pdf</t>
  </si>
  <si>
    <t>Melting_Curves/meltCurve_P31040_SDHA.pdf</t>
  </si>
  <si>
    <t>Melting_Curves/meltCurve_P31146_CORO1A.pdf</t>
  </si>
  <si>
    <t>Melting_Curves/meltCurve_P31150_GDI1.pdf</t>
  </si>
  <si>
    <t>Melting_Curves/meltCurve_P31153_MAT2A.pdf</t>
  </si>
  <si>
    <t>Melting_Curves/meltCurve_P31321_PRKAR1B.pdf</t>
  </si>
  <si>
    <t>Melting_Curves/meltCurve_P31323_PRKAR2B.pdf</t>
  </si>
  <si>
    <t>Melting_Curves/meltCurve_P31350_RRM2.pdf</t>
  </si>
  <si>
    <t>Melting_Curves/meltCurve_P31641_SLC6A6.pdf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</si>
  <si>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</si>
  <si>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</si>
  <si>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</si>
  <si>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</si>
  <si>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</si>
  <si>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</si>
  <si>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</si>
  <si>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Melting_Curves/meltCurve_P31946_YWHAB.pdf</t>
  </si>
  <si>
    <t>Melting_Curves/meltCurve_P31947_SFN.pdf</t>
  </si>
  <si>
    <t>Melting_Curves/meltCurve_P31948_STIP1.pdf</t>
  </si>
  <si>
    <t>Melting_Curves/meltCurve_P31949_S100A11.pdf</t>
  </si>
  <si>
    <t>Melting_Curves/meltCurve_P32119_PRDX2.pdf</t>
  </si>
  <si>
    <t>Melting_Curves/meltCurve_P32121_5_ARRB2.pdf</t>
  </si>
  <si>
    <t>Melting_Curves/meltCurve_P32189_1_GK.pdf</t>
  </si>
  <si>
    <t>Melting_Curves/meltCurve_P32321_2_DCTD.pdf</t>
  </si>
  <si>
    <t>Melting_Curves/meltCurve_P32322_PYCR1.pdf</t>
  </si>
  <si>
    <t>Melting_Curves/meltCurve_P32519_2_ELF1.pdf</t>
  </si>
  <si>
    <t>Melting_Curves/meltCurve_P32780_GTF2H1.pdf</t>
  </si>
  <si>
    <t>Melting_Curves/meltCurve_P32929_CTH.pdf</t>
  </si>
  <si>
    <t>Melting_Curves/meltCurve_P32969_RPL9.pdf</t>
  </si>
  <si>
    <t>Melting_Curves/meltCurve_P33121_ACSL1.pdf</t>
  </si>
  <si>
    <t>Melting_Curves/meltCurve_P33176_KIF5B.pdf</t>
  </si>
  <si>
    <t>Melting_Curves/meltCurve_P33240_2_CSTF2.pdf</t>
  </si>
  <si>
    <t>Melting_Curves/meltCurve_P33241_2_LSP1.pdf</t>
  </si>
  <si>
    <t>Melting_Curves/meltCurve_P33316_2_DUT.pdf</t>
  </si>
  <si>
    <t>Melting_Curves/meltCurve_P33552_CKS2.pdf</t>
  </si>
  <si>
    <t>Melting_Curves/meltCurve_P33764_S100A3.pdf</t>
  </si>
  <si>
    <t>Melting_Curves/meltCurve_P33908_MAN1A1.pdf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</si>
  <si>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</si>
  <si>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</si>
  <si>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</si>
  <si>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</si>
  <si>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Melting_Curves/meltCurve_P34059_GALNS.pdf</t>
  </si>
  <si>
    <t>Melting_Curves/meltCurve_P34896_2_SHMT1.pdf</t>
  </si>
  <si>
    <t>Melting_Curves/meltCurve_P34897_3_SHMT2.pdf</t>
  </si>
  <si>
    <t>Melting_Curves/meltCurve_P34932_HSPA4.pdf</t>
  </si>
  <si>
    <t>Melting_Curves/meltCurve_P34949_MPI.pdf</t>
  </si>
  <si>
    <t>Melting_Curves/meltCurve_P35219_CA8.pdf</t>
  </si>
  <si>
    <t>Melting_Curves/meltCurve_P35221_CTNNA1.pdf</t>
  </si>
  <si>
    <t>Melting_Curves/meltCurve_P35227_PCGF2.pdf</t>
  </si>
  <si>
    <t>Melting_Curves/meltCurve_P35232_PHB.pdf</t>
  </si>
  <si>
    <t>Melting_Curves/meltCurve_P35237_SERPINB6.pdf</t>
  </si>
  <si>
    <t>Melting_Curves/meltCurve_P35241_RDX.pdf</t>
  </si>
  <si>
    <t>Melting_Curves/meltCurve_P35244_RPA3.pdf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</si>
  <si>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</si>
  <si>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</si>
  <si>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</si>
  <si>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</si>
  <si>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</si>
  <si>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Melting_Curves/meltCurve_P35318_ADM.pdf</t>
  </si>
  <si>
    <t>Melting_Curves/meltCurve_P35475_IDUA.pdf</t>
  </si>
  <si>
    <t>Melting_Curves/meltCurve_P35573_AGL.pdf</t>
  </si>
  <si>
    <t>Melting_Curves/meltCurve_P35579_MYH9.pdf</t>
  </si>
  <si>
    <t>Melting_Curves/meltCurve_P35580_MYH10.pdf</t>
  </si>
  <si>
    <t>Melting_Curves/meltCurve_P35606_COPB2.pdf</t>
  </si>
  <si>
    <t>Melting_Curves/meltCurve_P35610_SOAT1.pdf</t>
  </si>
  <si>
    <t>Melting_Curves/meltCurve_P35611_ADD1.pdf</t>
  </si>
  <si>
    <t>Melting_Curves/meltCurve_P35613_2_BSG.pdf</t>
  </si>
  <si>
    <t>Melting_Curves/meltCurve_P35637_2_FUS.pdf</t>
  </si>
  <si>
    <t>Melting_Curves/meltCurve_P35658_2_NUP214.pdf</t>
  </si>
  <si>
    <t>Melting_Curves/meltCurve_P35659_DEK.pdf</t>
  </si>
  <si>
    <t>Melting_Curves/meltCurve_P35754_GLRX.pdf</t>
  </si>
  <si>
    <t>Melting_Curves/meltCurve_P35790_CHKA.pdf</t>
  </si>
  <si>
    <t>Melting_Curves/meltCurve_P35813_PPM1A.pdf</t>
  </si>
  <si>
    <t>Melting_Curves/meltCurve_P35998_PSMC2.pdf</t>
  </si>
  <si>
    <t>Melting_Curves/meltCurve_P36404_ARL2.pdf</t>
  </si>
  <si>
    <t>Melting_Curves/meltCurve_P36405_ARL3.pdf</t>
  </si>
  <si>
    <t>Melting_Curves/meltCurve_P36507_MAP2K2.pdf</t>
  </si>
  <si>
    <t>Melting_Curves/meltCurve_P36542_ATP5C1.pdf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</si>
  <si>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</si>
  <si>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</si>
  <si>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</si>
  <si>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</si>
  <si>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Melting_Curves/meltCurve_P36871_PGM1.pdf</t>
  </si>
  <si>
    <t>Melting_Curves/meltCurve_P36873_2_PPP1CC.pdf</t>
  </si>
  <si>
    <t>Melting_Curves/meltCurve_P36915_GNL1.pdf</t>
  </si>
  <si>
    <t>Melting_Curves/meltCurve_P36952_SERPINB5.pdf</t>
  </si>
  <si>
    <t>Melting_Curves/meltCurve_P36954_POLR2I.pdf</t>
  </si>
  <si>
    <t>Melting_Curves/meltCurve_P36955_SERPINF1.pdf</t>
  </si>
  <si>
    <t>Melting_Curves/meltCurve_P36957_DLST.pdf</t>
  </si>
  <si>
    <t>Melting_Curves/meltCurve_P36959_GMPR.pdf</t>
  </si>
  <si>
    <t>Melting_Curves/meltCurve_P36969_2_GPX4.pdf</t>
  </si>
  <si>
    <t>Melting_Curves/meltCurve_P37108_SRP14.pdf</t>
  </si>
  <si>
    <t>Melting_Curves/meltCurve_P37198_NUP62.pdf</t>
  </si>
  <si>
    <t>Melting_Curves/meltCurve_P37235_HPCAL1.pdf</t>
  </si>
  <si>
    <t>Melting_Curves/meltCurve_P37268_FDFT1.pdf</t>
  </si>
  <si>
    <t>Melting_Curves/meltCurve_P37802_TAGLN2.pdf</t>
  </si>
  <si>
    <t>Melting_Curves/meltCurve_P37837_TALDO1.pdf</t>
  </si>
  <si>
    <t>Melting_Curves/meltCurve_P38117_ETFB.pdf</t>
  </si>
  <si>
    <t>Melting_Curves/meltCurve_P38159_RBMX.pdf</t>
  </si>
  <si>
    <t>Melting_Curves/meltCurve_P38432_COIL.pdf</t>
  </si>
  <si>
    <t>Melting_Curves/meltCurve_P38435_GGCX.pdf</t>
  </si>
  <si>
    <t>Melting_Curves/meltCurve_P38571_2_LIPA.pdf</t>
  </si>
  <si>
    <t>Melting_Curves/meltCurve_P38606_ATP6V1A.pdf</t>
  </si>
  <si>
    <t>Melting_Curves/meltCurve_P38646_HSPA9.pdf</t>
  </si>
  <si>
    <t>Melting_Curves/meltCurve_P38919_EIF4A3.pdf</t>
  </si>
  <si>
    <t>Melting_Curves/meltCurve_P38935_IGHMBP2.pdf</t>
  </si>
  <si>
    <t>Melting_Curves/meltCurve_P39019_RPS19.pdf</t>
  </si>
  <si>
    <t>Melting_Curves/meltCurve_P39023_RPL3.pdf</t>
  </si>
  <si>
    <t>Melting_Curves/meltCurve_P39656_DDOST.pdf</t>
  </si>
  <si>
    <t>Melting_Curves/meltCurve_P39687_ANP32A.pdf</t>
  </si>
  <si>
    <t>Melting_Curves/meltCurve_P39748_FEN1.pdf</t>
  </si>
  <si>
    <t>Melting_Curves/meltCurve_P39880_3_CUX1.pdf</t>
  </si>
  <si>
    <t>Melting_Curves/meltCurve_P40222_TXLNA.pdf</t>
  </si>
  <si>
    <t>Melting_Curves/meltCurve_P40227_CCT6A.pdf</t>
  </si>
  <si>
    <t>Melting_Curves/meltCurve_P40692_MLH1.pdf</t>
  </si>
  <si>
    <t>Melting_Curves/meltCurve_P40763_STAT3.pdf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</si>
  <si>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</si>
  <si>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</si>
  <si>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</si>
  <si>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</si>
  <si>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Melting_Curves/meltCurve_P40938_2_RFC3.pdf</t>
  </si>
  <si>
    <t>Melting_Curves/meltCurve_P40939_HADHA.pdf</t>
  </si>
  <si>
    <t>Melting_Curves/meltCurve_P41091_EIF2S3.pdf</t>
  </si>
  <si>
    <t>Melting_Curves/meltCurve_P41134_ID1.pdf</t>
  </si>
  <si>
    <t>Melting_Curves/meltCurve_P41182_2_BCL6.pdf</t>
  </si>
  <si>
    <t>Melting_Curves/meltCurve_P41208_CETN2.pdf</t>
  </si>
  <si>
    <t>Melting_Curves/meltCurve_P41214_EIF2D.pdf</t>
  </si>
  <si>
    <t>Melting_Curves/meltCurve_P41223_BUD31.pdf</t>
  </si>
  <si>
    <t>Melting_Curves/meltCurve_P41227_NAA10.pdf</t>
  </si>
  <si>
    <t>Melting_Curves/meltCurve_P41229_3_KDM5C.pdf</t>
  </si>
  <si>
    <t>Melting_Curves/meltCurve_P41240_CSK.pdf</t>
  </si>
  <si>
    <t>Melting_Curves/meltCurve_P41247_PNPLA4.pdf</t>
  </si>
  <si>
    <t>Melting_Curves/meltCurve_P41250_GARS.pdf</t>
  </si>
  <si>
    <t>Melting_Curves/meltCurve_P41252_IARS.pdf</t>
  </si>
  <si>
    <t>Melting_Curves/meltCurve_P41440_2_SLC19A1.pdf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</si>
  <si>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</si>
  <si>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</si>
  <si>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</si>
  <si>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</si>
  <si>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Melting_Curves/meltCurve_P42166_TMPO.pdf</t>
  </si>
  <si>
    <t>Melting_Curves/meltCurve_P42167_TMPO.pdf</t>
  </si>
  <si>
    <t>Melting_Curves/meltCurve_P42167_2_TMPO.pdf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</si>
  <si>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</si>
  <si>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</si>
  <si>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</si>
  <si>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</si>
  <si>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Melting_Curves/meltCurve_P42336_PIK3CA.pdf</t>
  </si>
  <si>
    <t>Melting_Curves/meltCurve_P42345_MTOR.pdf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</si>
  <si>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</si>
  <si>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</si>
  <si>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</si>
  <si>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</si>
  <si>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Melting_Curves/meltCurve_P42685_FRK.pdf</t>
  </si>
  <si>
    <t>Melting_Curves/meltCurve_P42695_NCAPD3.pdf</t>
  </si>
  <si>
    <t>Melting_Curves/meltCurve_P42704_LRPPRC.pdf</t>
  </si>
  <si>
    <t>Melting_Curves/meltCurve_P42765_ACAA2.pdf</t>
  </si>
  <si>
    <t>Melting_Curves/meltCurve_P42766_RPL35.pdf</t>
  </si>
  <si>
    <t>Melting_Curves/meltCurve_P42772_CDKN2B.pdf</t>
  </si>
  <si>
    <t>Melting_Curves/meltCurve_P42785_PRCP.pdf</t>
  </si>
  <si>
    <t>Melting_Curves/meltCurve_P42858_HTT.pdf</t>
  </si>
  <si>
    <t>Melting_Curves/meltCurve_P42892_3_ECE1.pdf</t>
  </si>
  <si>
    <t>Melting_Curves/meltCurve_P42898_MTHFR.pdf</t>
  </si>
  <si>
    <t>Melting_Curves/meltCurve_P43003_2_SLC1A3.pdf</t>
  </si>
  <si>
    <t>Melting_Curves/meltCurve_P43007_SLC1A4.pdf</t>
  </si>
  <si>
    <t>Melting_Curves/meltCurve_P43034_PAFAH1B1.pdf</t>
  </si>
  <si>
    <t>Melting_Curves/meltCurve_P43121_MCAM.pdf</t>
  </si>
  <si>
    <t>Melting_Curves/meltCurve_P43155_2_CRAT.pdf</t>
  </si>
  <si>
    <t>Melting_Curves/meltCurve_P43246_MSH2.pdf</t>
  </si>
  <si>
    <t>Melting_Curves/meltCurve_P43304_GPD2.pdf</t>
  </si>
  <si>
    <t>Melting_Curves/meltCurve_P43307_SSR1.pdf</t>
  </si>
  <si>
    <t>Melting_Curves/meltCurve_P43378_PTPN9.pdf</t>
  </si>
  <si>
    <t>Melting_Curves/meltCurve_P43405_SYK.pdf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</si>
  <si>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</si>
  <si>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</si>
  <si>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</si>
  <si>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</si>
  <si>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Melting_Curves/meltCurve_P45877_PPIC.pdf</t>
  </si>
  <si>
    <t>Melting_Curves/meltCurve_P45880_VDAC2.pdf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</si>
  <si>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</si>
  <si>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</si>
  <si>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</si>
  <si>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</si>
  <si>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Melting_Curves/meltCurve_P45984_3_MAPK9.pdf</t>
  </si>
  <si>
    <t>Melting_Curves/meltCurve_P45985_MAP2K4.pdf</t>
  </si>
  <si>
    <t>Melting_Curves/meltCurve_P46013_MKI67.pdf</t>
  </si>
  <si>
    <t>Melting_Curves/meltCurve_P46019_PHKA2.pdf</t>
  </si>
  <si>
    <t>Melting_Curves/meltCurve_P46060_RANGAP1.pdf</t>
  </si>
  <si>
    <t>Melting_Curves/meltCurve_P46063_RECQL.pdf</t>
  </si>
  <si>
    <t>Melting_Curves/meltCurve_P46087_NOP2.pdf</t>
  </si>
  <si>
    <t>Melting_Curves/meltCurve_P46100_2_ATRX.pdf</t>
  </si>
  <si>
    <t>Melting_Curves/meltCurve_P46108_CRK.pdf</t>
  </si>
  <si>
    <t>Melting_Curves/meltCurve_P46108_2_CRK.pdf</t>
  </si>
  <si>
    <t>Melting_Curves/meltCurve_P46109_CRKL.pdf</t>
  </si>
  <si>
    <t>Melting_Curves/meltCurve_P46199_MTIF2.pdf</t>
  </si>
  <si>
    <t>Melting_Curves/meltCurve_P46527_CDKN1B.pdf</t>
  </si>
  <si>
    <t>Melting_Curves/meltCurve_P46531_NOTCH1.pdf</t>
  </si>
  <si>
    <t>Melting_Curves/meltCurve_P46734_MAP2K3.pdf</t>
  </si>
  <si>
    <t>Melting_Curves/meltCurve_P46736_2_BRCC3.pdf</t>
  </si>
  <si>
    <t>Melting_Curves/meltCurve_P46777_RPL5.pdf</t>
  </si>
  <si>
    <t>Melting_Curves/meltCurve_P46778_RPL21.pdf</t>
  </si>
  <si>
    <t>Melting_Curves/meltCurve_P46781_RPS9.pdf</t>
  </si>
  <si>
    <t>Melting_Curves/meltCurve_P46783_RPS10.pdf</t>
  </si>
  <si>
    <t>Melting_Curves/meltCurve_P46926_GNPDA1.pdf</t>
  </si>
  <si>
    <t>Melting_Curves/meltCurve_P46937_YAP1.pdf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</si>
  <si>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</si>
  <si>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</si>
  <si>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</si>
  <si>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</si>
  <si>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Melting_Curves/meltCurve_P47712_PLA2G4A.pdf</t>
  </si>
  <si>
    <t>Melting_Curves/meltCurve_P47755_CAPZA2.pdf</t>
  </si>
  <si>
    <t>Melting_Curves/meltCurve_P47756_2_CAPZB.pdf</t>
  </si>
  <si>
    <t>Melting_Curves/meltCurve_P47813_EIF1AX.pdf</t>
  </si>
  <si>
    <t>Melting_Curves/meltCurve_P47897_QARS.pdf</t>
  </si>
  <si>
    <t>Melting_Curves/meltCurve_P47914_RPL29.pdf</t>
  </si>
  <si>
    <t>Melting_Curves/meltCurve_P47929_LGALS7.pdf</t>
  </si>
  <si>
    <t>Melting_Curves/meltCurve_P47985_UQCRFS1.pdf</t>
  </si>
  <si>
    <t>Melting_Curves/meltCurve_P48029_SLC6A8.pdf</t>
  </si>
  <si>
    <t>Melting_Curves/meltCurve_P48047_ATP5O.pdf</t>
  </si>
  <si>
    <t>Melting_Curves/meltCurve_P48059_LIMS1.pdf</t>
  </si>
  <si>
    <t>Melting_Curves/meltCurve_P48067_2_SLC6A9.pdf</t>
  </si>
  <si>
    <t>Melting_Curves/meltCurve_P48147_PREP.pdf</t>
  </si>
  <si>
    <t>Melting_Curves/meltCurve_P48163_ME1.pdf</t>
  </si>
  <si>
    <t>Melting_Curves/meltCurve_P48200_IREB2.pdf</t>
  </si>
  <si>
    <t>Melting_Curves/meltCurve_P48380_2_RFX3.pdf</t>
  </si>
  <si>
    <t>Melting_Curves/meltCurve_P48431_SOX2.pdf</t>
  </si>
  <si>
    <t>Melting_Curves/meltCurve_P48436_SOX9.pdf</t>
  </si>
  <si>
    <t>Melting_Curves/meltCurve_P48444_ARCN1.pdf</t>
  </si>
  <si>
    <t>Melting_Curves/meltCurve_P48449_LSS.pdf</t>
  </si>
  <si>
    <t>Melting_Curves/meltCurve_P48454_2_PPP3CC.pdf</t>
  </si>
  <si>
    <t>Melting_Curves/meltCurve_P48506_GCLC.pdf</t>
  </si>
  <si>
    <t>Melting_Curves/meltCurve_P48507_GCLM.pdf</t>
  </si>
  <si>
    <t>Melting_Curves/meltCurve_P48634_PRRC2A.pdf</t>
  </si>
  <si>
    <t>Melting_Curves/meltCurve_P48637_GSS.pdf</t>
  </si>
  <si>
    <t>Melting_Curves/meltCurve_P48643_CCT5.pdf</t>
  </si>
  <si>
    <t>Melting_Curves/meltCurve_P48651_PTDSS1.pdf</t>
  </si>
  <si>
    <t>Melting_Curves/meltCurve_P48723_HSPA13.pdf</t>
  </si>
  <si>
    <t>Melting_Curves/meltCurve_P48728_AMT.pdf</t>
  </si>
  <si>
    <t>Melting_Curves/meltCurve_P48729_CSNK1A1.pdf</t>
  </si>
  <si>
    <t>Melting_Curves/meltCurve_P48730_2_CSNK1D.pdf</t>
  </si>
  <si>
    <t>Melting_Curves/meltCurve_P48735_IDH2.pdf</t>
  </si>
  <si>
    <t>Melting_Curves/meltCurve_P48739_PITPNB.pdf</t>
  </si>
  <si>
    <t>Melting_Curves/meltCurve_P48960_2_CD97.pdf</t>
  </si>
  <si>
    <t>Melting_Curves/meltCurve_P49005_POLD2.pdf</t>
  </si>
  <si>
    <t>Melting_Curves/meltCurve_P49006_MARCKSL1.pdf</t>
  </si>
  <si>
    <t>Melting_Curves/meltCurve_P49069_CAMLG.pdf</t>
  </si>
  <si>
    <t>Melting_Curves/meltCurve_P49116_NR2C2.pdf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</si>
  <si>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</si>
  <si>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</si>
  <si>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</si>
  <si>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</si>
  <si>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</si>
  <si>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Melting_Curves/meltCurve_P49321_3_NASP.pdf</t>
  </si>
  <si>
    <t>Melting_Curves/meltCurve_P49327_FASN.pdf</t>
  </si>
  <si>
    <t>Melting_Curves/meltCurve_P49336_2_CDK8.pdf</t>
  </si>
  <si>
    <t>Melting_Curves/meltCurve_P49354_FNTA.pdf</t>
  </si>
  <si>
    <t>Melting_Curves/meltCurve_P49366_DHPS.pdf</t>
  </si>
  <si>
    <t>Melting_Curves/meltCurve_P49368_CCT3.pdf</t>
  </si>
  <si>
    <t>Melting_Curves/meltCurve_P49406_MRPL19.pdf</t>
  </si>
  <si>
    <t>Melting_Curves/meltCurve_P49407_2_ARRB1.pdf</t>
  </si>
  <si>
    <t>Melting_Curves/meltCurve_P49411_TUFM.pdf</t>
  </si>
  <si>
    <t>Melting_Curves/meltCurve_P49419_2_ALDH7A1.pdf</t>
  </si>
  <si>
    <t>Melting_Curves/meltCurve_P49427_CDC34.pdf</t>
  </si>
  <si>
    <t>Melting_Curves/meltCurve_P49441_INPP1.pdf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</si>
  <si>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</si>
  <si>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</si>
  <si>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</si>
  <si>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</si>
  <si>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</si>
  <si>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</si>
  <si>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</si>
  <si>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Melting_Curves/meltCurve_P49642_PRIM1.pdf</t>
  </si>
  <si>
    <t>Melting_Curves/meltCurve_P49643_PRIM2.pdf</t>
  </si>
  <si>
    <t>Melting_Curves/meltCurve_P49662_CASP4.pdf</t>
  </si>
  <si>
    <t>Melting_Curves/meltCurve_P49674_CSNK1E.pdf</t>
  </si>
  <si>
    <t>Melting_Curves/meltCurve_P49711_2_CTCF.pdf</t>
  </si>
  <si>
    <t>Melting_Curves/meltCurve_P49720_PSMB3.pdf</t>
  </si>
  <si>
    <t>Melting_Curves/meltCurve_P49721_PSMB2.pdf</t>
  </si>
  <si>
    <t>Melting_Curves/meltCurve_P49736_MCM2.pdf</t>
  </si>
  <si>
    <t>Melting_Curves/meltCurve_P49748_2_ACADVL.pdf</t>
  </si>
  <si>
    <t>Melting_Curves/meltCurve_P49750_4_YLPM1.pdf</t>
  </si>
  <si>
    <t>Melting_Curves/meltCurve_P49753_ACOT2.pdf</t>
  </si>
  <si>
    <t>Melting_Curves/meltCurve_P49755_TMED10.pdf</t>
  </si>
  <si>
    <t>Melting_Curves/meltCurve_P49756_RBM25.pdf</t>
  </si>
  <si>
    <t>Melting_Curves/meltCurve_P49757_4_NUMB.pdf</t>
  </si>
  <si>
    <t>Melting_Curves/meltCurve_P49770_EIF2B2.pdf</t>
  </si>
  <si>
    <t>Melting_Curves/meltCurve_P49773_HINT1.pdf</t>
  </si>
  <si>
    <t>Melting_Curves/meltCurve_P49789_FHIT.pdf</t>
  </si>
  <si>
    <t>Melting_Curves/meltCurve_P49790_NUP153.pdf</t>
  </si>
  <si>
    <t>Melting_Curves/meltCurve_P49792_RANBP2.pdf</t>
  </si>
  <si>
    <t>Melting_Curves/meltCurve_P49840_GSK3A.pdf</t>
  </si>
  <si>
    <t>Melting_Curves/meltCurve_P49841_GSK3B.pdf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</si>
  <si>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</si>
  <si>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</si>
  <si>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</si>
  <si>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</si>
  <si>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Melting_Curves/meltCurve_P49916_LIG3.pdf</t>
  </si>
  <si>
    <t>Melting_Curves/meltCurve_P49959_MRE11A.pdf</t>
  </si>
  <si>
    <t>Melting_Curves/meltCurve_P49961_ENTPD1.pdf</t>
  </si>
  <si>
    <t>Melting_Curves/meltCurve_P50053_KHK.pdf</t>
  </si>
  <si>
    <t>Melting_Curves/meltCurve_P50148_GNAQ.pdf</t>
  </si>
  <si>
    <t>Melting_Curves/meltCurve_P50151_GNG10.pdf</t>
  </si>
  <si>
    <t>Melting_Curves/meltCurve_P50213_IDH3A.pdf</t>
  </si>
  <si>
    <t>Melting_Curves/meltCurve_P50238_CRIP1.pdf</t>
  </si>
  <si>
    <t>Melting_Curves/meltCurve_P50336_PPOX.pdf</t>
  </si>
  <si>
    <t>Melting_Curves/meltCurve_P50402_EMD.pdf</t>
  </si>
  <si>
    <t>Melting_Curves/meltCurve_P50416_2_CPT1A.pdf</t>
  </si>
  <si>
    <t>Melting_Curves/meltCurve_P50452_SERPINB8.pdf</t>
  </si>
  <si>
    <t>Melting_Curves/meltCurve_P50453_SERPINB9.pdf</t>
  </si>
  <si>
    <t>Melting_Curves/meltCurve_P50454_SERPINH1.pdf</t>
  </si>
  <si>
    <t>Melting_Curves/meltCurve_P50502_ST13.pdf</t>
  </si>
  <si>
    <t>Melting_Curves/meltCurve_P50552_VASP.pdf</t>
  </si>
  <si>
    <t>Melting_Curves/meltCurve_P50570_4_DNM2.pdf</t>
  </si>
  <si>
    <t>Melting_Curves/meltCurve_P50579_METAP2.pdf</t>
  </si>
  <si>
    <t>Melting_Curves/meltCurve_P50583_NUDT2.pdf</t>
  </si>
  <si>
    <t>Melting_Curves/meltCurve_P50613_CDK7.pdf</t>
  </si>
  <si>
    <t>Melting_Curves/meltCurve_P50747_HLCS.pdf</t>
  </si>
  <si>
    <t>Melting_Curves/meltCurve_P50748_KNTC1.pdf</t>
  </si>
  <si>
    <t>Melting_Curves/meltCurve_P50750_CDK9.pdf</t>
  </si>
  <si>
    <t>Melting_Curves/meltCurve_P50895_BCAM.pdf</t>
  </si>
  <si>
    <t>Melting_Curves/meltCurve_P50897_PPT1.pdf</t>
  </si>
  <si>
    <t>Melting_Curves/meltCurve_P50990_CCT8.pdf</t>
  </si>
  <si>
    <t>Melting_Curves/meltCurve_P50991_CCT4.pdf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</si>
  <si>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</si>
  <si>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</si>
  <si>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</si>
  <si>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</si>
  <si>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Melting_Curves/meltCurve_P51153_RAB13.pdf</t>
  </si>
  <si>
    <t>Melting_Curves/meltCurve_P51157_RAB28.pdf</t>
  </si>
  <si>
    <t>Melting_Curves/meltCurve_P51161_FABP6.pdf</t>
  </si>
  <si>
    <t>Melting_Curves/meltCurve_P51397_DAP.pdf</t>
  </si>
  <si>
    <t>Melting_Curves/meltCurve_P51398_2_DAP3.pdf</t>
  </si>
  <si>
    <t>Melting_Curves/meltCurve_P51452_DUSP3.pdf</t>
  </si>
  <si>
    <t>Melting_Curves/meltCurve_P51531_2_SMARCA2.pdf</t>
  </si>
  <si>
    <t>Melting_Curves/meltCurve_P51553_IDH3G.pdf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</si>
  <si>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</si>
  <si>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</si>
  <si>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</si>
  <si>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</si>
  <si>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Melting_Curves/meltCurve_P51608_MECP2.pdf</t>
  </si>
  <si>
    <t>Melting_Curves/meltCurve_P51610_2_HCFC1.pdf</t>
  </si>
  <si>
    <t>Melting_Curves/meltCurve_P51648_ALDH3A2.pdf</t>
  </si>
  <si>
    <t>Melting_Curves/meltCurve_P51659_HSD17B4.pdf</t>
  </si>
  <si>
    <t>Melting_Curves/meltCurve_P51665_PSMD7.pdf</t>
  </si>
  <si>
    <t>Melting_Curves/meltCurve_P51687_SUOX.pdf</t>
  </si>
  <si>
    <t>Melting_Curves/meltCurve_P51688_SGSH.pdf</t>
  </si>
  <si>
    <t>Melting_Curves/meltCurve_P51787_2_KCNQ1.pdf</t>
  </si>
  <si>
    <t>Melting_Curves/meltCurve_P51790_4_CLCN3.pdf</t>
  </si>
  <si>
    <t>Melting_Curves/meltCurve_P51797_CLCN6.pdf</t>
  </si>
  <si>
    <t>Melting_Curves/meltCurve_P51798_2_CLCN7.pdf</t>
  </si>
  <si>
    <t>Melting_Curves/meltCurve_P51805_PLXNA3.pdf</t>
  </si>
  <si>
    <t>Melting_Curves/meltCurve_P51809_VAMP7.pdf</t>
  </si>
  <si>
    <t>Melting_Curves/meltCurve_P51812_RPS6KA3.pdf</t>
  </si>
  <si>
    <t>Melting_Curves/meltCurve_P51817_PRKX.pdf</t>
  </si>
  <si>
    <t>Melting_Curves/meltCurve_P51857_2_AKR1D1.pdf</t>
  </si>
  <si>
    <t>Melting_Curves/meltCurve_P51858_HDGF.pdf</t>
  </si>
  <si>
    <t>Melting_Curves/meltCurve_P51946_CCNH.pdf</t>
  </si>
  <si>
    <t>Melting_Curves/meltCurve_P51948_2_MNAT1.pdf</t>
  </si>
  <si>
    <t>Melting_Curves/meltCurve_P51970_NDUFA8.pdf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</si>
  <si>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</si>
  <si>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</si>
  <si>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</si>
  <si>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</si>
  <si>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</si>
  <si>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</si>
  <si>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Melting_Curves/meltCurve_P52564_MAP2K6.pdf</t>
  </si>
  <si>
    <t>Melting_Curves/meltCurve_P52565_ARHGDIA.pdf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</si>
  <si>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</si>
  <si>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</si>
  <si>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</si>
  <si>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</si>
  <si>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Melting_Curves/meltCurve_P52701_MSH6.pdf</t>
  </si>
  <si>
    <t>Melting_Curves/meltCurve_P52732_KIF11.pdf</t>
  </si>
  <si>
    <t>Melting_Curves/meltCurve_P52756_RBM5.pdf</t>
  </si>
  <si>
    <t>Melting_Curves/meltCurve_P52758_HRSP12.pdf</t>
  </si>
  <si>
    <t>Melting_Curves/meltCurve_P52788_SMS.pdf</t>
  </si>
  <si>
    <t>Melting_Curves/meltCurve_P52789_HK2.pdf</t>
  </si>
  <si>
    <t>Melting_Curves/meltCurve_P52798_2_EFNA4.pdf</t>
  </si>
  <si>
    <t>Melting_Curves/meltCurve_P52799_EFNB2.pdf</t>
  </si>
  <si>
    <t>Melting_Curves/meltCurve_P52888_THOP1.pdf</t>
  </si>
  <si>
    <t>Melting_Curves/meltCurve_P52907_CAPZA1.pdf</t>
  </si>
  <si>
    <t>Melting_Curves/meltCurve_P52943_CRIP2.pdf</t>
  </si>
  <si>
    <t>Melting_Curves/meltCurve_P52948_6_NUP98.pdf</t>
  </si>
  <si>
    <t>Melting_Curves/meltCurve_P53004_BLVRA.pdf</t>
  </si>
  <si>
    <t>Melting_Curves/meltCurve_P53007_SLC25A1.pdf</t>
  </si>
  <si>
    <t>Melting_Curves/meltCurve_P53350_PLK1.pdf</t>
  </si>
  <si>
    <t>Melting_Curves/meltCurve_P53365_ARFIP2.pdf</t>
  </si>
  <si>
    <t>Melting_Curves/meltCurve_P53367_ARFIP1.pdf</t>
  </si>
  <si>
    <t>Melting_Curves/meltCurve_P53367_2_ARFIP1.pdf</t>
  </si>
  <si>
    <t>Melting_Curves/meltCurve_P53370_NUDT6.pdf</t>
  </si>
  <si>
    <t>Melting_Curves/meltCurve_P53384_2_NUBP1.pdf</t>
  </si>
  <si>
    <t>Melting_Curves/meltCurve_P53396_ACLY.pdf</t>
  </si>
  <si>
    <t>Melting_Curves/meltCurve_P53567_CEBPG.pdf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</si>
  <si>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</si>
  <si>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</si>
  <si>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</si>
  <si>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</si>
  <si>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</si>
  <si>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</si>
  <si>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</si>
  <si>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</si>
  <si>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Melting_Curves/meltCurve_P53677_AP3M2.pdf</t>
  </si>
  <si>
    <t>Melting_Curves/meltCurve_P53701_HCCS.pdf</t>
  </si>
  <si>
    <t>Melting_Curves/meltCurve_P53778_MAPK12.pdf</t>
  </si>
  <si>
    <t>Melting_Curves/meltCurve_P53794_SLC5A3.pdf</t>
  </si>
  <si>
    <t>Melting_Curves/meltCurve_P53803_POLR2K.pdf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</si>
  <si>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</si>
  <si>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</si>
  <si>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</si>
  <si>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</si>
  <si>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</si>
  <si>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Melting_Curves/meltCurve_P54098_POLG.pdf</t>
  </si>
  <si>
    <t>Melting_Curves/meltCurve_P54136_RARS.pdf</t>
  </si>
  <si>
    <t>Melting_Curves/meltCurve_P54136_2_RARS.pdf</t>
  </si>
  <si>
    <t>Melting_Curves/meltCurve_P54259_ATN1.pdf</t>
  </si>
  <si>
    <t>Melting_Curves/meltCurve_P54577_YARS.pdf</t>
  </si>
  <si>
    <t>Melting_Curves/meltCurve_P54578_USP14.pdf</t>
  </si>
  <si>
    <t>Melting_Curves/meltCurve_P54619_2_PRKAG1.pdf</t>
  </si>
  <si>
    <t>Melting_Curves/meltCurve_P54652_HSPA2.pdf</t>
  </si>
  <si>
    <t>Melting_Curves/meltCurve_P54709_ATP1B3.pdf</t>
  </si>
  <si>
    <t>Melting_Curves/meltCurve_P54727_RAD23B.pdf</t>
  </si>
  <si>
    <t>Melting_Curves/meltCurve_P54753_EPHB3.pdf</t>
  </si>
  <si>
    <t>Melting_Curves/meltCurve_P54764_EPHA4.pdf</t>
  </si>
  <si>
    <t>Melting_Curves/meltCurve_P54802_NAGLU.pdf</t>
  </si>
  <si>
    <t>Melting_Curves/meltCurve_P54819_AK2.pdf</t>
  </si>
  <si>
    <t>Melting_Curves/meltCurve_P54886_2_ALDH18A1.pdf</t>
  </si>
  <si>
    <t>Melting_Curves/meltCurve_P54920_NAPA.pdf</t>
  </si>
  <si>
    <t>Melting_Curves/meltCurve_P55010_EIF5.pdf</t>
  </si>
  <si>
    <t>Melting_Curves/meltCurve_P55011_3_SLC12A2.pdf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</si>
  <si>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</si>
  <si>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</si>
  <si>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</si>
  <si>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</si>
  <si>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</si>
  <si>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Melting_Curves/meltCurve_P55082_2_MFAP3.pdf</t>
  </si>
  <si>
    <t>Melting_Curves/meltCurve_P55145_MANF.pdf</t>
  </si>
  <si>
    <t>Melting_Curves/meltCurve_P55199_ELL.pdf</t>
  </si>
  <si>
    <t>Melting_Curves/meltCurve_P55210_CASP7.pdf</t>
  </si>
  <si>
    <t>Melting_Curves/meltCurve_P55211_CASP9.pdf</t>
  </si>
  <si>
    <t>Melting_Curves/meltCurve_P55212_CASP6.pdf</t>
  </si>
  <si>
    <t>Melting_Curves/meltCurve_P55263_ADK.pdf</t>
  </si>
  <si>
    <t>Melting_Curves/meltCurve_P55268_LAMB2.pdf</t>
  </si>
  <si>
    <t>Melting_Curves/meltCurve_P55273_CDKN2D.pdf</t>
  </si>
  <si>
    <t>Melting_Curves/meltCurve_P55327_2_TPD52.pdf</t>
  </si>
  <si>
    <t>Melting_Curves/meltCurve_P55735_SEC13.pdf</t>
  </si>
  <si>
    <t>Melting_Curves/meltCurve_P55789_GFER.pdf</t>
  </si>
  <si>
    <t>Melting_Curves/meltCurve_P55795_HNRNPH2.pdf</t>
  </si>
  <si>
    <t>Melting_Curves/meltCurve_P55809_OXCT1.pdf</t>
  </si>
  <si>
    <t>Melting_Curves/meltCurve_P55884_EIF3B.pdf</t>
  </si>
  <si>
    <t>Melting_Curves/meltCurve_P55957_BID.pdf</t>
  </si>
  <si>
    <t>Melting_Curves/meltCurve_P56181_NDUFV3.pdf</t>
  </si>
  <si>
    <t>Melting_Curves/meltCurve_P56181_2_NDUFV3.pdf</t>
  </si>
  <si>
    <t>Melting_Curves/meltCurve_P56182_RRP1.pdf</t>
  </si>
  <si>
    <t>Melting_Curves/meltCurve_P56192_MARS.pdf</t>
  </si>
  <si>
    <t>Melting_Curves/meltCurve_P56199_ITGA1.pdf</t>
  </si>
  <si>
    <t>Melting_Curves/meltCurve_P56211_ARPP19.pdf</t>
  </si>
  <si>
    <t>Melting_Curves/meltCurve_P56270_2_MAZ.pdf</t>
  </si>
  <si>
    <t>Melting_Curves/meltCurve_P56277_CMC4.pdf</t>
  </si>
  <si>
    <t>Melting_Curves/meltCurve_P56378_MP68.pdf</t>
  </si>
  <si>
    <t>Melting_Curves/meltCurve_P56381_ATP5E.pdf</t>
  </si>
  <si>
    <t>Melting_Curves/meltCurve_P56385_ATP5I.pdf</t>
  </si>
  <si>
    <t>Melting_Curves/meltCurve_P56524_HDAC4.pdf</t>
  </si>
  <si>
    <t>Melting_Curves/meltCurve_P56537_EIF6.pdf</t>
  </si>
  <si>
    <t>Melting_Curves/meltCurve_P56545_2_CTBP2.pdf</t>
  </si>
  <si>
    <t>Melting_Curves/meltCurve_P56556_NDUFA6.pdf</t>
  </si>
  <si>
    <t>Melting_Curves/meltCurve_P56589_PEX3.pdf</t>
  </si>
  <si>
    <t>Melting_Curves/meltCurve_P56749_CLDN12.pdf</t>
  </si>
  <si>
    <t>Melting_Curves/meltCurve_P56937_3_HSD17B7.pdf</t>
  </si>
  <si>
    <t>Melting_Curves/meltCurve_P56945_5_BCAR1.pdf</t>
  </si>
  <si>
    <t>Melting_Curves/meltCurve_P56962_STX17.pdf</t>
  </si>
  <si>
    <t>Melting_Curves/meltCurve_P57054_3_PIGP.pdf</t>
  </si>
  <si>
    <t>Melting_Curves/meltCurve_P57076_C21orf59.pdf</t>
  </si>
  <si>
    <t>Melting_Curves/meltCurve_P57081_2_WDR4.pdf</t>
  </si>
  <si>
    <t>Melting_Curves/meltCurve_P57088_TMEM33.pdf</t>
  </si>
  <si>
    <t>Melting_Curves/meltCurve_P57105_SYNJ2BP.pdf</t>
  </si>
  <si>
    <t>Melting_Curves/meltCurve_P57682_KLF3.pdf</t>
  </si>
  <si>
    <t>Melting_Curves/meltCurve_P57735_RAB25.pdf</t>
  </si>
  <si>
    <t>Melting_Curves/meltCurve_P57737_3_CORO7.pdf</t>
  </si>
  <si>
    <t>Melting_Curves/meltCurve_P57740_NUP107.pdf</t>
  </si>
  <si>
    <t>Melting_Curves/meltCurve_P57772_EEFSEC.pdf</t>
  </si>
  <si>
    <t>Melting_Curves/meltCurve_P58546_MTPN.pdf</t>
  </si>
  <si>
    <t>Melting_Curves/meltCurve_P59998_ARPC4.pdf</t>
  </si>
  <si>
    <t>Melting_Curves/meltCurve_P60059_SEC61G.pdf</t>
  </si>
  <si>
    <t>Melting_Curves/meltCurve_P60174_TPI1.pdf</t>
  </si>
  <si>
    <t>Melting_Curves/meltCurve_P60228_EIF3E.pdf</t>
  </si>
  <si>
    <t>Melting_Curves/meltCurve_P60468_SEC61B.pdf</t>
  </si>
  <si>
    <t>Melting_Curves/meltCurve_P60484_PTEN.pdf</t>
  </si>
  <si>
    <t>Melting_Curves/meltCurve_P60510_PPP4C.pdf</t>
  </si>
  <si>
    <t>Melting_Curves/meltCurve_P60602_ROMO1.pdf</t>
  </si>
  <si>
    <t>Melting_Curves/meltCurve_P60604_2_UBE2G2.pdf</t>
  </si>
  <si>
    <t>Melting_Curves/meltCurve_P60709_ACTB.pdf</t>
  </si>
  <si>
    <t>Melting_Curves/meltCurve_P60763_RAC3.pdf</t>
  </si>
  <si>
    <t>Melting_Curves/meltCurve_P60842_EIF4A1.pdf</t>
  </si>
  <si>
    <t>Melting_Curves/meltCurve_P60866_RPS20.pdf</t>
  </si>
  <si>
    <t>Melting_Curves/meltCurve_P60891_PRPS1.pdf</t>
  </si>
  <si>
    <t>Melting_Curves/meltCurve_P60896_SHFM1.pdf</t>
  </si>
  <si>
    <t>Melting_Curves/meltCurve_P60903_S100A10.pdf</t>
  </si>
  <si>
    <t>Melting_Curves/meltCurve_P60953_CDC42.pdf</t>
  </si>
  <si>
    <t>Melting_Curves/meltCurve_P60981_DSTN.pdf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</si>
  <si>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</si>
  <si>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</si>
  <si>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</si>
  <si>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</si>
  <si>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</si>
  <si>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</si>
  <si>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</si>
  <si>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</si>
  <si>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</si>
  <si>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</si>
  <si>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</si>
  <si>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</si>
  <si>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</si>
  <si>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Melting_Curves/meltCurve_P61129_ZC3H6.pdf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</si>
  <si>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</si>
  <si>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</si>
  <si>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</si>
  <si>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</si>
  <si>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Melting_Curves/meltCurve_P61204_ARF3.pdf</t>
  </si>
  <si>
    <t>Melting_Curves/meltCurve_P61218_POLR2F.pdf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</si>
  <si>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</si>
  <si>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</si>
  <si>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</si>
  <si>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</si>
  <si>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Melting_Curves/meltCurve_P61247_RPS3A.pdf</t>
  </si>
  <si>
    <t>Melting_Curves/meltCurve_P61254_RPL26.pdf</t>
  </si>
  <si>
    <t>Melting_Curves/meltCurve_P61289_PSME3.pdf</t>
  </si>
  <si>
    <t>Melting_Curves/meltCurve_P61326_MAGOH.pdf</t>
  </si>
  <si>
    <t>Melting_Curves/meltCurve_P61353_RPL27.pdf</t>
  </si>
  <si>
    <t>Melting_Curves/meltCurve_P61457_PCBD1.pdf</t>
  </si>
  <si>
    <t>Melting_Curves/meltCurve_P61586_RHOA.pdf</t>
  </si>
  <si>
    <t>Melting_Curves/meltCurve_P61599_NAA20.pdf</t>
  </si>
  <si>
    <t>Melting_Curves/meltCurve_P61601_NCALD.pdf</t>
  </si>
  <si>
    <t>Melting_Curves/meltCurve_P61604_HSPE1.pdf</t>
  </si>
  <si>
    <t>Melting_Curves/meltCurve_P61758_VBP1.pdf</t>
  </si>
  <si>
    <t>Melting_Curves/meltCurve_P61764_STXBP1.pdf</t>
  </si>
  <si>
    <t>Melting_Curves/meltCurve_P61769_B2M.pdf</t>
  </si>
  <si>
    <t>Melting_Curves/meltCurve_P61812_TGFB2.pdf</t>
  </si>
  <si>
    <t>Melting_Curves/meltCurve_P61927_RPL37.pdf</t>
  </si>
  <si>
    <t>Melting_Curves/meltCurve_P61962_DCAF7.pdf</t>
  </si>
  <si>
    <t>Melting_Curves/meltCurve_P61964_WDR5.pdf</t>
  </si>
  <si>
    <t>Melting_Curves/meltCurve_P61966_AP1S1.pdf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</si>
  <si>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</si>
  <si>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</si>
  <si>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</si>
  <si>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</si>
  <si>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</si>
  <si>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</si>
  <si>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</si>
  <si>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</si>
  <si>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</si>
  <si>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</si>
  <si>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</si>
  <si>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</si>
  <si>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</si>
  <si>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Melting_Curves/meltCurve_P62258_YWHAE.pdf</t>
  </si>
  <si>
    <t>Melting_Curves/meltCurve_P62263_RPS14.pdf</t>
  </si>
  <si>
    <t>Melting_Curves/meltCurve_P62266_RPS23.pdf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</si>
  <si>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</si>
  <si>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</si>
  <si>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</si>
  <si>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</si>
  <si>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</si>
  <si>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</si>
  <si>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</si>
  <si>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</si>
  <si>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</si>
  <si>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</si>
  <si>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</si>
  <si>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Melting_Curves/meltCurve_P62324_BTG1.pdf</t>
  </si>
  <si>
    <t>Melting_Curves/meltCurve_P62328_TMSB4X.pdf</t>
  </si>
  <si>
    <t>Melting_Curves/meltCurve_P62330_ARF6.pdf</t>
  </si>
  <si>
    <t>Melting_Curves/meltCurve_P62333_PSMC6.pdf</t>
  </si>
  <si>
    <t>Melting_Curves/meltCurve_P62341_SELT.pdf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</si>
  <si>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</si>
  <si>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</si>
  <si>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</si>
  <si>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</si>
  <si>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</si>
  <si>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Melting_Curves/meltCurve_P62633_4_CNBP.pdf</t>
  </si>
  <si>
    <t>Melting_Curves/meltCurve_P62633_5_CNBP.pdf</t>
  </si>
  <si>
    <t>Melting_Curves/meltCurve_P62701_RPS4X.pdf</t>
  </si>
  <si>
    <t>Melting_Curves/meltCurve_P62714_PPP2CB.pdf</t>
  </si>
  <si>
    <t>Melting_Curves/meltCurve_P62745_RHOB.pdf</t>
  </si>
  <si>
    <t>Melting_Curves/meltCurve_P62750_RPL23A.pdf</t>
  </si>
  <si>
    <t>Melting_Curves/meltCurve_P62753_RPS6.pdf</t>
  </si>
  <si>
    <t>Melting_Curves/meltCurve_P62760_VSNL1.pdf</t>
  </si>
  <si>
    <t>Melting_Curves/meltCurve_P62805_HIST1H4A.pdf</t>
  </si>
  <si>
    <t>Melting_Curves/meltCurve_P62820_RAB1A.pdf</t>
  </si>
  <si>
    <t>Melting_Curves/meltCurve_P62829_RPL23.pdf</t>
  </si>
  <si>
    <t>Melting_Curves/meltCurve_P62834_RAP1A.pdf</t>
  </si>
  <si>
    <t>Melting_Curves/meltCurve_P62837_UBE2D2.pdf</t>
  </si>
  <si>
    <t>Melting_Curves/meltCurve_P62851_RPS25.pdf</t>
  </si>
  <si>
    <t>Melting_Curves/meltCurve_P62854_RPS26.pdf</t>
  </si>
  <si>
    <t>Melting_Curves/meltCurve_P62857_RPS28.pdf</t>
  </si>
  <si>
    <t>Melting_Curves/meltCurve_P62873_GNB1.pdf</t>
  </si>
  <si>
    <t>Melting_Curves/meltCurve_P62877_RBX1.pdf</t>
  </si>
  <si>
    <t>Melting_Curves/meltCurve_P62879_GNB2.pdf</t>
  </si>
  <si>
    <t>Melting_Curves/meltCurve_P62906_RPL10A.pdf</t>
  </si>
  <si>
    <t>Melting_Curves/meltCurve_P62913_2_RPL11.pdf</t>
  </si>
  <si>
    <t>Melting_Curves/meltCurve_P62917_RPL8.pdf</t>
  </si>
  <si>
    <t>Melting_Curves/meltCurve_P62937_PPIA.pdf</t>
  </si>
  <si>
    <t>Melting_Curves/meltCurve_P62942_FKBP1A.pdf</t>
  </si>
  <si>
    <t>Melting_Curves/meltCurve_P62979_RPS27A.pdf</t>
  </si>
  <si>
    <t>Melting_Curves/meltCurve_P62987_UBA52.pdf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</si>
  <si>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</si>
  <si>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</si>
  <si>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</si>
  <si>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</si>
  <si>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Melting_Curves/meltCurve_P63092_3_GNAS.pdf</t>
  </si>
  <si>
    <t>Melting_Curves/meltCurve_P63096_GNAI1.pdf</t>
  </si>
  <si>
    <t>Melting_Curves/meltCurve_P63104_YWHAZ.pdf</t>
  </si>
  <si>
    <t>Melting_Curves/meltCurve_P63151_PPP2R2A.pdf</t>
  </si>
  <si>
    <t>Melting_Curves/meltCurve_P63167_DYNLL1.pdf</t>
  </si>
  <si>
    <t>Melting_Curves/meltCurve_P63173_RPL38.pdf</t>
  </si>
  <si>
    <t>Melting_Curves/meltCurve_P63218_GNG5.pdf</t>
  </si>
  <si>
    <t>Melting_Curves/meltCurve_P63244_GNB2L1.pdf</t>
  </si>
  <si>
    <t>Melting_Curves/meltCurve_P63272_SUPT4H1.pdf</t>
  </si>
  <si>
    <t>Melting_Curves/meltCurve_P67775_PPP2CA.pdf</t>
  </si>
  <si>
    <t>Melting_Curves/meltCurve_P67809_YBX1.pdf</t>
  </si>
  <si>
    <t>Melting_Curves/meltCurve_P67936_TPM4.pdf</t>
  </si>
  <si>
    <t>Melting_Curves/meltCurve_P68036_UBE2L3.pdf</t>
  </si>
  <si>
    <t>Melting_Curves/meltCurve_P68104_EEF1A1.pdf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</si>
  <si>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</si>
  <si>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</si>
  <si>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</si>
  <si>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</si>
  <si>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Melting_Curves/meltCurve_P68871_HBB.pdf</t>
  </si>
  <si>
    <t>Melting_Curves/meltCurve_P69905_HBA1.pdf</t>
  </si>
  <si>
    <t>Melting_Curves/meltCurve_P78310_CXADR.pdf</t>
  </si>
  <si>
    <t>Melting_Curves/meltCurve_P78316_NOP14.pdf</t>
  </si>
  <si>
    <t>Melting_Curves/meltCurve_P78318_IGBP1.pdf</t>
  </si>
  <si>
    <t>Melting_Curves/meltCurve_P78330_PSPH.pdf</t>
  </si>
  <si>
    <t>Melting_Curves/meltCurve_P78332_RBM6.pdf</t>
  </si>
  <si>
    <t>Melting_Curves/meltCurve_P78345_RPP38.pdf</t>
  </si>
  <si>
    <t>Melting_Curves/meltCurve_P78346_RPP30.pdf</t>
  </si>
  <si>
    <t>Melting_Curves/meltCurve_P78347_2_GTF2I.pdf</t>
  </si>
  <si>
    <t>Melting_Curves/meltCurve_P78356_PIP4K2B.pdf</t>
  </si>
  <si>
    <t>Melting_Curves/meltCurve_P78368_CSNK1G2.pdf</t>
  </si>
  <si>
    <t>Melting_Curves/meltCurve_P78371_CCT2.pdf</t>
  </si>
  <si>
    <t>Melting_Curves/meltCurve_P78406_RAE1.pdf</t>
  </si>
  <si>
    <t>Melting_Curves/meltCurve_P78417_GSTO1.pdf</t>
  </si>
  <si>
    <t>Melting_Curves/meltCurve_P78524_ST5.pdf</t>
  </si>
  <si>
    <t>Melting_Curves/meltCurve_P78527_PRKDC.pdf</t>
  </si>
  <si>
    <t>Melting_Curves/meltCurve_P78536_ADAM17.pdf</t>
  </si>
  <si>
    <t>Melting_Curves/meltCurve_P78540_ARG2.pdf</t>
  </si>
  <si>
    <t>Melting_Curves/meltCurve_P78549_NTHL1.pdf</t>
  </si>
  <si>
    <t>Melting_Curves/meltCurve_P80162_CXCL6.pdf</t>
  </si>
  <si>
    <t>Melting_Curves/meltCurve_P80217_IFI35.pdf</t>
  </si>
  <si>
    <t>Melting_Curves/meltCurve_P80294_MT1H.pdf</t>
  </si>
  <si>
    <t>Melting_Curves/meltCurve_P80297_MT1X.pdf</t>
  </si>
  <si>
    <t>Melting_Curves/meltCurve_P80303_NUCB2.pdf</t>
  </si>
  <si>
    <t>Melting_Curves/meltCurve_P80723_BASP1.pdf</t>
  </si>
  <si>
    <t>Melting_Curves/meltCurve_P81605_DCD.pdf</t>
  </si>
  <si>
    <t>Melting_Curves/meltCurve_P82094_TMF1.pdf</t>
  </si>
  <si>
    <t>Melting_Curves/meltCurve_P82664_MRPS10.pdf</t>
  </si>
  <si>
    <t>Melting_Curves/meltCurve_P82673_MRPS35.pdf</t>
  </si>
  <si>
    <t>Melting_Curves/meltCurve_P82909_MRPS36.pdf</t>
  </si>
  <si>
    <t>Melting_Curves/meltCurve_P82930_MRPS34.pdf</t>
  </si>
  <si>
    <t>Melting_Curves/meltCurve_P82933_MRPS9.pdf</t>
  </si>
  <si>
    <t>Melting_Curves/meltCurve_P82979_SARNP.pdf</t>
  </si>
  <si>
    <t>Melting_Curves/meltCurve_P83111_LACTB.pdf</t>
  </si>
  <si>
    <t>Melting_Curves/meltCurve_P83436_COG7.pdf</t>
  </si>
  <si>
    <t>Melting_Curves/meltCurve_P83731_RPL24.pdf</t>
  </si>
  <si>
    <t>Melting_Curves/meltCurve_P84085_ARF5.pdf</t>
  </si>
  <si>
    <t>Melting_Curves/meltCurve_P84090_ERH.pdf</t>
  </si>
  <si>
    <t>Melting_Curves/meltCurve_P84095_RHOG.pdf</t>
  </si>
  <si>
    <t>Melting_Curves/meltCurve_P84101_4_SERF2.pdf</t>
  </si>
  <si>
    <t>Melting_Curves/meltCurve_P84157_MXRA7.pdf</t>
  </si>
  <si>
    <t>Melting_Curves/meltCurve_P84157_2_MXRA7.pdf</t>
  </si>
  <si>
    <t>Melting_Curves/meltCurve_P85037_FOXK1.pdf</t>
  </si>
  <si>
    <t>Melting_Curves/meltCurve_P86397_RPP14.pdf</t>
  </si>
  <si>
    <t>Melting_Curves/meltCurve_P86791_CCZ1.pdf</t>
  </si>
  <si>
    <t>Melting_Curves/meltCurve_P98170_XIAP.pdf</t>
  </si>
  <si>
    <t>Melting_Curves/meltCurve_P98172_EFNB1.pdf</t>
  </si>
  <si>
    <t>Melting_Curves/meltCurve_P98173_3_FAM3A.pdf</t>
  </si>
  <si>
    <t>Melting_Curves/meltCurve_P98175_2_RBM10.pdf</t>
  </si>
  <si>
    <t>Melting_Curves/meltCurve_P98179_RBM3.pdf</t>
  </si>
  <si>
    <t>Melting_Curves/meltCurve_P98194_2_ATP2C1.pdf</t>
  </si>
  <si>
    <t>Melting_Curves/meltCurve_P99999_CYCS.pdf</t>
  </si>
  <si>
    <t>Melting_Curves/meltCurve_Q00059_TFAM.pdf</t>
  </si>
  <si>
    <t>Melting_Curves/meltCurve_Q00169_PITPNA.pdf</t>
  </si>
  <si>
    <t>Melting_Curves/meltCurve_Q00266_MAT1A.pdf</t>
  </si>
  <si>
    <t>Melting_Curves/meltCurve_Q00325_2_SLC25A3.pdf</t>
  </si>
  <si>
    <t>Melting_Curves/meltCurve_Q00341_HDLBP.pdf</t>
  </si>
  <si>
    <t>Melting_Curves/meltCurve_Q00403_GTF2B.pdf</t>
  </si>
  <si>
    <t>Melting_Curves/meltCurve_Q00534_CDK6.pdf</t>
  </si>
  <si>
    <t>Melting_Curves/meltCurve_Q00535_CDK5.pdf</t>
  </si>
  <si>
    <t>Melting_Curves/meltCurve_Q00577_PURA.pdf</t>
  </si>
  <si>
    <t>Melting_Curves/meltCurve_Q00587_2_CDC42EP1.pdf</t>
  </si>
  <si>
    <t>Melting_Curves/meltCurve_Q00610_2_CLTC.pdf</t>
  </si>
  <si>
    <t>Melting_Curves/meltCurve_Q00613_2_HSF1.pdf</t>
  </si>
  <si>
    <t>Melting_Curves/meltCurve_Q00653_4_NFKB2.pdf</t>
  </si>
  <si>
    <t>Melting_Curves/meltCurve_Q00688_FKBP3.pdf</t>
  </si>
  <si>
    <t>Melting_Curves/meltCurve_Q00765_REEP5.pdf</t>
  </si>
  <si>
    <t>Melting_Curves/meltCurve_Q00796_SORD.pdf</t>
  </si>
  <si>
    <t>Melting_Curves/meltCurve_Q00839_2_HNRNPU.pdf</t>
  </si>
  <si>
    <t>Melting_Curves/meltCurve_Q01081_U2AF1.pdf</t>
  </si>
  <si>
    <t>Melting_Curves/meltCurve_Q01082_SPTBN1.pdf</t>
  </si>
  <si>
    <t>Melting_Curves/meltCurve_Q01082_3_SPTBN1.pdf</t>
  </si>
  <si>
    <t>Melting_Curves/meltCurve_Q01085_2_TIAL1.pdf</t>
  </si>
  <si>
    <t>Melting_Curves/meltCurve_Q01105_SET.pdf</t>
  </si>
  <si>
    <t>Melting_Curves/meltCurve_Q01130_SRSF2.pdf</t>
  </si>
  <si>
    <t>Melting_Curves/meltCurve_Q01167_FOXK2.pdf</t>
  </si>
  <si>
    <t>Melting_Curves/meltCurve_Q01432_6_AMPD3.pdf</t>
  </si>
  <si>
    <t>Melting_Curves/meltCurve_Q01469_FABP5.pdf</t>
  </si>
  <si>
    <t>Melting_Curves/meltCurve_Q01518_2_CAP1.pdf</t>
  </si>
  <si>
    <t>Melting_Curves/meltCurve_Q01581_HMGCS1.pdf</t>
  </si>
  <si>
    <t>Melting_Curves/meltCurve_Q01650_SLC7A5.pdf</t>
  </si>
  <si>
    <t>Melting_Curves/meltCurve_Q01658_DR1.pdf</t>
  </si>
  <si>
    <t>Melting_Curves/meltCurve_Q01664_TFAP4.pdf</t>
  </si>
  <si>
    <t>Melting_Curves/meltCurve_Q01780_2_EXOSC10.pdf</t>
  </si>
  <si>
    <t>Melting_Curves/meltCurve_Q01813_PFKP.pdf</t>
  </si>
  <si>
    <t>Melting_Curves/meltCurve_Q01968_2_OCRL.pdf</t>
  </si>
  <si>
    <t>Melting_Curves/meltCurve_Q01970_PLCB3.pdf</t>
  </si>
  <si>
    <t>Melting_Curves/meltCurve_Q01995_TAGLN.pdf</t>
  </si>
  <si>
    <t>Melting_Curves/meltCurve_Q02083_2_NAAA.pdf</t>
  </si>
  <si>
    <t>Melting_Curves/meltCurve_Q02127_DHODH.pdf</t>
  </si>
  <si>
    <t>Melting_Curves/meltCurve_Q02156_PRKCE.pdf</t>
  </si>
  <si>
    <t>Melting_Curves/meltCurve_Q02241_KIF23.pdf</t>
  </si>
  <si>
    <t>Melting_Curves/meltCurve_Q02252_ALDH6A1.pdf</t>
  </si>
  <si>
    <t>Melting_Curves/meltCurve_Q02318_CYP27A1.pdf</t>
  </si>
  <si>
    <t>Melting_Curves/meltCurve_Q02338_BDH1.pdf</t>
  </si>
  <si>
    <t>Melting_Curves/meltCurve_Q02383_SEMG2.pdf</t>
  </si>
  <si>
    <t>Melting_Curves/meltCurve_Q02446_SP4.pdf</t>
  </si>
  <si>
    <t>Melting_Curves/meltCurve_Q02487_2_DSC2.pdf</t>
  </si>
  <si>
    <t>Melting_Curves/meltCurve_Q02543_RPL18A.pdf</t>
  </si>
  <si>
    <t>Melting_Curves/meltCurve_Q02742_GCNT1.pdf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</si>
  <si>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</si>
  <si>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</si>
  <si>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</si>
  <si>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</si>
  <si>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Melting_Curves/meltCurve_Q02878_RPL6.pdf</t>
  </si>
  <si>
    <t>Melting_Curves/meltCurve_Q02880_2_TOP2B.pdf</t>
  </si>
  <si>
    <t>Melting_Curves/meltCurve_Q02952_3_AKAP12.pdf</t>
  </si>
  <si>
    <t>Melting_Curves/meltCurve_Q03001_DST.pdf</t>
  </si>
  <si>
    <t>Melting_Curves/meltCurve_Q03111_MLLT1.pdf</t>
  </si>
  <si>
    <t>Melting_Curves/meltCurve_Q03113_GNA12.pdf</t>
  </si>
  <si>
    <t>Melting_Curves/meltCurve_Q03154_ACY1.pdf</t>
  </si>
  <si>
    <t>Melting_Curves/meltCurve_Q03164_2_MLL.pdf</t>
  </si>
  <si>
    <t>Melting_Curves/meltCurve_Q03167_2_TGFBR3.pdf</t>
  </si>
  <si>
    <t>Melting_Curves/meltCurve_Q03169_TNFAIP2.pdf</t>
  </si>
  <si>
    <t>Melting_Curves/meltCurve_Q03393_PTS.pdf</t>
  </si>
  <si>
    <t>Melting_Curves/meltCurve_Q03519_TAP2.pdf</t>
  </si>
  <si>
    <t>Melting_Curves/meltCurve_Q03701_CEBPZ.pdf</t>
  </si>
  <si>
    <t>Melting_Curves/meltCurve_Q04446_GBE1.pdf</t>
  </si>
  <si>
    <t>Melting_Curves/meltCurve_Q04637_5_EIF4G1.pdf</t>
  </si>
  <si>
    <t>Melting_Curves/meltCurve_Q04656_5_ATP7A.pdf</t>
  </si>
  <si>
    <t>Melting_Curves/meltCurve_Q04721_NOTCH2.pdf</t>
  </si>
  <si>
    <t>Melting_Curves/meltCurve_Q04724_TLE1.pdf</t>
  </si>
  <si>
    <t>Melting_Curves/meltCurve_Q04726_5_TLE3.pdf</t>
  </si>
  <si>
    <t>Melting_Curves/meltCurve_Q04759_PRKCQ.pdf</t>
  </si>
  <si>
    <t>Melting_Curves/meltCurve_Q04760_GLO1.pdf</t>
  </si>
  <si>
    <t>Melting_Curves/meltCurve_Q04828_AKR1C1.pdf</t>
  </si>
  <si>
    <t>Melting_Curves/meltCurve_Q04837_SSBP1.pdf</t>
  </si>
  <si>
    <t>Melting_Curves/meltCurve_Q04917_YWHAH.pdf</t>
  </si>
  <si>
    <t>Melting_Curves/meltCurve_Q04941_PLP2.pdf</t>
  </si>
  <si>
    <t>Melting_Curves/meltCurve_Q05048_CSTF1.pdf</t>
  </si>
  <si>
    <t>Melting_Curves/meltCurve_Q05084_ICA1.pdf</t>
  </si>
  <si>
    <t>Melting_Curves/meltCurve_Q05086_3_UBE3A.pdf</t>
  </si>
  <si>
    <t>Melting_Curves/meltCurve_Q05193_5_DNM1.pdf</t>
  </si>
  <si>
    <t>Melting_Curves/meltCurve_Q05209_PTPN12.pdf</t>
  </si>
  <si>
    <t>Melting_Curves/meltCurve_Q05513_PRKCZ.pdf</t>
  </si>
  <si>
    <t>Melting_Curves/meltCurve_Q05519_2_SRSF11.pdf</t>
  </si>
  <si>
    <t>Melting_Curves/meltCurve_Q05655_PRKCD.pdf</t>
  </si>
  <si>
    <t>Melting_Curves/meltCurve_Q05682_5_CALD1.pdf</t>
  </si>
  <si>
    <t>Melting_Curves/meltCurve_Q05932_3_FPGS.pdf</t>
  </si>
  <si>
    <t>Melting_Curves/meltCurve_Q05BQ5_3_MBTD1.pdf</t>
  </si>
  <si>
    <t>Melting_Curves/meltCurve_Q06124_2_PTPN11.pdf</t>
  </si>
  <si>
    <t>Melting_Curves/meltCurve_Q06136_KDSR.pdf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</si>
  <si>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</si>
  <si>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</si>
  <si>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</si>
  <si>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</si>
  <si>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Melting_Curves/meltCurve_Q06330_5_RBPJ.pdf</t>
  </si>
  <si>
    <t>Melting_Curves/meltCurve_Q06481_APLP2.pdf</t>
  </si>
  <si>
    <t>Melting_Curves/meltCurve_Q06546_GABPA.pdf</t>
  </si>
  <si>
    <t>Melting_Curves/meltCurve_Q06587_RING1.pdf</t>
  </si>
  <si>
    <t>Melting_Curves/meltCurve_Q06609_3_RAD51.pdf</t>
  </si>
  <si>
    <t>Melting_Curves/meltCurve_Q06787_8_FMR1.pdf</t>
  </si>
  <si>
    <t>Melting_Curves/meltCurve_Q06830_PRDX1.pdf</t>
  </si>
  <si>
    <t>Melting_Curves/meltCurve_Q07021_C1QBP.pdf</t>
  </si>
  <si>
    <t>Melting_Curves/meltCurve_Q07065_CKAP4.pdf</t>
  </si>
  <si>
    <t>Melting_Curves/meltCurve_Q07654_TFF3.pdf</t>
  </si>
  <si>
    <t>Melting_Curves/meltCurve_Q07666_KHDRBS1.pdf</t>
  </si>
  <si>
    <t>Melting_Curves/meltCurve_Q07812_5_BAX.pdf</t>
  </si>
  <si>
    <t>Melting_Curves/meltCurve_Q07866_6_KLC1.pdf</t>
  </si>
  <si>
    <t>Melting_Curves/meltCurve_Q07954_LRP1.pdf</t>
  </si>
  <si>
    <t>Melting_Curves/meltCurve_Q07960_ARHGAP1.pdf</t>
  </si>
  <si>
    <t>Melting_Curves/meltCurve_Q08170_SRSF4.pdf</t>
  </si>
  <si>
    <t>Melting_Curves/meltCurve_Q08209_2_PPP3CA.pdf</t>
  </si>
  <si>
    <t>Melting_Curves/meltCurve_Q08211_DHX9.pdf</t>
  </si>
  <si>
    <t>Melting_Curves/meltCurve_Q08257_CRYZ.pdf</t>
  </si>
  <si>
    <t>Melting_Curves/meltCurve_Q08357_SLC20A2.pdf</t>
  </si>
  <si>
    <t>Melting_Curves/meltCurve_Q08378_GOLGA3.pdf</t>
  </si>
  <si>
    <t>Melting_Curves/meltCurve_Q08379_GOLGA2.pdf</t>
  </si>
  <si>
    <t>Melting_Curves/meltCurve_Q08380_LGALS3BP.pdf</t>
  </si>
  <si>
    <t>Melting_Curves/meltCurve_Q08426_EHHADH.pdf</t>
  </si>
  <si>
    <t>Melting_Curves/meltCurve_Q08722_CD47.pdf</t>
  </si>
  <si>
    <t>Melting_Curves/meltCurve_Q08752_PPID.pdf</t>
  </si>
  <si>
    <t>Melting_Curves/meltCurve_Q08945_SSRP1.pdf</t>
  </si>
  <si>
    <t>Melting_Curves/meltCurve_Q08AF3_SLFN5.pdf</t>
  </si>
  <si>
    <t>Melting_Curves/meltCurve_Q08AG7_MZT1.pdf</t>
  </si>
  <si>
    <t>Melting_Curves/meltCurve_Q08AM6_VAC14.pdf</t>
  </si>
  <si>
    <t>Melting_Curves/meltCurve_Q08E86_KIAA0100.pdf</t>
  </si>
  <si>
    <t>Melting_Curves/meltCurve_Q08J23_NSUN2.pdf</t>
  </si>
  <si>
    <t>Melting_Curves/meltCurve_Q09028_3_RBBP4.pdf</t>
  </si>
  <si>
    <t>Melting_Curves/meltCurve_Q09161_NCBP1.pdf</t>
  </si>
  <si>
    <t>Melting_Curves/meltCurve_Q09328_MGAT5.pdf</t>
  </si>
  <si>
    <t>Melting_Curves/meltCurve_Q09472_EP300.pdf</t>
  </si>
  <si>
    <t>Melting_Curves/meltCurve_Q09666_AHNAK.pdf</t>
  </si>
  <si>
    <t>Melting_Curves/meltCurve_Q0D2K5_EGFEM1P.pdf</t>
  </si>
  <si>
    <t>Melting_Curves/meltCurve_Q0JRZ9_FCHO2.pdf</t>
  </si>
  <si>
    <t>Melting_Curves/meltCurve_Q0PNE2_ELP6.pdf</t>
  </si>
  <si>
    <t>Melting_Curves/meltCurve_Q0VDF9_HSPA14.pdf</t>
  </si>
  <si>
    <t>Melting_Curves/meltCurve_Q0VDG4_2_SCRN3.pdf</t>
  </si>
  <si>
    <t>Melting_Curves/meltCurve_Q0VG06_FAAP100.pdf</t>
  </si>
  <si>
    <t>Melting_Curves/meltCurve_Q0VGL1_LAMTOR4.pdf</t>
  </si>
  <si>
    <t>Melting_Curves/meltCurve_Q10469_MGAT2.pdf</t>
  </si>
  <si>
    <t>Melting_Curves/meltCurve_Q10471_GALNT2.pdf</t>
  </si>
  <si>
    <t>Melting_Curves/meltCurve_Q10567_3_AP1B1.pdf</t>
  </si>
  <si>
    <t>Melting_Curves/meltCurve_Q10570_CPSF1.pdf</t>
  </si>
  <si>
    <t>Melting_Curves/meltCurve_Q10713_PMPCA.pdf</t>
  </si>
  <si>
    <t>Melting_Curves/meltCurve_Q12765_SCRN1.pdf</t>
  </si>
  <si>
    <t>Melting_Curves/meltCurve_Q12768_KIAA0196.pdf</t>
  </si>
  <si>
    <t>Melting_Curves/meltCurve_Q12769_NUP160.pdf</t>
  </si>
  <si>
    <t>Melting_Curves/meltCurve_Q12770_SCAP.pdf</t>
  </si>
  <si>
    <t>Melting_Curves/meltCurve_Q12774_ARHGEF5.pdf</t>
  </si>
  <si>
    <t>Melting_Curves/meltCurve_Q12788_TBL3.pdf</t>
  </si>
  <si>
    <t>Melting_Curves/meltCurve_Q12789_3_GTF3C1.pdf</t>
  </si>
  <si>
    <t>Melting_Curves/meltCurve_Q12792_TWF1.pdf</t>
  </si>
  <si>
    <t>Melting_Curves/meltCurve_Q12797_ASPH.pdf</t>
  </si>
  <si>
    <t>Melting_Curves/meltCurve_Q12800_4_TFCP2.pdf</t>
  </si>
  <si>
    <t>Melting_Curves/meltCurve_Q12802_4_AKAP13.pdf</t>
  </si>
  <si>
    <t>Melting_Curves/meltCurve_Q12830_4_BPTF.pdf</t>
  </si>
  <si>
    <t>Melting_Curves/meltCurve_Q12834_CDC20.pdf</t>
  </si>
  <si>
    <t>Melting_Curves/meltCurve_Q12846_STX4.pdf</t>
  </si>
  <si>
    <t>Melting_Curves/meltCurve_Q12872_SFSWAP.pdf</t>
  </si>
  <si>
    <t>Melting_Curves/meltCurve_Q12874_SF3A3.pdf</t>
  </si>
  <si>
    <t>Melting_Curves/meltCurve_Q12888_TP53BP1.pdf</t>
  </si>
  <si>
    <t>Melting_Curves/meltCurve_Q12894_IFRD2.pdf</t>
  </si>
  <si>
    <t>Melting_Curves/meltCurve_Q12899_TRIM26.pdf</t>
  </si>
  <si>
    <t>Melting_Curves/meltCurve_Q12904_AIMP1.pdf</t>
  </si>
  <si>
    <t>Melting_Curves/meltCurve_Q12905_ILF2.pdf</t>
  </si>
  <si>
    <t>Melting_Curves/meltCurve_Q12906_ILF3.pdf</t>
  </si>
  <si>
    <t>Melting_Curves/meltCurve_Q12907_LMAN2.pdf</t>
  </si>
  <si>
    <t>Melting_Curves/meltCurve_Q12929_EPS8.pdf</t>
  </si>
  <si>
    <t>Melting_Curves/meltCurve_Q12933_3_TRAF2.pdf</t>
  </si>
  <si>
    <t>Melting_Curves/meltCurve_Q12955_ANK3.pdf</t>
  </si>
  <si>
    <t>Melting_Curves/meltCurve_Q12959_5_DLG1.pdf</t>
  </si>
  <si>
    <t>Melting_Curves/meltCurve_Q12962_TAF10.pdf</t>
  </si>
  <si>
    <t>Melting_Curves/meltCurve_Q12965_MYO1E.pdf</t>
  </si>
  <si>
    <t>Melting_Curves/meltCurve_Q12972_PPP1R8.pdf</t>
  </si>
  <si>
    <t>Melting_Curves/meltCurve_Q12981_BNIP1.pdf</t>
  </si>
  <si>
    <t>Melting_Curves/meltCurve_Q12986_NFX1.pdf</t>
  </si>
  <si>
    <t>Melting_Curves/meltCurve_Q12996_CSTF3.pdf</t>
  </si>
  <si>
    <t>Melting_Curves/meltCurve_Q13011_ECH1.pdf</t>
  </si>
  <si>
    <t>Melting_Curves/meltCurve_Q13017_2_ARHGAP5.pdf</t>
  </si>
  <si>
    <t>Melting_Curves/meltCurve_Q13033_2_STRN3.pdf</t>
  </si>
  <si>
    <t>Melting_Curves/meltCurve_Q13043_STK4.pdf</t>
  </si>
  <si>
    <t>Melting_Curves/meltCurve_Q13045_FLII.pdf</t>
  </si>
  <si>
    <t>Melting_Curves/meltCurve_Q13049_TRIM32.pdf</t>
  </si>
  <si>
    <t>Melting_Curves/meltCurve_Q13057_COASY.pdf</t>
  </si>
  <si>
    <t>Melting_Curves/meltCurve_Q13085_3_ACACA.pdf</t>
  </si>
  <si>
    <t>Melting_Curves/meltCurve_Q13098_GPS1.pdf</t>
  </si>
  <si>
    <t>Melting_Curves/meltCurve_Q13107_2_USP4.pdf</t>
  </si>
  <si>
    <t>Melting_Curves/meltCurve_Q13111_CHAF1A.pdf</t>
  </si>
  <si>
    <t>Melting_Curves/meltCurve_Q13112_CHAF1B.pdf</t>
  </si>
  <si>
    <t>Melting_Curves/meltCurve_Q13123_IK.pdf</t>
  </si>
  <si>
    <t>Melting_Curves/meltCurve_Q13126_MTAP.pdf</t>
  </si>
  <si>
    <t>Melting_Curves/meltCurve_Q13131_PRKAA1.pdf</t>
  </si>
  <si>
    <t>Melting_Curves/meltCurve_Q13136_PPFIA1.pdf</t>
  </si>
  <si>
    <t>Melting_Curves/meltCurve_Q13145_BAMBI.pdf</t>
  </si>
  <si>
    <t>Melting_Curves/meltCurve_Q13148_TARDBP.pdf</t>
  </si>
  <si>
    <t>Melting_Curves/meltCurve_Q13151_HNRNPA0.pdf</t>
  </si>
  <si>
    <t>Melting_Curves/meltCurve_Q13153_PAK1.pdf</t>
  </si>
  <si>
    <t>Melting_Curves/meltCurve_Q13155_AIMP2.pdf</t>
  </si>
  <si>
    <t>Melting_Curves/meltCurve_Q13158_FADD.pdf</t>
  </si>
  <si>
    <t>Melting_Curves/meltCurve_Q13162_PRDX4.pdf</t>
  </si>
  <si>
    <t>Melting_Curves/meltCurve_Q13164_3_MAPK7.pdf</t>
  </si>
  <si>
    <t>Melting_Curves/meltCurve_Q13177_PAK2.pdf</t>
  </si>
  <si>
    <t>Melting_Curves/meltCurve_Q13185_CBX3.pdf</t>
  </si>
  <si>
    <t>Melting_Curves/meltCurve_Q13188_STK3.pdf</t>
  </si>
  <si>
    <t>Melting_Curves/meltCurve_Q13200_PSMD2.pdf</t>
  </si>
  <si>
    <t>Melting_Curves/meltCurve_Q13206_DDX10.pdf</t>
  </si>
  <si>
    <t>Melting_Curves/meltCurve_Q13214_2_SEMA3B.pdf</t>
  </si>
  <si>
    <t>Melting_Curves/meltCurve_Q13216_ERCC8.pdf</t>
  </si>
  <si>
    <t>Melting_Curves/meltCurve_Q13217_DNAJC3.pdf</t>
  </si>
  <si>
    <t>Melting_Curves/meltCurve_Q13228_SELENBP1.pdf</t>
  </si>
  <si>
    <t>Melting_Curves/meltCurve_Q13232_NME3.pdf</t>
  </si>
  <si>
    <t>Melting_Curves/meltCurve_Q13242_SRSF9.pdf</t>
  </si>
  <si>
    <t>Melting_Curves/meltCurve_Q13243_3_SRSF5.pdf</t>
  </si>
  <si>
    <t>Melting_Curves/meltCurve_Q13247_3_SRSF6.pdf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</si>
  <si>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</si>
  <si>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</si>
  <si>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</si>
  <si>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</si>
  <si>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</si>
  <si>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Melting_Curves/meltCurve_Q13308_PTK7.pdf</t>
  </si>
  <si>
    <t>Melting_Curves/meltCurve_Q13309_2_SKP2.pdf</t>
  </si>
  <si>
    <t>Melting_Curves/meltCurve_Q13310_2_PABPC4.pdf</t>
  </si>
  <si>
    <t>Melting_Curves/meltCurve_Q13315_ATM.pdf</t>
  </si>
  <si>
    <t>Melting_Curves/meltCurve_Q13322_3_GRB10.pdf</t>
  </si>
  <si>
    <t>Melting_Curves/meltCurve_Q13330_3_MTA1.pdf</t>
  </si>
  <si>
    <t>Melting_Curves/meltCurve_Q13347_EIF3I.pdf</t>
  </si>
  <si>
    <t>Melting_Curves/meltCurve_Q13356_PPIL2.pdf</t>
  </si>
  <si>
    <t>Melting_Curves/meltCurve_Q13362_3_PPP2R5C.pdf</t>
  </si>
  <si>
    <t>Melting_Curves/meltCurve_Q13363_CTBP1.pdf</t>
  </si>
  <si>
    <t>Melting_Curves/meltCurve_Q13371_PDCL.pdf</t>
  </si>
  <si>
    <t>Melting_Curves/meltCurve_Q13395_TARBP1.pdf</t>
  </si>
  <si>
    <t>Melting_Curves/meltCurve_Q13405_MRPL49.pdf</t>
  </si>
  <si>
    <t>Melting_Curves/meltCurve_Q13409_3_DYNC1I2.pdf</t>
  </si>
  <si>
    <t>Melting_Curves/meltCurve_Q13416_ORC2.pdf</t>
  </si>
  <si>
    <t>Melting_Curves/meltCurve_Q13418_ILK.pdf</t>
  </si>
  <si>
    <t>Melting_Curves/meltCurve_Q13423_NNT.pdf</t>
  </si>
  <si>
    <t>Melting_Curves/meltCurve_Q13425_SNTB2.pdf</t>
  </si>
  <si>
    <t>Melting_Curves/meltCurve_Q13426_XRCC4.pdf</t>
  </si>
  <si>
    <t>Melting_Curves/meltCurve_Q13427_PPIG.pdf</t>
  </si>
  <si>
    <t>Melting_Curves/meltCurve_Q13428_3_TCOF1.pdf</t>
  </si>
  <si>
    <t>Melting_Curves/meltCurve_Q13432_2_UNC119.pdf</t>
  </si>
  <si>
    <t>Melting_Curves/meltCurve_Q13433_SLC39A6.pdf</t>
  </si>
  <si>
    <t>Melting_Curves/meltCurve_Q13435_SF3B2.pdf</t>
  </si>
  <si>
    <t>Melting_Curves/meltCurve_Q13438_4_OS9.pdf</t>
  </si>
  <si>
    <t>Melting_Curves/meltCurve_Q13439_3_GOLGA4.pdf</t>
  </si>
  <si>
    <t>Melting_Curves/meltCurve_Q13442_PDAP1.pdf</t>
  </si>
  <si>
    <t>Melting_Curves/meltCurve_Q13443_ADAM9.pdf</t>
  </si>
  <si>
    <t>Melting_Curves/meltCurve_Q13445_TMED1.pdf</t>
  </si>
  <si>
    <t>Melting_Curves/meltCurve_Q13451_FKBP5.pdf</t>
  </si>
  <si>
    <t>Melting_Curves/meltCurve_Q13464_ROCK1.pdf</t>
  </si>
  <si>
    <t>Melting_Curves/meltCurve_Q13488_TCIRG1.pdf</t>
  </si>
  <si>
    <t>Melting_Curves/meltCurve_Q13492_2_PICALM.pdf</t>
  </si>
  <si>
    <t>Melting_Curves/meltCurve_Q13496_MTM1.pdf</t>
  </si>
  <si>
    <t>Melting_Curves/meltCurve_Q13501_SQSTM1.pdf</t>
  </si>
  <si>
    <t>Melting_Curves/meltCurve_Q13505_3_MTX1.pdf</t>
  </si>
  <si>
    <t>Melting_Curves/meltCurve_Q13509_TUBB3.pdf</t>
  </si>
  <si>
    <t>Melting_Curves/meltCurve_Q13526_PIN1.pdf</t>
  </si>
  <si>
    <t>Melting_Curves/meltCurve_Q13535_3_ATR.pdf</t>
  </si>
  <si>
    <t>Melting_Curves/meltCurve_Q13541_EIF4EBP1.pdf</t>
  </si>
  <si>
    <t>Melting_Curves/meltCurve_Q13542_EIF4EBP2.pdf</t>
  </si>
  <si>
    <t>Melting_Curves/meltCurve_Q13546_RIPK1.pdf</t>
  </si>
  <si>
    <t>Melting_Curves/meltCurve_Q13547_HDAC1.pdf</t>
  </si>
  <si>
    <t>Melting_Curves/meltCurve_Q13564_NAE1.pdf</t>
  </si>
  <si>
    <t>Melting_Curves/meltCurve_Q13572_ITPK1.pdf</t>
  </si>
  <si>
    <t>Melting_Curves/meltCurve_Q13573_SNW1.pdf</t>
  </si>
  <si>
    <t>Melting_Curves/meltCurve_Q13586_STIM1.pdf</t>
  </si>
  <si>
    <t>Melting_Curves/meltCurve_Q13596_SNX1.pdf</t>
  </si>
  <si>
    <t>Melting_Curves/meltCurve_Q13601_2_KRR1.pdf</t>
  </si>
  <si>
    <t>Melting_Curves/meltCurve_Q13608_PEX6.pdf</t>
  </si>
  <si>
    <t>Melting_Curves/meltCurve_Q13614_MTMR2.pdf</t>
  </si>
  <si>
    <t>Melting_Curves/meltCurve_Q13616_CUL1.pdf</t>
  </si>
  <si>
    <t>Melting_Curves/meltCurve_Q13617_CUL2.pdf</t>
  </si>
  <si>
    <t>Melting_Curves/meltCurve_Q13618_CUL3.pdf</t>
  </si>
  <si>
    <t>Melting_Curves/meltCurve_Q13619_CUL4A.pdf</t>
  </si>
  <si>
    <t>Melting_Curves/meltCurve_Q13625_2_TP53BP2.pdf</t>
  </si>
  <si>
    <t>Melting_Curves/meltCurve_Q13630_TSTA3.pdf</t>
  </si>
  <si>
    <t>Melting_Curves/meltCurve_Q13641_TPBG.pdf</t>
  </si>
  <si>
    <t>Melting_Curves/meltCurve_Q13642_1_FHL1.pdf</t>
  </si>
  <si>
    <t>Melting_Curves/meltCurve_Q13643_FHL3.pdf</t>
  </si>
  <si>
    <t>Melting_Curves/meltCurve_Q13686_ALKBH1.pdf</t>
  </si>
  <si>
    <t>Melting_Curves/meltCurve_Q13724_MOGS.pdf</t>
  </si>
  <si>
    <t>Melting_Curves/meltCurve_Q13733_ATP1A4.pdf</t>
  </si>
  <si>
    <t>Melting_Curves/meltCurve_Q13740_2_ALCAM.pdf</t>
  </si>
  <si>
    <t>Melting_Curves/meltCurve_Q13751_LAMB3.pdf</t>
  </si>
  <si>
    <t>Melting_Curves/meltCurve_Q13753_LAMC2.pdf</t>
  </si>
  <si>
    <t>Melting_Curves/meltCurve_Q13769_THOC5.pdf</t>
  </si>
  <si>
    <t>Melting_Curves/meltCurve_Q13795_ARFRP1.pdf</t>
  </si>
  <si>
    <t>Melting_Curves/meltCurve_Q13813_SPTAN1.pdf</t>
  </si>
  <si>
    <t>Melting_Curves/meltCurve_Q13813_2_SPTAN1.pdf</t>
  </si>
  <si>
    <t>Melting_Curves/meltCurve_Q13825_AUH.pdf</t>
  </si>
  <si>
    <t>Melting_Curves/meltCurve_Q13867_BLMH.pdf</t>
  </si>
  <si>
    <t>Melting_Curves/meltCurve_Q13868_EXOSC2.pdf</t>
  </si>
  <si>
    <t>Melting_Curves/meltCurve_Q13884_SNTB1.pdf</t>
  </si>
  <si>
    <t>Melting_Curves/meltCurve_Q13885_TUBB2A.pdf</t>
  </si>
  <si>
    <t>Melting_Curves/meltCurve_Q13887_KLF5.pdf</t>
  </si>
  <si>
    <t>Melting_Curves/meltCurve_Q13895_BYSL.pdf</t>
  </si>
  <si>
    <t>Melting_Curves/meltCurve_Q13907_IDI1.pdf</t>
  </si>
  <si>
    <t>Melting_Curves/meltCurve_Q13951_CBFB.pdf</t>
  </si>
  <si>
    <t>Melting_Curves/meltCurve_Q13951_2_CBFB.pdf</t>
  </si>
  <si>
    <t>Melting_Curves/meltCurve_Q13952_3_NFYC.pdf</t>
  </si>
  <si>
    <t>Melting_Curves/meltCurve_Q13976_PRKG1.pdf</t>
  </si>
  <si>
    <t>Melting_Curves/meltCurve_Q14008_2_CKAP5.pdf</t>
  </si>
  <si>
    <t>Melting_Curves/meltCurve_Q14011_CIRBP.pdf</t>
  </si>
  <si>
    <t>Melting_Curves/meltCurve_Q14019_COTL1.pdf</t>
  </si>
  <si>
    <t>Melting_Curves/meltCurve_Q14050_COL9A3.pdf</t>
  </si>
  <si>
    <t>Melting_Curves/meltCurve_Q14061_COX17.pdf</t>
  </si>
  <si>
    <t>Melting_Curves/meltCurve_Q14103_3_HNRNPD.pdf</t>
  </si>
  <si>
    <t>Melting_Curves/meltCurve_Q14108_SCARB2.pdf</t>
  </si>
  <si>
    <t>Melting_Curves/meltCurve_Q14114_4_LRP8.pdf</t>
  </si>
  <si>
    <t>Melting_Curves/meltCurve_Q14118_DAG1.pdf</t>
  </si>
  <si>
    <t>Melting_Curves/meltCurve_Q14126_DSG2.pdf</t>
  </si>
  <si>
    <t>Melting_Curves/meltCurve_Q14135_VGLL4.pdf</t>
  </si>
  <si>
    <t>Melting_Curves/meltCurve_Q14137_BOP1.pdf</t>
  </si>
  <si>
    <t>Melting_Curves/meltCurve_Q14139_UBE4A.pdf</t>
  </si>
  <si>
    <t>Melting_Curves/meltCurve_Q14145_KEAP1.pdf</t>
  </si>
  <si>
    <t>Melting_Curves/meltCurve_Q14146_URB2.pdf</t>
  </si>
  <si>
    <t>Melting_Curves/meltCurve_Q14149_MORC3.pdf</t>
  </si>
  <si>
    <t>Melting_Curves/meltCurve_Q14151_SAFB2.pdf</t>
  </si>
  <si>
    <t>Melting_Curves/meltCurve_Q14152_EIF3A.pdf</t>
  </si>
  <si>
    <t>Melting_Curves/meltCurve_Q14157_1_UBAP2L.pdf</t>
  </si>
  <si>
    <t>Melting_Curves/meltCurve_Q14157_5_UBAP2L.pdf</t>
  </si>
  <si>
    <t>Melting_Curves/meltCurve_Q14160_SCRIB.pdf</t>
  </si>
  <si>
    <t>Melting_Curves/meltCurve_Q14165_MLEC.pdf</t>
  </si>
  <si>
    <t>Melting_Curves/meltCurve_Q14166_TTLL12.pdf</t>
  </si>
  <si>
    <t>Melting_Curves/meltCurve_Q14181_POLA2.pdf</t>
  </si>
  <si>
    <t>Melting_Curves/meltCurve_Q14186_TFDP1.pdf</t>
  </si>
  <si>
    <t>Melting_Curves/meltCurve_Q14191_WRN.pdf</t>
  </si>
  <si>
    <t>Melting_Curves/meltCurve_Q14195_DPYSL3.pdf</t>
  </si>
  <si>
    <t>Melting_Curves/meltCurve_Q14204_DYNC1H1.pdf</t>
  </si>
  <si>
    <t>Melting_Curves/meltCurve_Q14232_EIF2B1.pdf</t>
  </si>
  <si>
    <t>Melting_Curves/meltCurve_Q14240_EIF4A2.pdf</t>
  </si>
  <si>
    <t>Melting_Curves/meltCurve_Q14241_TCEB3.pdf</t>
  </si>
  <si>
    <t>Melting_Curves/meltCurve_Q14244_MAP7.pdf</t>
  </si>
  <si>
    <t>Melting_Curves/meltCurve_Q14247_CTTN.pdf</t>
  </si>
  <si>
    <t>Melting_Curves/meltCurve_Q14247_3_CTTN.pdf</t>
  </si>
  <si>
    <t>Melting_Curves/meltCurve_Q14249_ENDOG.pdf</t>
  </si>
  <si>
    <t>Melting_Curves/meltCurve_Q14254_FLOT2.pdf</t>
  </si>
  <si>
    <t>Melting_Curves/meltCurve_Q14257_RCN2.pdf</t>
  </si>
  <si>
    <t>Melting_Curves/meltCurve_Q14258_TRIM25.pdf</t>
  </si>
  <si>
    <t>Melting_Curves/meltCurve_Q14318_2_FKBP8.pdf</t>
  </si>
  <si>
    <t>Melting_Curves/meltCurve_Q14320_FAM50A.pdf</t>
  </si>
  <si>
    <t>Melting_Curves/meltCurve_Q14331_FRG1.pdf</t>
  </si>
  <si>
    <t>Melting_Curves/meltCurve_Q14344_GNA13.pdf</t>
  </si>
  <si>
    <t>Melting_Curves/meltCurve_Q14376_GALE.pdf</t>
  </si>
  <si>
    <t>Melting_Curves/meltCurve_Q14435_GALNT3.pdf</t>
  </si>
  <si>
    <t>Melting_Curves/meltCurve_Q14444_2_CAPRIN1.pdf</t>
  </si>
  <si>
    <t>Melting_Curves/meltCurve_Q14451_GRB7.pdf</t>
  </si>
  <si>
    <t>Melting_Curves/meltCurve_Q14457_BECN1.pdf</t>
  </si>
  <si>
    <t>Melting_Curves/meltCurve_Q14469_HES1.pdf</t>
  </si>
  <si>
    <t>Melting_Curves/meltCurve_Q14498_2_RBM39.pdf</t>
  </si>
  <si>
    <t>Melting_Curves/meltCurve_Q14508_WFDC2.pdf</t>
  </si>
  <si>
    <t>Melting_Curves/meltCurve_Q14511_3_NEDD9.pdf</t>
  </si>
  <si>
    <t>Melting_Curves/meltCurve_Q14520_2_HABP2.pdf</t>
  </si>
  <si>
    <t>Melting_Curves/meltCurve_Q14526_HIC1.pdf</t>
  </si>
  <si>
    <t>Melting_Curves/meltCurve_Q14534_SQLE.pdf</t>
  </si>
  <si>
    <t>Melting_Curves/meltCurve_Q14554_PDIA5.pdf</t>
  </si>
  <si>
    <t>Melting_Curves/meltCurve_Q14558_2_PRPSAP1.pdf</t>
  </si>
  <si>
    <t>Melting_Curves/meltCurve_Q14562_DHX8.pdf</t>
  </si>
  <si>
    <t>Melting_Curves/meltCurve_Q14566_MCM6.pdf</t>
  </si>
  <si>
    <t>Melting_Curves/meltCurve_Q14571_ITPR2.pdf</t>
  </si>
  <si>
    <t>Melting_Curves/meltCurve_Q14573_ITPR3.pdf</t>
  </si>
  <si>
    <t>Melting_Curves/meltCurve_Q14651_PLS1.pdf</t>
  </si>
  <si>
    <t>Melting_Curves/meltCurve_Q14653_IRF3.pdf</t>
  </si>
  <si>
    <t>Melting_Curves/meltCurve_Q14657_LAGE3.pdf</t>
  </si>
  <si>
    <t>Melting_Curves/meltCurve_Q14669_2_TRIP12.pdf</t>
  </si>
  <si>
    <t>Melting_Curves/meltCurve_Q14676_MDC1.pdf</t>
  </si>
  <si>
    <t>Melting_Curves/meltCurve_Q14677_CLINT1.pdf</t>
  </si>
  <si>
    <t>Melting_Curves/meltCurve_Q14678_KANK1.pdf</t>
  </si>
  <si>
    <t>Melting_Curves/meltCurve_Q14681_KCTD2.pdf</t>
  </si>
  <si>
    <t>Melting_Curves/meltCurve_Q14683_SMC1A.pdf</t>
  </si>
  <si>
    <t>Melting_Curves/meltCurve_Q14684_2_RRP1B.pdf</t>
  </si>
  <si>
    <t>Melting_Curves/meltCurve_Q14686_NCOA6.pdf</t>
  </si>
  <si>
    <t>Melting_Curves/meltCurve_Q14687_2_GSE1.pdf</t>
  </si>
  <si>
    <t>Melting_Curves/meltCurve_Q14691_GINS1.pdf</t>
  </si>
  <si>
    <t>Melting_Curves/meltCurve_Q14694_USP10.pdf</t>
  </si>
  <si>
    <t>Melting_Curves/meltCurve_Q14696_MESDC2.pdf</t>
  </si>
  <si>
    <t>Melting_Curves/meltCurve_Q14697_GANAB.pdf</t>
  </si>
  <si>
    <t>Melting_Curves/meltCurve_Q14699_RFTN1.pdf</t>
  </si>
  <si>
    <t>Melting_Curves/meltCurve_Q14739_LBR.pdf</t>
  </si>
  <si>
    <t>Melting_Curves/meltCurve_Q14746_2_COG2.pdf</t>
  </si>
  <si>
    <t>Melting_Curves/meltCurve_Q14789_GOLGB1.pdf</t>
  </si>
  <si>
    <t>Melting_Curves/meltCurve_Q14790_CASP8.pdf</t>
  </si>
  <si>
    <t>Melting_Curves/meltCurve_Q147X3_NAA30.pdf</t>
  </si>
  <si>
    <t>Melting_Curves/meltCurve_Q14802_2_FXYD3.pdf</t>
  </si>
  <si>
    <t>Melting_Curves/meltCurve_Q14807_KIF22.pdf</t>
  </si>
  <si>
    <t>Melting_Curves/meltCurve_Q14847_LASP1.pdf</t>
  </si>
  <si>
    <t>Melting_Curves/meltCurve_Q14849_2_STARD3.pdf</t>
  </si>
  <si>
    <t>Melting_Curves/meltCurve_Q14872_MTF1.pdf</t>
  </si>
  <si>
    <t>Melting_Curves/meltCurve_Q14914_2_PTGR1.pdf</t>
  </si>
  <si>
    <t>Melting_Curves/meltCurve_Q14964_RAB39A.pdf</t>
  </si>
  <si>
    <t>Melting_Curves/meltCurve_Q14966_ZNF638.pdf</t>
  </si>
  <si>
    <t>Melting_Curves/meltCurve_Q14974_KPNB1.pdf</t>
  </si>
  <si>
    <t>Melting_Curves/meltCurve_Q14978_2_NOLC1.pdf</t>
  </si>
  <si>
    <t>Melting_Curves/meltCurve_Q14978_3_NOLC1.pdf</t>
  </si>
  <si>
    <t>Melting_Curves/meltCurve_Q14980_NUMA1.pdf</t>
  </si>
  <si>
    <t>Melting_Curves/meltCurve_Q14997_PSME4.pdf</t>
  </si>
  <si>
    <t>Melting_Curves/meltCurve_Q14BN4_2_SLMAP.pdf</t>
  </si>
  <si>
    <t>Melting_Curves/meltCurve_Q14C86_6_GAPVD1.pdf</t>
  </si>
  <si>
    <t>Melting_Curves/meltCurve_Q14CM0_FRMPD4.pdf</t>
  </si>
  <si>
    <t>Melting_Curves/meltCurve_Q14CS0_UBXN2B.pdf</t>
  </si>
  <si>
    <t>Melting_Curves/meltCurve_Q14CX7_NAA25.pdf</t>
  </si>
  <si>
    <t>Melting_Curves/meltCurve_Q14CZ7_FASTKD3.pdf</t>
  </si>
  <si>
    <t>Melting_Curves/meltCurve_Q15003_NCAPH.pdf</t>
  </si>
  <si>
    <t>Melting_Curves/meltCurve_Q15004_KIAA0101.pdf</t>
  </si>
  <si>
    <t>Melting_Curves/meltCurve_Q15005_SPCS2.pdf</t>
  </si>
  <si>
    <t>Melting_Curves/meltCurve_Q15006_EMC2.pdf</t>
  </si>
  <si>
    <t>Melting_Curves/meltCurve_Q15007_WTAP.pdf</t>
  </si>
  <si>
    <t>Melting_Curves/meltCurve_Q15008_PSMD6.pdf</t>
  </si>
  <si>
    <t>Melting_Curves/meltCurve_Q15011_3_HERPUD1.pdf</t>
  </si>
  <si>
    <t>Melting_Curves/meltCurve_Q15012_LAPTM4A.pdf</t>
  </si>
  <si>
    <t>Melting_Curves/meltCurve_Q15013_MAD2L1BP.pdf</t>
  </si>
  <si>
    <t>Melting_Curves/meltCurve_Q15018_FAM175B.pdf</t>
  </si>
  <si>
    <t>Melting_Curves/meltCurve_Q15019_SEPT2.pdf</t>
  </si>
  <si>
    <t>Melting_Curves/meltCurve_Q15020_SART3.pdf</t>
  </si>
  <si>
    <t>Melting_Curves/meltCurve_Q15021_NCAPD2.pdf</t>
  </si>
  <si>
    <t>Melting_Curves/meltCurve_Q15024_EXOSC7.pdf</t>
  </si>
  <si>
    <t>Melting_Curves/meltCurve_Q15029_2_EFTUD2.pdf</t>
  </si>
  <si>
    <t>Melting_Curves/meltCurve_Q15031_LARS2.pdf</t>
  </si>
  <si>
    <t>Melting_Curves/meltCurve_Q15036_2_SNX17.pdf</t>
  </si>
  <si>
    <t>Melting_Curves/meltCurve_Q15042_RAB3GAP1.pdf</t>
  </si>
  <si>
    <t>Melting_Curves/meltCurve_Q15043_2_SLC39A14.pdf</t>
  </si>
  <si>
    <t>Melting_Curves/meltCurve_Q15046_KARS.pdf</t>
  </si>
  <si>
    <t>Melting_Curves/meltCurve_Q15047_3_SETDB1.pdf</t>
  </si>
  <si>
    <t>Melting_Curves/meltCurve_Q15050_RRS1.pdf</t>
  </si>
  <si>
    <t>Melting_Curves/meltCurve_Q15056_EIF4H.pdf</t>
  </si>
  <si>
    <t>Melting_Curves/meltCurve_Q15056_2_EIF4H.pdf</t>
  </si>
  <si>
    <t>Melting_Curves/meltCurve_Q15057_ACAP2.pdf</t>
  </si>
  <si>
    <t>Melting_Curves/meltCurve_Q15059_BRD3.pdf</t>
  </si>
  <si>
    <t>Melting_Curves/meltCurve_Q15061_WDR43.pdf</t>
  </si>
  <si>
    <t>Melting_Curves/meltCurve_Q15067_2_ACOX1.pdf</t>
  </si>
  <si>
    <t>Melting_Curves/meltCurve_Q15075_EEA1.pdf</t>
  </si>
  <si>
    <t>Melting_Curves/meltCurve_Q15102_PAFAH1B3.pdf</t>
  </si>
  <si>
    <t>Melting_Curves/meltCurve_Q15118_PDK1.pdf</t>
  </si>
  <si>
    <t>Melting_Curves/meltCurve_Q15120_PDK3.pdf</t>
  </si>
  <si>
    <t>Melting_Curves/meltCurve_Q15121_PEA15.pdf</t>
  </si>
  <si>
    <t>Melting_Curves/meltCurve_Q15125_EBP.pdf</t>
  </si>
  <si>
    <t>Melting_Curves/meltCurve_Q15126_PMVK.pdf</t>
  </si>
  <si>
    <t>Melting_Curves/meltCurve_Q15139_PRKD1.pdf</t>
  </si>
  <si>
    <t>Melting_Curves/meltCurve_Q15149_4_PLEC.pdf</t>
  </si>
  <si>
    <t>Melting_Curves/meltCurve_Q15155_NOMO1.pdf</t>
  </si>
  <si>
    <t>Melting_Curves/meltCurve_Q15166_PON3.pdf</t>
  </si>
  <si>
    <t>Melting_Curves/meltCurve_Q15170_2_TCEAL1.pdf</t>
  </si>
  <si>
    <t>Melting_Curves/meltCurve_Q15172_PPP2R5A.pdf</t>
  </si>
  <si>
    <t>Melting_Curves/meltCurve_Q15181_PPA1.pdf</t>
  </si>
  <si>
    <t>Melting_Curves/meltCurve_Q15208_STK38.pdf</t>
  </si>
  <si>
    <t>Melting_Curves/meltCurve_Q15223_PVRL1.pdf</t>
  </si>
  <si>
    <t>Melting_Curves/meltCurve_Q15233_NONO.pdf</t>
  </si>
  <si>
    <t>Melting_Curves/meltCurve_Q15257_PPP2R4.pdf</t>
  </si>
  <si>
    <t>Melting_Curves/meltCurve_Q15269_PWP2.pdf</t>
  </si>
  <si>
    <t>Melting_Curves/meltCurve_Q15274_QPRT.pdf</t>
  </si>
  <si>
    <t>Melting_Curves/meltCurve_Q15276_RABEP1.pdf</t>
  </si>
  <si>
    <t>Melting_Curves/meltCurve_Q15283_2_RASA2.pdf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</si>
  <si>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</si>
  <si>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</si>
  <si>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</si>
  <si>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</si>
  <si>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Melting_Curves/meltCurve_Q15334_LLGL1.pdf</t>
  </si>
  <si>
    <t>Melting_Curves/meltCurve_Q15345_3_LRRC41.pdf</t>
  </si>
  <si>
    <t>Melting_Curves/meltCurve_Q15363_TMED2.pdf</t>
  </si>
  <si>
    <t>Melting_Curves/meltCurve_Q15365_PCBP1.pdf</t>
  </si>
  <si>
    <t>Melting_Curves/meltCurve_Q15366_PCBP2.pdf</t>
  </si>
  <si>
    <t>Melting_Curves/meltCurve_Q15366_2_PCBP2.pdf</t>
  </si>
  <si>
    <t>Melting_Curves/meltCurve_Q15366_3_PCBP2.pdf</t>
  </si>
  <si>
    <t>Melting_Curves/meltCurve_Q15370_TCEB2.pdf</t>
  </si>
  <si>
    <t>Melting_Curves/meltCurve_Q15382_RHEB.pdf</t>
  </si>
  <si>
    <t>Melting_Curves/meltCurve_Q15386_UBE3C.pdf</t>
  </si>
  <si>
    <t>Melting_Curves/meltCurve_Q15393_SF3B3.pdf</t>
  </si>
  <si>
    <t>Melting_Curves/meltCurve_Q15398_3_DLGAP5.pdf</t>
  </si>
  <si>
    <t>Melting_Curves/meltCurve_Q15404_RSU1.pdf</t>
  </si>
  <si>
    <t>Melting_Curves/meltCurve_Q15417_CNN3.pdf</t>
  </si>
  <si>
    <t>Melting_Curves/meltCurve_Q15424_SAFB.pdf</t>
  </si>
  <si>
    <t>Melting_Curves/meltCurve_Q15428_SF3A2.pdf</t>
  </si>
  <si>
    <t>Melting_Curves/meltCurve_Q15435_PPP1R7.pdf</t>
  </si>
  <si>
    <t>Melting_Curves/meltCurve_Q15437_SEC23B.pdf</t>
  </si>
  <si>
    <t>Melting_Curves/meltCurve_Q15459_SF3A1.pdf</t>
  </si>
  <si>
    <t>Melting_Curves/meltCurve_Q15464_SHB.pdf</t>
  </si>
  <si>
    <t>Melting_Curves/meltCurve_Q15477_SKIV2L.pdf</t>
  </si>
  <si>
    <t>Melting_Curves/meltCurve_Q15506_SPA17.pdf</t>
  </si>
  <si>
    <t>Melting_Curves/meltCurve_Q15526_2_SURF1.pdf</t>
  </si>
  <si>
    <t>Melting_Curves/meltCurve_Q15527_SURF2.pdf</t>
  </si>
  <si>
    <t>Melting_Curves/meltCurve_Q15543_TAF13.pdf</t>
  </si>
  <si>
    <t>Melting_Curves/meltCurve_Q15545_TAF7.pdf</t>
  </si>
  <si>
    <t>Melting_Curves/meltCurve_Q15554_TERF2.pdf</t>
  </si>
  <si>
    <t>Melting_Curves/meltCurve_Q15555_4_MAPRE2.pdf</t>
  </si>
  <si>
    <t>Melting_Curves/meltCurve_Q15560_2_TCEA2.pdf</t>
  </si>
  <si>
    <t>Melting_Curves/meltCurve_Q15599_SLC9A3R2.pdf</t>
  </si>
  <si>
    <t>Melting_Curves/meltCurve_Q15628_TRADD.pdf</t>
  </si>
  <si>
    <t>Melting_Curves/meltCurve_Q15633_2_TARBP2.pdf</t>
  </si>
  <si>
    <t>Melting_Curves/meltCurve_Q15637_5_SF1.pdf</t>
  </si>
  <si>
    <t>Melting_Curves/meltCurve_Q15637_6_SF1.pdf</t>
  </si>
  <si>
    <t>Melting_Curves/meltCurve_Q15642_TRIP10.pdf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</si>
  <si>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</si>
  <si>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</si>
  <si>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</si>
  <si>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</si>
  <si>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Melting_Curves/meltCurve_Q15650_TRIP4.pdf</t>
  </si>
  <si>
    <t>Melting_Curves/meltCurve_Q15651_HMGN3.pdf</t>
  </si>
  <si>
    <t>Melting_Curves/meltCurve_Q15652_3_JMJD1C.pdf</t>
  </si>
  <si>
    <t>Melting_Curves/meltCurve_Q15654_TRIP6.pdf</t>
  </si>
  <si>
    <t>Melting_Curves/meltCurve_Q15691_MAPRE1.pdf</t>
  </si>
  <si>
    <t>Melting_Curves/meltCurve_Q15714_TSC22D1.pdf</t>
  </si>
  <si>
    <t>Melting_Curves/meltCurve_Q15717_ELAVL1.pdf</t>
  </si>
  <si>
    <t>Melting_Curves/meltCurve_Q15738_NSDHL.pdf</t>
  </si>
  <si>
    <t>Melting_Curves/meltCurve_Q15750_2_TAB1.pdf</t>
  </si>
  <si>
    <t>Melting_Curves/meltCurve_Q15758_SLC1A5.pdf</t>
  </si>
  <si>
    <t>Melting_Curves/meltCurve_Q15771_RAB30.pdf</t>
  </si>
  <si>
    <t>Melting_Curves/meltCurve_Q15785_TOMM34.pdf</t>
  </si>
  <si>
    <t>Melting_Curves/meltCurve_Q15788_2_NCOA1.pdf</t>
  </si>
  <si>
    <t>Melting_Curves/meltCurve_Q15796_2_SMAD2.pdf</t>
  </si>
  <si>
    <t>Melting_Curves/meltCurve_Q15797_SMAD1.pdf</t>
  </si>
  <si>
    <t>Melting_Curves/meltCurve_Q15800_MSMO1.pdf</t>
  </si>
  <si>
    <t>Melting_Curves/meltCurve_Q15813_TBCE.pdf</t>
  </si>
  <si>
    <t>Melting_Curves/meltCurve_Q15814_TBCC.pdf</t>
  </si>
  <si>
    <t>Melting_Curves/meltCurve_Q15819_UBE2V2.pdf</t>
  </si>
  <si>
    <t>Melting_Curves/meltCurve_Q15831_2_STK11.pdf</t>
  </si>
  <si>
    <t>Melting_Curves/meltCurve_Q15833_STXBP2.pdf</t>
  </si>
  <si>
    <t>Melting_Curves/meltCurve_Q15836_VAMP3.pdf</t>
  </si>
  <si>
    <t>Melting_Curves/meltCurve_Q15843_NEDD8.pdf</t>
  </si>
  <si>
    <t>Melting_Curves/meltCurve_Q15847_ADIRF.pdf</t>
  </si>
  <si>
    <t>Melting_Curves/meltCurve_Q15904_ATP6AP1.pdf</t>
  </si>
  <si>
    <t>Melting_Curves/meltCurve_Q15907_RAB11B.pdf</t>
  </si>
  <si>
    <t>Melting_Curves/meltCurve_Q15942_ZYX.pdf</t>
  </si>
  <si>
    <t>Melting_Curves/meltCurve_Q16134_ETFDH.pdf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</si>
  <si>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</si>
  <si>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</si>
  <si>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</si>
  <si>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</si>
  <si>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</si>
  <si>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Melting_Curves/meltCurve_Q16401_2_PSMD5.pdf</t>
  </si>
  <si>
    <t>Melting_Curves/meltCurve_Q16512_PKN1.pdf</t>
  </si>
  <si>
    <t>Melting_Curves/meltCurve_Q16513_PKN2.pdf</t>
  </si>
  <si>
    <t>Melting_Curves/meltCurve_Q16514_2_TAF12.pdf</t>
  </si>
  <si>
    <t>Melting_Curves/meltCurve_Q16531_DDB1.pdf</t>
  </si>
  <si>
    <t>Melting_Curves/meltCurve_Q16539_2_MAPK14.pdf</t>
  </si>
  <si>
    <t>Melting_Curves/meltCurve_Q16543_CDC37.pdf</t>
  </si>
  <si>
    <t>Melting_Curves/meltCurve_Q16555_DPYSL2.pdf</t>
  </si>
  <si>
    <t>Melting_Curves/meltCurve_Q16576_RBBP7.pdf</t>
  </si>
  <si>
    <t>Melting_Curves/meltCurve_Q16610_ECM1.pdf</t>
  </si>
  <si>
    <t>Melting_Curves/meltCurve_Q16625_4_OCLN.pdf</t>
  </si>
  <si>
    <t>Melting_Curves/meltCurve_Q16626_MEA1.pdf</t>
  </si>
  <si>
    <t>Melting_Curves/meltCurve_Q16630_2_CPSF6.pdf</t>
  </si>
  <si>
    <t>Melting_Curves/meltCurve_Q16635_6_TAZ.pdf</t>
  </si>
  <si>
    <t>Melting_Curves/meltCurve_Q16643_DBN1.pdf</t>
  </si>
  <si>
    <t>Melting_Curves/meltCurve_Q16644_MAPKAPK3.pdf</t>
  </si>
  <si>
    <t>Melting_Curves/meltCurve_Q16656_2_NRF1.pdf</t>
  </si>
  <si>
    <t>Melting_Curves/meltCurve_Q16658_FSCN1.pdf</t>
  </si>
  <si>
    <t>Melting_Curves/meltCurve_Q16670_2_ZSCAN26.pdf</t>
  </si>
  <si>
    <t>Melting_Curves/meltCurve_Q16706_MAN2A1.pdf</t>
  </si>
  <si>
    <t>Melting_Curves/meltCurve_Q16718_NDUFA5.pdf</t>
  </si>
  <si>
    <t>Melting_Curves/meltCurve_Q16720_8_ATP2B3.pdf</t>
  </si>
  <si>
    <t>Melting_Curves/meltCurve_Q16740_CLPP.pdf</t>
  </si>
  <si>
    <t>Melting_Curves/meltCurve_Q16762_TST.pdf</t>
  </si>
  <si>
    <t>Melting_Curves/meltCurve_Q16763_UBE2S.pdf</t>
  </si>
  <si>
    <t>Melting_Curves/meltCurve_Q16769_QPCT.pdf</t>
  </si>
  <si>
    <t>Melting_Curves/meltCurve_Q16775_2_HAGH.pdf</t>
  </si>
  <si>
    <t>Melting_Curves/meltCurve_Q16778_HIST2H2BE.pdf</t>
  </si>
  <si>
    <t>Melting_Curves/meltCurve_Q16787_LAMA3.pdf</t>
  </si>
  <si>
    <t>Melting_Curves/meltCurve_Q16790_CA9.pdf</t>
  </si>
  <si>
    <t>Melting_Curves/meltCurve_Q16795_NDUFA9.pdf</t>
  </si>
  <si>
    <t>Melting_Curves/meltCurve_Q16822_PCK2.pdf</t>
  </si>
  <si>
    <t>Melting_Curves/meltCurve_Q16850_CYP51A1.pdf</t>
  </si>
  <si>
    <t>Melting_Curves/meltCurve_Q16851_UGP2.pdf</t>
  </si>
  <si>
    <t>Melting_Curves/meltCurve_Q16854_DGUOK.pdf</t>
  </si>
  <si>
    <t>Melting_Curves/meltCurve_Q16864_ATP6V1F.pdf</t>
  </si>
  <si>
    <t>Melting_Curves/meltCurve_Q16880_UGT8.pdf</t>
  </si>
  <si>
    <t>Melting_Curves/meltCurve_Q17R31_2_TATDN3.pdf</t>
  </si>
  <si>
    <t>Melting_Curves/meltCurve_Q17RN3_FAM98C.pdf</t>
  </si>
  <si>
    <t>Melting_Curves/meltCurve_Q17RU2_REL.pdf</t>
  </si>
  <si>
    <t>Melting_Curves/meltCurve_Q18PE1_2_DOK7.pdf</t>
  </si>
  <si>
    <t>Melting_Curves/meltCurve_Q1ED39_KNOP1.pdf</t>
  </si>
  <si>
    <t>Melting_Curves/meltCurve_Q1KMD3_HNRNPUL2.pdf</t>
  </si>
  <si>
    <t>Melting_Curves/meltCurve_Q1MSJ5_1_CSPP1.pdf</t>
  </si>
  <si>
    <t>Melting_Curves/meltCurve_Q24JP5_TMEM132A.pdf</t>
  </si>
  <si>
    <t>Melting_Curves/meltCurve_Q27J81_2_INF2.pdf</t>
  </si>
  <si>
    <t>Melting_Curves/meltCurve_Q29RF7_PDS5A.pdf</t>
  </si>
  <si>
    <t>Melting_Curves/meltCurve_Q2M296_2_MTHFSD.pdf</t>
  </si>
  <si>
    <t>Melting_Curves/meltCurve_Q2M2I8_2_AAK1.pdf</t>
  </si>
  <si>
    <t>Melting_Curves/meltCurve_Q2M2Z5_5_PLK1S1.pdf</t>
  </si>
  <si>
    <t>Melting_Curves/meltCurve_Q2M389_KIAA1033.pdf</t>
  </si>
  <si>
    <t>Melting_Curves/meltCurve_Q2N1I1_KCNE3.pdf</t>
  </si>
  <si>
    <t>Melting_Curves/meltCurve_Q2NKX8_ERCC6L.pdf</t>
  </si>
  <si>
    <t>Melting_Curves/meltCurve_Q2NL82_TSR1.pdf</t>
  </si>
  <si>
    <t>Melting_Curves/meltCurve_Q2NL98_VMAC.pdf</t>
  </si>
  <si>
    <t>Melting_Curves/meltCurve_Q2T9J0_TYSND1.pdf</t>
  </si>
  <si>
    <t>Melting_Curves/meltCurve_Q2TAA5_ALG11.pdf</t>
  </si>
  <si>
    <t>Melting_Curves/meltCurve_Q2TAL8_QRICH1.pdf</t>
  </si>
  <si>
    <t>Melting_Curves/meltCurve_Q2TAM5_RELA.pdf</t>
  </si>
  <si>
    <t>Melting_Curves/meltCurve_Q2TAM9_TUSC1.pdf</t>
  </si>
  <si>
    <t>Melting_Curves/meltCurve_Q2TAY7_SMU1.pdf</t>
  </si>
  <si>
    <t>Melting_Curves/meltCurve_Q2TBE0_CWF19L2.pdf</t>
  </si>
  <si>
    <t>Melting_Curves/meltCurve_Q32MZ4_2_LRRFIP1.pdf</t>
  </si>
  <si>
    <t>Melting_Curves/meltCurve_Q32MZ4_3_LRRFIP1.pdf</t>
  </si>
  <si>
    <t>Melting_Curves/meltCurve_Q32MZ9_POLD3.pdf</t>
  </si>
  <si>
    <t>Melting_Curves/meltCurve_Q32P28_LEPRE1.pdf</t>
  </si>
  <si>
    <t>Melting_Curves/meltCurve_Q32P41_TRMT5.pdf</t>
  </si>
  <si>
    <t>Melting_Curves/meltCurve_Q32Q12_NME1_NME2.pdf</t>
  </si>
  <si>
    <t>Melting_Curves/meltCurve_Q3B726_TWISTNB.pdf</t>
  </si>
  <si>
    <t>Melting_Curves/meltCurve_Q3B7J2_GFOD2.pdf</t>
  </si>
  <si>
    <t>Melting_Curves/meltCurve_Q3KQV9_UAP1L1.pdf</t>
  </si>
  <si>
    <t>Melting_Curves/meltCurve_Q3KRA6_C2orf76.pdf</t>
  </si>
  <si>
    <t>Melting_Curves/meltCurve_Q3KRA9_ALKBH6.pdf</t>
  </si>
  <si>
    <t>Melting_Curves/meltCurve_Q3LXA3_DAK.pdf</t>
  </si>
  <si>
    <t>Melting_Curves/meltCurve_Q3MHD2_LSM12.pdf</t>
  </si>
  <si>
    <t>Melting_Curves/meltCurve_Q3MIR4_TMEM30B.pdf</t>
  </si>
  <si>
    <t>Melting_Curves/meltCurve_Q3MIT2_PUS10.pdf</t>
  </si>
  <si>
    <t>Melting_Curves/meltCurve_Q3SXM5_HSDL1.pdf</t>
  </si>
  <si>
    <t>Melting_Curves/meltCurve_Q3SY69_ALDH1L2.pdf</t>
  </si>
  <si>
    <t>Melting_Curves/meltCurve_Q3YEC7_RABL6.pdf</t>
  </si>
  <si>
    <t>Melting_Curves/meltCurve_Q3ZAQ7_VMA21.pdf</t>
  </si>
  <si>
    <t>Melting_Curves/meltCurve_Q3ZCM7_TUBB8.pdf</t>
  </si>
  <si>
    <t>Melting_Curves/meltCurve_Q3ZCQ8_TIMM50.pdf</t>
  </si>
  <si>
    <t>Melting_Curves/meltCurve_Q3ZCW2_LGALSL.pdf</t>
  </si>
  <si>
    <t>Melting_Curves/meltCurve_Q495W5_2_FUT11.pdf</t>
  </si>
  <si>
    <t>Melting_Curves/meltCurve_Q49AH0_2_CDNF.pdf</t>
  </si>
  <si>
    <t>Melting_Curves/meltCurve_Q49AQ3_LASS5.pdf</t>
  </si>
  <si>
    <t>Melting_Curves/meltCurve_Q49AR2_C5orf22.pdf</t>
  </si>
  <si>
    <t>Melting_Curves/meltCurve_Q49B96_COX19.pdf</t>
  </si>
  <si>
    <t>Melting_Curves/meltCurve_Q4G0F5_VPS26B.pdf</t>
  </si>
  <si>
    <t>Melting_Curves/meltCurve_Q4G0I0_CCSMST1.pdf</t>
  </si>
  <si>
    <t>Melting_Curves/meltCurve_Q4G0N4_NADKD1.pdf</t>
  </si>
  <si>
    <t>Melting_Curves/meltCurve_Q4G0X9_3_CCDC40.pdf</t>
  </si>
  <si>
    <t>Melting_Curves/meltCurve_Q4G148_2_GXYLT1.pdf</t>
  </si>
  <si>
    <t>Melting_Curves/meltCurve_Q4G176_ACSF3.pdf</t>
  </si>
  <si>
    <t>Melting_Curves/meltCurve_Q4J6C6_4_PREPL.pdf</t>
  </si>
  <si>
    <t>Melting_Curves/meltCurve_Q4JM47_AGR2.pdf</t>
  </si>
  <si>
    <t>Melting_Curves/meltCurve_Q4KMP7_TBC1D10B.pdf</t>
  </si>
  <si>
    <t>Melting_Curves/meltCurve_Q4KWH8_3_PLCH1.pdf</t>
  </si>
  <si>
    <t>Melting_Curves/meltCurve_Q4LDG9_3_DNAL1.pdf</t>
  </si>
  <si>
    <t>Melting_Curves/meltCurve_Q4LE39_3_ARID4B.pdf</t>
  </si>
  <si>
    <t>Melting_Curves/meltCurve_Q4V328_GRIPAP1.pdf</t>
  </si>
  <si>
    <t>Melting_Curves/meltCurve_Q4VC05_BCL7A.pdf</t>
  </si>
  <si>
    <t>Melting_Curves/meltCurve_Q4VCS5_AMOT.pdf</t>
  </si>
  <si>
    <t>Melting_Curves/meltCurve_Q4VXZ8_DECR2.pdf</t>
  </si>
  <si>
    <t>Melting_Curves/meltCurve_Q4ZIN3_2_TMEM259.pdf</t>
  </si>
  <si>
    <t>Melting_Curves/meltCurve_Q504Q3_2_PAN2.pdf</t>
  </si>
  <si>
    <t>Melting_Curves/meltCurve_Q52LA3_LIN52.pdf</t>
  </si>
  <si>
    <t>Melting_Curves/meltCurve_Q52LJ0_2_FAM98B.pdf</t>
  </si>
  <si>
    <t>Melting_Curves/meltCurve_Q53EL6_2_PDCD4.pdf</t>
  </si>
  <si>
    <t>Melting_Curves/meltCurve_Q53EZ4_CEP55.pdf</t>
  </si>
  <si>
    <t>Melting_Curves/meltCurve_Q53F19_C17orf85.pdf</t>
  </si>
  <si>
    <t>Melting_Curves/meltCurve_Q53FA7_TP53I3.pdf</t>
  </si>
  <si>
    <t>Melting_Curves/meltCurve_Q53FT3_C11orf73.pdf</t>
  </si>
  <si>
    <t>Melting_Curves/meltCurve_Q53GG5_2_PDLIM3.pdf</t>
  </si>
  <si>
    <t>Melting_Curves/meltCurve_Q53GQ0_HSD17B12.pdf</t>
  </si>
  <si>
    <t>Melting_Curves/meltCurve_Q53H12_AGK.pdf</t>
  </si>
  <si>
    <t>Melting_Curves/meltCurve_Q53H47_SETMAR.pdf</t>
  </si>
  <si>
    <t>Melting_Curves/meltCurve_Q53H82_LACTB2.pdf</t>
  </si>
  <si>
    <t>Melting_Curves/meltCurve_Q53H96_PYCRL.pdf</t>
  </si>
  <si>
    <t>Melting_Curves/meltCurve_Q53HC9_TSSC1.pdf</t>
  </si>
  <si>
    <t>Melting_Curves/meltCurve_Q53HV7_SMUG1.pdf</t>
  </si>
  <si>
    <t>Melting_Curves/meltCurve_Q53R41_FASTKD1.pdf</t>
  </si>
  <si>
    <t>Melting_Curves/meltCurve_Q53S33_BOLA3.pdf</t>
  </si>
  <si>
    <t>Melting_Curves/meltCurve_Q53SF7_4_COBLL1.pdf</t>
  </si>
  <si>
    <t>Melting_Curves/meltCurve_Q53T59_HS1BP3.pdf</t>
  </si>
  <si>
    <t>Melting_Curves/meltCurve_Q567Q0_PPIA.pdf</t>
  </si>
  <si>
    <t>Melting_Curves/meltCurve_Q56VL3_OCIAD2.pdf</t>
  </si>
  <si>
    <t>Melting_Curves/meltCurve_Q573B4_LCK.pdf</t>
  </si>
  <si>
    <t>Melting_Curves/meltCurve_Q587I9_SFT2D3.pdf</t>
  </si>
  <si>
    <t>Melting_Curves/meltCurve_Q58A45_PAN3.pdf</t>
  </si>
  <si>
    <t>Melting_Curves/meltCurve_Q58FF8_HSP90AB2P.pdf</t>
  </si>
  <si>
    <t>Melting_Curves/meltCurve_Q58FG1_HSP90AA4P.pdf</t>
  </si>
  <si>
    <t>Melting_Curves/meltCurve_Q58WW2_DCAF6.pdf</t>
  </si>
  <si>
    <t>Melting_Curves/meltCurve_Q59GN2_RPL39P5.pdf</t>
  </si>
  <si>
    <t>Melting_Curves/meltCurve_Q5BJF2_TMEM97.pdf</t>
  </si>
  <si>
    <t>Melting_Curves/meltCurve_Q5BKU9_OXLD1.pdf</t>
  </si>
  <si>
    <t>Melting_Curves/meltCurve_Q5BKX5_C19orf54.pdf</t>
  </si>
  <si>
    <t>Melting_Curves/meltCurve_Q5BKZ1_ZNF326.pdf</t>
  </si>
  <si>
    <t>Melting_Curves/meltCurve_Q5D1E8_ZC3H12A.pdf</t>
  </si>
  <si>
    <t>Melting_Curves/meltCurve_Q5EBL8_PDZD11.pdf</t>
  </si>
  <si>
    <t>Melting_Curves/meltCurve_Q5F1R6_DNAJC21.pdf</t>
  </si>
  <si>
    <t>Melting_Curves/meltCurve_Q5GFL6_VWA2.pdf</t>
  </si>
  <si>
    <t>Melting_Curves/meltCurve_Q5GLZ8_3_HERC4.pdf</t>
  </si>
  <si>
    <t>Melting_Curves/meltCurve_Q5H8X8_UTS2.pdf</t>
  </si>
  <si>
    <t>Melting_Curves/meltCurve_Q5HY62_CXorf40B.pdf</t>
  </si>
  <si>
    <t>Melting_Curves/meltCurve_Q5HYI7_MTX3.pdf</t>
  </si>
  <si>
    <t>Melting_Curves/meltCurve_Q5HYI8_RABL3.pdf</t>
  </si>
  <si>
    <t>Melting_Curves/meltCurve_Q5HYK3_COQ5.pdf</t>
  </si>
  <si>
    <t>Melting_Curves/meltCurve_Q5HYK7_2_SH3D19.pdf</t>
  </si>
  <si>
    <t>Melting_Curves/meltCurve_Q5JP53_TUBB.pdf</t>
  </si>
  <si>
    <t>Melting_Curves/meltCurve_Q5JPE7_2_NOMO2.pdf</t>
  </si>
  <si>
    <t>Melting_Curves/meltCurve_Q5JPH6_EARS2.pdf</t>
  </si>
  <si>
    <t>Melting_Curves/meltCurve_Q5JQQ2_DPCD.pdf</t>
  </si>
  <si>
    <t>Melting_Curves/meltCurve_Q5JR08_RHOC.pdf</t>
  </si>
  <si>
    <t>Melting_Curves/meltCurve_Q5JR12_2_PPM1J.pdf</t>
  </si>
  <si>
    <t>Melting_Curves/meltCurve_Q5JRA6_MIA3.pdf</t>
  </si>
  <si>
    <t>Melting_Curves/meltCurve_Q5JRG1_NUPL1.pdf</t>
  </si>
  <si>
    <t>Melting_Curves/meltCurve_Q5JRI1_SRSF10.pdf</t>
  </si>
  <si>
    <t>Melting_Curves/meltCurve_Q5JRX3_PITRM1.pdf</t>
  </si>
  <si>
    <t>Melting_Curves/meltCurve_Q5JS37_NHLRC3.pdf</t>
  </si>
  <si>
    <t>Melting_Curves/meltCurve_Q5JS54_PSMG4.pdf</t>
  </si>
  <si>
    <t>Melting_Curves/meltCurve_Q5JSH3_2_WDR44.pdf</t>
  </si>
  <si>
    <t>Melting_Curves/meltCurve_Q5JSL0_HMGN5.pdf</t>
  </si>
  <si>
    <t>Melting_Curves/meltCurve_Q5JSZ5_PRRC2B.pdf</t>
  </si>
  <si>
    <t>Melting_Curves/meltCurve_Q5JTD0_2_TJAP1.pdf</t>
  </si>
  <si>
    <t>Melting_Curves/meltCurve_Q5JTJ3_3_COA6.pdf</t>
  </si>
  <si>
    <t>Melting_Curves/meltCurve_Q5JTV1_GMEB2.pdf</t>
  </si>
  <si>
    <t>Melting_Curves/meltCurve_Q5JTV8_TOR1AIP1.pdf</t>
  </si>
  <si>
    <t>Melting_Curves/meltCurve_Q5JTZ9_AARS2.pdf</t>
  </si>
  <si>
    <t>Melting_Curves/meltCurve_Q5JU69_TOR2A.pdf</t>
  </si>
  <si>
    <t>Melting_Curves/meltCurve_Q5JUR7_TEX30.pdf</t>
  </si>
  <si>
    <t>Melting_Curves/meltCurve_Q5JUW8_DLG3.pdf</t>
  </si>
  <si>
    <t>Melting_Curves/meltCurve_Q5JUX0_SPIN3.pdf</t>
  </si>
  <si>
    <t>Melting_Curves/meltCurve_Q5JVF3_3_PCID2.pdf</t>
  </si>
  <si>
    <t>Melting_Curves/meltCurve_Q5JVG8_2_ZNF506.pdf</t>
  </si>
  <si>
    <t>Melting_Curves/meltCurve_Q5JVS0_HABP4.pdf</t>
  </si>
  <si>
    <t>Melting_Curves/meltCurve_Q5JW30_STAU1.pdf</t>
  </si>
  <si>
    <t>Melting_Curves/meltCurve_Q5JWB9_TMEM230.pdf</t>
  </si>
  <si>
    <t>Melting_Curves/meltCurve_Q5JWT2_MED23.pdf</t>
  </si>
  <si>
    <t>Melting_Curves/meltCurve_Q5JXX2_MORF4L2.pdf</t>
  </si>
  <si>
    <t>Melting_Curves/meltCurve_Q5JY65_CRNKL1.pdf</t>
  </si>
  <si>
    <t>Melting_Curves/meltCurve_Q5K4L6_SLC27A3.pdf</t>
  </si>
  <si>
    <t>Melting_Curves/meltCurve_Q5M775_SPECC1.pdf</t>
  </si>
  <si>
    <t>Melting_Curves/meltCurve_Q5M8T2_SLC35D3.pdf</t>
  </si>
  <si>
    <t>Melting_Curves/meltCurve_Q5MIZ7_3_SMEK2.pdf</t>
  </si>
  <si>
    <t>Melting_Curves/meltCurve_Q5MNZ6_WDR45B.pdf</t>
  </si>
  <si>
    <t>Melting_Curves/meltCurve_Q5NDL2_EOGT.pdf</t>
  </si>
  <si>
    <t>Melting_Curves/meltCurve_Q5QJE6_DNTTIP2.pdf</t>
  </si>
  <si>
    <t>Melting_Curves/meltCurve_Q5QNY5_PEX19.pdf</t>
  </si>
  <si>
    <t>Melting_Curves/meltCurve_Q5QNZ2_ATP5F1.pdf</t>
  </si>
  <si>
    <t>Melting_Curves/meltCurve_Q5QP56_BCL2L1.pdf</t>
  </si>
  <si>
    <t>Melting_Curves/meltCurve_Q5QP82_2_DCAF10.pdf</t>
  </si>
  <si>
    <t>Melting_Curves/meltCurve_Q5QPK2_DPM1.pdf</t>
  </si>
  <si>
    <t>Melting_Curves/meltCurve_Q5QPL9_RALY.pdf</t>
  </si>
  <si>
    <t>Melting_Curves/meltCurve_Q5QPM7_PSMF1.pdf</t>
  </si>
  <si>
    <t>Melting_Curves/meltCurve_Q5R372_4_RABGAP1L.pdf</t>
  </si>
  <si>
    <t>Melting_Curves/meltCurve_Q5R3B4_MPC2.pdf</t>
  </si>
  <si>
    <t>Melting_Curves/meltCurve_Q5RI15_COX20.pdf</t>
  </si>
  <si>
    <t>Melting_Curves/meltCurve_Q5RKV6_EXOSC6.pdf</t>
  </si>
  <si>
    <t>Melting_Curves/meltCurve_Q5SQI0_5_ATAT1.pdf</t>
  </si>
  <si>
    <t>Melting_Curves/meltCurve_Q5SR50_PIK3CD.pdf</t>
  </si>
  <si>
    <t>Melting_Curves/meltCurve_Q5SR54_CLSTN1.pdf</t>
  </si>
  <si>
    <t>Melting_Curves/meltCurve_Q5SR56_HIATL1.pdf</t>
  </si>
  <si>
    <t>Melting_Curves/meltCurve_Q5SRE5_NUP188.pdf</t>
  </si>
  <si>
    <t>Melting_Curves/meltCurve_Q5SRI9_MANEA.pdf</t>
  </si>
  <si>
    <t>Melting_Curves/meltCurve_Q5SRQ6_CSNK2B.pdf</t>
  </si>
  <si>
    <t>Melting_Curves/meltCurve_Q5SSJ5_HP1BP3.pdf</t>
  </si>
  <si>
    <t>Melting_Curves/meltCurve_Q5SVS4_SLC25A30.pdf</t>
  </si>
  <si>
    <t>Melting_Curves/meltCurve_Q5SW79_CEP170.pdf</t>
  </si>
  <si>
    <t>Melting_Curves/meltCurve_Q5SWX8_4_ODR4.pdf</t>
  </si>
  <si>
    <t>Melting_Curves/meltCurve_Q5SXM8_DNLZ.pdf</t>
  </si>
  <si>
    <t>Melting_Curves/meltCurve_Q5SYE7_2_NHSL1.pdf</t>
  </si>
  <si>
    <t>Melting_Curves/meltCurve_Q5SZ64_SF3B4.pdf</t>
  </si>
  <si>
    <t>Melting_Curves/meltCurve_Q5SZE2_CERS2.pdf</t>
  </si>
  <si>
    <t>Melting_Curves/meltCurve_Q5SZR4_TDRKH.pdf</t>
  </si>
  <si>
    <t>Melting_Curves/meltCurve_Q5T085_AMY1B.pdf</t>
  </si>
  <si>
    <t>Melting_Curves/meltCurve_Q5T0N5_3_FNBP1L.pdf</t>
  </si>
  <si>
    <t>Melting_Curves/meltCurve_Q5T0Z8_C6orf132.pdf</t>
  </si>
  <si>
    <t>Melting_Curves/meltCurve_Q5T123_SH3BGRL3.pdf</t>
  </si>
  <si>
    <t>Melting_Curves/meltCurve_Q5T160_RARS2.pdf</t>
  </si>
  <si>
    <t>Melting_Curves/meltCurve_Q5T171_PYGO2.pdf</t>
  </si>
  <si>
    <t>Melting_Curves/meltCurve_Q5T1M5_FKBP15.pdf</t>
  </si>
  <si>
    <t>Melting_Curves/meltCurve_Q5T1V6_DDX59.pdf</t>
  </si>
  <si>
    <t>Melting_Curves/meltCurve_Q5T1Z4_PUM1.pdf</t>
  </si>
  <si>
    <t>Melting_Curves/meltCurve_Q5T200_ZC3H13.pdf</t>
  </si>
  <si>
    <t>Melting_Curves/meltCurve_Q5T2E6_C10orf76.pdf</t>
  </si>
  <si>
    <t>Melting_Curves/meltCurve_Q5T2R2_3_PDSS1.pdf</t>
  </si>
  <si>
    <t>Melting_Curves/meltCurve_Q5T2W9_C1orf159.pdf</t>
  </si>
  <si>
    <t>Melting_Curves/meltCurve_Q5T2Z0_PSRC1.pdf</t>
  </si>
  <si>
    <t>Melting_Curves/meltCurve_Q5T3F8_TMEM63B.pdf</t>
  </si>
  <si>
    <t>Melting_Curves/meltCurve_Q5T3J3_LRIF1.pdf</t>
  </si>
  <si>
    <t>Melting_Curves/meltCurve_Q5T3U5_2_ABCC10.pdf</t>
  </si>
  <si>
    <t>Melting_Curves/meltCurve_Q5T440_IBA57.pdf</t>
  </si>
  <si>
    <t>Melting_Curves/meltCurve_Q5T447_HECTD3.pdf</t>
  </si>
  <si>
    <t>Melting_Curves/meltCurve_Q5T4F4_7_ZFYVE27.pdf</t>
  </si>
  <si>
    <t>Melting_Curves/meltCurve_Q5T4P9_PLEKHO1.pdf</t>
  </si>
  <si>
    <t>Melting_Curves/meltCurve_Q5T4S7_3_UBR4.pdf</t>
  </si>
  <si>
    <t>Melting_Curves/meltCurve_Q5T4U5_ACADM.pdf</t>
  </si>
  <si>
    <t>Melting_Curves/meltCurve_Q5T5C0_3_STXBP5.pdf</t>
  </si>
  <si>
    <t>Melting_Curves/meltCurve_Q5T5P2_KIAA1217.pdf</t>
  </si>
  <si>
    <t>Melting_Curves/meltCurve_Q5T5U3_ARHGAP21.pdf</t>
  </si>
  <si>
    <t>Melting_Curves/meltCurve_Q5T5Y3_2_CAMSAP1.pdf</t>
  </si>
  <si>
    <t>Melting_Curves/meltCurve_Q5T6F2_UBAP2.pdf</t>
  </si>
  <si>
    <t>Melting_Curves/meltCurve_Q5T6N4_ABLIM1.pdf</t>
  </si>
  <si>
    <t>Melting_Curves/meltCurve_Q5T6V5_C9orf64.pdf</t>
  </si>
  <si>
    <t>Melting_Curves/meltCurve_Q5T750_XP32.pdf</t>
  </si>
  <si>
    <t>Melting_Curves/meltCurve_Q5T7M9_FAM69A.pdf</t>
  </si>
  <si>
    <t>Melting_Curves/meltCurve_Q5T7V8_GORAB.pdf</t>
  </si>
  <si>
    <t>Melting_Curves/meltCurve_Q5T8D3_4_ACBD5.pdf</t>
  </si>
  <si>
    <t>Melting_Curves/meltCurve_Q5T8I0_COX6A1P2.pdf</t>
  </si>
  <si>
    <t>Melting_Curves/meltCurve_Q5T8P6_RBM26.pdf</t>
  </si>
  <si>
    <t>Melting_Curves/meltCurve_Q5T8U5_SURF4.pdf</t>
  </si>
  <si>
    <t>Melting_Curves/meltCurve_Q5T9B7_AK1.pdf</t>
  </si>
  <si>
    <t>Melting_Curves/meltCurve_Q5T9C2_2_FAM102A.pdf</t>
  </si>
  <si>
    <t>Melting_Curves/meltCurve_Q5TA02_GSTO1.pdf</t>
  </si>
  <si>
    <t>Melting_Curves/meltCurve_Q5TA31_RNF187.pdf</t>
  </si>
  <si>
    <t>Melting_Curves/meltCurve_Q5TA45_3_CPSF3L.pdf</t>
  </si>
  <si>
    <t>Melting_Curves/meltCurve_Q5TA50_GLTPD1.pdf</t>
  </si>
  <si>
    <t>Melting_Curves/meltCurve_Q5TAX3_ZCCHC11.pdf</t>
  </si>
  <si>
    <t>Melting_Curves/meltCurve_Q5TBA9_FRY.pdf</t>
  </si>
  <si>
    <t>Melting_Curves/meltCurve_Q5TBB1_RNASEH2B.pdf</t>
  </si>
  <si>
    <t>Melting_Curves/meltCurve_Q5TBP5_TAF4.pdf</t>
  </si>
  <si>
    <t>Melting_Curves/meltCurve_Q5TD07_NQO2.pdf</t>
  </si>
  <si>
    <t>Melting_Curves/meltCurve_Q5TDC5_C6orf89.pdf</t>
  </si>
  <si>
    <t>Melting_Curves/meltCurve_Q5TDG9_DNAJC16.pdf</t>
  </si>
  <si>
    <t>Melting_Curves/meltCurve_Q5TDH0_DDI2.pdf</t>
  </si>
  <si>
    <t>Melting_Curves/meltCurve_Q5TEU4_2_NDUFAF5.pdf</t>
  </si>
  <si>
    <t>Melting_Curves/meltCurve_Q5TFE4_NT5DC1.pdf</t>
  </si>
  <si>
    <t>Melting_Curves/meltCurve_Q5TH58_C6orf106.pdf</t>
  </si>
  <si>
    <t>Melting_Curves/meltCurve_Q5TH69_ARFGEF3.pdf</t>
  </si>
  <si>
    <t>Melting_Curves/meltCurve_Q5THJ1_PRDM2.pdf</t>
  </si>
  <si>
    <t>Melting_Curves/meltCurve_Q5THK1_3_PRR14L.pdf</t>
  </si>
  <si>
    <t>Melting_Curves/meltCurve_Q5TI78_METTL18.pdf</t>
  </si>
  <si>
    <t>Melting_Curves/meltCurve_Q5TIE1_SLC19A2.pdf</t>
  </si>
  <si>
    <t>Melting_Curves/meltCurve_Q5TZA2_CROCC.pdf</t>
  </si>
  <si>
    <t>Melting_Curves/meltCurve_Q5U5X0_LYRM7.pdf</t>
  </si>
  <si>
    <t>Melting_Curves/meltCurve_Q5U649_C12orf60.pdf</t>
  </si>
  <si>
    <t>Melting_Curves/meltCurve_Q5UIP0_2_RIF1.pdf</t>
  </si>
  <si>
    <t>Melting_Curves/meltCurve_Q5VIR6_4_VPS53.pdf</t>
  </si>
  <si>
    <t>Melting_Curves/meltCurve_Q5VSL9_STRIP1.pdf</t>
  </si>
  <si>
    <t>Melting_Curves/meltCurve_Q5VST6_ABHD17B.pdf</t>
  </si>
  <si>
    <t>Melting_Curves/meltCurve_Q5VT06_CEP350.pdf</t>
  </si>
  <si>
    <t>Melting_Curves/meltCurve_Q5VT52_3_RPRD2.pdf</t>
  </si>
  <si>
    <t>Melting_Curves/meltCurve_Q5VT66_MARC1.pdf</t>
  </si>
  <si>
    <t>Melting_Curves/meltCurve_Q5VT94_GHITM.pdf</t>
  </si>
  <si>
    <t>Melting_Curves/meltCurve_Q5VTL8_PRPF38B.pdf</t>
  </si>
  <si>
    <t>Melting_Curves/meltCurve_Q5VTQ0_2_TTC39B.pdf</t>
  </si>
  <si>
    <t>Melting_Curves/meltCurve_Q5VTR2_RNF20.pdf</t>
  </si>
  <si>
    <t>Melting_Curves/meltCurve_Q5VTU3_DYNLT1.pdf</t>
  </si>
  <si>
    <t>Melting_Curves/meltCurve_Q5VU58_TPM3.pdf</t>
  </si>
  <si>
    <t>Melting_Curves/meltCurve_Q5VUA4_ZNF318.pdf</t>
  </si>
  <si>
    <t>Melting_Curves/meltCurve_Q5VUE5_C1orf53.pdf</t>
  </si>
  <si>
    <t>Melting_Curves/meltCurve_Q5VUM1_C6orf57.pdf</t>
  </si>
  <si>
    <t>Melting_Curves/meltCurve_Q5VV41_ARHGEF16.pdf</t>
  </si>
  <si>
    <t>Melting_Curves/meltCurve_Q5VV42_CDKAL1.pdf</t>
  </si>
  <si>
    <t>Melting_Curves/meltCurve_Q5VV50_ZNF691.pdf</t>
  </si>
  <si>
    <t>Melting_Curves/meltCurve_Q5VV87_MGST3.pdf</t>
  </si>
  <si>
    <t>Melting_Curves/meltCurve_Q5VVJ2_2_MYSM1.pdf</t>
  </si>
  <si>
    <t>Melting_Curves/meltCurve_Q5VVQ6_2_YOD1.pdf</t>
  </si>
  <si>
    <t>Melting_Curves/meltCurve_Q5VW27_NFIB.pdf</t>
  </si>
  <si>
    <t>Melting_Curves/meltCurve_Q5VW32_BROX.pdf</t>
  </si>
  <si>
    <t>Melting_Curves/meltCurve_Q5VW36_FOCAD.pdf</t>
  </si>
  <si>
    <t>Melting_Curves/meltCurve_Q5VW52_GPAM.pdf</t>
  </si>
  <si>
    <t>Melting_Curves/meltCurve_Q5VWJ9_SNX30.pdf</t>
  </si>
  <si>
    <t>Melting_Curves/meltCurve_Q5VWP2_FAM46C.pdf</t>
  </si>
  <si>
    <t>Melting_Curves/meltCurve_Q5VWQ0_RSBN1.pdf</t>
  </si>
  <si>
    <t>Melting_Curves/meltCurve_Q5VWQ8_2_DAB2IP.pdf</t>
  </si>
  <si>
    <t>Melting_Curves/meltCurve_Q5VWV2_PARD3.pdf</t>
  </si>
  <si>
    <t>Melting_Curves/meltCurve_Q5VWZ2_LYPLAL1.pdf</t>
  </si>
  <si>
    <t>Melting_Curves/meltCurve_Q5VY93_ARHGEF2.pdf</t>
  </si>
  <si>
    <t>Melting_Curves/meltCurve_Q5VZE5_NAA35.pdf</t>
  </si>
  <si>
    <t>Melting_Curves/meltCurve_Q5VZK9_LRRC16A.pdf</t>
  </si>
  <si>
    <t>Melting_Curves/meltCurve_Q5W0A2_ITM2B.pdf</t>
  </si>
  <si>
    <t>Melting_Curves/meltCurve_Q5W0U4_BSPRY.pdf</t>
  </si>
  <si>
    <t>Melting_Curves/meltCurve_Q5W0V3_FAM160B1.pdf</t>
  </si>
  <si>
    <t>Melting_Curves/meltCurve_Q5W0Z9_3_ZDHHC20.pdf</t>
  </si>
  <si>
    <t>Melting_Curves/meltCurve_Q5W111_SPRYD7.pdf</t>
  </si>
  <si>
    <t>Melting_Curves/meltCurve_Q5W145_NDUFB8.pdf</t>
  </si>
  <si>
    <t>Melting_Curves/meltCurve_Q5XKP0_QIL1.pdf</t>
  </si>
  <si>
    <t>Melting_Curves/meltCurve_Q5XUX1_3_FBXW9.pdf</t>
  </si>
  <si>
    <t>Melting_Curves/meltCurve_Q5ZPR3_CD276.pdf</t>
  </si>
  <si>
    <t>Melting_Curves/meltCurve_Q63HN8_RNF213.pdf</t>
  </si>
  <si>
    <t>Melting_Curves/meltCurve_Q641Q2_FAM21A.pdf</t>
  </si>
  <si>
    <t>Melting_Curves/meltCurve_Q643R3_LPCAT4.pdf</t>
  </si>
  <si>
    <t>Melting_Curves/meltCurve_Q658Y4_FAM91A1.pdf</t>
  </si>
  <si>
    <t>Melting_Curves/meltCurve_Q659C4_LARP1B.pdf</t>
  </si>
  <si>
    <t>Melting_Curves/meltCurve_Q66K14_2_TBC1D9B.pdf</t>
  </si>
  <si>
    <t>Melting_Curves/meltCurve_Q66K64_DCAF15.pdf</t>
  </si>
  <si>
    <t>Melting_Curves/meltCurve_Q66PJ3_ARL6IP4.pdf</t>
  </si>
  <si>
    <t>Melting_Curves/meltCurve_Q66S35_PFKFB4.pdf</t>
  </si>
  <si>
    <t>Melting_Curves/meltCurve_Q68CQ4_DIEXF.pdf</t>
  </si>
  <si>
    <t>Melting_Curves/meltCurve_Q68D10_SPTY2D1.pdf</t>
  </si>
  <si>
    <t>Melting_Curves/meltCurve_Q68D91_MBLAC2.pdf</t>
  </si>
  <si>
    <t>Melting_Curves/meltCurve_Q68DA7_5_FMN1.pdf</t>
  </si>
  <si>
    <t>Melting_Curves/meltCurve_Q68DH5_LMBRD2.pdf</t>
  </si>
  <si>
    <t>Melting_Curves/meltCurve_Q68E01_2_INTS3.pdf</t>
  </si>
  <si>
    <t>Melting_Curves/meltCurve_Q68EM7_2_ARHGAP17.pdf</t>
  </si>
  <si>
    <t>Melting_Curves/meltCurve_Q69YL0_.pdf</t>
  </si>
  <si>
    <t>Melting_Curves/meltCurve_Q69YN2_CWF19L1.pdf</t>
  </si>
  <si>
    <t>Melting_Curves/meltCurve_Q69YN4_KIAA1429.pdf</t>
  </si>
  <si>
    <t>Melting_Curves/meltCurve_Q69YU5_C12orf73.pdf</t>
  </si>
  <si>
    <t>Melting_Curves/meltCurve_Q6AZZ1_TRIM68.pdf</t>
  </si>
  <si>
    <t>Melting_Curves/meltCurve_Q6B0J5_HFE.pdf</t>
  </si>
  <si>
    <t>Melting_Curves/meltCurve_Q6BDS2_UHRF1BP1.pdf</t>
  </si>
  <si>
    <t>Melting_Curves/meltCurve_Q6DD87_ZNF787.pdf</t>
  </si>
  <si>
    <t>Melting_Curves/meltCurve_Q6DD88_ATL3.pdf</t>
  </si>
  <si>
    <t>Melting_Curves/meltCurve_Q6DHV7_3_ADAL.pdf</t>
  </si>
  <si>
    <t>Melting_Curves/meltCurve_Q6DKK2_TTC19.pdf</t>
  </si>
  <si>
    <t>Melting_Curves/meltCurve_Q6DT37_CDC42BPG.pdf</t>
  </si>
  <si>
    <t>Melting_Curves/meltCurve_Q6EEV4_2_POLR2M.pdf</t>
  </si>
  <si>
    <t>Melting_Curves/meltCurve_Q6EMK4_VASN.pdf</t>
  </si>
  <si>
    <t>Melting_Curves/meltCurve_Q6FI81_3_CIAPIN1.pdf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</si>
  <si>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</si>
  <si>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</si>
  <si>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</si>
  <si>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</si>
  <si>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Melting_Curves/meltCurve_Q6GYA4_SELS.pdf</t>
  </si>
  <si>
    <t>Melting_Curves/meltCurve_Q6H9L7_5_ISM2.pdf</t>
  </si>
  <si>
    <t>Melting_Curves/meltCurve_Q6I9Y2_THOC7.pdf</t>
  </si>
  <si>
    <t>Melting_Curves/meltCurve_Q6IA17_SIGIRR.pdf</t>
  </si>
  <si>
    <t>Melting_Curves/meltCurve_Q6IA69_NADSYN1.pdf</t>
  </si>
  <si>
    <t>Melting_Curves/meltCurve_Q6IA86_5_ELP2.pdf</t>
  </si>
  <si>
    <t>Melting_Curves/meltCurve_Q6IAA8_LAMTOR1.pdf</t>
  </si>
  <si>
    <t>Melting_Curves/meltCurve_Q6IAN0_DHRS7B.pdf</t>
  </si>
  <si>
    <t>Melting_Curves/meltCurve_Q6IBS0_TWF2.pdf</t>
  </si>
  <si>
    <t>Melting_Curves/meltCurve_Q6IBW4_2_NCAPH2.pdf</t>
  </si>
  <si>
    <t>Melting_Curves/meltCurve_Q6ICB0_DESI1.pdf</t>
  </si>
  <si>
    <t>Melting_Curves/meltCurve_Q6ICG6_KIAA0930.pdf</t>
  </si>
  <si>
    <t>Melting_Curves/meltCurve_Q6ICJ4_Em_AP000351_3.pdf</t>
  </si>
  <si>
    <t>Melting_Curves/meltCurve_Q6IN85_SMEK1.pdf</t>
  </si>
  <si>
    <t>Melting_Curves/meltCurve_Q6IPR1_LYRM5.pdf</t>
  </si>
  <si>
    <t>Melting_Curves/meltCurve_Q6IPR3_TYW3.pdf</t>
  </si>
  <si>
    <t>Melting_Curves/meltCurve_Q6IQ22_RAB12.pdf</t>
  </si>
  <si>
    <t>Melting_Curves/meltCurve_Q6ISB3_GRHL2.pdf</t>
  </si>
  <si>
    <t>Melting_Curves/meltCurve_Q6JHV3_USP3.pdf</t>
  </si>
  <si>
    <t>Melting_Curves/meltCurve_Q6JQN1_ACAD10.pdf</t>
  </si>
  <si>
    <t>Melting_Curves/meltCurve_Q6KC79_2_NIPBL.pdf</t>
  </si>
  <si>
    <t>Melting_Curves/meltCurve_Q6KCM7_2_SLC25A25.pdf</t>
  </si>
  <si>
    <t>Melting_Curves/meltCurve_Q6L8Q7_2_PDE12.pdf</t>
  </si>
  <si>
    <t>Melting_Curves/meltCurve_Q6L9W6_B4GALNT3.pdf</t>
  </si>
  <si>
    <t>Melting_Curves/meltCurve_Q6MZP7_4_LIN54.pdf</t>
  </si>
  <si>
    <t>Melting_Curves/meltCurve_Q6N043_2_ZNF280D.pdf</t>
  </si>
  <si>
    <t>Melting_Curves/meltCurve_Q6N063_OGFOD2.pdf</t>
  </si>
  <si>
    <t>Melting_Curves/meltCurve_Q6N069_NAA16.pdf</t>
  </si>
  <si>
    <t>Melting_Curves/meltCurve_Q6NSJ0_KIAA1161.pdf</t>
  </si>
  <si>
    <t>Melting_Curves/meltCurve_Q6NT16_SLC18B1.pdf</t>
  </si>
  <si>
    <t>Melting_Curves/meltCurve_Q6NTE8_C5orf45.pdf</t>
  </si>
  <si>
    <t>Melting_Curves/meltCurve_Q6NUK1_SLC25A24.pdf</t>
  </si>
  <si>
    <t>Melting_Curves/meltCurve_Q6NUK4_REEP3.pdf</t>
  </si>
  <si>
    <t>Melting_Curves/meltCurve_Q6NUM9_RETSAT.pdf</t>
  </si>
  <si>
    <t>Melting_Curves/meltCurve_Q6NUQ1_RINT1.pdf</t>
  </si>
  <si>
    <t>Melting_Curves/meltCurve_Q6NUQ4_2_TMEM214.pdf</t>
  </si>
  <si>
    <t>Melting_Curves/meltCurve_Q6NUS6_TCTN3.pdf</t>
  </si>
  <si>
    <t>Melting_Curves/meltCurve_Q6NV74_KIAA1211L.pdf</t>
  </si>
  <si>
    <t>Melting_Curves/meltCurve_Q6NVH7_SWSAP1.pdf</t>
  </si>
  <si>
    <t>Melting_Curves/meltCurve_Q6NVU6_UFSP1.pdf</t>
  </si>
  <si>
    <t>Melting_Curves/meltCurve_Q6NVY1_HIBCH.pdf</t>
  </si>
  <si>
    <t>Melting_Curves/meltCurve_Q6NXS1_PPP1R2P3.pdf</t>
  </si>
  <si>
    <t>Melting_Curves/meltCurve_Q6NXT1_ANKRD54.pdf</t>
  </si>
  <si>
    <t>Melting_Curves/meltCurve_Q6NXT6_TAPT1.pdf</t>
  </si>
  <si>
    <t>Melting_Curves/meltCurve_Q6NYC1_JMJD6.pdf</t>
  </si>
  <si>
    <t>Melting_Curves/meltCurve_Q6NYC8_PPP1R18.pdf</t>
  </si>
  <si>
    <t>Melting_Curves/meltCurve_Q6NZY4_ZCCHC8.pdf</t>
  </si>
  <si>
    <t>Melting_Curves/meltCurve_Q6P087_2_RPUSD3.pdf</t>
  </si>
  <si>
    <t>Melting_Curves/meltCurve_Q6P158_DHX57.pdf</t>
  </si>
  <si>
    <t>Melting_Curves/meltCurve_Q6P161_MRPL54.pdf</t>
  </si>
  <si>
    <t>Melting_Curves/meltCurve_Q6P179_3_ERAP2.pdf</t>
  </si>
  <si>
    <t>Melting_Curves/meltCurve_Q6P1J9_CDC73.pdf</t>
  </si>
  <si>
    <t>Melting_Curves/meltCurve_Q6P1K2_4_PMF1.pdf</t>
  </si>
  <si>
    <t>Melting_Curves/meltCurve_Q6P1L5_FAM117B.pdf</t>
  </si>
  <si>
    <t>Melting_Curves/meltCurve_Q6P1L8_MRPL14.pdf</t>
  </si>
  <si>
    <t>Melting_Curves/meltCurve_Q6P1M0_SLC27A4.pdf</t>
  </si>
  <si>
    <t>Melting_Curves/meltCurve_Q6P1N0_CC2D1A.pdf</t>
  </si>
  <si>
    <t>Melting_Curves/meltCurve_Q6P1Q9_METTL2B.pdf</t>
  </si>
  <si>
    <t>Melting_Curves/meltCurve_Q6P1R4_DUS1L.pdf</t>
  </si>
  <si>
    <t>Melting_Curves/meltCurve_Q6P1X6_C8orf82.pdf</t>
  </si>
  <si>
    <t>Melting_Curves/meltCurve_Q6P275_STAG1.pdf</t>
  </si>
  <si>
    <t>Melting_Curves/meltCurve_Q6P2E9_EDC4.pdf</t>
  </si>
  <si>
    <t>Melting_Curves/meltCurve_Q6P2H3_2_CEP85.pdf</t>
  </si>
  <si>
    <t>Melting_Curves/meltCurve_Q6P2P2_PRMT10.pdf</t>
  </si>
  <si>
    <t>Melting_Curves/meltCurve_Q6P2Q9_PRPF8.pdf</t>
  </si>
  <si>
    <t>Melting_Curves/meltCurve_Q6P3S6_FBXO42.pdf</t>
  </si>
  <si>
    <t>Melting_Curves/meltCurve_Q6P3W7_SCYL2.pdf</t>
  </si>
  <si>
    <t>Melting_Curves/meltCurve_Q6P3X3_TTC27.pdf</t>
  </si>
  <si>
    <t>Melting_Curves/meltCurve_Q6P4A7_SFXN4.pdf</t>
  </si>
  <si>
    <t>Melting_Curves/meltCurve_Q6P4A8_PLBD1.pdf</t>
  </si>
  <si>
    <t>Melting_Curves/meltCurve_Q6P4E1_CASC4.pdf</t>
  </si>
  <si>
    <t>Melting_Curves/meltCurve_Q6P4F2_FDX1L.pdf</t>
  </si>
  <si>
    <t>Melting_Curves/meltCurve_Q6P4G0_RECQL5.pdf</t>
  </si>
  <si>
    <t>Melting_Curves/meltCurve_Q6P4I2_WDR73.pdf</t>
  </si>
  <si>
    <t>Melting_Curves/meltCurve_Q6P4R8_3_NFRKB.pdf</t>
  </si>
  <si>
    <t>Melting_Curves/meltCurve_Q6P582_MZT2A.pdf</t>
  </si>
  <si>
    <t>Melting_Curves/meltCurve_Q6P587_FAHD1.pdf</t>
  </si>
  <si>
    <t>Melting_Curves/meltCurve_Q6P6C2_ALKBH5.pdf</t>
  </si>
  <si>
    <t>Melting_Curves/meltCurve_Q6P988_NOTUM.pdf</t>
  </si>
  <si>
    <t>Melting_Curves/meltCurve_Q6PCB5_RSBN1L.pdf</t>
  </si>
  <si>
    <t>Melting_Curves/meltCurve_Q6PCB6_2_ABHD17C.pdf</t>
  </si>
  <si>
    <t>Melting_Curves/meltCurve_Q6PCE3_PGM2L1.pdf</t>
  </si>
  <si>
    <t>Melting_Curves/meltCurve_Q6PD62_CTR9.pdf</t>
  </si>
  <si>
    <t>Melting_Curves/meltCurve_Q6PD74_AAGAB.pdf</t>
  </si>
  <si>
    <t>Melting_Curves/meltCurve_Q6PGP7_TTC37.pdf</t>
  </si>
  <si>
    <t>Melting_Curves/meltCurve_Q6PH81_C16orf87.pdf</t>
  </si>
  <si>
    <t>Melting_Curves/meltCurve_Q6PI47_3_KCTD18.pdf</t>
  </si>
  <si>
    <t>Melting_Curves/meltCurve_Q6PI48_DARS2.pdf</t>
  </si>
  <si>
    <t>Melting_Curves/meltCurve_Q6PID6_TTC33.pdf</t>
  </si>
  <si>
    <t>Melting_Curves/meltCurve_Q6PII3_CCDC174.pdf</t>
  </si>
  <si>
    <t>Melting_Curves/meltCurve_Q6PII5_2_HAGHL.pdf</t>
  </si>
  <si>
    <t>Melting_Curves/meltCurve_Q6PIJ6_FBXO38.pdf</t>
  </si>
  <si>
    <t>Melting_Curves/meltCurve_Q6PIW4_2_FIGNL1.pdf</t>
  </si>
  <si>
    <t>Melting_Curves/meltCurve_Q6PJ69_TRIM65.pdf</t>
  </si>
  <si>
    <t>Melting_Curves/meltCurve_Q6PJF5_2_RHBDF2.pdf</t>
  </si>
  <si>
    <t>Melting_Curves/meltCurve_Q6PJG6_BRAT1.pdf</t>
  </si>
  <si>
    <t>Melting_Curves/meltCurve_Q6PJT7_9_ZC3H14.pdf</t>
  </si>
  <si>
    <t>Melting_Curves/meltCurve_Q6PJZ0_RAB17.pdf</t>
  </si>
  <si>
    <t>Melting_Curves/meltCurve_Q6PK81_2_ZNF773.pdf</t>
  </si>
  <si>
    <t>Melting_Curves/meltCurve_Q6PKC3_2_TXNDC11.pdf</t>
  </si>
  <si>
    <t>Melting_Curves/meltCurve_Q6PKG0_LARP1.pdf</t>
  </si>
  <si>
    <t>Melting_Curves/meltCurve_Q6PL24_TMED8.pdf</t>
  </si>
  <si>
    <t>Melting_Curves/meltCurve_Q6PML9_SLC30A9.pdf</t>
  </si>
  <si>
    <t>Melting_Curves/meltCurve_Q6QNY0_BLOC1S3.pdf</t>
  </si>
  <si>
    <t>Melting_Curves/meltCurve_Q6QNY1_BLOC1S2.pdf</t>
  </si>
  <si>
    <t>Melting_Curves/meltCurve_Q6RFH5_2_WDR74.pdf</t>
  </si>
  <si>
    <t>Melting_Curves/meltCurve_Q6RW13_AGTRAP.pdf</t>
  </si>
  <si>
    <t>Melting_Curves/meltCurve_Q6S8J3_POTEE.pdf</t>
  </si>
  <si>
    <t>Melting_Curves/meltCurve_Q6SZW1_2_SARM1.pdf</t>
  </si>
  <si>
    <t>Melting_Curves/meltCurve_Q6UB28_METAP1D.pdf</t>
  </si>
  <si>
    <t>Melting_Curves/meltCurve_Q6UB35_MTHFD1L.pdf</t>
  </si>
  <si>
    <t>Melting_Curves/meltCurve_Q6ULP2_5_AFTPH.pdf</t>
  </si>
  <si>
    <t>Melting_Curves/meltCurve_Q6UN15_FIP1L1.pdf</t>
  </si>
  <si>
    <t>Melting_Curves/meltCurve_Q6UUV9_3_CRTC1.pdf</t>
  </si>
  <si>
    <t>Melting_Curves/meltCurve_Q6UW56_ATRAID.pdf</t>
  </si>
  <si>
    <t>Melting_Curves/meltCurve_Q6UW63_KDELC1.pdf</t>
  </si>
  <si>
    <t>Melting_Curves/meltCurve_Q6UW78_C11orf83.pdf</t>
  </si>
  <si>
    <t>Melting_Curves/meltCurve_Q6UWE0_LRSAM1.pdf</t>
  </si>
  <si>
    <t>Melting_Curves/meltCurve_Q6UWP2_DHRS11.pdf</t>
  </si>
  <si>
    <t>Melting_Curves/meltCurve_Q6UWP7_3_LCLAT1.pdf</t>
  </si>
  <si>
    <t>Melting_Curves/meltCurve_Q6UWW0_LCN15.pdf</t>
  </si>
  <si>
    <t>Melting_Curves/meltCurve_Q6UWY0_ARSK.pdf</t>
  </si>
  <si>
    <t>Melting_Curves/meltCurve_Q6UX04_CWC27.pdf</t>
  </si>
  <si>
    <t>Melting_Curves/meltCurve_Q6UXG2_2_KIAA1324.pdf</t>
  </si>
  <si>
    <t>Melting_Curves/meltCurve_Q6UXH1_5_CRELD2.pdf</t>
  </si>
  <si>
    <t>Melting_Curves/meltCurve_Q6UXN9_WDR82.pdf</t>
  </si>
  <si>
    <t>Melting_Curves/meltCurve_Q6UXV4_APOOL.pdf</t>
  </si>
  <si>
    <t>Melting_Curves/meltCurve_Q6WCQ1_2_MPRIP.pdf</t>
  </si>
  <si>
    <t>Melting_Curves/meltCurve_Q6WKZ4_RAB11FIP1.pdf</t>
  </si>
  <si>
    <t>Melting_Curves/meltCurve_Q6XQN6_NAPRT1.pdf</t>
  </si>
  <si>
    <t>Melting_Curves/meltCurve_Q6Y1H2_PTPLB.pdf</t>
  </si>
  <si>
    <t>Melting_Curves/meltCurve_Q6Y2X3_DNAJC14.pdf</t>
  </si>
  <si>
    <t>Melting_Curves/meltCurve_Q6Y7W6_GIGYF2.pdf</t>
  </si>
  <si>
    <t>Melting_Curves/meltCurve_Q6YHK3_CD109.pdf</t>
  </si>
  <si>
    <t>Melting_Curves/meltCurve_Q6YHU6_3_THADA.pdf</t>
  </si>
  <si>
    <t>Melting_Curves/meltCurve_Q6YN16_HSDL2.pdf</t>
  </si>
  <si>
    <t>Melting_Curves/meltCurve_Q6YP21_3_CCBL2.pdf</t>
  </si>
  <si>
    <t>Melting_Curves/meltCurve_Q6ZMG9_CERS6.pdf</t>
  </si>
  <si>
    <t>Melting_Curves/meltCurve_Q6ZMI0_PPP1R21.pdf</t>
  </si>
  <si>
    <t>Melting_Curves/meltCurve_Q6ZMR3_LDHAL6A.pdf</t>
  </si>
  <si>
    <t>Melting_Curves/meltCurve_Q6ZN04_MEX3B.pdf</t>
  </si>
  <si>
    <t>Melting_Curves/meltCurve_Q6ZN17_2_LIN28B.pdf</t>
  </si>
  <si>
    <t>Melting_Curves/meltCurve_Q6ZNB6_NFXL1.pdf</t>
  </si>
  <si>
    <t>Melting_Curves/meltCurve_Q6ZNW5_GDPGP1.pdf</t>
  </si>
  <si>
    <t>Melting_Curves/meltCurve_Q6ZPD9_DPY19L3.pdf</t>
  </si>
  <si>
    <t>Melting_Curves/meltCurve_Q6ZRP7_QSOX2.pdf</t>
  </si>
  <si>
    <t>Melting_Curves/meltCurve_Q6ZRS2_2_SRCAP.pdf</t>
  </si>
  <si>
    <t>Melting_Curves/meltCurve_Q6ZS17_2_FAM65A.pdf</t>
  </si>
  <si>
    <t>Melting_Curves/meltCurve_Q6ZS30_NBEAL1.pdf</t>
  </si>
  <si>
    <t>Melting_Curves/meltCurve_Q6ZSJ8_C1orf122.pdf</t>
  </si>
  <si>
    <t>Melting_Curves/meltCurve_Q6ZSS7_MFSD6.pdf</t>
  </si>
  <si>
    <t>Melting_Curves/meltCurve_Q6ZT12_UBR3.pdf</t>
  </si>
  <si>
    <t>Melting_Curves/meltCurve_Q6ZT21_2_TMPPE.pdf</t>
  </si>
  <si>
    <t>Melting_Curves/meltCurve_Q6ZT62_SH3BP1.pdf</t>
  </si>
  <si>
    <t>Melting_Curves/meltCurve_Q6ZTQ3_4_RASSF6.pdf</t>
  </si>
  <si>
    <t>Melting_Curves/meltCurve_Q6ZVF9_GPRIN3.pdf</t>
  </si>
  <si>
    <t>Melting_Curves/meltCurve_Q6ZVM7_2_TOM1L2.pdf</t>
  </si>
  <si>
    <t>Melting_Curves/meltCurve_Q6ZW13_C16orf86.pdf</t>
  </si>
  <si>
    <t>Melting_Curves/meltCurve_Q6ZW49_4_PAXIP1.pdf</t>
  </si>
  <si>
    <t>Melting_Curves/meltCurve_Q6ZXV5_2_TMTC3.pdf</t>
  </si>
  <si>
    <t>Melting_Curves/meltCurve_Q6ZYL4_GTF2H5.pdf</t>
  </si>
  <si>
    <t>Melting_Curves/meltCurve_Q709C8_3_VPS13C.pdf</t>
  </si>
  <si>
    <t>Melting_Curves/meltCurve_Q709F0_ACAD11.pdf</t>
  </si>
  <si>
    <t>Melting_Curves/meltCurve_Q70CQ2_USP34.pdf</t>
  </si>
  <si>
    <t>Melting_Curves/meltCurve_Q70IA6_MOB2.pdf</t>
  </si>
  <si>
    <t>Melting_Curves/meltCurve_Q70UQ0_IKBIP.pdf</t>
  </si>
  <si>
    <t>Melting_Curves/meltCurve_Q70UQ0_4_IKBIP.pdf</t>
  </si>
  <si>
    <t>Melting_Curves/meltCurve_Q70Z53_2_FRA10AC1.pdf</t>
  </si>
  <si>
    <t>Melting_Curves/meltCurve_Q712K3_UBE2R2.pdf</t>
  </si>
  <si>
    <t>Melting_Curves/meltCurve_Q71RC2_5_LARP4.pdf</t>
  </si>
  <si>
    <t>Melting_Curves/meltCurve_Q71SY5_5_MED25.pdf</t>
  </si>
  <si>
    <t>Melting_Curves/meltCurve_Q71UI9_H2AFV.pdf</t>
  </si>
  <si>
    <t>Melting_Curves/meltCurve_Q75QN2_2_INTS8.pdf</t>
  </si>
  <si>
    <t>Melting_Curves/meltCurve_Q765P7_MTSS1L.pdf</t>
  </si>
  <si>
    <t>Melting_Curves/meltCurve_Q7KZ85_SUPT6H.pdf</t>
  </si>
  <si>
    <t>Melting_Curves/meltCurve_Q7KZ85_2_SUPT6H.pdf</t>
  </si>
  <si>
    <t>Melting_Curves/meltCurve_Q7KZF4_SND1.pdf</t>
  </si>
  <si>
    <t>Melting_Curves/meltCurve_Q7KZN9_2_COX15.pdf</t>
  </si>
  <si>
    <t>Melting_Curves/meltCurve_Q7L014_DDX46.pdf</t>
  </si>
  <si>
    <t>Melting_Curves/meltCurve_Q7L099_4_RUFY3.pdf</t>
  </si>
  <si>
    <t>Melting_Curves/meltCurve_Q7L0Y3_TRMT10C.pdf</t>
  </si>
  <si>
    <t>Melting_Curves/meltCurve_Q7L1Q6_2_BZW1.pdf</t>
  </si>
  <si>
    <t>Melting_Curves/meltCurve_Q7L1T6_CYB5R4.pdf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</si>
  <si>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</si>
  <si>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</si>
  <si>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</si>
  <si>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</si>
  <si>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Melting_Curves/meltCurve_Q7L3T8_PARS2.pdf</t>
  </si>
  <si>
    <t>Melting_Curves/meltCurve_Q7L4I2_RSRC2.pdf</t>
  </si>
  <si>
    <t>Melting_Curves/meltCurve_Q7L523_RRAGA.pdf</t>
  </si>
  <si>
    <t>Melting_Curves/meltCurve_Q7L576_CYFIP1.pdf</t>
  </si>
  <si>
    <t>Melting_Curves/meltCurve_Q7L592_NDUFAF7.pdf</t>
  </si>
  <si>
    <t>Melting_Curves/meltCurve_Q7L5D6_GET4.pdf</t>
  </si>
  <si>
    <t>Melting_Curves/meltCurve_Q7L5N7_LPCAT2.pdf</t>
  </si>
  <si>
    <t>Melting_Curves/meltCurve_Q7L5Y1_ENOSF1.pdf</t>
  </si>
  <si>
    <t>Melting_Curves/meltCurve_Q7L775_EPM2AIP1.pdf</t>
  </si>
  <si>
    <t>Melting_Curves/meltCurve_Q7L7V1_DHX32.pdf</t>
  </si>
  <si>
    <t>Melting_Curves/meltCurve_Q7L7X3_TAOK1.pdf</t>
  </si>
  <si>
    <t>Melting_Curves/meltCurve_Q7L8L6_FASTKD5.pdf</t>
  </si>
  <si>
    <t>Melting_Curves/meltCurve_Q7L8W6_ATPBD4.pdf</t>
  </si>
  <si>
    <t>Melting_Curves/meltCurve_Q7L9B9_EEPD1.pdf</t>
  </si>
  <si>
    <t>Melting_Curves/meltCurve_Q7LBC6_KDM3B.pdf</t>
  </si>
  <si>
    <t>Melting_Curves/meltCurve_Q7LBR1_CHMP1B.pdf</t>
  </si>
  <si>
    <t>Melting_Curves/meltCurve_Q7LGA3_HS2ST1.pdf</t>
  </si>
  <si>
    <t>Melting_Curves/meltCurve_Q7RTP6_MICAL3.pdf</t>
  </si>
  <si>
    <t>Melting_Curves/meltCurve_Q7RTV0_PHF5A.pdf</t>
  </si>
  <si>
    <t>Melting_Curves/meltCurve_Q7RTX0_TAS1R3.pdf</t>
  </si>
  <si>
    <t>Melting_Curves/meltCurve_Q7Z2E3_8_APTX.pdf</t>
  </si>
  <si>
    <t>Melting_Curves/meltCurve_Q7Z2K8_GPRIN1.pdf</t>
  </si>
  <si>
    <t>Melting_Curves/meltCurve_Q7Z2T5_TRMT1L.pdf</t>
  </si>
  <si>
    <t>Melting_Curves/meltCurve_Q7Z2W4_ZC3HAV1.pdf</t>
  </si>
  <si>
    <t>Melting_Curves/meltCurve_Q7Z2Y8_GVINP1.pdf</t>
  </si>
  <si>
    <t>Melting_Curves/meltCurve_Q7Z2Z2_EFTUD1.pdf</t>
  </si>
  <si>
    <t>Melting_Curves/meltCurve_Q7Z309_FAM122B.pdf</t>
  </si>
  <si>
    <t>Melting_Curves/meltCurve_Q7Z309_4_FAM122B.pdf</t>
  </si>
  <si>
    <t>Melting_Curves/meltCurve_Q7Z3B1_NEGR1.pdf</t>
  </si>
  <si>
    <t>Melting_Curves/meltCurve_Q7Z3D4_LYSMD3.pdf</t>
  </si>
  <si>
    <t>Melting_Curves/meltCurve_Q7Z3D6_2_C14orf159.pdf</t>
  </si>
  <si>
    <t>Melting_Curves/meltCurve_Q7Z3E2_C10orf118.pdf</t>
  </si>
  <si>
    <t>Melting_Curves/meltCurve_Q7Z3F1_GPR155.pdf</t>
  </si>
  <si>
    <t>Melting_Curves/meltCurve_Q7Z3K3_5_POGZ.pdf</t>
  </si>
  <si>
    <t>Melting_Curves/meltCurve_Q7Z3T8_ZFYVE16.pdf</t>
  </si>
  <si>
    <t>Melting_Curves/meltCurve_Q7Z401_DENND4A.pdf</t>
  </si>
  <si>
    <t>Melting_Curves/meltCurve_Q7Z404_1_TMC4.pdf</t>
  </si>
  <si>
    <t>Melting_Curves/meltCurve_Q7Z417_NUFIP2.pdf</t>
  </si>
  <si>
    <t>Melting_Curves/meltCurve_Q7Z422_2_SZRD1.pdf</t>
  </si>
  <si>
    <t>Melting_Curves/meltCurve_Q7Z434_MAVS.pdf</t>
  </si>
  <si>
    <t>Melting_Curves/meltCurve_Q7Z449_CYP2U1.pdf</t>
  </si>
  <si>
    <t>Melting_Curves/meltCurve_Q7Z478_DHX29.pdf</t>
  </si>
  <si>
    <t>Melting_Curves/meltCurve_Q7Z4G1_COMMD6.pdf</t>
  </si>
  <si>
    <t>Melting_Curves/meltCurve_Q7Z4G4_2_TRMT11.pdf</t>
  </si>
  <si>
    <t>Melting_Curves/meltCurve_Q7Z4H3_HDDC2.pdf</t>
  </si>
  <si>
    <t>Melting_Curves/meltCurve_Q7Z4H8_KDELC2.pdf</t>
  </si>
  <si>
    <t>Melting_Curves/meltCurve_Q7Z4I7_4_LIMS2.pdf</t>
  </si>
  <si>
    <t>Melting_Curves/meltCurve_Q7Z4Q2_HEATR3.pdf</t>
  </si>
  <si>
    <t>Melting_Curves/meltCurve_Q7Z4V5_HDGFRP2.pdf</t>
  </si>
  <si>
    <t>Melting_Curves/meltCurve_Q7Z4W1_DCXR.pdf</t>
  </si>
  <si>
    <t>Melting_Curves/meltCurve_Q7Z569_BRAP.pdf</t>
  </si>
  <si>
    <t>Melting_Curves/meltCurve_Q7Z5G4_3_GOLGA7.pdf</t>
  </si>
  <si>
    <t>Melting_Curves/meltCurve_Q7Z5K2_WAPAL.pdf</t>
  </si>
  <si>
    <t>Melting_Curves/meltCurve_Q7Z5L9_2_IRF2BP2.pdf</t>
  </si>
  <si>
    <t>Melting_Curves/meltCurve_Q7Z649_TMEM9B.pdf</t>
  </si>
  <si>
    <t>Melting_Curves/meltCurve_Q7Z6B0_2_CCDC91.pdf</t>
  </si>
  <si>
    <t>Melting_Curves/meltCurve_Q7Z6B7_2_SRGAP1.pdf</t>
  </si>
  <si>
    <t>Melting_Curves/meltCurve_Q7Z6E9_RBBP6.pdf</t>
  </si>
  <si>
    <t>Melting_Curves/meltCurve_Q7Z6I8_C5orf24.pdf</t>
  </si>
  <si>
    <t>Melting_Curves/meltCurve_Q7Z6J8_UBE3D.pdf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</si>
  <si>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</si>
  <si>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</si>
  <si>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</si>
  <si>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</si>
  <si>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Melting_Curves/meltCurve_Q7Z6M2_FBXO33.pdf</t>
  </si>
  <si>
    <t>Melting_Curves/meltCurve_Q7Z6M4_MTERFD2.pdf</t>
  </si>
  <si>
    <t>Melting_Curves/meltCurve_Q7Z6V5_ADAT2.pdf</t>
  </si>
  <si>
    <t>Melting_Curves/meltCurve_Q7Z6Z7_2_HUWE1.pdf</t>
  </si>
  <si>
    <t>Melting_Curves/meltCurve_Q7Z7A3_CTU1.pdf</t>
  </si>
  <si>
    <t>Melting_Curves/meltCurve_Q7Z7A4_PXK.pdf</t>
  </si>
  <si>
    <t>Melting_Curves/meltCurve_Q7Z7C8_TAF8.pdf</t>
  </si>
  <si>
    <t>Melting_Curves/meltCurve_Q7Z7E8_UBE2Q1.pdf</t>
  </si>
  <si>
    <t>Melting_Curves/meltCurve_Q7Z7F0_2_KIAA0907.pdf</t>
  </si>
  <si>
    <t>Melting_Curves/meltCurve_Q7Z7H5_3_TMED4.pdf</t>
  </si>
  <si>
    <t>Melting_Curves/meltCurve_Q7Z7K0_CMC1.pdf</t>
  </si>
  <si>
    <t>Melting_Curves/meltCurve_Q7Z7K6_3_CENPV.pdf</t>
  </si>
  <si>
    <t>Melting_Curves/meltCurve_Q7Z7N9_TMEM179B.pdf</t>
  </si>
  <si>
    <t>Melting_Curves/meltCurve_Q86SQ9_3_DHDDS.pdf</t>
  </si>
  <si>
    <t>Melting_Curves/meltCurve_Q86SR1_2_GALNT10.pdf</t>
  </si>
  <si>
    <t>Melting_Curves/meltCurve_Q86SX6_GLRX5.pdf</t>
  </si>
  <si>
    <t>Melting_Curves/meltCurve_Q86SZ2_TRAPPC6B.pdf</t>
  </si>
  <si>
    <t>Melting_Curves/meltCurve_Q86T03_TMEM55B.pdf</t>
  </si>
  <si>
    <t>Melting_Curves/meltCurve_Q86TB9_4_PATL1.pdf</t>
  </si>
  <si>
    <t>Melting_Curves/meltCurve_Q86TG7_PEG10.pdf</t>
  </si>
  <si>
    <t>Melting_Curves/meltCurve_Q86TI0_TBC1D1.pdf</t>
  </si>
  <si>
    <t>Melting_Curves/meltCurve_Q86TI2_DPP9.pdf</t>
  </si>
  <si>
    <t>Melting_Curves/meltCurve_Q86TM6_2_SYVN1.pdf</t>
  </si>
  <si>
    <t>Melting_Curves/meltCurve_Q86TN4_TRPT1.pdf</t>
  </si>
  <si>
    <t>Melting_Curves/meltCurve_Q86TP1_PRUNE.pdf</t>
  </si>
  <si>
    <t>Melting_Curves/meltCurve_Q86TS9_3_MRPL52.pdf</t>
  </si>
  <si>
    <t>Melting_Curves/meltCurve_Q86TU7_SETD3.pdf</t>
  </si>
  <si>
    <t>Melting_Curves/meltCurve_Q86TW2_3_ADCK1.pdf</t>
  </si>
  <si>
    <t>Melting_Curves/meltCurve_Q86TX2_ACOT1.pdf</t>
  </si>
  <si>
    <t>Melting_Curves/meltCurve_Q86TZ8_TINF2.pdf</t>
  </si>
  <si>
    <t>Melting_Curves/meltCurve_Q86U28_ISCA2.pdf</t>
  </si>
  <si>
    <t>Melting_Curves/meltCurve_Q86U38_NOP9.pdf</t>
  </si>
  <si>
    <t>Melting_Curves/meltCurve_Q86U44_METTL3.pdf</t>
  </si>
  <si>
    <t>Melting_Curves/meltCurve_Q86U70_3_LDB1.pdf</t>
  </si>
  <si>
    <t>Melting_Curves/meltCurve_Q86U86_5_PBRM1.pdf</t>
  </si>
  <si>
    <t>Melting_Curves/meltCurve_Q86U90_YRDC.pdf</t>
  </si>
  <si>
    <t>Melting_Curves/meltCurve_Q86UA1_PRPF39.pdf</t>
  </si>
  <si>
    <t>Melting_Curves/meltCurve_Q86UD0_SAPCD2.pdf</t>
  </si>
  <si>
    <t>Melting_Curves/meltCurve_Q86UE4_MTDH.pdf</t>
  </si>
  <si>
    <t>Melting_Curves/meltCurve_Q86UE8_2_TLK2.pdf</t>
  </si>
  <si>
    <t>Melting_Curves/meltCurve_Q86UK7_3_ZNF598.pdf</t>
  </si>
  <si>
    <t>Melting_Curves/meltCurve_Q86UL3_AGPAT6.pdf</t>
  </si>
  <si>
    <t>Melting_Curves/meltCurve_Q86UP2_KTN1.pdf</t>
  </si>
  <si>
    <t>Melting_Curves/meltCurve_Q86UT6_2_NLRX1.pdf</t>
  </si>
  <si>
    <t>Melting_Curves/meltCurve_Q86UU0_4_BCL9L.pdf</t>
  </si>
  <si>
    <t>Melting_Curves/meltCurve_Q86UV5_USP48.pdf</t>
  </si>
  <si>
    <t>Melting_Curves/meltCurve_Q86UX3_ABCC5.pdf</t>
  </si>
  <si>
    <t>Melting_Curves/meltCurve_Q86UX6_STK32C.pdf</t>
  </si>
  <si>
    <t>Melting_Curves/meltCurve_Q86UY0_TXNDC5.pdf</t>
  </si>
  <si>
    <t>Melting_Curves/meltCurve_Q86UY8_NT5DC3.pdf</t>
  </si>
  <si>
    <t>Melting_Curves/meltCurve_Q86V21_AACS.pdf</t>
  </si>
  <si>
    <t>Melting_Curves/meltCurve_Q86V48_2_LUZP1.pdf</t>
  </si>
  <si>
    <t>Melting_Curves/meltCurve_Q86V85_GPR180.pdf</t>
  </si>
  <si>
    <t>Melting_Curves/meltCurve_Q86V87_FAM160B2.pdf</t>
  </si>
  <si>
    <t>Melting_Curves/meltCurve_Q86V88_MDP1.pdf</t>
  </si>
  <si>
    <t>Melting_Curves/meltCurve_Q86V97_KBTBD6.pdf</t>
  </si>
  <si>
    <t>Melting_Curves/meltCurve_Q86VF7_4_NRAP.pdf</t>
  </si>
  <si>
    <t>Melting_Curves/meltCurve_Q86VI3_IQGAP3.pdf</t>
  </si>
  <si>
    <t>Melting_Curves/meltCurve_Q86VN1_2_VPS36.pdf</t>
  </si>
  <si>
    <t>Melting_Curves/meltCurve_Q86VP6_CAND1.pdf</t>
  </si>
  <si>
    <t>Melting_Curves/meltCurve_Q86VQ1_GLCCI1.pdf</t>
  </si>
  <si>
    <t>Melting_Curves/meltCurve_Q86VR2_FAM134C.pdf</t>
  </si>
  <si>
    <t>Melting_Curves/meltCurve_Q86VS8_HOOK3.pdf</t>
  </si>
  <si>
    <t>Melting_Curves/meltCurve_Q86VU5_COMTD1.pdf</t>
  </si>
  <si>
    <t>Melting_Curves/meltCurve_Q86VW0_SESTD1.pdf</t>
  </si>
  <si>
    <t>Melting_Curves/meltCurve_Q86VX9_MON1A.pdf</t>
  </si>
  <si>
    <t>Melting_Curves/meltCurve_Q86W42_THOC6.pdf</t>
  </si>
  <si>
    <t>Melting_Curves/meltCurve_Q86W50_METTL16.pdf</t>
  </si>
  <si>
    <t>Melting_Curves/meltCurve_Q86W56_PARG.pdf</t>
  </si>
  <si>
    <t>Melting_Curves/meltCurve_Q86W92_4_PPFIBP1.pdf</t>
  </si>
  <si>
    <t>Melting_Curves/meltCurve_Q86WA6_2_BPHL.pdf</t>
  </si>
  <si>
    <t>Melting_Curves/meltCurve_Q86WA8_LONP2.pdf</t>
  </si>
  <si>
    <t>Melting_Curves/meltCurve_Q86WJ1_2_CHD1L.pdf</t>
  </si>
  <si>
    <t>Melting_Curves/meltCurve_Q86WQ0_NR2C2AP.pdf</t>
  </si>
  <si>
    <t>Melting_Curves/meltCurve_Q86WR0_CCDC25.pdf</t>
  </si>
  <si>
    <t>Melting_Curves/meltCurve_Q86WR7_PROSER2.pdf</t>
  </si>
  <si>
    <t>Melting_Curves/meltCurve_Q86WU2_2_LDHD.pdf</t>
  </si>
  <si>
    <t>Melting_Curves/meltCurve_Q86WV5_TEN1.pdf</t>
  </si>
  <si>
    <t>Melting_Curves/meltCurve_Q86WV7_CCDC43.pdf</t>
  </si>
  <si>
    <t>Melting_Curves/meltCurve_Q86WX3_RPS19BP1.pdf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</si>
  <si>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</si>
  <si>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</si>
  <si>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</si>
  <si>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</si>
  <si>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Melting_Curves/meltCurve_Q86X95_2_CIR1.pdf</t>
  </si>
  <si>
    <t>Melting_Curves/meltCurve_Q86XP0_PLA2G4D.pdf</t>
  </si>
  <si>
    <t>Melting_Curves/meltCurve_Q86XP1_DGKH.pdf</t>
  </si>
  <si>
    <t>Melting_Curves/meltCurve_Q86XP3_DDX42.pdf</t>
  </si>
  <si>
    <t>Melting_Curves/meltCurve_Q86XX4_FRAS1.pdf</t>
  </si>
  <si>
    <t>Melting_Curves/meltCurve_Q86XZ4_SPATS2.pdf</t>
  </si>
  <si>
    <t>Melting_Curves/meltCurve_Q86Y07_VRK2.pdf</t>
  </si>
  <si>
    <t>Melting_Curves/meltCurve_Q86Y39_NDUFA11.pdf</t>
  </si>
  <si>
    <t>Melting_Curves/meltCurve_Q86Y56_HEATR2.pdf</t>
  </si>
  <si>
    <t>Melting_Curves/meltCurve_Q86Y79_PTRH1.pdf</t>
  </si>
  <si>
    <t>Melting_Curves/meltCurve_Q86Y82_STX12.pdf</t>
  </si>
  <si>
    <t>Melting_Curves/meltCurve_Q86YB8_ERO1LB.pdf</t>
  </si>
  <si>
    <t>Melting_Curves/meltCurve_Q86YH6_PDSS2.pdf</t>
  </si>
  <si>
    <t>Melting_Curves/meltCurve_Q86YM7_HOMER1.pdf</t>
  </si>
  <si>
    <t>Melting_Curves/meltCurve_Q86YN1_2_DOLPP1.pdf</t>
  </si>
  <si>
    <t>Melting_Curves/meltCurve_Q86YP4_GATAD2A.pdf</t>
  </si>
  <si>
    <t>Melting_Curves/meltCurve_Q86YS7_C2CD5.pdf</t>
  </si>
  <si>
    <t>Melting_Curves/meltCurve_Q86YT6_MIB1.pdf</t>
  </si>
  <si>
    <t>Melting_Curves/meltCurve_Q86YV5_SGK223.pdf</t>
  </si>
  <si>
    <t>Melting_Curves/meltCurve_Q86YV9_HPS6.pdf</t>
  </si>
  <si>
    <t>Melting_Curves/meltCurve_Q8IU81_IRF2BP1.pdf</t>
  </si>
  <si>
    <t>Melting_Curves/meltCurve_Q8IUC4_RHPN2.pdf</t>
  </si>
  <si>
    <t>Melting_Curves/meltCurve_Q8IUD2_2_ERC1.pdf</t>
  </si>
  <si>
    <t>Melting_Curves/meltCurve_Q8IUF8_MINA.pdf</t>
  </si>
  <si>
    <t>Melting_Curves/meltCurve_Q8IUH3_3_RBM45.pdf</t>
  </si>
  <si>
    <t>Melting_Curves/meltCurve_Q8IUH4_ZDHHC13.pdf</t>
  </si>
  <si>
    <t>Melting_Curves/meltCurve_Q8IUI8_CRLF3.pdf</t>
  </si>
  <si>
    <t>Melting_Curves/meltCurve_Q8IUR0_TRAPPC5.pdf</t>
  </si>
  <si>
    <t>Melting_Curves/meltCurve_Q8IUW5_RELL1.pdf</t>
  </si>
  <si>
    <t>Melting_Curves/meltCurve_Q8IUX1_4_TMEM126B.pdf</t>
  </si>
  <si>
    <t>Melting_Curves/meltCurve_Q8IUZ5_AGXT2L2.pdf</t>
  </si>
  <si>
    <t>Melting_Curves/meltCurve_Q8IV08_PLD3.pdf</t>
  </si>
  <si>
    <t>Melting_Curves/meltCurve_Q8IV20_LACC1.pdf</t>
  </si>
  <si>
    <t>Melting_Curves/meltCurve_Q8IV36_2_HID1.pdf</t>
  </si>
  <si>
    <t>Melting_Curves/meltCurve_Q8IV38_ANKMY2.pdf</t>
  </si>
  <si>
    <t>Melting_Curves/meltCurve_Q8IV45_UNC5CL.pdf</t>
  </si>
  <si>
    <t>Melting_Curves/meltCurve_Q8IV50_LYSMD2.pdf</t>
  </si>
  <si>
    <t>Melting_Curves/meltCurve_Q8IV56_PRR15.pdf</t>
  </si>
  <si>
    <t>Melting_Curves/meltCurve_Q8IV63_3_VRK3.pdf</t>
  </si>
  <si>
    <t>Melting_Curves/meltCurve_Q8IVD9_NUDCD3.pdf</t>
  </si>
  <si>
    <t>Melting_Curves/meltCurve_Q8IVF2_3_AHNAK2.pdf</t>
  </si>
  <si>
    <t>Melting_Curves/meltCurve_Q8IVH4_MMAA.pdf</t>
  </si>
  <si>
    <t>Melting_Curves/meltCurve_Q8IVH8_3_MAP4K3.pdf</t>
  </si>
  <si>
    <t>Melting_Curves/meltCurve_Q8IVL1_4_NAV2.pdf</t>
  </si>
  <si>
    <t>Melting_Curves/meltCurve_Q8IVM0_CCDC50.pdf</t>
  </si>
  <si>
    <t>Melting_Curves/meltCurve_Q8IVM0_2_CCDC50.pdf</t>
  </si>
  <si>
    <t>Melting_Curves/meltCurve_Q8IVN8_SBSPON.pdf</t>
  </si>
  <si>
    <t>Melting_Curves/meltCurve_Q8IVQ6_ZDHHC21.pdf</t>
  </si>
  <si>
    <t>Melting_Curves/meltCurve_Q8IVR6_PPM1D.pdf</t>
  </si>
  <si>
    <t>Melting_Curves/meltCurve_Q8IVS2_MCAT.pdf</t>
  </si>
  <si>
    <t>Melting_Curves/meltCurve_Q8IVT2_C19orf21.pdf</t>
  </si>
  <si>
    <t>Melting_Curves/meltCurve_Q8IVW6_3_ARID3B.pdf</t>
  </si>
  <si>
    <t>Melting_Curves/meltCurve_Q8IW45_CARKD.pdf</t>
  </si>
  <si>
    <t>Melting_Curves/meltCurve_Q8IWA0_WDR75.pdf</t>
  </si>
  <si>
    <t>Melting_Curves/meltCurve_Q8IWA4_MFN1.pdf</t>
  </si>
  <si>
    <t>Melting_Curves/meltCurve_Q8IWB1_ITPRIP.pdf</t>
  </si>
  <si>
    <t>Melting_Curves/meltCurve_Q8IWB7_WDFY1.pdf</t>
  </si>
  <si>
    <t>Melting_Curves/meltCurve_Q8IWB9_TEX2.pdf</t>
  </si>
  <si>
    <t>Melting_Curves/meltCurve_Q8IWC1_2_MAP7D3.pdf</t>
  </si>
  <si>
    <t>Melting_Curves/meltCurve_Q8IWD4_CCDC117.pdf</t>
  </si>
  <si>
    <t>Melting_Curves/meltCurve_Q8IWE2_FAM114A1.pdf</t>
  </si>
  <si>
    <t>Melting_Curves/meltCurve_Q8IWE4_DCUN1D3.pdf</t>
  </si>
  <si>
    <t>Melting_Curves/meltCurve_Q8IWF6_DENND6A.pdf</t>
  </si>
  <si>
    <t>Melting_Curves/meltCurve_Q8IWJ2_GCC2.pdf</t>
  </si>
  <si>
    <t>Melting_Curves/meltCurve_Q8IWL3_HSCB.pdf</t>
  </si>
  <si>
    <t>Melting_Curves/meltCurve_Q8IWR0_ZC3H7A.pdf</t>
  </si>
  <si>
    <t>Melting_Curves/meltCurve_Q8IWS0_PHF6.pdf</t>
  </si>
  <si>
    <t>Melting_Curves/meltCurve_Q8IWU2_LMTK2.pdf</t>
  </si>
  <si>
    <t>Melting_Curves/meltCurve_Q8IWV7_UBR1.pdf</t>
  </si>
  <si>
    <t>Melting_Curves/meltCurve_Q8IWV8_4_UBR2.pdf</t>
  </si>
  <si>
    <t>Melting_Curves/meltCurve_Q8IWW6_2_ARHGAP12.pdf</t>
  </si>
  <si>
    <t>Melting_Curves/meltCurve_Q8IWZ3_6_ANKHD1.pdf</t>
  </si>
  <si>
    <t>Melting_Curves/meltCurve_Q8IWZ8_SUGP1.pdf</t>
  </si>
  <si>
    <t>Melting_Curves/meltCurve_Q8IX12_2_CCAR1.pdf</t>
  </si>
  <si>
    <t>Melting_Curves/meltCurve_Q8IX18_3_DHX40.pdf</t>
  </si>
  <si>
    <t>Melting_Curves/meltCurve_Q8IX90_SKA3.pdf</t>
  </si>
  <si>
    <t>Melting_Curves/meltCurve_Q8IXB1_DNAJC10.pdf</t>
  </si>
  <si>
    <t>Melting_Curves/meltCurve_Q8IXI1_RHOT2.pdf</t>
  </si>
  <si>
    <t>Melting_Curves/meltCurve_Q8IXI2_4_RHOT1.pdf</t>
  </si>
  <si>
    <t>Melting_Curves/meltCurve_Q8IXN7_RIMKLA.pdf</t>
  </si>
  <si>
    <t>Melting_Curves/meltCurve_Q8IXQ4_KIAA1704.pdf</t>
  </si>
  <si>
    <t>Melting_Curves/meltCurve_Q8IXW5_2_RPAP2.pdf</t>
  </si>
  <si>
    <t>Melting_Curves/meltCurve_Q8IY17_5_PNPLA6.pdf</t>
  </si>
  <si>
    <t>Melting_Curves/meltCurve_Q8IY18_SMC5.pdf</t>
  </si>
  <si>
    <t>Melting_Curves/meltCurve_Q8IY22_CMIP.pdf</t>
  </si>
  <si>
    <t>Melting_Curves/meltCurve_Q8IY26_PPAPDC2.pdf</t>
  </si>
  <si>
    <t>Melting_Curves/meltCurve_Q8IY37_DHX37.pdf</t>
  </si>
  <si>
    <t>Melting_Curves/meltCurve_Q8IY47_KBTBD2.pdf</t>
  </si>
  <si>
    <t>Melting_Curves/meltCurve_Q8IY50_2_SLC35F3.pdf</t>
  </si>
  <si>
    <t>Melting_Curves/meltCurve_Q8IY81_FTSJ3.pdf</t>
  </si>
  <si>
    <t>Melting_Curves/meltCurve_Q8IY95_2_TMEM192.pdf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</si>
  <si>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</si>
  <si>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</si>
  <si>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</si>
  <si>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</si>
  <si>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Melting_Curves/meltCurve_Q8IYD1_GSPT2.pdf</t>
  </si>
  <si>
    <t>Melting_Curves/meltCurve_Q8IYE0_2_CCDC146.pdf</t>
  </si>
  <si>
    <t>Melting_Curves/meltCurve_Q8IYI6_EXOC8.pdf</t>
  </si>
  <si>
    <t>Melting_Curves/meltCurve_Q8IYL3_C1orf174.pdf</t>
  </si>
  <si>
    <t>Melting_Curves/meltCurve_Q8IYN6_UBALD2.pdf</t>
  </si>
  <si>
    <t>Melting_Curves/meltCurve_Q8IYQ7_THNSL1.pdf</t>
  </si>
  <si>
    <t>Melting_Curves/meltCurve_Q8IYR2_SMYD4.pdf</t>
  </si>
  <si>
    <t>Melting_Curves/meltCurve_Q8IYS1_PM20D2.pdf</t>
  </si>
  <si>
    <t>Melting_Curves/meltCurve_Q8IYS2_KIAA2013.pdf</t>
  </si>
  <si>
    <t>Melting_Curves/meltCurve_Q8IYU8_MICU2.pdf</t>
  </si>
  <si>
    <t>Melting_Curves/meltCurve_Q8IYW5_RNF168.pdf</t>
  </si>
  <si>
    <t>Melting_Curves/meltCurve_Q8IZ07_ANKRD13A.pdf</t>
  </si>
  <si>
    <t>Melting_Curves/meltCurve_Q8IZ21_3_PHACTR4.pdf</t>
  </si>
  <si>
    <t>Melting_Curves/meltCurve_Q8IZ40_RCOR2.pdf</t>
  </si>
  <si>
    <t>Melting_Curves/meltCurve_Q8IZ41_RASEF.pdf</t>
  </si>
  <si>
    <t>Melting_Curves/meltCurve_Q8IZ52_CHPF.pdf</t>
  </si>
  <si>
    <t>Melting_Curves/meltCurve_Q8IZ68_MTX2.pdf</t>
  </si>
  <si>
    <t>Melting_Curves/meltCurve_Q8IZ73_RPUSD2.pdf</t>
  </si>
  <si>
    <t>Melting_Curves/meltCurve_Q8IZ81_ELMOD2.pdf</t>
  </si>
  <si>
    <t>Melting_Curves/meltCurve_Q8IZ83_ALDH16A1.pdf</t>
  </si>
  <si>
    <t>Melting_Curves/meltCurve_Q8IZF0_NALCN.pdf</t>
  </si>
  <si>
    <t>Melting_Curves/meltCurve_Q8IZH2_2_XRN1.pdf</t>
  </si>
  <si>
    <t>Melting_Curves/meltCurve_Q8IZL2_MAML2.pdf</t>
  </si>
  <si>
    <t>Melting_Curves/meltCurve_Q8IZQ5_SELH.pdf</t>
  </si>
  <si>
    <t>Melting_Curves/meltCurve_Q8IZR5_2_CMTM4.pdf</t>
  </si>
  <si>
    <t>Melting_Curves/meltCurve_Q8IZV5_RDH10.pdf</t>
  </si>
  <si>
    <t>Melting_Curves/meltCurve_Q8IZW8_TNS4.pdf</t>
  </si>
  <si>
    <t>Melting_Curves/meltCurve_Q8J025_APCDD1.pdf</t>
  </si>
  <si>
    <t>Melting_Curves/meltCurve_Q8N0T1_C8orf59.pdf</t>
  </si>
  <si>
    <t>Melting_Curves/meltCurve_Q8N0U4_FAM185A.pdf</t>
  </si>
  <si>
    <t>Melting_Curves/meltCurve_Q8N0U8_VKORC1L1.pdf</t>
  </si>
  <si>
    <t>Melting_Curves/meltCurve_Q8N0W3_FUK.pdf</t>
  </si>
  <si>
    <t>Melting_Curves/meltCurve_Q8N0X4_CLYBL.pdf</t>
  </si>
  <si>
    <t>Melting_Curves/meltCurve_Q8N0Z6_TTC5.pdf</t>
  </si>
  <si>
    <t>Melting_Curves/meltCurve_Q8N0Z8_PUSL1.pdf</t>
  </si>
  <si>
    <t>Melting_Curves/meltCurve_Q8N0Z9_2_VSIG10.pdf</t>
  </si>
  <si>
    <t>Melting_Curves/meltCurve_Q8N108_17_MIER1.pdf</t>
  </si>
  <si>
    <t>Melting_Curves/meltCurve_Q8N122_RPTOR.pdf</t>
  </si>
  <si>
    <t>Melting_Curves/meltCurve_Q8N129_CNPY4.pdf</t>
  </si>
  <si>
    <t>Melting_Curves/meltCurve_Q8N163_KIAA1967.pdf</t>
  </si>
  <si>
    <t>Melting_Curves/meltCurve_Q8N183_NDUFAF2.pdf</t>
  </si>
  <si>
    <t>Melting_Curves/meltCurve_Q8N1B4_VPS52.pdf</t>
  </si>
  <si>
    <t>Melting_Curves/meltCurve_Q8N1F7_NUP93.pdf</t>
  </si>
  <si>
    <t>Melting_Curves/meltCurve_Q8N1G0_ZNF687.pdf</t>
  </si>
  <si>
    <t>Melting_Curves/meltCurve_Q8N1G2_FTSJD2.pdf</t>
  </si>
  <si>
    <t>Melting_Curves/meltCurve_Q8N1G4_LRRC47.pdf</t>
  </si>
  <si>
    <t>Melting_Curves/meltCurve_Q8N1K5_THEMIS.pdf</t>
  </si>
  <si>
    <t>Melting_Curves/meltCurve_Q8N2A8_PLD6.pdf</t>
  </si>
  <si>
    <t>Melting_Curves/meltCurve_Q8N2F6_3_ARMC10.pdf</t>
  </si>
  <si>
    <t>Melting_Curves/meltCurve_Q8N2G8_3_GHDC.pdf</t>
  </si>
  <si>
    <t>Melting_Curves/meltCurve_Q8N2K0_ABHD12.pdf</t>
  </si>
  <si>
    <t>Melting_Curves/meltCurve_Q8N2Z9_APITD1.pdf</t>
  </si>
  <si>
    <t>Melting_Curves/meltCurve_Q8N300_CCDC23.pdf</t>
  </si>
  <si>
    <t>Melting_Curves/meltCurve_Q8N335_GPD1L.pdf</t>
  </si>
  <si>
    <t>Melting_Curves/meltCurve_Q8N350_DOS.pdf</t>
  </si>
  <si>
    <t>Melting_Curves/meltCurve_Q8N392_2_ARHGAP18.pdf</t>
  </si>
  <si>
    <t>Melting_Curves/meltCurve_Q8N398_2_VWA5B2.pdf</t>
  </si>
  <si>
    <t>Melting_Curves/meltCurve_Q8N3C0_ASCC3.pdf</t>
  </si>
  <si>
    <t>Melting_Curves/meltCurve_Q8N3D4_EHBP1L1.pdf</t>
  </si>
  <si>
    <t>Melting_Curves/meltCurve_Q8N3F8_MICALL1.pdf</t>
  </si>
  <si>
    <t>Melting_Curves/meltCurve_Q8N3R9_2_MPP5.pdf</t>
  </si>
  <si>
    <t>Melting_Curves/meltCurve_Q8N3X1_FNBP4.pdf</t>
  </si>
  <si>
    <t>Melting_Curves/meltCurve_Q8N442_GUF1.pdf</t>
  </si>
  <si>
    <t>Melting_Curves/meltCurve_Q8N465_D2HGDH.pdf</t>
  </si>
  <si>
    <t>Melting_Curves/meltCurve_Q8N488_RYBP.pdf</t>
  </si>
  <si>
    <t>Melting_Curves/meltCurve_Q8N490_2_PNKD.pdf</t>
  </si>
  <si>
    <t>Melting_Curves/meltCurve_Q8N490_4_PNKD.pdf</t>
  </si>
  <si>
    <t>Melting_Curves/meltCurve_Q8N4C8_2_MINK1.pdf</t>
  </si>
  <si>
    <t>Melting_Curves/meltCurve_Q8N4H5_TOMM5.pdf</t>
  </si>
  <si>
    <t>Melting_Curves/meltCurve_Q8N4P3_HDDC3.pdf</t>
  </si>
  <si>
    <t>Melting_Curves/meltCurve_Q8N4Q0_ZADH2.pdf</t>
  </si>
  <si>
    <t>Melting_Curves/meltCurve_Q8N4Q1_CHCHD4.pdf</t>
  </si>
  <si>
    <t>Melting_Curves/meltCurve_Q8N4T8_CBR4.pdf</t>
  </si>
  <si>
    <t>Melting_Curves/meltCurve_Q8N4V1_MMGT1.pdf</t>
  </si>
  <si>
    <t>Melting_Curves/meltCurve_Q8N567_ZCCHC9.pdf</t>
  </si>
  <si>
    <t>Melting_Curves/meltCurve_Q8N573_2_OXR1.pdf</t>
  </si>
  <si>
    <t>Melting_Curves/meltCurve_Q8N584_TTC39C.pdf</t>
  </si>
  <si>
    <t>Melting_Curves/meltCurve_Q8N5A5_3_ZGPAT.pdf</t>
  </si>
  <si>
    <t>Melting_Curves/meltCurve_Q8N5C6_SRBD1.pdf</t>
  </si>
  <si>
    <t>Melting_Curves/meltCurve_Q8N5C7_DTWD1.pdf</t>
  </si>
  <si>
    <t>Melting_Curves/meltCurve_Q8N5D0_5_WDTC1.pdf</t>
  </si>
  <si>
    <t>Melting_Curves/meltCurve_Q8N5F7_NKAP.pdf</t>
  </si>
  <si>
    <t>Melting_Curves/meltCurve_Q8N5G0_2_SMIM20.pdf</t>
  </si>
  <si>
    <t>Melting_Curves/meltCurve_Q8N5G2_TMEM57.pdf</t>
  </si>
  <si>
    <t>Melting_Curves/meltCurve_Q8N5I2_ARRDC1.pdf</t>
  </si>
  <si>
    <t>Melting_Curves/meltCurve_Q8N5I9_C12orf45.pdf</t>
  </si>
  <si>
    <t>Melting_Curves/meltCurve_Q8N5K1_CISD2.pdf</t>
  </si>
  <si>
    <t>Melting_Curves/meltCurve_Q8N5L8_RPP25L.pdf</t>
  </si>
  <si>
    <t>Melting_Curves/meltCurve_Q8N5M1_ATPAF2.pdf</t>
  </si>
  <si>
    <t>Melting_Curves/meltCurve_Q8N5M9_JAGN1.pdf</t>
  </si>
  <si>
    <t>Melting_Curves/meltCurve_Q8N5N7_MRPL50.pdf</t>
  </si>
  <si>
    <t>Melting_Curves/meltCurve_Q8N5P1_ZC3H8.pdf</t>
  </si>
  <si>
    <t>Melting_Curves/meltCurve_Q8N5X7_2_EIF4E3.pdf</t>
  </si>
  <si>
    <t>Melting_Curves/meltCurve_Q8N5Y8_PARP16.pdf</t>
  </si>
  <si>
    <t>Melting_Curves/meltCurve_Q8N612_FAM160A2.pdf</t>
  </si>
  <si>
    <t>Melting_Curves/meltCurve_Q8N684_2_CPSF7.pdf</t>
  </si>
  <si>
    <t>Melting_Curves/meltCurve_Q8N697_SLC15A4.pdf</t>
  </si>
  <si>
    <t>Melting_Curves/meltCurve_Q8N6H7_ARFGAP2.pdf</t>
  </si>
  <si>
    <t>Melting_Curves/meltCurve_Q8N6M0_OTUD6B.pdf</t>
  </si>
  <si>
    <t>Melting_Curves/meltCurve_Q8N6N3_2_C1orf52.pdf</t>
  </si>
  <si>
    <t>Melting_Curves/meltCurve_Q8N6N7_ACBD7.pdf</t>
  </si>
  <si>
    <t>Melting_Curves/meltCurve_Q8N6Q8_METTL25.pdf</t>
  </si>
  <si>
    <t>Melting_Curves/meltCurve_Q8N6T3_ARFGAP1.pdf</t>
  </si>
  <si>
    <t>Melting_Curves/meltCurve_Q8N749_TOM1L1.pdf</t>
  </si>
  <si>
    <t>Melting_Curves/meltCurve_Q8N766_3_EMC1.pdf</t>
  </si>
  <si>
    <t>Melting_Curves/meltCurve_Q8N7R7_3_CCNYL1.pdf</t>
  </si>
  <si>
    <t>Melting_Curves/meltCurve_Q8N806_UBR7.pdf</t>
  </si>
  <si>
    <t>Melting_Curves/meltCurve_Q8N8J7_C4orf32.pdf</t>
  </si>
  <si>
    <t>Melting_Curves/meltCurve_Q8N8N7_PTGR2.pdf</t>
  </si>
  <si>
    <t>Melting_Curves/meltCurve_Q8N8R5_C2orf69.pdf</t>
  </si>
  <si>
    <t>Melting_Curves/meltCurve_Q8N8R7_ARL14EP.pdf</t>
  </si>
  <si>
    <t>Melting_Curves/meltCurve_Q8N8S7_ENAH.pdf</t>
  </si>
  <si>
    <t>Melting_Curves/meltCurve_Q8N954_GPATCH11.pdf</t>
  </si>
  <si>
    <t>Melting_Curves/meltCurve_Q8N999_C12orf29.pdf</t>
  </si>
  <si>
    <t>Melting_Curves/meltCurve_Q8N9F7_GDPD1.pdf</t>
  </si>
  <si>
    <t>Melting_Curves/meltCurve_Q8N9M5_TMEM102.pdf</t>
  </si>
  <si>
    <t>Melting_Curves/meltCurve_Q8N9N7_LRRC57.pdf</t>
  </si>
  <si>
    <t>Melting_Curves/meltCurve_Q8N9T8_KRI1.pdf</t>
  </si>
  <si>
    <t>Melting_Curves/meltCurve_Q8N9V3_WDSUB1.pdf</t>
  </si>
  <si>
    <t>Melting_Curves/meltCurve_Q8NAT1_GTDC2.pdf</t>
  </si>
  <si>
    <t>Melting_Curves/meltCurve_Q8NAV1_PRPF38A.pdf</t>
  </si>
  <si>
    <t>Melting_Curves/meltCurve_Q8NAX2_C1orf172.pdf</t>
  </si>
  <si>
    <t>Melting_Curves/meltCurve_Q8NB15_2_ZNF511.pdf</t>
  </si>
  <si>
    <t>Melting_Curves/meltCurve_Q8NB16_MLKL.pdf</t>
  </si>
  <si>
    <t>Melting_Curves/meltCurve_Q8NB37_PDDC1.pdf</t>
  </si>
  <si>
    <t>Melting_Curves/meltCurve_Q8NB46_ANKRD52.pdf</t>
  </si>
  <si>
    <t>Melting_Curves/meltCurve_Q8NB49_2_ATP11C.pdf</t>
  </si>
  <si>
    <t>Melting_Curves/meltCurve_Q8NB90_SPATA5.pdf</t>
  </si>
  <si>
    <t>Melting_Curves/meltCurve_Q8NBF2_NHLRC2.pdf</t>
  </si>
  <si>
    <t>Melting_Curves/meltCurve_Q8NBF6_AVL9.pdf</t>
  </si>
  <si>
    <t>Melting_Curves/meltCurve_Q8NBI6_XXYLT1.pdf</t>
  </si>
  <si>
    <t>Melting_Curves/meltCurve_Q8NBJ4_2_GOLM1.pdf</t>
  </si>
  <si>
    <t>Melting_Curves/meltCurve_Q8NBJ5_COLGALT1.pdf</t>
  </si>
  <si>
    <t>Melting_Curves/meltCurve_Q8NBK3_4_SUMF1.pdf</t>
  </si>
  <si>
    <t>Melting_Curves/meltCurve_Q8NBM4_2_UBAC2.pdf</t>
  </si>
  <si>
    <t>Melting_Curves/meltCurve_Q8NBM8_PCYOX1L.pdf</t>
  </si>
  <si>
    <t>Melting_Curves/meltCurve_Q8NBN3_TMEM87A.pdf</t>
  </si>
  <si>
    <t>Melting_Curves/meltCurve_Q8NBN7_RDH13.pdf</t>
  </si>
  <si>
    <t>Melting_Curves/meltCurve_Q8NBP0_TTC13.pdf</t>
  </si>
  <si>
    <t>Melting_Curves/meltCurve_Q8NBP7_PCSK9.pdf</t>
  </si>
  <si>
    <t>Melting_Curves/meltCurve_Q8NBU5_ATAD1.pdf</t>
  </si>
  <si>
    <t>Melting_Curves/meltCurve_Q8NBX0_SCCPDH.pdf</t>
  </si>
  <si>
    <t>Melting_Curves/meltCurve_Q8NBY1_MST4.pdf</t>
  </si>
  <si>
    <t>Melting_Curves/meltCurve_Q8NC51_SERBP1.pdf</t>
  </si>
  <si>
    <t>Melting_Curves/meltCurve_Q8NC54_KCT2.pdf</t>
  </si>
  <si>
    <t>Melting_Curves/meltCurve_Q8NC56_LEMD2.pdf</t>
  </si>
  <si>
    <t>Melting_Curves/meltCurve_Q8NC60_NOA1.pdf</t>
  </si>
  <si>
    <t>Melting_Curves/meltCurve_Q8NC96_NECAP1.pdf</t>
  </si>
  <si>
    <t>Melting_Curves/meltCurve_Q8NCA5_2_FAM98A.pdf</t>
  </si>
  <si>
    <t>Melting_Curves/meltCurve_Q8NCC3_PLA2G15.pdf</t>
  </si>
  <si>
    <t>Melting_Curves/meltCurve_Q8NCE0_4_TSEN2.pdf</t>
  </si>
  <si>
    <t>Melting_Curves/meltCurve_Q8NCE2_MTMR14.pdf</t>
  </si>
  <si>
    <t>Melting_Curves/meltCurve_Q8NCF5_NFATC2IP.pdf</t>
  </si>
  <si>
    <t>Melting_Curves/meltCurve_Q8NCG7_DAGLB.pdf</t>
  </si>
  <si>
    <t>Melting_Curves/meltCurve_Q8NCL4_GALNT6.pdf</t>
  </si>
  <si>
    <t>Melting_Curves/meltCurve_Q8NCN4_RNF169.pdf</t>
  </si>
  <si>
    <t>Melting_Curves/meltCurve_Q8NCN5_PDPR.pdf</t>
  </si>
  <si>
    <t>Melting_Curves/meltCurve_Q8NCW5_APOA1BP.pdf</t>
  </si>
  <si>
    <t>Melting_Curves/meltCurve_Q8ND04_SMG8.pdf</t>
  </si>
  <si>
    <t>Melting_Curves/meltCurve_Q8ND24_RNF214.pdf</t>
  </si>
  <si>
    <t>Melting_Curves/meltCurve_Q8ND56_2_LSM14A.pdf</t>
  </si>
  <si>
    <t>Melting_Curves/meltCurve_Q8ND76_CCNY.pdf</t>
  </si>
  <si>
    <t>Melting_Curves/meltCurve_Q8ND90_PNMA1.pdf</t>
  </si>
  <si>
    <t>Melting_Curves/meltCurve_Q8NDC0_MAPK1IP1L.pdf</t>
  </si>
  <si>
    <t>Melting_Curves/meltCurve_Q8NDD1_3_C1orf131.pdf</t>
  </si>
  <si>
    <t>Melting_Curves/meltCurve_Q8NDH3_NPEPL1.pdf</t>
  </si>
  <si>
    <t>Melting_Curves/meltCurve_Q8NDI1_3_EHBP1.pdf</t>
  </si>
  <si>
    <t>Melting_Curves/meltCurve_Q8NDT2_RBM15B.pdf</t>
  </si>
  <si>
    <t>Melting_Curves/meltCurve_Q8NDV3_2_SMC1B.pdf</t>
  </si>
  <si>
    <t>Melting_Curves/meltCurve_Q8NDZ4_C3orf58.pdf</t>
  </si>
  <si>
    <t>Melting_Curves/meltCurve_Q8NE62_CHDH.pdf</t>
  </si>
  <si>
    <t>Melting_Curves/meltCurve_Q8NE71_ABCF1.pdf</t>
  </si>
  <si>
    <t>Melting_Curves/meltCurve_Q8NEG4_FAM83F.pdf</t>
  </si>
  <si>
    <t>Melting_Curves/meltCurve_Q8NEL9_2_DDHD1.pdf</t>
  </si>
  <si>
    <t>Melting_Curves/meltCurve_Q8NEN9_PDZD8.pdf</t>
  </si>
  <si>
    <t>Melting_Curves/meltCurve_Q8NEU8_2_APPL2.pdf</t>
  </si>
  <si>
    <t>Melting_Curves/meltCurve_Q8NEZ5_FBXO22.pdf</t>
  </si>
  <si>
    <t>Melting_Curves/meltCurve_Q8NF37_LPCAT1.pdf</t>
  </si>
  <si>
    <t>Melting_Curves/meltCurve_Q8NFC6_BOD1L1.pdf</t>
  </si>
  <si>
    <t>Melting_Curves/meltCurve_Q8NFF5_2_FLAD1.pdf</t>
  </si>
  <si>
    <t>Melting_Curves/meltCurve_Q8NFH3_NUP43.pdf</t>
  </si>
  <si>
    <t>Melting_Curves/meltCurve_Q8NFH4_NUP37.pdf</t>
  </si>
  <si>
    <t>Melting_Curves/meltCurve_Q8NFI3_ENGASE.pdf</t>
  </si>
  <si>
    <t>Melting_Curves/meltCurve_Q8NFQ8_TOR1AIP2.pdf</t>
  </si>
  <si>
    <t>Melting_Curves/meltCurve_Q8NFU3_TSTD1.pdf</t>
  </si>
  <si>
    <t>Melting_Curves/meltCurve_Q8NFU3_4_TSTD1.pdf</t>
  </si>
  <si>
    <t>Melting_Curves/meltCurve_Q8NFV4_ABHD11.pdf</t>
  </si>
  <si>
    <t>Melting_Curves/meltCurve_Q8NFW8_CMAS.pdf</t>
  </si>
  <si>
    <t>Melting_Curves/meltCurve_Q8NFX7_2_STXBP6.pdf</t>
  </si>
  <si>
    <t>Melting_Curves/meltCurve_Q8NG68_TTL.pdf</t>
  </si>
  <si>
    <t>Melting_Curves/meltCurve_Q8NHG7_SVIP.pdf</t>
  </si>
  <si>
    <t>Melting_Curves/meltCurve_Q8NHG8_ZNRF2.pdf</t>
  </si>
  <si>
    <t>Melting_Curves/meltCurve_Q8NHH9_ATL2.pdf</t>
  </si>
  <si>
    <t>Melting_Curves/meltCurve_Q8NHM5_4_KDM2B.pdf</t>
  </si>
  <si>
    <t>Melting_Curves/meltCurve_Q8NHP8_PLBD2.pdf</t>
  </si>
  <si>
    <t>Melting_Curves/meltCurve_Q8NHU6_TDRD7.pdf</t>
  </si>
  <si>
    <t>Melting_Curves/meltCurve_Q8NHV1_GIMAP7.pdf</t>
  </si>
  <si>
    <t>Melting_Curves/meltCurve_Q8NHV4_NEDD1.pdf</t>
  </si>
  <si>
    <t>Melting_Curves/meltCurve_Q8NI08_2_NCOA7.pdf</t>
  </si>
  <si>
    <t>Melting_Curves/meltCurve_Q8NI22_2_MCFD2.pdf</t>
  </si>
  <si>
    <t>Melting_Curves/meltCurve_Q8NI27_THOC2.pdf</t>
  </si>
  <si>
    <t>Melting_Curves/meltCurve_Q8NI35_INADL.pdf</t>
  </si>
  <si>
    <t>Melting_Curves/meltCurve_Q8NI36_WDR36.pdf</t>
  </si>
  <si>
    <t>Melting_Curves/meltCurve_Q8NI37_PPTC7.pdf</t>
  </si>
  <si>
    <t>Melting_Curves/meltCurve_Q8NI60_ADCK3.pdf</t>
  </si>
  <si>
    <t>Melting_Curves/meltCurve_Q8TA86_RP9.pdf</t>
  </si>
  <si>
    <t>Melting_Curves/meltCurve_Q8TAA5_GRPEL2.pdf</t>
  </si>
  <si>
    <t>Melting_Curves/meltCurve_Q8TAE6_PPP1R14C.pdf</t>
  </si>
  <si>
    <t>Melting_Curves/meltCurve_Q8TAE8_GADD45GIP1.pdf</t>
  </si>
  <si>
    <t>Melting_Curves/meltCurve_Q8TAF3_WDR48.pdf</t>
  </si>
  <si>
    <t>Melting_Curves/meltCurve_Q8TAM6_ERMN.pdf</t>
  </si>
  <si>
    <t>Melting_Curves/meltCurve_Q8TAP6_CEP76.pdf</t>
  </si>
  <si>
    <t>Melting_Curves/meltCurve_Q8TAQ2_SMARCC2.pdf</t>
  </si>
  <si>
    <t>Melting_Curves/meltCurve_Q8TAT6_NPLOC4.pdf</t>
  </si>
  <si>
    <t>Melting_Curves/meltCurve_Q8TB36_GDAP1.pdf</t>
  </si>
  <si>
    <t>Melting_Curves/meltCurve_Q8TB37_NUBPL.pdf</t>
  </si>
  <si>
    <t>Melting_Curves/meltCurve_Q8TB52_FBXO30.pdf</t>
  </si>
  <si>
    <t>Melting_Curves/meltCurve_Q8TB61_3_SLC35B2.pdf</t>
  </si>
  <si>
    <t>Melting_Curves/meltCurve_Q8TB72_3_PUM2.pdf</t>
  </si>
  <si>
    <t>Melting_Curves/meltCurve_Q8TBA6_2_GOLGA5.pdf</t>
  </si>
  <si>
    <t>Melting_Curves/meltCurve_Q8TBB1_LNX1.pdf</t>
  </si>
  <si>
    <t>Melting_Curves/meltCurve_Q8TBB5_3_KLHDC4.pdf</t>
  </si>
  <si>
    <t>Melting_Curves/meltCurve_Q8TBC4_UBA3.pdf</t>
  </si>
  <si>
    <t>Melting_Curves/meltCurve_Q8TBE9_NANP.pdf</t>
  </si>
  <si>
    <t>Melting_Curves/meltCurve_Q8TBF2_FAM213B.pdf</t>
  </si>
  <si>
    <t>Melting_Curves/meltCurve_Q8TBK2_2_SETD6.pdf</t>
  </si>
  <si>
    <t>Melting_Curves/meltCurve_Q8TBP6_SLC25A40.pdf</t>
  </si>
  <si>
    <t>Melting_Curves/meltCurve_Q8TBX8_PIP4K2C.pdf</t>
  </si>
  <si>
    <t>Melting_Curves/meltCurve_Q8TBZ3_4_WDR20.pdf</t>
  </si>
  <si>
    <t>Melting_Curves/meltCurve_Q8TBZ6_TRMT10A.pdf</t>
  </si>
  <si>
    <t>Melting_Curves/meltCurve_Q8TC07_2_TBC1D15.pdf</t>
  </si>
  <si>
    <t>Melting_Curves/meltCurve_Q8TC12_RDH11.pdf</t>
  </si>
  <si>
    <t>Melting_Curves/meltCurve_Q8TCA0_LRRC20.pdf</t>
  </si>
  <si>
    <t>Melting_Curves/meltCurve_Q8TCD1_C18orf32.pdf</t>
  </si>
  <si>
    <t>Melting_Curves/meltCurve_Q8TCD5_NT5C.pdf</t>
  </si>
  <si>
    <t>Melting_Curves/meltCurve_Q8TCG1_KIAA1524.pdf</t>
  </si>
  <si>
    <t>Melting_Curves/meltCurve_Q8TCG2_PI4K2B.pdf</t>
  </si>
  <si>
    <t>Melting_Curves/meltCurve_Q8TCJ2_STT3B.pdf</t>
  </si>
  <si>
    <t>Melting_Curves/meltCurve_Q8TCS8_PNPT1.pdf</t>
  </si>
  <si>
    <t>Melting_Curves/meltCurve_Q8TCT9_5_HM13.pdf</t>
  </si>
  <si>
    <t>Melting_Curves/meltCurve_Q8TCX5_2_RHPN1.pdf</t>
  </si>
  <si>
    <t>Melting_Curves/meltCurve_Q8TCY9_3_URGCP.pdf</t>
  </si>
  <si>
    <t>Melting_Curves/meltCurve_Q8TD16_BICD2.pdf</t>
  </si>
  <si>
    <t>Melting_Curves/meltCurve_Q8TD19_NEK9.pdf</t>
  </si>
  <si>
    <t>Melting_Curves/meltCurve_Q8TD30_GPT2.pdf</t>
  </si>
  <si>
    <t>Melting_Curves/meltCurve_Q8TDB6_DTX3L.pdf</t>
  </si>
  <si>
    <t>Melting_Curves/meltCurve_Q8TDD1_2_DDX54.pdf</t>
  </si>
  <si>
    <t>Melting_Curves/meltCurve_Q8TDH9_BLOC1S5.pdf</t>
  </si>
  <si>
    <t>Melting_Curves/meltCurve_Q8TDJ6_2_DMXL2.pdf</t>
  </si>
  <si>
    <t>Melting_Curves/meltCurve_Q8TDQ7_GNPDA2.pdf</t>
  </si>
  <si>
    <t>Melting_Curves/meltCurve_Q8TDR2_STK35.pdf</t>
  </si>
  <si>
    <t>Melting_Curves/meltCurve_Q8TDX7_NEK7.pdf</t>
  </si>
  <si>
    <t>Melting_Curves/meltCurve_Q8TDY2_2_RB1CC1.pdf</t>
  </si>
  <si>
    <t>Melting_Curves/meltCurve_Q8TDZ2_MICAL1.pdf</t>
  </si>
  <si>
    <t>Melting_Curves/meltCurve_Q8TE04_2_PANK1.pdf</t>
  </si>
  <si>
    <t>Melting_Curves/meltCurve_Q8TE77_SSH3.pdf</t>
  </si>
  <si>
    <t>Melting_Curves/meltCurve_Q8TEA1_NSUN6.pdf</t>
  </si>
  <si>
    <t>Melting_Curves/meltCurve_Q8TEA7_3_TBCK.pdf</t>
  </si>
  <si>
    <t>Melting_Curves/meltCurve_Q8TEA8_DTD1.pdf</t>
  </si>
  <si>
    <t>Melting_Curves/meltCurve_Q8TEB1_2_DCAF11.pdf</t>
  </si>
  <si>
    <t>Melting_Curves/meltCurve_Q8TED0_UTP15.pdf</t>
  </si>
  <si>
    <t>Melting_Curves/meltCurve_Q8TEM1_NUP210.pdf</t>
  </si>
  <si>
    <t>Melting_Curves/meltCurve_Q8TEQ6_GEMIN5.pdf</t>
  </si>
  <si>
    <t>Melting_Curves/meltCurve_Q8TEQ8_2_PIGO.pdf</t>
  </si>
  <si>
    <t>Melting_Curves/meltCurve_Q8TET4_GANC.pdf</t>
  </si>
  <si>
    <t>Melting_Curves/meltCurve_Q8TEV9_2_SMCR8.pdf</t>
  </si>
  <si>
    <t>Melting_Curves/meltCurve_Q8TEX9_IPO4.pdf</t>
  </si>
  <si>
    <t>Melting_Curves/meltCurve_Q8TF01_PNISR.pdf</t>
  </si>
  <si>
    <t>Melting_Curves/meltCurve_Q8TF05_2_PPP4R1.pdf</t>
  </si>
  <si>
    <t>Melting_Curves/meltCurve_Q8TF71_SLC16A10.pdf</t>
  </si>
  <si>
    <t>Melting_Curves/meltCurve_Q8TF74_WIPF2.pdf</t>
  </si>
  <si>
    <t>Melting_Curves/meltCurve_Q8WTS1_ABHD5.pdf</t>
  </si>
  <si>
    <t>Melting_Curves/meltCurve_Q8WTS6_SETD7.pdf</t>
  </si>
  <si>
    <t>Melting_Curves/meltCurve_Q8WTW3_COG1.pdf</t>
  </si>
  <si>
    <t>Melting_Curves/meltCurve_Q8WTW4_NPRL2.pdf</t>
  </si>
  <si>
    <t>Melting_Curves/meltCurve_Q8WTX9_ZDHHC1.pdf</t>
  </si>
  <si>
    <t>Melting_Curves/meltCurve_Q8WU10_PYROXD1.pdf</t>
  </si>
  <si>
    <t>Melting_Curves/meltCurve_Q8WU79_2_SMAP2.pdf</t>
  </si>
  <si>
    <t>Melting_Curves/meltCurve_Q8WU90_ZC3H15.pdf</t>
  </si>
  <si>
    <t>Melting_Curves/meltCurve_Q8WUA2_PPIL4.pdf</t>
  </si>
  <si>
    <t>Melting_Curves/meltCurve_Q8WUA4_GTF3C2.pdf</t>
  </si>
  <si>
    <t>Melting_Curves/meltCurve_Q8WUD1_RAB2B.pdf</t>
  </si>
  <si>
    <t>Melting_Curves/meltCurve_Q8WUF5_PPP1R13L.pdf</t>
  </si>
  <si>
    <t>Melting_Curves/meltCurve_Q8WUF8_3_FAM172A.pdf</t>
  </si>
  <si>
    <t>Melting_Curves/meltCurve_Q8WUH6_C12orf23.pdf</t>
  </si>
  <si>
    <t>Melting_Curves/meltCurve_Q8WUJ0_STYX.pdf</t>
  </si>
  <si>
    <t>Melting_Curves/meltCurve_Q8WUJ3_2_KIAA1199.pdf</t>
  </si>
  <si>
    <t>Melting_Curves/meltCurve_Q8WUK0_PTPMT1.pdf</t>
  </si>
  <si>
    <t>Melting_Curves/meltCurve_Q8WUM0_NUP133.pdf</t>
  </si>
  <si>
    <t>Melting_Curves/meltCurve_Q8WUM4_PDCD6IP.pdf</t>
  </si>
  <si>
    <t>Melting_Curves/meltCurve_Q8WUN7_UBTD2.pdf</t>
  </si>
  <si>
    <t>Melting_Curves/meltCurve_Q8WUP2_FBLIM1.pdf</t>
  </si>
  <si>
    <t>Melting_Curves/meltCurve_Q8WUR7_C15orf40.pdf</t>
  </si>
  <si>
    <t>Melting_Curves/meltCurve_Q8WUX2_CHAC2.pdf</t>
  </si>
  <si>
    <t>Melting_Curves/meltCurve_Q8WUX9_CHMP7.pdf</t>
  </si>
  <si>
    <t>Melting_Curves/meltCurve_Q8WUY1_THEM6.pdf</t>
  </si>
  <si>
    <t>Melting_Curves/meltCurve_Q8WUY8_NAT14.pdf</t>
  </si>
  <si>
    <t>Melting_Curves/meltCurve_Q8WV22_NSMCE1.pdf</t>
  </si>
  <si>
    <t>Melting_Curves/meltCurve_Q8WV41_SNX33.pdf</t>
  </si>
  <si>
    <t>Melting_Curves/meltCurve_Q8WV60_PTCD2.pdf</t>
  </si>
  <si>
    <t>Melting_Curves/meltCurve_Q8WV74_NUDT8.pdf</t>
  </si>
  <si>
    <t>Melting_Curves/meltCurve_Q8WV93_LACE1.pdf</t>
  </si>
  <si>
    <t>Melting_Curves/meltCurve_Q8WVB6_CHTF18.pdf</t>
  </si>
  <si>
    <t>Melting_Curves/meltCurve_Q8WVC0_LEO1.pdf</t>
  </si>
  <si>
    <t>Melting_Curves/meltCurve_Q8WVC2_RPS21.pdf</t>
  </si>
  <si>
    <t>Melting_Curves/meltCurve_Q8WVJ2_NUDCD2.pdf</t>
  </si>
  <si>
    <t>Melting_Curves/meltCurve_Q8WVK2_SNRNP27.pdf</t>
  </si>
  <si>
    <t>Melting_Curves/meltCurve_Q8WVL7_ANKRD49.pdf</t>
  </si>
  <si>
    <t>Melting_Curves/meltCurve_Q8WVM0_TFB1M.pdf</t>
  </si>
  <si>
    <t>Melting_Curves/meltCurve_Q8WVM8_SCFD1.pdf</t>
  </si>
  <si>
    <t>Melting_Curves/meltCurve_Q8WVQ1_CANT1.pdf</t>
  </si>
  <si>
    <t>Melting_Curves/meltCurve_Q8WVT3_TRAPPC12.pdf</t>
  </si>
  <si>
    <t>Melting_Curves/meltCurve_Q8WVV4_POF1B.pdf</t>
  </si>
  <si>
    <t>Melting_Curves/meltCurve_Q8WVV9_4_HNRPLL.pdf</t>
  </si>
  <si>
    <t>Melting_Curves/meltCurve_Q8WVX9_FAR1.pdf</t>
  </si>
  <si>
    <t>Melting_Curves/meltCurve_Q8WVY7_UBLCP1.pdf</t>
  </si>
  <si>
    <t>Melting_Curves/meltCurve_Q8WVZ9_KBTBD7.pdf</t>
  </si>
  <si>
    <t>Melting_Curves/meltCurve_Q8WW01_TSEN15.pdf</t>
  </si>
  <si>
    <t>Melting_Curves/meltCurve_Q8WW12_PCNP.pdf</t>
  </si>
  <si>
    <t>Melting_Curves/meltCurve_Q8WW59_SPRYD4.pdf</t>
  </si>
  <si>
    <t>Melting_Curves/meltCurve_Q8WWB7_2_C1orf85.pdf</t>
  </si>
  <si>
    <t>Melting_Curves/meltCurve_Q8WWC4_C2orf47.pdf</t>
  </si>
  <si>
    <t>Melting_Curves/meltCurve_Q8WWH5_TRUB1.pdf</t>
  </si>
  <si>
    <t>Melting_Curves/meltCurve_Q8WWI5_SLC44A1.pdf</t>
  </si>
  <si>
    <t>Melting_Curves/meltCurve_Q8WWM7_ATXN2L.pdf</t>
  </si>
  <si>
    <t>Melting_Curves/meltCurve_Q8WWV3_RTN4IP1.pdf</t>
  </si>
  <si>
    <t>Melting_Curves/meltCurve_Q8WWX9_SELM.pdf</t>
  </si>
  <si>
    <t>Melting_Curves/meltCurve_Q8WX77_IGFBPL1.pdf</t>
  </si>
  <si>
    <t>Melting_Curves/meltCurve_Q8WX92_NELFB.pdf</t>
  </si>
  <si>
    <t>Melting_Curves/meltCurve_Q8WXA9_2_SREK1.pdf</t>
  </si>
  <si>
    <t>Melting_Curves/meltCurve_Q8WXD2_SCG3.pdf</t>
  </si>
  <si>
    <t>Melting_Curves/meltCurve_Q8WXD5_GEMIN6.pdf</t>
  </si>
  <si>
    <t>Melting_Curves/meltCurve_Q8WXE1_5_ATRIP.pdf</t>
  </si>
  <si>
    <t>Melting_Curves/meltCurve_Q8WXF1_PSPC1.pdf</t>
  </si>
  <si>
    <t>Melting_Curves/meltCurve_Q8WXG6_6_MADD.pdf</t>
  </si>
  <si>
    <t>Melting_Curves/meltCurve_Q8WXH0_SYNE2.pdf</t>
  </si>
  <si>
    <t>Melting_Curves/meltCurve_Q8WXI9_GATAD2B.pdf</t>
  </si>
  <si>
    <t>Melting_Curves/meltCurve_Q8WXX0_DNAH7.pdf</t>
  </si>
  <si>
    <t>Melting_Curves/meltCurve_Q8WXX5_DNAJC9.pdf</t>
  </si>
  <si>
    <t>Melting_Curves/meltCurve_Q8WY22_BRI3BP.pdf</t>
  </si>
  <si>
    <t>Melting_Curves/meltCurve_Q8WYA6_CTNNBL1.pdf</t>
  </si>
  <si>
    <t>Melting_Curves/meltCurve_Q8WYP5_AHCTF1.pdf</t>
  </si>
  <si>
    <t>Melting_Curves/meltCurve_Q8WZ82_OVCA2.pdf</t>
  </si>
  <si>
    <t>Melting_Curves/meltCurve_Q8WZA0_LZIC.pdf</t>
  </si>
  <si>
    <t>Melting_Curves/meltCurve_Q8WZA9_IRGQ.pdf</t>
  </si>
  <si>
    <t>Melting_Curves/meltCurve_Q92466_DDB2.pdf</t>
  </si>
  <si>
    <t>Melting_Curves/meltCurve_Q92485_SMPDL3B.pdf</t>
  </si>
  <si>
    <t>Melting_Curves/meltCurve_Q92499_DDX1.pdf</t>
  </si>
  <si>
    <t>Melting_Curves/meltCurve_Q92504_SLC39A7.pdf</t>
  </si>
  <si>
    <t>Melting_Curves/meltCurve_Q92506_HSD17B8.pdf</t>
  </si>
  <si>
    <t>Melting_Curves/meltCurve_Q92508_PIEZO1.pdf</t>
  </si>
  <si>
    <t>Melting_Curves/meltCurve_Q92520_FAM3C.pdf</t>
  </si>
  <si>
    <t>Melting_Curves/meltCurve_Q92522_H1FX.pdf</t>
  </si>
  <si>
    <t>Melting_Curves/meltCurve_Q92526_CCT6B.pdf</t>
  </si>
  <si>
    <t>Melting_Curves/meltCurve_Q92536_SLC7A6.pdf</t>
  </si>
  <si>
    <t>Melting_Curves/meltCurve_Q92538_GBF1.pdf</t>
  </si>
  <si>
    <t>Melting_Curves/meltCurve_Q92541_RTF1.pdf</t>
  </si>
  <si>
    <t>Melting_Curves/meltCurve_Q92544_TM9SF4.pdf</t>
  </si>
  <si>
    <t>Melting_Curves/meltCurve_Q92547_TOPBP1.pdf</t>
  </si>
  <si>
    <t>Melting_Curves/meltCurve_Q92551_IP6K1.pdf</t>
  </si>
  <si>
    <t>Melting_Curves/meltCurve_Q92552_MRPS27.pdf</t>
  </si>
  <si>
    <t>Melting_Curves/meltCurve_Q92558_WASF1.pdf</t>
  </si>
  <si>
    <t>Melting_Curves/meltCurve_Q92572_AP3S1.pdf</t>
  </si>
  <si>
    <t>Melting_Curves/meltCurve_Q92575_UBXN4.pdf</t>
  </si>
  <si>
    <t>Melting_Curves/meltCurve_Q92576_2_PHF3.pdf</t>
  </si>
  <si>
    <t>Melting_Curves/meltCurve_Q92581_SLC9A6.pdf</t>
  </si>
  <si>
    <t>Melting_Curves/meltCurve_Q92585_MAML1.pdf</t>
  </si>
  <si>
    <t>Melting_Curves/meltCurve_Q92597_NDRG1.pdf</t>
  </si>
  <si>
    <t>Melting_Curves/meltCurve_Q92598_2_HSPH1.pdf</t>
  </si>
  <si>
    <t>Melting_Curves/meltCurve_Q92600_RQCD1.pdf</t>
  </si>
  <si>
    <t>Melting_Curves/meltCurve_Q92609_TBC1D5.pdf</t>
  </si>
  <si>
    <t>Melting_Curves/meltCurve_Q92615_LARP4B.pdf</t>
  </si>
  <si>
    <t>Melting_Curves/meltCurve_Q92616_GCN1L1.pdf</t>
  </si>
  <si>
    <t>Melting_Curves/meltCurve_Q92620_DHX38.pdf</t>
  </si>
  <si>
    <t>Melting_Curves/meltCurve_Q92621_NUP205.pdf</t>
  </si>
  <si>
    <t>Melting_Curves/meltCurve_Q92623_TTC9.pdf</t>
  </si>
  <si>
    <t>Melting_Curves/meltCurve_Q92625_ANKS1A.pdf</t>
  </si>
  <si>
    <t>Melting_Curves/meltCurve_Q92636_NSMAF.pdf</t>
  </si>
  <si>
    <t>Melting_Curves/meltCurve_Q92664_2_GTF3A.pdf</t>
  </si>
  <si>
    <t>Melting_Curves/meltCurve_Q92665_MRPS31.pdf</t>
  </si>
  <si>
    <t>Melting_Curves/meltCurve_Q92667_AKAP1.pdf</t>
  </si>
  <si>
    <t>Melting_Curves/meltCurve_Q92673_SORL1.pdf</t>
  </si>
  <si>
    <t>Melting_Curves/meltCurve_Q92686_NRGN.pdf</t>
  </si>
  <si>
    <t>Melting_Curves/meltCurve_Q92688_2_ANP32B.pdf</t>
  </si>
  <si>
    <t>Melting_Curves/meltCurve_Q92692_PVRL2.pdf</t>
  </si>
  <si>
    <t>Melting_Curves/meltCurve_Q92692_2_PVRL2.pdf</t>
  </si>
  <si>
    <t>Melting_Curves/meltCurve_Q92696_RABGGTA.pdf</t>
  </si>
  <si>
    <t>Melting_Curves/meltCurve_Q92734_2_TFG.pdf</t>
  </si>
  <si>
    <t>Melting_Curves/meltCurve_Q92738_USP6NL.pdf</t>
  </si>
  <si>
    <t>Melting_Curves/meltCurve_Q92747_ARPC1A.pdf</t>
  </si>
  <si>
    <t>Melting_Curves/meltCurve_Q92759_GTF2H4.pdf</t>
  </si>
  <si>
    <t>Melting_Curves/meltCurve_Q92783_2_STAM.pdf</t>
  </si>
  <si>
    <t>Melting_Curves/meltCurve_Q92786_PROX1.pdf</t>
  </si>
  <si>
    <t>Melting_Curves/meltCurve_Q92793_CREBBP.pdf</t>
  </si>
  <si>
    <t>Melting_Curves/meltCurve_Q92797_SYMPK.pdf</t>
  </si>
  <si>
    <t>Melting_Curves/meltCurve_Q92804_2_TAF15.pdf</t>
  </si>
  <si>
    <t>Melting_Curves/meltCurve_Q92805_GOLGA1.pdf</t>
  </si>
  <si>
    <t>Melting_Curves/meltCurve_Q92820_GGH.pdf</t>
  </si>
  <si>
    <t>Melting_Curves/meltCurve_Q92843_2_BCL2L2.pdf</t>
  </si>
  <si>
    <t>Melting_Curves/meltCurve_Q92845_2_KIFAP3.pdf</t>
  </si>
  <si>
    <t>Melting_Curves/meltCurve_Q92854_SEMA4D.pdf</t>
  </si>
  <si>
    <t>Melting_Curves/meltCurve_Q92876_KLK6.pdf</t>
  </si>
  <si>
    <t>Melting_Curves/meltCurve_Q92878_RAD50.pdf</t>
  </si>
  <si>
    <t>Melting_Curves/meltCurve_Q92882_OSTF1.pdf</t>
  </si>
  <si>
    <t>Melting_Curves/meltCurve_Q92890_UFD1L.pdf</t>
  </si>
  <si>
    <t>Melting_Curves/meltCurve_Q92896_GLG1.pdf</t>
  </si>
  <si>
    <t>Melting_Curves/meltCurve_Q92900_UPF1.pdf</t>
  </si>
  <si>
    <t>Melting_Curves/meltCurve_Q92902_2_HPS1.pdf</t>
  </si>
  <si>
    <t>Melting_Curves/meltCurve_Q92905_COPS5.pdf</t>
  </si>
  <si>
    <t>Melting_Curves/meltCurve_Q92917_GPKOW.pdf</t>
  </si>
  <si>
    <t>Melting_Curves/meltCurve_Q92922_SMARCC1.pdf</t>
  </si>
  <si>
    <t>Melting_Curves/meltCurve_Q92934_BAD.pdf</t>
  </si>
  <si>
    <t>Melting_Curves/meltCurve_Q92945_KHSRP.pdf</t>
  </si>
  <si>
    <t>Melting_Curves/meltCurve_Q92947_GCDH.pdf</t>
  </si>
  <si>
    <t>Melting_Curves/meltCurve_Q92963_2_RIT1.pdf</t>
  </si>
  <si>
    <t>Melting_Curves/meltCurve_Q92968_PEX13.pdf</t>
  </si>
  <si>
    <t>Melting_Curves/meltCurve_Q92973_2_TNPO1.pdf</t>
  </si>
  <si>
    <t>Melting_Curves/meltCurve_Q92979_EMG1.pdf</t>
  </si>
  <si>
    <t>Melting_Curves/meltCurve_Q92990_GLMN.pdf</t>
  </si>
  <si>
    <t>Melting_Curves/meltCurve_Q92995_USP13.pdf</t>
  </si>
  <si>
    <t>Melting_Curves/meltCurve_Q93008_1_USP9X.pdf</t>
  </si>
  <si>
    <t>Melting_Curves/meltCurve_Q93015_2_NAT6.pdf</t>
  </si>
  <si>
    <t>Melting_Curves/meltCurve_Q93034_CUL5.pdf</t>
  </si>
  <si>
    <t>Melting_Curves/meltCurve_Q93052_LPP.pdf</t>
  </si>
  <si>
    <t>Melting_Curves/meltCurve_Q93063_EXT2.pdf</t>
  </si>
  <si>
    <t>Melting_Curves/meltCurve_Q93077_HIST1H2AC.pdf</t>
  </si>
  <si>
    <t>Melting_Curves/meltCurve_Q969E4_TCEAL3.pdf</t>
  </si>
  <si>
    <t>Melting_Curves/meltCurve_Q969E8_TSR2.pdf</t>
  </si>
  <si>
    <t>Melting_Curves/meltCurve_Q969G6_RFK.pdf</t>
  </si>
  <si>
    <t>Melting_Curves/meltCurve_Q969H6_2_POP5.pdf</t>
  </si>
  <si>
    <t>Melting_Curves/meltCurve_Q969H8_C19orf10.pdf</t>
  </si>
  <si>
    <t>Melting_Curves/meltCurve_Q969L2_MAL2.pdf</t>
  </si>
  <si>
    <t>Melting_Curves/meltCurve_Q969M3_YIPF5.pdf</t>
  </si>
  <si>
    <t>Melting_Curves/meltCurve_Q969N2_4_PIGT.pdf</t>
  </si>
  <si>
    <t>Melting_Curves/meltCurve_Q969P0_3_IGSF8.pdf</t>
  </si>
  <si>
    <t>Melting_Curves/meltCurve_Q969Q0_RPL36AL.pdf</t>
  </si>
  <si>
    <t>Melting_Curves/meltCurve_Q969S3_ZNF622.pdf</t>
  </si>
  <si>
    <t>Melting_Curves/meltCurve_Q969S9_3_GFM2.pdf</t>
  </si>
  <si>
    <t>Melting_Curves/meltCurve_Q969T7_2_NT5C3B.pdf</t>
  </si>
  <si>
    <t>Melting_Curves/meltCurve_Q969V3_2_NCLN.pdf</t>
  </si>
  <si>
    <t>Melting_Curves/meltCurve_Q969X5_2_ERGIC1.pdf</t>
  </si>
  <si>
    <t>Melting_Curves/meltCurve_Q969X6_CIRH1A.pdf</t>
  </si>
  <si>
    <t>Melting_Curves/meltCurve_Q969Y2_3_GTPBP3.pdf</t>
  </si>
  <si>
    <t>Melting_Curves/meltCurve_Q969Z0_TBRG4.pdf</t>
  </si>
  <si>
    <t>Melting_Curves/meltCurve_Q96A22_C11orf52.pdf</t>
  </si>
  <si>
    <t>Melting_Curves/meltCurve_Q96A29_2_SLC35C1.pdf</t>
  </si>
  <si>
    <t>Melting_Curves/meltCurve_Q96A33_CCDC47.pdf</t>
  </si>
  <si>
    <t>Melting_Curves/meltCurve_Q96A49_SYAP1.pdf</t>
  </si>
  <si>
    <t>Melting_Curves/meltCurve_Q96A59_2_MARVELD3.pdf</t>
  </si>
  <si>
    <t>Melting_Curves/meltCurve_Q96A65_EXOC4.pdf</t>
  </si>
  <si>
    <t>Melting_Curves/meltCurve_Q96A73_KIAA1191.pdf</t>
  </si>
  <si>
    <t>Melting_Curves/meltCurve_Q96AB3_ISOC2.pdf</t>
  </si>
  <si>
    <t>Melting_Curves/meltCurve_Q96AB6_NTAN1.pdf</t>
  </si>
  <si>
    <t>Melting_Curves/meltCurve_Q96AE4_FUBP1.pdf</t>
  </si>
  <si>
    <t>Melting_Curves/meltCurve_Q96AE4_2_FUBP1.pdf</t>
  </si>
  <si>
    <t>Melting_Curves/meltCurve_Q96AG4_LRRC59.pdf</t>
  </si>
  <si>
    <t>Melting_Curves/meltCurve_Q96AJ9_1_VTI1A.pdf</t>
  </si>
  <si>
    <t>Melting_Curves/meltCurve_Q96AQ8_MCUR1.pdf</t>
  </si>
  <si>
    <t>Melting_Curves/meltCurve_Q96AT1_KIAA1143.pdf</t>
  </si>
  <si>
    <t>Melting_Curves/meltCurve_Q96AT9_RPE.pdf</t>
  </si>
  <si>
    <t>Melting_Curves/meltCurve_Q96AY3_FKBP10.pdf</t>
  </si>
  <si>
    <t>Melting_Curves/meltCurve_Q96AZ6_ISG20.pdf</t>
  </si>
  <si>
    <t>Melting_Curves/meltCurve_Q96B01_2_RAD51AP1.pdf</t>
  </si>
  <si>
    <t>Melting_Curves/meltCurve_Q96B21_TMEM45B.pdf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</si>
  <si>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</si>
  <si>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</si>
  <si>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</si>
  <si>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</si>
  <si>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Melting_Curves/meltCurve_Q96B49_TOMM6.pdf</t>
  </si>
  <si>
    <t>Melting_Curves/meltCurve_Q96B70_LENG9.pdf</t>
  </si>
  <si>
    <t>Melting_Curves/meltCurve_Q96B97_SH3KBP1.pdf</t>
  </si>
  <si>
    <t>Melting_Curves/meltCurve_Q96BJ3_AIDA.pdf</t>
  </si>
  <si>
    <t>Melting_Curves/meltCurve_Q96BK5_PINX1.pdf</t>
  </si>
  <si>
    <t>Melting_Curves/meltCurve_Q96BM9_ARL8A.pdf</t>
  </si>
  <si>
    <t>Melting_Curves/meltCurve_Q96BN8_FAM105B.pdf</t>
  </si>
  <si>
    <t>Melting_Curves/meltCurve_Q96BP2_CHCHD1.pdf</t>
  </si>
  <si>
    <t>Melting_Curves/meltCurve_Q96BP3_PPWD1.pdf</t>
  </si>
  <si>
    <t>Melting_Curves/meltCurve_Q96BR5_SELRC1.pdf</t>
  </si>
  <si>
    <t>Melting_Curves/meltCurve_Q96BW1_UPRT.pdf</t>
  </si>
  <si>
    <t>Melting_Curves/meltCurve_Q96BW5_2_PTER.pdf</t>
  </si>
  <si>
    <t>Melting_Curves/meltCurve_Q96BY7_ATG2B.pdf</t>
  </si>
  <si>
    <t>Melting_Curves/meltCurve_Q96BZ8_LENG1.pdf</t>
  </si>
  <si>
    <t>Melting_Curves/meltCurve_Q96BZ9_TBC1D20.pdf</t>
  </si>
  <si>
    <t>Melting_Curves/meltCurve_Q96C01_FAM136A.pdf</t>
  </si>
  <si>
    <t>Melting_Curves/meltCurve_Q96C19_EFHD2.pdf</t>
  </si>
  <si>
    <t>Melting_Curves/meltCurve_Q96C23_GALM.pdf</t>
  </si>
  <si>
    <t>Melting_Curves/meltCurve_Q96C34_2_RUNDC1.pdf</t>
  </si>
  <si>
    <t>Melting_Curves/meltCurve_Q96C36_PYCR2.pdf</t>
  </si>
  <si>
    <t>Melting_Curves/meltCurve_Q96C57_C12orf43.pdf</t>
  </si>
  <si>
    <t>Melting_Curves/meltCurve_Q96C86_DCPS.pdf</t>
  </si>
  <si>
    <t>Melting_Curves/meltCurve_Q96C90_PPP1R14B.pdf</t>
  </si>
  <si>
    <t>Melting_Curves/meltCurve_Q96CB9_NSUN4.pdf</t>
  </si>
  <si>
    <t>Melting_Curves/meltCurve_Q96CD0_FBXL8.pdf</t>
  </si>
  <si>
    <t>Melting_Curves/meltCurve_Q96CD2_PPCDC.pdf</t>
  </si>
  <si>
    <t>Melting_Curves/meltCurve_Q96CF2_CHMP4C.pdf</t>
  </si>
  <si>
    <t>Melting_Curves/meltCurve_Q96CG8_CTHRC1.pdf</t>
  </si>
  <si>
    <t>Melting_Curves/meltCurve_Q96CN7_ISOC1.pdf</t>
  </si>
  <si>
    <t>Melting_Curves/meltCurve_Q96CN9_GCC1.pdf</t>
  </si>
  <si>
    <t>Melting_Curves/meltCurve_Q96CP2_FLYWCH2.pdf</t>
  </si>
  <si>
    <t>Melting_Curves/meltCurve_Q96CS2_HAUS1.pdf</t>
  </si>
  <si>
    <t>Melting_Curves/meltCurve_Q96CS3_FAF2.pdf</t>
  </si>
  <si>
    <t>Melting_Curves/meltCurve_Q96CT7_CCDC124.pdf</t>
  </si>
  <si>
    <t>Melting_Curves/meltCurve_Q96CU9_FOXRED1.pdf</t>
  </si>
  <si>
    <t>Melting_Curves/meltCurve_Q96CV9_3_OPTN.pdf</t>
  </si>
  <si>
    <t>Melting_Curves/meltCurve_Q96CW1_2_AP2M1.pdf</t>
  </si>
  <si>
    <t>Melting_Curves/meltCurve_Q96CW5_TUBGCP3.pdf</t>
  </si>
  <si>
    <t>Melting_Curves/meltCurve_Q96CW6_SLC7A6OS.pdf</t>
  </si>
  <si>
    <t>Melting_Curves/meltCurve_Q96CX2_KCTD12.pdf</t>
  </si>
  <si>
    <t>Melting_Curves/meltCurve_Q96D31_2_ORAI1.pdf</t>
  </si>
  <si>
    <t>Melting_Curves/meltCurve_Q96D53_2_ADCK4.pdf</t>
  </si>
  <si>
    <t>Melting_Curves/meltCurve_Q96D71_3_REPS1.pdf</t>
  </si>
  <si>
    <t>Melting_Curves/meltCurve_Q96DA6_DNAJC19.pdf</t>
  </si>
  <si>
    <t>Melting_Curves/meltCurve_Q96DB5_RMDN1.pdf</t>
  </si>
  <si>
    <t>Melting_Curves/meltCurve_Q96DD7_SHISA4.pdf</t>
  </si>
  <si>
    <t>Melting_Curves/meltCurve_Q96DE0_NUDT16.pdf</t>
  </si>
  <si>
    <t>Melting_Curves/meltCurve_Q96DF8_DGCR14.pdf</t>
  </si>
  <si>
    <t>Melting_Curves/meltCurve_Q96DG6_CMBL.pdf</t>
  </si>
  <si>
    <t>Melting_Curves/meltCurve_Q96DI7_SNRNP40.pdf</t>
  </si>
  <si>
    <t>Melting_Curves/meltCurve_Q96DR4_STARD4.pdf</t>
  </si>
  <si>
    <t>Melting_Curves/meltCurve_Q96DV4_MRPL38.pdf</t>
  </si>
  <si>
    <t>Melting_Curves/meltCurve_Q96DX4_RSPRY1.pdf</t>
  </si>
  <si>
    <t>Melting_Curves/meltCurve_Q96DX5_2_ASB9.pdf</t>
  </si>
  <si>
    <t>Melting_Curves/meltCurve_Q96DX7_TRIM44.pdf</t>
  </si>
  <si>
    <t>Melting_Curves/meltCurve_Q96DZ1_ERLEC1.pdf</t>
  </si>
  <si>
    <t>Melting_Curves/meltCurve_Q96E09_FAM122A.pdf</t>
  </si>
  <si>
    <t>Melting_Curves/meltCurve_Q96E11_3_MRRF.pdf</t>
  </si>
  <si>
    <t>Melting_Curves/meltCurve_Q96E14_RMI2.pdf</t>
  </si>
  <si>
    <t>Melting_Curves/meltCurve_Q96E22_NUS1.pdf</t>
  </si>
  <si>
    <t>Melting_Curves/meltCurve_Q96E52_OMA1.pdf</t>
  </si>
  <si>
    <t>Melting_Curves/meltCurve_Q96EA4_SPDL1.pdf</t>
  </si>
  <si>
    <t>Melting_Curves/meltCurve_Q96EB1_ELP4.pdf</t>
  </si>
  <si>
    <t>Melting_Curves/meltCurve_Q96EB6_SIRT1.pdf</t>
  </si>
  <si>
    <t>Melting_Curves/meltCurve_Q96EC8_YIPF6.pdf</t>
  </si>
  <si>
    <t>Melting_Curves/meltCurve_Q96EE3_1_SEH1L.pdf</t>
  </si>
  <si>
    <t>Melting_Curves/meltCurve_Q96EF9_ZHX1_C8orf76.pdf</t>
  </si>
  <si>
    <t>Melting_Curves/meltCurve_Q96EH3_MALSU1.pdf</t>
  </si>
  <si>
    <t>Melting_Curves/meltCurve_Q96EI5_TCEAL4.pdf</t>
  </si>
  <si>
    <t>Melting_Curves/meltCurve_Q96EK5_KIAA1279.pdf</t>
  </si>
  <si>
    <t>Melting_Curves/meltCurve_Q96EK6_GNPNAT1.pdf</t>
  </si>
  <si>
    <t>Melting_Curves/meltCurve_Q96EL3_MRPL53.pdf</t>
  </si>
  <si>
    <t>Melting_Curves/meltCurve_Q96EP0_RNF31.pdf</t>
  </si>
  <si>
    <t>Melting_Curves/meltCurve_Q96EP5_2_DAZAP1.pdf</t>
  </si>
  <si>
    <t>Melting_Curves/meltCurve_Q96EQ0_SGTB.pdf</t>
  </si>
  <si>
    <t>Melting_Curves/meltCurve_Q96ER3_SAAL1.pdf</t>
  </si>
  <si>
    <t>Melting_Curves/meltCurve_Q96ER9_CCDC51.pdf</t>
  </si>
  <si>
    <t>Melting_Curves/meltCurve_Q96ES7_CCDC101.pdf</t>
  </si>
  <si>
    <t>Melting_Curves/meltCurve_Q96EU6_2_RRP36.pdf</t>
  </si>
  <si>
    <t>Melting_Curves/meltCurve_Q96EU7_C1GALT1C1.pdf</t>
  </si>
  <si>
    <t>Melting_Curves/meltCurve_Q96EV2_RBM33.pdf</t>
  </si>
  <si>
    <t>Melting_Curves/meltCurve_Q96EV8_DTNBP1.pdf</t>
  </si>
  <si>
    <t>Melting_Curves/meltCurve_Q96EW2_HSPBAP1.pdf</t>
  </si>
  <si>
    <t>Melting_Curves/meltCurve_Q96EX1_SMIM12.pdf</t>
  </si>
  <si>
    <t>Melting_Curves/meltCurve_Q96EX3_WDR34.pdf</t>
  </si>
  <si>
    <t>Melting_Curves/meltCurve_Q96EY1_DNAJA3.pdf</t>
  </si>
  <si>
    <t>Melting_Curves/meltCurve_Q96EY5_MVB12A.pdf</t>
  </si>
  <si>
    <t>Melting_Curves/meltCurve_Q96EY7_PTCD3.pdf</t>
  </si>
  <si>
    <t>Melting_Curves/meltCurve_Q96EY8_MMAB.pdf</t>
  </si>
  <si>
    <t>Melting_Curves/meltCurve_Q96EY9_ADAT3.pdf</t>
  </si>
  <si>
    <t>Melting_Curves/meltCurve_Q96F24_2_NRBF2.pdf</t>
  </si>
  <si>
    <t>Melting_Curves/meltCurve_Q96F25_ALG14.pdf</t>
  </si>
  <si>
    <t>Melting_Curves/meltCurve_Q96F45_ZNF503.pdf</t>
  </si>
  <si>
    <t>Melting_Curves/meltCurve_Q96F63_CCDC97.pdf</t>
  </si>
  <si>
    <t>Melting_Curves/meltCurve_Q96F86_EDC3.pdf</t>
  </si>
  <si>
    <t>Melting_Curves/meltCurve_Q96FA3_PELI1.pdf</t>
  </si>
  <si>
    <t>Melting_Curves/meltCurve_Q96FC9_4_DDX11.pdf</t>
  </si>
  <si>
    <t>Melting_Curves/meltCurve_Q96FE5_2_LINGO1.pdf</t>
  </si>
  <si>
    <t>Melting_Curves/meltCurve_Q96FF7_.pdf</t>
  </si>
  <si>
    <t>Melting_Curves/meltCurve_Q96FH0_MEF2BNB.pdf</t>
  </si>
  <si>
    <t>Melting_Curves/meltCurve_Q96FK6_WDR89.pdf</t>
  </si>
  <si>
    <t>Melting_Curves/meltCurve_Q96FQ6_S100A16.pdf</t>
  </si>
  <si>
    <t>Melting_Curves/meltCurve_Q96FV9_THOC1.pdf</t>
  </si>
  <si>
    <t>Melting_Curves/meltCurve_Q96FX2_DPH3.pdf</t>
  </si>
  <si>
    <t>Melting_Curves/meltCurve_Q96FX7_TRMT61A.pdf</t>
  </si>
  <si>
    <t>Melting_Curves/meltCurve_Q96FZ2_C3orf37.pdf</t>
  </si>
  <si>
    <t>Melting_Curves/meltCurve_Q96FZ7_CHMP6.pdf</t>
  </si>
  <si>
    <t>Melting_Curves/meltCurve_Q96G03_PGM2.pdf</t>
  </si>
  <si>
    <t>Melting_Curves/meltCurve_Q96G04_FAM86A.pdf</t>
  </si>
  <si>
    <t>Melting_Curves/meltCurve_Q96G25_MED8.pdf</t>
  </si>
  <si>
    <t>Melting_Curves/meltCurve_Q96G28_CCDC104.pdf</t>
  </si>
  <si>
    <t>Melting_Curves/meltCurve_Q96G46_DUS3L.pdf</t>
  </si>
  <si>
    <t>Melting_Curves/meltCurve_Q96G74_3_OTUD5.pdf</t>
  </si>
  <si>
    <t>Melting_Curves/meltCurve_Q96GA3_LTV1.pdf</t>
  </si>
  <si>
    <t>Melting_Curves/meltCurve_Q96GA7_SDSL.pdf</t>
  </si>
  <si>
    <t>Melting_Curves/meltCurve_Q96GD0_PDXP.pdf</t>
  </si>
  <si>
    <t>Melting_Curves/meltCurve_Q96GF1_RNF185.pdf</t>
  </si>
  <si>
    <t>Melting_Curves/meltCurve_Q96GG9_DCUN1D1.pdf</t>
  </si>
  <si>
    <t>Melting_Curves/meltCurve_Q96GK7_FAHD2A.pdf</t>
  </si>
  <si>
    <t>Melting_Curves/meltCurve_Q96GM8_TOE1.pdf</t>
  </si>
  <si>
    <t>Melting_Curves/meltCurve_Q96GQ7_DDX27.pdf</t>
  </si>
  <si>
    <t>Melting_Curves/meltCurve_Q96GS4_C17orf59.pdf</t>
  </si>
  <si>
    <t>Melting_Curves/meltCurve_Q96GV9_C5orf30.pdf</t>
  </si>
  <si>
    <t>Melting_Curves/meltCurve_Q96GW9_MARS2.pdf</t>
  </si>
  <si>
    <t>Melting_Curves/meltCurve_Q96GX2_ATXN7L3B.pdf</t>
  </si>
  <si>
    <t>Melting_Curves/meltCurve_Q96GX5_2_MASTL.pdf</t>
  </si>
  <si>
    <t>Melting_Curves/meltCurve_Q96GX9_3_APIP.pdf</t>
  </si>
  <si>
    <t>Melting_Curves/meltCurve_Q96GY0_ZC2HC1A.pdf</t>
  </si>
  <si>
    <t>Melting_Curves/meltCurve_Q96H20_SNF8.pdf</t>
  </si>
  <si>
    <t>Melting_Curves/meltCurve_Q96H79_ZC3HAV1L.pdf</t>
  </si>
  <si>
    <t>Melting_Curves/meltCurve_Q96HC4_PDLIM5.pdf</t>
  </si>
  <si>
    <t>Melting_Curves/meltCurve_Q96HD1_CRELD1.pdf</t>
  </si>
  <si>
    <t>Melting_Curves/meltCurve_Q96HE7_ERO1L.pdf</t>
  </si>
  <si>
    <t>Melting_Curves/meltCurve_Q96HJ9_C7orf55.pdf</t>
  </si>
  <si>
    <t>Melting_Curves/meltCurve_Q96HJ9_2_C7orf55.pdf</t>
  </si>
  <si>
    <t>Melting_Curves/meltCurve_Q96HL8_2_SH3YL1.pdf</t>
  </si>
  <si>
    <t>Melting_Curves/meltCurve_Q96HN2_2_AHCYL2.pdf</t>
  </si>
  <si>
    <t>Melting_Curves/meltCurve_Q96HQ2_2_CDKN2AIPNL.pdf</t>
  </si>
  <si>
    <t>Melting_Curves/meltCurve_Q96HR8_2_NAF1.pdf</t>
  </si>
  <si>
    <t>Melting_Curves/meltCurve_Q96HS1_PGAM5.pdf</t>
  </si>
  <si>
    <t>Melting_Curves/meltCurve_Q96HW7_INTS4.pdf</t>
  </si>
  <si>
    <t>Melting_Curves/meltCurve_Q96HY6_DDRGK1.pdf</t>
  </si>
  <si>
    <t>Melting_Curves/meltCurve_Q96HY7_DHTKD1.pdf</t>
  </si>
  <si>
    <t>Melting_Curves/meltCurve_Q96I15_SCLY.pdf</t>
  </si>
  <si>
    <t>Melting_Curves/meltCurve_Q96I24_FUBP3.pdf</t>
  </si>
  <si>
    <t>Melting_Curves/meltCurve_Q96I25_RBM17.pdf</t>
  </si>
  <si>
    <t>Melting_Curves/meltCurve_Q96I36_COX14.pdf</t>
  </si>
  <si>
    <t>Melting_Curves/meltCurve_Q96I51_WBSCR16.pdf</t>
  </si>
  <si>
    <t>Melting_Curves/meltCurve_Q96I59_NARS2.pdf</t>
  </si>
  <si>
    <t>Melting_Curves/meltCurve_Q96I99_SUCLG2.pdf</t>
  </si>
  <si>
    <t>Melting_Curves/meltCurve_Q96IJ6_GMPPA.pdf</t>
  </si>
  <si>
    <t>Melting_Curves/meltCurve_Q96IK1_BOD1.pdf</t>
  </si>
  <si>
    <t>Melting_Curves/meltCurve_Q96IQ9_ZNF414.pdf</t>
  </si>
  <si>
    <t>Melting_Curves/meltCurve_Q96IR2_ZNF845.pdf</t>
  </si>
  <si>
    <t>Melting_Curves/meltCurve_Q96IR7_HPDL.pdf</t>
  </si>
  <si>
    <t>Melting_Curves/meltCurve_Q96IU4_ABHD14B.pdf</t>
  </si>
  <si>
    <t>Melting_Curves/meltCurve_Q96IV0_2_NGLY1.pdf</t>
  </si>
  <si>
    <t>Melting_Curves/meltCurve_Q96IX5_USMG5.pdf</t>
  </si>
  <si>
    <t>Melting_Curves/meltCurve_Q96IY1_NSL1.pdf</t>
  </si>
  <si>
    <t>Melting_Curves/meltCurve_Q96IZ0_PAWR.pdf</t>
  </si>
  <si>
    <t>Melting_Curves/meltCurve_Q96IZ7_2_RSRC1.pdf</t>
  </si>
  <si>
    <t>Melting_Curves/meltCurve_Q96J01_THOC3.pdf</t>
  </si>
  <si>
    <t>Melting_Curves/meltCurve_Q96J02_2_ITCH.pdf</t>
  </si>
  <si>
    <t>Melting_Curves/meltCurve_Q96J92_3_WNK4.pdf</t>
  </si>
  <si>
    <t>Melting_Curves/meltCurve_Q96JA1_LRIG1.pdf</t>
  </si>
  <si>
    <t>Melting_Curves/meltCurve_Q96JB2_COG3.pdf</t>
  </si>
  <si>
    <t>Melting_Curves/meltCurve_Q96JB5_CDK5RAP3.pdf</t>
  </si>
  <si>
    <t>Melting_Curves/meltCurve_Q96JC1_2_VPS39.pdf</t>
  </si>
  <si>
    <t>Melting_Curves/meltCurve_Q96JC9_EAF1.pdf</t>
  </si>
  <si>
    <t>Melting_Curves/meltCurve_Q96JG6_3_CCDC132.pdf</t>
  </si>
  <si>
    <t>Melting_Curves/meltCurve_Q96JH7_VCPIP1.pdf</t>
  </si>
  <si>
    <t>Melting_Curves/meltCurve_Q96JJ7_TMX3.pdf</t>
  </si>
  <si>
    <t>Melting_Curves/meltCurve_Q96JK9_MAML3.pdf</t>
  </si>
  <si>
    <t>Melting_Curves/meltCurve_Q96JM3_CHAMP1.pdf</t>
  </si>
  <si>
    <t>Melting_Curves/meltCurve_Q96JM7_2_L3MBTL3.pdf</t>
  </si>
  <si>
    <t>Melting_Curves/meltCurve_Q96JP5_ZFP91.pdf</t>
  </si>
  <si>
    <t>Melting_Curves/meltCurve_Q96K17_2_BTF3L4.pdf</t>
  </si>
  <si>
    <t>Melting_Curves/meltCurve_Q96K19_2_RNF170.pdf</t>
  </si>
  <si>
    <t>Melting_Curves/meltCurve_Q96K80_ZC3H10.pdf</t>
  </si>
  <si>
    <t>Melting_Curves/meltCurve_Q96KA5_2_CLPTM1L.pdf</t>
  </si>
  <si>
    <t>Melting_Curves/meltCurve_Q96KB5_PBK.pdf</t>
  </si>
  <si>
    <t>Melting_Curves/meltCurve_Q96KC8_DNAJC1.pdf</t>
  </si>
  <si>
    <t>Melting_Curves/meltCurve_Q96KN1_FAM84B.pdf</t>
  </si>
  <si>
    <t>Melting_Curves/meltCurve_Q96KP1_EXOC2.pdf</t>
  </si>
  <si>
    <t>Melting_Curves/meltCurve_Q96KP4_CNDP2.pdf</t>
  </si>
  <si>
    <t>Melting_Curves/meltCurve_Q96KR1_ZFR.pdf</t>
  </si>
  <si>
    <t>Melting_Curves/meltCurve_Q96L58_B3GALT6.pdf</t>
  </si>
  <si>
    <t>Melting_Curves/meltCurve_Q96L91_4_EP400.pdf</t>
  </si>
  <si>
    <t>Melting_Curves/meltCurve_Q96L92_SNX27.pdf</t>
  </si>
  <si>
    <t>Melting_Curves/meltCurve_Q96L93_6_KIF16B.pdf</t>
  </si>
  <si>
    <t>Melting_Curves/meltCurve_Q96L96_ALPK3.pdf</t>
  </si>
  <si>
    <t>Melting_Curves/meltCurve_Q96LA8_PRMT6.pdf</t>
  </si>
  <si>
    <t>Melting_Curves/meltCurve_Q96LB3_IFT74.pdf</t>
  </si>
  <si>
    <t>Melting_Curves/meltCurve_Q96LD4_TRIM47.pdf</t>
  </si>
  <si>
    <t>Melting_Curves/meltCurve_Q96LD8_SENP8.pdf</t>
  </si>
  <si>
    <t>Melting_Curves/meltCurve_Q96LJ7_DHRS1.pdf</t>
  </si>
  <si>
    <t>Melting_Curves/meltCurve_Q96LR5_UBE2E2.pdf</t>
  </si>
  <si>
    <t>Melting_Curves/meltCurve_Q96M20_2_CNBD2.pdf</t>
  </si>
  <si>
    <t>Melting_Curves/meltCurve_Q96M27_PRRC1.pdf</t>
  </si>
  <si>
    <t>Melting_Curves/meltCurve_Q96ME1_4_FBXL18.pdf</t>
  </si>
  <si>
    <t>Melting_Curves/meltCurve_Q96MG2_JSRP1.pdf</t>
  </si>
  <si>
    <t>Melting_Curves/meltCurve_Q96MG7_NDNL2.pdf</t>
  </si>
  <si>
    <t>Melting_Curves/meltCurve_Q96MH2_HEXIM2.pdf</t>
  </si>
  <si>
    <t>Melting_Curves/meltCurve_Q96MH6_TMEM68.pdf</t>
  </si>
  <si>
    <t>Melting_Curves/meltCurve_Q96MX6_WDR92.pdf</t>
  </si>
  <si>
    <t>Melting_Curves/meltCurve_Q96N21_2_ENTHD2.pdf</t>
  </si>
  <si>
    <t>Melting_Curves/meltCurve_Q96N66_2_MBOAT7.pdf</t>
  </si>
  <si>
    <t>Melting_Curves/meltCurve_Q96N67_4_DOCK7.pdf</t>
  </si>
  <si>
    <t>Melting_Curves/meltCurve_Q96NB2_SFXN2.pdf</t>
  </si>
  <si>
    <t>Melting_Curves/meltCurve_Q96NB3_ZNF830.pdf</t>
  </si>
  <si>
    <t>Melting_Curves/meltCurve_Q96NC0_ZMAT2.pdf</t>
  </si>
  <si>
    <t>Melting_Curves/meltCurve_Q96NT1_NAP1L5.pdf</t>
  </si>
  <si>
    <t>Melting_Curves/meltCurve_Q96NU7_AMDHD1.pdf</t>
  </si>
  <si>
    <t>Melting_Curves/meltCurve_Q96NY7_2_CLIC6.pdf</t>
  </si>
  <si>
    <t>Melting_Curves/meltCurve_Q96P11_2_NSUN5.pdf</t>
  </si>
  <si>
    <t>Melting_Curves/meltCurve_Q96P16_RPRD1A.pdf</t>
  </si>
  <si>
    <t>Melting_Curves/meltCurve_Q96P48_3_ARAP1.pdf</t>
  </si>
  <si>
    <t>Melting_Curves/meltCurve_Q96P70_IPO9.pdf</t>
  </si>
  <si>
    <t>Melting_Curves/meltCurve_Q96PD2_DCBLD2.pdf</t>
  </si>
  <si>
    <t>Melting_Curves/meltCurve_Q96PE2_ARHGEF17.pdf</t>
  </si>
  <si>
    <t>Melting_Curves/meltCurve_Q96PE7_MCEE.pdf</t>
  </si>
  <si>
    <t>Melting_Curves/meltCurve_Q96PK6_RBM14.pdf</t>
  </si>
  <si>
    <t>Melting_Curves/meltCurve_Q96PM5_RCHY1.pdf</t>
  </si>
  <si>
    <t>Melting_Curves/meltCurve_Q96PY5_FMNL2.pdf</t>
  </si>
  <si>
    <t>Melting_Curves/meltCurve_Q96PZ0_PUS7.pdf</t>
  </si>
  <si>
    <t>Melting_Curves/meltCurve_Q96Q11_2_TRNT1.pdf</t>
  </si>
  <si>
    <t>Melting_Curves/meltCurve_Q96Q83_ALKBH3.pdf</t>
  </si>
  <si>
    <t>Melting_Curves/meltCurve_Q96QC0_PPP1R10.pdf</t>
  </si>
  <si>
    <t>Melting_Curves/meltCurve_Q96QC4_MICA.pdf</t>
  </si>
  <si>
    <t>Melting_Curves/meltCurve_Q96QD8_SLC38A2.pdf</t>
  </si>
  <si>
    <t>Melting_Curves/meltCurve_Q96QE2_SLC2A13.pdf</t>
  </si>
  <si>
    <t>Melting_Curves/meltCurve_Q96QE5_TEFM.pdf</t>
  </si>
  <si>
    <t>Melting_Curves/meltCurve_Q96QF0_2_RAB3IP.pdf</t>
  </si>
  <si>
    <t>Melting_Curves/meltCurve_Q96QK1_VPS35.pdf</t>
  </si>
  <si>
    <t>Melting_Curves/meltCurve_Q96QR8_PURB.pdf</t>
  </si>
  <si>
    <t>Melting_Curves/meltCurve_Q96QU8_XPO6.pdf</t>
  </si>
  <si>
    <t>Melting_Curves/meltCurve_Q96QZ7_6_MAGI1.pdf</t>
  </si>
  <si>
    <t>Melting_Curves/meltCurve_Q96R06_SPAG5.pdf</t>
  </si>
  <si>
    <t>Melting_Curves/meltCurve_Q96RD7_2_PANX1.pdf</t>
  </si>
  <si>
    <t>Melting_Curves/meltCurve_Q96RE7_NACC1.pdf</t>
  </si>
  <si>
    <t>Melting_Curves/meltCurve_Q96RL7_4_VPS13A.pdf</t>
  </si>
  <si>
    <t>Melting_Curves/meltCurve_Q96RN5_3_MED15.pdf</t>
  </si>
  <si>
    <t>Melting_Curves/meltCurve_Q96RP9_GFM1.pdf</t>
  </si>
  <si>
    <t>Melting_Curves/meltCurve_Q96RP9_2_GFM1.pdf</t>
  </si>
  <si>
    <t>Melting_Curves/meltCurve_Q96RQ1_ERGIC2.pdf</t>
  </si>
  <si>
    <t>Melting_Curves/meltCurve_Q96RR1_PEO1.pdf</t>
  </si>
  <si>
    <t>Melting_Curves/meltCurve_Q96RR4_2_CAMKK2.pdf</t>
  </si>
  <si>
    <t>Melting_Curves/meltCurve_Q96RS0_TGS1.pdf</t>
  </si>
  <si>
    <t>Melting_Curves/meltCurve_Q96RS6_NUDCD1.pdf</t>
  </si>
  <si>
    <t>Melting_Curves/meltCurve_Q96RT1_4_ERBB2IP.pdf</t>
  </si>
  <si>
    <t>Melting_Curves/meltCurve_Q96S16_JMJD8.pdf</t>
  </si>
  <si>
    <t>Melting_Curves/meltCurve_Q96S19_C16orf13.pdf</t>
  </si>
  <si>
    <t>Melting_Curves/meltCurve_Q96S44_TP53RK.pdf</t>
  </si>
  <si>
    <t>Melting_Curves/meltCurve_Q96S52_PIGS.pdf</t>
  </si>
  <si>
    <t>Melting_Curves/meltCurve_Q96S55_2_WRNIP1.pdf</t>
  </si>
  <si>
    <t>Melting_Curves/meltCurve_Q96S59_RANBP9.pdf</t>
  </si>
  <si>
    <t>Melting_Curves/meltCurve_Q96S66_CLCC1.pdf</t>
  </si>
  <si>
    <t>Melting_Curves/meltCurve_Q96S82_UBL7.pdf</t>
  </si>
  <si>
    <t>Melting_Curves/meltCurve_Q96S90_LYSMD1.pdf</t>
  </si>
  <si>
    <t>Melting_Curves/meltCurve_Q96S94_CCNL2.pdf</t>
  </si>
  <si>
    <t>Melting_Curves/meltCurve_Q96S99_PLEKHF1.pdf</t>
  </si>
  <si>
    <t>Melting_Curves/meltCurve_Q96SB4_SRPK1.pdf</t>
  </si>
  <si>
    <t>Melting_Curves/meltCurve_Q96SB8_SMC6.pdf</t>
  </si>
  <si>
    <t>Melting_Curves/meltCurve_Q96SH1_TFAP2A.pdf</t>
  </si>
  <si>
    <t>Melting_Curves/meltCurve_Q96SI1_KCTD15.pdf</t>
  </si>
  <si>
    <t>Melting_Curves/meltCurve_Q96SK2_2_TMEM209.pdf</t>
  </si>
  <si>
    <t>Melting_Curves/meltCurve_Q96ST2_IWS1.pdf</t>
  </si>
  <si>
    <t>Melting_Curves/meltCurve_Q96ST3_SIN3A.pdf</t>
  </si>
  <si>
    <t>Melting_Curves/meltCurve_Q96SZ5_ADO.pdf</t>
  </si>
  <si>
    <t>Melting_Curves/meltCurve_Q96SZ6_3_CDK5RAP1.pdf</t>
  </si>
  <si>
    <t>Melting_Curves/meltCurve_Q96T17_MAP7D2.pdf</t>
  </si>
  <si>
    <t>Melting_Curves/meltCurve_Q96T21_2_SECISBP2.pdf</t>
  </si>
  <si>
    <t>Melting_Curves/meltCurve_Q96T23_2_RSF1.pdf</t>
  </si>
  <si>
    <t>Melting_Curves/meltCurve_Q96T25_ZIC5.pdf</t>
  </si>
  <si>
    <t>Melting_Curves/meltCurve_Q96T37_2_RBM15.pdf</t>
  </si>
  <si>
    <t>Melting_Curves/meltCurve_Q96T51_RUFY1.pdf</t>
  </si>
  <si>
    <t>Melting_Curves/meltCurve_Q96T58_SPEN.pdf</t>
  </si>
  <si>
    <t>Melting_Curves/meltCurve_Q96T60_PNKP.pdf</t>
  </si>
  <si>
    <t>Melting_Curves/meltCurve_Q96T66_NMNAT3.pdf</t>
  </si>
  <si>
    <t>Melting_Curves/meltCurve_Q96T76_MMS19.pdf</t>
  </si>
  <si>
    <t>Melting_Curves/meltCurve_Q96T88_UHRF1.pdf</t>
  </si>
  <si>
    <t>Melting_Curves/meltCurve_Q96TA1_2_FAM129B.pdf</t>
  </si>
  <si>
    <t>Melting_Curves/meltCurve_Q96TA2_3_YME1L1.pdf</t>
  </si>
  <si>
    <t>Melting_Curves/meltCurve_Q96TC7_RMDN3.pdf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</si>
  <si>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</si>
  <si>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</si>
  <si>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</si>
  <si>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</si>
  <si>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Melting_Curves/meltCurve_Q99447_PCYT2.pdf</t>
  </si>
  <si>
    <t>Melting_Curves/meltCurve_Q99459_CDC5L.pdf</t>
  </si>
  <si>
    <t>Melting_Curves/meltCurve_Q99460_PSMD1.pdf</t>
  </si>
  <si>
    <t>Melting_Curves/meltCurve_Q99470_SDF2.pdf</t>
  </si>
  <si>
    <t>Melting_Curves/meltCurve_Q99471_PFDN5.pdf</t>
  </si>
  <si>
    <t>Melting_Curves/meltCurve_Q99487_PAFAH2.pdf</t>
  </si>
  <si>
    <t>Melting_Curves/meltCurve_Q99489_2_DDO.pdf</t>
  </si>
  <si>
    <t>Melting_Curves/meltCurve_Q99496_RNF2.pdf</t>
  </si>
  <si>
    <t>Melting_Curves/meltCurve_Q99497_PARK7.pdf</t>
  </si>
  <si>
    <t>Melting_Curves/meltCurve_Q99519_NEU1.pdf</t>
  </si>
  <si>
    <t>Melting_Curves/meltCurve_Q99523_SORT1.pdf</t>
  </si>
  <si>
    <t>Melting_Curves/meltCurve_Q99536_VAT1.pdf</t>
  </si>
  <si>
    <t>Melting_Curves/meltCurve_Q99538_LGMN.pdf</t>
  </si>
  <si>
    <t>Melting_Curves/meltCurve_Q99541_PLIN2.pdf</t>
  </si>
  <si>
    <t>Melting_Curves/meltCurve_Q99543_DNAJC2.pdf</t>
  </si>
  <si>
    <t>Melting_Curves/meltCurve_Q99549_MPHOSPH8.pdf</t>
  </si>
  <si>
    <t>Melting_Curves/meltCurve_Q99567_NUP88.pdf</t>
  </si>
  <si>
    <t>Melting_Curves/meltCurve_Q99570_PIK3R4.pdf</t>
  </si>
  <si>
    <t>Melting_Curves/meltCurve_Q99574_SERPINI1.pdf</t>
  </si>
  <si>
    <t>Melting_Curves/meltCurve_Q99575_POP1.pdf</t>
  </si>
  <si>
    <t>Melting_Curves/meltCurve_Q99583_MNT.pdf</t>
  </si>
  <si>
    <t>Melting_Curves/meltCurve_Q99584_S100A13.pdf</t>
  </si>
  <si>
    <t>Melting_Curves/meltCurve_Q99592_ZBTB18.pdf</t>
  </si>
  <si>
    <t>Melting_Curves/meltCurve_Q99595_TIMM17A.pdf</t>
  </si>
  <si>
    <t>Melting_Curves/meltCurve_Q99598_TSNAX.pdf</t>
  </si>
  <si>
    <t>Melting_Curves/meltCurve_Q99611_SEPHS2.pdf</t>
  </si>
  <si>
    <t>Melting_Curves/meltCurve_Q99614_TTC1.pdf</t>
  </si>
  <si>
    <t>Melting_Curves/meltCurve_Q99615_DNAJC7.pdf</t>
  </si>
  <si>
    <t>Melting_Curves/meltCurve_Q99618_CDCA3.pdf</t>
  </si>
  <si>
    <t>Melting_Curves/meltCurve_Q99622_C12orf57.pdf</t>
  </si>
  <si>
    <t>Melting_Curves/meltCurve_Q99623_PHB2.pdf</t>
  </si>
  <si>
    <t>Melting_Curves/meltCurve_Q99627_COPS8.pdf</t>
  </si>
  <si>
    <t>Melting_Curves/meltCurve_Q99633_PRPF18.pdf</t>
  </si>
  <si>
    <t>Melting_Curves/meltCurve_Q99638_RAD9A.pdf</t>
  </si>
  <si>
    <t>Melting_Curves/meltCurve_Q99653_CHP1.pdf</t>
  </si>
  <si>
    <t>Melting_Curves/meltCurve_Q99661_KIF2C.pdf</t>
  </si>
  <si>
    <t>Melting_Curves/meltCurve_Q99674_CGREF1.pdf</t>
  </si>
  <si>
    <t>Melting_Curves/meltCurve_Q99700_4_ATXN2.pdf</t>
  </si>
  <si>
    <t>Melting_Curves/meltCurve_Q99704_DOK1.pdf</t>
  </si>
  <si>
    <t>Melting_Curves/meltCurve_Q99707_MTR.pdf</t>
  </si>
  <si>
    <t>Melting_Curves/meltCurve_Q99714_HSD17B10.pdf</t>
  </si>
  <si>
    <t>Melting_Curves/meltCurve_Q99720_SIGMAR1.pdf</t>
  </si>
  <si>
    <t>Melting_Curves/meltCurve_Q99729_3_HNRNPAB.pdf</t>
  </si>
  <si>
    <t>Melting_Curves/meltCurve_Q99733_NAP1L4.pdf</t>
  </si>
  <si>
    <t>Melting_Curves/meltCurve_Q99735_2_MGST2.pdf</t>
  </si>
  <si>
    <t>Melting_Curves/meltCurve_Q99747_NAPG.pdf</t>
  </si>
  <si>
    <t>Melting_Curves/meltCurve_Q99757_TXN2.pdf</t>
  </si>
  <si>
    <t>Melting_Curves/meltCurve_Q99766_ATP5S.pdf</t>
  </si>
  <si>
    <t>Melting_Curves/meltCurve_Q99797_MIPEP.pdf</t>
  </si>
  <si>
    <t>Melting_Curves/meltCurve_Q99805_TM9SF2.pdf</t>
  </si>
  <si>
    <t>Melting_Curves/meltCurve_Q99808_SLC29A1.pdf</t>
  </si>
  <si>
    <t>Melting_Curves/meltCurve_Q99816_TSG101.pdf</t>
  </si>
  <si>
    <t>Melting_Curves/meltCurve_Q99828_CIB1.pdf</t>
  </si>
  <si>
    <t>Melting_Curves/meltCurve_Q99829_CPNE1.pdf</t>
  </si>
  <si>
    <t>Melting_Curves/meltCurve_Q99832_CCT7.pdf</t>
  </si>
  <si>
    <t>Melting_Curves/meltCurve_Q99878_HIST1H2AJ.pdf</t>
  </si>
  <si>
    <t>Melting_Curves/meltCurve_Q99959_2_PKP2.pdf</t>
  </si>
  <si>
    <t>Melting_Curves/meltCurve_Q99961_SH3GL1.pdf</t>
  </si>
  <si>
    <t>Melting_Curves/meltCurve_Q99986_VRK1.pdf</t>
  </si>
  <si>
    <t>Melting_Curves/meltCurve_Q99988_GDF15.pdf</t>
  </si>
  <si>
    <t>Melting_Curves/meltCurve_Q99996_5_AKAP9.pdf</t>
  </si>
  <si>
    <t>Melting_Curves/meltCurve_Q9BPW8_NIPSNAP1.pdf</t>
  </si>
  <si>
    <t>Melting_Curves/meltCurve_Q9BPX3_NCAPG.pdf</t>
  </si>
  <si>
    <t>Melting_Curves/meltCurve_Q9BPX5_ARPC5L.pdf</t>
  </si>
  <si>
    <t>Melting_Curves/meltCurve_Q9BQ13_KCTD14.pdf</t>
  </si>
  <si>
    <t>Melting_Curves/meltCurve_Q9BQ24_ZFYVE21.pdf</t>
  </si>
  <si>
    <t>Melting_Curves/meltCurve_Q9BQ39_DDX50.pdf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</si>
  <si>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</si>
  <si>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</si>
  <si>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</si>
  <si>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</si>
  <si>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</si>
  <si>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Melting_Curves/meltCurve_Q9BQ90_KLHDC3.pdf</t>
  </si>
  <si>
    <t>Melting_Curves/meltCurve_Q9BQ95_ECSIT.pdf</t>
  </si>
  <si>
    <t>Melting_Curves/meltCurve_Q9BQA1_WDR77.pdf</t>
  </si>
  <si>
    <t>Melting_Curves/meltCurve_Q9BQC3_DPH2.pdf</t>
  </si>
  <si>
    <t>Melting_Curves/meltCurve_Q9BQG0_MYBBP1A.pdf</t>
  </si>
  <si>
    <t>Melting_Curves/meltCurve_Q9BQG2_NUDT12.pdf</t>
  </si>
  <si>
    <t>Melting_Curves/meltCurve_Q9BQI7_PSD2.pdf</t>
  </si>
  <si>
    <t>Melting_Curves/meltCurve_Q9BQL6_FERMT1.pdf</t>
  </si>
  <si>
    <t>Melting_Curves/meltCurve_Q9BQP7_MGME1.pdf</t>
  </si>
  <si>
    <t>Melting_Curves/meltCurve_Q9BQQ3_GORASP1.pdf</t>
  </si>
  <si>
    <t>Melting_Curves/meltCurve_Q9BQS8_FYCO1.pdf</t>
  </si>
  <si>
    <t>Melting_Curves/meltCurve_Q9BQT8_2_SLC25A21.pdf</t>
  </si>
  <si>
    <t>Melting_Curves/meltCurve_Q9BQT9_CLSTN3.pdf</t>
  </si>
  <si>
    <t>Melting_Curves/meltCurve_Q9BR61_ACBD6.pdf</t>
  </si>
  <si>
    <t>Melting_Curves/meltCurve_Q9BR76_CORO1B.pdf</t>
  </si>
  <si>
    <t>Melting_Curves/meltCurve_Q9BRA0_2_LSMD1.pdf</t>
  </si>
  <si>
    <t>Melting_Curves/meltCurve_Q9BRA2_TXNDC17.pdf</t>
  </si>
  <si>
    <t>Melting_Curves/meltCurve_Q9BRD0_BUD13.pdf</t>
  </si>
  <si>
    <t>Melting_Curves/meltCurve_Q9BRF8_CPPED1.pdf</t>
  </si>
  <si>
    <t>Melting_Curves/meltCurve_Q9BRG1_VPS25.pdf</t>
  </si>
  <si>
    <t>Melting_Curves/meltCurve_Q9BRJ2_MRPL45.pdf</t>
  </si>
  <si>
    <t>Melting_Curves/meltCurve_Q9BRK5_SDF4.pdf</t>
  </si>
  <si>
    <t>Melting_Curves/meltCurve_Q9BRL6_2_SRSF8.pdf</t>
  </si>
  <si>
    <t>Melting_Curves/meltCurve_Q9BRP1_PDCD2L.pdf</t>
  </si>
  <si>
    <t>Melting_Curves/meltCurve_Q9BRP4_PAAF1.pdf</t>
  </si>
  <si>
    <t>Melting_Curves/meltCurve_Q9BRP8_2_WIBG.pdf</t>
  </si>
  <si>
    <t>Melting_Curves/meltCurve_Q9BRQ8_AIFM2.pdf</t>
  </si>
  <si>
    <t>Melting_Curves/meltCurve_Q9BRR0_2_ZKSCAN3.pdf</t>
  </si>
  <si>
    <t>Melting_Curves/meltCurve_Q9BRR6_2_ADPGK.pdf</t>
  </si>
  <si>
    <t>Melting_Curves/meltCurve_Q9BRS2_RIOK1.pdf</t>
  </si>
  <si>
    <t>Melting_Curves/meltCurve_Q9BRT2_MNF1.pdf</t>
  </si>
  <si>
    <t>Melting_Curves/meltCurve_Q9BRT3_MIEN1.pdf</t>
  </si>
  <si>
    <t>Melting_Curves/meltCurve_Q9BRT8_3_CBWD1.pdf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</si>
  <si>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</si>
  <si>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</si>
  <si>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</si>
  <si>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</si>
  <si>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Melting_Curves/meltCurve_Q9BRX8_2_FAM213A.pdf</t>
  </si>
  <si>
    <t>Melting_Curves/meltCurve_Q9BRZ2_TRIM56.pdf</t>
  </si>
  <si>
    <t>Melting_Curves/meltCurve_Q9BS18_ANAPC13.pdf</t>
  </si>
  <si>
    <t>Melting_Curves/meltCurve_Q9BS26_ERP44.pdf</t>
  </si>
  <si>
    <t>Melting_Curves/meltCurve_Q9BSB4_ATG101.pdf</t>
  </si>
  <si>
    <t>Melting_Curves/meltCurve_Q9BSD7_NTPCR.pdf</t>
  </si>
  <si>
    <t>Melting_Curves/meltCurve_Q9BSE5_AGMAT.pdf</t>
  </si>
  <si>
    <t>Melting_Curves/meltCurve_Q9BSF4_C19orf52.pdf</t>
  </si>
  <si>
    <t>Melting_Curves/meltCurve_Q9BSH4_TACO1.pdf</t>
  </si>
  <si>
    <t>Melting_Curves/meltCurve_Q9BSH5_HDHD3.pdf</t>
  </si>
  <si>
    <t>Melting_Curves/meltCurve_Q9BSJ2_TUBGCP2.pdf</t>
  </si>
  <si>
    <t>Melting_Curves/meltCurve_Q9BSJ5_3_C17orf80.pdf</t>
  </si>
  <si>
    <t>Melting_Curves/meltCurve_Q9BSJ6_FAM64A.pdf</t>
  </si>
  <si>
    <t>Melting_Curves/meltCurve_Q9BSJ8_ESYT1.pdf</t>
  </si>
  <si>
    <t>Melting_Curves/meltCurve_Q9BSK2_SLC25A33.pdf</t>
  </si>
  <si>
    <t>Melting_Curves/meltCurve_Q9BSL1_UBAC1.pdf</t>
  </si>
  <si>
    <t>Melting_Curves/meltCurve_Q9BSR8_YIPF4.pdf</t>
  </si>
  <si>
    <t>Melting_Curves/meltCurve_Q9BST9_RTKN.pdf</t>
  </si>
  <si>
    <t>Melting_Curves/meltCurve_Q9BSU1_C16orf70.pdf</t>
  </si>
  <si>
    <t>Melting_Curves/meltCurve_Q9BSV6_TSEN34.pdf</t>
  </si>
  <si>
    <t>Melting_Curves/meltCurve_Q9BSY4_CHCHD5.pdf</t>
  </si>
  <si>
    <t>Melting_Curves/meltCurve_Q9BT09_CNPY3.pdf</t>
  </si>
  <si>
    <t>Melting_Curves/meltCurve_Q9BT17_MTG1.pdf</t>
  </si>
  <si>
    <t>Melting_Curves/meltCurve_Q9BT22_ALG1.pdf</t>
  </si>
  <si>
    <t>Melting_Curves/meltCurve_Q9BT23_LIMD2.pdf</t>
  </si>
  <si>
    <t>Melting_Curves/meltCurve_Q9BT30_ALKBH7.pdf</t>
  </si>
  <si>
    <t>Melting_Curves/meltCurve_Q9BT73_PSMG3.pdf</t>
  </si>
  <si>
    <t>Melting_Curves/meltCurve_Q9BT78_COPS4.pdf</t>
  </si>
  <si>
    <t>Melting_Curves/meltCurve_Q9BTA9_WAC.pdf</t>
  </si>
  <si>
    <t>Melting_Curves/meltCurve_Q9BTC0_DIDO1.pdf</t>
  </si>
  <si>
    <t>Melting_Curves/meltCurve_Q9BTE3_2_MCMBP.pdf</t>
  </si>
  <si>
    <t>Melting_Curves/meltCurve_Q9BTE6_AARSD1.pdf</t>
  </si>
  <si>
    <t>Melting_Curves/meltCurve_Q9BTE7_DCUN1D5.pdf</t>
  </si>
  <si>
    <t>Melting_Curves/meltCurve_Q9BTF0_2_THUMPD2.pdf</t>
  </si>
  <si>
    <t>Melting_Curves/meltCurve_Q9BTL3_FAM103A1.pdf</t>
  </si>
  <si>
    <t>Melting_Curves/meltCurve_Q9BTT0_ANP32E.pdf</t>
  </si>
  <si>
    <t>Melting_Curves/meltCurve_Q9BTT6_LRRC1.pdf</t>
  </si>
  <si>
    <t>Melting_Curves/meltCurve_Q9BTU6_PI4K2A.pdf</t>
  </si>
  <si>
    <t>Melting_Curves/meltCurve_Q9BTV4_TMEM43.pdf</t>
  </si>
  <si>
    <t>Melting_Curves/meltCurve_Q9BTV6_WDR85.pdf</t>
  </si>
  <si>
    <t>Melting_Curves/meltCurve_Q9BTX7_TTPAL.pdf</t>
  </si>
  <si>
    <t>Melting_Curves/meltCurve_Q9BTY2_FUCA2.pdf</t>
  </si>
  <si>
    <t>Melting_Curves/meltCurve_Q9BTY7_FAM203A.pdf</t>
  </si>
  <si>
    <t>Melting_Curves/meltCurve_Q9BTZ2_DHRS4.pdf</t>
  </si>
  <si>
    <t>Melting_Curves/meltCurve_Q9BU02_THTPA.pdf</t>
  </si>
  <si>
    <t>Melting_Curves/meltCurve_Q9BU23_3_LMF2.pdf</t>
  </si>
  <si>
    <t>Melting_Curves/meltCurve_Q9BU61_NDUFAF3.pdf</t>
  </si>
  <si>
    <t>Melting_Curves/meltCurve_Q9BU76_4_MMTAG2.pdf</t>
  </si>
  <si>
    <t>Melting_Curves/meltCurve_Q9BU89_DOHH.pdf</t>
  </si>
  <si>
    <t>Melting_Curves/meltCurve_Q9BUA3_C11orf84.pdf</t>
  </si>
  <si>
    <t>Melting_Curves/meltCurve_Q9BUB7_2_TMEM70.pdf</t>
  </si>
  <si>
    <t>Melting_Curves/meltCurve_Q9BUE6_ISCA1.pdf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</si>
  <si>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</si>
  <si>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</si>
  <si>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</si>
  <si>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</si>
  <si>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Melting_Curves/meltCurve_Q9BUK6_2_MSTO1.pdf</t>
  </si>
  <si>
    <t>Melting_Curves/meltCurve_Q9BUL9_RPP25.pdf</t>
  </si>
  <si>
    <t>Melting_Curves/meltCurve_Q9BUP3_3_HTATIP2.pdf</t>
  </si>
  <si>
    <t>Melting_Curves/meltCurve_Q9BUQ8_DDX23.pdf</t>
  </si>
  <si>
    <t>Melting_Curves/meltCurve_Q9BUR4_WRAP53.pdf</t>
  </si>
  <si>
    <t>Melting_Curves/meltCurve_Q9BUT9_FAM195A.pdf</t>
  </si>
  <si>
    <t>Melting_Curves/meltCurve_Q9BUW7_C9orf16.pdf</t>
  </si>
  <si>
    <t>Melting_Curves/meltCurve_Q9BUZ4_2_TRAF4.pdf</t>
  </si>
  <si>
    <t>Melting_Curves/meltCurve_Q9BV19_C1orf50.pdf</t>
  </si>
  <si>
    <t>Melting_Curves/meltCurve_Q9BV20_MRI1.pdf</t>
  </si>
  <si>
    <t>Melting_Curves/meltCurve_Q9BV23_ABHD6.pdf</t>
  </si>
  <si>
    <t>Melting_Curves/meltCurve_Q9BV35_SLC25A23.pdf</t>
  </si>
  <si>
    <t>Melting_Curves/meltCurve_Q9BV38_WDR18.pdf</t>
  </si>
  <si>
    <t>Melting_Curves/meltCurve_Q9BV40_VAMP8.pdf</t>
  </si>
  <si>
    <t>Melting_Curves/meltCurve_Q9BV44_THUMPD3.pdf</t>
  </si>
  <si>
    <t>Melting_Curves/meltCurve_Q9BV57_ADI1.pdf</t>
  </si>
  <si>
    <t>Melting_Curves/meltCurve_Q9BV68_2_RNF126.pdf</t>
  </si>
  <si>
    <t>Melting_Curves/meltCurve_Q9BV79_MECR.pdf</t>
  </si>
  <si>
    <t>Melting_Curves/meltCurve_Q9BV86_NTMT1.pdf</t>
  </si>
  <si>
    <t>Melting_Curves/meltCurve_Q9BVA0_KATNB1.pdf</t>
  </si>
  <si>
    <t>Melting_Curves/meltCurve_Q9BVA1_TUBB2B.pdf</t>
  </si>
  <si>
    <t>Melting_Curves/meltCurve_Q9BVC3_DSCC1.pdf</t>
  </si>
  <si>
    <t>Melting_Curves/meltCurve_Q9BVC4_MLST8.pdf</t>
  </si>
  <si>
    <t>Melting_Curves/meltCurve_Q9BVC6_TMEM109.pdf</t>
  </si>
  <si>
    <t>Melting_Curves/meltCurve_Q9BVG4_PBDC1.pdf</t>
  </si>
  <si>
    <t>Melting_Curves/meltCurve_Q9BVG9_PTDSS2.pdf</t>
  </si>
  <si>
    <t>Melting_Curves/meltCurve_Q9BVJ6_3_UTP14A.pdf</t>
  </si>
  <si>
    <t>Melting_Curves/meltCurve_Q9BVJ7_DUSP23.pdf</t>
  </si>
  <si>
    <t>Melting_Curves/meltCurve_Q9BVK6_TMED9.pdf</t>
  </si>
  <si>
    <t>Melting_Curves/meltCurve_Q9BVL4_SELO.pdf</t>
  </si>
  <si>
    <t>Melting_Curves/meltCurve_Q9BVM4_GGACT.pdf</t>
  </si>
  <si>
    <t>Melting_Curves/meltCurve_Q9BVP2_2_GNL3.pdf</t>
  </si>
  <si>
    <t>Melting_Curves/meltCurve_Q9BVQ7_SPATA5L1.pdf</t>
  </si>
  <si>
    <t>Melting_Curves/meltCurve_Q9BVS5_TRMT61B.pdf</t>
  </si>
  <si>
    <t>Melting_Curves/meltCurve_Q9BVV7_TIMM21.pdf</t>
  </si>
  <si>
    <t>Melting_Curves/meltCurve_Q9BVW5_TIPIN.pdf</t>
  </si>
  <si>
    <t>Melting_Curves/meltCurve_Q9BW04_SARG.pdf</t>
  </si>
  <si>
    <t>Melting_Curves/meltCurve_Q9BW19_KIFC1.pdf</t>
  </si>
  <si>
    <t>Melting_Curves/meltCurve_Q9BW27_NUP85.pdf</t>
  </si>
  <si>
    <t>Melting_Curves/meltCurve_Q9BW30_TPPP3.pdf</t>
  </si>
  <si>
    <t>Melting_Curves/meltCurve_Q9BW60_ELOVL1.pdf</t>
  </si>
  <si>
    <t>Melting_Curves/meltCurve_Q9BW61_DDA1.pdf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</si>
  <si>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</si>
  <si>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</si>
  <si>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</si>
  <si>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</si>
  <si>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</si>
  <si>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</si>
  <si>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Melting_Curves/meltCurve_Q9BWE0_REPIN1.pdf</t>
  </si>
  <si>
    <t>Melting_Curves/meltCurve_Q9BWF3_RBM4.pdf</t>
  </si>
  <si>
    <t>Melting_Curves/meltCurve_Q9BWH2_FUNDC2.pdf</t>
  </si>
  <si>
    <t>Melting_Curves/meltCurve_Q9BWH6_RPAP1.pdf</t>
  </si>
  <si>
    <t>Melting_Curves/meltCurve_Q9BWJ5_SF3B5.pdf</t>
  </si>
  <si>
    <t>Melting_Curves/meltCurve_Q9BWM7_SFXN3.pdf</t>
  </si>
  <si>
    <t>Melting_Curves/meltCurve_Q9BWT3_PAPOLG.pdf</t>
  </si>
  <si>
    <t>Melting_Curves/meltCurve_Q9BWU0_SLC4A1AP.pdf</t>
  </si>
  <si>
    <t>Melting_Curves/meltCurve_Q9BX40_LSM14B.pdf</t>
  </si>
  <si>
    <t>Melting_Curves/meltCurve_Q9BX66_9_SORBS1.pdf</t>
  </si>
  <si>
    <t>Melting_Curves/meltCurve_Q9BX68_HINT2.pdf</t>
  </si>
  <si>
    <t>Melting_Curves/meltCurve_Q9BX95_SGPP1.pdf</t>
  </si>
  <si>
    <t>Melting_Curves/meltCurve_Q9BXH1_2_BBC3.pdf</t>
  </si>
  <si>
    <t>Melting_Curves/meltCurve_Q9BXI6_TBC1D10A.pdf</t>
  </si>
  <si>
    <t>Melting_Curves/meltCurve_Q9BXJ9_NAA15.pdf</t>
  </si>
  <si>
    <t>Melting_Curves/meltCurve_Q9BXK1_KLF16.pdf</t>
  </si>
  <si>
    <t>Melting_Curves/meltCurve_Q9BXK5_BCL2L13.pdf</t>
  </si>
  <si>
    <t>Melting_Curves/meltCurve_Q9BXP2_SLC12A9.pdf</t>
  </si>
  <si>
    <t>Melting_Curves/meltCurve_Q9BXP5_4_SRRT.pdf</t>
  </si>
  <si>
    <t>Melting_Curves/meltCurve_Q9BXR0_QTRT1.pdf</t>
  </si>
  <si>
    <t>Melting_Curves/meltCurve_Q9BXS4_TMEM59.pdf</t>
  </si>
  <si>
    <t>Melting_Curves/meltCurve_Q9BXS6_2_NUSAP1.pdf</t>
  </si>
  <si>
    <t>Melting_Curves/meltCurve_Q9BXV9_C14orf142.pdf</t>
  </si>
  <si>
    <t>Melting_Curves/meltCurve_Q9BXW6_OSBPL1A.pdf</t>
  </si>
  <si>
    <t>Melting_Curves/meltCurve_Q9BXW7_2_CECR5.pdf</t>
  </si>
  <si>
    <t>Melting_Curves/meltCurve_Q9BXW9_3_FANCD2.pdf</t>
  </si>
  <si>
    <t>Melting_Curves/meltCurve_Q9BY32_ITPA.pdf</t>
  </si>
  <si>
    <t>Melting_Curves/meltCurve_Q9BY43_CHMP4A.pdf</t>
  </si>
  <si>
    <t>Melting_Curves/meltCurve_Q9BY44_EIF2A.pdf</t>
  </si>
  <si>
    <t>Melting_Curves/meltCurve_Q9BY77_POLDIP3.pdf</t>
  </si>
  <si>
    <t>Melting_Curves/meltCurve_Q9BY89_KIAA1671.pdf</t>
  </si>
  <si>
    <t>Melting_Curves/meltCurve_Q9BYB4_GNB1L.pdf</t>
  </si>
  <si>
    <t>Melting_Curves/meltCurve_Q9BYC8_MRPL32.pdf</t>
  </si>
  <si>
    <t>Melting_Curves/meltCurve_Q9BYD6_MRPL1.pdf</t>
  </si>
  <si>
    <t>Melting_Curves/meltCurve_Q9BYG5_PARD6B.pdf</t>
  </si>
  <si>
    <t>Melting_Curves/meltCurve_Q9BYM8_3_RBCK1.pdf</t>
  </si>
  <si>
    <t>Melting_Curves/meltCurve_Q9BYN8_MRPS26.pdf</t>
  </si>
  <si>
    <t>Melting_Curves/meltCurve_Q9BYT8_NLN.pdf</t>
  </si>
  <si>
    <t>Melting_Curves/meltCurve_Q9BYW2_SETD2.pdf</t>
  </si>
  <si>
    <t>Melting_Curves/meltCurve_Q9BZ23_3_PANK2.pdf</t>
  </si>
  <si>
    <t>Melting_Curves/meltCurve_Q9BZ29_3_DOCK9.pdf</t>
  </si>
  <si>
    <t>Melting_Curves/meltCurve_Q9BZ67_2_FRMD8.pdf</t>
  </si>
  <si>
    <t>Melting_Curves/meltCurve_Q9BZ95_4_WHSC1L1.pdf</t>
  </si>
  <si>
    <t>Melting_Curves/meltCurve_Q9BZE1_MRPL37.pdf</t>
  </si>
  <si>
    <t>Melting_Curves/meltCurve_Q9BZE2_PUS3.pdf</t>
  </si>
  <si>
    <t>Melting_Curves/meltCurve_Q9BZE9_ASPSCR1.pdf</t>
  </si>
  <si>
    <t>Melting_Curves/meltCurve_Q9BZF1_3_OSBPL8.pdf</t>
  </si>
  <si>
    <t>Melting_Curves/meltCurve_Q9BZH6_WDR11.pdf</t>
  </si>
  <si>
    <t>Melting_Curves/meltCurve_Q9BZI7_2_UPF3B.pdf</t>
  </si>
  <si>
    <t>Melting_Curves/meltCurve_Q9BZK7_TBL1XR1.pdf</t>
  </si>
  <si>
    <t>Melting_Curves/meltCurve_Q9BZL1_UBL5.pdf</t>
  </si>
  <si>
    <t>Melting_Curves/meltCurve_Q9BZM1_PLA2G12A.pdf</t>
  </si>
  <si>
    <t>Melting_Curves/meltCurve_Q9BZM4_ULBP3.pdf</t>
  </si>
  <si>
    <t>Melting_Curves/meltCurve_Q9BZM5_ULBP2.pdf</t>
  </si>
  <si>
    <t>Melting_Curves/meltCurve_Q9BZX2_UCK2.pdf</t>
  </si>
  <si>
    <t>Melting_Curves/meltCurve_Q9BZZ5_API5.pdf</t>
  </si>
  <si>
    <t>Melting_Curves/meltCurve_Q9BZZ5_2_API5.pdf</t>
  </si>
  <si>
    <t>Melting_Curves/meltCurve_Q9C004_SPRY4.pdf</t>
  </si>
  <si>
    <t>Melting_Curves/meltCurve_Q9C005_DPY30.pdf</t>
  </si>
  <si>
    <t>Melting_Curves/meltCurve_Q9C037_2_TRIM4.pdf</t>
  </si>
  <si>
    <t>Melting_Curves/meltCurve_Q9C040_TRIM2.pdf</t>
  </si>
  <si>
    <t>Melting_Curves/meltCurve_Q9C0B0_UNK.pdf</t>
  </si>
  <si>
    <t>Melting_Curves/meltCurve_Q9C0B1_FTO.pdf</t>
  </si>
  <si>
    <t>Melting_Curves/meltCurve_Q9C0B5_2_ZDHHC5.pdf</t>
  </si>
  <si>
    <t>Melting_Curves/meltCurve_Q9C0C2_TNKS1BP1.pdf</t>
  </si>
  <si>
    <t>Melting_Curves/meltCurve_Q9C0C4_SEMA4C.pdf</t>
  </si>
  <si>
    <t>Melting_Curves/meltCurve_Q9C0C7_6_AMBRA1.pdf</t>
  </si>
  <si>
    <t>Melting_Curves/meltCurve_Q9C0C9_UBE2O.pdf</t>
  </si>
  <si>
    <t>Melting_Curves/meltCurve_Q9C0D3_ZYG11B.pdf</t>
  </si>
  <si>
    <t>Melting_Curves/meltCurve_Q9C0D5_2_TANC1.pdf</t>
  </si>
  <si>
    <t>Melting_Curves/meltCurve_Q9C0H2_2_TTYH3.pdf</t>
  </si>
  <si>
    <t>Melting_Curves/meltCurve_Q9C0I1_MTMR12.pdf</t>
  </si>
  <si>
    <t>Melting_Curves/meltCurve_Q9C0J8_WDR33.pdf</t>
  </si>
  <si>
    <t>Melting_Curves/meltCurve_Q9C0K1_2_SLC39A8.pdf</t>
  </si>
  <si>
    <t>Melting_Curves/meltCurve_Q9GZL7_WDR12.pdf</t>
  </si>
  <si>
    <t>Melting_Curves/meltCurve_Q9GZN8_C20orf27.pdf</t>
  </si>
  <si>
    <t>Melting_Curves/meltCurve_Q9GZP1_NRSN2.pdf</t>
  </si>
  <si>
    <t>Melting_Curves/meltCurve_Q9GZP4_PITHD1.pdf</t>
  </si>
  <si>
    <t>Melting_Curves/meltCurve_Q9GZP9_DERL2.pdf</t>
  </si>
  <si>
    <t>Melting_Curves/meltCurve_Q9GZQ3_COMMD5.pdf</t>
  </si>
  <si>
    <t>Melting_Curves/meltCurve_Q9GZS1_2_POLR1E.pdf</t>
  </si>
  <si>
    <t>Melting_Curves/meltCurve_Q9GZS3_WDR61.pdf</t>
  </si>
  <si>
    <t>Melting_Curves/meltCurve_Q9GZT3_SLIRP.pdf</t>
  </si>
  <si>
    <t>Melting_Curves/meltCurve_Q9GZT5_WNT10A.pdf</t>
  </si>
  <si>
    <t>Melting_Curves/meltCurve_Q9GZT6_2_CCDC90B.pdf</t>
  </si>
  <si>
    <t>Melting_Curves/meltCurve_Q9GZT8_2_NIF3L1.pdf</t>
  </si>
  <si>
    <t>Melting_Curves/meltCurve_Q9GZT9_EGLN1.pdf</t>
  </si>
  <si>
    <t>Melting_Curves/meltCurve_Q9GZU8_FAM192A.pdf</t>
  </si>
  <si>
    <t>Melting_Curves/meltCurve_Q9GZX9_TWSG1.pdf</t>
  </si>
  <si>
    <t>Melting_Curves/meltCurve_Q9GZY8_2_MFF.pdf</t>
  </si>
  <si>
    <t>Melting_Curves/meltCurve_Q9GZY8_5_MFF.pdf</t>
  </si>
  <si>
    <t>Melting_Curves/meltCurve_Q9GZZ9_UBA5.pdf</t>
  </si>
  <si>
    <t>Melting_Curves/meltCurve_Q9H008_LHPP.pdf</t>
  </si>
  <si>
    <t>Melting_Curves/meltCurve_Q9H019_3_MTFR1L.pdf</t>
  </si>
  <si>
    <t>Melting_Curves/meltCurve_Q9H061_TMEM126A.pdf</t>
  </si>
  <si>
    <t>Melting_Curves/meltCurve_Q9H074_PAIP1.pdf</t>
  </si>
  <si>
    <t>Melting_Curves/meltCurve_Q9H078_2_CLPB.pdf</t>
  </si>
  <si>
    <t>Melting_Curves/meltCurve_Q9H082_RAB33B.pdf</t>
  </si>
  <si>
    <t>Melting_Curves/meltCurve_Q9H089_LSG1.pdf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</si>
  <si>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</si>
  <si>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</si>
  <si>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</si>
  <si>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</si>
  <si>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Melting_Curves/meltCurve_Q9H0E9_2_BRD8.pdf</t>
  </si>
  <si>
    <t>Melting_Curves/meltCurve_Q9H0F7_ARL6.pdf</t>
  </si>
  <si>
    <t>Melting_Curves/meltCurve_Q9H0G5_NSRP1.pdf</t>
  </si>
  <si>
    <t>Melting_Curves/meltCurve_Q9H0H5_RACGAP1.pdf</t>
  </si>
  <si>
    <t>Melting_Curves/meltCurve_Q9H0J9_PARP12.pdf</t>
  </si>
  <si>
    <t>Melting_Curves/meltCurve_Q9H0K6_PUS7L.pdf</t>
  </si>
  <si>
    <t>Melting_Curves/meltCurve_Q9H0L4_CSTF2T.pdf</t>
  </si>
  <si>
    <t>Melting_Curves/meltCurve_Q9H0P0_1_NT5C3A.pdf</t>
  </si>
  <si>
    <t>Melting_Curves/meltCurve_Q9H0R4_HDHD2.pdf</t>
  </si>
  <si>
    <t>Melting_Curves/meltCurve_Q9H0R6_QRSL1.pdf</t>
  </si>
  <si>
    <t>Melting_Curves/meltCurve_Q9H0S4_2_DDX47.pdf</t>
  </si>
  <si>
    <t>Melting_Curves/meltCurve_Q9H0U3_MAGT1.pdf</t>
  </si>
  <si>
    <t>Melting_Curves/meltCurve_Q9H0U4_RAB1B.pdf</t>
  </si>
  <si>
    <t>Melting_Curves/meltCurve_Q9H0U6_MRPL18.pdf</t>
  </si>
  <si>
    <t>Melting_Curves/meltCurve_Q9H0V9_LMAN2L.pdf</t>
  </si>
  <si>
    <t>Melting_Curves/meltCurve_Q9H0W8_2_SMG9.pdf</t>
  </si>
  <si>
    <t>Melting_Curves/meltCurve_Q9H0W9_C11orf54.pdf</t>
  </si>
  <si>
    <t>Melting_Curves/meltCurve_Q9H0X4_ITFG3.pdf</t>
  </si>
  <si>
    <t>Melting_Curves/meltCurve_Q9H115_NAPB.pdf</t>
  </si>
  <si>
    <t>Melting_Curves/meltCurve_Q9H173_SIL1.pdf</t>
  </si>
  <si>
    <t>Melting_Curves/meltCurve_Q9H1B7_IRF2BPL.pdf</t>
  </si>
  <si>
    <t>Melting_Curves/meltCurve_Q9H1C4_UNC93B1.pdf</t>
  </si>
  <si>
    <t>Melting_Curves/meltCurve_Q9H1D9_POLR3F.pdf</t>
  </si>
  <si>
    <t>Melting_Curves/meltCurve_Q9H1E3_NUCKS1.pdf</t>
  </si>
  <si>
    <t>Melting_Curves/meltCurve_Q9H1E5_TMX4.pdf</t>
  </si>
  <si>
    <t>Melting_Curves/meltCurve_Q9H1I8_3_ASCC2.pdf</t>
  </si>
  <si>
    <t>Melting_Curves/meltCurve_Q9H1J1_UPF3A.pdf</t>
  </si>
  <si>
    <t>Melting_Curves/meltCurve_Q9H1K0_ZFYVE20.pdf</t>
  </si>
  <si>
    <t>Melting_Curves/meltCurve_Q9H1K1_ISCU.pdf</t>
  </si>
  <si>
    <t>Melting_Curves/meltCurve_Q9H1P3_2_OSBPL2.pdf</t>
  </si>
  <si>
    <t>Melting_Curves/meltCurve_Q9H1Z4_WDR13.pdf</t>
  </si>
  <si>
    <t>Melting_Curves/meltCurve_Q9H204_MED28.pdf</t>
  </si>
  <si>
    <t>Melting_Curves/meltCurve_Q9H223_EHD4.pdf</t>
  </si>
  <si>
    <t>Melting_Curves/meltCurve_Q9H267_VPS33B.pdf</t>
  </si>
  <si>
    <t>Melting_Curves/meltCurve_Q9H269_VPS16.pdf</t>
  </si>
  <si>
    <t>Melting_Curves/meltCurve_Q9H270_VPS11.pdf</t>
  </si>
  <si>
    <t>Melting_Curves/meltCurve_Q9H2C0_GAN.pdf</t>
  </si>
  <si>
    <t>Melting_Curves/meltCurve_Q9H2D6_5_TRIOBP.pdf</t>
  </si>
  <si>
    <t>Melting_Curves/meltCurve_Q9H2G2_SLK.pdf</t>
  </si>
  <si>
    <t>Melting_Curves/meltCurve_Q9H2H8_PPIL3.pdf</t>
  </si>
  <si>
    <t>Melting_Curves/meltCurve_Q9H2J4_PDCL3.pdf</t>
  </si>
  <si>
    <t>Melting_Curves/meltCurve_Q9H2K0_MTIF3.pdf</t>
  </si>
  <si>
    <t>Melting_Curves/meltCurve_Q9H2K8_TAOK3.pdf</t>
  </si>
  <si>
    <t>Melting_Curves/meltCurve_Q9H2M9_RAB3GAP2.pdf</t>
  </si>
  <si>
    <t>Melting_Curves/meltCurve_Q9H2P0_ADNP.pdf</t>
  </si>
  <si>
    <t>Melting_Curves/meltCurve_Q9H2P9_DPH5.pdf</t>
  </si>
  <si>
    <t>Melting_Curves/meltCurve_Q9H2U2_PPA2.pdf</t>
  </si>
  <si>
    <t>Melting_Curves/meltCurve_Q9H2W6_MRPL46.pdf</t>
  </si>
  <si>
    <t>Melting_Curves/meltCurve_Q9H300_PARL.pdf</t>
  </si>
  <si>
    <t>Melting_Curves/meltCurve_Q9H307_PNN.pdf</t>
  </si>
  <si>
    <t>Melting_Curves/meltCurve_Q9H330_2_TMEM245.pdf</t>
  </si>
  <si>
    <t>Melting_Curves/meltCurve_Q9H3C7_GGNBP2.pdf</t>
  </si>
  <si>
    <t>Melting_Curves/meltCurve_Q9H3F6_KCTD10.pdf</t>
  </si>
  <si>
    <t>Melting_Curves/meltCurve_Q9H3H1_4_TRIT1.pdf</t>
  </si>
  <si>
    <t>Melting_Curves/meltCurve_Q9H3H3_C11orf68.pdf</t>
  </si>
  <si>
    <t>Melting_Curves/meltCurve_Q9H3H5_2_DPAGT1.pdf</t>
  </si>
  <si>
    <t>Melting_Curves/meltCurve_Q9H3J6_C12orf65.pdf</t>
  </si>
  <si>
    <t>Melting_Curves/meltCurve_Q9H3K6_BOLA2.pdf</t>
  </si>
  <si>
    <t>Melting_Curves/meltCurve_Q9H3N1_TMX1.pdf</t>
  </si>
  <si>
    <t>Melting_Curves/meltCurve_Q9H3P2_NELFA.pdf</t>
  </si>
  <si>
    <t>Melting_Curves/meltCurve_Q9H3P7_ACBD3.pdf</t>
  </si>
  <si>
    <t>Melting_Curves/meltCurve_Q9H3Q1_CDC42EP4.pdf</t>
  </si>
  <si>
    <t>Melting_Curves/meltCurve_Q9H3R0_4_KDM4C.pdf</t>
  </si>
  <si>
    <t>Melting_Curves/meltCurve_Q9H3S7_PTPN23.pdf</t>
  </si>
  <si>
    <t>Melting_Curves/meltCurve_Q9H3U1_UNC45A.pdf</t>
  </si>
  <si>
    <t>Melting_Curves/meltCurve_Q9H3U5_4_MFSD1.pdf</t>
  </si>
  <si>
    <t>Melting_Curves/meltCurve_Q9H3Y8_PPDPF.pdf</t>
  </si>
  <si>
    <t>Melting_Curves/meltCurve_Q9H3Z4_2_DNAJC5.pdf</t>
  </si>
  <si>
    <t>Melting_Curves/meltCurve_Q9H410_DSN1.pdf</t>
  </si>
  <si>
    <t>Melting_Curves/meltCurve_Q9H425_C1orf198.pdf</t>
  </si>
  <si>
    <t>Melting_Curves/meltCurve_Q9H444_CHMP4B.pdf</t>
  </si>
  <si>
    <t>Melting_Curves/meltCurve_Q9H467_CUEDC2.pdf</t>
  </si>
  <si>
    <t>Melting_Curves/meltCurve_Q9H479_FN3K.pdf</t>
  </si>
  <si>
    <t>Melting_Curves/meltCurve_Q9H488_POFUT1.pdf</t>
  </si>
  <si>
    <t>Melting_Curves/meltCurve_Q9H490_2_PIGU.pdf</t>
  </si>
  <si>
    <t>Melting_Curves/meltCurve_Q9H496_IFRG15.pdf</t>
  </si>
  <si>
    <t>Melting_Curves/meltCurve_Q9H4A4_RNPEP.pdf</t>
  </si>
  <si>
    <t>Melting_Curves/meltCurve_Q9H4A5_GOLPH3L.pdf</t>
  </si>
  <si>
    <t>Melting_Curves/meltCurve_Q9H4A6_GOLPH3.pdf</t>
  </si>
  <si>
    <t>Melting_Curves/meltCurve_Q9H4B0_OSGEPL1.pdf</t>
  </si>
  <si>
    <t>Melting_Curves/meltCurve_Q9H4I2_ZHX3.pdf</t>
  </si>
  <si>
    <t>Melting_Curves/meltCurve_Q9H4K7_GTPBP5.pdf</t>
  </si>
  <si>
    <t>Melting_Curves/meltCurve_Q9H4L5_2_OSBPL3.pdf</t>
  </si>
  <si>
    <t>Melting_Curves/meltCurve_Q9H4L7_2_SMARCAD1.pdf</t>
  </si>
  <si>
    <t>Melting_Curves/meltCurve_Q9H4M9_EHD1.pdf</t>
  </si>
  <si>
    <t>Melting_Curves/meltCurve_Q9H4P4_2_RNF41.pdf</t>
  </si>
  <si>
    <t>Melting_Curves/meltCurve_Q9H4Z3_PCIF1.pdf</t>
  </si>
  <si>
    <t>Melting_Curves/meltCurve_Q9H501_ESF1.pdf</t>
  </si>
  <si>
    <t>Melting_Curves/meltCurve_Q9H553_ALG2.pdf</t>
  </si>
  <si>
    <t>Melting_Curves/meltCurve_Q9H583_HEATR1.pdf</t>
  </si>
  <si>
    <t>Melting_Curves/meltCurve_Q9H5K3_SGK196.pdf</t>
  </si>
  <si>
    <t>Melting_Curves/meltCurve_Q9H5N1_RABEP2.pdf</t>
  </si>
  <si>
    <t>Melting_Curves/meltCurve_Q9H5Q4_TFB2M.pdf</t>
  </si>
  <si>
    <t>Melting_Curves/meltCurve_Q9H5V8_CDCP1.pdf</t>
  </si>
  <si>
    <t>Melting_Curves/meltCurve_Q9H5V9_CXorf56.pdf</t>
  </si>
  <si>
    <t>Melting_Curves/meltCurve_Q9H5X1_FAM96A.pdf</t>
  </si>
  <si>
    <t>Melting_Curves/meltCurve_Q9H5Y7_SLITRK6.pdf</t>
  </si>
  <si>
    <t>Melting_Curves/meltCurve_Q9H649_NSUN3.pdf</t>
  </si>
  <si>
    <t>Melting_Curves/meltCurve_Q9H6A9_2_PCNXL3.pdf</t>
  </si>
  <si>
    <t>Melting_Curves/meltCurve_Q9H6E4_CCDC134.pdf</t>
  </si>
  <si>
    <t>Melting_Curves/meltCurve_Q9H6F5_CCDC86.pdf</t>
  </si>
  <si>
    <t>Melting_Curves/meltCurve_Q9H6H4_REEP4.pdf</t>
  </si>
  <si>
    <t>Melting_Curves/meltCurve_Q9H6K4_OPA3.pdf</t>
  </si>
  <si>
    <t>Melting_Curves/meltCurve_Q9H6L4_ARMC7.pdf</t>
  </si>
  <si>
    <t>Melting_Curves/meltCurve_Q9H6L5_FAM134B.pdf</t>
  </si>
  <si>
    <t>Melting_Curves/meltCurve_Q9H6P5_TASP1.pdf</t>
  </si>
  <si>
    <t>Melting_Curves/meltCurve_Q9H6Q4_NARFL.pdf</t>
  </si>
  <si>
    <t>Melting_Curves/meltCurve_Q9H6R0_DHX33.pdf</t>
  </si>
  <si>
    <t>Melting_Curves/meltCurve_Q9H6R4_4_NOL6.pdf</t>
  </si>
  <si>
    <t>Melting_Curves/meltCurve_Q9H6R7_2_C2orf44.pdf</t>
  </si>
  <si>
    <t>Melting_Curves/meltCurve_Q9H6S3_EPS8L2.pdf</t>
  </si>
  <si>
    <t>Melting_Curves/meltCurve_Q9H6T0_2_ESRP2.pdf</t>
  </si>
  <si>
    <t>Melting_Curves/meltCurve_Q9H6T3_RPAP3.pdf</t>
  </si>
  <si>
    <t>Melting_Curves/meltCurve_Q9H6U6_2_BCAS3.pdf</t>
  </si>
  <si>
    <t>Melting_Curves/meltCurve_Q9H6U8_ALG9.pdf</t>
  </si>
  <si>
    <t>Melting_Curves/meltCurve_Q9H6Y2_WDR55.pdf</t>
  </si>
  <si>
    <t>Melting_Curves/meltCurve_Q9H773_DCTPP1.pdf</t>
  </si>
  <si>
    <t>Melting_Curves/meltCurve_Q9H788_2_SH2D4A.pdf</t>
  </si>
  <si>
    <t>Melting_Curves/meltCurve_Q9H7B4_SMYD3.pdf</t>
  </si>
  <si>
    <t>Melting_Curves/meltCurve_Q9H7C9_AAMDC.pdf</t>
  </si>
  <si>
    <t>Melting_Curves/meltCurve_Q9H7D7_2_WDR26.pdf</t>
  </si>
  <si>
    <t>Melting_Curves/meltCurve_Q9H7E2_3_TDRD3.pdf</t>
  </si>
  <si>
    <t>Melting_Curves/meltCurve_Q9H7F0_ATP13A3.pdf</t>
  </si>
  <si>
    <t>Melting_Curves/meltCurve_Q9H7J1_PPP1R3E.pdf</t>
  </si>
  <si>
    <t>Melting_Curves/meltCurve_Q9H7L9_SUDS3.pdf</t>
  </si>
  <si>
    <t>Melting_Curves/meltCurve_Q9H7N4_SCAF1.pdf</t>
  </si>
  <si>
    <t>Melting_Curves/meltCurve_Q9H7S9_ZNF703.pdf</t>
  </si>
  <si>
    <t>Melting_Curves/meltCurve_Q9H7Z6_KAT8.pdf</t>
  </si>
  <si>
    <t>Melting_Curves/meltCurve_Q9H7Z7_PTGES2.pdf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</si>
  <si>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</si>
  <si>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</si>
  <si>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</si>
  <si>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</si>
  <si>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Melting_Curves/meltCurve_Q9H875_PRKRIP1.pdf</t>
  </si>
  <si>
    <t>Melting_Curves/meltCurve_Q9H8G2_CAAP1.pdf</t>
  </si>
  <si>
    <t>Melting_Curves/meltCurve_Q9H8H0_NOL11.pdf</t>
  </si>
  <si>
    <t>Melting_Curves/meltCurve_Q9H8J5_MANSC1.pdf</t>
  </si>
  <si>
    <t>Melting_Curves/meltCurve_Q9H8M7_FAM188A.pdf</t>
  </si>
  <si>
    <t>Melting_Curves/meltCurve_Q9H8S9_MOB1A.pdf</t>
  </si>
  <si>
    <t>Melting_Curves/meltCurve_Q9H8U3_ZFAND3.pdf</t>
  </si>
  <si>
    <t>Melting_Curves/meltCurve_Q9H8V3_ECT2.pdf</t>
  </si>
  <si>
    <t>Melting_Curves/meltCurve_Q9H8Y5_ANKZF1.pdf</t>
  </si>
  <si>
    <t>Melting_Curves/meltCurve_Q9H8Y8_GORASP2.pdf</t>
  </si>
  <si>
    <t>Melting_Curves/meltCurve_Q9H900_ZWILCH.pdf</t>
  </si>
  <si>
    <t>Melting_Curves/meltCurve_Q9H903_1_MTHFD2L.pdf</t>
  </si>
  <si>
    <t>Melting_Curves/meltCurve_Q9H910_HN1L.pdf</t>
  </si>
  <si>
    <t>Melting_Curves/meltCurve_Q9H910_2_HN1L.pdf</t>
  </si>
  <si>
    <t>Melting_Curves/meltCurve_Q9H936_SLC25A22.pdf</t>
  </si>
  <si>
    <t>Melting_Curves/meltCurve_Q9H939_PSTPIP2.pdf</t>
  </si>
  <si>
    <t>Melting_Curves/meltCurve_Q9H944_MED20.pdf</t>
  </si>
  <si>
    <t>Melting_Curves/meltCurve_Q9H974_QTRTD1.pdf</t>
  </si>
  <si>
    <t>Melting_Curves/meltCurve_Q9H977_WDR54.pdf</t>
  </si>
  <si>
    <t>Melting_Curves/meltCurve_Q9H993_C6orf211.pdf</t>
  </si>
  <si>
    <t>Melting_Curves/meltCurve_Q9H9A5_2_CNOT10.pdf</t>
  </si>
  <si>
    <t>Melting_Curves/meltCurve_Q9H9A6_LRRC40.pdf</t>
  </si>
  <si>
    <t>Melting_Curves/meltCurve_Q9H9A7_RMI1.pdf</t>
  </si>
  <si>
    <t>Melting_Curves/meltCurve_Q9H9B1_EHMT1.pdf</t>
  </si>
  <si>
    <t>Melting_Curves/meltCurve_Q9H9B4_SFXN1.pdf</t>
  </si>
  <si>
    <t>Melting_Curves/meltCurve_Q9H9F9_ACTR5.pdf</t>
  </si>
  <si>
    <t>Melting_Curves/meltCurve_Q9H9G7_AGO3.pdf</t>
  </si>
  <si>
    <t>Melting_Curves/meltCurve_Q9H9H4_VPS37B.pdf</t>
  </si>
  <si>
    <t>Melting_Curves/meltCurve_Q9H9J2_MRPL44.pdf</t>
  </si>
  <si>
    <t>Melting_Curves/meltCurve_Q9H9P8_L2HGDH.pdf</t>
  </si>
  <si>
    <t>Melting_Curves/meltCurve_Q9H9S4_CAB39L.pdf</t>
  </si>
  <si>
    <t>Melting_Curves/meltCurve_Q9H9T3_2_ELP3.pdf</t>
  </si>
  <si>
    <t>Melting_Curves/meltCurve_Q9H9V9_2_JMJD4.pdf</t>
  </si>
  <si>
    <t>Melting_Curves/meltCurve_Q9HA38_2_ZMAT3.pdf</t>
  </si>
  <si>
    <t>Melting_Curves/meltCurve_Q9HA47_3_UCK1.pdf</t>
  </si>
  <si>
    <t>Melting_Curves/meltCurve_Q9HA64_FN3KRP.pdf</t>
  </si>
  <si>
    <t>Melting_Curves/meltCurve_Q9HA65_TBC1D17.pdf</t>
  </si>
  <si>
    <t>Melting_Curves/meltCurve_Q9HA77_CARS2.pdf</t>
  </si>
  <si>
    <t>Melting_Curves/meltCurve_Q9HA90_EFCC1.pdf</t>
  </si>
  <si>
    <t>Melting_Curves/meltCurve_Q9HA92_RSAD1.pdf</t>
  </si>
  <si>
    <t>Melting_Curves/meltCurve_Q9HAB8_PPCS.pdf</t>
  </si>
  <si>
    <t>Melting_Curves/meltCurve_Q9HAF1_2_MEAF6.pdf</t>
  </si>
  <si>
    <t>Melting_Curves/meltCurve_Q9HAN9_NMNAT1.pdf</t>
  </si>
  <si>
    <t>Melting_Curves/meltCurve_Q9HAU0_PLEKHA5.pdf</t>
  </si>
  <si>
    <t>Melting_Curves/meltCurve_Q9HAU5_UPF2.pdf</t>
  </si>
  <si>
    <t>Melting_Curves/meltCurve_Q9HAV4_XPO5.pdf</t>
  </si>
  <si>
    <t>Melting_Curves/meltCurve_Q9HAV7_GRPEL1.pdf</t>
  </si>
  <si>
    <t>Melting_Curves/meltCurve_Q9HAW4_3_CLSPN.pdf</t>
  </si>
  <si>
    <t>Melting_Curves/meltCurve_Q9HB07_C12orf10.pdf</t>
  </si>
  <si>
    <t>Melting_Curves/meltCurve_Q9HB21_PLEKHA1.pdf</t>
  </si>
  <si>
    <t>Melting_Curves/meltCurve_Q9HB40_SCPEP1.pdf</t>
  </si>
  <si>
    <t>Melting_Curves/meltCurve_Q9HB71_CACYBP.pdf</t>
  </si>
  <si>
    <t>Melting_Curves/meltCurve_Q9HB90_RRAGC.pdf</t>
  </si>
  <si>
    <t>Melting_Curves/meltCurve_Q9HBD4_SMARCA4.pdf</t>
  </si>
  <si>
    <t>Melting_Curves/meltCurve_Q9HBH1_PDF.pdf</t>
  </si>
  <si>
    <t>Melting_Curves/meltCurve_Q9HBH5_RDH14.pdf</t>
  </si>
  <si>
    <t>Melting_Curves/meltCurve_Q9HBI0_3_PARVG.pdf</t>
  </si>
  <si>
    <t>Melting_Curves/meltCurve_Q9HBI1_PARVB.pdf</t>
  </si>
  <si>
    <t>Melting_Curves/meltCurve_Q9HBL7_PLGRKT.pdf</t>
  </si>
  <si>
    <t>Melting_Curves/meltCurve_Q9HBL8_NMRAL1.pdf</t>
  </si>
  <si>
    <t>Melting_Curves/meltCurve_Q9HBM1_SPC25.pdf</t>
  </si>
  <si>
    <t>Melting_Curves/meltCurve_Q9HBM6_TAF9B.pdf</t>
  </si>
  <si>
    <t>Melting_Curves/meltCurve_Q9HBM8_AGPAT1.pdf</t>
  </si>
  <si>
    <t>Melting_Curves/meltCurve_Q9HBU6_ETNK1.pdf</t>
  </si>
  <si>
    <t>Melting_Curves/meltCurve_Q9HC35_EML4.pdf</t>
  </si>
  <si>
    <t>Melting_Curves/meltCurve_Q9HC36_RNMTL1.pdf</t>
  </si>
  <si>
    <t>Melting_Curves/meltCurve_Q9HC38_2_GLOD4.pdf</t>
  </si>
  <si>
    <t>Melting_Curves/meltCurve_Q9HC52_CBX8.pdf</t>
  </si>
  <si>
    <t>Melting_Curves/meltCurve_Q9HCC0_MCCC2.pdf</t>
  </si>
  <si>
    <t>Melting_Curves/meltCurve_Q9HCD5_NCOA5.pdf</t>
  </si>
  <si>
    <t>Melting_Curves/meltCurve_Q9HCE1_MOV10.pdf</t>
  </si>
  <si>
    <t>Melting_Curves/meltCurve_Q9HCE5_METTL14.pdf</t>
  </si>
  <si>
    <t>Melting_Curves/meltCurve_Q9HCG7_GBA2.pdf</t>
  </si>
  <si>
    <t>Melting_Curves/meltCurve_Q9HCJ3_2_RAVER2.pdf</t>
  </si>
  <si>
    <t>Melting_Curves/meltCurve_Q9HCK8_2_CHD8.pdf</t>
  </si>
  <si>
    <t>Melting_Curves/meltCurve_Q9HCM4_2_EPB41L5.pdf</t>
  </si>
  <si>
    <t>Melting_Curves/meltCurve_Q9HCN3_TMEM8A.pdf</t>
  </si>
  <si>
    <t>Melting_Curves/meltCurve_Q9HCN4_GPN1.pdf</t>
  </si>
  <si>
    <t>Melting_Curves/meltCurve_Q9HCN8_SDF2L1.pdf</t>
  </si>
  <si>
    <t>Melting_Curves/meltCurve_Q9HCR9_PDE11A.pdf</t>
  </si>
  <si>
    <t>Melting_Curves/meltCurve_Q9HCU5_PREB.pdf</t>
  </si>
  <si>
    <t>Melting_Curves/meltCurve_Q9HCU8_POLD4.pdf</t>
  </si>
  <si>
    <t>Melting_Curves/meltCurve_Q9HCY8_S100A14.pdf</t>
  </si>
  <si>
    <t>Melting_Curves/meltCurve_Q9HD15_SRA1.pdf</t>
  </si>
  <si>
    <t>Melting_Curves/meltCurve_Q9HD20_2_ATP13A1.pdf</t>
  </si>
  <si>
    <t>Melting_Curves/meltCurve_Q9HD23_2_MRS2.pdf</t>
  </si>
  <si>
    <t>Melting_Curves/meltCurve_Q9HD33_2_MRPL47.pdf</t>
  </si>
  <si>
    <t>Melting_Curves/meltCurve_Q9HD34_LYRM4.pdf</t>
  </si>
  <si>
    <t>Melting_Curves/meltCurve_Q9HD40_3_SEPSECS.pdf</t>
  </si>
  <si>
    <t>Melting_Curves/meltCurve_Q9HD42_CHMP1A.pdf</t>
  </si>
  <si>
    <t>Melting_Curves/meltCurve_Q9HD45_TM9SF3.pdf</t>
  </si>
  <si>
    <t>Melting_Curves/meltCurve_Q9HD47_2_RANGRF.pdf</t>
  </si>
  <si>
    <t>Melting_Curves/meltCurve_Q9HD67_MYO10.pdf</t>
  </si>
  <si>
    <t>Melting_Curves/meltCurve_Q9HDC5_JPH1.pdf</t>
  </si>
  <si>
    <t>Melting_Curves/meltCurve_Q9HDC9_APMAP.pdf</t>
  </si>
  <si>
    <t>Melting_Curves/meltCurve_Q9NNW5_WDR6.pdf</t>
  </si>
  <si>
    <t>Melting_Curves/meltCurve_Q9NP58_4_ABCB6.pdf</t>
  </si>
  <si>
    <t>Melting_Curves/meltCurve_Q9NP66_HMG20A.pdf</t>
  </si>
  <si>
    <t>Melting_Curves/meltCurve_Q9NP72_RAB18.pdf</t>
  </si>
  <si>
    <t>Melting_Curves/meltCurve_Q9NP73_2_ALG13.pdf</t>
  </si>
  <si>
    <t>Melting_Curves/meltCurve_Q9NP77_SSU72.pdf</t>
  </si>
  <si>
    <t>Melting_Curves/meltCurve_Q9NP79_VTA1.pdf</t>
  </si>
  <si>
    <t>Melting_Curves/meltCurve_Q9NP80_3_PNPLA8.pdf</t>
  </si>
  <si>
    <t>Melting_Curves/meltCurve_Q9NP84_TNFRSF12A.pdf</t>
  </si>
  <si>
    <t>Melting_Curves/meltCurve_Q9NP92_MRPS30.pdf</t>
  </si>
  <si>
    <t>Melting_Curves/meltCurve_Q9NPA0_EMC7.pdf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</si>
  <si>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</si>
  <si>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</si>
  <si>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</si>
  <si>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</si>
  <si>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Melting_Curves/meltCurve_Q9NPD8_UBE2T.pdf</t>
  </si>
  <si>
    <t>Melting_Curves/meltCurve_Q9NPE2_NGRN.pdf</t>
  </si>
  <si>
    <t>Melting_Curves/meltCurve_Q9NPE3_NOP10.pdf</t>
  </si>
  <si>
    <t>Melting_Curves/meltCurve_Q9NPF0_CD320.pdf</t>
  </si>
  <si>
    <t>Melting_Curves/meltCurve_Q9NPF4_OSGEP.pdf</t>
  </si>
  <si>
    <t>Melting_Curves/meltCurve_Q9NPH0_ACP6.pdf</t>
  </si>
  <si>
    <t>Melting_Curves/meltCurve_Q9NPI1_BRD7.pdf</t>
  </si>
  <si>
    <t>Melting_Curves/meltCurve_Q9NPI6_DCP1A.pdf</t>
  </si>
  <si>
    <t>Melting_Curves/meltCurve_Q9NPJ3_ACOT13.pdf</t>
  </si>
  <si>
    <t>Melting_Curves/meltCurve_Q9NPJ6_MED4.pdf</t>
  </si>
  <si>
    <t>Melting_Curves/meltCurve_Q9NPL8_TIMMDC1.pdf</t>
  </si>
  <si>
    <t>Melting_Curves/meltCurve_Q9NPQ8_4_RIC8A.pdf</t>
  </si>
  <si>
    <t>Melting_Curves/meltCurve_Q9NPR9_GPR108.pdf</t>
  </si>
  <si>
    <t>Melting_Curves/meltCurve_Q9NQ29_LUC7L.pdf</t>
  </si>
  <si>
    <t>Melting_Curves/meltCurve_Q9NQ88_TIGAR.pdf</t>
  </si>
  <si>
    <t>Melting_Curves/meltCurve_Q9NQC3_RTN4.pdf</t>
  </si>
  <si>
    <t>Melting_Curves/meltCurve_Q9NQC3_2_RTN4.pdf</t>
  </si>
  <si>
    <t>Melting_Curves/meltCurve_Q9NQE9_HINT3.pdf</t>
  </si>
  <si>
    <t>Melting_Curves/meltCurve_Q9NQG1_MANBAL.pdf</t>
  </si>
  <si>
    <t>Melting_Curves/meltCurve_Q9NQG5_RPRD1B.pdf</t>
  </si>
  <si>
    <t>Melting_Curves/meltCurve_Q9NQG7_3_HPS4.pdf</t>
  </si>
  <si>
    <t>Melting_Curves/meltCurve_Q9NQH7_2_XPNPEP3.pdf</t>
  </si>
  <si>
    <t>Melting_Curves/meltCurve_Q9NQR4_NIT2.pdf</t>
  </si>
  <si>
    <t>Melting_Curves/meltCurve_Q9NQS1_AVEN.pdf</t>
  </si>
  <si>
    <t>Melting_Curves/meltCurve_Q9NQT4_EXOSC5.pdf</t>
  </si>
  <si>
    <t>Melting_Curves/meltCurve_Q9NQT5_EXOSC3.pdf</t>
  </si>
  <si>
    <t>Melting_Curves/meltCurve_Q9NQT8_KIF13B.pdf</t>
  </si>
  <si>
    <t>Melting_Curves/meltCurve_Q9NQW6_2_ANLN.pdf</t>
  </si>
  <si>
    <t>Melting_Curves/meltCurve_Q9NQW7_XPNPEP1.pdf</t>
  </si>
  <si>
    <t>Melting_Curves/meltCurve_Q9NQW7_3_XPNPEP1.pdf</t>
  </si>
  <si>
    <t>Melting_Curves/meltCurve_Q9NQY0_BIN3.pdf</t>
  </si>
  <si>
    <t>Melting_Curves/meltCurve_Q9NQZ2_UTP3.pdf</t>
  </si>
  <si>
    <t>Melting_Curves/meltCurve_Q9NQZ5_STARD7.pdf</t>
  </si>
  <si>
    <t>Melting_Curves/meltCurve_Q9NQZ6_3_ZC4H2.pdf</t>
  </si>
  <si>
    <t>Melting_Curves/meltCurve_Q9NR09_BIRC6.pdf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</si>
  <si>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</si>
  <si>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</si>
  <si>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</si>
  <si>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</si>
  <si>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</si>
  <si>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</si>
  <si>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</si>
  <si>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Melting_Curves/meltCurve_Q9NR48_2_ASH1L.pdf</t>
  </si>
  <si>
    <t>Melting_Curves/meltCurve_Q9NR50_EIF2B3.pdf</t>
  </si>
  <si>
    <t>Melting_Curves/meltCurve_Q9NRD5_PICK1.pdf</t>
  </si>
  <si>
    <t>Melting_Curves/meltCurve_Q9NRF8_CTPS2.pdf</t>
  </si>
  <si>
    <t>Melting_Curves/meltCurve_Q9NRF9_POLE3.pdf</t>
  </si>
  <si>
    <t>Melting_Curves/meltCurve_Q9NRG0_CHRAC1.pdf</t>
  </si>
  <si>
    <t>Melting_Curves/meltCurve_Q9NRG1_PRTFDC1.pdf</t>
  </si>
  <si>
    <t>Melting_Curves/meltCurve_Q9NRG4_SMYD2.pdf</t>
  </si>
  <si>
    <t>Melting_Curves/meltCurve_Q9NRG7_2_SDR39U1.pdf</t>
  </si>
  <si>
    <t>Melting_Curves/meltCurve_Q9NRG9_AAAS.pdf</t>
  </si>
  <si>
    <t>Melting_Curves/meltCurve_Q9NRH1_YAE1D1.pdf</t>
  </si>
  <si>
    <t>Melting_Curves/meltCurve_Q9NRK6_ABCB10.pdf</t>
  </si>
  <si>
    <t>Melting_Curves/meltCurve_Q9NRL2_2_BAZ1A.pdf</t>
  </si>
  <si>
    <t>Melting_Curves/meltCurve_Q9NRL3_STRN4.pdf</t>
  </si>
  <si>
    <t>Melting_Curves/meltCurve_Q9NRM6_IL17RB.pdf</t>
  </si>
  <si>
    <t>Melting_Curves/meltCurve_Q9NRN7_AASDHPPT.pdf</t>
  </si>
  <si>
    <t>Melting_Curves/meltCurve_Q9NRN9_METTL5.pdf</t>
  </si>
  <si>
    <t>Melting_Curves/meltCurve_Q9NRP0_OSTC.pdf</t>
  </si>
  <si>
    <t>Melting_Curves/meltCurve_Q9NRP2_CMC2.pdf</t>
  </si>
  <si>
    <t>Melting_Curves/meltCurve_Q9NRP4_ACN9.pdf</t>
  </si>
  <si>
    <t>Melting_Curves/meltCurve_Q9NRR5_UBQLN4.pdf</t>
  </si>
  <si>
    <t>Melting_Curves/meltCurve_Q9NRR8_CDC42SE1.pdf</t>
  </si>
  <si>
    <t>Melting_Curves/meltCurve_Q9NRV9_HEBP1.pdf</t>
  </si>
  <si>
    <t>Melting_Curves/meltCurve_Q9NRW1_RAB6B.pdf</t>
  </si>
  <si>
    <t>Melting_Curves/meltCurve_Q9NRW4_DUSP22.pdf</t>
  </si>
  <si>
    <t>Melting_Curves/meltCurve_Q9NRW7_VPS45.pdf</t>
  </si>
  <si>
    <t>Melting_Curves/meltCurve_Q9NRX1_PNO1.pdf</t>
  </si>
  <si>
    <t>Melting_Curves/meltCurve_Q9NRX3_NDUFA4L2.pdf</t>
  </si>
  <si>
    <t>Melting_Curves/meltCurve_Q9NRX4_PHPT1.pdf</t>
  </si>
  <si>
    <t>Melting_Curves/meltCurve_Q9NRY2_INIP.pdf</t>
  </si>
  <si>
    <t>Melting_Curves/meltCurve_Q9NRY4_ARHGAP35.pdf</t>
  </si>
  <si>
    <t>Melting_Curves/meltCurve_Q9NRY5_FAM114A2.pdf</t>
  </si>
  <si>
    <t>Melting_Curves/meltCurve_Q9NRZ5_AGPAT4.pdf</t>
  </si>
  <si>
    <t>Melting_Curves/meltCurve_Q9NRZ7_2_AGPAT3.pdf</t>
  </si>
  <si>
    <t>Melting_Curves/meltCurve_Q9NRZ9_2_HELLS.pdf</t>
  </si>
  <si>
    <t>Melting_Curves/meltCurve_Q9NS18_GLRX2.pdf</t>
  </si>
  <si>
    <t>Melting_Curves/meltCurve_Q9NS69_TOMM22.pdf</t>
  </si>
  <si>
    <t>Melting_Curves/meltCurve_Q9NS73_5_MBIP.pdf</t>
  </si>
  <si>
    <t>Melting_Curves/meltCurve_Q9NS86_LANCL2.pdf</t>
  </si>
  <si>
    <t>Melting_Curves/meltCurve_Q9NS87_2_KIF15.pdf</t>
  </si>
  <si>
    <t>Melting_Curves/meltCurve_Q9NS91_RAD18.pdf</t>
  </si>
  <si>
    <t>Melting_Curves/meltCurve_Q9NS93_TM7SF3.pdf</t>
  </si>
  <si>
    <t>Melting_Curves/meltCurve_Q9NSA3_CTNNBIP1.pdf</t>
  </si>
  <si>
    <t>Melting_Curves/meltCurve_Q9NSD9_FARSB.pdf</t>
  </si>
  <si>
    <t>Melting_Curves/meltCurve_Q9NSE4_IARS2.pdf</t>
  </si>
  <si>
    <t>Melting_Curves/meltCurve_Q9NSI2_2_FAM207A.pdf</t>
  </si>
  <si>
    <t>Melting_Curves/meltCurve_Q9NSI8_2_SAMSN1.pdf</t>
  </si>
  <si>
    <t>Melting_Curves/meltCurve_Q9NSK0_KLC4.pdf</t>
  </si>
  <si>
    <t>Melting_Curves/meltCurve_Q9NT62_ATG3.pdf</t>
  </si>
  <si>
    <t>Melting_Curves/meltCurve_Q9NTG7_SIRT3.pdf</t>
  </si>
  <si>
    <t>Melting_Curves/meltCurve_Q9NTI5_2_PDS5B.pdf</t>
  </si>
  <si>
    <t>Melting_Curves/meltCurve_Q9NTJ3_SMC4.pdf</t>
  </si>
  <si>
    <t>Melting_Curves/meltCurve_Q9NTJ4_3_MAN2C1.pdf</t>
  </si>
  <si>
    <t>Melting_Curves/meltCurve_Q9NTJ5_SACM1L.pdf</t>
  </si>
  <si>
    <t>Melting_Curves/meltCurve_Q9NTK5_2_OLA1.pdf</t>
  </si>
  <si>
    <t>Melting_Curves/meltCurve_Q9NTM9_CUTC.pdf</t>
  </si>
  <si>
    <t>Melting_Curves/meltCurve_Q9NTX5_2_ECHDC1.pdf</t>
  </si>
  <si>
    <t>Melting_Curves/meltCurve_Q9NTX7_2_RNF146.pdf</t>
  </si>
  <si>
    <t>Melting_Curves/meltCurve_Q9NTZ6_RBM12.pdf</t>
  </si>
  <si>
    <t>Melting_Curves/meltCurve_Q9NU19_TBC1D22B.pdf</t>
  </si>
  <si>
    <t>Melting_Curves/meltCurve_Q9NU22_MDN1.pdf</t>
  </si>
  <si>
    <t>Melting_Curves/meltCurve_Q9NU23_LYRM2.pdf</t>
  </si>
  <si>
    <t>Melting_Curves/meltCurve_Q9NUB1_2_ACSS1.pdf</t>
  </si>
  <si>
    <t>Melting_Curves/meltCurve_Q9NUD5_ZCCHC3.pdf</t>
  </si>
  <si>
    <t>Melting_Curves/meltCurve_Q9NUG6_PDRG1.pdf</t>
  </si>
  <si>
    <t>Melting_Curves/meltCurve_Q9NUJ1_ABHD10.pdf</t>
  </si>
  <si>
    <t>Melting_Curves/meltCurve_Q9NUL5_3_C19orf66.pdf</t>
  </si>
  <si>
    <t>Melting_Curves/meltCurve_Q9NUL7_DDX28.pdf</t>
  </si>
  <si>
    <t>Melting_Curves/meltCurve_Q9NUM4_TMEM106B.pdf</t>
  </si>
  <si>
    <t>Melting_Curves/meltCurve_Q9NUN5_3_LMBRD1.pdf</t>
  </si>
  <si>
    <t>Melting_Curves/meltCurve_Q9NUP1_BLOC1S4.pdf</t>
  </si>
  <si>
    <t>Melting_Curves/meltCurve_Q9NUP7_TRMT13.pdf</t>
  </si>
  <si>
    <t>Melting_Curves/meltCurve_Q9NUP9_LIN7C.pdf</t>
  </si>
  <si>
    <t>Melting_Curves/meltCurve_Q9NUQ2_AGPAT5.pdf</t>
  </si>
  <si>
    <t>Melting_Curves/meltCurve_Q9NUQ3_TXLNG.pdf</t>
  </si>
  <si>
    <t>Melting_Curves/meltCurve_Q9NUQ7_UFSP2.pdf</t>
  </si>
  <si>
    <t>Melting_Curves/meltCurve_Q9NUQ8_2_ABCF3.pdf</t>
  </si>
  <si>
    <t>Melting_Curves/meltCurve_Q9NUQ9_FAM49B.pdf</t>
  </si>
  <si>
    <t>Melting_Curves/meltCurve_Q9NUU7_DDX19A.pdf</t>
  </si>
  <si>
    <t>Melting_Curves/meltCurve_Q9NUW8_TDP1.pdf</t>
  </si>
  <si>
    <t>Melting_Curves/meltCurve_Q9NUY8_TBC1D23.pdf</t>
  </si>
  <si>
    <t>Melting_Curves/meltCurve_Q9NV06_DCAF13.pdf</t>
  </si>
  <si>
    <t>Melting_Curves/meltCurve_Q9NV35_NUDT15.pdf</t>
  </si>
  <si>
    <t>Melting_Curves/meltCurve_Q9NV56_MRGBP.pdf</t>
  </si>
  <si>
    <t>Melting_Curves/meltCurve_Q9NV70_EXOC1.pdf</t>
  </si>
  <si>
    <t>Melting_Curves/meltCurve_Q9NV96_2_TMEM30A.pdf</t>
  </si>
  <si>
    <t>Melting_Curves/meltCurve_Q9NVA1_UQCC.pdf</t>
  </si>
  <si>
    <t>Melting_Curves/meltCurve_Q9NVA4_TMEM184C.pdf</t>
  </si>
  <si>
    <t>Melting_Curves/meltCurve_Q9NVC6_MED17.pdf</t>
  </si>
  <si>
    <t>Melting_Curves/meltCurve_Q9NVE7_PANK4.pdf</t>
  </si>
  <si>
    <t>Melting_Curves/meltCurve_Q9NVG8_TBC1D13.pdf</t>
  </si>
  <si>
    <t>Melting_Curves/meltCurve_Q9NVH0_EXD2.pdf</t>
  </si>
  <si>
    <t>Melting_Curves/meltCurve_Q9NVH1_3_DNAJC11.pdf</t>
  </si>
  <si>
    <t>Melting_Curves/meltCurve_Q9NVH2_3_INTS7.pdf</t>
  </si>
  <si>
    <t>Melting_Curves/meltCurve_Q9NVH6_TMLHE.pdf</t>
  </si>
  <si>
    <t>Melting_Curves/meltCurve_Q9NVI1_FANCI.pdf</t>
  </si>
  <si>
    <t>Melting_Curves/meltCurve_Q9NVI7_2_ATAD3A.pdf</t>
  </si>
  <si>
    <t>Melting_Curves/meltCurve_Q9NVJ2_ARL8B.pdf</t>
  </si>
  <si>
    <t>Melting_Curves/meltCurve_Q9NVK5_2_FGFR1OP2.pdf</t>
  </si>
  <si>
    <t>Melting_Curves/meltCurve_Q9NVM4_3_PRMT7.pdf</t>
  </si>
  <si>
    <t>Melting_Curves/meltCurve_Q9NVM6_DNAJC17.pdf</t>
  </si>
  <si>
    <t>Melting_Curves/meltCurve_Q9NVM9_ASUN.pdf</t>
  </si>
  <si>
    <t>Melting_Curves/meltCurve_Q9NVN8_GNL3L.pdf</t>
  </si>
  <si>
    <t>Melting_Curves/meltCurve_Q9NVP1_DDX18.pdf</t>
  </si>
  <si>
    <t>Melting_Curves/meltCurve_Q9NVP2_ASF1B.pdf</t>
  </si>
  <si>
    <t>Melting_Curves/meltCurve_Q9NVQ4_FAIM.pdf</t>
  </si>
  <si>
    <t>Melting_Curves/meltCurve_Q9NVR0_KLHL11.pdf</t>
  </si>
  <si>
    <t>Melting_Curves/meltCurve_Q9NVR2_INTS10.pdf</t>
  </si>
  <si>
    <t>Melting_Curves/meltCurve_Q9NVR5_DNAAF2.pdf</t>
  </si>
  <si>
    <t>Melting_Curves/meltCurve_Q9NVS9_PNPO.pdf</t>
  </si>
  <si>
    <t>Melting_Curves/meltCurve_Q9NVT9_ARMC1.pdf</t>
  </si>
  <si>
    <t>Melting_Curves/meltCurve_Q9NVU0_3_POLR3E.pdf</t>
  </si>
  <si>
    <t>Melting_Curves/meltCurve_Q9NVV4_MTPAP.pdf</t>
  </si>
  <si>
    <t>Melting_Curves/meltCurve_Q9NVX2_NLE1.pdf</t>
  </si>
  <si>
    <t>Melting_Curves/meltCurve_Q9NVX7_KBTBD4.pdf</t>
  </si>
  <si>
    <t>Melting_Curves/meltCurve_Q9NVZ3_NECAP2.pdf</t>
  </si>
  <si>
    <t>Melting_Curves/meltCurve_Q9NW07_ZNF358.pdf</t>
  </si>
  <si>
    <t>Melting_Curves/meltCurve_Q9NW15_ANO10.pdf</t>
  </si>
  <si>
    <t>Melting_Curves/meltCurve_Q9NW64_RBM22.pdf</t>
  </si>
  <si>
    <t>Melting_Curves/meltCurve_Q9NW75_GPATCH2.pdf</t>
  </si>
  <si>
    <t>Melting_Curves/meltCurve_Q9NW82_WDR70.pdf</t>
  </si>
  <si>
    <t>Melting_Curves/meltCurve_Q9NWA0_MED9.pdf</t>
  </si>
  <si>
    <t>Melting_Curves/meltCurve_Q9NWB6_ARGLU1.pdf</t>
  </si>
  <si>
    <t>Melting_Curves/meltCurve_Q9NWH2_TMEM242.pdf</t>
  </si>
  <si>
    <t>Melting_Curves/meltCurve_Q9NWH9_SLTM.pdf</t>
  </si>
  <si>
    <t>Melting_Curves/meltCurve_Q9NWM3_CUEDC1.pdf</t>
  </si>
  <si>
    <t>Melting_Curves/meltCurve_Q9NWM8_FKBP14.pdf</t>
  </si>
  <si>
    <t>Melting_Curves/meltCurve_Q9NWQ9_C14orf119.pdf</t>
  </si>
  <si>
    <t>Melting_Curves/meltCurve_Q9NWS0_PIH1D1.pdf</t>
  </si>
  <si>
    <t>Melting_Curves/meltCurve_Q9NWS6_FAM118A.pdf</t>
  </si>
  <si>
    <t>Melting_Curves/meltCurve_Q9NWS8_RMND1.pdf</t>
  </si>
  <si>
    <t>Melting_Curves/meltCurve_Q9NWT6_HIF1AN.pdf</t>
  </si>
  <si>
    <t>Melting_Curves/meltCurve_Q9NWU1_OXSM.pdf</t>
  </si>
  <si>
    <t>Melting_Curves/meltCurve_Q9NWV4_C1orf123.pdf</t>
  </si>
  <si>
    <t>Melting_Curves/meltCurve_Q9NWX5_ASB6.pdf</t>
  </si>
  <si>
    <t>Melting_Curves/meltCurve_Q9NWX6_THG1L.pdf</t>
  </si>
  <si>
    <t>Melting_Curves/meltCurve_Q9NWY4_C4orf27.pdf</t>
  </si>
  <si>
    <t>Melting_Curves/meltCurve_Q9NWZ3_IRAK4.pdf</t>
  </si>
  <si>
    <t>Melting_Curves/meltCurve_Q9NWZ5_UCKL1.pdf</t>
  </si>
  <si>
    <t>Melting_Curves/meltCurve_Q9NX00_TMEM160.pdf</t>
  </si>
  <si>
    <t>Melting_Curves/meltCurve_Q9NX01_TXNL4B.pdf</t>
  </si>
  <si>
    <t>Melting_Curves/meltCurve_Q9NX07_TRNAU1AP.pdf</t>
  </si>
  <si>
    <t>Melting_Curves/meltCurve_Q9NX08_COMMD8.pdf</t>
  </si>
  <si>
    <t>Melting_Curves/meltCurve_Q9NX14_2_NDUFB11.pdf</t>
  </si>
  <si>
    <t>Melting_Curves/meltCurve_Q9NX24_NHP2.pdf</t>
  </si>
  <si>
    <t>Melting_Curves/meltCurve_Q9NX38_FAM206A.pdf</t>
  </si>
  <si>
    <t>Melting_Curves/meltCurve_Q9NX40_OCIAD1.pdf</t>
  </si>
  <si>
    <t>Melting_Curves/meltCurve_Q9NX46_ADPRHL2.pdf</t>
  </si>
  <si>
    <t>Melting_Curves/meltCurve_Q9NX47_MARCH5.pdf</t>
  </si>
  <si>
    <t>Melting_Curves/meltCurve_Q9NX55_HYPK.pdf</t>
  </si>
  <si>
    <t>Melting_Curves/meltCurve_Q9NX57_RAB20.pdf</t>
  </si>
  <si>
    <t>Melting_Curves/meltCurve_Q9NX58_LYAR.pdf</t>
  </si>
  <si>
    <t>Melting_Curves/meltCurve_Q9NX62_IMPAD1.pdf</t>
  </si>
  <si>
    <t>Melting_Curves/meltCurve_Q9NX70_MED29.pdf</t>
  </si>
  <si>
    <t>Melting_Curves/meltCurve_Q9NX74_DUS2L.pdf</t>
  </si>
  <si>
    <t>Melting_Curves/meltCurve_Q9NXA8_SIRT5.pdf</t>
  </si>
  <si>
    <t>Melting_Curves/meltCurve_Q9NXC5_MIOS.pdf</t>
  </si>
  <si>
    <t>Melting_Curves/meltCurve_Q9NXE8_CWC25.pdf</t>
  </si>
  <si>
    <t>Melting_Curves/meltCurve_Q9NXF1_2_TEX10.pdf</t>
  </si>
  <si>
    <t>Melting_Curves/meltCurve_Q9NXF7_DCAF16.pdf</t>
  </si>
  <si>
    <t>Melting_Curves/meltCurve_Q9NXF8_ZDHHC7.pdf</t>
  </si>
  <si>
    <t>Melting_Curves/meltCurve_Q9NXG6_P4HTM.pdf</t>
  </si>
  <si>
    <t>Melting_Curves/meltCurve_Q9NXH9_TRMT1.pdf</t>
  </si>
  <si>
    <t>Melting_Curves/meltCurve_Q9NXR1_2_NDE1.pdf</t>
  </si>
  <si>
    <t>Melting_Curves/meltCurve_Q9NXR5_ANKRD10.pdf</t>
  </si>
  <si>
    <t>Melting_Curves/meltCurve_Q9NXR7_BRE.pdf</t>
  </si>
  <si>
    <t>Melting_Curves/meltCurve_Q9NXS2_QPCTL.pdf</t>
  </si>
  <si>
    <t>Melting_Curves/meltCurve_Q9NXU5_ARL15.pdf</t>
  </si>
  <si>
    <t>Melting_Curves/meltCurve_Q9NXV2_KCTD5.pdf</t>
  </si>
  <si>
    <t>Melting_Curves/meltCurve_Q9NXV6_CDKN2AIP.pdf</t>
  </si>
  <si>
    <t>Melting_Curves/meltCurve_Q9NXW9_ALKBH4.pdf</t>
  </si>
  <si>
    <t>Melting_Curves/meltCurve_Q9NXX6_NSMCE4A.pdf</t>
  </si>
  <si>
    <t>Melting_Curves/meltCurve_Q9NY27_PPP4R2.pdf</t>
  </si>
  <si>
    <t>Melting_Curves/meltCurve_Q9NY61_AATF.pdf</t>
  </si>
  <si>
    <t>Melting_Curves/meltCurve_Q9NYB0_TERF2IP.pdf</t>
  </si>
  <si>
    <t>Melting_Curves/meltCurve_Q9NYF8_2_BCLAF1.pdf</t>
  </si>
  <si>
    <t>Melting_Curves/meltCurve_Q9NYG2_ZDHHC3.pdf</t>
  </si>
  <si>
    <t>Melting_Curves/meltCurve_Q9NYG5_ANAPC11.pdf</t>
  </si>
  <si>
    <t>Melting_Curves/meltCurve_Q9NYH9_UTP6.pdf</t>
  </si>
  <si>
    <t>Melting_Curves/meltCurve_Q9NYJ1_COA4.pdf</t>
  </si>
  <si>
    <t>Melting_Curves/meltCurve_Q9NYK5_MRPL39.pdf</t>
  </si>
  <si>
    <t>Melting_Curves/meltCurve_Q9NYK6_3_EURL.pdf</t>
  </si>
  <si>
    <t>Melting_Curves/meltCurve_Q9NYL2_2_MLTK.pdf</t>
  </si>
  <si>
    <t>Melting_Curves/meltCurve_Q9NYL9_TMOD3.pdf</t>
  </si>
  <si>
    <t>Melting_Curves/meltCurve_Q9NYM9_BET1L.pdf</t>
  </si>
  <si>
    <t>Melting_Curves/meltCurve_Q9NYP9_MIS18A.pdf</t>
  </si>
  <si>
    <t>Melting_Curves/meltCurve_Q9NYQ6_CELSR1.pdf</t>
  </si>
  <si>
    <t>Melting_Curves/meltCurve_Q9NYQ7_CELSR3.pdf</t>
  </si>
  <si>
    <t>Melting_Curves/meltCurve_Q9NYU2_2_UGGT1.pdf</t>
  </si>
  <si>
    <t>Melting_Curves/meltCurve_Q9NYV4_2_CDK12.pdf</t>
  </si>
  <si>
    <t>Melting_Curves/meltCurve_Q9NYY8_FASTKD2.pdf</t>
  </si>
  <si>
    <t>Melting_Curves/meltCurve_Q9NZ01_TECR.pdf</t>
  </si>
  <si>
    <t>Melting_Curves/meltCurve_Q9NZ08_ERAP1.pdf</t>
  </si>
  <si>
    <t>Melting_Curves/meltCurve_Q9NZ09_2_UBAP1.pdf</t>
  </si>
  <si>
    <t>Melting_Curves/meltCurve_Q9NZ32_ACTR10.pdf</t>
  </si>
  <si>
    <t>Melting_Curves/meltCurve_Q9NZ43_USE1.pdf</t>
  </si>
  <si>
    <t>Melting_Curves/meltCurve_Q9NZ45_CISD1.pdf</t>
  </si>
  <si>
    <t>Melting_Curves/meltCurve_Q9NZ53_PODXL2.pdf</t>
  </si>
  <si>
    <t>Melting_Curves/meltCurve_Q9NZ63_C9orf78.pdf</t>
  </si>
  <si>
    <t>Melting_Curves/meltCurve_Q9NZB2_4_FAM120A.pdf</t>
  </si>
  <si>
    <t>Melting_Curves/meltCurve_Q9NZC3_GDE1.pdf</t>
  </si>
  <si>
    <t>Melting_Curves/meltCurve_Q9NZC7_WWOX.pdf</t>
  </si>
  <si>
    <t>Melting_Curves/meltCurve_Q9NZD2_GLTP.pdf</t>
  </si>
  <si>
    <t>Melting_Curves/meltCurve_Q9NZD8_2_SPG21.pdf</t>
  </si>
  <si>
    <t>Melting_Curves/meltCurve_Q9NZI7_4_UBP1.pdf</t>
  </si>
  <si>
    <t>Melting_Curves/meltCurve_Q9NZI8_IGF2BP1.pdf</t>
  </si>
  <si>
    <t>Melting_Curves/meltCurve_Q9NZJ4_2_SACS.pdf</t>
  </si>
  <si>
    <t>Melting_Curves/meltCurve_Q9NZJ5_EIF2AK3.pdf</t>
  </si>
  <si>
    <t>Melting_Curves/meltCurve_Q9NZJ6_COQ3.pdf</t>
  </si>
  <si>
    <t>Melting_Curves/meltCurve_Q9NZJ9_2_NUDT4.pdf</t>
  </si>
  <si>
    <t>Melting_Curves/meltCurve_Q9NZL4_HSPBP1.pdf</t>
  </si>
  <si>
    <t>Melting_Curves/meltCurve_Q9NZL9_MAT2B.pdf</t>
  </si>
  <si>
    <t>Melting_Curves/meltCurve_Q9NZM3_2_ITSN2.pdf</t>
  </si>
  <si>
    <t>Melting_Curves/meltCurve_Q9NZM4_2_GLTSCR1.pdf</t>
  </si>
  <si>
    <t>Melting_Curves/meltCurve_Q9NZP8_C1RL.pdf</t>
  </si>
  <si>
    <t>Melting_Curves/meltCurve_Q9NZQ3_3_NCKIPSD.pdf</t>
  </si>
  <si>
    <t>Melting_Curves/meltCurve_Q9NZT2_2_OGFR.pdf</t>
  </si>
  <si>
    <t>Melting_Curves/meltCurve_Q9NZU5_LMCD1.pdf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</si>
  <si>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</si>
  <si>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</si>
  <si>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</si>
  <si>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</si>
  <si>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</si>
  <si>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Melting_Curves/meltCurve_Q9P021_CRIPT.pdf</t>
  </si>
  <si>
    <t>Melting_Curves/meltCurve_Q9P031_CCDC59.pdf</t>
  </si>
  <si>
    <t>Melting_Curves/meltCurve_Q9P032_NDUFAF4.pdf</t>
  </si>
  <si>
    <t>Melting_Curves/meltCurve_Q9P035_PTPLAD1.pdf</t>
  </si>
  <si>
    <t>Melting_Curves/meltCurve_Q9P0B6_CCDC167.pdf</t>
  </si>
  <si>
    <t>Melting_Curves/meltCurve_Q9P0I2_EMC3.pdf</t>
  </si>
  <si>
    <t>Melting_Curves/meltCurve_Q9P0J1_PDP1.pdf</t>
  </si>
  <si>
    <t>Melting_Curves/meltCurve_Q9P0L0_VAPA.pdf</t>
  </si>
  <si>
    <t>Melting_Curves/meltCurve_Q9P0P0_RNF181.pdf</t>
  </si>
  <si>
    <t>Melting_Curves/meltCurve_Q9P0R6_GSKIP.pdf</t>
  </si>
  <si>
    <t>Melting_Curves/meltCurve_Q9P0S2_COX16.pdf</t>
  </si>
  <si>
    <t>Melting_Curves/meltCurve_Q9P0U4_CXXC1.pdf</t>
  </si>
  <si>
    <t>Melting_Curves/meltCurve_Q9P0V3_SH3BP4.pdf</t>
  </si>
  <si>
    <t>Melting_Curves/meltCurve_Q9P0W2_2_HMG20B.pdf</t>
  </si>
  <si>
    <t>Melting_Curves/meltCurve_Q9P0Z9_PIPOX.pdf</t>
  </si>
  <si>
    <t>Melting_Curves/meltCurve_Q9P1F3_ABRACL.pdf</t>
  </si>
  <si>
    <t>Melting_Curves/meltCurve_Q9P1U1_ACTR3B.pdf</t>
  </si>
  <si>
    <t>Melting_Curves/meltCurve_Q9P1Y5_CAMSAP3.pdf</t>
  </si>
  <si>
    <t>Melting_Curves/meltCurve_Q9P1Z2_2_CALCOCO1.pdf</t>
  </si>
  <si>
    <t>Melting_Curves/meltCurve_Q9P206_2_KIAA1522.pdf</t>
  </si>
  <si>
    <t>Melting_Curves/meltCurve_Q9P219_CCDC88C.pdf</t>
  </si>
  <si>
    <t>Melting_Curves/meltCurve_Q9P253_VPS18.pdf</t>
  </si>
  <si>
    <t>Melting_Curves/meltCurve_Q9P258_RCC2.pdf</t>
  </si>
  <si>
    <t>Melting_Curves/meltCurve_Q9P260_KIAA1468.pdf</t>
  </si>
  <si>
    <t>Melting_Curves/meltCurve_Q9P265_DIP2B.pdf</t>
  </si>
  <si>
    <t>Melting_Curves/meltCurve_Q9P266_KIAA1462.pdf</t>
  </si>
  <si>
    <t>Melting_Curves/meltCurve_Q9P270_SLAIN2.pdf</t>
  </si>
  <si>
    <t>Melting_Curves/meltCurve_Q9P273_TENM3.pdf</t>
  </si>
  <si>
    <t>Melting_Curves/meltCurve_Q9P287_BCCIP.pdf</t>
  </si>
  <si>
    <t>Melting_Curves/meltCurve_Q9P287_2_BCCIP.pdf</t>
  </si>
  <si>
    <t>Melting_Curves/meltCurve_Q9P2B2_PTGFRN.pdf</t>
  </si>
  <si>
    <t>Melting_Curves/meltCurve_Q9P2B4_CTTNBP2NL.pdf</t>
  </si>
  <si>
    <t>Melting_Curves/meltCurve_Q9P2C4_TMEM181.pdf</t>
  </si>
  <si>
    <t>Melting_Curves/meltCurve_Q9P2D1_CHD7.pdf</t>
  </si>
  <si>
    <t>Melting_Curves/meltCurve_Q9P2D3_3_HEATR5B.pdf</t>
  </si>
  <si>
    <t>Melting_Curves/meltCurve_Q9P2E9_RRBP1.pdf</t>
  </si>
  <si>
    <t>Melting_Curves/meltCurve_Q9P2I0_CPSF2.pdf</t>
  </si>
  <si>
    <t>Melting_Curves/meltCurve_Q9P2J9_PDP2.pdf</t>
  </si>
  <si>
    <t>Melting_Curves/meltCurve_Q9P2K2_TXNDC16.pdf</t>
  </si>
  <si>
    <t>Melting_Curves/meltCurve_Q9P2K3_RCOR3.pdf</t>
  </si>
  <si>
    <t>Melting_Curves/meltCurve_Q9P2K5_2_MYEF2.pdf</t>
  </si>
  <si>
    <t>Melting_Curves/meltCurve_Q9P2K6_KLHL42.pdf</t>
  </si>
  <si>
    <t>Melting_Curves/meltCurve_Q9P2M7_CGN.pdf</t>
  </si>
  <si>
    <t>Melting_Curves/meltCurve_Q9P2N5_RBM27.pdf</t>
  </si>
  <si>
    <t>Melting_Curves/meltCurve_Q9P2R3_ANKFY1.pdf</t>
  </si>
  <si>
    <t>Melting_Curves/meltCurve_Q9P2R6_RERE.pdf</t>
  </si>
  <si>
    <t>Melting_Curves/meltCurve_Q9P2W1_2_PSMC3IP.pdf</t>
  </si>
  <si>
    <t>Melting_Curves/meltCurve_Q9P2X0_DPM3.pdf</t>
  </si>
  <si>
    <t>Melting_Curves/meltCurve_Q9P2Y4_ZNF219.pdf</t>
  </si>
  <si>
    <t>Melting_Curves/meltCurve_Q9UBB4_ATXN10.pdf</t>
  </si>
  <si>
    <t>Melting_Curves/meltCurve_Q9UBB5_MBD2.pdf</t>
  </si>
  <si>
    <t>Melting_Curves/meltCurve_Q9UBB6_NCDN.pdf</t>
  </si>
  <si>
    <t>Melting_Curves/meltCurve_Q9UBB9_TFIP11.pdf</t>
  </si>
  <si>
    <t>Melting_Curves/meltCurve_Q9UBC2_2_EPS15L1.pdf</t>
  </si>
  <si>
    <t>Melting_Curves/meltCurve_Q9UBC2_4_EPS15L1.pdf</t>
  </si>
  <si>
    <t>Melting_Curves/meltCurve_Q9UBD5_ORC3.pdf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</si>
  <si>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</si>
  <si>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</si>
  <si>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</si>
  <si>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</si>
  <si>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Melting_Curves/meltCurve_Q9UBI6_GNG12.pdf</t>
  </si>
  <si>
    <t>Melting_Curves/meltCurve_Q9UBK8_2_MTRR.pdf</t>
  </si>
  <si>
    <t>Melting_Curves/meltCurve_Q9UBK9_UXT.pdf</t>
  </si>
  <si>
    <t>Melting_Curves/meltCurve_Q9UBL3_3_ASH2L.pdf</t>
  </si>
  <si>
    <t>Melting_Curves/meltCurve_Q9UBM7_DHCR7.pdf</t>
  </si>
  <si>
    <t>Melting_Curves/meltCurve_Q9UBN6_TNFRSF10D.pdf</t>
  </si>
  <si>
    <t>Melting_Curves/meltCurve_Q9UBP0_3_SPAST.pdf</t>
  </si>
  <si>
    <t>Melting_Curves/meltCurve_Q9UBP6_METTL1.pdf</t>
  </si>
  <si>
    <t>Melting_Curves/meltCurve_Q9UBQ0_VPS29.pdf</t>
  </si>
  <si>
    <t>Melting_Curves/meltCurve_Q9UBQ7_GRHPR.pdf</t>
  </si>
  <si>
    <t>Melting_Curves/meltCurve_Q9UBR2_CTSZ.pdf</t>
  </si>
  <si>
    <t>Melting_Curves/meltCurve_Q9UBS0_RPS6KB2.pdf</t>
  </si>
  <si>
    <t>Melting_Curves/meltCurve_Q9UBS4_DNAJB11.pdf</t>
  </si>
  <si>
    <t>Melting_Curves/meltCurve_Q9UBS8_RNF14.pdf</t>
  </si>
  <si>
    <t>Melting_Curves/meltCurve_Q9UBT2_UBA2.pdf</t>
  </si>
  <si>
    <t>Melting_Curves/meltCurve_Q9UBU9_NXF1.pdf</t>
  </si>
  <si>
    <t>Melting_Curves/meltCurve_Q9UBV2_SEL1L.pdf</t>
  </si>
  <si>
    <t>Melting_Curves/meltCurve_Q9UBV8_PEF1.pdf</t>
  </si>
  <si>
    <t>Melting_Curves/meltCurve_Q9UBW7_ZMYM2.pdf</t>
  </si>
  <si>
    <t>Melting_Curves/meltCurve_Q9UBW8_COPS7A.pdf</t>
  </si>
  <si>
    <t>Melting_Curves/meltCurve_Q9UBX3_SLC25A10.pdf</t>
  </si>
  <si>
    <t>Melting_Curves/meltCurve_Q9UC07_2_ZNF69.pdf</t>
  </si>
  <si>
    <t>Melting_Curves/meltCurve_Q9UD71_PPP1R1B.pdf</t>
  </si>
  <si>
    <t>Melting_Curves/meltCurve_Q9UDW1_UQCR10.pdf</t>
  </si>
  <si>
    <t>Melting_Curves/meltCurve_Q9UDX5_MTFP1.pdf</t>
  </si>
  <si>
    <t>Melting_Curves/meltCurve_Q9UDY2_3_TJP2.pdf</t>
  </si>
  <si>
    <t>Melting_Curves/meltCurve_Q9UDY4_DNAJB4.pdf</t>
  </si>
  <si>
    <t>Melting_Curves/meltCurve_Q9UDY8_MALT1.pdf</t>
  </si>
  <si>
    <t>Melting_Curves/meltCurve_Q9UEE9_CFDP1.pdf</t>
  </si>
  <si>
    <t>Melting_Curves/meltCurve_Q9UEG4_ZNF629.pdf</t>
  </si>
  <si>
    <t>Melting_Curves/meltCurve_Q9UEL6_MPZL1.pdf</t>
  </si>
  <si>
    <t>Melting_Curves/meltCurve_Q9UER7_3_DAXX.pdf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</si>
  <si>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</si>
  <si>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</si>
  <si>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</si>
  <si>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</si>
  <si>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Melting_Curves/meltCurve_Q9UFC0_LRWD1.pdf</t>
  </si>
  <si>
    <t>Melting_Curves/meltCurve_Q9UFG5_C19orf25.pdf</t>
  </si>
  <si>
    <t>Melting_Curves/meltCurve_Q9UFN0_NIPSNAP3A.pdf</t>
  </si>
  <si>
    <t>Melting_Curves/meltCurve_Q9UFW8_CGGBP1.pdf</t>
  </si>
  <si>
    <t>Melting_Curves/meltCurve_Q9UG56_2_PISD.pdf</t>
  </si>
  <si>
    <t>Melting_Curves/meltCurve_Q9UG63_ABCF2.pdf</t>
  </si>
  <si>
    <t>Melting_Curves/meltCurve_Q9UGC7_MTRF1L.pdf</t>
  </si>
  <si>
    <t>Melting_Curves/meltCurve_Q9UGI8_TES.pdf</t>
  </si>
  <si>
    <t>Melting_Curves/meltCurve_Q9UGK3_STAP2.pdf</t>
  </si>
  <si>
    <t>Melting_Curves/meltCurve_Q9UGK8_SERGEF.pdf</t>
  </si>
  <si>
    <t>Melting_Curves/meltCurve_Q9UGM6_WARS2.pdf</t>
  </si>
  <si>
    <t>Melting_Curves/meltCurve_Q9UGP4_LIMD1.pdf</t>
  </si>
  <si>
    <t>Melting_Curves/meltCurve_Q9UGP8_SEC63.pdf</t>
  </si>
  <si>
    <t>Melting_Curves/meltCurve_Q9UGQ3_2_SLC2A6.pdf</t>
  </si>
  <si>
    <t>Melting_Curves/meltCurve_Q9UGR2_2_ZC3H7B.pdf</t>
  </si>
  <si>
    <t>Melting_Curves/meltCurve_Q9UGU0_2_TCF20.pdf</t>
  </si>
  <si>
    <t>Melting_Curves/meltCurve_Q9UGV2_NDRG3.pdf</t>
  </si>
  <si>
    <t>Melting_Curves/meltCurve_Q9UH62_ARMCX3.pdf</t>
  </si>
  <si>
    <t>Melting_Curves/meltCurve_Q9UH65_SWAP70.pdf</t>
  </si>
  <si>
    <t>Melting_Curves/meltCurve_Q9UHA4_LAMTOR3.pdf</t>
  </si>
  <si>
    <t>Melting_Curves/meltCurve_Q9UHB6_LIMA1.pdf</t>
  </si>
  <si>
    <t>Melting_Curves/meltCurve_Q9UHB7_AFF4.pdf</t>
  </si>
  <si>
    <t>Melting_Curves/meltCurve_Q9UHB9_SRP68.pdf</t>
  </si>
  <si>
    <t>Melting_Curves/meltCurve_Q9UHD1_CHORDC1.pdf</t>
  </si>
  <si>
    <t>Melting_Curves/meltCurve_Q9UHD8_SEPT9.pdf</t>
  </si>
  <si>
    <t>Melting_Curves/meltCurve_Q9UHD9_UBQLN2.pdf</t>
  </si>
  <si>
    <t>Melting_Curves/meltCurve_Q9UHE8_STEAP1.pdf</t>
  </si>
  <si>
    <t>Melting_Curves/meltCurve_Q9UHF7_TRPS1.pdf</t>
  </si>
  <si>
    <t>Melting_Curves/meltCurve_Q9UHG3_PCYOX1.pdf</t>
  </si>
  <si>
    <t>Melting_Curves/meltCurve_Q9UHI6_DDX20.pdf</t>
  </si>
  <si>
    <t>Melting_Curves/meltCurve_Q9UHJ3_2_SFMBT1.pdf</t>
  </si>
  <si>
    <t>Melting_Curves/meltCurve_Q9UHJ6_SHPK.pdf</t>
  </si>
  <si>
    <t>Melting_Curves/meltCurve_Q9UHK6_AMACR.pdf</t>
  </si>
  <si>
    <t>Melting_Curves/meltCurve_Q9UHL4_DPP7.pdf</t>
  </si>
  <si>
    <t>Melting_Curves/meltCurve_Q9UHN1_POLG2.pdf</t>
  </si>
  <si>
    <t>Melting_Curves/meltCurve_Q9UHN6_TMEM2.pdf</t>
  </si>
  <si>
    <t>Melting_Curves/meltCurve_Q9UHP3_USP25.pdf</t>
  </si>
  <si>
    <t>Melting_Curves/meltCurve_Q9UHQ4_BCAP29.pdf</t>
  </si>
  <si>
    <t>Melting_Curves/meltCurve_Q9UHQ9_CYB5R1.pdf</t>
  </si>
  <si>
    <t>Melting_Curves/meltCurve_Q9UHR4_BAIAP2L1.pdf</t>
  </si>
  <si>
    <t>Melting_Curves/meltCurve_Q9UHR6_ZNHIT2.pdf</t>
  </si>
  <si>
    <t>Melting_Curves/meltCurve_Q9UHV9_PFDN2.pdf</t>
  </si>
  <si>
    <t>Melting_Curves/meltCurve_Q9UHW5_GPN3.pdf</t>
  </si>
  <si>
    <t>Melting_Curves/meltCurve_Q9UHX1_4_PUF60.pdf</t>
  </si>
  <si>
    <t>Melting_Curves/meltCurve_Q9UHX3_4_EMR2.pdf</t>
  </si>
  <si>
    <t>Melting_Curves/meltCurve_Q9UHY1_NRBP1.pdf</t>
  </si>
  <si>
    <t>Melting_Curves/meltCurve_Q9UHY7_ENOPH1.pdf</t>
  </si>
  <si>
    <t>Melting_Curves/meltCurve_Q9UI10_EIF2B4.pdf</t>
  </si>
  <si>
    <t>Melting_Curves/meltCurve_Q9UI12_2_ATP6V1H.pdf</t>
  </si>
  <si>
    <t>Melting_Curves/meltCurve_Q9UI15_TAGLN3.pdf</t>
  </si>
  <si>
    <t>Melting_Curves/meltCurve_Q9UI26_IPO11.pdf</t>
  </si>
  <si>
    <t>Melting_Curves/meltCurve_Q9UI30_TRMT112.pdf</t>
  </si>
  <si>
    <t>Melting_Curves/meltCurve_Q9UI32_GLS2.pdf</t>
  </si>
  <si>
    <t>Melting_Curves/meltCurve_Q9UI36_2_DACH1.pdf</t>
  </si>
  <si>
    <t>Melting_Curves/meltCurve_Q9UIC8_LCMT1.pdf</t>
  </si>
  <si>
    <t>Melting_Curves/meltCurve_Q9UID3_VPS51.pdf</t>
  </si>
  <si>
    <t>Melting_Curves/meltCurve_Q9UII2_ATPIF1.pdf</t>
  </si>
  <si>
    <t>Melting_Curves/meltCurve_Q9UIJ7_AK3.pdf</t>
  </si>
  <si>
    <t>Melting_Curves/meltCurve_Q9UIK4_DAPK2.pdf</t>
  </si>
  <si>
    <t>Melting_Curves/meltCurve_Q9UIL1_3_SCOC.pdf</t>
  </si>
  <si>
    <t>Melting_Curves/meltCurve_Q9UIM3_FKBPL.pdf</t>
  </si>
  <si>
    <t>Melting_Curves/meltCurve_Q9UIQ6_3_LNPEP.pdf</t>
  </si>
  <si>
    <t>Melting_Curves/meltCurve_Q9UIU6_SIX4.pdf</t>
  </si>
  <si>
    <t>Melting_Curves/meltCurve_Q9UJ14_GGT7.pdf</t>
  </si>
  <si>
    <t>Melting_Curves/meltCurve_Q9UJ68_2_MSRA.pdf</t>
  </si>
  <si>
    <t>Melting_Curves/meltCurve_Q9UJA2_2_CRLS1.pdf</t>
  </si>
  <si>
    <t>Melting_Curves/meltCurve_Q9UJA5_TRMT6.pdf</t>
  </si>
  <si>
    <t>Melting_Curves/meltCurve_Q9UJA9_ENPP5.pdf</t>
  </si>
  <si>
    <t>Melting_Curves/meltCurve_Q9UJC5_SH3BGRL2.pdf</t>
  </si>
  <si>
    <t>Melting_Curves/meltCurve_Q9UJK0_TSR3.pdf</t>
  </si>
  <si>
    <t>Melting_Curves/meltCurve_Q9UJS0_SLC25A13.pdf</t>
  </si>
  <si>
    <t>Melting_Curves/meltCurve_Q9UJT0_TUBE1.pdf</t>
  </si>
  <si>
    <t>Melting_Curves/meltCurve_Q9UJU6_DBNL.pdf</t>
  </si>
  <si>
    <t>Melting_Curves/meltCurve_Q9UJU6_2_DBNL.pdf</t>
  </si>
  <si>
    <t>Melting_Curves/meltCurve_Q9UJW0_DCTN4.pdf</t>
  </si>
  <si>
    <t>Melting_Curves/meltCurve_Q9UJX3_2_ANAPC7.pdf</t>
  </si>
  <si>
    <t>Melting_Curves/meltCurve_Q9UJX5_2_ANAPC4.pdf</t>
  </si>
  <si>
    <t>Melting_Curves/meltCurve_Q9UJX6_2_ANAPC2.pdf</t>
  </si>
  <si>
    <t>Melting_Curves/meltCurve_Q9UJY4_GGA2.pdf</t>
  </si>
  <si>
    <t>Melting_Curves/meltCurve_Q9UJY5_4_GGA1.pdf</t>
  </si>
  <si>
    <t>Melting_Curves/meltCurve_Q9UJZ1_STOML2.pdf</t>
  </si>
  <si>
    <t>Melting_Curves/meltCurve_Q9UK22_FBXO2.pdf</t>
  </si>
  <si>
    <t>Melting_Curves/meltCurve_Q9UK23_NAGPA.pdf</t>
  </si>
  <si>
    <t>Melting_Curves/meltCurve_Q9UK41_VPS28.pdf</t>
  </si>
  <si>
    <t>Melting_Curves/meltCurve_Q9UK45_LSM7.pdf</t>
  </si>
  <si>
    <t>Melting_Curves/meltCurve_Q9UK53_2_ING1.pdf</t>
  </si>
  <si>
    <t>Melting_Curves/meltCurve_Q9UK59_DBR1.pdf</t>
  </si>
  <si>
    <t>Melting_Curves/meltCurve_Q9UK76_HN1.pdf</t>
  </si>
  <si>
    <t>Melting_Curves/meltCurve_Q9UK97_3_FBXO9.pdf</t>
  </si>
  <si>
    <t>Melting_Curves/meltCurve_Q9UKA2_FBXL4.pdf</t>
  </si>
  <si>
    <t>Melting_Curves/meltCurve_Q9UKA4_AKAP11.pdf</t>
  </si>
  <si>
    <t>Melting_Curves/meltCurve_Q9UKB3_DNAJC12.pdf</t>
  </si>
  <si>
    <t>Melting_Curves/meltCurve_Q9UKB5_AJAP1.pdf</t>
  </si>
  <si>
    <t>Melting_Curves/meltCurve_Q9UKD2_MRTO4.pdf</t>
  </si>
  <si>
    <t>Melting_Curves/meltCurve_Q9UKF6_CPSF3.pdf</t>
  </si>
  <si>
    <t>Melting_Curves/meltCurve_Q9UKG1_APPL1.pdf</t>
  </si>
  <si>
    <t>Melting_Curves/meltCurve_Q9UKI8_5_TLK1.pdf</t>
  </si>
  <si>
    <t>Melting_Curves/meltCurve_Q9UKJ3_GPATCH8.pdf</t>
  </si>
  <si>
    <t>Melting_Curves/meltCurve_Q9UKK9_NUDT5.pdf</t>
  </si>
  <si>
    <t>Melting_Curves/meltCurve_Q9UKL3_CASP8AP2.pdf</t>
  </si>
  <si>
    <t>Melting_Curves/meltCurve_Q9UKL6_PCTP.pdf</t>
  </si>
  <si>
    <t>Melting_Curves/meltCurve_Q9UKM7_MAN1B1.pdf</t>
  </si>
  <si>
    <t>Melting_Curves/meltCurve_Q9UKN8_GTF3C4.pdf</t>
  </si>
  <si>
    <t>Melting_Curves/meltCurve_Q9UKQ2_2_ADAM28.pdf</t>
  </si>
  <si>
    <t>Melting_Curves/meltCurve_Q9UKR5_C14orf1.pdf</t>
  </si>
  <si>
    <t>Melting_Curves/meltCurve_Q9UKS6_PACSIN3.pdf</t>
  </si>
  <si>
    <t>Melting_Curves/meltCurve_Q9UKT5_FBXO4.pdf</t>
  </si>
  <si>
    <t>Melting_Curves/meltCurve_Q9UKU7_ACAD8.pdf</t>
  </si>
  <si>
    <t>Melting_Curves/meltCurve_Q9UKV8_AGO2.pdf</t>
  </si>
  <si>
    <t>Melting_Curves/meltCurve_Q9UKX7_2_NUP50.pdf</t>
  </si>
  <si>
    <t>Melting_Curves/meltCurve_Q9UKY7_CDV3.pdf</t>
  </si>
  <si>
    <t>Melting_Curves/meltCurve_Q9UKZ1_CNOT11.pdf</t>
  </si>
  <si>
    <t>Melting_Curves/meltCurve_Q9UL15_BAG5.pdf</t>
  </si>
  <si>
    <t>Melting_Curves/meltCurve_Q9UL18_AGO1.pdf</t>
  </si>
  <si>
    <t>Melting_Curves/meltCurve_Q9UL25_RAB21.pdf</t>
  </si>
  <si>
    <t>Melting_Curves/meltCurve_Q9UL26_RAB22A.pdf</t>
  </si>
  <si>
    <t>Melting_Curves/meltCurve_Q9UL42_PNMA2.pdf</t>
  </si>
  <si>
    <t>Melting_Curves/meltCurve_Q9UL46_PSME2.pdf</t>
  </si>
  <si>
    <t>Melting_Curves/meltCurve_Q9UL54_2_TAOK2.pdf</t>
  </si>
  <si>
    <t>Melting_Curves/meltCurve_Q9UL63_MKLN1.pdf</t>
  </si>
  <si>
    <t>Melting_Curves/meltCurve_Q9ULC3_RAB23.pdf</t>
  </si>
  <si>
    <t>Melting_Curves/meltCurve_Q9ULC4_MCTS1.pdf</t>
  </si>
  <si>
    <t>Melting_Curves/meltCurve_Q9ULC5_ACSL5.pdf</t>
  </si>
  <si>
    <t>Melting_Curves/meltCurve_Q9ULD9_ZNF608.pdf</t>
  </si>
  <si>
    <t>Melting_Curves/meltCurve_Q9ULE6_PALD1.pdf</t>
  </si>
  <si>
    <t>Melting_Curves/meltCurve_Q9ULF5_SLC39A10.pdf</t>
  </si>
  <si>
    <t>Melting_Curves/meltCurve_Q9ULH0_2_KIDINS220.pdf</t>
  </si>
  <si>
    <t>Melting_Curves/meltCurve_Q9ULH7_4_MKL2.pdf</t>
  </si>
  <si>
    <t>Melting_Curves/meltCurve_Q9ULJ6_ZMIZ1.pdf</t>
  </si>
  <si>
    <t>Melting_Curves/meltCurve_Q9ULJ8_PPP1R9A.pdf</t>
  </si>
  <si>
    <t>Melting_Curves/meltCurve_Q9ULL5_3_PRR12.pdf</t>
  </si>
  <si>
    <t>Melting_Curves/meltCurve_Q9ULM3_YEATS2.pdf</t>
  </si>
  <si>
    <t>Melting_Curves/meltCurve_Q9ULP9_2_TBC1D24.pdf</t>
  </si>
  <si>
    <t>Melting_Curves/meltCurve_Q9ULR0_ISY1.pdf</t>
  </si>
  <si>
    <t>Melting_Curves/meltCurve_Q9ULR3_PPM1H.pdf</t>
  </si>
  <si>
    <t>Melting_Curves/meltCurve_Q9ULT8_HECTD1.pdf</t>
  </si>
  <si>
    <t>Melting_Curves/meltCurve_Q9ULV4_CORO1C.pdf</t>
  </si>
  <si>
    <t>Melting_Curves/meltCurve_Q9ULW0_TPX2.pdf</t>
  </si>
  <si>
    <t>Melting_Curves/meltCurve_Q9ULX3_NOB1.pdf</t>
  </si>
  <si>
    <t>Melting_Curves/meltCurve_Q9ULX6_AKAP8L.pdf</t>
  </si>
  <si>
    <t>Melting_Curves/meltCurve_Q9ULX9_MAFF.pdf</t>
  </si>
  <si>
    <t>Melting_Curves/meltCurve_Q9ULZ3_2_PYCARD.pdf</t>
  </si>
  <si>
    <t>Melting_Curves/meltCurve_Q9UMS0_3_NFU1.pdf</t>
  </si>
  <si>
    <t>Melting_Curves/meltCurve_Q9UMS4_PRPF19.pdf</t>
  </si>
  <si>
    <t>Melting_Curves/meltCurve_Q9UMX0_UBQLN1.pdf</t>
  </si>
  <si>
    <t>Melting_Curves/meltCurve_Q9UMX5_NENF.pdf</t>
  </si>
  <si>
    <t>Melting_Curves/meltCurve_Q9UMY1_NOL7.pdf</t>
  </si>
  <si>
    <t>Melting_Curves/meltCurve_Q9UMY4_2_SNX12.pdf</t>
  </si>
  <si>
    <t>Melting_Curves/meltCurve_Q9UMZ2_6_SYNRG.pdf</t>
  </si>
  <si>
    <t>Melting_Curves/meltCurve_Q9UN37_VPS4A.pdf</t>
  </si>
  <si>
    <t>Melting_Curves/meltCurve_Q9UN79_SOX13.pdf</t>
  </si>
  <si>
    <t>Melting_Curves/meltCurve_Q9UN86_2_G3BP2.pdf</t>
  </si>
  <si>
    <t>Melting_Curves/meltCurve_Q9UNE7_STUB1.pdf</t>
  </si>
  <si>
    <t>Melting_Curves/meltCurve_Q9UNF0_2_PACSIN2.pdf</t>
  </si>
  <si>
    <t>Melting_Curves/meltCurve_Q9UNF1_MAGED2.pdf</t>
  </si>
  <si>
    <t>Melting_Curves/meltCurve_Q9UNH7_SNX6.pdf</t>
  </si>
  <si>
    <t>Melting_Curves/meltCurve_Q9UNI6_DUSP12.pdf</t>
  </si>
  <si>
    <t>Melting_Curves/meltCurve_Q9UNK0_STX8.pdf</t>
  </si>
  <si>
    <t>Melting_Curves/meltCurve_Q9UNK9_ANGEL1.pdf</t>
  </si>
  <si>
    <t>Melting_Curves/meltCurve_Q9UNM6_PSMD13.pdf</t>
  </si>
  <si>
    <t>Melting_Curves/meltCurve_Q9UNN5_FAF1.pdf</t>
  </si>
  <si>
    <t>Melting_Curves/meltCurve_Q9UNP9_PPIE.pdf</t>
  </si>
  <si>
    <t>Melting_Curves/meltCurve_Q9UNS1_2_TIMELESS.pdf</t>
  </si>
  <si>
    <t>Melting_Curves/meltCurve_Q9UNS2_COPS3.pdf</t>
  </si>
  <si>
    <t>Melting_Curves/meltCurve_Q9UNW1_MINPP1.pdf</t>
  </si>
  <si>
    <t>Melting_Curves/meltCurve_Q9UNX4_WDR3.pdf</t>
  </si>
  <si>
    <t>Melting_Curves/meltCurve_Q9UNY4_TTF2.pdf</t>
  </si>
  <si>
    <t>Melting_Curves/meltCurve_Q9UNZ5_C19orf53.pdf</t>
  </si>
  <si>
    <t>Melting_Curves/meltCurve_Q9UP83_3_COG5.pdf</t>
  </si>
  <si>
    <t>Melting_Curves/meltCurve_Q9UPN6_SCAF8.pdf</t>
  </si>
  <si>
    <t>Melting_Curves/meltCurve_Q9UPN7_PPP6R1.pdf</t>
  </si>
  <si>
    <t>Melting_Curves/meltCurve_Q9UPN9_2_TRIM33.pdf</t>
  </si>
  <si>
    <t>Melting_Curves/meltCurve_Q9UPP1_4_PHF8.pdf</t>
  </si>
  <si>
    <t>Melting_Curves/meltCurve_Q9UPQ9_1_TNRC6B.pdf</t>
  </si>
  <si>
    <t>Melting_Curves/meltCurve_Q9UPT5_1_EXOC7.pdf</t>
  </si>
  <si>
    <t>Melting_Curves/meltCurve_Q9UPT8_ZC3H4.pdf</t>
  </si>
  <si>
    <t>Melting_Curves/meltCurve_Q9UPT9_2_USP22.pdf</t>
  </si>
  <si>
    <t>Melting_Curves/meltCurve_Q9UPU5_USP24.pdf</t>
  </si>
  <si>
    <t>Melting_Curves/meltCurve_Q9UPW5_AGTPBP1.pdf</t>
  </si>
  <si>
    <t>Melting_Curves/meltCurve_Q9UPY3_DICER1.pdf</t>
  </si>
  <si>
    <t>Melting_Curves/meltCurve_Q9UPY5_SLC7A11.pdf</t>
  </si>
  <si>
    <t>Melting_Curves/meltCurve_Q9UPZ3_2_HPS5.pdf</t>
  </si>
  <si>
    <t>Melting_Curves/meltCurve_Q9UQ13_2_SHOC2.pdf</t>
  </si>
  <si>
    <t>Melting_Curves/meltCurve_Q9UQ35_SRRM2.pdf</t>
  </si>
  <si>
    <t>Melting_Curves/meltCurve_Q9UQ80_PA2G4.pdf</t>
  </si>
  <si>
    <t>Melting_Curves/meltCurve_Q9UQ90_SPG7.pdf</t>
  </si>
  <si>
    <t>Melting_Curves/meltCurve_Q9UQB8_5_BAIAP2.pdf</t>
  </si>
  <si>
    <t>Melting_Curves/meltCurve_Q9UQC2_2_GAB2.pdf</t>
  </si>
  <si>
    <t>Melting_Curves/meltCurve_Q9UQE7_SMC3.pdf</t>
  </si>
  <si>
    <t>Melting_Curves/meltCurve_Q9UQL0_UBE2D4.pdf</t>
  </si>
  <si>
    <t>Melting_Curves/meltCurve_Q9UQN3_CHMP2B.pdf</t>
  </si>
  <si>
    <t>Melting_Curves/meltCurve_Q9Y217_MTMR6.pdf</t>
  </si>
  <si>
    <t>Melting_Curves/meltCurve_Q9Y219_JAG2.pdf</t>
  </si>
  <si>
    <t>Melting_Curves/meltCurve_Q9Y221_2_NIP7.pdf</t>
  </si>
  <si>
    <t>Melting_Curves/meltCurve_Q9Y223_GNE.pdf</t>
  </si>
  <si>
    <t>Melting_Curves/meltCurve_Q9Y224_C14orf166.pdf</t>
  </si>
  <si>
    <t>Melting_Curves/meltCurve_Q9Y230_RUVBL2.pdf</t>
  </si>
  <si>
    <t>Melting_Curves/meltCurve_Q9Y232_2_CDYL.pdf</t>
  </si>
  <si>
    <t>Melting_Curves/meltCurve_Q9Y234_LIPT1.pdf</t>
  </si>
  <si>
    <t>Melting_Curves/meltCurve_Q9Y235_APOBEC2.pdf</t>
  </si>
  <si>
    <t>Melting_Curves/meltCurve_Q9Y237_PIN4.pdf</t>
  </si>
  <si>
    <t>Melting_Curves/meltCurve_Q9Y242_TCF19.pdf</t>
  </si>
  <si>
    <t>Melting_Curves/meltCurve_Q9Y243_2_AKT3.pdf</t>
  </si>
  <si>
    <t>Melting_Curves/meltCurve_Q9Y244_POMP.pdf</t>
  </si>
  <si>
    <t>Melting_Curves/meltCurve_Q9Y247_FAM50B.pdf</t>
  </si>
  <si>
    <t>Melting_Curves/meltCurve_Q9Y248_GINS2.pdf</t>
  </si>
  <si>
    <t>Melting_Curves/meltCurve_Q9Y259_CHKB.pdf</t>
  </si>
  <si>
    <t>Melting_Curves/meltCurve_Q9Y263_PLAA.pdf</t>
  </si>
  <si>
    <t>Melting_Curves/meltCurve_Q9Y265_RUVBL1.pdf</t>
  </si>
  <si>
    <t>Melting_Curves/meltCurve_Q9Y266_NUDC.pdf</t>
  </si>
  <si>
    <t>Melting_Curves/meltCurve_Q9Y276_BCS1L.pdf</t>
  </si>
  <si>
    <t>Melting_Curves/meltCurve_Q9Y277_VDAC3.pdf</t>
  </si>
  <si>
    <t>Melting_Curves/meltCurve_Q9Y281_CFL2.pdf</t>
  </si>
  <si>
    <t>Melting_Curves/meltCurve_Q9Y289_SLC5A6.pdf</t>
  </si>
  <si>
    <t>Melting_Curves/meltCurve_Q9Y294_ASF1A.pdf</t>
  </si>
  <si>
    <t>Melting_Curves/meltCurve_Q9Y295_DRG1.pdf</t>
  </si>
  <si>
    <t>Melting_Curves/meltCurve_Q9Y296_TRAPPC4.pdf</t>
  </si>
  <si>
    <t>Melting_Curves/meltCurve_Q9Y2A7_NCKAP1.pdf</t>
  </si>
  <si>
    <t>Melting_Curves/meltCurve_Q9Y2A9_B3GNT3.pdf</t>
  </si>
  <si>
    <t>Melting_Curves/meltCurve_Q9Y2B0_CNPY2.pdf</t>
  </si>
  <si>
    <t>Melting_Curves/meltCurve_Q9Y2C4_EXOG.pdf</t>
  </si>
  <si>
    <t>Melting_Curves/meltCurve_Q9Y2D0_CA5B.pdf</t>
  </si>
  <si>
    <t>Melting_Curves/meltCurve_Q9Y2D4_EXOC6B.pdf</t>
  </si>
  <si>
    <t>Melting_Curves/meltCurve_Q9Y2D5_AKAP2.pdf</t>
  </si>
  <si>
    <t>Melting_Curves/meltCurve_Q9Y2G5_POFUT2.pdf</t>
  </si>
  <si>
    <t>Melting_Curves/meltCurve_Q9Y2H0_3_DLGAP4.pdf</t>
  </si>
  <si>
    <t>Melting_Curves/meltCurve_Q9Y2H1_STK38L.pdf</t>
  </si>
  <si>
    <t>Melting_Curves/meltCurve_Q9Y2H6_2_FNDC3A.pdf</t>
  </si>
  <si>
    <t>Melting_Curves/meltCurve_Q9Y2I1_NISCH.pdf</t>
  </si>
  <si>
    <t>Melting_Curves/meltCurve_Q9Y2I8_WDR37.pdf</t>
  </si>
  <si>
    <t>Melting_Curves/meltCurve_Q9Y2K6_USP20.pdf</t>
  </si>
  <si>
    <t>Melting_Curves/meltCurve_Q9Y2K7_KDM2A.pdf</t>
  </si>
  <si>
    <t>Melting_Curves/meltCurve_Q9Y2L1_DIS3.pdf</t>
  </si>
  <si>
    <t>Melting_Curves/meltCurve_Q9Y2L9_2_LRCH1.pdf</t>
  </si>
  <si>
    <t>Melting_Curves/meltCurve_Q9Y2Q3_GSTK1.pdf</t>
  </si>
  <si>
    <t>Melting_Curves/meltCurve_Q9Y2Q5_LAMTOR2.pdf</t>
  </si>
  <si>
    <t>Melting_Curves/meltCurve_Q9Y2Q9_MRPS28.pdf</t>
  </si>
  <si>
    <t>Melting_Curves/meltCurve_Q9Y2R0_COA3.pdf</t>
  </si>
  <si>
    <t>Melting_Curves/meltCurve_Q9Y2R4_DDX52.pdf</t>
  </si>
  <si>
    <t>Melting_Curves/meltCurve_Q9Y2S0_POLR1D.pdf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</si>
  <si>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</si>
  <si>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</si>
  <si>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</si>
  <si>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</si>
  <si>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Melting_Curves/meltCurve_Q9Y2U8_LEMD3.pdf</t>
  </si>
  <si>
    <t>Melting_Curves/meltCurve_Q9Y2V2_CARHSP1.pdf</t>
  </si>
  <si>
    <t>Melting_Curves/meltCurve_Q9Y2V7_2_COG6.pdf</t>
  </si>
  <si>
    <t>Melting_Curves/meltCurve_Q9Y2W1_THRAP3.pdf</t>
  </si>
  <si>
    <t>Melting_Curves/meltCurve_Q9Y2X0_2_MED16.pdf</t>
  </si>
  <si>
    <t>Melting_Curves/meltCurve_Q9Y2X3_NOP58.pdf</t>
  </si>
  <si>
    <t>Melting_Curves/meltCurve_Q9Y2X7_3_GIT1.pdf</t>
  </si>
  <si>
    <t>Melting_Curves/meltCurve_Q9Y2Y1_POLR3K.pdf</t>
  </si>
  <si>
    <t>Melting_Curves/meltCurve_Q9Y2Z0_2_SUGT1.pdf</t>
  </si>
  <si>
    <t>Melting_Curves/meltCurve_Q9Y2Z2_4_MTO1.pdf</t>
  </si>
  <si>
    <t>Melting_Curves/meltCurve_Q9Y2Z4_YARS2.pdf</t>
  </si>
  <si>
    <t>Melting_Curves/meltCurve_Q9Y2Z9_3_COQ6.pdf</t>
  </si>
  <si>
    <t>Melting_Curves/meltCurve_Q9Y303_AMDHD2.pdf</t>
  </si>
  <si>
    <t>Melting_Curves/meltCurve_Q9Y305_ACOT9.pdf</t>
  </si>
  <si>
    <t>Melting_Curves/meltCurve_Q9Y314_NOSIP.pdf</t>
  </si>
  <si>
    <t>Melting_Curves/meltCurve_Q9Y315_DERA.pdf</t>
  </si>
  <si>
    <t>Melting_Curves/meltCurve_Q9Y316_MEMO1.pdf</t>
  </si>
  <si>
    <t>Melting_Curves/meltCurve_Q9Y320_2_TMX2.pdf</t>
  </si>
  <si>
    <t>Melting_Curves/meltCurve_Q9Y333_LSM2.pdf</t>
  </si>
  <si>
    <t>Melting_Curves/meltCurve_Q9Y371_SH3GLB1.pdf</t>
  </si>
  <si>
    <t>Melting_Curves/meltCurve_Q9Y375_NDUFAF1.pdf</t>
  </si>
  <si>
    <t>Melting_Curves/meltCurve_Q9Y376_CAB39.pdf</t>
  </si>
  <si>
    <t>Melting_Curves/meltCurve_Q9Y383_LUC7L2.pdf</t>
  </si>
  <si>
    <t>Melting_Curves/meltCurve_Q9Y388_RBMX2.pdf</t>
  </si>
  <si>
    <t>Melting_Curves/meltCurve_Q9Y394_2_DHRS7.pdf</t>
  </si>
  <si>
    <t>Melting_Curves/meltCurve_Q9Y399_MRPS2.pdf</t>
  </si>
  <si>
    <t>Melting_Curves/meltCurve_Q9Y3A0_2_COQ4.pdf</t>
  </si>
  <si>
    <t>Melting_Curves/meltCurve_Q9Y3A3_3_MOB4.pdf</t>
  </si>
  <si>
    <t>Melting_Curves/meltCurve_Q9Y3A5_SBDS.pdf</t>
  </si>
  <si>
    <t>Melting_Curves/meltCurve_Q9Y3A6_TMED5.pdf</t>
  </si>
  <si>
    <t>Melting_Curves/meltCurve_Q9Y3B1_SLMO2.pdf</t>
  </si>
  <si>
    <t>Melting_Curves/meltCurve_Q9Y3B2_EXOSC1.pdf</t>
  </si>
  <si>
    <t>Melting_Curves/meltCurve_Q9Y3B3_TMED7.pdf</t>
  </si>
  <si>
    <t>Melting_Curves/meltCurve_Q9Y3B4_SF3B14.pdf</t>
  </si>
  <si>
    <t>Melting_Curves/meltCurve_Q9Y3B7_2_MRPL11.pdf</t>
  </si>
  <si>
    <t>Melting_Curves/meltCurve_Q9Y3B9_RRP15.pdf</t>
  </si>
  <si>
    <t>Melting_Curves/meltCurve_Q9Y3C1_NOP16.pdf</t>
  </si>
  <si>
    <t>Melting_Curves/meltCurve_Q9Y3C4_TPRKB.pdf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</si>
  <si>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</si>
  <si>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</si>
  <si>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</si>
  <si>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</si>
  <si>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Melting_Curves/meltCurve_Q9Y3D5_MRPS18C.pdf</t>
  </si>
  <si>
    <t>Melting_Curves/meltCurve_Q9Y3D6_FIS1.pdf</t>
  </si>
  <si>
    <t>Melting_Curves/meltCurve_Q9Y3D8_TAF9.pdf</t>
  </si>
  <si>
    <t>Melting_Curves/meltCurve_Q9Y3D9_MRPS23.pdf</t>
  </si>
  <si>
    <t>Melting_Curves/meltCurve_Q9Y3E2_BOLA1.pdf</t>
  </si>
  <si>
    <t>Melting_Curves/meltCurve_Q9Y3E7_4_CHMP3.pdf</t>
  </si>
  <si>
    <t>Melting_Curves/meltCurve_Q9Y3F4_STRAP.pdf</t>
  </si>
  <si>
    <t>Melting_Curves/meltCurve_Q9Y3I0_C22orf28.pdf</t>
  </si>
  <si>
    <t>Melting_Curves/meltCurve_Q9Y3I1_FBXO7.pdf</t>
  </si>
  <si>
    <t>Melting_Curves/meltCurve_Q9Y3L5_RAP2C.pdf</t>
  </si>
  <si>
    <t>Melting_Curves/meltCurve_Q9Y3P8_SIT1.pdf</t>
  </si>
  <si>
    <t>Melting_Curves/meltCurve_Q9Y3P9_RABGAP1.pdf</t>
  </si>
  <si>
    <t>Melting_Curves/meltCurve_Q9Y3R5_2_DOPEY2.pdf</t>
  </si>
  <si>
    <t>Melting_Curves/meltCurve_Q9Y3S2_ZNF330.pdf</t>
  </si>
  <si>
    <t>Melting_Curves/meltCurve_Q9Y3T6_R3HCC1.pdf</t>
  </si>
  <si>
    <t>Melting_Curves/meltCurve_Q9Y3T9_NOC2L.pdf</t>
  </si>
  <si>
    <t>Melting_Curves/meltCurve_Q9Y3U8_RPL36.pdf</t>
  </si>
  <si>
    <t>Melting_Curves/meltCurve_Q9Y3X0_CCDC9.pdf</t>
  </si>
  <si>
    <t>Melting_Curves/meltCurve_Q9Y3Y2_4_CHTOP.pdf</t>
  </si>
  <si>
    <t>Melting_Curves/meltCurve_Q9Y3Z3_SAMHD1.pdf</t>
  </si>
  <si>
    <t>Melting_Curves/meltCurve_Q9Y421_FAM32A.pdf</t>
  </si>
  <si>
    <t>Melting_Curves/meltCurve_Q9Y446_PKP3.pdf</t>
  </si>
  <si>
    <t>Melting_Curves/meltCurve_Q9Y448_2_KNSTRN.pdf</t>
  </si>
  <si>
    <t>Melting_Curves/meltCurve_Q9Y450_HBS1L.pdf</t>
  </si>
  <si>
    <t>Melting_Curves/meltCurve_Q9Y478_PRKAB1.pdf</t>
  </si>
  <si>
    <t>Melting_Curves/meltCurve_Q9Y487_ATP6V0A2.pdf</t>
  </si>
  <si>
    <t>Melting_Curves/meltCurve_Q9Y490_TLN1.pdf</t>
  </si>
  <si>
    <t>Melting_Curves/meltCurve_Q9Y4B6_VPRBP.pdf</t>
  </si>
  <si>
    <t>Melting_Curves/meltCurve_Q9Y4C1_KDM3A.pdf</t>
  </si>
  <si>
    <t>Melting_Curves/meltCurve_Q9Y4C2_2_FAM115A.pdf</t>
  </si>
  <si>
    <t>Melting_Curves/meltCurve_Q9Y4E1_2_FAM21C.pdf</t>
  </si>
  <si>
    <t>Melting_Curves/meltCurve_Q9Y4E6_2_WDR7.pdf</t>
  </si>
  <si>
    <t>Melting_Curves/meltCurve_Q9Y4E8_USP15.pdf</t>
  </si>
  <si>
    <t>Melting_Curves/meltCurve_Q9Y4H2_IRS2.pdf</t>
  </si>
  <si>
    <t>Melting_Curves/meltCurve_Q9Y4K1_AIM1.pdf</t>
  </si>
  <si>
    <t>Melting_Curves/meltCurve_Q9Y4K3_TRAF6.pdf</t>
  </si>
  <si>
    <t>Melting_Curves/meltCurve_Q9Y4K4_MAP4K5.pdf</t>
  </si>
  <si>
    <t>Melting_Curves/meltCurve_Q9Y4L1_HYOU1.pdf</t>
  </si>
  <si>
    <t>Melting_Curves/meltCurve_Q9Y4P1_6_ATG4B.pdf</t>
  </si>
  <si>
    <t>Melting_Curves/meltCurve_Q9Y4P8_3_WIPI2.pdf</t>
  </si>
  <si>
    <t>Melting_Curves/meltCurve_Q9Y4R8_TELO2.pdf</t>
  </si>
  <si>
    <t>Melting_Curves/meltCurve_Q9Y4U1_MMACHC.pdf</t>
  </si>
  <si>
    <t>Melting_Curves/meltCurve_Q9Y4W6_AFG3L2.pdf</t>
  </si>
  <si>
    <t>Melting_Curves/meltCurve_Q9Y4X0_4_AMMECR1.pdf</t>
  </si>
  <si>
    <t>Melting_Curves/meltCurve_Q9Y4X5_ARIH1.pdf</t>
  </si>
  <si>
    <t>Melting_Curves/meltCurve_Q9Y4Z0_LSM4.pdf</t>
  </si>
  <si>
    <t>Melting_Curves/meltCurve_Q9Y508_RNF114.pdf</t>
  </si>
  <si>
    <t>Melting_Curves/meltCurve_Q9Y512_SAMM50.pdf</t>
  </si>
  <si>
    <t>Melting_Curves/meltCurve_Q9Y520_7_PRRC2C.pdf</t>
  </si>
  <si>
    <t>Melting_Curves/meltCurve_Q9Y570_PPME1.pdf</t>
  </si>
  <si>
    <t>Melting_Curves/meltCurve_Q9Y584_TIMM22.pdf</t>
  </si>
  <si>
    <t>Melting_Curves/meltCurve_Q9Y597_2_KCTD3.pdf</t>
  </si>
  <si>
    <t>Melting_Curves/meltCurve_Q9Y5A9_2_YTHDF2.pdf</t>
  </si>
  <si>
    <t>Melting_Curves/meltCurve_Q9Y5B0_CTDP1.pdf</t>
  </si>
  <si>
    <t>Melting_Curves/meltCurve_Q9Y5B6_PAXBP1.pdf</t>
  </si>
  <si>
    <t>Melting_Curves/meltCurve_Q9Y5B8_NME7.pdf</t>
  </si>
  <si>
    <t>Melting_Curves/meltCurve_Q9Y5B9_SUPT16H.pdf</t>
  </si>
  <si>
    <t>Melting_Curves/meltCurve_Q9Y5J1_UTP18.pdf</t>
  </si>
  <si>
    <t>Melting_Curves/meltCurve_Q9Y5J6_TIMM10B.pdf</t>
  </si>
  <si>
    <t>Melting_Curves/meltCurve_Q9Y5J7_TIMM9.pdf</t>
  </si>
  <si>
    <t>Melting_Curves/meltCurve_Q9Y5K3_2_PCYT1B.pdf</t>
  </si>
  <si>
    <t>Melting_Curves/meltCurve_Q9Y5K5_2_UCHL5.pdf</t>
  </si>
  <si>
    <t>Melting_Curves/meltCurve_Q9Y5K6_CD2AP.pdf</t>
  </si>
  <si>
    <t>Melting_Curves/meltCurve_Q9Y5K8_ATP6V1D.pdf</t>
  </si>
  <si>
    <t>Melting_Curves/meltCurve_Q9Y5L0_TNPO3.pdf</t>
  </si>
  <si>
    <t>Melting_Curves/meltCurve_Q9Y5L3_ENTPD2.pdf</t>
  </si>
  <si>
    <t>Melting_Curves/meltCurve_Q9Y5L4_TIMM13.pdf</t>
  </si>
  <si>
    <t>Melting_Curves/meltCurve_Q9Y5M8_SRPRB.pdf</t>
  </si>
  <si>
    <t>Melting_Curves/meltCurve_Q9Y5P4_2_COL4A3BP.pdf</t>
  </si>
  <si>
    <t>Melting_Curves/meltCurve_Q9Y5P6_GMPPB.pdf</t>
  </si>
  <si>
    <t>Melting_Curves/meltCurve_Q9Y5Q8_GTF3C5.pdf</t>
  </si>
  <si>
    <t>Melting_Curves/meltCurve_Q9Y5Q9_GTF3C3.pdf</t>
  </si>
  <si>
    <t>Melting_Curves/meltCurve_Q9Y5R8_TRAPPC1.pdf</t>
  </si>
  <si>
    <t>Melting_Curves/meltCurve_Q9Y5S2_CDC42BPB.pdf</t>
  </si>
  <si>
    <t>Melting_Curves/meltCurve_Q9Y5S9_RBM8A.pdf</t>
  </si>
  <si>
    <t>Melting_Curves/meltCurve_Q9Y5T4_DNAJC15.pdf</t>
  </si>
  <si>
    <t>Melting_Curves/meltCurve_Q9Y5U2_2_TSSC4.pdf</t>
  </si>
  <si>
    <t>Melting_Curves/meltCurve_Q9Y5V0_ZNF706.pdf</t>
  </si>
  <si>
    <t>Melting_Curves/meltCurve_Q9Y5X1_SNX9.pdf</t>
  </si>
  <si>
    <t>Melting_Curves/meltCurve_Q9Y5X2_SNX8.pdf</t>
  </si>
  <si>
    <t>Melting_Curves/meltCurve_Q9Y5X3_SNX5.pdf</t>
  </si>
  <si>
    <t>Melting_Curves/meltCurve_Q9Y5Y0_FLVCR1.pdf</t>
  </si>
  <si>
    <t>Melting_Curves/meltCurve_Q9Y5Y2_NUBP2.pdf</t>
  </si>
  <si>
    <t>Melting_Curves/meltCurve_Q9Y5Y6_ST14.pdf</t>
  </si>
  <si>
    <t>Melting_Curves/meltCurve_Q9Y5Z4_HEBP2.pdf</t>
  </si>
  <si>
    <t>Melting_Curves/meltCurve_Q9Y605_MRFAP1.pdf</t>
  </si>
  <si>
    <t>Melting_Curves/meltCurve_Q9Y608_2_LRRFIP2.pdf</t>
  </si>
  <si>
    <t>Melting_Curves/meltCurve_Q9Y613_FHOD1.pdf</t>
  </si>
  <si>
    <t>Melting_Curves/meltCurve_Q9Y617_PSAT1.pdf</t>
  </si>
  <si>
    <t>Melting_Curves/meltCurve_Q9Y619_SLC25A15.pdf</t>
  </si>
  <si>
    <t>Melting_Curves/meltCurve_Q9Y639_NPTN.pdf</t>
  </si>
  <si>
    <t>Melting_Curves/meltCurve_Q9Y646_CPQ.pdf</t>
  </si>
  <si>
    <t>Melting_Curves/meltCurve_Q9Y657_SPIN1.pdf</t>
  </si>
  <si>
    <t>Melting_Curves/meltCurve_Q9Y666_SLC12A7.pdf</t>
  </si>
  <si>
    <t>Melting_Curves/meltCurve_Q9Y673_ALG5.pdf</t>
  </si>
  <si>
    <t>Melting_Curves/meltCurve_Q9Y678_COPG1.pdf</t>
  </si>
  <si>
    <t>Melting_Curves/meltCurve_Q9Y679_2_AUP1.pdf</t>
  </si>
  <si>
    <t>Melting_Curves/meltCurve_Q9Y680_3_FKBP7.pdf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</si>
  <si>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</si>
  <si>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</si>
  <si>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</si>
  <si>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</si>
  <si>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</si>
  <si>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Melting_Curves/meltCurve_Q9Y6C9_MTCH2.pdf</t>
  </si>
  <si>
    <t>Melting_Curves/meltCurve_Q9Y6D5_ARFGEF2.pdf</t>
  </si>
  <si>
    <t>Melting_Curves/meltCurve_Q9Y6D6_ARFGEF1.pdf</t>
  </si>
  <si>
    <t>Melting_Curves/meltCurve_Q9Y6D9_MAD1L1.pdf</t>
  </si>
  <si>
    <t>Melting_Curves/meltCurve_Q9Y6E0_2_STK24.pdf</t>
  </si>
  <si>
    <t>Melting_Curves/meltCurve_Q9Y6G5_COMMD10.pdf</t>
  </si>
  <si>
    <t>Melting_Curves/meltCurve_Q9Y6G9_DYNC1LI1.pdf</t>
  </si>
  <si>
    <t>Melting_Curves/meltCurve_Q9Y6H1_CHCHD2.pdf</t>
  </si>
  <si>
    <t>Melting_Curves/meltCurve_Q9Y6I3_EPN1.pdf</t>
  </si>
  <si>
    <t>Melting_Curves/meltCurve_Q9Y6I9_TEX264.pdf</t>
  </si>
  <si>
    <t>Melting_Curves/meltCurve_Q9Y6K5_OAS3.pdf</t>
  </si>
  <si>
    <t>Melting_Curves/meltCurve_Q9Y6K9_IKBKG.pdf</t>
  </si>
  <si>
    <t>Melting_Curves/meltCurve_Q9Y6M4_4_CSNK1G3.pdf</t>
  </si>
  <si>
    <t>Melting_Curves/meltCurve_Q9Y6M5_SLC30A1.pdf</t>
  </si>
  <si>
    <t>Melting_Curves/meltCurve_Q9Y6M9_NDUFB9.pdf</t>
  </si>
  <si>
    <t>Melting_Curves/meltCurve_Q9Y6N1_COX11.pdf</t>
  </si>
  <si>
    <t>Melting_Curves/meltCurve_Q9Y6N5_SQRDL.pdf</t>
  </si>
  <si>
    <t>Melting_Curves/meltCurve_Q9Y6N7_4_ROBO1.pdf</t>
  </si>
  <si>
    <t>Melting_Curves/meltCurve_Q9Y6Q5_AP1M2.pdf</t>
  </si>
  <si>
    <t>Melting_Curves/meltCurve_Q9Y6Q9_2_NCOA3.pdf</t>
  </si>
  <si>
    <t>Melting_Curves/meltCurve_Q9Y6U3_SCIN.pdf</t>
  </si>
  <si>
    <t>Melting_Curves/meltCurve_Q9Y6V7_DDX49.pdf</t>
  </si>
  <si>
    <t>Melting_Curves/meltCurve_Q9Y6W3_CAPN7.pdf</t>
  </si>
  <si>
    <t>Melting_Curves/meltCurve_Q9Y6W5_WASF2.pdf</t>
  </si>
  <si>
    <t>Melting_Curves/meltCurve_Q9Y6X5_ENPP4.pdf</t>
  </si>
  <si>
    <t>Melting_Curves/meltCurve_Q9Y6X8_ZHX2.pdf</t>
  </si>
  <si>
    <t>Melting_Curves/meltCurve_Q9Y6X9_MORC2.pdf</t>
  </si>
  <si>
    <t>Melting_Curves/meltCurve_R4GMR5_PSMD8.pdf</t>
  </si>
  <si>
    <t>Melting_Curves/meltCurve_R4GMU1_H6PD.pdf</t>
  </si>
  <si>
    <t>Melting_Curves/meltCurve_R4GMX3_BMI1.pdf</t>
  </si>
  <si>
    <t>Melting_Curves/meltCurve_R4GMX8_RANBP10.pdf</t>
  </si>
  <si>
    <t>Melting_Curves/meltCurve_R4GMZ0_PRSS56.pdf</t>
  </si>
  <si>
    <t>Melting_Curves/meltCurve_R4GN50_PTP4A2.pdf</t>
  </si>
  <si>
    <t>Melting_Curves/meltCurve_R4GN55_YTHDF3.pdf</t>
  </si>
  <si>
    <t>Melting_Curves/meltCurve_R4GN98_S100A6.pdf</t>
  </si>
  <si>
    <t>Melting_Curves/meltCurve_R4GNB1_AASDH.pdf</t>
  </si>
  <si>
    <t>Melting_Curves/meltCurve_R4GNB2_DENND4C.pdf</t>
  </si>
  <si>
    <t>Melting_Curves/meltCurve_R4GND3_PHLDA1.pdf</t>
  </si>
  <si>
    <t>Melting_Curves/meltCurve_R4GND4_ACD.pdf</t>
  </si>
  <si>
    <t>Melting_Curves/meltCurve_R4GNH3_PSMC3.pdf</t>
  </si>
  <si>
    <t>Yes</t>
  </si>
  <si>
    <t>No</t>
  </si>
  <si>
    <t>Ubiquitin-like modifier-activating enzyme 6</t>
  </si>
  <si>
    <t>Shootin-1</t>
  </si>
  <si>
    <t>KIAA0999 protein</t>
  </si>
  <si>
    <t>MARVEL domain-containing protein 2</t>
  </si>
  <si>
    <t>Acetolactate synthase-like protein</t>
  </si>
  <si>
    <t>Uncharacterized protein C17orf89</t>
  </si>
  <si>
    <t>SH3 and PX domain-containing protein 2B</t>
  </si>
  <si>
    <t>Aconitate hydratase, mitochondrial</t>
  </si>
  <si>
    <t>Protein AAR2 homolog</t>
  </si>
  <si>
    <t>Vascular endothelial growth factor A</t>
  </si>
  <si>
    <t>Isoform 5 of FERM domain-containing protein 3</t>
  </si>
  <si>
    <t>HLA class I histocompatibility antigen, Cw-14 alpha chain</t>
  </si>
  <si>
    <t>HLA class II histocompatibility antigen, DQ beta 1 chain</t>
  </si>
  <si>
    <t>tRNA wybutosine-synthesizing protein 5</t>
  </si>
  <si>
    <t>Isoform 2 of Protein strawberry notch homolog 1</t>
  </si>
  <si>
    <t>Isoprenoid synthase domain-containing protein</t>
  </si>
  <si>
    <t>Isoform 2 of Protein FAM221A</t>
  </si>
  <si>
    <t>GTP-binding protein 10</t>
  </si>
  <si>
    <t>Killer cell lectin-like receptor subfamily G member 2</t>
  </si>
  <si>
    <t>Protein LCHN</t>
  </si>
  <si>
    <t>DKFZP586J0619 protein</t>
  </si>
  <si>
    <t>Metallo-beta-lactamase domain-containing protein 1</t>
  </si>
  <si>
    <t>Transmembrane protein 189</t>
  </si>
  <si>
    <t>CCR4-NOT transcription complex subunit 1</t>
  </si>
  <si>
    <t>Rho guanine nucleotide exchange factor 35</t>
  </si>
  <si>
    <t>Isoform 4 of Coiled-coil domain-containing protein 88B</t>
  </si>
  <si>
    <t>Phosphoglycolate phosphatase</t>
  </si>
  <si>
    <t>Putative Rab-43-like protein ENSP00000330714</t>
  </si>
  <si>
    <t>UPF0600 protein C5orf51</t>
  </si>
  <si>
    <t>RCC1 domain-containing protein 1</t>
  </si>
  <si>
    <t>HCF N-terminal chain 5</t>
  </si>
  <si>
    <t>GPI-anchor transamidase</t>
  </si>
  <si>
    <t>Tetraspanin-14 (Fragment)</t>
  </si>
  <si>
    <t>3(2),5-bisphosphate nucleotidase 1</t>
  </si>
  <si>
    <t>Zinc finger protein 316</t>
  </si>
  <si>
    <t>Charged multivesicular body protein 1a</t>
  </si>
  <si>
    <t>Proline-rich protein PRCC</t>
  </si>
  <si>
    <t>Dynein light chain Tctex-type 3</t>
  </si>
  <si>
    <t>Zinc finger MYM-type protein 3</t>
  </si>
  <si>
    <t>Isoform 2 of Tubulin alpha chain-like 3</t>
  </si>
  <si>
    <t>rRNA/tRNA 2-O-methyltransferase fibrillarin-like protein 1</t>
  </si>
  <si>
    <t>Structural maintenance of chromosomes flexible hinge domain-containing protein 1</t>
  </si>
  <si>
    <t>Membrane-associated tyrosine- and threonine-specific cdc2-inhibitory kinase</t>
  </si>
  <si>
    <t>GATS-like protein 2</t>
  </si>
  <si>
    <t>Protein unc-119 homolog B</t>
  </si>
  <si>
    <t>Sparc/osteonectin, cwcv and kazal-like domains proteoglycan (Testican) 2, isoform CRA_b</t>
  </si>
  <si>
    <t>Probable methyltransferase-like protein 15</t>
  </si>
  <si>
    <t>Chromosome 13 open reading frame 23, isoform CRA_a</t>
  </si>
  <si>
    <t>Putative lipoyltransferase 2, mitochondrial</t>
  </si>
  <si>
    <t>Coiled-coil domain-containing protein 85C</t>
  </si>
  <si>
    <t>Putative Golgi pH regulator C</t>
  </si>
  <si>
    <t>Septin-8</t>
  </si>
  <si>
    <t>Diaphanous homolog 2 (Drosophila), isoform CRA_c</t>
  </si>
  <si>
    <t>DNA polymerase</t>
  </si>
  <si>
    <t>CD9 antigen</t>
  </si>
  <si>
    <t>Phosphatidylinositol 4-phosphate 5-kinase type-1 alpha</t>
  </si>
  <si>
    <t>Isoform 5 of Zinc finger SWIM domain-containing protein 8</t>
  </si>
  <si>
    <t>Rho GTPase-activating protein 32</t>
  </si>
  <si>
    <t>Sine oculis-binding protein homolog</t>
  </si>
  <si>
    <t>Protein archease</t>
  </si>
  <si>
    <t>Selenoprotein K</t>
  </si>
  <si>
    <t>Heat shock cognate 71 kDa protein</t>
  </si>
  <si>
    <t>UPF0249 protein ydjC homolog</t>
  </si>
  <si>
    <t>Afadin</t>
  </si>
  <si>
    <t>Protein RTF2 homolog</t>
  </si>
  <si>
    <t>Reticulon-1</t>
  </si>
  <si>
    <t>Protein FAM3B</t>
  </si>
  <si>
    <t>Armadillo repeat-containing protein 8</t>
  </si>
  <si>
    <t>POT1 protection of telomeres 1 homolog (S. pombe), isoform CRA_a</t>
  </si>
  <si>
    <t>HCG1988162</t>
  </si>
  <si>
    <t>Down syndrome critical region protein 3</t>
  </si>
  <si>
    <t>Transmembrane protein 147</t>
  </si>
  <si>
    <t>Protein Hook homolog 1</t>
  </si>
  <si>
    <t>SMT3 suppressor of mif two 3 homolog 3 (Yeast), isoform CRA_d</t>
  </si>
  <si>
    <t>Tubulin alpha-4A chain</t>
  </si>
  <si>
    <t>BICD1 protein</t>
  </si>
  <si>
    <t>Pleiotropic regulator 1</t>
  </si>
  <si>
    <t>Metallothionein</t>
  </si>
  <si>
    <t>TFIIH basal transcription factor complex helicase XPD subunit (Fragment)</t>
  </si>
  <si>
    <t>Receptor expression-enhancing protein 6 (Fragment)</t>
  </si>
  <si>
    <t>Matrin-3</t>
  </si>
  <si>
    <t>Pituitary tumor-transforming gene 1 protein-interacting protein</t>
  </si>
  <si>
    <t>Nucleoside diphosphate-linked moiety X motif 19, mitochondrial</t>
  </si>
  <si>
    <t>Phosphatidylinositol 3-kinase catalytic subunit type 3</t>
  </si>
  <si>
    <t>Runt-related transcription factor 1 (Fragment)</t>
  </si>
  <si>
    <t>MIF4G domain-containing protein</t>
  </si>
  <si>
    <t>Serine/arginine repetitive matrix protein 1</t>
  </si>
  <si>
    <t>Eukaryotic translation initiation factor 3 subunit L</t>
  </si>
  <si>
    <t>Mitochondrial dynamic protein MID51</t>
  </si>
  <si>
    <t>TBC1 domain family member 22A</t>
  </si>
  <si>
    <t>RNA-binding protein EWS</t>
  </si>
  <si>
    <t>Peroxisomal membrane protein PMP34</t>
  </si>
  <si>
    <t>HLA-B associated transcript 3, isoform CRA_a</t>
  </si>
  <si>
    <t>Abhydrolase domain-containing protein 16A</t>
  </si>
  <si>
    <t>Histone-lysine N-methyltransferase EHMT2</t>
  </si>
  <si>
    <t>Valine--tRNA ligase</t>
  </si>
  <si>
    <t>Proteasome subunit beta type</t>
  </si>
  <si>
    <t>Apolipoprotein C-III</t>
  </si>
  <si>
    <t>Vimentin</t>
  </si>
  <si>
    <t>Putative peripheral benzodiazepine receptor-related protein (Fragment)</t>
  </si>
  <si>
    <t>NHP2-like protein 1</t>
  </si>
  <si>
    <t>Fibroblast growth factor 13 (Fragment)</t>
  </si>
  <si>
    <t>3-hydroxymethyl-3-methylglutaryl-Coenzyme A lyase (Hydroxymethylglutaricaciduria), isoform CRA_b</t>
  </si>
  <si>
    <t>Espin</t>
  </si>
  <si>
    <t>Nardilysin</t>
  </si>
  <si>
    <t>Oxysterol-binding protein</t>
  </si>
  <si>
    <t>Eukaryotic translation initiation factor 4E transporter</t>
  </si>
  <si>
    <t>Nuclear factor 1 A-type</t>
  </si>
  <si>
    <t>Sodium/potassium-transporting ATPase subunit alpha-2</t>
  </si>
  <si>
    <t>Hsp90 co-chaperone Cdc37-like 1</t>
  </si>
  <si>
    <t>Protein SMG7 (Fragment)</t>
  </si>
  <si>
    <t>Phytanoyl-CoA dioxygenase, peroxisomal</t>
  </si>
  <si>
    <t>Rho guanine nucleotide exchange factor 7</t>
  </si>
  <si>
    <t>Transmembrane protein 9</t>
  </si>
  <si>
    <t>Ubiquitin-conjugating enzyme E2 J2 (Fragment)</t>
  </si>
  <si>
    <t>Septin 6, isoform CRA_b</t>
  </si>
  <si>
    <t>CD58 antigen, (Lymphocyte function-associated antigen 3), isoform CRA_c</t>
  </si>
  <si>
    <t>Eukaryotic translation initiation factor 4 gamma 3</t>
  </si>
  <si>
    <t>Trypsin-3 (Fragment)</t>
  </si>
  <si>
    <t>Guanylate kinase (Fragment)</t>
  </si>
  <si>
    <t>Upstream stimulatory factor 1</t>
  </si>
  <si>
    <t>Mucin-1 subunit alpha</t>
  </si>
  <si>
    <t>Saposin-D</t>
  </si>
  <si>
    <t>Antigen peptide transporter 1</t>
  </si>
  <si>
    <t>Starch-binding domain-containing protein 1</t>
  </si>
  <si>
    <t>Polyhomeotic-like protein 2</t>
  </si>
  <si>
    <t>Uncharacterized methyltransferase WBSCR22</t>
  </si>
  <si>
    <t>Eukaryotic translation initiation factor 3 subunit H</t>
  </si>
  <si>
    <t>Eukaryotic translation initiation factor 3 subunit F</t>
  </si>
  <si>
    <t>Leucine zipper transcription factor-like 1, isoform CRA_b</t>
  </si>
  <si>
    <t>Protein artemis</t>
  </si>
  <si>
    <t>Superoxide dismutase</t>
  </si>
  <si>
    <t>UDP-glucuronate decarboxylase 1, isoform CRA_a</t>
  </si>
  <si>
    <t>PHD finger protein 23</t>
  </si>
  <si>
    <t>Centromere protein H</t>
  </si>
  <si>
    <t>Probable ATP-dependent RNA helicase DDX58</t>
  </si>
  <si>
    <t>AP-1 complex subunit gamma-1</t>
  </si>
  <si>
    <t>Solute carrier family 12 member 6</t>
  </si>
  <si>
    <t>CDP-diacylglycerol--inositol 3-phosphatidyltransferase</t>
  </si>
  <si>
    <t>ADP-ribosylation factor-like protein 6-interacting protein 4</t>
  </si>
  <si>
    <t>Calponin-2</t>
  </si>
  <si>
    <t>Cleft lip and palate associated transmembrane protein 1, isoform CRA_a</t>
  </si>
  <si>
    <t>NAD-dependent protein deacetylase sirtuin-6</t>
  </si>
  <si>
    <t>Histidyl-tRNA synthetase-like, isoform CRA_a</t>
  </si>
  <si>
    <t>ERI1 exoribonuclease 3</t>
  </si>
  <si>
    <t>Checkpoint protein HUS1</t>
  </si>
  <si>
    <t>COMM domain-containing protein 1</t>
  </si>
  <si>
    <t>Dynein light chain roadblock-type 1</t>
  </si>
  <si>
    <t>Catenin beta-1</t>
  </si>
  <si>
    <t>Phosphatidylinositol 5-phosphate 4-kinase type-2 alpha</t>
  </si>
  <si>
    <t>DCN1-like protein 4</t>
  </si>
  <si>
    <t>MAP1S light chain</t>
  </si>
  <si>
    <t>RNA-binding protein Musashi homolog 2</t>
  </si>
  <si>
    <t>Phosphatidylinositol 4-phosphate 5-kinase type-1 beta</t>
  </si>
  <si>
    <t>Ras-related protein Rab-5A</t>
  </si>
  <si>
    <t>Dehydrogenase/reductase SDR family member 13</t>
  </si>
  <si>
    <t>Brain mitochondrial carrier protein 1</t>
  </si>
  <si>
    <t>Small nuclear ribonucleoprotein Sm D3</t>
  </si>
  <si>
    <t>Citrate synthase</t>
  </si>
  <si>
    <t>Periodic tryptophan protein 1 homolog</t>
  </si>
  <si>
    <t>Zinc finger protein 286A</t>
  </si>
  <si>
    <t>Lipolysis-stimulated lipoprotein receptor</t>
  </si>
  <si>
    <t>Protein CHURC1-FNTB</t>
  </si>
  <si>
    <t>Mitochondrial dicarboxylate carrier</t>
  </si>
  <si>
    <t>NAD(P)H dehydrogenase [quinone] 1</t>
  </si>
  <si>
    <t>Ribosomal protein S6 kinase beta-1</t>
  </si>
  <si>
    <t>CDP-diacylglycerol--glycerol-3-phosphate 3-phosphatidyltransferase, mitochondrial</t>
  </si>
  <si>
    <t>E3 ubiquitin-protein ligase RNF220</t>
  </si>
  <si>
    <t>Protein FAM45A</t>
  </si>
  <si>
    <t>Prostaglandin E synthase 3</t>
  </si>
  <si>
    <t>TOX high mobility group box family member 4</t>
  </si>
  <si>
    <t>6-phosphogluconate dehydrogenase, decarboxylating</t>
  </si>
  <si>
    <t>Macrophage erythroblast attacher</t>
  </si>
  <si>
    <t>Histone H2B</t>
  </si>
  <si>
    <t>Protein transport protein Sec61 subunit alpha isoform 1</t>
  </si>
  <si>
    <t>Rab proteins geranylgeranyltransferase component A 1</t>
  </si>
  <si>
    <t>Probable palmitoyltransferase ZDHHC20</t>
  </si>
  <si>
    <t>SH2 domain-containing protein 3A</t>
  </si>
  <si>
    <t>UPF0586 protein C9orf41</t>
  </si>
  <si>
    <t>Polypyrimidine tract-binding protein 2</t>
  </si>
  <si>
    <t>Annexin</t>
  </si>
  <si>
    <t>Solute carrier family 25 member 46</t>
  </si>
  <si>
    <t>Solute carrier family 35 member F2</t>
  </si>
  <si>
    <t>Myosin light chain kinase, smooth muscle</t>
  </si>
  <si>
    <t>Serine incorporator 3</t>
  </si>
  <si>
    <t>Eukaryotic translation initiation factor 3 subunit D</t>
  </si>
  <si>
    <t>2-hydroxyacyl-CoA lyase 1</t>
  </si>
  <si>
    <t>Connector enhancer of kinase suppressor of ras 1</t>
  </si>
  <si>
    <t>Fragile X mental retardation syndrome-related protein 1</t>
  </si>
  <si>
    <t>Nucleoporin NUP53</t>
  </si>
  <si>
    <t>Delta-like protein</t>
  </si>
  <si>
    <t>Synaptophysin-like protein 2</t>
  </si>
  <si>
    <t>Histone deacetylase 6</t>
  </si>
  <si>
    <t>Transmembrane protein 134</t>
  </si>
  <si>
    <t>Peroxisomal targeting signal 1 receptor</t>
  </si>
  <si>
    <t>Pre-B-cell leukemia transcription factor-interacting protein 1</t>
  </si>
  <si>
    <t>Armadillo repeat-containing protein 6</t>
  </si>
  <si>
    <t>Serine/threonine-protein kinase RIO3</t>
  </si>
  <si>
    <t>Syndecan</t>
  </si>
  <si>
    <t>Neuroepithelial cell-transforming gene 1 protein</t>
  </si>
  <si>
    <t>Serine/arginine-rich-splicing factor 3</t>
  </si>
  <si>
    <t>Lysosome-associated membrane glycoprotein 2</t>
  </si>
  <si>
    <t>Erythrocyte band 7 integral membrane protein</t>
  </si>
  <si>
    <t>3-ketoacyl-CoA thiolase</t>
  </si>
  <si>
    <t>Methyltransferase-like protein 13</t>
  </si>
  <si>
    <t>Ubiquitin carboxyl-terminal hydrolase</t>
  </si>
  <si>
    <t>Coiled-coil-helix-coiled-coil-helix domain-containing protein 10, mitochondrial</t>
  </si>
  <si>
    <t>Echinoderm microtubule-associated protein-like 4</t>
  </si>
  <si>
    <t>MpV17 transgene, murine homolog, glomerulosclerosis, isoform CRA_f</t>
  </si>
  <si>
    <t>Epithelial cell adhesion molecule</t>
  </si>
  <si>
    <t>Pescadillo homolog</t>
  </si>
  <si>
    <t>Protein phosphatase 1F</t>
  </si>
  <si>
    <t>Protein RFT1 homolog</t>
  </si>
  <si>
    <t>UPF0554 protein C2orf43</t>
  </si>
  <si>
    <t>Methyltransferase-like protein 8 (Fragment)</t>
  </si>
  <si>
    <t>Protein phosphatase 1 regulatory subunit 12C</t>
  </si>
  <si>
    <t>Pre-mRNA-splicing factor CWC22 homolog</t>
  </si>
  <si>
    <t>Echinoderm microtubule associated protein like 3, isoform CRA_e</t>
  </si>
  <si>
    <t>Synembryn-B</t>
  </si>
  <si>
    <t>Metal transporter CNNM4</t>
  </si>
  <si>
    <t>Dystrobrevin beta</t>
  </si>
  <si>
    <t>Protein disulfide-isomerase A6</t>
  </si>
  <si>
    <t>Ribosomal protein S6 kinase</t>
  </si>
  <si>
    <t>Myotubularin related protein 1, isoform CRA_a</t>
  </si>
  <si>
    <t>Delta-aminolevulinic acid dehydratase</t>
  </si>
  <si>
    <t>Tubulin-specific chaperone E</t>
  </si>
  <si>
    <t>Puromycin-sensitive aminopeptidase</t>
  </si>
  <si>
    <t>FYVE, RhoGEF and PH domain-containing protein 4</t>
  </si>
  <si>
    <t>Deoxyribonuclease-2-alpha</t>
  </si>
  <si>
    <t>Cysteine conjugate-beta lyase cytoplasmic (Glutamine transaminase K, kyneurenine aminotransferase), isoform CRA_b</t>
  </si>
  <si>
    <t>Junctional adhesion molecule A</t>
  </si>
  <si>
    <t>Long-chain fatty acid transport protein 1</t>
  </si>
  <si>
    <t>Active breakpoint cluster region-related protein</t>
  </si>
  <si>
    <t>Zinc finger protein 346</t>
  </si>
  <si>
    <t>2,4-dienoyl-CoA reductase, mitochondrial</t>
  </si>
  <si>
    <t>BTB/POZ domain-containing adapter for CUL3-mediated RhoA degradation protein 2</t>
  </si>
  <si>
    <t>Nucleolar GTP-binding protein 1</t>
  </si>
  <si>
    <t>Ran-binding protein 3</t>
  </si>
  <si>
    <t>Zinc finger protein with KRAB and SCAN domains 4</t>
  </si>
  <si>
    <t>Delta(24)-sterol reductase</t>
  </si>
  <si>
    <t>Renin receptor</t>
  </si>
  <si>
    <t>Calbindin</t>
  </si>
  <si>
    <t>Sodium/potassium-transporting ATPase subunit beta-1</t>
  </si>
  <si>
    <t>PMS1 protein homolog 1</t>
  </si>
  <si>
    <t>N-acetylgalactosamine kinase</t>
  </si>
  <si>
    <t>Protein phosphatase 1 regulatory subunit 3G</t>
  </si>
  <si>
    <t>Endophilin-B2</t>
  </si>
  <si>
    <t>PPP2R5E protein</t>
  </si>
  <si>
    <t>SCARB1 protein</t>
  </si>
  <si>
    <t>Sphingomyelin phosphodiesterase 3</t>
  </si>
  <si>
    <t>COX18 protein</t>
  </si>
  <si>
    <t>CLASP1 protein</t>
  </si>
  <si>
    <t>ER degradation-enhancing alpha-mannosidase-like protein 3</t>
  </si>
  <si>
    <t>CARMIL2b</t>
  </si>
  <si>
    <t>Coiled-coil domain-containing protein 115</t>
  </si>
  <si>
    <t>Phosphatidylinositol N-acetylglucosaminyltransferase subunit Q (Fragment)</t>
  </si>
  <si>
    <t>U6 snRNA-associated Sm-like protein LSm5</t>
  </si>
  <si>
    <t>Serine/threonine-protein kinase 16</t>
  </si>
  <si>
    <t>Small ubiquitin-related modifier 1</t>
  </si>
  <si>
    <t>Thymosin alpha-1</t>
  </si>
  <si>
    <t>NGFI-A binding protein 1 (EGR1 binding protein 1), isoform CRA_b</t>
  </si>
  <si>
    <t>Cyclic AMP-dependent transcription factor ATF-2</t>
  </si>
  <si>
    <t>Coenzyme Q-binding protein COQ10 homolog B, mitochondrial</t>
  </si>
  <si>
    <t>Thioredoxin domain-containing protein 9 (Fragment)</t>
  </si>
  <si>
    <t>Arf-GAP domain and FG repeat-containing protein 1</t>
  </si>
  <si>
    <t>U4/U6.U5 tri-snRNP-associated protein 2</t>
  </si>
  <si>
    <t>Cytochrome c oxidase assembly factor 5</t>
  </si>
  <si>
    <t>Mitochondrial inner membrane protein</t>
  </si>
  <si>
    <t>BAK1 protein</t>
  </si>
  <si>
    <t>ATG12 autophagy related 12 homolog (S. cerevisiae), isoform CRA_b</t>
  </si>
  <si>
    <t>Kremen protein 1</t>
  </si>
  <si>
    <t>Putative WAS protein family homolog 3</t>
  </si>
  <si>
    <t>Myc-associated zinc finger protein</t>
  </si>
  <si>
    <t>Mediator of RNA polymerase II transcription subunit 30</t>
  </si>
  <si>
    <t>E3 ubiquitin-protein ligase makorin-1 (Fragment)</t>
  </si>
  <si>
    <t>NADH dehydrogenase [ubiquinone] 1 beta subcomplex subunit 2, mitochondrial</t>
  </si>
  <si>
    <t>Nuclear-interacting partner of ALK</t>
  </si>
  <si>
    <t>Coiled-coil domain-containing protein 126 (Fragment)</t>
  </si>
  <si>
    <t>Profilin-2</t>
  </si>
  <si>
    <t>Sorcin</t>
  </si>
  <si>
    <t>Mismatch repair endonuclease PMS2</t>
  </si>
  <si>
    <t>DnaJ homolog subfamily B member 2 (Fragment)</t>
  </si>
  <si>
    <t>Multiple epidermal growth factor-like domains protein 9</t>
  </si>
  <si>
    <t>NEDD8-conjugating enzyme UBE2F</t>
  </si>
  <si>
    <t>Sodium-driven chloride bicarbonate exchanger</t>
  </si>
  <si>
    <t>Ubiquitin-conjugating enzyme E2 E1 (Fragment)</t>
  </si>
  <si>
    <t>E3 ubiquitin-protein ligase Hakai (Fragment)</t>
  </si>
  <si>
    <t>Chromosome 3 open reading frame 31, isoform CRA_f</t>
  </si>
  <si>
    <t>DNA-directed RNA polymerase</t>
  </si>
  <si>
    <t>N-acetyllactosamine synthase</t>
  </si>
  <si>
    <t>Probable E3 ubiquitin-protein ligase makorin-2</t>
  </si>
  <si>
    <t>Ashwin</t>
  </si>
  <si>
    <t>IL-8(9-77)</t>
  </si>
  <si>
    <t>60S ribosomal protein L37a</t>
  </si>
  <si>
    <t>Programmed cell death protein 10 (Fragment)</t>
  </si>
  <si>
    <t>Insulin-like growth factor 1 receptor</t>
  </si>
  <si>
    <t>Rho GTPase-activating protein 31 (Fragment)</t>
  </si>
  <si>
    <t>Transport and Golgi organization 2 homolog (Fragment)</t>
  </si>
  <si>
    <t>Succinate-semialdehyde dehydrogenase, mitochondrial</t>
  </si>
  <si>
    <t>Synaptoporin</t>
  </si>
  <si>
    <t>40S ribosomal protein SA (Fragment)</t>
  </si>
  <si>
    <t>60S ribosomal export protein NMD3</t>
  </si>
  <si>
    <t>Translocon-associated protein subunit gamma</t>
  </si>
  <si>
    <t>HMG box transcription factor BBX</t>
  </si>
  <si>
    <t>Serine/arginine-rich-splicing factor 7</t>
  </si>
  <si>
    <t>Frataxin, mitochondrial</t>
  </si>
  <si>
    <t>BSD domain-containing protein 1</t>
  </si>
  <si>
    <t>Lysozyme g-like protein 2 (Fragment)</t>
  </si>
  <si>
    <t>Signal peptidase complex subunit 1</t>
  </si>
  <si>
    <t>Dr1-associated corepressor</t>
  </si>
  <si>
    <t>Tubulin alpha-4A chain (Fragment)</t>
  </si>
  <si>
    <t>Transmembrane and ubiquitin-like domain-containing protein 1 (Fragment)</t>
  </si>
  <si>
    <t>Nuclear receptor corepressor 2</t>
  </si>
  <si>
    <t>Cdc42 effector protein 3 (Fragment)</t>
  </si>
  <si>
    <t>Uncharacterized protein C19orf55 (Fragment)</t>
  </si>
  <si>
    <t>Integral membrane protein 2C (Fragment)</t>
  </si>
  <si>
    <t>Angio-associated migratory cell protein</t>
  </si>
  <si>
    <t>Thymidine phosphorylase (Fragment)</t>
  </si>
  <si>
    <t>Zinc finger protein 277 (Fragment)</t>
  </si>
  <si>
    <t>Acylamino-acid-releasing enzyme</t>
  </si>
  <si>
    <t>Sodium-coupled neutral amino acid transporter 5 (Fragment)</t>
  </si>
  <si>
    <t>Integrin alpha-6 heavy chain (Fragment)</t>
  </si>
  <si>
    <t>DNA-directed RNA polymerases I, II, and III subunit RPABC3 (Fragment)</t>
  </si>
  <si>
    <t>Septin-5</t>
  </si>
  <si>
    <t>FERM, RhoGEF and pleckstrin domain-containing protein 1</t>
  </si>
  <si>
    <t>O-acetyl-ADP-ribose deacetylase 1 (Fragment)</t>
  </si>
  <si>
    <t>Muscleblind-like protein 1</t>
  </si>
  <si>
    <t>NF-kappa-B inhibitor-interacting Ras-like protein 2</t>
  </si>
  <si>
    <t>Coiled-coil domain-containing protein 58</t>
  </si>
  <si>
    <t>Nucleoside diphosphate kinase</t>
  </si>
  <si>
    <t>Peptidyl-prolyl cis-trans isomerase (Fragment)</t>
  </si>
  <si>
    <t>Serine/threonine-protein kinase 11-interacting protein</t>
  </si>
  <si>
    <t>DNA-binding protein SATB2</t>
  </si>
  <si>
    <t>Vesicle-trafficking protein SEC22a (Fragment)</t>
  </si>
  <si>
    <t>Coiled-coil-helix-coiled-coil-helix domain-containing protein 3, mitochondrial</t>
  </si>
  <si>
    <t>Proton-coupled folate transporter</t>
  </si>
  <si>
    <t>Forkhead box J3, isoform CRA_b (Fragment)</t>
  </si>
  <si>
    <t>Mesoderm-specific transcript homolog protein (Fragment)</t>
  </si>
  <si>
    <t>Ribonuclease P protein subunit p20 (Fragment)</t>
  </si>
  <si>
    <t>Synaptophysin-like protein 1</t>
  </si>
  <si>
    <t>Neuronal cell adhesion molecule</t>
  </si>
  <si>
    <t>Inositol polyphosphate 5-phosphatase K (Fragment)</t>
  </si>
  <si>
    <t>Replication factor C subunit 4</t>
  </si>
  <si>
    <t>Nucleosome assembly protein 1-like 4 (Fragment)</t>
  </si>
  <si>
    <t>Dehydrogenase/reductase SDR family member 2 (Fragment)</t>
  </si>
  <si>
    <t>ADP-ribosylation factor GTPase-activating protein 3</t>
  </si>
  <si>
    <t>Poly(rC)-binding protein 4 (Fragment)</t>
  </si>
  <si>
    <t>Ubiquitin-conjugating enzyme E2 H (Fragment)</t>
  </si>
  <si>
    <t>Ras association (RalGDS/AF-6) and pleckstrin homology domains 1, isoform CRA_b</t>
  </si>
  <si>
    <t>Eukaryotic translation initiation factor 4 gamma 2 (Fragment)</t>
  </si>
  <si>
    <t>Nuclear receptor binding protein 2, isoform CRA_b</t>
  </si>
  <si>
    <t>Sodium bicarbonate cotransporter 3</t>
  </si>
  <si>
    <t>60S ribosomal protein L32 (Fragment)</t>
  </si>
  <si>
    <t>NADPH-dependent diflavin oxidoreductase 1</t>
  </si>
  <si>
    <t>Tapasin</t>
  </si>
  <si>
    <t>Calcium/calmodulin-dependent protein kinase (CaM kinase) II delta, isoform CRA_e</t>
  </si>
  <si>
    <t>DNA-directed RNA polymerase III subunit RPC7 (Fragment)</t>
  </si>
  <si>
    <t>Single-stranded DNA-binding protein 2 (Fragment)</t>
  </si>
  <si>
    <t>Transmembrane protein 161B</t>
  </si>
  <si>
    <t>Interferon regulatory factor 2</t>
  </si>
  <si>
    <t>Protein FAM173B</t>
  </si>
  <si>
    <t>Eukaryotic translation initiation factor 4E</t>
  </si>
  <si>
    <t>Protein FAM135A</t>
  </si>
  <si>
    <t>Estradiol 17-beta-dehydrogenase 11</t>
  </si>
  <si>
    <t>Glutamyl-tRNA(Gln) amidotransferase subunit B, mitochondrial</t>
  </si>
  <si>
    <t>DTW domain-containing protein 2</t>
  </si>
  <si>
    <t>CDC42 small effector protein 2</t>
  </si>
  <si>
    <t>BRCA1-A complex subunit Abraxas</t>
  </si>
  <si>
    <t>Protein transport protein Sec31A</t>
  </si>
  <si>
    <t>Syntaxin-18</t>
  </si>
  <si>
    <t>Deoxycytidine kinase</t>
  </si>
  <si>
    <t>Monocyte differentiation antigen CD14, urinary form (Fragment)</t>
  </si>
  <si>
    <t>Septin 11, isoform CRA_b</t>
  </si>
  <si>
    <t>Centromere protein K</t>
  </si>
  <si>
    <t>Ribonuclease T2 (Fragment)</t>
  </si>
  <si>
    <t>Cytochrome c oxidase subunit 7A2, mitochondrial</t>
  </si>
  <si>
    <t>Major facilitator superfamily domain-containing protein 10</t>
  </si>
  <si>
    <t>von Willebrand factor A domain-containing protein 8</t>
  </si>
  <si>
    <t>Protein C15orf38-AP3S2</t>
  </si>
  <si>
    <t>Geminin (Fragment)</t>
  </si>
  <si>
    <t>39S ribosomal protein L13, mitochondrial</t>
  </si>
  <si>
    <t>E3 SUMO-protein ligase NSE2</t>
  </si>
  <si>
    <t>Putative deoxyribonuclease TATDN1 (Fragment)</t>
  </si>
  <si>
    <t>Triple QxxK/R motif-containing protein</t>
  </si>
  <si>
    <t>Stathmin</t>
  </si>
  <si>
    <t>Derlin-1</t>
  </si>
  <si>
    <t>EF-hand calcium-binding domain-containing protein 3 (Fragment)</t>
  </si>
  <si>
    <t>Transcription elongation factor B polypeptide 1 (Fragment)</t>
  </si>
  <si>
    <t>Dynamin-3</t>
  </si>
  <si>
    <t>Store-operated calcium entry-associated regulatory factor (Fragment)</t>
  </si>
  <si>
    <t>Erlin-2 (Fragment)</t>
  </si>
  <si>
    <t>60S ribosomal protein L30 (Fragment)</t>
  </si>
  <si>
    <t>TELO2-interacting protein 2</t>
  </si>
  <si>
    <t>mTERF domain-containing protein 1, mitochondrial</t>
  </si>
  <si>
    <t>Inositol monophosphatase 1 (Fragment)</t>
  </si>
  <si>
    <t>Small EDRK-rich factor 1</t>
  </si>
  <si>
    <t>Indoleamine 2,3-dioxygenase 1 (Fragment)</t>
  </si>
  <si>
    <t>Presenilin-2 CTF subunit</t>
  </si>
  <si>
    <t>AN1-type zinc finger protein 1</t>
  </si>
  <si>
    <t>2,4-dienoyl-CoA reductase, mitochondrial (Fragment)</t>
  </si>
  <si>
    <t>8-oxo-dGDP phosphatase NUDT18</t>
  </si>
  <si>
    <t>S-phase kinase-associated protein 1</t>
  </si>
  <si>
    <t>Uncharacterized protein</t>
  </si>
  <si>
    <t>GPI ethanolamine phosphate transferase 2</t>
  </si>
  <si>
    <t>COP9 signalosome complex subunit 6</t>
  </si>
  <si>
    <t>E3 ubiquitin-protein ligase RNF5</t>
  </si>
  <si>
    <t>Tyrosine-protein phosphatase non-receptor type 18 (Fragment)</t>
  </si>
  <si>
    <t>Acid ceramidase</t>
  </si>
  <si>
    <t>Protein phosphatase inhibitor 2 (Fragment)</t>
  </si>
  <si>
    <t>Ankycorbin</t>
  </si>
  <si>
    <t>Transforming acidic coiled-coil-containing protein 2</t>
  </si>
  <si>
    <t>Dyslexia-associated protein KIAA0319-like protein (Fragment)</t>
  </si>
  <si>
    <t>Zinc finger protein 143</t>
  </si>
  <si>
    <t>Nicastrin</t>
  </si>
  <si>
    <t>Double-stranded RNA-specific adenosine deaminase</t>
  </si>
  <si>
    <t>Leucine-rich repeat and fibronectin type-III domain-containing protein 4</t>
  </si>
  <si>
    <t>Breast cancer type 1 susceptibility protein</t>
  </si>
  <si>
    <t>Nuclear prelamin A recognition factor</t>
  </si>
  <si>
    <t>60S ribosomal protein L14</t>
  </si>
  <si>
    <t>CD44 antigen</t>
  </si>
  <si>
    <t>Target of Myb protein 1</t>
  </si>
  <si>
    <t>Pyridoxal-dependent decarboxylase domain-containing protein 1</t>
  </si>
  <si>
    <t>4-hydroxybenzoate polyprenyltransferase, mitochondrial</t>
  </si>
  <si>
    <t>Protein PRRC2C</t>
  </si>
  <si>
    <t>NADH dehydrogenase [ubiquinone] flavoprotein 2, mitochondrial</t>
  </si>
  <si>
    <t>Protransforming growth factor alpha</t>
  </si>
  <si>
    <t>TNFAIP3-interacting protein 1</t>
  </si>
  <si>
    <t>N-alpha-acetyltransferase 50</t>
  </si>
  <si>
    <t>Proline dehydrogenase 1, mitochondrial</t>
  </si>
  <si>
    <t>Rho GTPase-activating protein 4</t>
  </si>
  <si>
    <t>Sentrin-specific protease 6</t>
  </si>
  <si>
    <t>Protein YIPF3</t>
  </si>
  <si>
    <t>Apoptotic chromatin condensation inducer in the nucleus</t>
  </si>
  <si>
    <t>Ribosomal protein L15 (Fragment)</t>
  </si>
  <si>
    <t>PR domain zinc finger protein 15</t>
  </si>
  <si>
    <t>Endoplasmic reticulum metallopeptidase 1</t>
  </si>
  <si>
    <t>GEM-interacting protein</t>
  </si>
  <si>
    <t>Tensin-3</t>
  </si>
  <si>
    <t>Zinc finger CCCH domain-containing protein 18</t>
  </si>
  <si>
    <t>High mobility group protein B3 (Fragment)</t>
  </si>
  <si>
    <t>Tetratricopeptide repeat protein 38</t>
  </si>
  <si>
    <t>Heat shock 70 kDa protein 4L</t>
  </si>
  <si>
    <t>U4/U6 small nuclear ribonucleoprotein Prp31</t>
  </si>
  <si>
    <t>Integrin alpha-2</t>
  </si>
  <si>
    <t>N-acetyltransferase 10</t>
  </si>
  <si>
    <t>Chordin</t>
  </si>
  <si>
    <t>NADH dehydrogenase [ubiquinone] 1 alpha subcomplex subunit 10, mitochondrial</t>
  </si>
  <si>
    <t>U2 snRNP-associated SURP motif-containing protein</t>
  </si>
  <si>
    <t>Probable E3 ubiquitin-protein ligase DTX2</t>
  </si>
  <si>
    <t>Aspartyl aminopeptidase</t>
  </si>
  <si>
    <t>40S ribosomal protein S24</t>
  </si>
  <si>
    <t>Basic leucine zipper and W2 domain-containing protein 2 (Fragment)</t>
  </si>
  <si>
    <t>Helicase ARIP4</t>
  </si>
  <si>
    <t>Rab GDP dissociation inhibitor beta</t>
  </si>
  <si>
    <t>Casein kinase II subunit alpha</t>
  </si>
  <si>
    <t>ATP-binding cassette sub-family D member 3</t>
  </si>
  <si>
    <t>Sperm-specific antigen 2</t>
  </si>
  <si>
    <t>Nucleoporin p54</t>
  </si>
  <si>
    <t>PiggyBac transposable element-derived protein 3</t>
  </si>
  <si>
    <t>Methyl-CpG-binding domain protein 1</t>
  </si>
  <si>
    <t>Microtubule-associated protein</t>
  </si>
  <si>
    <t>Autophagy-related protein 16-1</t>
  </si>
  <si>
    <t>Cytoplasmic FMR1-interacting protein 2</t>
  </si>
  <si>
    <t>Retinoic acid-induced protein 1</t>
  </si>
  <si>
    <t>Protein SDA1 homolog</t>
  </si>
  <si>
    <t>DNA polymerase beta (Fragment)</t>
  </si>
  <si>
    <t>Unconventional myosin-VI</t>
  </si>
  <si>
    <t>Vacuolar fusion protein MON1 homolog B</t>
  </si>
  <si>
    <t>Septin-10</t>
  </si>
  <si>
    <t>Abl interactor 2</t>
  </si>
  <si>
    <t>Exocyst complex component 6</t>
  </si>
  <si>
    <t>Zinc finger MIZ domain-containing protein 2</t>
  </si>
  <si>
    <t>NADH dehydrogenase [ubiquinone] 1 beta subcomplex subunit 5, mitochondrial</t>
  </si>
  <si>
    <t>NAD-dependent protein deacetylase sirtuin-2 (Fragment)</t>
  </si>
  <si>
    <t>MAGUK p55 subfamily member 2</t>
  </si>
  <si>
    <t>Eukaryotic translation initiation factor 4B</t>
  </si>
  <si>
    <t>Propionyl-CoA carboxylase beta chain, mitochondrial</t>
  </si>
  <si>
    <t>Dynactin subunit 1</t>
  </si>
  <si>
    <t>5-nucleotidase domain-containing protein 2</t>
  </si>
  <si>
    <t>Ribonucleoprotein PTB-binding 1</t>
  </si>
  <si>
    <t>G patch domain-containing protein 4</t>
  </si>
  <si>
    <t>Transcription factor HES-4</t>
  </si>
  <si>
    <t>THO complex subunit 4</t>
  </si>
  <si>
    <t>Transmembrane protein 201</t>
  </si>
  <si>
    <t>CUGBP Elav-like family member 2</t>
  </si>
  <si>
    <t>Serine/threonine-protein kinase MARK2</t>
  </si>
  <si>
    <t>Translation initiation factor eIF-2B subunit epsilon</t>
  </si>
  <si>
    <t>Epididymis-specific alpha-mannosidase</t>
  </si>
  <si>
    <t>Folliculin-interacting protein 1</t>
  </si>
  <si>
    <t>Golgi SNAP receptor complex member 1</t>
  </si>
  <si>
    <t>Tolloid-like protein 1</t>
  </si>
  <si>
    <t>Cytoskeleton-associated protein 2</t>
  </si>
  <si>
    <t>Armadillo repeat protein deleted in velo-cardio-facial syndrome</t>
  </si>
  <si>
    <t>Unconventional myosin-Ib</t>
  </si>
  <si>
    <t>Intraflagellar transport protein 122 homolog</t>
  </si>
  <si>
    <t>RPA-interacting protein</t>
  </si>
  <si>
    <t>Integrin beta</t>
  </si>
  <si>
    <t>Cell division cycle-associated protein 2</t>
  </si>
  <si>
    <t>Probable phospholipid-transporting ATPase IH</t>
  </si>
  <si>
    <t>Exportin-7</t>
  </si>
  <si>
    <t>Disco-interacting protein 2 homolog A</t>
  </si>
  <si>
    <t>3-phosphoinositide-dependent protein kinase 1</t>
  </si>
  <si>
    <t>Protein diaphanous homolog 1</t>
  </si>
  <si>
    <t>Nuclear pore complex protein Nup155</t>
  </si>
  <si>
    <t>Acyl-CoA synthetase family member 2, mitochondrial</t>
  </si>
  <si>
    <t>Hydroxyacyl-coenzyme A dehydrogenase, mitochondrial</t>
  </si>
  <si>
    <t>Transducin beta-like protein 2</t>
  </si>
  <si>
    <t>Vacuolar protein sorting-associated protein 41 homolog</t>
  </si>
  <si>
    <t>Mitochondrial thiamine pyrophosphate carrier</t>
  </si>
  <si>
    <t>C-Jun-amino-terminal kinase-interacting protein 3</t>
  </si>
  <si>
    <t>Rab5 GDP/GTP exchange factor</t>
  </si>
  <si>
    <t>Serine/threonine-protein phosphatase 2A 56 kDa regulatory subunit delta isoform</t>
  </si>
  <si>
    <t>Centrosomal protein of 97 kDa</t>
  </si>
  <si>
    <t>Translin</t>
  </si>
  <si>
    <t>Thioredoxin-dependent peroxide reductase, mitochondrial</t>
  </si>
  <si>
    <t>Methylcrotonoyl-CoA carboxylase subunit alpha, mitochondrial</t>
  </si>
  <si>
    <t>Cytochrome P450 20A1</t>
  </si>
  <si>
    <t>E3 SUMO-protein ligase PIAS3</t>
  </si>
  <si>
    <t>Band 4.1-like protein 2</t>
  </si>
  <si>
    <t>Maestro heat-like repeat-containing protein family member 1</t>
  </si>
  <si>
    <t>Succinate dehydrogenase [ubiquinone] cytochrome b small subunit, mitochondrial</t>
  </si>
  <si>
    <t>Mitochondrial carrier homolog 2 (Fragment)</t>
  </si>
  <si>
    <t>Splicing factor 3B subunit 2 (Fragment)</t>
  </si>
  <si>
    <t>T-complex protein 11-like protein 1</t>
  </si>
  <si>
    <t>UBX domain-containing protein 1 (Fragment)</t>
  </si>
  <si>
    <t>Cysteine and histidine-rich protein 1</t>
  </si>
  <si>
    <t>Breast cancer metastasis-suppressor 1 (Fragment)</t>
  </si>
  <si>
    <t>CD81 antigen</t>
  </si>
  <si>
    <t>F-box only protein 3</t>
  </si>
  <si>
    <t>Elongation factor 1-delta (Fragment)</t>
  </si>
  <si>
    <t>Sorting nexin-15 (Fragment)</t>
  </si>
  <si>
    <t>Bcl-2-associated transcription factor 1</t>
  </si>
  <si>
    <t>CAAX prenyl protease 2</t>
  </si>
  <si>
    <t>Pleckstrin homology domain-containing family A member 7</t>
  </si>
  <si>
    <t>Sterol O-acyltransferase 1 (Fragment)</t>
  </si>
  <si>
    <t>Protein arginine N-methyltransferase 1</t>
  </si>
  <si>
    <t>Nucleolar transcription factor 1</t>
  </si>
  <si>
    <t>Porimin</t>
  </si>
  <si>
    <t>39S ribosomal protein L17, mitochondrial (Fragment)</t>
  </si>
  <si>
    <t>Tetratricopeptide repeat protein 9C (Fragment)</t>
  </si>
  <si>
    <t>Transcription factor BTF3 homolog 4</t>
  </si>
  <si>
    <t>Collectin-12</t>
  </si>
  <si>
    <t>Etoposide-induced protein 2.4 homolog (Fragment)</t>
  </si>
  <si>
    <t>Ras-related protein Rab-7L1</t>
  </si>
  <si>
    <t>Protein NEDD8-MDP1 (Fragment)</t>
  </si>
  <si>
    <t>60S ribosomal protein L27a</t>
  </si>
  <si>
    <t>Platelet glycoprotein 4</t>
  </si>
  <si>
    <t>Small acidic protein (Fragment)</t>
  </si>
  <si>
    <t>Baculoviral IAP repeat-containing protein 2</t>
  </si>
  <si>
    <t>Methylosome subunit pICln</t>
  </si>
  <si>
    <t>Protein FAM118B (Fragment)</t>
  </si>
  <si>
    <t>Autophagy-related protein 13 (Fragment)</t>
  </si>
  <si>
    <t>CD151 antigen</t>
  </si>
  <si>
    <t>Rho guanine nucleotide exchange factor 12</t>
  </si>
  <si>
    <t>LIM domain only protein 7</t>
  </si>
  <si>
    <t>ADP-ribosylation factor GTPase-activating protein 2 (Fragment)</t>
  </si>
  <si>
    <t>Heat shock cognate 71 kDa protein (Fragment)</t>
  </si>
  <si>
    <t>Receptor-binding cancer antigen-expressed on SiSo cells</t>
  </si>
  <si>
    <t>Diacylglycerol kinase zeta</t>
  </si>
  <si>
    <t>Thioredoxin reductase 1, cytoplasmic</t>
  </si>
  <si>
    <t>Rho GTPase-activating protein 27</t>
  </si>
  <si>
    <t>CD59 glycoprotein</t>
  </si>
  <si>
    <t>Ribosomal RNA-processing protein 8</t>
  </si>
  <si>
    <t>Kinetochore protein Nuf2</t>
  </si>
  <si>
    <t>Peroxisomal membrane protein PEX16</t>
  </si>
  <si>
    <t>Caspase recruitment domain-containing protein 16 (Fragment)</t>
  </si>
  <si>
    <t>Prefoldin subunit 4</t>
  </si>
  <si>
    <t>40S ribosomal protein S30</t>
  </si>
  <si>
    <t>Repressor of RNA polymerase III transcription MAF1 homolog (Fragment)</t>
  </si>
  <si>
    <t>Solute carrier family 22 member 18</t>
  </si>
  <si>
    <t>Probable RNA-binding protein EIF1AD</t>
  </si>
  <si>
    <t>Elongation factor 1-delta</t>
  </si>
  <si>
    <t>N-terminal kinase-like protein</t>
  </si>
  <si>
    <t>Protein SMCO4 (Fragment)</t>
  </si>
  <si>
    <t>Transmembrane 9 superfamily member 1</t>
  </si>
  <si>
    <t>6-phosphofructo-2-kinase</t>
  </si>
  <si>
    <t>Myosin-14</t>
  </si>
  <si>
    <t>FGGY carbohydrate kinase domain-containing protein</t>
  </si>
  <si>
    <t>tRNA (uracil-5-)-methyltransferase homolog A</t>
  </si>
  <si>
    <t>Exportin-4</t>
  </si>
  <si>
    <t>General transcription factor IIH subunit 3 (Fragment)</t>
  </si>
  <si>
    <t>Transmembrane protein 258</t>
  </si>
  <si>
    <t>WASH complex subunit CCDC53</t>
  </si>
  <si>
    <t>Serine/threonine-protein kinase WNK1</t>
  </si>
  <si>
    <t>Chromodomain-helicase-DNA-binding protein 4</t>
  </si>
  <si>
    <t>Podocalyxin</t>
  </si>
  <si>
    <t>Protein FAM76B</t>
  </si>
  <si>
    <t>Lysine-specific demethylase 4B</t>
  </si>
  <si>
    <t>Protein furry homolog-like</t>
  </si>
  <si>
    <t>Succinyl-CoA ligase [ADP-forming] subunit beta, mitochondrial</t>
  </si>
  <si>
    <t>Arginyl-tRNA--protein transferase 1</t>
  </si>
  <si>
    <t>AF4/FMR2 family member 1</t>
  </si>
  <si>
    <t>Receptor-type tyrosine-protein phosphatase kappa</t>
  </si>
  <si>
    <t>Stromal interaction molecule 2</t>
  </si>
  <si>
    <t>DnaJ homolog subfamily B member 11</t>
  </si>
  <si>
    <t>Dolichyl-diphosphooligosaccharide--protein glycosyltransferase subunit DAD1</t>
  </si>
  <si>
    <t>Spindle assembly abnormal protein 6 homolog</t>
  </si>
  <si>
    <t>Vasculin</t>
  </si>
  <si>
    <t>Polypeptide N-acetylgalactosaminyltransferase 1 soluble form</t>
  </si>
  <si>
    <t>Ubiquitin thioesterase OTUB1</t>
  </si>
  <si>
    <t>V-type proton ATPase subunit d 1</t>
  </si>
  <si>
    <t>Delta(14)-sterol reductase</t>
  </si>
  <si>
    <t>ER degradation-enhancing alpha-mannosidase-like protein 2</t>
  </si>
  <si>
    <t>Paxillin</t>
  </si>
  <si>
    <t>Pleckstrin homology domain-containing family B member 1 (Fragment)</t>
  </si>
  <si>
    <t>Processed exostosin-like 2</t>
  </si>
  <si>
    <t>Tripartite motif-containing protein 59</t>
  </si>
  <si>
    <t>Probable ATP-dependent RNA helicase DHX36</t>
  </si>
  <si>
    <t>4F2 cell-surface antigen heavy chain</t>
  </si>
  <si>
    <t>Constitutive coactivator of peroxisome proliferator-activated receptor gamma</t>
  </si>
  <si>
    <t>E3 ubiquitin-protein ligase TRIM21</t>
  </si>
  <si>
    <t>Tumor protein D52</t>
  </si>
  <si>
    <t>Anaphase-promoting complex subunit 5</t>
  </si>
  <si>
    <t>SEC23-interacting protein</t>
  </si>
  <si>
    <t>CLK4-associating serine/arginine-rich protein</t>
  </si>
  <si>
    <t>Myeloid leukemia factor 2 (Fragment)</t>
  </si>
  <si>
    <t>G-protein-coupled receptor 56</t>
  </si>
  <si>
    <t>DnaJ homolog subfamily A member 4</t>
  </si>
  <si>
    <t>Abl interactor 1</t>
  </si>
  <si>
    <t>Thioredoxin reductase 2, mitochondrial</t>
  </si>
  <si>
    <t>Protein FLJ22184</t>
  </si>
  <si>
    <t>Lipopolysaccharide-responsive and beige-like anchor protein</t>
  </si>
  <si>
    <t>Golgi-associated PDZ and coiled-coil motif-containing protein</t>
  </si>
  <si>
    <t>PCTP-like protein (Fragment)</t>
  </si>
  <si>
    <t>Ataxin-3</t>
  </si>
  <si>
    <t>DmX-like protein 1</t>
  </si>
  <si>
    <t>Ankyrin repeat and LEM domain-containing protein 2</t>
  </si>
  <si>
    <t>Vacuole membrane protein 1</t>
  </si>
  <si>
    <t>Protein lunapark</t>
  </si>
  <si>
    <t>Dynactin subunit 2</t>
  </si>
  <si>
    <t>Serine/threonine-protein kinase PRP4 homolog</t>
  </si>
  <si>
    <t>Fatty acid desaturase 3</t>
  </si>
  <si>
    <t>Pre-mRNA-splicing factor SYF1</t>
  </si>
  <si>
    <t>Protein transport protein Sec23A</t>
  </si>
  <si>
    <t>Importin subunit alpha</t>
  </si>
  <si>
    <t>ATP synthase subunit f, mitochondrial</t>
  </si>
  <si>
    <t>Tight junction protein ZO-3</t>
  </si>
  <si>
    <t>Programmed cell death protein 2</t>
  </si>
  <si>
    <t>V-type proton ATPase 116 kDa subunit a isoform 1</t>
  </si>
  <si>
    <t>Protein BRICK1</t>
  </si>
  <si>
    <t>Tubulin alpha-1C chain</t>
  </si>
  <si>
    <t>G-rich sequence factor 1</t>
  </si>
  <si>
    <t>Interferon gamma receptor 1</t>
  </si>
  <si>
    <t>Serine/threonine-protein kinase MRCK alpha</t>
  </si>
  <si>
    <t>NADH dehydrogenase [ubiquinone] iron-sulfur protein 7, mitochondrial</t>
  </si>
  <si>
    <t>2-oxoisovalerate dehydrogenase subunit alpha, mitochondrial</t>
  </si>
  <si>
    <t>Probable sodium-coupled neutral amino acid transporter 6</t>
  </si>
  <si>
    <t>CLIP-associating protein 2</t>
  </si>
  <si>
    <t>Oxidoreductase NAD-binding domain-containing protein 1</t>
  </si>
  <si>
    <t>Leucine--tRNA ligase, cytoplasmic</t>
  </si>
  <si>
    <t>Nucleolar protein 10</t>
  </si>
  <si>
    <t>39S ribosomal protein L48, mitochondrial</t>
  </si>
  <si>
    <t>WW domain-binding protein 11</t>
  </si>
  <si>
    <t>Methionine-R-sulfoxide reductase B3 (Fragment)</t>
  </si>
  <si>
    <t>Microsomal glutathione S-transferase 1 (Fragment)</t>
  </si>
  <si>
    <t>GA-binding protein subunit beta-1</t>
  </si>
  <si>
    <t>Lactadherin short form</t>
  </si>
  <si>
    <t>Ribosomal protein S6 kinase delta-1</t>
  </si>
  <si>
    <t>Receptor expression-enhancing protein 1</t>
  </si>
  <si>
    <t>2-oxoglutarate dehydrogenase, mitochondrial</t>
  </si>
  <si>
    <t>Type I inositol 3,4-bisphosphate 4-phosphatase</t>
  </si>
  <si>
    <t>Mediator of RNA polymerase II transcription subunit 21</t>
  </si>
  <si>
    <t>Activating signal cointegrator 1 complex subunit 1</t>
  </si>
  <si>
    <t>Kunitz-type protease inhibitor 1</t>
  </si>
  <si>
    <t>Heat shock protein 75 kDa, mitochondrial</t>
  </si>
  <si>
    <t>DNA repair protein XRCC1</t>
  </si>
  <si>
    <t>Mevalonate kinase</t>
  </si>
  <si>
    <t>Rab GTPase-activating protein 1-like</t>
  </si>
  <si>
    <t>SID1 transmembrane family member 2</t>
  </si>
  <si>
    <t>Epsin-2 (Fragment)</t>
  </si>
  <si>
    <t>Signal-induced proliferation-associated protein 1</t>
  </si>
  <si>
    <t>Phosphatidylinositol 3-kinase regulatory subunit gamma</t>
  </si>
  <si>
    <t>Calcineurin subunit B type 1</t>
  </si>
  <si>
    <t>Putative hydroxypyruvate isomerase (Fragment)</t>
  </si>
  <si>
    <t>Tumor protein D53</t>
  </si>
  <si>
    <t>Eukaryotic translation initiation factor 4B (Fragment)</t>
  </si>
  <si>
    <t>DNA fragmentation factor subunit beta</t>
  </si>
  <si>
    <t>Spliceosome RNA helicase DDX39B</t>
  </si>
  <si>
    <t>Zinc finger protein 36, C3H1 type-like 1 (Fragment)</t>
  </si>
  <si>
    <t>BRCA1-A complex subunit RAP80</t>
  </si>
  <si>
    <t>Methionine aminopeptidase</t>
  </si>
  <si>
    <t>RNA-binding protein fox-1 homolog 1 (Fragment)</t>
  </si>
  <si>
    <t>Transmembrane protein 19 (Fragment)</t>
  </si>
  <si>
    <t>Serine/threonine-protein kinase Nek3</t>
  </si>
  <si>
    <t>Tetraspanin-31</t>
  </si>
  <si>
    <t>Nuclear transcription factor Y subunit beta (Fragment)</t>
  </si>
  <si>
    <t>Plexin-A1</t>
  </si>
  <si>
    <t>Peptidyl-prolyl cis-trans isomerase</t>
  </si>
  <si>
    <t>Protein POC1B-GALNT4</t>
  </si>
  <si>
    <t>DAZ-associated protein 2</t>
  </si>
  <si>
    <t>CCR4-NOT transcription complex subunit 2 (Fragment)</t>
  </si>
  <si>
    <t>CD63 antigen</t>
  </si>
  <si>
    <t>Nucleosome assembly protein 1-like 1</t>
  </si>
  <si>
    <t>Coatomer subunit zeta-1</t>
  </si>
  <si>
    <t>Phosphofurin acidic cluster sorting protein 2</t>
  </si>
  <si>
    <t>Cysteine and glycine-rich protein 2</t>
  </si>
  <si>
    <t>Protein MON2 homolog</t>
  </si>
  <si>
    <t>Putative Dol-P-Glc:Glc(2)Man(9)GlcNAc(2)-PP-Dol alpha-1,2-glucosyltransferase</t>
  </si>
  <si>
    <t>Sodium-coupled neutral amino acid transporter 1</t>
  </si>
  <si>
    <t>Protein SCAF11</t>
  </si>
  <si>
    <t>Nucleosome assembly protein 1-like 1 (Fragment)</t>
  </si>
  <si>
    <t>ADP-ribosylation factor-like protein 1</t>
  </si>
  <si>
    <t>LETM1 domain-containing protein 1 (Fragment)</t>
  </si>
  <si>
    <t>Nascent polypeptide-associated complex subunit alpha</t>
  </si>
  <si>
    <t>Uncharacterized protein (Fragment)</t>
  </si>
  <si>
    <t>Chromatin complexes subunit BAP18</t>
  </si>
  <si>
    <t>Periphilin-1</t>
  </si>
  <si>
    <t>Natural resistance-associated macrophage protein 2</t>
  </si>
  <si>
    <t>Biotinidase</t>
  </si>
  <si>
    <t>DNA-binding protein RFX5 (Fragment)</t>
  </si>
  <si>
    <t>Heterogeneous nuclear ribonucleoprotein A1</t>
  </si>
  <si>
    <t>Membrane-associated guanylate kinase, WW and PDZ domain-containing protein 1</t>
  </si>
  <si>
    <t>Ubiquitin-associated protein 2-like</t>
  </si>
  <si>
    <t>Golgi integral membrane protein 4</t>
  </si>
  <si>
    <t>Molybdopterin molybdenumtransferase</t>
  </si>
  <si>
    <t>Protein FAM162A</t>
  </si>
  <si>
    <t>Protein FAM73A</t>
  </si>
  <si>
    <t>Vezatin (Fragment)</t>
  </si>
  <si>
    <t>Histone RNA hairpin-binding protein</t>
  </si>
  <si>
    <t>Plastin-3</t>
  </si>
  <si>
    <t>Protein FAM179A</t>
  </si>
  <si>
    <t>Ras-related protein Rab-24</t>
  </si>
  <si>
    <t>Nucleolysin TIA-1 isoform p40</t>
  </si>
  <si>
    <t>Calcium-dependent secretion activator 2</t>
  </si>
  <si>
    <t>Syntaxin-5</t>
  </si>
  <si>
    <t>FSD1-like protein</t>
  </si>
  <si>
    <t>Peripheral plasma membrane protein CASK</t>
  </si>
  <si>
    <t>Engulfment and cell motility protein 3</t>
  </si>
  <si>
    <t>Protein-L-isoaspartate O-methyltransferase domain-containing protein 2</t>
  </si>
  <si>
    <t>Serine/threonine-protein kinase WNK2</t>
  </si>
  <si>
    <t>Dual-specificity tyrosine-phosphorylation-regulated kinase 1A</t>
  </si>
  <si>
    <t>Leukocyte receptor cluster member 8</t>
  </si>
  <si>
    <t>Mediator of RNA polymerase II transcription subunit 24</t>
  </si>
  <si>
    <t>Coiled-coil domain-containing protein 93</t>
  </si>
  <si>
    <t>S-adenosylmethionine mitochondrial carrier protein</t>
  </si>
  <si>
    <t>Disintegrin and metalloproteinase domain-containing protein 22 (Fragment)</t>
  </si>
  <si>
    <t>Cohesin subunit SA-2</t>
  </si>
  <si>
    <t>Selenoprotein W</t>
  </si>
  <si>
    <t>39S ribosomal protein L40, mitochondrial</t>
  </si>
  <si>
    <t>GTP-binding protein 8</t>
  </si>
  <si>
    <t>Kinesin-like protein KIF21A</t>
  </si>
  <si>
    <t>8-oxoguanine DNA glycosylase</t>
  </si>
  <si>
    <t>Atlastin-1</t>
  </si>
  <si>
    <t>Nucleolar protein 8 (Fragment)</t>
  </si>
  <si>
    <t>Kinase suppressor of Ras 1</t>
  </si>
  <si>
    <t>AN1-type zinc finger protein 2B</t>
  </si>
  <si>
    <t>Translocation protein SEC62</t>
  </si>
  <si>
    <t>Dol-P-Man:Man(5)GlcNAc(2)-PP-Dol alpha-1,3-mannosyltransferase</t>
  </si>
  <si>
    <t>NADH dehydrogenase (Ubiquinone) flavoprotein 1, 51kDa, isoform CRA_c</t>
  </si>
  <si>
    <t>Epidermal retinol dehydrogenase 2</t>
  </si>
  <si>
    <t>Gasdermin domain containing 1, isoform CRA_d</t>
  </si>
  <si>
    <t>Dipeptidyl peptidase 3</t>
  </si>
  <si>
    <t>Paraoxonase 2, isoform CRA_a</t>
  </si>
  <si>
    <t>Loss of heterozygosity 12 chromosomal region 1 protein</t>
  </si>
  <si>
    <t>Inositol-3-phosphate synthase 1</t>
  </si>
  <si>
    <t>Activating transcription factor 7 interacting protein, isoform CRA_f</t>
  </si>
  <si>
    <t>Golgi transport 1 homolog B (S. cerevisiae), isoform CRA_c</t>
  </si>
  <si>
    <t>Zinc finger CCHC-type and RNA binding motif 1, isoform CRA_b</t>
  </si>
  <si>
    <t>60S ribosomal protein L18</t>
  </si>
  <si>
    <t>Transmembrane and coiled-coil domain family 3, isoform CRA_c</t>
  </si>
  <si>
    <t>Methyltransferase-like protein 10</t>
  </si>
  <si>
    <t>HCG2044781</t>
  </si>
  <si>
    <t>Acylphosphatase</t>
  </si>
  <si>
    <t>Pentatricopeptide repeat-containing protein 1, mitochondrial</t>
  </si>
  <si>
    <t>Fermitin family homolog 2</t>
  </si>
  <si>
    <t>Unconventional myosin-Va</t>
  </si>
  <si>
    <t>Uncharacterized protein C14orf93 (Fragment)</t>
  </si>
  <si>
    <t>DDB1- and CUL4-associated factor 8</t>
  </si>
  <si>
    <t>NF-kappa-B inhibitor alpha</t>
  </si>
  <si>
    <t>Mediator of RNA polymerase II transcription subunit 6</t>
  </si>
  <si>
    <t>Glutathione peroxidase</t>
  </si>
  <si>
    <t>Spermatogenesis-defective protein 39 homolog</t>
  </si>
  <si>
    <t>Heterogeneous nuclear ribonucleoproteins C1/C2 (Fragment)</t>
  </si>
  <si>
    <t>Protein FAM177A1 (Fragment)</t>
  </si>
  <si>
    <t>cTAGE family member 5</t>
  </si>
  <si>
    <t>Cyclin-K</t>
  </si>
  <si>
    <t>Zinc finger FYVE domain-containing protein 1</t>
  </si>
  <si>
    <t>Maleylacetoacetate isomerase</t>
  </si>
  <si>
    <t>Cyclin-dependent kinase 2</t>
  </si>
  <si>
    <t>T1-TrpRS (Fragment)</t>
  </si>
  <si>
    <t>Proteasome subunit alpha type</t>
  </si>
  <si>
    <t>Nucleoporin NDC1</t>
  </si>
  <si>
    <t>AT rich interactive domain 1B (SWI1-like), isoform CRA_a</t>
  </si>
  <si>
    <t>Mitogen-activated protein kinase kinase kinase kinase 4</t>
  </si>
  <si>
    <t>Tetratricopeptide repeat domain 17, isoform CRA_c</t>
  </si>
  <si>
    <t>Solute carrier family 26 member 6</t>
  </si>
  <si>
    <t>Protein tyrosine phosphatase, receptor type, D, isoform CRA_c</t>
  </si>
  <si>
    <t>Poly(A) polymerase alpha</t>
  </si>
  <si>
    <t>Laminin subunit beta-1</t>
  </si>
  <si>
    <t>Protein FAM133B</t>
  </si>
  <si>
    <t>Nuclear receptor coactivator 3</t>
  </si>
  <si>
    <t>Mitochondrial import inner membrane translocase subunit Tim8 B</t>
  </si>
  <si>
    <t>Myotubularin-related protein 5</t>
  </si>
  <si>
    <t>SWI/SNF related, matrix associated, actin dependent regulator of chromatin, subfamily b, member 1, isoform CRA_c</t>
  </si>
  <si>
    <t>Tight junction protein 1 (Zona occludens 1), isoform CRA_e</t>
  </si>
  <si>
    <t>NF-kappa-B inhibitor-interacting Ras-like protein 1</t>
  </si>
  <si>
    <t>CUG triplet repeat, RNA binding protein 1, isoform CRA_c</t>
  </si>
  <si>
    <t>G/T mismatch-specific thymine DNA glycosylase</t>
  </si>
  <si>
    <t>tRNA pseudouridine synthase (Fragment)</t>
  </si>
  <si>
    <t>Heterogeneous nuclear ribonucleoprotein H</t>
  </si>
  <si>
    <t>WD repeat domain phosphoinositide-interacting protein 4</t>
  </si>
  <si>
    <t>Prolyl 3-hydroxylase 3</t>
  </si>
  <si>
    <t>Transforming acidic coiled-coil-containing protein 1</t>
  </si>
  <si>
    <t>Lysosomal thioesterase PPT2 (Fragment)</t>
  </si>
  <si>
    <t>Multivesicular body subunit 12B</t>
  </si>
  <si>
    <t>Transcription initiation factor TFIID subunit 6</t>
  </si>
  <si>
    <t>Biogenesis of lysosome-related organelles complex 1 subunit 1</t>
  </si>
  <si>
    <t>Negative elongation factor C/D</t>
  </si>
  <si>
    <t>Phosphatidylinositol-glycan biosynthesis class X protein</t>
  </si>
  <si>
    <t>Myosin phosphatase Rho-interacting protein (Fragment)</t>
  </si>
  <si>
    <t>AMP deaminase 2 (Fragment)</t>
  </si>
  <si>
    <t>Zinc transporter 7 (Fragment)</t>
  </si>
  <si>
    <t>Outer dense fiber protein 2 (Fragment)</t>
  </si>
  <si>
    <t>ATP-binding cassette sub-family A member 3</t>
  </si>
  <si>
    <t>Eukaryotic translation initiation factor 4 gamma 2</t>
  </si>
  <si>
    <t>Protein PRRC2B (Fragment)</t>
  </si>
  <si>
    <t>Myeloid differentiation primary response protein MyD88 (Fragment)</t>
  </si>
  <si>
    <t>Transformation/transcription domain-associated protein (Fragment)</t>
  </si>
  <si>
    <t>N-acyl-phosphatidylethanolamine-hydrolyzing phospholipase D (Fragment)</t>
  </si>
  <si>
    <t>Glycodelin (Fragment)</t>
  </si>
  <si>
    <t>Prostaglandin-H2 D-isomerase (Fragment)</t>
  </si>
  <si>
    <t>Cip1-interacting zinc finger protein (Fragment)</t>
  </si>
  <si>
    <t>Thioredoxin-like protein AAED1 (Fragment)</t>
  </si>
  <si>
    <t>Prolyl endopeptidase (Fragment)</t>
  </si>
  <si>
    <t>Ubiquitin-fold modifier 1 (Fragment)</t>
  </si>
  <si>
    <t>ADP-ribosylation factor GTPase-activating protein 3 (Fragment)</t>
  </si>
  <si>
    <t>Lysine-specific demethylase 6A (Fragment)</t>
  </si>
  <si>
    <t>Bromodomain-containing protein 2 (Fragment)</t>
  </si>
  <si>
    <t>Transcription factor Sp3</t>
  </si>
  <si>
    <t>39S ribosomal protein L43, mitochondrial (Fragment)</t>
  </si>
  <si>
    <t>Calmodulin (Fragment)</t>
  </si>
  <si>
    <t>Forkhead box protein P1 (Fragment)</t>
  </si>
  <si>
    <t>Mitochondrial carrier homolog 1 (Fragment)</t>
  </si>
  <si>
    <t>Transmembrane protein 222 (Fragment)</t>
  </si>
  <si>
    <t>Xylosylprotein 4-beta-galactosyltransferase (Fragment)</t>
  </si>
  <si>
    <t>Inositol hexakisphosphate and diphosphoinositol-pentakisphosphate kinase 2 (Fragment)</t>
  </si>
  <si>
    <t>Protein PRR5-ARHGAP8 (Fragment)</t>
  </si>
  <si>
    <t>Translation machinery-associated protein 16 (Fragment)</t>
  </si>
  <si>
    <t>Pterin-4-alpha-carbinolamine dehydratase 2 (Fragment)</t>
  </si>
  <si>
    <t>Ubiquitin-conjugating enzyme E2 B (Fragment)</t>
  </si>
  <si>
    <t>Ribonucleoside-diphosphate reductase subunit M2 B (Fragment)</t>
  </si>
  <si>
    <t>Ubiquitin-conjugating enzyme E2 W (Fragment)</t>
  </si>
  <si>
    <t>BCL2/adenovirus E1B 19 kDa protein-interacting protein 3-like (Fragment)</t>
  </si>
  <si>
    <t>Thioredoxin reductase 3 (Fragment)</t>
  </si>
  <si>
    <t>Vascular endothelial growth factor A (Fragment)</t>
  </si>
  <si>
    <t>Vacuolar protein sorting-associated protein 37A (Fragment)</t>
  </si>
  <si>
    <t>Focal adhesion kinase 1 (Fragment)</t>
  </si>
  <si>
    <t>Trafficking protein particle complex subunit 9 (Fragment)</t>
  </si>
  <si>
    <t>Epithelial-splicing regulatory protein 1 (Fragment)</t>
  </si>
  <si>
    <t>RUN and FYVE domain-containing protein 2 (Fragment)</t>
  </si>
  <si>
    <t>CREB-regulated transcription coactivator 2 (Fragment)</t>
  </si>
  <si>
    <t>Serine/threonine-protein phosphatase (Fragment)</t>
  </si>
  <si>
    <t>N-acetylglucosamine-1-phosphotransferase subunit gamma (Fragment)</t>
  </si>
  <si>
    <t>Sjoegren syndrome/scleroderma autoantigen 1 (Fragment)</t>
  </si>
  <si>
    <t>Ribonuclease H2 subunit C (Fragment)</t>
  </si>
  <si>
    <t>Ras association domain-containing protein 7 (Fragment)</t>
  </si>
  <si>
    <t>E3 ubiquitin-protein ligase pellino homolog 3 (Fragment)</t>
  </si>
  <si>
    <t>Sphingomyelin phosphodiesterase (Fragment)</t>
  </si>
  <si>
    <t>Cell adhesion molecule 1 (Fragment)</t>
  </si>
  <si>
    <t>Oligoribonuclease, mitochondrial (Fragment)</t>
  </si>
  <si>
    <t>Rho GTPase-activating protein 23 (Fragment)</t>
  </si>
  <si>
    <t>Methyltransferase-like protein 7A (Fragment)</t>
  </si>
  <si>
    <t>2-5-oligoadenylate synthase 1 (Fragment)</t>
  </si>
  <si>
    <t>F-box only protein 21 (Fragment)</t>
  </si>
  <si>
    <t>Neuroguidin (Fragment)</t>
  </si>
  <si>
    <t>Centrosomal protein of 128 kDa (Fragment)</t>
  </si>
  <si>
    <t>60S ribosomal protein L28</t>
  </si>
  <si>
    <t>Tetraspanin-3</t>
  </si>
  <si>
    <t>Annexin (Fragment)</t>
  </si>
  <si>
    <t>Transducin-like enhancer protein 3</t>
  </si>
  <si>
    <t>POU domain, class 2, transcription factor 1</t>
  </si>
  <si>
    <t>DNA-binding protein RFX7</t>
  </si>
  <si>
    <t>GMP reductase 2</t>
  </si>
  <si>
    <t>Eukaryotic translation initiation factor 2-alpha kinase 4 (Fragment)</t>
  </si>
  <si>
    <t>Retinal dehydrogenase 2</t>
  </si>
  <si>
    <t>Mortality factor 4-like protein 1 (Fragment)</t>
  </si>
  <si>
    <t>Ankyrin repeat and SOCS box protein 7</t>
  </si>
  <si>
    <t>Uncharacterized protein C15orf57 (Fragment)</t>
  </si>
  <si>
    <t>Signal peptide peptidase-like 2A (Fragment)</t>
  </si>
  <si>
    <t>Ras-related protein Rab-8B (Fragment)</t>
  </si>
  <si>
    <t>Signal peptidase complex catalytic subunit SEC11A</t>
  </si>
  <si>
    <t>ER membrane protein complex subunit 9</t>
  </si>
  <si>
    <t>Uveal autoantigen with coiled-coil domains and ankyrin repeats</t>
  </si>
  <si>
    <t>Bloom syndrome protein</t>
  </si>
  <si>
    <t>Complement decay-accelerating factor (Fragment)</t>
  </si>
  <si>
    <t>Dysbindin domain-containing protein 1</t>
  </si>
  <si>
    <t>Probable ATP-dependent RNA helicase DDX17</t>
  </si>
  <si>
    <t>NEDD8 ultimate buster 1</t>
  </si>
  <si>
    <t>Golgi apparatus protein 1</t>
  </si>
  <si>
    <t>Nucleolar protein 3 (Fragment)</t>
  </si>
  <si>
    <t>COMM domain-containing protein 4 (Fragment)</t>
  </si>
  <si>
    <t>Protein spinster homolog 1</t>
  </si>
  <si>
    <t>Insulin-like growth factor-binding protein 3 receptor (Fragment)</t>
  </si>
  <si>
    <t>INO80 complex subunit E</t>
  </si>
  <si>
    <t>M-phase phosphoprotein 6</t>
  </si>
  <si>
    <t>Calcium-regulated heat stable protein 1 (Fragment)</t>
  </si>
  <si>
    <t>Trafficking protein particle complex subunit 2-like protein</t>
  </si>
  <si>
    <t>Beta-hexosaminidase</t>
  </si>
  <si>
    <t>Ubiquinone biosynthesis protein COQ7 homolog</t>
  </si>
  <si>
    <t>Thymidine kinase 2, mitochondrial</t>
  </si>
  <si>
    <t>Microtubule-actin cross-linking factor 1, isoforms 1/2/3/5</t>
  </si>
  <si>
    <t>Transcription factor 4</t>
  </si>
  <si>
    <t>Battenin (Fragment)</t>
  </si>
  <si>
    <t>Fructose-bisphosphate aldolase A (Fragment)</t>
  </si>
  <si>
    <t>snRNA-activating protein complex subunit 5</t>
  </si>
  <si>
    <t>Obscurin (Fragment)</t>
  </si>
  <si>
    <t>SUMO-conjugating enzyme UBC9 (Fragment)</t>
  </si>
  <si>
    <t>Transmembrane protein 170A</t>
  </si>
  <si>
    <t>Conserved oligomeric Golgi complex subunit 8</t>
  </si>
  <si>
    <t>Kunitz-type protease inhibitor 1 (Fragment)</t>
  </si>
  <si>
    <t>Dynactin subunit 5</t>
  </si>
  <si>
    <t>Zinc finger FYVE domain-containing protein 19</t>
  </si>
  <si>
    <t>Ubiquitin domain-containing protein UBFD1</t>
  </si>
  <si>
    <t>4-aminobutyrate aminotransferase, mitochondrial</t>
  </si>
  <si>
    <t>Nuclear factor of-activated T-cells, cytoplasmic 3 (Fragment)</t>
  </si>
  <si>
    <t>Protein FAM219B (Fragment)</t>
  </si>
  <si>
    <t>Eukaryotic translation initiation factor 3 subunit C</t>
  </si>
  <si>
    <t>von Willebrand factor A domain-containing protein 9</t>
  </si>
  <si>
    <t>Zinc finger protein 768</t>
  </si>
  <si>
    <t>Gamma-aminobutyric acid receptor-associated protein-like 2</t>
  </si>
  <si>
    <t>UPF0420 protein C16orf58</t>
  </si>
  <si>
    <t>Biogenesis of lysosome-related organelles complex 1 subunit 6</t>
  </si>
  <si>
    <t>Cytoplasmic tRNA 2-thiolation protein 2</t>
  </si>
  <si>
    <t>Microtubule-associated protein 1 light chain 3 beta, isoform CRA_f</t>
  </si>
  <si>
    <t>Pyruvate kinase (Fragment)</t>
  </si>
  <si>
    <t>Origin recognition complex subunit 6</t>
  </si>
  <si>
    <t>Cerebellar degeneration-related protein 2 (Fragment)</t>
  </si>
  <si>
    <t>ADP-ribosylation factor-like protein 2-binding protein</t>
  </si>
  <si>
    <t>T-cell immunomodulatory protein (Fragment)</t>
  </si>
  <si>
    <t>2-oxoglutarate and iron-dependent oxygenase domain-containing protein 1</t>
  </si>
  <si>
    <t>39S ribosomal protein L21, mitochondrial</t>
  </si>
  <si>
    <t>RNA-binding protein with serine-rich domain 1</t>
  </si>
  <si>
    <t>Lipase maturation factor 1</t>
  </si>
  <si>
    <t>GABARAP-a</t>
  </si>
  <si>
    <t>Grancalcin</t>
  </si>
  <si>
    <t>Histone deacetylase complex subunit SAP130</t>
  </si>
  <si>
    <t>Serine/threonine-protein phosphatase 6 regulatory subunit 3</t>
  </si>
  <si>
    <t>Protein-lysine methyltransferase METTL21A</t>
  </si>
  <si>
    <t>Extended synaptotagmin-2 (Fragment)</t>
  </si>
  <si>
    <t>Endoplasmic reticulum-Golgi intermediate compartment protein 3</t>
  </si>
  <si>
    <t>Mitochondrial pyruvate carrier 1</t>
  </si>
  <si>
    <t>Putative ATP-dependent RNA helicase DHX30</t>
  </si>
  <si>
    <t>RNA-binding protein EWS (Fragment)</t>
  </si>
  <si>
    <t>Protein-L-isoaspartate O-methyltransferase</t>
  </si>
  <si>
    <t>E3 ubiquitin-protein ligase RNF34</t>
  </si>
  <si>
    <t>Integrator complex subunit 9</t>
  </si>
  <si>
    <t>Tropomyosin 1 (Alpha), isoform CRA_m</t>
  </si>
  <si>
    <t>Protein disulfide-isomerase</t>
  </si>
  <si>
    <t>Thioredoxin (Fragment)</t>
  </si>
  <si>
    <t>Ubiquitin carboxyl-terminal hydrolase 46</t>
  </si>
  <si>
    <t>Non-homologous end-joining factor 1 (Fragment)</t>
  </si>
  <si>
    <t>IQ motif and SEC7 domain-containing protein 1 (Fragment)</t>
  </si>
  <si>
    <t>Alpha-actinin-4 (Fragment)</t>
  </si>
  <si>
    <t>RAF proto-oncogene serine/threonine-protein kinase (Fragment)</t>
  </si>
  <si>
    <t>Ral GTPase-activating protein subunit alpha-2 (Fragment)</t>
  </si>
  <si>
    <t>Solute carrier family 35 member E1 (Fragment)</t>
  </si>
  <si>
    <t>BET1 homolog (Fragment)</t>
  </si>
  <si>
    <t>Coiled-coil and C2 domain-containing protein 1B (Fragment)</t>
  </si>
  <si>
    <t>Apolipoprotein O (Fragment)</t>
  </si>
  <si>
    <t>Interleukin-1 receptor-associated kinase 1 (Fragment)</t>
  </si>
  <si>
    <t>Carboxy-terminal domain RNA polymerase II polypeptide A small phosphatase 1 (Fragment)</t>
  </si>
  <si>
    <t>Tetraspanin-15 (Fragment)</t>
  </si>
  <si>
    <t>Ecto-ADP-ribosyltransferase 4 (Fragment)</t>
  </si>
  <si>
    <t>EBNA1 binding protein 2, isoform CRA_d</t>
  </si>
  <si>
    <t>60S ribosomal protein L31 (Fragment)</t>
  </si>
  <si>
    <t>N-acetyl-D-glucosamine kinase (Fragment)</t>
  </si>
  <si>
    <t>Glucosamine (N-acetyl)-6-sulfatase (Sanfilippo disease IIID), isoform CRA_b</t>
  </si>
  <si>
    <t>MIT domain-containing protein 1 (Fragment)</t>
  </si>
  <si>
    <t>Autophagy-related protein 2 homolog A (Fragment)</t>
  </si>
  <si>
    <t>Protein ARV1 (Fragment)</t>
  </si>
  <si>
    <t>Serine/threonine-protein kinase 19 (Fragment)</t>
  </si>
  <si>
    <t>Integrin beta (Fragment)</t>
  </si>
  <si>
    <t>Protein kinase C-binding protein 1 (Fragment)</t>
  </si>
  <si>
    <t>NEDD4 family-interacting protein 2 (Fragment)</t>
  </si>
  <si>
    <t>Isoamyl acetate-hydrolyzing esterase 1 homolog (Fragment)</t>
  </si>
  <si>
    <t>Putative glycerol kinase 5 (Fragment)</t>
  </si>
  <si>
    <t>Poly [ADP-ribose] polymerase 14 (Fragment)</t>
  </si>
  <si>
    <t>HEAT repeat-containing protein 5A (Fragment)</t>
  </si>
  <si>
    <t>Neutrophil gelatinase-associated lipocalin</t>
  </si>
  <si>
    <t>Trinucleotide repeat-containing gene 18 protein</t>
  </si>
  <si>
    <t>Calcium uptake protein 1, mitochondrial</t>
  </si>
  <si>
    <t>Solute carrier family 25 member 52</t>
  </si>
  <si>
    <t>Serine/threonine-protein kinase SMG1</t>
  </si>
  <si>
    <t>Golgi SNAP receptor complex member 2 (Fragment)</t>
  </si>
  <si>
    <t>Vesicle-fusing ATPase</t>
  </si>
  <si>
    <t>Coiled-coil domain-containing protein 137 (Fragment)</t>
  </si>
  <si>
    <t>Diacylglycerol kinase epsilon (Fragment)</t>
  </si>
  <si>
    <t>Diphthamide biosynthesis protein 1 (Fragment)</t>
  </si>
  <si>
    <t>Mitochondrial 2-oxoglutarate/malate carrier protein (Fragment)</t>
  </si>
  <si>
    <t>Elongator complex protein 5 (Fragment)</t>
  </si>
  <si>
    <t>HCG30384, isoform CRA_d</t>
  </si>
  <si>
    <t>Clustered mitochondria protein homolog</t>
  </si>
  <si>
    <t>Gem-associated protein 4</t>
  </si>
  <si>
    <t>Protein capicua homolog</t>
  </si>
  <si>
    <t>5-azacytidine-induced protein 1</t>
  </si>
  <si>
    <t>Protein FAM195B</t>
  </si>
  <si>
    <t>Solute carrier family 2 (Facilitated glucose transporter), member 4, isoform CRA_b</t>
  </si>
  <si>
    <t>Eukaryotic translation initiation factor 5A-1 (Fragment)</t>
  </si>
  <si>
    <t>Proline-, glutamic acid- and leucine-rich protein 1</t>
  </si>
  <si>
    <t>40S ribosomal protein S15a</t>
  </si>
  <si>
    <t>ATP synthase mitochondrial F1 complex assembly factor 1</t>
  </si>
  <si>
    <t>Multidrug resistance-associated protein 1 (Fragment)</t>
  </si>
  <si>
    <t>NF-kappa-B inhibitor beta (Fragment)</t>
  </si>
  <si>
    <t>Acyl carrier protein (Fragment)</t>
  </si>
  <si>
    <t>Fatty acid-binding protein, epidermal</t>
  </si>
  <si>
    <t>Cactin</t>
  </si>
  <si>
    <t>SWI/SNF-related matrix-associated actin-dependent regulator of chromatin subfamily D member 2</t>
  </si>
  <si>
    <t>Epididymal secretory protein E1</t>
  </si>
  <si>
    <t>Integrator complex subunit 2</t>
  </si>
  <si>
    <t>Zinc finger protein ubi-d4</t>
  </si>
  <si>
    <t>Low-density lipoprotein receptor (Fragment)</t>
  </si>
  <si>
    <t>NADH dehydrogenase (Ubiquinone) 1 alpha subcomplex, 13</t>
  </si>
  <si>
    <t>Proteasome-associated protein ECM29 homolog</t>
  </si>
  <si>
    <t>26S proteasome non-ATPase regulatory subunit 9</t>
  </si>
  <si>
    <t>REST corepressor 1</t>
  </si>
  <si>
    <t>NACHT, LRR and PYD domains-containing protein 2</t>
  </si>
  <si>
    <t>Torsin-1A-interacting protein 1</t>
  </si>
  <si>
    <t>Tropomyosin alpha-3 chain</t>
  </si>
  <si>
    <t>Arylacetamide deacetylase-like 1</t>
  </si>
  <si>
    <t>TBC1 domain family member 8B</t>
  </si>
  <si>
    <t>Methylthioribulose-1-phosphate dehydratase</t>
  </si>
  <si>
    <t>Mitochondrial inner membrane protein OXA1L</t>
  </si>
  <si>
    <t>Protein SAAL1</t>
  </si>
  <si>
    <t>Myosin light polypeptide 6</t>
  </si>
  <si>
    <t>Phenylalanine-4-hydroxylase</t>
  </si>
  <si>
    <t>RanBP2-like and GRIP domain-containing protein 3</t>
  </si>
  <si>
    <t>Copper chaperone for superoxide dismutase</t>
  </si>
  <si>
    <t>Centrosomal protein of 290 kDa</t>
  </si>
  <si>
    <t>Cytochrome b5 type B</t>
  </si>
  <si>
    <t>Conserved oligomeric Golgi complex subunit 4</t>
  </si>
  <si>
    <t>Chitinase domain-containing protein 1</t>
  </si>
  <si>
    <t>Protein transport protein Sec16A</t>
  </si>
  <si>
    <t>YY1-associated factor 2</t>
  </si>
  <si>
    <t>Probable ATP-dependent RNA helicase DDX41 (Fragment)</t>
  </si>
  <si>
    <t>Semaphorin-4B</t>
  </si>
  <si>
    <t>MAP/microtubule affinity-regulating kinase 3</t>
  </si>
  <si>
    <t>Fibroblast growth factor receptor</t>
  </si>
  <si>
    <t>Zinc finger protein 292</t>
  </si>
  <si>
    <t>Coiled-coil domain-containing protein 41</t>
  </si>
  <si>
    <t>Unconventional myosin-XVIIIa</t>
  </si>
  <si>
    <t>Ankyrin repeat domain-containing protein 46 (Fragment)</t>
  </si>
  <si>
    <t>Guanine nucleotide exchange factor DBS</t>
  </si>
  <si>
    <t>Kinesin-like protein KIF3A</t>
  </si>
  <si>
    <t>Synaptojanin-1</t>
  </si>
  <si>
    <t>Lysine-specific histone demethylase 1B</t>
  </si>
  <si>
    <t>Cisplatin resistance-associated overexpressed protein, isoform CRA_b</t>
  </si>
  <si>
    <t>DnaJ (Hsp40) homolog, subfamily B, member 12, isoform CRA_c</t>
  </si>
  <si>
    <t>TraB domain-containing protein</t>
  </si>
  <si>
    <t>Coiled-coil-helix-coiled-coil-helix domain-containing protein 7</t>
  </si>
  <si>
    <t>Sulfurtransferase</t>
  </si>
  <si>
    <t>Histone deacetylase 2</t>
  </si>
  <si>
    <t>DNA replication ATP-dependent helicase/nuclease DNA2</t>
  </si>
  <si>
    <t>Nuclear nucleic acid-binding protein C1D</t>
  </si>
  <si>
    <t>DNA-binding protein RFXANK</t>
  </si>
  <si>
    <t>Obg-like ATPase 1</t>
  </si>
  <si>
    <t>COP9 signalosome complex subunit 7b</t>
  </si>
  <si>
    <t>TBC1 domain family member 8</t>
  </si>
  <si>
    <t>Peptidyl-tRNA hydrolase 2, mitochondrial</t>
  </si>
  <si>
    <t>Uncharacterized protein C6orf203</t>
  </si>
  <si>
    <t>Protein phosphatase 1 regulatory subunit 37</t>
  </si>
  <si>
    <t>Synaptotagmin I, isoform CRA_b</t>
  </si>
  <si>
    <t>Cytohesin-2</t>
  </si>
  <si>
    <t>THUMP domain-containing protein 1</t>
  </si>
  <si>
    <t>SUN domain-containing protein 2</t>
  </si>
  <si>
    <t>GTP-binding nuclear protein Ran (Fragment)</t>
  </si>
  <si>
    <t>Glucosylceramidase</t>
  </si>
  <si>
    <t>Sulfatase-modifying factor 2</t>
  </si>
  <si>
    <t>Apolipoprotein L2</t>
  </si>
  <si>
    <t>BRISC and BRCA1-A complex member 1</t>
  </si>
  <si>
    <t>Coiled-coil domain containing 12, isoform CRA_a</t>
  </si>
  <si>
    <t>Tubulin-specific chaperone D</t>
  </si>
  <si>
    <t>Uncharacterized protein C16orf55 (Fragment)</t>
  </si>
  <si>
    <t>Protein SSXT</t>
  </si>
  <si>
    <t>Chromobox protein homolog 1 (Fragment)</t>
  </si>
  <si>
    <t>Peptidyl-tRNA hydrolase ICT1, mitochondrial (Fragment)</t>
  </si>
  <si>
    <t>Myelin basic protein (Fragment)</t>
  </si>
  <si>
    <t>Archaemetzincin-2 (Fragment)</t>
  </si>
  <si>
    <t>ADP-ribosylation factor-binding protein GGA3</t>
  </si>
  <si>
    <t>F-box and leucine-rich repeat protein 20, isoform CRA_a</t>
  </si>
  <si>
    <t>Probable ATP-dependent RNA helicase DDX5</t>
  </si>
  <si>
    <t>Rotatin</t>
  </si>
  <si>
    <t>Cadherin-3</t>
  </si>
  <si>
    <t>Serine/arginine-rich-splicing factor 1</t>
  </si>
  <si>
    <t>Calcium homeostasis endoplasmic reticulum protein</t>
  </si>
  <si>
    <t>NSFL1 cofactor p47</t>
  </si>
  <si>
    <t>SWI/SNF-related matrix-associated actin-dependent regulator of chromatin subfamily E member 1 (Fragment)</t>
  </si>
  <si>
    <t>Uncharacterized protein C17orf62</t>
  </si>
  <si>
    <t>Protein SCO1 homolog, mitochondrial</t>
  </si>
  <si>
    <t>Secernin-2</t>
  </si>
  <si>
    <t>Zinc transporter ZIP11 (Fragment)</t>
  </si>
  <si>
    <t>Zinc phosphodiesterase ELAC protein 2 (Fragment)</t>
  </si>
  <si>
    <t>28S ribosomal protein S7, mitochondrial</t>
  </si>
  <si>
    <t>Sorting nexin-11 (Fragment)</t>
  </si>
  <si>
    <t>SAP30-binding protein (Fragment)</t>
  </si>
  <si>
    <t>Trafficking protein particle complex subunit 8</t>
  </si>
  <si>
    <t>E3 ubiquitin-protein ligase SMURF2 (Fragment)</t>
  </si>
  <si>
    <t>60S ribosomal protein L17 (Fragment)</t>
  </si>
  <si>
    <t>Polycomb protein SUZ12</t>
  </si>
  <si>
    <t>YTH domain-containing protein 1</t>
  </si>
  <si>
    <t>Ribosomal protein L19</t>
  </si>
  <si>
    <t>Intraflagellar transport protein 20 homolog (Fragment)</t>
  </si>
  <si>
    <t>ORM1-like protein 3 (Fragment)</t>
  </si>
  <si>
    <t>Myosin regulatory light chain 12A</t>
  </si>
  <si>
    <t>Zinc finger protein 207</t>
  </si>
  <si>
    <t>Tyrosine-protein kinase Yes</t>
  </si>
  <si>
    <t>Vesicle-associated membrane protein 2</t>
  </si>
  <si>
    <t>Lethal(2) giant larvae protein homolog 2</t>
  </si>
  <si>
    <t>Coordinator of PRMT5 and differentiation stimulator (Fragment)</t>
  </si>
  <si>
    <t>Probable helicase with zinc finger domain</t>
  </si>
  <si>
    <t>Vascular endothelial zinc finger 1</t>
  </si>
  <si>
    <t>ATP-binding cassette sub-family A member 2</t>
  </si>
  <si>
    <t>Ribosomal L1 domain-containing protein 1 (Fragment)</t>
  </si>
  <si>
    <t>Zinc finger protein 62 homolog</t>
  </si>
  <si>
    <t>Protein cereblon (Fragment)</t>
  </si>
  <si>
    <t>BAG family molecular chaperone regulator 1</t>
  </si>
  <si>
    <t>Coiled-coil-helix-coiled-coil-helix domain-containing protein 6, mitochondrial</t>
  </si>
  <si>
    <t>Protein Njmu-R1</t>
  </si>
  <si>
    <t>Lamin B2, isoform CRA_a</t>
  </si>
  <si>
    <t>Cytoplasmic phosphatidylinositol transfer protein 1</t>
  </si>
  <si>
    <t>Transmembrane and coiled-coil domain-containing protein 1</t>
  </si>
  <si>
    <t>RWD domain containing 4A</t>
  </si>
  <si>
    <t>Cullin 4B, isoform CRA_e</t>
  </si>
  <si>
    <t>ICOS ligand</t>
  </si>
  <si>
    <t>WW domain-binding protein 2 (Fragment)</t>
  </si>
  <si>
    <t>Protein syndesmos (Fragment)</t>
  </si>
  <si>
    <t>MAP kinase-interacting serine/threonine-protein kinase 2</t>
  </si>
  <si>
    <t>Protein YIPF2 (Fragment)</t>
  </si>
  <si>
    <t>Mothers against decapentaplegic homolog 4</t>
  </si>
  <si>
    <t>Syntaxin-10 (Fragment)</t>
  </si>
  <si>
    <t>40S ribosomal protein S15 (Fragment)</t>
  </si>
  <si>
    <t>Calreticulin (Fragment)</t>
  </si>
  <si>
    <t>AP-1 complex subunit mu-1</t>
  </si>
  <si>
    <t>Signal peptidase complex catalytic subunit SEC11C</t>
  </si>
  <si>
    <t>Protein FAM210A (Fragment)</t>
  </si>
  <si>
    <t>Histone H3 (Fragment)</t>
  </si>
  <si>
    <t>Lon protease homolog, mitochondrial</t>
  </si>
  <si>
    <t>Envoplakin</t>
  </si>
  <si>
    <t>Periplakin</t>
  </si>
  <si>
    <t>Transmembrane and ubiquitin-like domain-containing protein 2 (Fragment)</t>
  </si>
  <si>
    <t>Calcium-dependent secretion activator 1</t>
  </si>
  <si>
    <t>Hsp90 co-chaperone Cdc37 (Fragment)</t>
  </si>
  <si>
    <t>Glucosidase 2 subunit beta</t>
  </si>
  <si>
    <t>Katanin p60 ATPase-containing subunit A-like 2 (Fragment)</t>
  </si>
  <si>
    <t>Transmembrane protein 205 (Fragment)</t>
  </si>
  <si>
    <t>UBA-like domain-containing protein 1</t>
  </si>
  <si>
    <t>Putative oxidoreductase GLYR1 (Fragment)</t>
  </si>
  <si>
    <t>Reticulon 2, isoform CRA_b</t>
  </si>
  <si>
    <t>Zinc finger protein 444 (Fragment)</t>
  </si>
  <si>
    <t>Transcription elongation factor 1 homolog</t>
  </si>
  <si>
    <t>HCG2039718, isoform CRA_g</t>
  </si>
  <si>
    <t>Alpha-(1,3)-fucosyltransferase</t>
  </si>
  <si>
    <t>Asparagine--tRNA ligase, cytoplasmic</t>
  </si>
  <si>
    <t>Lipid phosphate phosphohydrolase 2 (Fragment)</t>
  </si>
  <si>
    <t>Uncharacterized protein C18orf8</t>
  </si>
  <si>
    <t>Proteasome assembly chaperone 2</t>
  </si>
  <si>
    <t>ATP synthase subunit s-like protein</t>
  </si>
  <si>
    <t>UBX domain-containing protein 6 (Fragment)</t>
  </si>
  <si>
    <t>RNA-binding protein 42</t>
  </si>
  <si>
    <t>E3 ubiquitin-protein ligase MGRN1 (Fragment)</t>
  </si>
  <si>
    <t>Nuclear factor 1 X-type</t>
  </si>
  <si>
    <t>MOB kinase activator 3A (Fragment)</t>
  </si>
  <si>
    <t>Transmembrane protein 161A (Fragment)</t>
  </si>
  <si>
    <t>Amino-terminal enhancer of split</t>
  </si>
  <si>
    <t>Tropomyosin alpha-4 chain (Fragment)</t>
  </si>
  <si>
    <t>Phenylalanine--tRNA ligase alpha subunit</t>
  </si>
  <si>
    <t>Eukaryotic translation initiation factor 3 subunit K</t>
  </si>
  <si>
    <t>Ubiquitin-conjugating enzyme E2 O (Fragment)</t>
  </si>
  <si>
    <t>Xaa-Pro dipeptidase (Fragment)</t>
  </si>
  <si>
    <t>UV excision repair protein RAD23 homolog A</t>
  </si>
  <si>
    <t>Glucose-6-phosphatase 3 (Fragment)</t>
  </si>
  <si>
    <t>Dynamin-2</t>
  </si>
  <si>
    <t>Serine--tRNA ligase, mitochondrial</t>
  </si>
  <si>
    <t>Paf1, RNA polymerase II associated factor, homolog (S. cerevisiae), isoform CRA_c</t>
  </si>
  <si>
    <t>Protein Wiz</t>
  </si>
  <si>
    <t>Upstream stimulatory factor 2</t>
  </si>
  <si>
    <t>Zinc finger protein 428 (Fragment)</t>
  </si>
  <si>
    <t>Epidermal growth factor receptor substrate 15-like 1 (Fragment)</t>
  </si>
  <si>
    <t>Hormone-sensitive lipase (Fragment)</t>
  </si>
  <si>
    <t>Mpv17-like protein 2</t>
  </si>
  <si>
    <t>Glia maturation factor gamma</t>
  </si>
  <si>
    <t>Tubulin beta-4A chain (Fragment)</t>
  </si>
  <si>
    <t>60S ribosomal protein L13a (Fragment)</t>
  </si>
  <si>
    <t>Protein Smaug homolog 2</t>
  </si>
  <si>
    <t>Methyltransferase-like protein 10 (Fragment)</t>
  </si>
  <si>
    <t>Heterogeneous nuclear ribonucleoprotein M (Fragment)</t>
  </si>
  <si>
    <t>Rho guanine nucleotide exchange factor 1</t>
  </si>
  <si>
    <t>Serine/threonine-protein kinase D</t>
  </si>
  <si>
    <t>KxDL motif-containing protein 1 (Fragment)</t>
  </si>
  <si>
    <t>40S ribosomal protein S5 (Fragment)</t>
  </si>
  <si>
    <t>AP-2 complex subunit sigma</t>
  </si>
  <si>
    <t>Ribosomal protein L34</t>
  </si>
  <si>
    <t>ER membrane protein complex subunit 10</t>
  </si>
  <si>
    <t>Lipolysis-stimulated lipoprotein receptor (Fragment)</t>
  </si>
  <si>
    <t>Homer protein homolog 3 (Fragment)</t>
  </si>
  <si>
    <t>Choriogonadotropin subunit beta variant 1 (Fragment)</t>
  </si>
  <si>
    <t>Unconventional myosin-IXb (Fragment)</t>
  </si>
  <si>
    <t>Peroxisomal membrane protein 11C (Fragment)</t>
  </si>
  <si>
    <t>Fibronectin type III and SPRY domain-containing protein 1</t>
  </si>
  <si>
    <t>Prenylated Rab acceptor protein 1</t>
  </si>
  <si>
    <t>Alkyldihydroxyacetonephosphate synthase, peroxisomal</t>
  </si>
  <si>
    <t>Isoform 2 of Kinesin-like protein KIF2A</t>
  </si>
  <si>
    <t>ATP-dependent RNA helicase DDX39A</t>
  </si>
  <si>
    <t>PDZ and LIM domain protein 1</t>
  </si>
  <si>
    <t>Cytosolic acyl coenzyme A thioester hydrolase</t>
  </si>
  <si>
    <t>Unconventional myosin-Ic</t>
  </si>
  <si>
    <t>Synaptosomal-associated protein 23</t>
  </si>
  <si>
    <t>Isoform 5 of HCLS1-associated protein X-1</t>
  </si>
  <si>
    <t>AH receptor-interacting protein</t>
  </si>
  <si>
    <t>GTP-binding protein 1</t>
  </si>
  <si>
    <t>Syntaxin-binding protein 3</t>
  </si>
  <si>
    <t>AP-3 complex subunit beta-1</t>
  </si>
  <si>
    <t>NADH dehydrogenase [ubiquinone] iron-sulfur protein 8, mitochondrial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</si>
  <si>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</si>
  <si>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</si>
  <si>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</si>
  <si>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</si>
  <si>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</si>
  <si>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E3 SUMO-protein ligase CBX4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</si>
  <si>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</si>
  <si>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</si>
  <si>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</si>
  <si>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</si>
  <si>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Regulatory factor X-associated protein</t>
  </si>
  <si>
    <t>Huntingtin-interacting protein 1</t>
  </si>
  <si>
    <t>Chloride intracellular channel protein 1</t>
  </si>
  <si>
    <t>Tumor necrosis factor receptor superfamily member 11B</t>
  </si>
  <si>
    <t>NEDD4-like E3 ubiquitin-protein ligase WWP2</t>
  </si>
  <si>
    <t>Pyruvate dehydrogenase protein X component, mitochondrial</t>
  </si>
  <si>
    <t>Sulfhydryl oxidase 1</t>
  </si>
  <si>
    <t>Dynactin subunit 6</t>
  </si>
  <si>
    <t>Acetyl-coenzyme A transporter 1</t>
  </si>
  <si>
    <t>Neural Wiskott-Aldrich syndrome protein</t>
  </si>
  <si>
    <t>Importin-5</t>
  </si>
  <si>
    <t>Eukaryotic elongation factor 2 kinase</t>
  </si>
  <si>
    <t>Histone deacetylase complex subunit SAP18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</si>
  <si>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</si>
  <si>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</si>
  <si>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</si>
  <si>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</si>
  <si>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3-kinase regulatory subunit beta</t>
  </si>
  <si>
    <t>Beta-mannosidase</t>
  </si>
  <si>
    <t>TNF receptor-associated factor 5</t>
  </si>
  <si>
    <t>Isoform 6 of Agrin</t>
  </si>
  <si>
    <t>Isoform 2 of Procollagen-lysine,2-oxoglutarate 5-dioxygenase 2</t>
  </si>
  <si>
    <t>Exocyst complex component 5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</si>
  <si>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</si>
  <si>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</si>
  <si>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</si>
  <si>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Zinc finger protein 593</t>
  </si>
  <si>
    <t>Importin subunit alpha-3</t>
  </si>
  <si>
    <t>Serine/threonine-protein kinase 25</t>
  </si>
  <si>
    <t>B-cell CLL/lymphoma 9 protein</t>
  </si>
  <si>
    <t>Ladinin-1</t>
  </si>
  <si>
    <t>Isoform 2 of Neural cell adhesion molecule L1-like protein</t>
  </si>
  <si>
    <t>von Willebrand factor A domain-containing protein 5A</t>
  </si>
  <si>
    <t>Syntenin-1</t>
  </si>
  <si>
    <t>U3 small nucleolar ribonucleoprotein protein MPP10</t>
  </si>
  <si>
    <t>Nucleolar protein 56</t>
  </si>
  <si>
    <t>ATP-dependent RNA helicase DDX3X</t>
  </si>
  <si>
    <t>Pirin</t>
  </si>
  <si>
    <t>Importin subunit alpha-4</t>
  </si>
  <si>
    <t>Serine/threonine-protein phosphatase 6 catalytic subunit</t>
  </si>
  <si>
    <t>Isoform 2 of Lysosomal alpha-mannosidase</t>
  </si>
  <si>
    <t>Fructose-1,6-bisphosphatase isozyme 2</t>
  </si>
  <si>
    <t>Isoform 2 of Ubiquitin-conjugating enzyme E2 C</t>
  </si>
  <si>
    <t>Pyridoxal kinase</t>
  </si>
  <si>
    <t>Acyl-CoA desaturase</t>
  </si>
  <si>
    <t>AT-rich interactive domain-containing protein 1A</t>
  </si>
  <si>
    <t>Isoform 2 of Cyclin-dependent kinase 2-associated protein 1</t>
  </si>
  <si>
    <t>C2 domain-containing protein 2-like</t>
  </si>
  <si>
    <t>TRAF-type zinc finger domain-containing protein 1</t>
  </si>
  <si>
    <t>Cytochrome c oxidase subunit 7A-related protein, mitochondrial</t>
  </si>
  <si>
    <t>Glyceraldehyde-3-phosphate dehydrogenase, testis-specific</t>
  </si>
  <si>
    <t>Acyl carrier protein, mitochondrial</t>
  </si>
  <si>
    <t>Isoform 4 of Citron Rho-interacting kinase</t>
  </si>
  <si>
    <t>Coatomer subunit epsilon</t>
  </si>
  <si>
    <t>AP-3 complex subunit delta-1</t>
  </si>
  <si>
    <t>Isoform 2 of Chromodomain-helicase-DNA-binding protein 1</t>
  </si>
  <si>
    <t>Torsin-1A</t>
  </si>
  <si>
    <t>Torsin-1B</t>
  </si>
  <si>
    <t>Isoform A of Syntaxin-16</t>
  </si>
  <si>
    <t>Disintegrin and metalloproteinase domain-containing protein 10</t>
  </si>
  <si>
    <t>Histone-lysine N-methyltransferase MLL2</t>
  </si>
  <si>
    <t>Inositol monophosphatase 2</t>
  </si>
  <si>
    <t>Dual specificity mitogen-activated protein kinase kinase 7</t>
  </si>
  <si>
    <t>Acyl-coenzyme A thioesterase 8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</si>
  <si>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</si>
  <si>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</si>
  <si>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</si>
  <si>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</si>
  <si>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</si>
  <si>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Fucose-1-phosphate guanylyltransferase</t>
  </si>
  <si>
    <t>Tripeptidyl-peptidase 1</t>
  </si>
  <si>
    <t>Isoform 2 of Transcription elongation regulator 1</t>
  </si>
  <si>
    <t>Kinetochore protein NDC80 homolog</t>
  </si>
  <si>
    <t>Isoform 2 of Transportin-2</t>
  </si>
  <si>
    <t>Proteasome subunit alpha type-7</t>
  </si>
  <si>
    <t>Secretory carrier-associated membrane protein 3</t>
  </si>
  <si>
    <t>5-oxoprolinase</t>
  </si>
  <si>
    <t>Transcription regulator protein BACH1</t>
  </si>
  <si>
    <t>[3-methyl-2-oxobutanoate dehydrogenase [lipoamide]] kinase, mitochondrial</t>
  </si>
  <si>
    <t>Interferon regulatory factor 6</t>
  </si>
  <si>
    <t>Tax1-binding protein 3</t>
  </si>
  <si>
    <t>PDZ domain-containing protein GIPC1</t>
  </si>
  <si>
    <t>Inhibitor of nuclear factor kappa-B kinase subunit beta</t>
  </si>
  <si>
    <t>Mitochondrial import inner membrane translocase subunit Tim23</t>
  </si>
  <si>
    <t>Histone acetyltransferase type B catalytic subunit</t>
  </si>
  <si>
    <t>Ubiquitin/ISG15-conjugating enzyme E2 L6</t>
  </si>
  <si>
    <t>Cytochrome b-c1 complex subunit 8</t>
  </si>
  <si>
    <t>Hepatocyte growth factor-regulated tyrosine kinase substrate</t>
  </si>
  <si>
    <t>Aurora kinase A</t>
  </si>
  <si>
    <t>Protein phosphatase 1 regulatory subunit 12A</t>
  </si>
  <si>
    <t>Isoform 2 of Very long-chain acyl-CoA synthetase</t>
  </si>
  <si>
    <t>Cyclin-G-associated kinase</t>
  </si>
  <si>
    <t>Isoform 3 of Heterogeneous nuclear ribonucleoprotein D-like</t>
  </si>
  <si>
    <t>Exportin-1</t>
  </si>
  <si>
    <t>TATA-binding protein-associated factor 172</t>
  </si>
  <si>
    <t>Zinc finger protein 609</t>
  </si>
  <si>
    <t>Zinc finger protein 646</t>
  </si>
  <si>
    <t>Spectrin beta chain, non-erythrocytic 2</t>
  </si>
  <si>
    <t>Plexin-B2</t>
  </si>
  <si>
    <t>RIMS-binding protein 2</t>
  </si>
  <si>
    <t>Protein KHNYN</t>
  </si>
  <si>
    <t>Tectonin beta-propeller repeat-containing protein 2</t>
  </si>
  <si>
    <t>Histone-lysine N-methyltransferase SETD1A</t>
  </si>
  <si>
    <t>Kinesin-like protein KIF3B</t>
  </si>
  <si>
    <t>Phosphoribosylformylglycinamidine synthase</t>
  </si>
  <si>
    <t>Isoform 4 of Serine/threonine-protein kinase DCLK1</t>
  </si>
  <si>
    <t>ERC protein 2</t>
  </si>
  <si>
    <t>Serine/threonine-protein phosphatase 6 regulatory ankyrin repeat subunit A</t>
  </si>
  <si>
    <t>Isoform 2 of Mitochondrial ribonuclease P protein 3</t>
  </si>
  <si>
    <t>Inhibitor of nuclear factor kappa-B kinase subunit alpha</t>
  </si>
  <si>
    <t>U6 snRNA-associated Sm-like protein LSm1</t>
  </si>
  <si>
    <t>Niemann-Pick C1 protein</t>
  </si>
  <si>
    <t>1-acyl-sn-glycerol-3-phosphate acyltransferase beta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</si>
  <si>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</si>
  <si>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</si>
  <si>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</si>
  <si>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</si>
  <si>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</si>
  <si>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</si>
  <si>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Zinc finger and BTB domain-containing protein 7B</t>
  </si>
  <si>
    <t>DNA-directed RNA polymerases I and III subunit RPAC1</t>
  </si>
  <si>
    <t>Isoform Short of Transcription intermediary factor 1-alpha</t>
  </si>
  <si>
    <t>Isoform 2 of Axin-1</t>
  </si>
  <si>
    <t>Membrane-associated progesterone receptor component 2</t>
  </si>
  <si>
    <t>Prefoldin subunit 6</t>
  </si>
  <si>
    <t>WD repeat-containing protein 46</t>
  </si>
  <si>
    <t>Glutathione S-transferase A4</t>
  </si>
  <si>
    <t>Dihydroxyacetone phosphate acyltransferase</t>
  </si>
  <si>
    <t>Laminin subunit alpha-5</t>
  </si>
  <si>
    <t>Protein CASC3</t>
  </si>
  <si>
    <t>Neurosecretory protein VGF</t>
  </si>
  <si>
    <t>Protein RER1</t>
  </si>
  <si>
    <t>Mitogen-activated protein kinase 13</t>
  </si>
  <si>
    <t>Serine palmitoyltransferase 1</t>
  </si>
  <si>
    <t>Serine palmitoyltransferase 2</t>
  </si>
  <si>
    <t>UDP-N-acetylglucosamine--peptide N-acetylglucosaminyltransferase 110 kDa subunit</t>
  </si>
  <si>
    <t>Phosphomannomutase 2</t>
  </si>
  <si>
    <t>Type II inositol 3,4-bisphosphate 4-phosphatase</t>
  </si>
  <si>
    <t>Midline-1</t>
  </si>
  <si>
    <t>Protein phosphatase 1G</t>
  </si>
  <si>
    <t>Phosphatidylinositol 3,4,5-trisphosphate 5-phosphatase 2</t>
  </si>
  <si>
    <t>Histone deacetylase 3</t>
  </si>
  <si>
    <t>Branched-chain-amino-acid aminotransferase, mitochondrial</t>
  </si>
  <si>
    <t>Importin-8</t>
  </si>
  <si>
    <t>Isoform 2 of Syntaxin-7</t>
  </si>
  <si>
    <t>Isoform 2 of TOX high mobility group box family member 3</t>
  </si>
  <si>
    <t>Monocarboxylate transporter 4</t>
  </si>
  <si>
    <t>Isoform 2 of Multidrug resistance-associated protein 4</t>
  </si>
  <si>
    <t>DNA-directed RNA polymerase I subunit RPA34</t>
  </si>
  <si>
    <t>Isoform IIa of Prolyl 4-hydroxylase subunit alpha-2</t>
  </si>
  <si>
    <t>Synaptobrevin homolog YKT6</t>
  </si>
  <si>
    <t>Actin-related protein 2/3 complex subunit 5</t>
  </si>
  <si>
    <t>DNA-directed RNA polymerase II subunit RPB4</t>
  </si>
  <si>
    <t>RING finger protein 113A</t>
  </si>
  <si>
    <t>Claudin-3</t>
  </si>
  <si>
    <t>Putative pre-mRNA-splicing factor ATP-dependent RNA helicase DHX15</t>
  </si>
  <si>
    <t>mRNA cap guanine-N7 methyltransferase</t>
  </si>
  <si>
    <t>Isoform 2 of Arf-GAP with SH3 domain, ANK repeat and PH domain-containing protein 2</t>
  </si>
  <si>
    <t>TELO2-interacting protein 1 homolog</t>
  </si>
  <si>
    <t>Isoform 2 of Plexin-B1</t>
  </si>
  <si>
    <t>Isoform 2 of E3 ubiquitin-protein ligase Praja-2</t>
  </si>
  <si>
    <t>Isoform 2 of U4/U6 small nuclear ribonucleoprotein Prp4</t>
  </si>
  <si>
    <t>D-3-phosphoglycerate dehydrogenase</t>
  </si>
  <si>
    <t>NADH dehydrogenase [ubiquinone] iron-sulfur protein 4, mitochondrial</t>
  </si>
  <si>
    <t>Cytoplasmic dynein 1 light intermediate chain 2</t>
  </si>
  <si>
    <t>26S proteasome non-ATPase regulatory subunit 3</t>
  </si>
  <si>
    <t>Bifunctional 3-phosphoadenosine 5-phosphosulfate synthase 1</t>
  </si>
  <si>
    <t>Centromere/kinetochore protein zw10 homolog</t>
  </si>
  <si>
    <t>Isoform 2 of Kunitz-type protease inhibitor 1</t>
  </si>
  <si>
    <t>Beta-1,4-galactosyltransferase 5</t>
  </si>
  <si>
    <t>U4/U6.U5 tri-snRNP-associated protein 1</t>
  </si>
  <si>
    <t>Kunitz-type protease inhibitor 2</t>
  </si>
  <si>
    <t>Glycosylphosphatidylinositol anchor attachment 1 protein</t>
  </si>
  <si>
    <t>Zinc finger and BTB domain-containing protein 43</t>
  </si>
  <si>
    <t>Isoform 2 of Inositol hexakisphosphate and diphosphoinositol-pentakisphosphate kinase 2</t>
  </si>
  <si>
    <t>Isoform 1A of Mitogen-activated protein kinase kinase kinase 7</t>
  </si>
  <si>
    <t>LYR motif-containing protein 1</t>
  </si>
  <si>
    <t>Receptor-interacting serine/threonine-protein kinase 2</t>
  </si>
  <si>
    <t>WD repeat-containing protein 62</t>
  </si>
  <si>
    <t>Heterogeneous nuclear ribonucleoprotein R</t>
  </si>
  <si>
    <t>U4/U6 small nuclear ribonucleoprotein Prp3</t>
  </si>
  <si>
    <t>Thioredoxin-like protein 1</t>
  </si>
  <si>
    <t>Isoform 4 of Tumor protein D54</t>
  </si>
  <si>
    <t>Isoform 5 of Tumor protein D54</t>
  </si>
  <si>
    <t>ER membrane protein complex subunit 8</t>
  </si>
  <si>
    <t>52 kDa repressor of the inhibitor of the protein kinase</t>
  </si>
  <si>
    <t>Isoform Short of Acidic fibroblast growth factor intracellular-binding protein</t>
  </si>
  <si>
    <t>Isoform 2 of Protein CBFA2T2</t>
  </si>
  <si>
    <t>Isoform 3 of Serine protease HTRA2, mitochondrial</t>
  </si>
  <si>
    <t>Isoform 2 of Krueppel-like factor 4</t>
  </si>
  <si>
    <t>Protein Mis18-beta</t>
  </si>
  <si>
    <t>Aflatoxin B1 aldehyde reductase member 2</t>
  </si>
  <si>
    <t>Isoform 4 of Prominin-1</t>
  </si>
  <si>
    <t>Isoform 4 of Trans-Golgi network integral membrane protein 2</t>
  </si>
  <si>
    <t>DNA repair protein RAD51 homolog 3</t>
  </si>
  <si>
    <t>Ragulator complex protein LAMTOR5</t>
  </si>
  <si>
    <t>N-acetyllactosaminide beta-1,3-N-acetylglucosaminyltransferase</t>
  </si>
  <si>
    <t>Mediator of RNA polymerase II transcription subunit 7</t>
  </si>
  <si>
    <t>Probable phospholipid-transporting ATPase IC</t>
  </si>
  <si>
    <t>Forkhead box protein O3</t>
  </si>
  <si>
    <t>E3 ubiquitin-protein ligase RNF13</t>
  </si>
  <si>
    <t>Density-regulated protein</t>
  </si>
  <si>
    <t>Exportin-T</t>
  </si>
  <si>
    <t>Protein sprouty homolog 2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</si>
  <si>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</si>
  <si>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</si>
  <si>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</si>
  <si>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</si>
  <si>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</si>
  <si>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Tetraspanin-6</t>
  </si>
  <si>
    <t>Isoform 2 of Protein regulator of cytokinesis 1</t>
  </si>
  <si>
    <t>NADH dehydrogenase [ubiquinone] 1 beta subcomplex subunit 3</t>
  </si>
  <si>
    <t>NADH dehydrogenase [ubiquinone] 1 subunit C1, mitochondrial</t>
  </si>
  <si>
    <t>NADH dehydrogenase [ubiquinone] 1 alpha subcomplex subunit 2</t>
  </si>
  <si>
    <t>ATPase ASNA1</t>
  </si>
  <si>
    <t>Mitotic checkpoint protein BUB3</t>
  </si>
  <si>
    <t>Alpha-actinin-4</t>
  </si>
  <si>
    <t>TP53-regulated inhibitor of apoptosis 1</t>
  </si>
  <si>
    <t>HIV Tat-specific factor 1</t>
  </si>
  <si>
    <t>Syntaxin-6</t>
  </si>
  <si>
    <t>Synaptogyrin-2</t>
  </si>
  <si>
    <t>Small glutamine-rich tetratricopeptide repeat-containing protein alpha</t>
  </si>
  <si>
    <t>Lipoyl synthase, mitochondrial</t>
  </si>
  <si>
    <t>Isoform 2 of Alpha-endosulfine</t>
  </si>
  <si>
    <t>Mitochondrial carnitine/acylcarnitine carrier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</si>
  <si>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</si>
  <si>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</si>
  <si>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</si>
  <si>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</si>
  <si>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</si>
  <si>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</si>
  <si>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Isoform 4 of Hyaluronidase-3</t>
  </si>
  <si>
    <t>A-kinase anchor protein 8</t>
  </si>
  <si>
    <t>Glucose-6-phosphate translocase</t>
  </si>
  <si>
    <t>Zinc finger and BTB domain-containing protein 14</t>
  </si>
  <si>
    <t>Isocitrate dehydrogenase [NAD] subunit beta, mitochondrial</t>
  </si>
  <si>
    <t>Calumenin</t>
  </si>
  <si>
    <t>Putative adenosylhomocysteinase 2</t>
  </si>
  <si>
    <t>Exostosin-like 3</t>
  </si>
  <si>
    <t>Origin recognition complex subunit 5</t>
  </si>
  <si>
    <t>NADH dehydrogenase [ubiquinone] iron-sulfur protein 5</t>
  </si>
  <si>
    <t>Retinal rod rhodopsin-sensitive cGMP 3,5-cyclic phosphodiesterase subunit delta</t>
  </si>
  <si>
    <t>Peroxisome biogenesis factor 1</t>
  </si>
  <si>
    <t>Double-strand-break repair protein rad21 homolog</t>
  </si>
  <si>
    <t>Aldo-keto reductase family 1 member B10</t>
  </si>
  <si>
    <t>Mitochondrial import inner membrane translocase subunit Tim8 A</t>
  </si>
  <si>
    <t>Putative pre-mRNA-splicing factor ATP-dependent RNA helicase DHX16</t>
  </si>
  <si>
    <t>SH3 domain-binding protein 5</t>
  </si>
  <si>
    <t>Phosphoribosyl pyrophosphate synthase-associated protein 2</t>
  </si>
  <si>
    <t>SWI/SNF-related matrix-associated actin-dependent regulator of chromatin subfamily A member 5</t>
  </si>
  <si>
    <t>Isoform 4 of C-Jun-amino-terminal kinase-interacting protein 4</t>
  </si>
  <si>
    <t>Signal-induced proliferation-associated 1-like protein 3</t>
  </si>
  <si>
    <t>Leucine carboxyl methyltransferase 2</t>
  </si>
  <si>
    <t>Isoform 2 of Leucine zipper putative tumor suppressor 3</t>
  </si>
  <si>
    <t>Intron-binding protein aquarius</t>
  </si>
  <si>
    <t>Isoform 2 of Dynamin-like 120 kDa protein, mitochondrial</t>
  </si>
  <si>
    <t>Isoform 4 of Phosphatidylinositol 4-phosphate 5-kinase type-1 gamma</t>
  </si>
  <si>
    <t>Isoform 2 of Kinesin-like protein KIF1B</t>
  </si>
  <si>
    <t>Lysine-specific histone demethylase 1A</t>
  </si>
  <si>
    <t>Isoform 2 of TBC1 domain family member 4</t>
  </si>
  <si>
    <t>Isoform D of Endothelin-converting enzyme 2</t>
  </si>
  <si>
    <t>PH domain leucine-rich repeat-containing protein phosphatase 1</t>
  </si>
  <si>
    <t>TBC1 domain family member 12</t>
  </si>
  <si>
    <t>Isoform 2 of Frizzled-6</t>
  </si>
  <si>
    <t>Fatty acid desaturase 1</t>
  </si>
  <si>
    <t>Isoform 2 of Lymphocyte antigen 75</t>
  </si>
  <si>
    <t>Mannosyl-oligosaccharide 1,2-alpha-mannosidase IB</t>
  </si>
  <si>
    <t>Plexin-C1</t>
  </si>
  <si>
    <t>Myelin protein zero-like protein 2</t>
  </si>
  <si>
    <t>Isoform Short of Long-chain-fatty-acid--CoA ligase 4</t>
  </si>
  <si>
    <t>Sorting nexin-3</t>
  </si>
  <si>
    <t>Bifunctional protein NCOAT</t>
  </si>
  <si>
    <t>Isoform Beta of Vinexin</t>
  </si>
  <si>
    <t>Isoform 3 of Heterogeneous nuclear ribonucleoprotein Q</t>
  </si>
  <si>
    <t>Pre-mRNA-processing factor 17</t>
  </si>
  <si>
    <t>Ran-binding protein 6</t>
  </si>
  <si>
    <t>Isoform 4 of Nuclear export mediator factor NEMF</t>
  </si>
  <si>
    <t>GDP-mannose 4,6 dehydratase</t>
  </si>
  <si>
    <t>Glycylpeptide N-tetradecanoyltransferase 2</t>
  </si>
  <si>
    <t>Cyclin-T1</t>
  </si>
  <si>
    <t>Isoform 3 of Mitotic checkpoint serine/threonine-protein kinase BUB1 beta</t>
  </si>
  <si>
    <t>Procollagen-lysine,2-oxoglutarate 5-dioxygenase 3</t>
  </si>
  <si>
    <t>Eukaryotic translation initiation factor 4E type 2</t>
  </si>
  <si>
    <t>Isoform 2 of Cyclin-T2</t>
  </si>
  <si>
    <t>15 kDa selenoprotein</t>
  </si>
  <si>
    <t>Tetraspanin-1</t>
  </si>
  <si>
    <t>Isoform 3 of Exocyst complex component 3</t>
  </si>
  <si>
    <t>Kelch-like protein 41</t>
  </si>
  <si>
    <t>Perilipin-3</t>
  </si>
  <si>
    <t>Cell cycle checkpoint protein RAD1</t>
  </si>
  <si>
    <t>Protein arginine N-methyltransferase 3</t>
  </si>
  <si>
    <t>UDP-glucose 6-dehydrogenase</t>
  </si>
  <si>
    <t>Isoform 1A of Catenin delta-1</t>
  </si>
  <si>
    <t>Protein-S-isoprenylcysteine O-methyltransferase</t>
  </si>
  <si>
    <t>Sorting nexin-2</t>
  </si>
  <si>
    <t>General vesicular transport factor p115</t>
  </si>
  <si>
    <t>Isoform 2 of 6-phosphofructo-2-kinase/fructose-2,6-bisphosphatase 2</t>
  </si>
  <si>
    <t>Coiled-coil domain-containing protein 22</t>
  </si>
  <si>
    <t>Polyglutamine-binding protein 1</t>
  </si>
  <si>
    <t>Mitochondrial import inner membrane translocase subunit Tim17-B</t>
  </si>
  <si>
    <t>PRA1 family protein 2</t>
  </si>
  <si>
    <t>H/ACA ribonucleoprotein complex subunit 4</t>
  </si>
  <si>
    <t>Eukaryotic translation initiation factor 5B</t>
  </si>
  <si>
    <t>Endothelial differentiation-related factor 1</t>
  </si>
  <si>
    <t>DNA/RNA-binding protein KIN17</t>
  </si>
  <si>
    <t>DnaJ homolog subfamily A member 2</t>
  </si>
  <si>
    <t>Bromodomain-containing protein 4</t>
  </si>
  <si>
    <t>Isoform C of Protein CutA</t>
  </si>
  <si>
    <t>Prefoldin subunit 1</t>
  </si>
  <si>
    <t>Protein phosphatase 1 regulatory subunit 11</t>
  </si>
  <si>
    <t>Nibrin</t>
  </si>
  <si>
    <t>mRNA-capping enzyme</t>
  </si>
  <si>
    <t>ATP-binding cassette sub-family B member 7, mitochondrial</t>
  </si>
  <si>
    <t>SLIT-ROBO Rho GTPase-activating protein 2</t>
  </si>
  <si>
    <t>Plexin-A2</t>
  </si>
  <si>
    <t>Immunoglobulin superfamily member 3</t>
  </si>
  <si>
    <t>Glycosaminoglycan xylosylkinase</t>
  </si>
  <si>
    <t>EF-hand calcium-binding domain-containing protein 14</t>
  </si>
  <si>
    <t>WD repeat-containing protein 1</t>
  </si>
  <si>
    <t>Multiple epidermal growth factor-like domains protein 6</t>
  </si>
  <si>
    <t>Low-density lipoprotein receptor-related protein 4</t>
  </si>
  <si>
    <t>Probable phospholipid-transporting ATPase IIA</t>
  </si>
  <si>
    <t>NEDD4-binding protein 1</t>
  </si>
  <si>
    <t>Rho-associated protein kinase 2</t>
  </si>
  <si>
    <t>Isoform 3 of Protein cordon-bleu</t>
  </si>
  <si>
    <t>Copine-3</t>
  </si>
  <si>
    <t>Huntingtin-interacting protein 1-related protein</t>
  </si>
  <si>
    <t>E3 ubiquitin-protein ligase BRE1B</t>
  </si>
  <si>
    <t>Zinc finger CCCH domain-containing protein 11A</t>
  </si>
  <si>
    <t>Isoform 2 of TSC22 domain family protein 2</t>
  </si>
  <si>
    <t>Nephrocystin-4</t>
  </si>
  <si>
    <t>Lysine-specific demethylase 4A</t>
  </si>
  <si>
    <t>DnaJ homolog subfamily C member 13</t>
  </si>
  <si>
    <t>Isoform 4 of Serine/threonine-protein phosphatase 6 regulatory subunit 2</t>
  </si>
  <si>
    <t>CCR4-NOT transcription complex subunit 3</t>
  </si>
  <si>
    <t>Isoform 2 of Calcium-responsive transactivator</t>
  </si>
  <si>
    <t>Isoform 2 of Ankyrin repeat domain-containing protein 17</t>
  </si>
  <si>
    <t>Calcium-transporting ATPase type 2C member 2</t>
  </si>
  <si>
    <t>Xylulose kinase</t>
  </si>
  <si>
    <t>Ubiquinone biosynthesis protein COQ9, mitochondrial</t>
  </si>
  <si>
    <t>Gamma-glutamylcyclotransferase</t>
  </si>
  <si>
    <t>NADH dehydrogenase [ubiquinone] iron-sulfur protein 2, mitochondrial</t>
  </si>
  <si>
    <t>Zinc finger protein ZPR1</t>
  </si>
  <si>
    <t>Protein NipSnap homolog 2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</si>
  <si>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</si>
  <si>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</si>
  <si>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</si>
  <si>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</si>
  <si>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</si>
  <si>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Ectonucleoside triphosphate diphosphohydrolase 3</t>
  </si>
  <si>
    <t>Zinc finger protein 217</t>
  </si>
  <si>
    <t>Isoform 1 of Core histone macro-H2A.1</t>
  </si>
  <si>
    <t>SH3 domain-binding glutamic acid-rich-like protein</t>
  </si>
  <si>
    <t>Isoform 2 of Filamin-B</t>
  </si>
  <si>
    <t>Nuclear receptor corepressor 1</t>
  </si>
  <si>
    <t>Isoform 2 of Vesicle-associated membrane protein 4</t>
  </si>
  <si>
    <t>NADH dehydrogenase [ubiquinone] iron-sulfur protein 6, mitochondrial</t>
  </si>
  <si>
    <t>Isoform 2 of Peroxisomal membrane protein PEX14</t>
  </si>
  <si>
    <t>Isoform Beta of Tripartite motif-containing protein 3</t>
  </si>
  <si>
    <t>Sperm-associated antigen 7</t>
  </si>
  <si>
    <t>Vesicle-trafficking protein SEC22b</t>
  </si>
  <si>
    <t>Isoform 3 of Pre-mRNA-processing factor 40 homolog A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</si>
  <si>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</si>
  <si>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</si>
  <si>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</si>
  <si>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</si>
  <si>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</si>
  <si>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</si>
  <si>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Histone deacetylase complex subunit SAP30</t>
  </si>
  <si>
    <t>Katanin p60 ATPase-containing subunit A1</t>
  </si>
  <si>
    <t>Serine/threonine-protein kinase/endoribonuclease IRE1</t>
  </si>
  <si>
    <t>PC4 and SFRS1-interacting protein</t>
  </si>
  <si>
    <t>Isoform 3 of PC4 and SFRS1-interacting protein</t>
  </si>
  <si>
    <t>Erlin-1</t>
  </si>
  <si>
    <t>Glypican-4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</si>
  <si>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</si>
  <si>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</si>
  <si>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</si>
  <si>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</si>
  <si>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Isoform 3 of 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</si>
  <si>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</si>
  <si>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</si>
  <si>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</si>
  <si>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</si>
  <si>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Isoform 3 of Interferon-inducible double stranded RNA-dependent protein kinase activator A</t>
  </si>
  <si>
    <t>Peptide chain release factor 1, mitochondrial</t>
  </si>
  <si>
    <t>2-amino-3-ketobutyrate coenzyme A ligase, mitochondrial</t>
  </si>
  <si>
    <t>Nucleoplasmin-3</t>
  </si>
  <si>
    <t>Isoform 2 of Acyl-protein thioesterase 1</t>
  </si>
  <si>
    <t>GTPase Era, mitochondrial</t>
  </si>
  <si>
    <t>Protein CREG1</t>
  </si>
  <si>
    <t>U5 small nuclear ribonucleoprotein 200 kDa helicase</t>
  </si>
  <si>
    <t>TIP41-like protein</t>
  </si>
  <si>
    <t>Surfeit locus protein 6</t>
  </si>
  <si>
    <t>Protein phosphatase 1B</t>
  </si>
  <si>
    <t>Small subunit processome component 20 homolog</t>
  </si>
  <si>
    <t>WD repeat and HMG-box DNA-binding protein 1</t>
  </si>
  <si>
    <t>Calcium-binding mitochondrial carrier protein Aralar1</t>
  </si>
  <si>
    <t>GRB2-related adapter protein 2</t>
  </si>
  <si>
    <t>Ribonuclease H2 subunit A</t>
  </si>
  <si>
    <t>Cell division cycle protein 123 homolog</t>
  </si>
  <si>
    <t>Calpain-15</t>
  </si>
  <si>
    <t>Isoform 2 of Ribonuclease P protein subunit p40</t>
  </si>
  <si>
    <t>Eukaryotic translation initiation factor 3 subunit G</t>
  </si>
  <si>
    <t>Eukaryotic translation initiation factor 3 subunit J</t>
  </si>
  <si>
    <t>Carbonyl reductase [NADPH] 3</t>
  </si>
  <si>
    <t>26S proteasome non-ATPase regulatory subunit 10</t>
  </si>
  <si>
    <t>CAAX prenyl protease 1 homolog</t>
  </si>
  <si>
    <t>Lathosterol oxidase</t>
  </si>
  <si>
    <t>Trafficking protein particle complex subunit 6A</t>
  </si>
  <si>
    <t>Isocitrate dehydrogenase [NADP] cytoplasmic</t>
  </si>
  <si>
    <t>Attractin</t>
  </si>
  <si>
    <t>Putative hydrolase RBBP9</t>
  </si>
  <si>
    <t>Signal transducing adapter molecule 2</t>
  </si>
  <si>
    <t>Cytosolic 10-formyltetrahydrofolate dehydrogenase</t>
  </si>
  <si>
    <t>Tumor suppressor candidate 2</t>
  </si>
  <si>
    <t>PRA1 family protein 3</t>
  </si>
  <si>
    <t>Pre-mRNA-splicing factor SPF27</t>
  </si>
  <si>
    <t>Dynactin subunit 3</t>
  </si>
  <si>
    <t>DnaJ homolog subfamily C member 8</t>
  </si>
  <si>
    <t>Survival of motor neuron-related-splicing factor 30</t>
  </si>
  <si>
    <t>ATP synthase subunit d, mitochondrial</t>
  </si>
  <si>
    <t>Flotillin-1</t>
  </si>
  <si>
    <t>Triple functional domain protein</t>
  </si>
  <si>
    <t>ATP synthase subunit g, mitochondrial</t>
  </si>
  <si>
    <t>Carboxypeptidase D</t>
  </si>
  <si>
    <t>Glutaredoxin-3</t>
  </si>
  <si>
    <t>Wolframin</t>
  </si>
  <si>
    <t>ATP-dependent Clp protease ATP-binding subunit clpX-like, mitochondrial</t>
  </si>
  <si>
    <t>Isoform 2 of Nebulette</t>
  </si>
  <si>
    <t>Isoform 2 of SEC14-like protein 2</t>
  </si>
  <si>
    <t>Stanniocalcin-2</t>
  </si>
  <si>
    <t>Gamma-synuclein</t>
  </si>
  <si>
    <t>Probable cytosolic iron-sulfur protein assembly protein CIAO1</t>
  </si>
  <si>
    <t>Isoform PDE5A2 of cGMP-specific 3,5-cyclic phosphodiesterase</t>
  </si>
  <si>
    <t>AN1-type zinc finger protein 5</t>
  </si>
  <si>
    <t>Signal recognition particle subunit SRP72</t>
  </si>
  <si>
    <t>Isoform 2 of Protein JTB</t>
  </si>
  <si>
    <t>Decapping and exoribonuclease protein</t>
  </si>
  <si>
    <t>N(G),N(G)-dimethylarginine dimethylaminohydrolase 1</t>
  </si>
  <si>
    <t>Unconventional prefoldin RPB5 interactor 1</t>
  </si>
  <si>
    <t>Galactosylgalactosylxylosylprotein 3-beta-glucuronosyltransferase 3</t>
  </si>
  <si>
    <t>Metastasis-associated protein MTA2</t>
  </si>
  <si>
    <t>Serine/threonine-protein kinase 10</t>
  </si>
  <si>
    <t>Mitochondrial import receptor subunit TOM70</t>
  </si>
  <si>
    <t>Importin-13</t>
  </si>
  <si>
    <t>Phospholipase DDHD2</t>
  </si>
  <si>
    <t>Unconventional myosin-Id</t>
  </si>
  <si>
    <t>Isoform 6 of Protein-methionine sulfoxide oxidase MICAL2</t>
  </si>
  <si>
    <t>Protein transport protein Sec24D</t>
  </si>
  <si>
    <t>Isoform 2 of STAGA complex 65 subunit gamma</t>
  </si>
  <si>
    <t>E3 UFM1-protein ligase 1</t>
  </si>
  <si>
    <t>Isoform 12 of Sorbin and SH3 domain-containing protein 2</t>
  </si>
  <si>
    <t>Transmembrane and coiled-coil domains protein 1</t>
  </si>
  <si>
    <t>PHD finger protein 14</t>
  </si>
  <si>
    <t>Isoform 2 of PHD finger protein 14</t>
  </si>
  <si>
    <t>UBX domain-containing protein 7</t>
  </si>
  <si>
    <t>Kelch-like protein 18</t>
  </si>
  <si>
    <t>Proline synthase co-transcribed bacterial homolog protein</t>
  </si>
  <si>
    <t>Isoform 2 of Pre-mRNA-processing factor 6</t>
  </si>
  <si>
    <t>Dickkopf-related protein 1</t>
  </si>
  <si>
    <t>Pre-mRNA cleavage complex 2 protein Pcf11</t>
  </si>
  <si>
    <t>Isoform A of Nuclear factor of activated T-cells 5</t>
  </si>
  <si>
    <t>Glutaminase kidney isoform, mitochondrial</t>
  </si>
  <si>
    <t>Isoform 3 of Glutaminase kidney isoform, mitochondrial</t>
  </si>
  <si>
    <t>Isoform 2 of RING finger protein 37</t>
  </si>
  <si>
    <t>Isoform 7 of Ubiquitin carboxyl-terminal hydrolase 19</t>
  </si>
  <si>
    <t>Isoform 4 of WD repeat-containing protein 47</t>
  </si>
  <si>
    <t>Isoform 2 of AP-2 complex subunit alpha-2</t>
  </si>
  <si>
    <t>Protein HEXIM1</t>
  </si>
  <si>
    <t>Ribonuclease P protein subunit p14</t>
  </si>
  <si>
    <t>G2/mitotic-specific cyclin-B2</t>
  </si>
  <si>
    <t>Arf-GAP domain and FG repeat-containing protein 2</t>
  </si>
  <si>
    <t>Isoform 3 of Splicing factor, arginine/serine-rich 15</t>
  </si>
  <si>
    <t>NADH dehydrogenase [ubiquinone] 1 beta subcomplex subunit 6</t>
  </si>
  <si>
    <t>Mitofusin-2</t>
  </si>
  <si>
    <t>Isoform 2 of Ubiquitin conjugation factor E4 B</t>
  </si>
  <si>
    <t>Zinc finger protein-like 1</t>
  </si>
  <si>
    <t>Elongator complex protein 1</t>
  </si>
  <si>
    <t>NADH dehydrogenase [ubiquinone] 1 alpha subcomplex subunit 3</t>
  </si>
  <si>
    <t>NADH dehydrogenase [ubiquinone] 1 beta subcomplex subunit 4</t>
  </si>
  <si>
    <t>Isoform 3 of Sciellin</t>
  </si>
  <si>
    <t>NADH dehydrogenase [ubiquinone] 1 alpha subcomplex subunit 7</t>
  </si>
  <si>
    <t>Isoform 3 of Chondroitin sulfate proteoglycan 5</t>
  </si>
  <si>
    <t>Isoform 2 of Reticulon-3</t>
  </si>
  <si>
    <t>LETM1 and EF-hand domain-containing protein 1, mitochondrial</t>
  </si>
  <si>
    <t>Isoform 2 of Zinc finger Ran-binding domain-containing protein 2</t>
  </si>
  <si>
    <t>Sorting nexin-4</t>
  </si>
  <si>
    <t>ZW10 interactor</t>
  </si>
  <si>
    <t>Homeobox protein VENTX</t>
  </si>
  <si>
    <t>Luc7-like protein 3</t>
  </si>
  <si>
    <t>Chromosome-associated kinesin KIF4A</t>
  </si>
  <si>
    <t>Cyclin-D1-binding protein 1</t>
  </si>
  <si>
    <t>Ly6/PLAUR domain-containing protein 3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</si>
  <si>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</si>
  <si>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</si>
  <si>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</si>
  <si>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</si>
  <si>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Peptidyl-prolyl cis-trans isomerase FKBP9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</si>
  <si>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</si>
  <si>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</si>
  <si>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</si>
  <si>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</si>
  <si>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Zinc finger and BTB domain-containing protein 7A</t>
  </si>
  <si>
    <t>Acyl-protein thioesterase 2</t>
  </si>
  <si>
    <t>Importin-7</t>
  </si>
  <si>
    <t>E3 ubiquitin-protein ligase ARIH2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</si>
  <si>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</si>
  <si>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</si>
  <si>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</si>
  <si>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</si>
  <si>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Mediator of RNA polymerase II transcription subunit 26</t>
  </si>
  <si>
    <t>Isoform 3 of Zinc finger FYVE domain-containing protein 9</t>
  </si>
  <si>
    <t>Zinc finger protein ZIC 2</t>
  </si>
  <si>
    <t>Isoform 2 of Supervillin</t>
  </si>
  <si>
    <t>Isoform 2 of BAG family molecular chaperone regulator 4</t>
  </si>
  <si>
    <t>Activator of 90 kDa heat shock protein ATPase homolog 1</t>
  </si>
  <si>
    <t>Isoform 2 of Poly(A)-specific ribonuclease PARN</t>
  </si>
  <si>
    <t>dTDP-D-glucose 4,6-dehydratase</t>
  </si>
  <si>
    <t>Isoform 2 of Proteasome assembly chaperone 1</t>
  </si>
  <si>
    <t>Sphingosine-1-phosphate lyase 1</t>
  </si>
  <si>
    <t>Claudin-7</t>
  </si>
  <si>
    <t>Protein transport protein Sec24A</t>
  </si>
  <si>
    <t>Isoform 2 of Protein transport protein Sec24B</t>
  </si>
  <si>
    <t>NAD kinase</t>
  </si>
  <si>
    <t>Tyrosyl-DNA phosphodiesterase 2</t>
  </si>
  <si>
    <t>Protein ETHE1, mitochondrial</t>
  </si>
  <si>
    <t>Long-chain-fatty-acid--CoA ligase 3</t>
  </si>
  <si>
    <t>DNA-directed RNA polymerase I subunit RPA1</t>
  </si>
  <si>
    <t>YEATS domain-containing protein 4</t>
  </si>
  <si>
    <t>tRNA-dihydrouridine(20a/20b) synthase [NAD(P)+]-like</t>
  </si>
  <si>
    <t>Isoform 5 of CCR4-NOT transcription complex subunit 4</t>
  </si>
  <si>
    <t>STAM-binding protein</t>
  </si>
  <si>
    <t>Isoform 3 of Cleavage and polyadenylation specificity factor subunit 4</t>
  </si>
  <si>
    <t>Isoform 2 of N-acetylserotonin O-methyltransferase-like protein</t>
  </si>
  <si>
    <t>FGFR1 oncogene partner</t>
  </si>
  <si>
    <t>Ribonuclease P protein subunit p29</t>
  </si>
  <si>
    <t>Ras-related protein Rab-3D</t>
  </si>
  <si>
    <t>Synaptosomal-associated protein 29</t>
  </si>
  <si>
    <t>Serine/threonine-protein kinase OSR1</t>
  </si>
  <si>
    <t>Geranylgeranyl pyrophosphate synthase</t>
  </si>
  <si>
    <t>Fibroblast growth factor 19</t>
  </si>
  <si>
    <t>Isoform 1 of Polypyrimidine tract-binding protein 3</t>
  </si>
  <si>
    <t>N-alpha-acetyltransferase 38, NatC auxiliary subunit</t>
  </si>
  <si>
    <t>Isoform B of AP-2 complex subunit alpha-1</t>
  </si>
  <si>
    <t>Tetratricopeptide repeat protein 4</t>
  </si>
  <si>
    <t>Transmembrane protein 50A</t>
  </si>
  <si>
    <t>Serum deprivation-response protein</t>
  </si>
  <si>
    <t>BAG family molecular chaperone regulator 2</t>
  </si>
  <si>
    <t>BAG family molecular chaperone regulator 3</t>
  </si>
  <si>
    <t>Malonyl-CoA decarboxylase, mitochondrial</t>
  </si>
  <si>
    <t>Quinone oxidoreductase-like protein 1</t>
  </si>
  <si>
    <t>Isoform 3 of Apoptosis-inducing factor 1, mitochondrial</t>
  </si>
  <si>
    <t>Chloride intracellular channel protein 3</t>
  </si>
  <si>
    <t>Isoform 2 of Echinoderm microtubule-associated protein-like 2</t>
  </si>
  <si>
    <t>Uridine diphosphate glucose pyrophosphatase</t>
  </si>
  <si>
    <t>Tetraspanin-13</t>
  </si>
  <si>
    <t>N(G),N(G)-dimethylarginine dimethylaminohydrolase 2</t>
  </si>
  <si>
    <t>Uncharacterized protein C6orf47</t>
  </si>
  <si>
    <t>Thioredoxin domain-containing protein 12</t>
  </si>
  <si>
    <t>Protein SGT1</t>
  </si>
  <si>
    <t>Pre-mRNA-splicing factor SYF2</t>
  </si>
  <si>
    <t>Isoform 2 of Methyl-CpG-binding domain protein 3</t>
  </si>
  <si>
    <t>DNA topoisomerase 3-beta-1</t>
  </si>
  <si>
    <t>Diphosphoinositol polyphosphate phosphohydrolase 1</t>
  </si>
  <si>
    <t>B-cell lymphoma/leukemia 10</t>
  </si>
  <si>
    <t>NADH dehydrogenase [ubiquinone] 1 beta subcomplex subunit 10</t>
  </si>
  <si>
    <t>Molybdopterin synthase catalytic subunit</t>
  </si>
  <si>
    <t>Mitochondrial import receptor subunit TOM40 homolog</t>
  </si>
  <si>
    <t>Isoform 2 of Peroxisomal membrane protein 11B</t>
  </si>
  <si>
    <t>Serine/threonine-protein kinase PAK 4</t>
  </si>
  <si>
    <t>Serine/threonine-protein kinase Chk2</t>
  </si>
  <si>
    <t>Amyloid beta A4 precursor protein-binding family A member 3</t>
  </si>
  <si>
    <t>Actin-like protein 6A</t>
  </si>
  <si>
    <t>Molybdopterin synthase sulfur carrier subunit</t>
  </si>
  <si>
    <t>Isoform 2 of Cytochrome b5</t>
  </si>
  <si>
    <t>L-lactate dehydrogenase A chain</t>
  </si>
  <si>
    <t>Retinal dehydrogenase 1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</si>
  <si>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</si>
  <si>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</si>
  <si>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</si>
  <si>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</si>
  <si>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</si>
  <si>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</si>
  <si>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</si>
  <si>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</si>
  <si>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</si>
  <si>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Phosphoglycerate kinase 1</t>
  </si>
  <si>
    <t>Adenosine deaminase</t>
  </si>
  <si>
    <t>Carbonic anhydrase 2</t>
  </si>
  <si>
    <t>Argininosuccinate synthase</t>
  </si>
  <si>
    <t>Alpha-2-macroglobulin</t>
  </si>
  <si>
    <t>Cystatin-C</t>
  </si>
  <si>
    <t>Cystatin-SN</t>
  </si>
  <si>
    <t>GTPase NRas</t>
  </si>
  <si>
    <t>GTPase HRas</t>
  </si>
  <si>
    <t>Isoform 2B of GTPase KRas</t>
  </si>
  <si>
    <t>Transforming growth factor beta-1</t>
  </si>
  <si>
    <t>Gastrin</t>
  </si>
  <si>
    <t>Polymeric immunoglobulin receptor</t>
  </si>
  <si>
    <t>Myoglobin</t>
  </si>
  <si>
    <t>Prelamin-A/C</t>
  </si>
  <si>
    <t>Isoform C of Prelamin-A/C</t>
  </si>
  <si>
    <t>Isoform 2 of Spectrin alpha chain, erythrocytic 1</t>
  </si>
  <si>
    <t>Apolipoprotein E</t>
  </si>
  <si>
    <t>Transferrin receptor protein 1</t>
  </si>
  <si>
    <t>Serotransferrin</t>
  </si>
  <si>
    <t>Ferritin light chain</t>
  </si>
  <si>
    <t>Ferritin heavy chain</t>
  </si>
  <si>
    <t>Metallothionein-2</t>
  </si>
  <si>
    <t>ATP synthase protein 8</t>
  </si>
  <si>
    <t>Antileukoproteinase</t>
  </si>
  <si>
    <t>Catalase</t>
  </si>
  <si>
    <t>Tissue alpha-L-fucosidase</t>
  </si>
  <si>
    <t>Fructose-bisphosphate aldolase A</t>
  </si>
  <si>
    <t>Cystatin-B</t>
  </si>
  <si>
    <t>Annexin A1</t>
  </si>
  <si>
    <t>Ornithine aminotransferase, mitochondrial</t>
  </si>
  <si>
    <t>Thymidine kinase, cytosolic</t>
  </si>
  <si>
    <t>Tubulin beta-4A chain</t>
  </si>
  <si>
    <t>Glyceraldehyde-3-phosphate dehydrogenase</t>
  </si>
  <si>
    <t>Argininosuccinate lyase</t>
  </si>
  <si>
    <t>Calpain small subunit 1</t>
  </si>
  <si>
    <t>Heat shock protein beta-1</t>
  </si>
  <si>
    <t>Thymidylate synthase</t>
  </si>
  <si>
    <t>Dolichyl-diphosphooligosaccharide--protein glycosyltransferase subunit 1</t>
  </si>
  <si>
    <t>Dolichyl-diphosphooligosaccharide--protein glycosyltransferase subunit 2</t>
  </si>
  <si>
    <t>Guanine nucleotide-binding protein G(i) subunit alpha-2</t>
  </si>
  <si>
    <t>Isoform B1 of Anion exchange protein 2</t>
  </si>
  <si>
    <t>Isoform 4 of Sodium/potassium-transporting ATPase subunit alpha-1</t>
  </si>
  <si>
    <t>Secretogranin-1</t>
  </si>
  <si>
    <t>Isoform L-APP733 of Amyloid beta A4 protein</t>
  </si>
  <si>
    <t>Aldehyde dehydrogenase, mitochondrial</t>
  </si>
  <si>
    <t>Non-histone chromosomal protein HMG-14</t>
  </si>
  <si>
    <t>ADP/ATP translocase 2</t>
  </si>
  <si>
    <t>Ubiquitin-like protein ISG15</t>
  </si>
  <si>
    <t>Isoform 2 of Propionyl-CoA carboxylase alpha chain, mitochondrial</t>
  </si>
  <si>
    <t>Eukaryotic translation initiation factor 2 subunit 1</t>
  </si>
  <si>
    <t>Non-histone chromosomal protein HMG-17</t>
  </si>
  <si>
    <t>Intercellular adhesion molecule 1</t>
  </si>
  <si>
    <t>60S acidic ribosomal protein P1</t>
  </si>
  <si>
    <t>60S acidic ribosomal protein P2</t>
  </si>
  <si>
    <t>60S acidic ribosomal protein P0</t>
  </si>
  <si>
    <t>Transcription factor AP-1</t>
  </si>
  <si>
    <t>Fatty acid-binding protein, heart</t>
  </si>
  <si>
    <t>Lupus La protein</t>
  </si>
  <si>
    <t>Integrin beta-1</t>
  </si>
  <si>
    <t>Keratin, type I cytoskeletal 18</t>
  </si>
  <si>
    <t>Isoform MLC3 of Myosin light chain 1/3, skeletal muscle isoform</t>
  </si>
  <si>
    <t>Uroporphyrinogen decarboxylase</t>
  </si>
  <si>
    <t>Cholinesterase</t>
  </si>
  <si>
    <t>Alpha-galactosidase A</t>
  </si>
  <si>
    <t>Isoform 2 of Gelsolin</t>
  </si>
  <si>
    <t>Retinoblastoma-associated protein</t>
  </si>
  <si>
    <t>Cyclin-dependent kinase 1</t>
  </si>
  <si>
    <t>ATP synthase subunit beta, mitochondrial</t>
  </si>
  <si>
    <t>Alpha-enolase</t>
  </si>
  <si>
    <t>Isoform MBP-1 of Alpha-enolase</t>
  </si>
  <si>
    <t>Glycogen phosphorylase, liver form</t>
  </si>
  <si>
    <t>Glucose-6-phosphate isomerase</t>
  </si>
  <si>
    <t>Nucleophosmin</t>
  </si>
  <si>
    <t>Isoform 3 of Nucleophosmin</t>
  </si>
  <si>
    <t>Isoform 3 of Tropomyosin alpha-3 chain</t>
  </si>
  <si>
    <t>Isoform 3 of Integrin alpha-V</t>
  </si>
  <si>
    <t>Acyl-CoA-binding protein</t>
  </si>
  <si>
    <t>L-lactate dehydrogenase B chain</t>
  </si>
  <si>
    <t>Major centromere autoantigen B</t>
  </si>
  <si>
    <t>Glutathione peroxidase 1</t>
  </si>
  <si>
    <t>Phosphoglycerate kinase 2</t>
  </si>
  <si>
    <t>Isoform 2 of Histone H1.0</t>
  </si>
  <si>
    <t>Cathepsin D</t>
  </si>
  <si>
    <t>Annexin A2</t>
  </si>
  <si>
    <t>Calpain-1 catalytic subunit</t>
  </si>
  <si>
    <t>Beta-hexosaminidase subunit beta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</si>
  <si>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</si>
  <si>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</si>
  <si>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</si>
  <si>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</si>
  <si>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</si>
  <si>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</si>
  <si>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</si>
  <si>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Cytochrome b-c1 complex subunit 6, mitochondrial</t>
  </si>
  <si>
    <t>Isoform 2 of Tyrosine-protein kinase Lyn</t>
  </si>
  <si>
    <t>Tropomyosin beta chain</t>
  </si>
  <si>
    <t>Isoform Cytoplasmic of Fumarate hydratase, mitochondrial</t>
  </si>
  <si>
    <t>Gap junction beta-1 protein</t>
  </si>
  <si>
    <t>Transcription factor Sp1</t>
  </si>
  <si>
    <t>Heat shock 70 kDa protein 1A/1B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</si>
  <si>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</si>
  <si>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</si>
  <si>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</si>
  <si>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</si>
  <si>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Extracellular superoxide dismutase [Cu-Zn]</t>
  </si>
  <si>
    <t>Isoform 2 of Porphobilinogen deaminase</t>
  </si>
  <si>
    <t>Neprilysin</t>
  </si>
  <si>
    <t>Pyruvate dehydrogenase E1 component subunit alpha, somatic form, mitochondrial</t>
  </si>
  <si>
    <t>Cytochrome c1, heme protein, mitochondrial</t>
  </si>
  <si>
    <t>U2 small nuclear ribonucleoprotein B</t>
  </si>
  <si>
    <t>U1 small nuclear ribonucleoprotein 70 kDa</t>
  </si>
  <si>
    <t>Guanine nucleotide-binding protein G(k) subunit alpha</t>
  </si>
  <si>
    <t>Annexin A5</t>
  </si>
  <si>
    <t>Abhydrolase domain-containing protein 2</t>
  </si>
  <si>
    <t>U1 small nuclear ribonucleoprotein A</t>
  </si>
  <si>
    <t>Isoform 3 of Fibroblast growth factor 2</t>
  </si>
  <si>
    <t>Gamma-enolase</t>
  </si>
  <si>
    <t>3-ketoacyl-CoA thiolase, peroxisomal</t>
  </si>
  <si>
    <t>Signal recognition particle 19 kDa protein</t>
  </si>
  <si>
    <t>Dopamine beta-hydroxylase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</si>
  <si>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</si>
  <si>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</si>
  <si>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</si>
  <si>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</si>
  <si>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</si>
  <si>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Fructose-1,6-bisphosphatase 1</t>
  </si>
  <si>
    <t>Isoform 10 of Tropomyosin alpha-1 chain</t>
  </si>
  <si>
    <t>Isoform 3 of Tropomyosin alpha-1 chain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</si>
  <si>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</si>
  <si>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</si>
  <si>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</si>
  <si>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</si>
  <si>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Heme oxygenase 1</t>
  </si>
  <si>
    <t>Platelet-derived growth factor receptor beta</t>
  </si>
  <si>
    <t>Dihydrolipoyl dehydrogenase, mitochondrial</t>
  </si>
  <si>
    <t>U2 small nuclear ribonucleoprotein A</t>
  </si>
  <si>
    <t>Cytochrome c oxidase subunit 6C</t>
  </si>
  <si>
    <t>Poly [ADP-ribose] polymerase 1</t>
  </si>
  <si>
    <t>Leukotriene A-4 hydrolase</t>
  </si>
  <si>
    <t>Fructose-bisphosphate aldolase C</t>
  </si>
  <si>
    <t>Peroxisomal coenzyme A diphosphatase NUDT7</t>
  </si>
  <si>
    <t>CDGSH iron-sulfur domain-containing protein 3, mitochondrial</t>
  </si>
  <si>
    <t>Ataxin-1-like</t>
  </si>
  <si>
    <t>JmjC domain-containing protein 7</t>
  </si>
  <si>
    <t>DNA-directed RNA polymerase II subunit GRINL1A</t>
  </si>
  <si>
    <t>Chromosome transmission fidelity protein 8 homolog isoform 2</t>
  </si>
  <si>
    <t>40S ribosomal protein S17-like</t>
  </si>
  <si>
    <t>Small integral membrane protein 13</t>
  </si>
  <si>
    <t>Adrenodoxin, mitochondrial</t>
  </si>
  <si>
    <t>Ras-related protein Rap-2a</t>
  </si>
  <si>
    <t>60 kDa SS-A/Ro ribonucleoprotein</t>
  </si>
  <si>
    <t>Cytochrome c oxidase subunit 8A, mitochondrial</t>
  </si>
  <si>
    <t>Lysosomal alpha-glucosidase</t>
  </si>
  <si>
    <t>Ras-related protein R-Ras</t>
  </si>
  <si>
    <t>Histone H1.4</t>
  </si>
  <si>
    <t>Dihydrolipoyllysine-residue acetyltransferase component of pyruvate dehydrogenase complex, mitochondrial</t>
  </si>
  <si>
    <t>Isoform 2 of Receptor-type tyrosine-protein phosphatase F</t>
  </si>
  <si>
    <t>Thioredoxin</t>
  </si>
  <si>
    <t>Cytochrome c oxidase subunit 5B, mitochondrial</t>
  </si>
  <si>
    <t>Lysosomal protective protein</t>
  </si>
  <si>
    <t>Isoform Tau-C of Microtubule-associated protein tau</t>
  </si>
  <si>
    <t>Complement component C7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</si>
  <si>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</si>
  <si>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</si>
  <si>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</si>
  <si>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</si>
  <si>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Isoform 4 of Clusterin</t>
  </si>
  <si>
    <t>78 kDa glucose-regulated protein</t>
  </si>
  <si>
    <t>Laminin subunit gamma-1</t>
  </si>
  <si>
    <t>Phenylethanolamine N-methyltransferase</t>
  </si>
  <si>
    <t>Lysosomal acid phosphatase</t>
  </si>
  <si>
    <t>Solute carrier family 2, facilitated glucose transporter member 1</t>
  </si>
  <si>
    <t>Protein 4.1</t>
  </si>
  <si>
    <t>Isoform 2 of Protein 4.1</t>
  </si>
  <si>
    <t>Uridine 5-monophosphate synthase</t>
  </si>
  <si>
    <t>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</si>
  <si>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</si>
  <si>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</si>
  <si>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Ras-related protein Ral-A</t>
  </si>
  <si>
    <t>Breakpoint cluster region protein</t>
  </si>
  <si>
    <t>Lysosome-associated membrane glycoprotein 1</t>
  </si>
  <si>
    <t>DNA topoisomerase 1</t>
  </si>
  <si>
    <t>DNA topoisomerase 2-alpha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</si>
  <si>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</si>
  <si>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</si>
  <si>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</si>
  <si>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</si>
  <si>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</si>
  <si>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</si>
  <si>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</si>
  <si>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Ribose-phosphate pyrophosphokinase 2</t>
  </si>
  <si>
    <t>Isoform 2 of Polyadenylate-binding protein 1</t>
  </si>
  <si>
    <t>Proliferating cell nuclear antigen</t>
  </si>
  <si>
    <t>Histidine--tRNA ligase, cytoplasmic</t>
  </si>
  <si>
    <t>Collagen alpha-1(VI) chain</t>
  </si>
  <si>
    <t>ADP/ATP translocase 1</t>
  </si>
  <si>
    <t>ADP/ATP translocase 3</t>
  </si>
  <si>
    <t>Inosine-5-monophosphate dehydrogenase 2</t>
  </si>
  <si>
    <t>Nucleoprotein TPR</t>
  </si>
  <si>
    <t>Prolactin-inducible protein</t>
  </si>
  <si>
    <t>Creatine kinase B-type</t>
  </si>
  <si>
    <t>Annexin A3</t>
  </si>
  <si>
    <t>Creatine kinase U-type, mitochondrial</t>
  </si>
  <si>
    <t>Ski oncogene</t>
  </si>
  <si>
    <t>Isoform 2 of Alpha-actinin-1</t>
  </si>
  <si>
    <t>Cadherin-1</t>
  </si>
  <si>
    <t>Xaa-Pro dipeptidase</t>
  </si>
  <si>
    <t>X-ray repair cross-complementing protein 6</t>
  </si>
  <si>
    <t>X-ray repair cross-complementing protein 5</t>
  </si>
  <si>
    <t>Uracil-DNA glycosylase</t>
  </si>
  <si>
    <t>Nuclear receptor subfamily 2 group C member 1</t>
  </si>
  <si>
    <t>Cytochrome c oxidase subunit 4 isoform 1, mitochondrial</t>
  </si>
  <si>
    <t>5-aminolevulinate synthase, nonspecific, mitochondrial</t>
  </si>
  <si>
    <t>Gamma-interferon-inducible lysosomal thiol reductase</t>
  </si>
  <si>
    <t>Ribonuclease inhibitor</t>
  </si>
  <si>
    <t>Cytochrome b-245 light chain</t>
  </si>
  <si>
    <t>Secretogranin-2</t>
  </si>
  <si>
    <t>Elongation factor 2</t>
  </si>
  <si>
    <t>Protein disulfide-isomerase A4</t>
  </si>
  <si>
    <t>Prolyl 4-hydroxylase subunit alpha-1</t>
  </si>
  <si>
    <t>Isoform 2 of Prolyl 4-hydroxylase subunit alpha-1</t>
  </si>
  <si>
    <t>Translationally-controlled tumor protein</t>
  </si>
  <si>
    <t>Electron transfer flavoprotein subunit alpha, mitochondrial</t>
  </si>
  <si>
    <t>cAMP-dependent protein kinase type II-alpha regulatory subunit</t>
  </si>
  <si>
    <t>Beta-enolase</t>
  </si>
  <si>
    <t>General transcription factor IIF subunit 2</t>
  </si>
  <si>
    <t>Bifunctional methylenetetrahydrofolate dehydrogenase/cyclohydrolase, mitochondrial</t>
  </si>
  <si>
    <t>Macrophage migration inhibitory factor</t>
  </si>
  <si>
    <t>Perforin-1</t>
  </si>
  <si>
    <t>Isoform 2 of Farnesyl pyrophosphate synthase</t>
  </si>
  <si>
    <t>Alcohol dehydrogenase [NADP(+)]</t>
  </si>
  <si>
    <t>Phospholipase A2, membrane associated</t>
  </si>
  <si>
    <t>Pyruvate kinase isozymes M1/M2</t>
  </si>
  <si>
    <t>Isoform M1 of Pyruvate kinase isozymes M1/M2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</si>
  <si>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</si>
  <si>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</si>
  <si>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</si>
  <si>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</si>
  <si>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</si>
  <si>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</si>
  <si>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</si>
  <si>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</si>
  <si>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Junction plakoglobin</t>
  </si>
  <si>
    <t>Cytochrome b-c1 complex subunit 7</t>
  </si>
  <si>
    <t>Glutamine synthetase</t>
  </si>
  <si>
    <t>Aminopeptidase N</t>
  </si>
  <si>
    <t>Isoform Gamma of Poliovirus receptor</t>
  </si>
  <si>
    <t>Isoform 2 of Eukaryotic peptide chain release factor GTP-binding subunit ERF3A</t>
  </si>
  <si>
    <t>Arylsulfatase A</t>
  </si>
  <si>
    <t>Isoform Short of Beta-1,4-galactosyltransferase 1</t>
  </si>
  <si>
    <t>Ezrin</t>
  </si>
  <si>
    <t>Ubiquitin carboxyl-terminal hydrolase isozyme L3</t>
  </si>
  <si>
    <t>Fos-related antigen 1</t>
  </si>
  <si>
    <t>Isoform L of Membrane cofactor protein</t>
  </si>
  <si>
    <t>Nucleoside diphosphate kinase A</t>
  </si>
  <si>
    <t>Arylsulfatase B</t>
  </si>
  <si>
    <t>40S ribosomal protein S2</t>
  </si>
  <si>
    <t>Desmoplakin</t>
  </si>
  <si>
    <t>Replication protein A 32 kDa subunit</t>
  </si>
  <si>
    <t>Cytochrome c oxidase subunit 7C, mitochondrial</t>
  </si>
  <si>
    <t>Isoform Beta-4A of Integrin beta-4</t>
  </si>
  <si>
    <t>Carbonyl reductase [NADPH] 1</t>
  </si>
  <si>
    <t>HLA class I histocompatibility antigen, A-30 alpha chain</t>
  </si>
  <si>
    <t>Short-chain specific acyl-CoA dehydrogenase, mitochondrial</t>
  </si>
  <si>
    <t>Isoform CREB-B of Cyclic AMP-responsive element-binding protein 1</t>
  </si>
  <si>
    <t>Isoform 3 of Beta-galactosidase</t>
  </si>
  <si>
    <t>Serine/threonine-protein phosphatase 2B catalytic subunit beta isoform</t>
  </si>
  <si>
    <t>GC-rich sequence DNA-binding factor 2</t>
  </si>
  <si>
    <t>Histone H1.5</t>
  </si>
  <si>
    <t>NADPH--cytochrome P450 reductase</t>
  </si>
  <si>
    <t>Methylated-DNA--protein-cysteine methyltransferase</t>
  </si>
  <si>
    <t>Sarcoplasmic/endoplasmic reticulum calcium ATPase 2</t>
  </si>
  <si>
    <t>Fumarylacetoacetase</t>
  </si>
  <si>
    <t>Y-box-binding protein 3</t>
  </si>
  <si>
    <t>Isoform 2 of Y-box-binding protein 3</t>
  </si>
  <si>
    <t>Zinc finger protein 22</t>
  </si>
  <si>
    <t>Zinc finger protein 24</t>
  </si>
  <si>
    <t>Zinc finger protein 30</t>
  </si>
  <si>
    <t>Alpha-N-acetylgalactosaminidase</t>
  </si>
  <si>
    <t>Heat shock 70 kDa protein 6</t>
  </si>
  <si>
    <t>High mobility group protein HMG-I/HMG-Y</t>
  </si>
  <si>
    <t>Isoform HMG-Y of High mobility group protein HMG-I/HMG-Y</t>
  </si>
  <si>
    <t>Transmembrane protein 11, mitochondrial</t>
  </si>
  <si>
    <t>Aspartate aminotransferase, cytoplasmic</t>
  </si>
  <si>
    <t>Protein kinase C alpha type</t>
  </si>
  <si>
    <t>Transcription factor jun-B</t>
  </si>
  <si>
    <t>Transcription factor jun-D</t>
  </si>
  <si>
    <t>NADH dehydrogenase [ubiquinone] 1 beta subcomplex subunit 7</t>
  </si>
  <si>
    <t>cAMP-dependent protein kinase catalytic subunit alpha</t>
  </si>
  <si>
    <t>Calpain-2 catalytic subunit</t>
  </si>
  <si>
    <t>Isoform PTPA of Tyrosine-protein phosphatase non-receptor type 2</t>
  </si>
  <si>
    <t>CTP synthase 1</t>
  </si>
  <si>
    <t>6-phosphofructokinase, liver type</t>
  </si>
  <si>
    <t>Ganglioside GM2 activator</t>
  </si>
  <si>
    <t>Galectin-3</t>
  </si>
  <si>
    <t>T-complex protein 1 subunit alpha</t>
  </si>
  <si>
    <t>Tyrosine-protein phosphatase non-receptor type 1</t>
  </si>
  <si>
    <t>Insulin-like growth factor-binding protein 2</t>
  </si>
  <si>
    <t>ADP-ribosylation factor 4</t>
  </si>
  <si>
    <t>60S ribosomal protein L7</t>
  </si>
  <si>
    <t>Early growth response protein 1</t>
  </si>
  <si>
    <t>Isoform 1 of Vinculin</t>
  </si>
  <si>
    <t>Glutathione peroxidase 2</t>
  </si>
  <si>
    <t>Isoform A of Protein SON</t>
  </si>
  <si>
    <t>Negative elongation factor E</t>
  </si>
  <si>
    <t>Phosphoglycerate mutase 1</t>
  </si>
  <si>
    <t>Regulator of chromosome condensation</t>
  </si>
  <si>
    <t>Syndecan-1</t>
  </si>
  <si>
    <t>Cyclic AMP-dependent transcription factor ATF-1</t>
  </si>
  <si>
    <t>DNA ligase 1</t>
  </si>
  <si>
    <t>ATP synthase-coupling factor 6, mitochondrial</t>
  </si>
  <si>
    <t>Isoform 6 of Peptidyl-glycine alpha-amidating monooxygenase</t>
  </si>
  <si>
    <t>1-phosphatidylinositol 4,5-bisphosphate phosphodiesterase gamma-1</t>
  </si>
  <si>
    <t>Nucleolin</t>
  </si>
  <si>
    <t>Hexokinase-1</t>
  </si>
  <si>
    <t>DNA-directed RNA polymerase II subunit RPB3</t>
  </si>
  <si>
    <t>DNA-directed RNA polymerases I, II, and III subunit RPABC1</t>
  </si>
  <si>
    <t>Interferon-induced, double-stranded RNA-activated protein kinase</t>
  </si>
  <si>
    <t>Spermidine synthase</t>
  </si>
  <si>
    <t>Nuclear factor NF-kappa-B p105 subunit</t>
  </si>
  <si>
    <t>Isoform K of Plasma membrane calcium-transporting ATPase 1</t>
  </si>
  <si>
    <t>Eukaryotic translation initiation factor 2 subunit 2</t>
  </si>
  <si>
    <t>Cyclin-A2</t>
  </si>
  <si>
    <t>Transcription factor BTF3</t>
  </si>
  <si>
    <t>Isoform 2 of Transcription factor BTF3</t>
  </si>
  <si>
    <t>Muscarinic acetylcholine receptor M3</t>
  </si>
  <si>
    <t>Ras-related protein Rab-3A</t>
  </si>
  <si>
    <t>Ras-related protein Rab-4A</t>
  </si>
  <si>
    <t>Ras-related protein Rab-6A</t>
  </si>
  <si>
    <t>Isoform 2 of Ras-related protein Rab-6A</t>
  </si>
  <si>
    <t>DNA mismatch repair protein Msh3</t>
  </si>
  <si>
    <t>Proteasome subunit beta type-1</t>
  </si>
  <si>
    <t>Cation-dependent mannose-6-phosphate receptor</t>
  </si>
  <si>
    <t>Cytochrome c oxidase subunit 5A, mitochondrial</t>
  </si>
  <si>
    <t>Lamin-B1</t>
  </si>
  <si>
    <t>Homeobox protein Hox-A5</t>
  </si>
  <si>
    <t>Isoform 5 of Calpastatin</t>
  </si>
  <si>
    <t>N(4)-(beta-N-acetylglucosaminyl)-L-asparaginase</t>
  </si>
  <si>
    <t>Parathymosin</t>
  </si>
  <si>
    <t>Isoform 8 of Cyclin-dependent kinase 11B</t>
  </si>
  <si>
    <t>V-type proton ATPase subunit B, brain isoform</t>
  </si>
  <si>
    <t>V-type proton ATPase subunit C 1</t>
  </si>
  <si>
    <t>Cysteine and glycine-rich protein 1</t>
  </si>
  <si>
    <t>Isoform 2 of Filamin-A</t>
  </si>
  <si>
    <t>Isoform 1 of Neurofibromin</t>
  </si>
  <si>
    <t>Amine oxidase [flavin-containing] A</t>
  </si>
  <si>
    <t>Cytoplasmic aconitate hydratase</t>
  </si>
  <si>
    <t>Tumor necrosis factor alpha-induced protein 3</t>
  </si>
  <si>
    <t>Isoform 2 of Kit ligand</t>
  </si>
  <si>
    <t>Isoform 2 of Glycerol-3-phosphate dehydrogenase [NAD(+)], cytoplasmic</t>
  </si>
  <si>
    <t>Voltage-dependent anion-selective channel protein 1</t>
  </si>
  <si>
    <t>Succinate dehydrogenase [ubiquinone] iron-sulfur subunit, mitochondrial</t>
  </si>
  <si>
    <t>2-oxoisovalerate dehydrogenase subunit beta, mitochondrial</t>
  </si>
  <si>
    <t>Isoform Soluble of Catechol O-methyltransferase</t>
  </si>
  <si>
    <t>Methylmalonyl-CoA mutase, mitochondrial</t>
  </si>
  <si>
    <t>Oxysterol-binding protein 1</t>
  </si>
  <si>
    <t>rRNA 2-O-methyltransferase fibrillarin</t>
  </si>
  <si>
    <t>Trifunctional purine biosynthetic protein adenosine-3</t>
  </si>
  <si>
    <t>Multifunctional protein ADE2</t>
  </si>
  <si>
    <t>Iduronate 2-sulfatase</t>
  </si>
  <si>
    <t>Isoform 6 of Non-specific lipid-transfer protein</t>
  </si>
  <si>
    <t>Ubiquitin-like modifier-activating enzyme 1</t>
  </si>
  <si>
    <t>Small proline-rich protein 2D</t>
  </si>
  <si>
    <t>NADPH:adrenodoxin oxidoreductase, mitochondrial</t>
  </si>
  <si>
    <t>Heterogeneous nuclear ribonucleoproteins A2/B1</t>
  </si>
  <si>
    <t>E3 ubiquitin-protein ligase CBL</t>
  </si>
  <si>
    <t>cAMP-dependent protein kinase catalytic subunit beta</t>
  </si>
  <si>
    <t>Cytochrome b-c1 complex subunit 2, mitochondrial</t>
  </si>
  <si>
    <t>Ferrochelatase, mitochondrial</t>
  </si>
  <si>
    <t>DNA repair protein complementing XP-A cells</t>
  </si>
  <si>
    <t>Isoform 3 of Liver carboxylesterase 1</t>
  </si>
  <si>
    <t>Transcription elongation factor A protein 1</t>
  </si>
  <si>
    <t>Splicing factor, proline- and glutamine-rich</t>
  </si>
  <si>
    <t>Tubulin gamma-1 chain</t>
  </si>
  <si>
    <t>Carbonic anhydrase 6</t>
  </si>
  <si>
    <t>Peptidyl-prolyl cis-trans isomerase B</t>
  </si>
  <si>
    <t>NAD-dependent malic enzyme, mitochondrial</t>
  </si>
  <si>
    <t>Tryptophan--tRNA ligase, cytoplasmic</t>
  </si>
  <si>
    <t>40S ribosomal protein S3</t>
  </si>
  <si>
    <t>Myogenic factor 6</t>
  </si>
  <si>
    <t>Glycine cleavage system H protein, mitochondrial</t>
  </si>
  <si>
    <t>Tyrosine-protein kinase JAK1</t>
  </si>
  <si>
    <t>Isoform 2 of Receptor-type tyrosine-protein phosphatase epsilon</t>
  </si>
  <si>
    <t>Isoform 2 of Receptor-type tyrosine-protein phosphatase gamma</t>
  </si>
  <si>
    <t>Nuclear autoantigen Sp-100</t>
  </si>
  <si>
    <t>Isoform Short of Nuclear transcription factor Y subunit alpha</t>
  </si>
  <si>
    <t>Adenosylhomocysteinase</t>
  </si>
  <si>
    <t>Cofilin-1</t>
  </si>
  <si>
    <t>Factor VIII intron 22 protein</t>
  </si>
  <si>
    <t>Carnitine O-palmitoyltransferase 2, mitochondrial</t>
  </si>
  <si>
    <t>Thymidylate kinase</t>
  </si>
  <si>
    <t>Ribonucleoside-diphosphate reductase large subunit</t>
  </si>
  <si>
    <t>G1/S-specific cyclin-D1</t>
  </si>
  <si>
    <t>COUP transcription factor 2</t>
  </si>
  <si>
    <t>Elongation factor 1-beta</t>
  </si>
  <si>
    <t>Insulin-like growth factor-binding protein 5</t>
  </si>
  <si>
    <t>Low molecular weight phosphotyrosine protein phosphatase</t>
  </si>
  <si>
    <t>Isoform 2 of Low molecular weight phosphotyrosine protein phosphatase</t>
  </si>
  <si>
    <t>Acetyl-CoA acetyltransferase, mitochondrial</t>
  </si>
  <si>
    <t>DNA-directed RNA polymerase II subunit RPB1</t>
  </si>
  <si>
    <t>Isoform Short of Adenomatous polyposis coli protein</t>
  </si>
  <si>
    <t>Beta-adrenergic receptor kinase 1</t>
  </si>
  <si>
    <t>DNA replication licensing factor MCM3</t>
  </si>
  <si>
    <t>Zinc-alpha-2-glycoprotein</t>
  </si>
  <si>
    <t>40S ribosomal protein S12</t>
  </si>
  <si>
    <t>Transcriptional repressor protein YY1</t>
  </si>
  <si>
    <t>DnaJ homolog subfamily B member 1</t>
  </si>
  <si>
    <t>ATP synthase subunit alpha, mitochondrial</t>
  </si>
  <si>
    <t>Isoform 2 of ATP synthase subunit alpha, mitochondrial</t>
  </si>
  <si>
    <t>Proteasome subunit alpha type-1</t>
  </si>
  <si>
    <t>Proteasome subunit alpha type-2</t>
  </si>
  <si>
    <t>Isoform 2 of Proteasome subunit alpha type-3</t>
  </si>
  <si>
    <t>Proteasome subunit alpha type-4</t>
  </si>
  <si>
    <t>Protein S100-P</t>
  </si>
  <si>
    <t>Moesin</t>
  </si>
  <si>
    <t>Probable ATP-dependent RNA helicase DDX6</t>
  </si>
  <si>
    <t>DNA (cytosine-5)-methyltransferase 1</t>
  </si>
  <si>
    <t>Isoform 2 of Splicing factor U2AF 65 kDa subunit</t>
  </si>
  <si>
    <t>60S ribosomal protein L13</t>
  </si>
  <si>
    <t>Isovaleryl-CoA dehydrogenase, mitochondrial</t>
  </si>
  <si>
    <t>Protein S100-A4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</si>
  <si>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</si>
  <si>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</si>
  <si>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</si>
  <si>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</si>
  <si>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</si>
  <si>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</si>
  <si>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</si>
  <si>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Amine oxidase [flavin-containing] B</t>
  </si>
  <si>
    <t>14-3-3 protein theta</t>
  </si>
  <si>
    <t>Mitogen-activated protein kinase 3</t>
  </si>
  <si>
    <t>V-type proton ATPase 16 kDa proteolipid subunit</t>
  </si>
  <si>
    <t>Calmodulin-like protein 3</t>
  </si>
  <si>
    <t>Isoform 2 of Aryl hydrocarbon receptor nuclear translocator</t>
  </si>
  <si>
    <t>60S ribosomal protein L10</t>
  </si>
  <si>
    <t>Replication protein A 70 kDa DNA-binding subunit</t>
  </si>
  <si>
    <t>DNA-(apurinic or apyrimidinic site) lyase</t>
  </si>
  <si>
    <t>Calreticulin</t>
  </si>
  <si>
    <t>Calnexin</t>
  </si>
  <si>
    <t>Phosphatidylinositol 3-kinase regulatory subunit alpha</t>
  </si>
  <si>
    <t>Inositol-trisphosphate 3-kinase B</t>
  </si>
  <si>
    <t>Isoform 2 of Proteasome subunit beta type-8</t>
  </si>
  <si>
    <t>Proteasome subunit alpha type-5</t>
  </si>
  <si>
    <t>Proteasome subunit beta type-4</t>
  </si>
  <si>
    <t>Proteasome subunit beta type-6</t>
  </si>
  <si>
    <t>Proteasome subunit beta type-5</t>
  </si>
  <si>
    <t>Isoform 4 of NADH-ubiquinone oxidoreductase 75 kDa subunit, mitochondrial</t>
  </si>
  <si>
    <t>Mitogen-activated protein kinase 1</t>
  </si>
  <si>
    <t>Retinoic acid receptor RXR-beta</t>
  </si>
  <si>
    <t>DNA repair protein complementing XP-G cells</t>
  </si>
  <si>
    <t>Granulins</t>
  </si>
  <si>
    <t>Isoform 2 of Cytosol aminopeptidase</t>
  </si>
  <si>
    <t>Protein S100-A2</t>
  </si>
  <si>
    <t>General transcription factor IIE subunit 1</t>
  </si>
  <si>
    <t>Transcription initiation factor IIE subunit beta</t>
  </si>
  <si>
    <t>Tripeptidyl-peptidase 2</t>
  </si>
  <si>
    <t>Inositol monophosphatase 1</t>
  </si>
  <si>
    <t>Ephrin type-A receptor 2</t>
  </si>
  <si>
    <t>Isoform 2 of Ephrin type-B receptor 2</t>
  </si>
  <si>
    <t>Tyrosine-protein phosphatase non-receptor type 6</t>
  </si>
  <si>
    <t>Isoform p52Shc of SHC-transforming protein 1</t>
  </si>
  <si>
    <t>Isoform 4 of DNA-3-methyladenine glycosylase</t>
  </si>
  <si>
    <t>Cellular retinoic acid-binding protein 2</t>
  </si>
  <si>
    <t>Collagen alpha-5(IV) chain</t>
  </si>
  <si>
    <t>Transketolase</t>
  </si>
  <si>
    <t>Isoform PML-11 of Protein PML</t>
  </si>
  <si>
    <t>Myristoylated alanine-rich C-kinase substrate</t>
  </si>
  <si>
    <t>Guanine nucleotide-binding protein subunit alpha-11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</si>
  <si>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</si>
  <si>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</si>
  <si>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</si>
  <si>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</si>
  <si>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</si>
  <si>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Peroxiredoxin-5, mitochondrial</t>
  </si>
  <si>
    <t>D-dopachrome decarboxylase</t>
  </si>
  <si>
    <t>GTP cyclohydrolase 1 feedback regulatory protein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</si>
  <si>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</si>
  <si>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</si>
  <si>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</si>
  <si>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</si>
  <si>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</si>
  <si>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Protein disulfide-isomerase A3</t>
  </si>
  <si>
    <t>Serine/threonine-protein phosphatase 2A 65 kDa regulatory subunit A alpha isoform</t>
  </si>
  <si>
    <t>Serine/threonine-protein phosphatase 2A 65 kDa regulatory subunit A beta isoform</t>
  </si>
  <si>
    <t>Cell division cycle protein 27 homolog</t>
  </si>
  <si>
    <t>Isoform 3 of G1/S-specific cyclin-D3</t>
  </si>
  <si>
    <t>Wee1-like protein kinase</t>
  </si>
  <si>
    <t>Peptidyl-prolyl cis-trans isomerase F, mitochondrial</t>
  </si>
  <si>
    <t>NK-tumor recognition protein</t>
  </si>
  <si>
    <t>Glycylpeptide N-tetradecanoyltransferase 1</t>
  </si>
  <si>
    <t>HLA class I histocompatibility antigen, A-1 alpha chain</t>
  </si>
  <si>
    <t>HLA class I histocompatibility antigen, Cw-4 alpha chain</t>
  </si>
  <si>
    <t>HLA class I histocompatibility antigen, Cw-12 alpha chain</t>
  </si>
  <si>
    <t>Heme oxygenase 2</t>
  </si>
  <si>
    <t>Adenylosuccinate synthetase isozyme 2</t>
  </si>
  <si>
    <t>Alpha-2-macroglobulin receptor-associated protein</t>
  </si>
  <si>
    <t>Adenylosuccinate lyase</t>
  </si>
  <si>
    <t>Isoform 3 of CAP-Gly domain-containing linker protein 1</t>
  </si>
  <si>
    <t>Glutathione S-transferase theta-1</t>
  </si>
  <si>
    <t>Leukocyte elastase inhibitor</t>
  </si>
  <si>
    <t>High affinity cationic amino acid transporter 1</t>
  </si>
  <si>
    <t>Aldehyde dehydrogenase X, mitochondrial</t>
  </si>
  <si>
    <t>Aldehyde dehydrogenase, dimeric NADP-preferring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</si>
  <si>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</si>
  <si>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</si>
  <si>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</si>
  <si>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</si>
  <si>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</si>
  <si>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cAMP-dependent protein kinase type II-beta regulatory subunit</t>
  </si>
  <si>
    <t>Ribonucleoside-diphosphate reductase subunit M2</t>
  </si>
  <si>
    <t>Sodium- and chloride-dependent taurine transporter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</si>
  <si>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</si>
  <si>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</si>
  <si>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</si>
  <si>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</si>
  <si>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</si>
  <si>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</si>
  <si>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</si>
  <si>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14-3-3 protein beta/alpha</t>
  </si>
  <si>
    <t>14-3-3 protein sigma</t>
  </si>
  <si>
    <t>Stress-induced-phosphoprotein 1</t>
  </si>
  <si>
    <t>Protein S100-A11</t>
  </si>
  <si>
    <t>Peroxiredoxin-2</t>
  </si>
  <si>
    <t>Isoform 5 of Beta-arrestin-2</t>
  </si>
  <si>
    <t>Isoform 1 of Glycerol kinase</t>
  </si>
  <si>
    <t>Isoform 2 of Deoxycytidylate deaminase</t>
  </si>
  <si>
    <t>Pyrroline-5-carboxylate reductase 1, mitochondrial</t>
  </si>
  <si>
    <t>Isoform 2 of ETS-related transcription factor Elf-1</t>
  </si>
  <si>
    <t>General transcription factor IIH subunit 1</t>
  </si>
  <si>
    <t>Cystathionine gamma-lyase</t>
  </si>
  <si>
    <t>60S ribosomal protein L9</t>
  </si>
  <si>
    <t>Long-chain-fatty-acid--CoA ligase 1</t>
  </si>
  <si>
    <t>Kinesin-1 heavy chain</t>
  </si>
  <si>
    <t>Isoform 2 of Cleavage stimulation factor subunit 2</t>
  </si>
  <si>
    <t>Isoform 2 of Lymphocyte-specific protein 1</t>
  </si>
  <si>
    <t>Isoform 2 of Deoxyuridine 5-triphosphate nucleotidohydrolase, mitochondrial</t>
  </si>
  <si>
    <t>Cyclin-dependent kinases regulatory subunit 2</t>
  </si>
  <si>
    <t>Protein S100-A3</t>
  </si>
  <si>
    <t>Mannosyl-oligosaccharide 1,2-alpha-mannosidase IA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</si>
  <si>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</si>
  <si>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</si>
  <si>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</si>
  <si>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</si>
  <si>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</si>
  <si>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Isoform 2 of Serine hydroxymethyltransferase, cytosolic</t>
  </si>
  <si>
    <t>Isoform 3 of Serine hydroxymethyltransferase, mitochondrial</t>
  </si>
  <si>
    <t>Heat shock 70 kDa protein 4</t>
  </si>
  <si>
    <t>Mannose-6-phosphate isomerase</t>
  </si>
  <si>
    <t>Carbonic anhydrase-related protein</t>
  </si>
  <si>
    <t>Catenin alpha-1</t>
  </si>
  <si>
    <t>Polycomb group RING finger protein 2</t>
  </si>
  <si>
    <t>Prohibitin</t>
  </si>
  <si>
    <t>Serpin B6</t>
  </si>
  <si>
    <t>Radixin</t>
  </si>
  <si>
    <t>Replication protein A 14 kDa subunit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</si>
  <si>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</si>
  <si>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</si>
  <si>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</si>
  <si>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</si>
  <si>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</si>
  <si>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ADM</t>
  </si>
  <si>
    <t>Alpha-L-iduronidase</t>
  </si>
  <si>
    <t>Glycogen debranching enzyme</t>
  </si>
  <si>
    <t>Myosin-9</t>
  </si>
  <si>
    <t>Myosin-10</t>
  </si>
  <si>
    <t>Coatomer subunit beta</t>
  </si>
  <si>
    <t>Sterol O-acyltransferase 1</t>
  </si>
  <si>
    <t>Alpha-adducin</t>
  </si>
  <si>
    <t>Isoform 2 of Basigin</t>
  </si>
  <si>
    <t>Isoform Short of RNA-binding protein FUS</t>
  </si>
  <si>
    <t>Isoform 2 of Nuclear pore complex protein Nup214</t>
  </si>
  <si>
    <t>Protein DEK</t>
  </si>
  <si>
    <t>Glutaredoxin-1</t>
  </si>
  <si>
    <t>Choline kinase alpha</t>
  </si>
  <si>
    <t>Protein phosphatase 1A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</si>
  <si>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</si>
  <si>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</si>
  <si>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</si>
  <si>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</si>
  <si>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ATP synthase subunit gamma, mitochondrial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</si>
  <si>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</si>
  <si>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</si>
  <si>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</si>
  <si>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</si>
  <si>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Phosphoglucomutase-1</t>
  </si>
  <si>
    <t>Isoform Gamma-2 of Serine/threonine-protein phosphatase PP1-gamma catalytic subunit</t>
  </si>
  <si>
    <t>Guanine nucleotide-binding protein-like 1</t>
  </si>
  <si>
    <t>Serpin B5</t>
  </si>
  <si>
    <t>DNA-directed RNA polymerase II subunit RPB9</t>
  </si>
  <si>
    <t>Pigment epithelium-derived factor</t>
  </si>
  <si>
    <t>Dihydrolipoyllysine-residue succinyltransferase component of 2-oxoglutarate dehydrogenase complex, mitochondrial</t>
  </si>
  <si>
    <t>GMP reductase 1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</si>
  <si>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</si>
  <si>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</si>
  <si>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</si>
  <si>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</si>
  <si>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Squalene synthase</t>
  </si>
  <si>
    <t>Transgelin-2</t>
  </si>
  <si>
    <t>Transaldolase</t>
  </si>
  <si>
    <t>Electron transfer flavoprotein subunit beta</t>
  </si>
  <si>
    <t>RNA-binding motif protein, X chromosome</t>
  </si>
  <si>
    <t>Coilin</t>
  </si>
  <si>
    <t>Vitamin K-dependent gamma-carboxylase</t>
  </si>
  <si>
    <t>Isoform 2 of Lysosomal acid lipase/cholesteryl ester hydrolase</t>
  </si>
  <si>
    <t>V-type proton ATPase catalytic subunit A</t>
  </si>
  <si>
    <t>Stress-70 protein, mitochondrial</t>
  </si>
  <si>
    <t>Eukaryotic initiation factor 4A-III</t>
  </si>
  <si>
    <t>DNA-binding protein SMUBP-2</t>
  </si>
  <si>
    <t>40S ribosomal protein S19</t>
  </si>
  <si>
    <t>60S ribosomal protein L3</t>
  </si>
  <si>
    <t>Dolichyl-diphosphooligosaccharide--protein glycosyltransferase 48 kDa subunit</t>
  </si>
  <si>
    <t>Acidic leucine-rich nuclear phosphoprotein 32 family member A</t>
  </si>
  <si>
    <t>Flap endonuclease 1</t>
  </si>
  <si>
    <t>Isoform 3 of Homeobox protein cut-like 1</t>
  </si>
  <si>
    <t>Alpha-taxilin</t>
  </si>
  <si>
    <t>T-complex protein 1 subunit zeta</t>
  </si>
  <si>
    <t>DNA mismatch repair protein Mlh1</t>
  </si>
  <si>
    <t>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</si>
  <si>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</si>
  <si>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</si>
  <si>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</si>
  <si>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</si>
  <si>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Isoform 2 of Replication factor C subunit 3</t>
  </si>
  <si>
    <t>Trifunctional enzyme subunit alpha, mitochondrial</t>
  </si>
  <si>
    <t>Eukaryotic translation initiation factor 2 subunit 3</t>
  </si>
  <si>
    <t>DNA-binding protein inhibitor ID-1</t>
  </si>
  <si>
    <t>Isoform 2 of B-cell lymphoma 6 protein</t>
  </si>
  <si>
    <t>Centrin-2</t>
  </si>
  <si>
    <t>Eukaryotic translation initiation factor 2D</t>
  </si>
  <si>
    <t>Protein BUD31 homolog</t>
  </si>
  <si>
    <t>N-alpha-acetyltransferase 10</t>
  </si>
  <si>
    <t>Isoform 3 of Lysine-specific demethylase 5C</t>
  </si>
  <si>
    <t>Tyrosine-protein kinase CSK</t>
  </si>
  <si>
    <t>Patatin-like phospholipase domain-containing protein 4</t>
  </si>
  <si>
    <t>Glycine--tRNA ligase</t>
  </si>
  <si>
    <t>Isoleucine--tRNA ligase, cytoplasmic</t>
  </si>
  <si>
    <t>Isoform 2 of Folate transporter 1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</si>
  <si>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</si>
  <si>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</si>
  <si>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</si>
  <si>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</si>
  <si>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</si>
  <si>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</si>
  <si>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Isoform Gamma of 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</si>
  <si>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</si>
  <si>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</si>
  <si>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</si>
  <si>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</si>
  <si>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Phosphatidylinositol 4,5-bisphosphate 3-kinase catalytic subunit alpha isoform</t>
  </si>
  <si>
    <t>Serine/threonine-protein kinase mTOR</t>
  </si>
  <si>
    <t>Epidermal growth factor receptor substrate 15</t>
  </si>
  <si>
    <t>Caspase-3</t>
  </si>
  <si>
    <t>Caspase-2</t>
  </si>
  <si>
    <t>40S ribosomal protein S27</t>
  </si>
  <si>
    <t>Tyrosine-protein kinase FRK</t>
  </si>
  <si>
    <t>Condensin-2 complex subunit D3</t>
  </si>
  <si>
    <t>Leucine-rich PPR motif-containing protein, mitochondrial</t>
  </si>
  <si>
    <t>3-ketoacyl-CoA thiolase, mitochondrial</t>
  </si>
  <si>
    <t>60S ribosomal protein L35</t>
  </si>
  <si>
    <t>Cyclin-dependent kinase 4 inhibitor B</t>
  </si>
  <si>
    <t>Lysosomal Pro-X carboxypeptidase</t>
  </si>
  <si>
    <t>Huntingtin</t>
  </si>
  <si>
    <t>Isoform C of Endothelin-converting enzyme 1</t>
  </si>
  <si>
    <t>Methylenetetrahydrofolate reductase</t>
  </si>
  <si>
    <t>Isoform 2 of Excitatory amino acid transporter 1</t>
  </si>
  <si>
    <t>Neutral amino acid transporter A</t>
  </si>
  <si>
    <t>Platelet-activating factor acetylhydrolase IB subunit alpha</t>
  </si>
  <si>
    <t>Cell surface glycoprotein MUC18</t>
  </si>
  <si>
    <t>Isoform 2 of Carnitine O-acetyltransferase</t>
  </si>
  <si>
    <t>DNA mismatch repair protein Msh2</t>
  </si>
  <si>
    <t>Glycerol-3-phosphate dehydrogenase, mitochondrial</t>
  </si>
  <si>
    <t>Translocon-associated protein subunit alpha</t>
  </si>
  <si>
    <t>Tyrosine-protein phosphatase non-receptor type 9</t>
  </si>
  <si>
    <t>Tyrosine-protein kinase SYK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</si>
  <si>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</si>
  <si>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</si>
  <si>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</si>
  <si>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</si>
  <si>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Peptidyl-prolyl cis-trans isomerase C</t>
  </si>
  <si>
    <t>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</si>
  <si>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</si>
  <si>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</si>
  <si>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</si>
  <si>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</si>
  <si>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Beta-1 of Mitogen-activated protein kinase 9</t>
  </si>
  <si>
    <t>Dual specificity mitogen-activated protein kinase kinase 4</t>
  </si>
  <si>
    <t>Antigen KI-67</t>
  </si>
  <si>
    <t>Phosphorylase b kinase regulatory subunit alpha, liver isoform</t>
  </si>
  <si>
    <t>Ran GTPase-activating protein 1</t>
  </si>
  <si>
    <t>ATP-dependent DNA helicase Q1</t>
  </si>
  <si>
    <t>Putative ribosomal RNA methyltransferase NOP2</t>
  </si>
  <si>
    <t>Isoform 1 of Transcriptional regulator ATRX</t>
  </si>
  <si>
    <t>Adapter molecule crk</t>
  </si>
  <si>
    <t>Isoform Crk-I of Adapter molecule crk</t>
  </si>
  <si>
    <t>Crk-like protein</t>
  </si>
  <si>
    <t>Translation initiation factor IF-2, mitochondrial</t>
  </si>
  <si>
    <t>Cyclin-dependent kinase inhibitor 1B</t>
  </si>
  <si>
    <t>Neurogenic locus notch homolog protein 1</t>
  </si>
  <si>
    <t>Dual specificity mitogen-activated protein kinase kinase 3</t>
  </si>
  <si>
    <t>Isoform 1 of Lys-63-specific deubiquitinase BRCC36</t>
  </si>
  <si>
    <t>60S ribosomal protein L5</t>
  </si>
  <si>
    <t>60S ribosomal protein L21</t>
  </si>
  <si>
    <t>40S ribosomal protein S9</t>
  </si>
  <si>
    <t>40S ribosomal protein S10</t>
  </si>
  <si>
    <t>Glucosamine-6-phosphate isomerase 1</t>
  </si>
  <si>
    <t>Yorkie homolog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</si>
  <si>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</si>
  <si>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</si>
  <si>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</si>
  <si>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</si>
  <si>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Cytosolic phospholipase A2</t>
  </si>
  <si>
    <t>F-actin-capping protein subunit alpha-2</t>
  </si>
  <si>
    <t>Isoform 2 of F-actin-capping protein subunit beta</t>
  </si>
  <si>
    <t>Eukaryotic translation initiation factor 1A, X-chromosomal</t>
  </si>
  <si>
    <t>Glutamine--tRNA ligase</t>
  </si>
  <si>
    <t>60S ribosomal protein L29</t>
  </si>
  <si>
    <t>Galectin-7</t>
  </si>
  <si>
    <t>Cytochrome b-c1 complex subunit Rieske, mitochondrial</t>
  </si>
  <si>
    <t>Sodium- and chloride-dependent creatine transporter 1</t>
  </si>
  <si>
    <t>ATP synthase subunit O, mitochondrial</t>
  </si>
  <si>
    <t>LIM and senescent cell antigen-like-containing domain protein 1</t>
  </si>
  <si>
    <t>Isoform GlyT-1A of Sodium- and chloride-dependent glycine transporter 1</t>
  </si>
  <si>
    <t>Prolyl endopeptidase</t>
  </si>
  <si>
    <t>NADP-dependent malic enzyme</t>
  </si>
  <si>
    <t>Iron-responsive element-binding protein 2</t>
  </si>
  <si>
    <t>Isoform 2 of Transcription factor RFX3</t>
  </si>
  <si>
    <t>Transcription factor SOX-2</t>
  </si>
  <si>
    <t>Transcription factor SOX-9</t>
  </si>
  <si>
    <t>Coatomer subunit delta</t>
  </si>
  <si>
    <t>Lanosterol synthase</t>
  </si>
  <si>
    <t>Isoform 2 of Serine/threonine-protein phosphatase 2B catalytic subunit gamma isoform</t>
  </si>
  <si>
    <t>Glutamate--cysteine ligase catalytic subunit</t>
  </si>
  <si>
    <t>Glutamate--cysteine ligase regulatory subunit</t>
  </si>
  <si>
    <t>Protein PRRC2A</t>
  </si>
  <si>
    <t>Glutathione synthetase</t>
  </si>
  <si>
    <t>T-complex protein 1 subunit epsilon</t>
  </si>
  <si>
    <t>Phosphatidylserine synthase 1</t>
  </si>
  <si>
    <t>Heat shock 70 kDa protein 13</t>
  </si>
  <si>
    <t>Aminomethyltransferase, mitochondrial</t>
  </si>
  <si>
    <t>Casein kinase I isoform alpha</t>
  </si>
  <si>
    <t>Isoform 2 of Casein kinase I isoform delta</t>
  </si>
  <si>
    <t>Isocitrate dehydrogenase [NADP], mitochondrial</t>
  </si>
  <si>
    <t>Phosphatidylinositol transfer protein beta isoform</t>
  </si>
  <si>
    <t>Isoform 2 of CD97 antigen</t>
  </si>
  <si>
    <t>DNA polymerase delta subunit 2</t>
  </si>
  <si>
    <t>MARCKS-related protein</t>
  </si>
  <si>
    <t>Calcium signal-modulating cyclophilin ligand</t>
  </si>
  <si>
    <t>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</si>
  <si>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</si>
  <si>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</si>
  <si>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</si>
  <si>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</si>
  <si>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</si>
  <si>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Isoform 3 of Nuclear autoantigenic sperm protein</t>
  </si>
  <si>
    <t>Fatty acid synthase</t>
  </si>
  <si>
    <t>Isoform 2 of Cyclin-dependent kinase 8</t>
  </si>
  <si>
    <t>Protein farnesyltransferase/geranylgeranyltransferase type-1 subunit alpha</t>
  </si>
  <si>
    <t>Deoxyhypusine synthase</t>
  </si>
  <si>
    <t>T-complex protein 1 subunit gamma</t>
  </si>
  <si>
    <t>39S ribosomal protein L19, mitochondrial</t>
  </si>
  <si>
    <t>Isoform 1B of Beta-arrestin-1</t>
  </si>
  <si>
    <t>Elongation factor Tu, mitochondrial</t>
  </si>
  <si>
    <t>Isoform 2 of Alpha-aminoadipic semialdehyde dehydrogenase</t>
  </si>
  <si>
    <t>Ubiquitin-conjugating enzyme E2 R1</t>
  </si>
  <si>
    <t>Inositol polyphosphate 1-phosphatase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</si>
  <si>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</si>
  <si>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</si>
  <si>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</si>
  <si>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</si>
  <si>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</si>
  <si>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</si>
  <si>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</si>
  <si>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DNA primase small subunit</t>
  </si>
  <si>
    <t>DNA primase large subunit</t>
  </si>
  <si>
    <t>Caspase-4</t>
  </si>
  <si>
    <t>Casein kinase I isoform epsilon</t>
  </si>
  <si>
    <t>Isoform 2 of Transcriptional repressor CTCF</t>
  </si>
  <si>
    <t>Proteasome subunit beta type-3</t>
  </si>
  <si>
    <t>Proteasome subunit beta type-2</t>
  </si>
  <si>
    <t>DNA replication licensing factor MCM2</t>
  </si>
  <si>
    <t>Isoform 2 of Very long-chain specific acyl-CoA dehydrogenase, mitochondrial</t>
  </si>
  <si>
    <t>Isoform 4 of YLP motif-containing protein 1</t>
  </si>
  <si>
    <t>Acyl-coenzyme A thioesterase 2, mitochondrial</t>
  </si>
  <si>
    <t>Transmembrane emp24 domain-containing protein 10</t>
  </si>
  <si>
    <t>RNA-binding protein 25</t>
  </si>
  <si>
    <t>Isoform 4 of Protein numb homolog</t>
  </si>
  <si>
    <t>Translation initiation factor eIF-2B subunit beta</t>
  </si>
  <si>
    <t>Histidine triad nucleotide-binding protein 1</t>
  </si>
  <si>
    <t>Bis(5-adenosyl)-triphosphatase</t>
  </si>
  <si>
    <t>Nuclear pore complex protein Nup153</t>
  </si>
  <si>
    <t>E3 SUMO-protein ligase RanBP2</t>
  </si>
  <si>
    <t>Glycogen synthase kinase-3 alpha</t>
  </si>
  <si>
    <t>Glycogen synthase kinase-3 beta</t>
  </si>
  <si>
    <t>Cytosolic purine 5-nucleotidase</t>
  </si>
  <si>
    <t>Selenide, water dikinase 1</t>
  </si>
  <si>
    <t>5-formyltetrahydrofolate cyclo-ligase</t>
  </si>
  <si>
    <t>GMP synthase [glutamine-hydrolyzing]</t>
  </si>
  <si>
    <t>DNA ligase 3</t>
  </si>
  <si>
    <t>Double-strand break repair protein MRE11A</t>
  </si>
  <si>
    <t>Ectonucleoside triphosphate diphosphohydrolase 1</t>
  </si>
  <si>
    <t>Ketohexokinase</t>
  </si>
  <si>
    <t>Guanine nucleotide-binding protein G(q) subunit alpha</t>
  </si>
  <si>
    <t>Guanine nucleotide-binding protein G(I)/G(S)/G(O) subunit gamma-10</t>
  </si>
  <si>
    <t>Isocitrate dehydrogenase [NAD] subunit alpha, mitochondrial</t>
  </si>
  <si>
    <t>Cysteine-rich protein 1</t>
  </si>
  <si>
    <t>Protoporphyrinogen oxidase</t>
  </si>
  <si>
    <t>Emerin</t>
  </si>
  <si>
    <t>Isoform 2 of Carnitine O-palmitoyltransferase 1, liver isoform</t>
  </si>
  <si>
    <t>Serpin B8</t>
  </si>
  <si>
    <t>Serpin B9</t>
  </si>
  <si>
    <t>Serpin H1</t>
  </si>
  <si>
    <t>Hsc70-interacting protein</t>
  </si>
  <si>
    <t>Vasodilator-stimulated phosphoprotein</t>
  </si>
  <si>
    <t>Isoform 4 of Dynamin-2</t>
  </si>
  <si>
    <t>Methionine aminopeptidase 2</t>
  </si>
  <si>
    <t>Bis(5-nucleosyl)-tetraphosphatase [asymmetrical]</t>
  </si>
  <si>
    <t>Cyclin-dependent kinase 7</t>
  </si>
  <si>
    <t>Biotin--protein ligase</t>
  </si>
  <si>
    <t>Kinetochore-associated protein 1</t>
  </si>
  <si>
    <t>Cyclin-dependent kinase 9</t>
  </si>
  <si>
    <t>Basal cell adhesion molecule</t>
  </si>
  <si>
    <t>Palmitoyl-protein thioesterase 1</t>
  </si>
  <si>
    <t>T-complex protein 1 subunit theta</t>
  </si>
  <si>
    <t>T-complex protein 1 subunit delta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</si>
  <si>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</si>
  <si>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</si>
  <si>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</si>
  <si>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</si>
  <si>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Rab-13</t>
  </si>
  <si>
    <t>Ras-related protein Rab-28</t>
  </si>
  <si>
    <t>Gastrotropin</t>
  </si>
  <si>
    <t>Death-associated protein 1</t>
  </si>
  <si>
    <t>Isoform 2 of 28S ribosomal protein S29, mitochondrial</t>
  </si>
  <si>
    <t>Dual specificity protein phosphatase 3</t>
  </si>
  <si>
    <t>Isoform Short of 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</si>
  <si>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</si>
  <si>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</si>
  <si>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</si>
  <si>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</si>
  <si>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</si>
  <si>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</si>
  <si>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Isoform 2 of Host cell factor 1</t>
  </si>
  <si>
    <t>Fatty aldehyde dehydrogenase</t>
  </si>
  <si>
    <t>Peroxisomal multifunctional enzyme type 2</t>
  </si>
  <si>
    <t>26S proteasome non-ATPase regulatory subunit 7</t>
  </si>
  <si>
    <t>Sulfite oxidase, mitochondrial</t>
  </si>
  <si>
    <t>N-sulphoglucosamine sulphohydrolase</t>
  </si>
  <si>
    <t>Isoform 2 of Potassium voltage-gated channel subfamily KQT member 1</t>
  </si>
  <si>
    <t>Isoform 3 of H(+)/Cl(-) exchange transporter 3</t>
  </si>
  <si>
    <t>Chloride transport protein 6</t>
  </si>
  <si>
    <t>Isoform 2 of H(+)/Cl(-) exchange transporter 7</t>
  </si>
  <si>
    <t>Plexin-A3</t>
  </si>
  <si>
    <t>Vesicle-associated membrane protein 7</t>
  </si>
  <si>
    <t>Ribosomal protein S6 kinase alpha-3</t>
  </si>
  <si>
    <t>cAMP-dependent protein kinase catalytic subunit PRKX</t>
  </si>
  <si>
    <t>Isoform 2 of 3-oxo-5-beta-steroid 4-dehydrogenase</t>
  </si>
  <si>
    <t>Hepatoma-derived growth factor</t>
  </si>
  <si>
    <t>Cyclin-H</t>
  </si>
  <si>
    <t>Isoform 2 of 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</si>
  <si>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</si>
  <si>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</si>
  <si>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</si>
  <si>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</si>
  <si>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</si>
  <si>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</si>
  <si>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</si>
  <si>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Dual specificity mitogen-activated protein kinase kinase 6</t>
  </si>
  <si>
    <t>Rho GDP-dissociation inhibitor 1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</si>
  <si>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</si>
  <si>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</si>
  <si>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</si>
  <si>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</si>
  <si>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</si>
  <si>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Kinesin-like protein KIF11</t>
  </si>
  <si>
    <t>RNA-binding protein 5</t>
  </si>
  <si>
    <t>Ribonuclease UK114</t>
  </si>
  <si>
    <t>Spermine synthase</t>
  </si>
  <si>
    <t>Hexokinase-2</t>
  </si>
  <si>
    <t>Isoform 2 of Ephrin-A4</t>
  </si>
  <si>
    <t>Ephrin-B2</t>
  </si>
  <si>
    <t>Thimet oligopeptidase</t>
  </si>
  <si>
    <t>F-actin-capping protein subunit alpha-1</t>
  </si>
  <si>
    <t>Cysteine-rich protein 2</t>
  </si>
  <si>
    <t>Isoform 6 of Nuclear pore complex protein Nup98-Nup96</t>
  </si>
  <si>
    <t>Biliverdin reductase A</t>
  </si>
  <si>
    <t>Tricarboxylate transport protein, mitochondrial</t>
  </si>
  <si>
    <t>Serine/threonine-protein kinase PLK1</t>
  </si>
  <si>
    <t>Arfaptin-2</t>
  </si>
  <si>
    <t>Arfaptin-1</t>
  </si>
  <si>
    <t>Isoform A of Arfaptin-1</t>
  </si>
  <si>
    <t>Nucleoside diphosphate-linked moiety X motif 6</t>
  </si>
  <si>
    <t>Isoform 2 of Cytosolic Fe-S cluster assembly factor NUBP1</t>
  </si>
  <si>
    <t>ATP-citrate synthase</t>
  </si>
  <si>
    <t>CCAAT/enhancer-binding protein gamma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</si>
  <si>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</si>
  <si>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</si>
  <si>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</si>
  <si>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</si>
  <si>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</si>
  <si>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</si>
  <si>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</si>
  <si>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AP-3 complex subunit mu-2</t>
  </si>
  <si>
    <t>Cytochrome c-type heme lyase</t>
  </si>
  <si>
    <t>Mitogen-activated protein kinase 12</t>
  </si>
  <si>
    <t>Sodium/myo-inositol cotransporter</t>
  </si>
  <si>
    <t>DNA-directed RNA polymerases I, II, and III subunit RPABC4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</si>
  <si>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</si>
  <si>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</si>
  <si>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</si>
  <si>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</si>
  <si>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</si>
  <si>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DNA polymerase subunit gamma-1</t>
  </si>
  <si>
    <t>Arginine--tRNA ligase, cytoplasmic</t>
  </si>
  <si>
    <t>Isoform Monomeric of Arginine--tRNA ligase, cytoplasmic</t>
  </si>
  <si>
    <t>Atrophin-1</t>
  </si>
  <si>
    <t>Tyrosine--tRNA ligase, cytoplasmic</t>
  </si>
  <si>
    <t>Ubiquitin carboxyl-terminal hydrolase 14</t>
  </si>
  <si>
    <t>Isoform 2 of 5-AMP-activated protein kinase subunit gamma-1</t>
  </si>
  <si>
    <t>Heat shock-related 70 kDa protein 2</t>
  </si>
  <si>
    <t>Sodium/potassium-transporting ATPase subunit beta-3</t>
  </si>
  <si>
    <t>UV excision repair protein RAD23 homolog B</t>
  </si>
  <si>
    <t>Ephrin type-B receptor 3</t>
  </si>
  <si>
    <t>Ephrin type-A receptor 4</t>
  </si>
  <si>
    <t>Alpha-N-acetylglucosaminidase</t>
  </si>
  <si>
    <t>Adenylate kinase 2, mitochondrial</t>
  </si>
  <si>
    <t>Isoform Short of Delta-1-pyrroline-5-carboxylate synthase</t>
  </si>
  <si>
    <t>Alpha-soluble NSF attachment protein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</si>
  <si>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</si>
  <si>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</si>
  <si>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</si>
  <si>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</si>
  <si>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</si>
  <si>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</si>
  <si>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</si>
  <si>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Isoform 2 of Microfibril-associated glycoprotein 3</t>
  </si>
  <si>
    <t>Mesencephalic astrocyte-derived neurotrophic factor</t>
  </si>
  <si>
    <t>RNA polymerase II elongation factor ELL</t>
  </si>
  <si>
    <t>Caspase-7</t>
  </si>
  <si>
    <t>Caspase-9</t>
  </si>
  <si>
    <t>Caspase-6</t>
  </si>
  <si>
    <t>Adenosine kinase</t>
  </si>
  <si>
    <t>Laminin subunit beta-2</t>
  </si>
  <si>
    <t>Cyclin-dependent kinase 4 inhibitor D</t>
  </si>
  <si>
    <t>Isoform 2 of Tumor protein D52</t>
  </si>
  <si>
    <t>Protein SEC13 homolog</t>
  </si>
  <si>
    <t>FAD-linked sulfhydryl oxidase ALR</t>
  </si>
  <si>
    <t>Heterogeneous nuclear ribonucleoprotein H2</t>
  </si>
  <si>
    <t>Succinyl-CoA:3-ketoacid coenzyme A transferase 1, mitochondrial</t>
  </si>
  <si>
    <t>Eukaryotic translation initiation factor 3 subunit B</t>
  </si>
  <si>
    <t>BH3-interacting domain death agonist</t>
  </si>
  <si>
    <t>NADH dehydrogenase [ubiquinone] flavoprotein 3, mitochondrial</t>
  </si>
  <si>
    <t>Isoform 2 of NADH dehydrogenase [ubiquinone] flavoprotein 3, mitochondrial</t>
  </si>
  <si>
    <t>Ribosomal RNA processing protein 1 homolog A</t>
  </si>
  <si>
    <t>Methionine--tRNA ligase, cytoplasmic</t>
  </si>
  <si>
    <t>Integrin alpha-1</t>
  </si>
  <si>
    <t>cAMP-regulated phosphoprotein 19</t>
  </si>
  <si>
    <t>Isoform 2 of Myc-associated zinc finger protein</t>
  </si>
  <si>
    <t>Cx9C motif-containing protein 4</t>
  </si>
  <si>
    <t>6.8 kDa mitochondrial proteolipid</t>
  </si>
  <si>
    <t>ATP synthase subunit epsilon, mitochondrial</t>
  </si>
  <si>
    <t>ATP synthase subunit e, mitochondrial</t>
  </si>
  <si>
    <t>Histone deacetylase 4</t>
  </si>
  <si>
    <t>Eukaryotic translation initiation factor 6</t>
  </si>
  <si>
    <t>Isoform 2 of C-terminal-binding protein 2</t>
  </si>
  <si>
    <t>NADH dehydrogenase [ubiquinone] 1 alpha subcomplex subunit 6</t>
  </si>
  <si>
    <t>Peroxisomal biogenesis factor 3</t>
  </si>
  <si>
    <t>Claudin-12</t>
  </si>
  <si>
    <t>Isoform 3 of 3-keto-steroid reductase</t>
  </si>
  <si>
    <t>Isoform 5 of Breast cancer anti-estrogen resistance protein 1</t>
  </si>
  <si>
    <t>Syntaxin-17</t>
  </si>
  <si>
    <t>Isoform C of Phosphatidylinositol N-acetylglucosaminyltransferase subunit P</t>
  </si>
  <si>
    <t>Uncharacterized protein C21orf59</t>
  </si>
  <si>
    <t>Isoform 2 of tRNA (guanine-N(7)-)-methyltransferase subunit WDR4</t>
  </si>
  <si>
    <t>Transmembrane protein 33</t>
  </si>
  <si>
    <t>Synaptojanin-2-binding protein</t>
  </si>
  <si>
    <t>Krueppel-like factor 3</t>
  </si>
  <si>
    <t>Ras-related protein Rab-25</t>
  </si>
  <si>
    <t>Isoform 3 of Coronin-7</t>
  </si>
  <si>
    <t>Nuclear pore complex protein Nup107</t>
  </si>
  <si>
    <t>Selenocysteine-specific elongation factor</t>
  </si>
  <si>
    <t>Myotrophin</t>
  </si>
  <si>
    <t>Actin-related protein 2/3 complex subunit 4</t>
  </si>
  <si>
    <t>Protein transport protein Sec61 subunit gamma</t>
  </si>
  <si>
    <t>Triosephosphate isomerase</t>
  </si>
  <si>
    <t>Eukaryotic translation initiation factor 3 subunit E</t>
  </si>
  <si>
    <t>Protein transport protein Sec61 subunit beta</t>
  </si>
  <si>
    <t>Phosphatidylinositol 3,4,5-trisphosphate 3-phosphatase and dual-specificity protein phosphatase PTEN</t>
  </si>
  <si>
    <t>Serine/threonine-protein phosphatase 4 catalytic subunit</t>
  </si>
  <si>
    <t>Reactive oxygen species modulator 1</t>
  </si>
  <si>
    <t>Isoform 2 of Ubiquitin-conjugating enzyme E2 G2</t>
  </si>
  <si>
    <t>Actin, cytoplasmic 1</t>
  </si>
  <si>
    <t>Ras-related C3 botulinum toxin substrate 3</t>
  </si>
  <si>
    <t>Eukaryotic initiation factor 4A-I</t>
  </si>
  <si>
    <t>40S ribosomal protein S20</t>
  </si>
  <si>
    <t>Ribose-phosphate pyrophosphokinase 1</t>
  </si>
  <si>
    <t>26S proteasome complex subunit DSS1</t>
  </si>
  <si>
    <t>Protein S100-A10</t>
  </si>
  <si>
    <t>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</si>
  <si>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</si>
  <si>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</si>
  <si>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</si>
  <si>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</si>
  <si>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</si>
  <si>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</si>
  <si>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</si>
  <si>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</si>
  <si>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</si>
  <si>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</si>
  <si>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</si>
  <si>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</si>
  <si>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</si>
  <si>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</si>
  <si>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Zinc finger CCCH domain-containing protein 6</t>
  </si>
  <si>
    <t>Actin-related protein 3</t>
  </si>
  <si>
    <t>Actin-related protein 2</t>
  </si>
  <si>
    <t>Alpha-centractin</t>
  </si>
  <si>
    <t>COP9 signalosome complex subunit 2</t>
  </si>
  <si>
    <t>ADP-ribosylation factor 3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</si>
  <si>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</si>
  <si>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</si>
  <si>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</si>
  <si>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</si>
  <si>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</si>
  <si>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</si>
  <si>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60S ribosomal protein L26</t>
  </si>
  <si>
    <t>Proteasome activator complex subunit 3</t>
  </si>
  <si>
    <t>Protein mago nashi homolog</t>
  </si>
  <si>
    <t>60S ribosomal protein L27</t>
  </si>
  <si>
    <t>Pterin-4-alpha-carbinolamine dehydratase</t>
  </si>
  <si>
    <t>Transforming protein RhoA</t>
  </si>
  <si>
    <t>N-alpha-acetyltransferase 20</t>
  </si>
  <si>
    <t>Neurocalcin-delta</t>
  </si>
  <si>
    <t>10 kDa heat shock protein, mitochondrial</t>
  </si>
  <si>
    <t>Prefoldin subunit 3</t>
  </si>
  <si>
    <t>Syntaxin-binding protein 1</t>
  </si>
  <si>
    <t>Beta-2-microglobulin</t>
  </si>
  <si>
    <t>Transforming growth factor beta-2</t>
  </si>
  <si>
    <t>60S ribosomal protein L37</t>
  </si>
  <si>
    <t>DDB1- and CUL4-associated factor 7</t>
  </si>
  <si>
    <t>WD repeat-containing protein 5</t>
  </si>
  <si>
    <t>AP-1 complex subunit sigma-1A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</si>
  <si>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</si>
  <si>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</si>
  <si>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</si>
  <si>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</si>
  <si>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</si>
  <si>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</si>
  <si>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</si>
  <si>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</si>
  <si>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</si>
  <si>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</si>
  <si>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</si>
  <si>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</si>
  <si>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</si>
  <si>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</si>
  <si>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</si>
  <si>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</si>
  <si>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</si>
  <si>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</si>
  <si>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</si>
  <si>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</si>
  <si>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</si>
  <si>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</si>
  <si>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</si>
  <si>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</si>
  <si>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</si>
  <si>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</si>
  <si>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</si>
  <si>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Protein BTG1</t>
  </si>
  <si>
    <t>Thymosin beta-4</t>
  </si>
  <si>
    <t>ADP-ribosylation factor 6</t>
  </si>
  <si>
    <t>26S protease regulatory subunit 10B</t>
  </si>
  <si>
    <t>Selenoprotein T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</si>
  <si>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</si>
  <si>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</si>
  <si>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</si>
  <si>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</si>
  <si>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</si>
  <si>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4 of Cellular nucleic acid-binding protein</t>
  </si>
  <si>
    <t>Isoform 5 of Cellular nucleic acid-binding protein</t>
  </si>
  <si>
    <t>40S ribosomal protein S4, X isoform</t>
  </si>
  <si>
    <t>Serine/threonine-protein phosphatase 2A catalytic subunit beta isoform</t>
  </si>
  <si>
    <t>Rho-related GTP-binding protein RhoB</t>
  </si>
  <si>
    <t>60S ribosomal protein L23a</t>
  </si>
  <si>
    <t>40S ribosomal protein S6</t>
  </si>
  <si>
    <t>Visinin-like protein 1</t>
  </si>
  <si>
    <t>Histone H4</t>
  </si>
  <si>
    <t>Ras-related protein Rab-1A</t>
  </si>
  <si>
    <t>60S ribosomal protein L23</t>
  </si>
  <si>
    <t>Ras-related protein Rap-1A</t>
  </si>
  <si>
    <t>Ubiquitin-conjugating enzyme E2 D2</t>
  </si>
  <si>
    <t>40S ribosomal protein S25</t>
  </si>
  <si>
    <t>40S ribosomal protein S26</t>
  </si>
  <si>
    <t>40S ribosomal protein S28</t>
  </si>
  <si>
    <t>Guanine nucleotide-binding protein G(I)/G(S)/G(T) subunit beta-1</t>
  </si>
  <si>
    <t>E3 ubiquitin-protein ligase RBX1</t>
  </si>
  <si>
    <t>Guanine nucleotide-binding protein G(I)/G(S)/G(T) subunit beta-2</t>
  </si>
  <si>
    <t>60S ribosomal protein L10a</t>
  </si>
  <si>
    <t>Isoform 2 of 60S ribosomal protein L11</t>
  </si>
  <si>
    <t>60S ribosomal protein L8</t>
  </si>
  <si>
    <t>Peptidyl-prolyl cis-trans isomerase A</t>
  </si>
  <si>
    <t>Peptidyl-prolyl cis-trans isomerase FKBP1A</t>
  </si>
  <si>
    <t>Ubiquitin-40S ribosomal protein S27a</t>
  </si>
  <si>
    <t>Ubiquitin-60S ribosomal protein L40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</si>
  <si>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</si>
  <si>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</si>
  <si>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</si>
  <si>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</si>
  <si>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Isoform 3 of Guanine nucleotide-binding protein G(s) subunit alpha isoforms short</t>
  </si>
  <si>
    <t>Guanine nucleotide-binding protein G(i) subunit alpha-1</t>
  </si>
  <si>
    <t>14-3-3 protein zeta/delta</t>
  </si>
  <si>
    <t>Serine/threonine-protein phosphatase 2A 55 kDa regulatory subunit B alpha isoform</t>
  </si>
  <si>
    <t>Dynein light chain 1, cytoplasmic</t>
  </si>
  <si>
    <t>60S ribosomal protein L38</t>
  </si>
  <si>
    <t>Guanine nucleotide-binding protein G(I)/G(S)/G(O) subunit gamma-5</t>
  </si>
  <si>
    <t>Guanine nucleotide-binding protein subunit beta-2-like 1</t>
  </si>
  <si>
    <t>Transcription elongation factor SPT4</t>
  </si>
  <si>
    <t>Serine/threonine-protein phosphatase 2A catalytic subunit alpha isoform</t>
  </si>
  <si>
    <t>Nuclease-sensitive element-binding protein 1</t>
  </si>
  <si>
    <t>Tropomyosin alpha-4 chain</t>
  </si>
  <si>
    <t>Ubiquitin-conjugating enzyme E2 L3</t>
  </si>
  <si>
    <t>Elongation factor 1-alpha 1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</si>
  <si>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</si>
  <si>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</si>
  <si>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</si>
  <si>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</si>
  <si>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beta</t>
  </si>
  <si>
    <t>Hemoglobin subunit alpha</t>
  </si>
  <si>
    <t>Coxsackievirus and adenovirus receptor</t>
  </si>
  <si>
    <t>Nucleolar protein 14</t>
  </si>
  <si>
    <t>Immunoglobulin-binding protein 1</t>
  </si>
  <si>
    <t>Phosphoserine phosphatase</t>
  </si>
  <si>
    <t>RNA-binding protein 6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</si>
  <si>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</si>
  <si>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</si>
  <si>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</si>
  <si>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</si>
  <si>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Casein kinase I isoform gamma-2</t>
  </si>
  <si>
    <t>T-complex protein 1 subunit beta</t>
  </si>
  <si>
    <t>mRNA export factor</t>
  </si>
  <si>
    <t>Glutathione S-transferase omega-1</t>
  </si>
  <si>
    <t>Suppression of tumorigenicity 5 protein</t>
  </si>
  <si>
    <t>DNA-dependent protein kinase catalytic subunit</t>
  </si>
  <si>
    <t>Disintegrin and metalloproteinase domain-containing protein 17</t>
  </si>
  <si>
    <t>Arginase-2, mitochondrial</t>
  </si>
  <si>
    <t>Endonuclease III-like protein 1</t>
  </si>
  <si>
    <t>C-X-C motif chemokine 6</t>
  </si>
  <si>
    <t>Interferon-induced 35 kDa protein</t>
  </si>
  <si>
    <t>Metallothionein-1H</t>
  </si>
  <si>
    <t>Metallothionein-1X</t>
  </si>
  <si>
    <t>Nucleobindin-2</t>
  </si>
  <si>
    <t>Brain acid soluble protein 1</t>
  </si>
  <si>
    <t>Dermcidin</t>
  </si>
  <si>
    <t>TATA element modulatory factor</t>
  </si>
  <si>
    <t>28S ribosomal protein S10, mitochondrial</t>
  </si>
  <si>
    <t>28S ribosomal protein S35, mitochondrial</t>
  </si>
  <si>
    <t>28S ribosomal protein S36, mitochondrial</t>
  </si>
  <si>
    <t>28S ribosomal protein S34, mitochondrial</t>
  </si>
  <si>
    <t>28S ribosomal protein S9, mitochondrial</t>
  </si>
  <si>
    <t>SAP domain-containing ribonucleoprotein</t>
  </si>
  <si>
    <t>Serine beta-lactamase-like protein LACTB, mitochondrial</t>
  </si>
  <si>
    <t>Conserved oligomeric Golgi complex subunit 7</t>
  </si>
  <si>
    <t>60S ribosomal protein L24</t>
  </si>
  <si>
    <t>ADP-ribosylation factor 5</t>
  </si>
  <si>
    <t>Enhancer of rudimentary homolog</t>
  </si>
  <si>
    <t>Rho-related GTP-binding protein RhoG</t>
  </si>
  <si>
    <t>Isoform 4 of Small EDRK-rich factor 2</t>
  </si>
  <si>
    <t>Matrix-remodeling-associated protein 7</t>
  </si>
  <si>
    <t>Isoform 2 of Matrix-remodeling-associated protein 7</t>
  </si>
  <si>
    <t>Forkhead box protein K1</t>
  </si>
  <si>
    <t>Hydroxyacyl-thioester dehydratase type 2, mitochondrial</t>
  </si>
  <si>
    <t>Vacuolar fusion protein CCZ1 homolog</t>
  </si>
  <si>
    <t>E3 ubiquitin-protein ligase XIAP</t>
  </si>
  <si>
    <t>Ephrin-B1</t>
  </si>
  <si>
    <t>Isoform 3 of Protein FAM3A</t>
  </si>
  <si>
    <t>Isoform 2 of RNA-binding protein 10</t>
  </si>
  <si>
    <t>Putative RNA-binding protein 3</t>
  </si>
  <si>
    <t>Isoform 2 of Calcium-transporting ATPase type 2C member 1</t>
  </si>
  <si>
    <t>Cytochrome c</t>
  </si>
  <si>
    <t>Transcription factor A, mitochondrial</t>
  </si>
  <si>
    <t>Phosphatidylinositol transfer protein alpha isoform</t>
  </si>
  <si>
    <t>S-adenosylmethionine synthase isoform type-1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</si>
  <si>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</si>
  <si>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</si>
  <si>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</si>
  <si>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</si>
  <si>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</si>
  <si>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Transcriptional activator protein Pur-alpha</t>
  </si>
  <si>
    <t>Isoform 2 of Cdc42 effector protein 1</t>
  </si>
  <si>
    <t>Isoform 2 of Clathrin heavy chain 1</t>
  </si>
  <si>
    <t>Isoform Short of Heat shock factor protein 1</t>
  </si>
  <si>
    <t>Isoform 4 of Nuclear factor NF-kappa-B p100 subunit</t>
  </si>
  <si>
    <t>Peptidyl-prolyl cis-trans isomerase FKBP3</t>
  </si>
  <si>
    <t>Receptor expression-enhancing protein 5</t>
  </si>
  <si>
    <t>Sorbitol dehydrogenase</t>
  </si>
  <si>
    <t>Isoform Short of Heterogeneous nuclear ribonucleoprotein U</t>
  </si>
  <si>
    <t>Splicing factor U2AF 35 kDa subunit</t>
  </si>
  <si>
    <t>Spectrin beta chain, non-erythrocytic 1</t>
  </si>
  <si>
    <t>Isoform 2 of Spectrin beta chain, non-erythrocytic 1</t>
  </si>
  <si>
    <t>Isoform 2 of Nucleolysin TIAR</t>
  </si>
  <si>
    <t>Protein SET</t>
  </si>
  <si>
    <t>Serine/arginine-rich splicing factor 2</t>
  </si>
  <si>
    <t>Forkhead box protein K2</t>
  </si>
  <si>
    <t>Isoform 4 of AMP deaminase 3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</si>
  <si>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</si>
  <si>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</si>
  <si>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</si>
  <si>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</si>
  <si>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Transcription factor AP-4</t>
  </si>
  <si>
    <t>Isoform 2 of Exosome component 10</t>
  </si>
  <si>
    <t>6-phosphofructokinase type C</t>
  </si>
  <si>
    <t>Isoform B of Inositol polyphosphate 5-phosphatase OCRL-1</t>
  </si>
  <si>
    <t>1-phosphatidylinositol 4,5-bisphosphate phosphodiesterase beta-3</t>
  </si>
  <si>
    <t>Transgelin</t>
  </si>
  <si>
    <t>Isoform 2 of N-acylethanolamine-hydrolyzing acid amidase</t>
  </si>
  <si>
    <t>Dihydroorotate dehydrogenase (quinone), mitochondrial</t>
  </si>
  <si>
    <t>Protein kinase C epsilon type</t>
  </si>
  <si>
    <t>Kinesin-like protein KIF23</t>
  </si>
  <si>
    <t>Methylmalonate-semialdehyde dehydrogenase [acylating], mitochondrial</t>
  </si>
  <si>
    <t>Sterol 26-hydroxylase, mitochondrial</t>
  </si>
  <si>
    <t>D-beta-hydroxybutyrate dehydrogenase, mitochondrial</t>
  </si>
  <si>
    <t>Semenogelin-2</t>
  </si>
  <si>
    <t>Transcription factor Sp4</t>
  </si>
  <si>
    <t>Isoform 2B of Desmocollin-2</t>
  </si>
  <si>
    <t>60S ribosomal protein L18a</t>
  </si>
  <si>
    <t>Beta-1,3-galactosyl-O-glycosyl-glycoprotein beta-1,6-N-acetylglucosaminyltransferase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</si>
  <si>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</si>
  <si>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</si>
  <si>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</si>
  <si>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</si>
  <si>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60S ribosomal protein L6</t>
  </si>
  <si>
    <t>Isoform Beta-1 of DNA topoisomerase 2-beta</t>
  </si>
  <si>
    <t>Isoform 3 of A-kinase anchor protein 12</t>
  </si>
  <si>
    <t>Dystonin</t>
  </si>
  <si>
    <t>Protein ENL</t>
  </si>
  <si>
    <t>Guanine nucleotide-binding protein subunit alpha-12</t>
  </si>
  <si>
    <t>Aminoacylase-1</t>
  </si>
  <si>
    <t>Isoform 2 of Histone-lysine N-methyltransferase MLL</t>
  </si>
  <si>
    <t>Isoform 2 of Transforming growth factor beta receptor type 3</t>
  </si>
  <si>
    <t>Tumor necrosis factor alpha-induced protein 2</t>
  </si>
  <si>
    <t>6-pyruvoyl tetrahydrobiopterin synthase</t>
  </si>
  <si>
    <t>Antigen peptide transporter 2</t>
  </si>
  <si>
    <t>CCAAT/enhancer-binding protein zeta</t>
  </si>
  <si>
    <t>1,4-alpha-glucan-branching enzyme</t>
  </si>
  <si>
    <t>Isoform D of Eukaryotic translation initiation factor 4 gamma 1</t>
  </si>
  <si>
    <t>Isoform 5 of Copper-transporting ATPase 1</t>
  </si>
  <si>
    <t>Neurogenic locus notch homolog protein 2</t>
  </si>
  <si>
    <t>Transducin-like enhancer protein 1</t>
  </si>
  <si>
    <t>Isoform 5 of Transducin-like enhancer protein 3</t>
  </si>
  <si>
    <t>Protein kinase C theta type</t>
  </si>
  <si>
    <t>Lactoylglutathione lyase</t>
  </si>
  <si>
    <t>Aldo-keto reductase family 1 member C1</t>
  </si>
  <si>
    <t>Single-stranded DNA-binding protein, mitochondrial</t>
  </si>
  <si>
    <t>14-3-3 protein eta</t>
  </si>
  <si>
    <t>Proteolipid protein 2</t>
  </si>
  <si>
    <t>Cleavage stimulation factor subunit 1</t>
  </si>
  <si>
    <t>Islet cell autoantigen 1</t>
  </si>
  <si>
    <t>Isoform III of Ubiquitin-protein ligase E3A</t>
  </si>
  <si>
    <t>Isoform 5 of Dynamin-1</t>
  </si>
  <si>
    <t>Tyrosine-protein phosphatase non-receptor type 12</t>
  </si>
  <si>
    <t>Protein kinase C zeta type</t>
  </si>
  <si>
    <t>Isoform 2 of Serine/arginine-rich splicing factor 11</t>
  </si>
  <si>
    <t>Protein kinase C delta type</t>
  </si>
  <si>
    <t>Isoform 5 of Caldesmon</t>
  </si>
  <si>
    <t>Isoform 3 of Folylpolyglutamate synthase, mitochondrial</t>
  </si>
  <si>
    <t>Isoform 3 of MBT domain-containing protein 1</t>
  </si>
  <si>
    <t>Isoform 2 of Tyrosine-protein phosphatase non-receptor type 11</t>
  </si>
  <si>
    <t>3-ketodihydrosphingosine reductase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</si>
  <si>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</si>
  <si>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</si>
  <si>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</si>
  <si>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</si>
  <si>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5 of Recombining binding protein suppressor of hairless</t>
  </si>
  <si>
    <t>Amyloid-like protein 2</t>
  </si>
  <si>
    <t>GA-binding protein alpha chain</t>
  </si>
  <si>
    <t>E3 ubiquitin-protein ligase RING1</t>
  </si>
  <si>
    <t>Isoform 3 of DNA repair protein RAD51 homolog 1</t>
  </si>
  <si>
    <t>Isoform 8 of Fragile X mental retardation protein 1</t>
  </si>
  <si>
    <t>Peroxiredoxin-1</t>
  </si>
  <si>
    <t>Complement component 1 Q subcomponent-binding protein, mitochondrial</t>
  </si>
  <si>
    <t>Cytoskeleton-associated protein 4</t>
  </si>
  <si>
    <t>Trefoil factor 3</t>
  </si>
  <si>
    <t>KH domain-containing, RNA-binding, signal transduction-associated protein 1</t>
  </si>
  <si>
    <t>Isoform Epsilon of Apoptosis regulator BAX</t>
  </si>
  <si>
    <t>Isoform N of Kinesin light chain 1</t>
  </si>
  <si>
    <t>Prolow-density lipoprotein receptor-related protein 1</t>
  </si>
  <si>
    <t>Rho GTPase-activating protein 1</t>
  </si>
  <si>
    <t>Serine/arginine-rich splicing factor 4</t>
  </si>
  <si>
    <t>Isoform 2 of Serine/threonine-protein phosphatase 2B catalytic subunit alpha isoform</t>
  </si>
  <si>
    <t>ATP-dependent RNA helicase A</t>
  </si>
  <si>
    <t>Quinone oxidoreductase</t>
  </si>
  <si>
    <t>Sodium-dependent phosphate transporter 2</t>
  </si>
  <si>
    <t>Golgin subfamily A member 3</t>
  </si>
  <si>
    <t>Golgin subfamily A member 2</t>
  </si>
  <si>
    <t>Galectin-3-binding protein</t>
  </si>
  <si>
    <t>Peroxisomal bifunctional enzyme</t>
  </si>
  <si>
    <t>Leukocyte surface antigen CD47</t>
  </si>
  <si>
    <t>Peptidyl-prolyl cis-trans isomerase D</t>
  </si>
  <si>
    <t>FACT complex subunit SSRP1</t>
  </si>
  <si>
    <t>Schlafen family member 5</t>
  </si>
  <si>
    <t>Mitotic-spindle organizing protein 1</t>
  </si>
  <si>
    <t>Protein VAC14 homolog</t>
  </si>
  <si>
    <t>KIAA0100 protein</t>
  </si>
  <si>
    <t>tRNA (cytosine(34)-C(5))-methyltransferase</t>
  </si>
  <si>
    <t>Isoform 3 of Histone-binding protein RBBP4</t>
  </si>
  <si>
    <t>Nuclear cap-binding protein subunit 1</t>
  </si>
  <si>
    <t>Alpha-1,6-mannosylglycoprotein 6-beta-N-acetylglucosaminyltransferase A</t>
  </si>
  <si>
    <t>Histone acetyltransferase p300</t>
  </si>
  <si>
    <t>Neuroblast differentiation-associated protein AHNAK</t>
  </si>
  <si>
    <t>Putative EGF-like and EMI domain-containing protein 1</t>
  </si>
  <si>
    <t>FCH domain only protein 2</t>
  </si>
  <si>
    <t>Elongator complex protein 6</t>
  </si>
  <si>
    <t>Heat shock 70 kDa protein 14</t>
  </si>
  <si>
    <t>Isoform 2 of Secernin-3</t>
  </si>
  <si>
    <t>Fanconi anemia-associated protein of 100 kDa</t>
  </si>
  <si>
    <t>Ragulator complex protein LAMTOR4</t>
  </si>
  <si>
    <t>Alpha-1,6-mannosyl-glycoprotein 2-beta-N-acetylglucosaminyltransferase</t>
  </si>
  <si>
    <t>Polypeptide N-acetylgalactosaminyltransferase 2</t>
  </si>
  <si>
    <t>Isoform C of AP-1 complex subunit beta-1</t>
  </si>
  <si>
    <t>Cleavage and polyadenylation specificity factor subunit 1</t>
  </si>
  <si>
    <t>Mitochondrial-processing peptidase subunit alpha</t>
  </si>
  <si>
    <t>Secernin-1</t>
  </si>
  <si>
    <t>WASH complex subunit strumpellin</t>
  </si>
  <si>
    <t>Nuclear pore complex protein Nup160</t>
  </si>
  <si>
    <t>Sterol regulatory element-binding protein cleavage-activating protein</t>
  </si>
  <si>
    <t>Rho guanine nucleotide exchange factor 5</t>
  </si>
  <si>
    <t>Transducin beta-like protein 3</t>
  </si>
  <si>
    <t>Isoform 2 of General transcription factor 3C polypeptide 1</t>
  </si>
  <si>
    <t>Twinfilin-1</t>
  </si>
  <si>
    <t>Aspartyl/asparaginyl beta-hydroxylase</t>
  </si>
  <si>
    <t>Isoform 4 of Alpha-globin transcription factor CP2</t>
  </si>
  <si>
    <t>Isoform 3 of A-kinase anchor protein 13</t>
  </si>
  <si>
    <t>Isoform 4 of Nucleosome-remodeling factor subunit BPTF</t>
  </si>
  <si>
    <t>Cell division cycle protein 20 homolog</t>
  </si>
  <si>
    <t>Syntaxin-4</t>
  </si>
  <si>
    <t>Splicing factor, suppressor of white-apricot homolog</t>
  </si>
  <si>
    <t>Splicing factor 3A subunit 3</t>
  </si>
  <si>
    <t>Tumor suppressor p53-binding protein 1</t>
  </si>
  <si>
    <t>Interferon-related developmental regulator 2</t>
  </si>
  <si>
    <t>Tripartite motif-containing protein 26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</si>
  <si>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</si>
  <si>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</si>
  <si>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</si>
  <si>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</si>
  <si>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Epidermal growth factor receptor kinase substrate 8</t>
  </si>
  <si>
    <t>Isoform 3 of TNF receptor-associated factor 2</t>
  </si>
  <si>
    <t>Ankyrin-3</t>
  </si>
  <si>
    <t>Isoform 5 of Disks large homolog 1</t>
  </si>
  <si>
    <t>Transcription initiation factor TFIID subunit 10</t>
  </si>
  <si>
    <t>Unconventional myosin-Ie</t>
  </si>
  <si>
    <t>Nuclear inhibitor of protein phosphatase 1</t>
  </si>
  <si>
    <t>Vesicle transport protein SEC20</t>
  </si>
  <si>
    <t>Transcriptional repressor NF-X1</t>
  </si>
  <si>
    <t>Cleavage stimulation factor subunit 3</t>
  </si>
  <si>
    <t>Delta(3,5)-Delta(2,4)-dienoyl-CoA isomerase, mitochondrial</t>
  </si>
  <si>
    <t>Isoform 2 of Rho GTPase-activating protein 5</t>
  </si>
  <si>
    <t>Isoform Alpha of Striatin-3</t>
  </si>
  <si>
    <t>Serine/threonine-protein kinase 4</t>
  </si>
  <si>
    <t>Protein flightless-1 homolog</t>
  </si>
  <si>
    <t>E3 ubiquitin-protein ligase TRIM32</t>
  </si>
  <si>
    <t>Bifunctional coenzyme A synthase</t>
  </si>
  <si>
    <t>Isoform 3 of Acetyl-CoA carboxylase 1</t>
  </si>
  <si>
    <t>COP9 signalosome complex subunit 1</t>
  </si>
  <si>
    <t>Isoform 2 of Ubiquitin carboxyl-terminal hydrolase 4</t>
  </si>
  <si>
    <t>Chromatin assembly factor 1 subunit A</t>
  </si>
  <si>
    <t>Chromatin assembly factor 1 subunit B</t>
  </si>
  <si>
    <t>Protein Red</t>
  </si>
  <si>
    <t>S-methyl-5-thioadenosine phosphorylase</t>
  </si>
  <si>
    <t>5-AMP-activated protein kinase catalytic subunit alpha-1</t>
  </si>
  <si>
    <t>Liprin-alpha-1</t>
  </si>
  <si>
    <t>BMP and activin membrane-bound inhibitor homolog</t>
  </si>
  <si>
    <t>TAR DNA-binding protein 43</t>
  </si>
  <si>
    <t>Heterogeneous nuclear ribonucleoprotein A0</t>
  </si>
  <si>
    <t>Serine/threonine-protein kinase PAK 1</t>
  </si>
  <si>
    <t>Aminoacyl tRNA synthase complex-interacting multifunctional protein 2</t>
  </si>
  <si>
    <t>Protein FADD</t>
  </si>
  <si>
    <t>Peroxiredoxin-4</t>
  </si>
  <si>
    <t>Isoform 3 of Mitogen-activated protein kinase 7</t>
  </si>
  <si>
    <t>Serine/threonine-protein kinase PAK 2</t>
  </si>
  <si>
    <t>Chromobox protein homolog 3</t>
  </si>
  <si>
    <t>Serine/threonine-protein kinase 3</t>
  </si>
  <si>
    <t>26S proteasome non-ATPase regulatory subunit 2</t>
  </si>
  <si>
    <t>Probable ATP-dependent RNA helicase DDX10</t>
  </si>
  <si>
    <t>Isoform 2 of Semaphorin-3B</t>
  </si>
  <si>
    <t>DNA excision repair protein ERCC-8</t>
  </si>
  <si>
    <t>DnaJ homolog subfamily C member 3</t>
  </si>
  <si>
    <t>Selenium-binding protein 1</t>
  </si>
  <si>
    <t>Nucleoside diphosphate kinase 3</t>
  </si>
  <si>
    <t>Serine/arginine-rich splicing factor 9</t>
  </si>
  <si>
    <t>Isoform SRP40-4 of 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</si>
  <si>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</si>
  <si>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</si>
  <si>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</si>
  <si>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</si>
  <si>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</si>
  <si>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</si>
  <si>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Inactive tyrosine-protein kinase 7</t>
  </si>
  <si>
    <t>Isoform 2 of S-phase kinase-associated protein 2</t>
  </si>
  <si>
    <t>Isoform 2 of Polyadenylate-binding protein 4</t>
  </si>
  <si>
    <t>Serine-protein kinase ATM</t>
  </si>
  <si>
    <t>Isoform 2 of Growth factor receptor-bound protein 10</t>
  </si>
  <si>
    <t>Isoform 3 of Metastasis-associated protein MTA1</t>
  </si>
  <si>
    <t>Eukaryotic translation initiation factor 3 subunit I</t>
  </si>
  <si>
    <t>Peptidyl-prolyl cis-trans isomerase-like 2</t>
  </si>
  <si>
    <t>Isoform Gamma-2 of Serine/threonine-protein phosphatase 2A 56 kDa regulatory subunit gamma isoform</t>
  </si>
  <si>
    <t>C-terminal-binding protein 1</t>
  </si>
  <si>
    <t>Phosducin-like protein</t>
  </si>
  <si>
    <t>Probable methyltransferase TARBP1</t>
  </si>
  <si>
    <t>39S ribosomal protein L49, mitochondrial</t>
  </si>
  <si>
    <t>Isoform 2C of Cytoplasmic dynein 1 intermediate chain 2</t>
  </si>
  <si>
    <t>Origin recognition complex subunit 2</t>
  </si>
  <si>
    <t>Integrin-linked protein kinase</t>
  </si>
  <si>
    <t>NAD(P) transhydrogenase, mitochondrial</t>
  </si>
  <si>
    <t>Beta-2-syntrophin</t>
  </si>
  <si>
    <t>DNA repair protein XRCC4</t>
  </si>
  <si>
    <t>Peptidyl-prolyl cis-trans isomerase G</t>
  </si>
  <si>
    <t>Isoform 3 of Treacle protein</t>
  </si>
  <si>
    <t>Isoform B of Protein unc-119 homolog A</t>
  </si>
  <si>
    <t>Zinc transporter ZIP6</t>
  </si>
  <si>
    <t>Splicing factor 3B subunit 2</t>
  </si>
  <si>
    <t>Isoform 4 of Protein OS-9</t>
  </si>
  <si>
    <t>Isoform 3 of Golgin subfamily A member 4</t>
  </si>
  <si>
    <t>28 kDa heat- and acid-stable phosphoprotein</t>
  </si>
  <si>
    <t>Disintegrin and metalloproteinase domain-containing protein 9</t>
  </si>
  <si>
    <t>Transmembrane emp24 domain-containing protein 1</t>
  </si>
  <si>
    <t>Peptidyl-prolyl cis-trans isomerase FKBP5</t>
  </si>
  <si>
    <t>Rho-associated protein kinase 1</t>
  </si>
  <si>
    <t>V-type proton ATPase 116 kDa subunit a isoform 3</t>
  </si>
  <si>
    <t>Isoform 2 of Phosphatidylinositol-binding clathrin assembly protein</t>
  </si>
  <si>
    <t>Myotubularin</t>
  </si>
  <si>
    <t>Sequestosome-1</t>
  </si>
  <si>
    <t>Isoform 3 of Metaxin-1</t>
  </si>
  <si>
    <t>Tubulin beta-3 chain</t>
  </si>
  <si>
    <t>Peptidyl-prolyl cis-trans isomerase NIMA-interacting 1</t>
  </si>
  <si>
    <t>Isoform 3 of Serine/threonine-protein kinase ATR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</si>
  <si>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</si>
  <si>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</si>
  <si>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</si>
  <si>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Histone deacetylase 1</t>
  </si>
  <si>
    <t>NEDD8-activating enzyme E1 regulatory subunit</t>
  </si>
  <si>
    <t>Inositol-tetrakisphosphate 1-kinase</t>
  </si>
  <si>
    <t>SNW domain-containing protein 1</t>
  </si>
  <si>
    <t>Stromal interaction molecule 1</t>
  </si>
  <si>
    <t>Sorting nexin-1</t>
  </si>
  <si>
    <t>Isoform 2 of KRR1 small subunit processome component homolog</t>
  </si>
  <si>
    <t>Peroxisome assembly factor 2</t>
  </si>
  <si>
    <t>Myotubularin-related protein 2</t>
  </si>
  <si>
    <t>Cullin-1</t>
  </si>
  <si>
    <t>Cullin-2</t>
  </si>
  <si>
    <t>Cullin-3</t>
  </si>
  <si>
    <t>Cullin-4A</t>
  </si>
  <si>
    <t>Isoform 2 of Apoptosis-stimulating of p53 protein 2</t>
  </si>
  <si>
    <t>GDP-L-fucose synthase</t>
  </si>
  <si>
    <t>Trophoblast glycoprotein</t>
  </si>
  <si>
    <t>Isoform 1 of Four and a half LIM domains protein 1</t>
  </si>
  <si>
    <t>Four and a half LIM domains protein 3</t>
  </si>
  <si>
    <t>Alkylated DNA repair protein alkB homolog 1</t>
  </si>
  <si>
    <t>Mannosyl-oligosaccharide glucosidase</t>
  </si>
  <si>
    <t>Sodium/potassium-transporting ATPase subunit alpha-4</t>
  </si>
  <si>
    <t>Isoform 2 of CD166 antigen</t>
  </si>
  <si>
    <t>Laminin subunit beta-3</t>
  </si>
  <si>
    <t>Laminin subunit gamma-2</t>
  </si>
  <si>
    <t>THO complex subunit 5 homolog</t>
  </si>
  <si>
    <t>ADP-ribosylation factor-related protein 1</t>
  </si>
  <si>
    <t>Spectrin alpha chain, non-erythrocytic 1</t>
  </si>
  <si>
    <t>Isoform 2 of Spectrin alpha chain, non-erythrocytic 1</t>
  </si>
  <si>
    <t>Methylglutaconyl-CoA hydratase, mitochondrial</t>
  </si>
  <si>
    <t>Bleomycin hydrolase</t>
  </si>
  <si>
    <t>Exosome complex component RRP4</t>
  </si>
  <si>
    <t>Beta-1-syntrophin</t>
  </si>
  <si>
    <t>Tubulin beta-2A chain</t>
  </si>
  <si>
    <t>Krueppel-like factor 5</t>
  </si>
  <si>
    <t>Bystin</t>
  </si>
  <si>
    <t>Isopentenyl-diphosphate Delta-isomerase 1</t>
  </si>
  <si>
    <t>Core-binding factor subunit beta</t>
  </si>
  <si>
    <t>Isoform 2 of Core-binding factor subunit beta</t>
  </si>
  <si>
    <t>Isoform 2 of Nuclear transcription factor Y subunit gamma</t>
  </si>
  <si>
    <t>cGMP-dependent protein kinase 1</t>
  </si>
  <si>
    <t>Isoform 2 of Cytoskeleton-associated protein 5</t>
  </si>
  <si>
    <t>Cold-inducible RNA-binding protein</t>
  </si>
  <si>
    <t>Coactosin-like protein</t>
  </si>
  <si>
    <t>Collagen alpha-3(IX) chain</t>
  </si>
  <si>
    <t>Cytochrome c oxidase copper chaperone</t>
  </si>
  <si>
    <t>Isoform 3 of Heterogeneous nuclear ribonucleoprotein D0</t>
  </si>
  <si>
    <t>Lysosome membrane protein 2</t>
  </si>
  <si>
    <t>Isoform 4 of Low-density lipoprotein receptor-related protein 8</t>
  </si>
  <si>
    <t>Dystroglycan</t>
  </si>
  <si>
    <t>Desmoglein-2</t>
  </si>
  <si>
    <t>Transcription cofactor vestigial-like protein 4</t>
  </si>
  <si>
    <t>Ribosome biogenesis protein BOP1</t>
  </si>
  <si>
    <t>Ubiquitin conjugation factor E4 A</t>
  </si>
  <si>
    <t>Kelch-like ECH-associated protein 1</t>
  </si>
  <si>
    <t>Unhealthy ribosome biogenesis protein 2 homolog</t>
  </si>
  <si>
    <t>MORC family CW-type zinc finger protein 3</t>
  </si>
  <si>
    <t>Scaffold attachment factor B2</t>
  </si>
  <si>
    <t>Eukaryotic translation initiation factor 3 subunit A</t>
  </si>
  <si>
    <t>Isoform 2 of Ubiquitin-associated protein 2-like</t>
  </si>
  <si>
    <t>Isoform 5 of Ubiquitin-associated protein 2-like</t>
  </si>
  <si>
    <t>Protein scribble homolog</t>
  </si>
  <si>
    <t>Malectin</t>
  </si>
  <si>
    <t>Tubulin--tyrosine ligase-like protein 12</t>
  </si>
  <si>
    <t>DNA polymerase alpha subunit B</t>
  </si>
  <si>
    <t>Transcription factor Dp-1</t>
  </si>
  <si>
    <t>Werner syndrome ATP-dependent helicase</t>
  </si>
  <si>
    <t>Dihydropyrimidinase-related protein 3</t>
  </si>
  <si>
    <t>Cytoplasmic dynein 1 heavy chain 1</t>
  </si>
  <si>
    <t>Translation initiation factor eIF-2B subunit alpha</t>
  </si>
  <si>
    <t>Eukaryotic initiation factor 4A-II</t>
  </si>
  <si>
    <t>Transcription elongation factor B polypeptide 3</t>
  </si>
  <si>
    <t>Ensconsin</t>
  </si>
  <si>
    <t>Src substrate cortactin</t>
  </si>
  <si>
    <t>Isoform 3 of Src substrate cortactin</t>
  </si>
  <si>
    <t>Endonuclease G, mitochondrial</t>
  </si>
  <si>
    <t>Flotillin-2</t>
  </si>
  <si>
    <t>Reticulocalbin-2</t>
  </si>
  <si>
    <t>E3 ubiquitin/ISG15 ligase TRIM25</t>
  </si>
  <si>
    <t>Isoform 2 of Peptidyl-prolyl cis-trans isomerase FKBP8</t>
  </si>
  <si>
    <t>Protein FAM50A</t>
  </si>
  <si>
    <t>Protein FRG1</t>
  </si>
  <si>
    <t>Guanine nucleotide-binding protein subunit alpha-13</t>
  </si>
  <si>
    <t>UDP-glucose 4-epimerase</t>
  </si>
  <si>
    <t>Polypeptide N-acetylgalactosaminyltransferase 3</t>
  </si>
  <si>
    <t>Isoform 2 of Caprin-1</t>
  </si>
  <si>
    <t>Growth factor receptor-bound protein 7</t>
  </si>
  <si>
    <t>Beclin-1</t>
  </si>
  <si>
    <t>Transcription factor HES-1</t>
  </si>
  <si>
    <t>Isoform 2 of RNA-binding protein 39</t>
  </si>
  <si>
    <t>WAP four-disulfide core domain protein 2</t>
  </si>
  <si>
    <t>Isoform 3 of Enhancer of filamentation 1</t>
  </si>
  <si>
    <t>Isoform 2 of Hyaluronan-binding protein 2</t>
  </si>
  <si>
    <t>Hypermethylated in cancer 1 protein</t>
  </si>
  <si>
    <t>Squalene monooxygenase</t>
  </si>
  <si>
    <t>Protein disulfide-isomerase A5</t>
  </si>
  <si>
    <t>Isoform 2 of Phosphoribosyl pyrophosphate synthase-associated protein 1</t>
  </si>
  <si>
    <t>ATP-dependent RNA helicase DHX8</t>
  </si>
  <si>
    <t>DNA replication licensing factor MCM6</t>
  </si>
  <si>
    <t>Inositol 1,4,5-trisphosphate receptor type 2</t>
  </si>
  <si>
    <t>Inositol 1,4,5-trisphosphate receptor type 3</t>
  </si>
  <si>
    <t>Plastin-1</t>
  </si>
  <si>
    <t>Interferon regulatory factor 3</t>
  </si>
  <si>
    <t>L antigen family member 3</t>
  </si>
  <si>
    <t>Isoform 2 of E3 ubiquitin-protein ligase TRIP12</t>
  </si>
  <si>
    <t>Mediator of DNA damage checkpoint protein 1</t>
  </si>
  <si>
    <t>Clathrin interactor 1</t>
  </si>
  <si>
    <t>KN motif and ankyrin repeat domain-containing protein 1</t>
  </si>
  <si>
    <t>BTB/POZ domain-containing protein KCTD2</t>
  </si>
  <si>
    <t>Structural maintenance of chromosomes protein 1A</t>
  </si>
  <si>
    <t>Isoform 2 of Ribosomal RNA processing protein 1 homolog B</t>
  </si>
  <si>
    <t>Nuclear receptor coactivator 6</t>
  </si>
  <si>
    <t>Isoform 2 of Genetic suppressor element 1</t>
  </si>
  <si>
    <t>DNA replication complex GINS protein PSF1</t>
  </si>
  <si>
    <t>Ubiquitin carboxyl-terminal hydrolase 10</t>
  </si>
  <si>
    <t>LDLR chaperone MESD</t>
  </si>
  <si>
    <t>Neutral alpha-glucosidase AB</t>
  </si>
  <si>
    <t>Raftlin</t>
  </si>
  <si>
    <t>Lamin-B receptor</t>
  </si>
  <si>
    <t>Isoform 2 of Conserved oligomeric Golgi complex subunit 2</t>
  </si>
  <si>
    <t>Golgin subfamily B member 1</t>
  </si>
  <si>
    <t>Caspase-8</t>
  </si>
  <si>
    <t>N-alpha-acetyltransferase 30</t>
  </si>
  <si>
    <t>Isoform 2 of FXYD domain-containing ion transport regulator 3</t>
  </si>
  <si>
    <t>Kinesin-like protein KIF22</t>
  </si>
  <si>
    <t>LIM and SH3 domain protein 1</t>
  </si>
  <si>
    <t>Isoform 2 of StAR-related lipid transfer protein 3</t>
  </si>
  <si>
    <t>Metal regulatory transcription factor 1</t>
  </si>
  <si>
    <t>Isoform 2 of Prostaglandin reductase 1</t>
  </si>
  <si>
    <t>Ras-related protein Rab-39A</t>
  </si>
  <si>
    <t>Zinc finger protein 638</t>
  </si>
  <si>
    <t>Importin subunit beta-1</t>
  </si>
  <si>
    <t>Isoform Beta of Nucleolar and coiled-body phosphoprotein 1</t>
  </si>
  <si>
    <t>Isoform 3 of Nucleolar and coiled-body phosphoprotein 1</t>
  </si>
  <si>
    <t>Nuclear mitotic apparatus protein 1</t>
  </si>
  <si>
    <t>Proteasome activator complex subunit 4</t>
  </si>
  <si>
    <t>Isoform 2 of Sarcolemmal membrane-associated protein</t>
  </si>
  <si>
    <t>Isoform 6 of GTPase-activating protein and VPS9 domain-containing protein 1</t>
  </si>
  <si>
    <t>FERM and PDZ domain-containing protein 4</t>
  </si>
  <si>
    <t>UBX domain-containing protein 2B</t>
  </si>
  <si>
    <t>N-alpha-acetyltransferase 25, NatB auxiliary subunit</t>
  </si>
  <si>
    <t>FAST kinase domain-containing protein 3</t>
  </si>
  <si>
    <t>Condensin complex subunit 2</t>
  </si>
  <si>
    <t>PCNA-associated factor</t>
  </si>
  <si>
    <t>Signal peptidase complex subunit 2</t>
  </si>
  <si>
    <t>ER membrane protein complex subunit 2</t>
  </si>
  <si>
    <t>Pre-mRNA-splicing regulator WTAP</t>
  </si>
  <si>
    <t>26S proteasome non-ATPase regulatory subunit 6</t>
  </si>
  <si>
    <t>Isoform 3 of Homocysteine-responsive endoplasmic reticulum-resident ubiquitin-like domain member 1 protein</t>
  </si>
  <si>
    <t>Lysosomal-associated transmembrane protein 4A</t>
  </si>
  <si>
    <t>MAD2L1-binding protein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</si>
  <si>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</si>
  <si>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</si>
  <si>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</si>
  <si>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</si>
  <si>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</si>
  <si>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Isoform 2 of 116 kDa U5 small nuclear ribonucleoprotein component</t>
  </si>
  <si>
    <t>Probable leucine--tRNA ligase, mitochondrial</t>
  </si>
  <si>
    <t>Isoform 2 of Sorting nexin-17</t>
  </si>
  <si>
    <t>Rab3 GTPase-activating protein catalytic subunit</t>
  </si>
  <si>
    <t>Isoform 2 of Zinc transporter ZIP14</t>
  </si>
  <si>
    <t>Lysine--tRNA ligase</t>
  </si>
  <si>
    <t>Isoform 3 of Histone-lysine N-methyltransferase SETDB1</t>
  </si>
  <si>
    <t>Ribosome biogenesis regulatory protein homolog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</si>
  <si>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</si>
  <si>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</si>
  <si>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</si>
  <si>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Bromodomain-containing protein 3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</si>
  <si>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</si>
  <si>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</si>
  <si>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</si>
  <si>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</si>
  <si>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[Pyruvate dehydrogenase [lipoamide]] kinase isozyme 1, mitochondrial</t>
  </si>
  <si>
    <t>[Pyruvate dehydrogenase [lipoamide]] kinase isozyme 3, mitochondrial</t>
  </si>
  <si>
    <t>Astrocytic phosphoprotein PEA-15</t>
  </si>
  <si>
    <t>3-beta-hydroxysteroid-Delta(8),Delta(7)-isomerase</t>
  </si>
  <si>
    <t>Phosphomevalonate kinase</t>
  </si>
  <si>
    <t>Serine/threonine-protein kinase D1</t>
  </si>
  <si>
    <t>Isoform 4 of Plectin</t>
  </si>
  <si>
    <t>Nodal modulator 1</t>
  </si>
  <si>
    <t>Serum paraoxonase/lactonase 3</t>
  </si>
  <si>
    <t>Isoform 2 of Transcription elongation factor A protein-like 1</t>
  </si>
  <si>
    <t>Serine/threonine-protein phosphatase 2A 56 kDa regulatory subunit alpha isoform</t>
  </si>
  <si>
    <t>Inorganic pyrophosphatase</t>
  </si>
  <si>
    <t>Serine/threonine-protein kinase 38</t>
  </si>
  <si>
    <t>Poliovirus receptor-related protein 1</t>
  </si>
  <si>
    <t>Non-POU domain-containing octamer-binding protein</t>
  </si>
  <si>
    <t>Serine/threonine-protein phosphatase 2A activator</t>
  </si>
  <si>
    <t>Periodic tryptophan protein 2 homolog</t>
  </si>
  <si>
    <t>Nicotinate-nucleotide pyrophosphorylase [carboxylating]</t>
  </si>
  <si>
    <t>Rab GTPase-binding effector protein 1</t>
  </si>
  <si>
    <t>Isoform 2 of Ras GTPase-activating protein 2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</si>
  <si>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</si>
  <si>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</si>
  <si>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</si>
  <si>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</si>
  <si>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</si>
  <si>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Isoform 3 of Leucine-rich repeat-containing protein 41</t>
  </si>
  <si>
    <t>Transmembrane emp24 domain-containing protein 2</t>
  </si>
  <si>
    <t>Poly(rC)-binding protein 1</t>
  </si>
  <si>
    <t>Poly(rC)-binding protein 2</t>
  </si>
  <si>
    <t>Isoform 2 of Poly(rC)-binding protein 2</t>
  </si>
  <si>
    <t>Isoform 3 of Poly(rC)-binding protein 2</t>
  </si>
  <si>
    <t>Transcription elongation factor B polypeptide 2</t>
  </si>
  <si>
    <t>GTP-binding protein Rheb</t>
  </si>
  <si>
    <t>Ubiquitin-protein ligase E3C</t>
  </si>
  <si>
    <t>Splicing factor 3B subunit 3</t>
  </si>
  <si>
    <t>Isoform 3 of Disks large-associated protein 5</t>
  </si>
  <si>
    <t>Ras suppressor protein 1</t>
  </si>
  <si>
    <t>Calponin-3</t>
  </si>
  <si>
    <t>Scaffold attachment factor B1</t>
  </si>
  <si>
    <t>Splicing factor 3A subunit 2</t>
  </si>
  <si>
    <t>Protein phosphatase 1 regulatory subunit 7</t>
  </si>
  <si>
    <t>Protein transport protein Sec23B</t>
  </si>
  <si>
    <t>Splicing factor 3A subunit 1</t>
  </si>
  <si>
    <t>SH2 domain-containing adapter protein B</t>
  </si>
  <si>
    <t>Helicase SKI2W</t>
  </si>
  <si>
    <t>Sperm surface protein Sp17</t>
  </si>
  <si>
    <t>Isoform 2 of Surfeit locus protein 1</t>
  </si>
  <si>
    <t>Surfeit locus protein 2</t>
  </si>
  <si>
    <t>Transcription initiation factor TFIID subunit 13</t>
  </si>
  <si>
    <t>Transcription initiation factor TFIID subunit 7</t>
  </si>
  <si>
    <t>Telomeric repeat-binding factor 2</t>
  </si>
  <si>
    <t>Isoform 4 of Microtubule-associated protein RP/EB family member 2</t>
  </si>
  <si>
    <t>Isoform 2 of Transcription elongation factor A protein 2</t>
  </si>
  <si>
    <t>Na(+)/H(+) exchange regulatory cofactor NHE-RF2</t>
  </si>
  <si>
    <t>Tumor necrosis factor receptor type 1-associated DEATH domain protein</t>
  </si>
  <si>
    <t>Isoform 2 of RISC-loading complex subunit TARBP2</t>
  </si>
  <si>
    <t>Isoform 5 of Splicing factor 1</t>
  </si>
  <si>
    <t>Isoform 6 of Splicing factor 1</t>
  </si>
  <si>
    <t>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</si>
  <si>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</si>
  <si>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</si>
  <si>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</si>
  <si>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</si>
  <si>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</si>
  <si>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High mobility group nucleosome-binding domain-containing protein 3</t>
  </si>
  <si>
    <t>Isoform 3 of Probable JmjC domain-containing histone demethylation protein 2C</t>
  </si>
  <si>
    <t>Thyroid receptor-interacting protein 6</t>
  </si>
  <si>
    <t>Microtubule-associated protein RP/EB family member 1</t>
  </si>
  <si>
    <t>TSC22 domain family protein 1</t>
  </si>
  <si>
    <t>ELAV-like protein 1</t>
  </si>
  <si>
    <t>Sterol-4-alpha-carboxylate 3-dehydrogenase, decarboxylating</t>
  </si>
  <si>
    <t>Isoform 2 of TGF-beta-activated kinase 1 and MAP3K7-binding protein 1</t>
  </si>
  <si>
    <t>Neutral amino acid transporter B(0)</t>
  </si>
  <si>
    <t>Ras-related protein Rab-30</t>
  </si>
  <si>
    <t>Mitochondrial import receptor subunit TOM34</t>
  </si>
  <si>
    <t>Isoform 2 of Nuclear receptor coactivator 1</t>
  </si>
  <si>
    <t>Isoform Short of Mothers against decapentaplegic homolog 2</t>
  </si>
  <si>
    <t>Mothers against decapentaplegic homolog 1</t>
  </si>
  <si>
    <t>Methylsterol monooxygenase 1</t>
  </si>
  <si>
    <t>Tubulin-specific chaperone C</t>
  </si>
  <si>
    <t>Ubiquitin-conjugating enzyme E2 variant 2</t>
  </si>
  <si>
    <t>Isoform 2 of Serine/threonine-protein kinase STK11</t>
  </si>
  <si>
    <t>Syntaxin-binding protein 2</t>
  </si>
  <si>
    <t>Vesicle-associated membrane protein 3</t>
  </si>
  <si>
    <t>NEDD8</t>
  </si>
  <si>
    <t>Adipogenesis regulatory factor</t>
  </si>
  <si>
    <t>V-type proton ATPase subunit S1</t>
  </si>
  <si>
    <t>Ras-related protein Rab-11B</t>
  </si>
  <si>
    <t>Zyxin</t>
  </si>
  <si>
    <t>Electron transfer flavoprotein-ubiquinone oxidoreductase, mitochondrial</t>
  </si>
  <si>
    <t>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</si>
  <si>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</si>
  <si>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</si>
  <si>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</si>
  <si>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</si>
  <si>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Isoform 2 of 26S proteasome non-ATPase regulatory subunit 5</t>
  </si>
  <si>
    <t>Serine/threonine-protein kinase N1</t>
  </si>
  <si>
    <t>Serine/threonine-protein kinase N2</t>
  </si>
  <si>
    <t>Isoform TAFII15 of Transcription initiation factor TFIID subunit 12</t>
  </si>
  <si>
    <t>DNA damage-binding protein 1</t>
  </si>
  <si>
    <t>Isoform CSBP1 of Mitogen-activated protein kinase 14</t>
  </si>
  <si>
    <t>Hsp90 co-chaperone Cdc37</t>
  </si>
  <si>
    <t>Dihydropyrimidinase-related protein 2</t>
  </si>
  <si>
    <t>Histone-binding protein RBBP7</t>
  </si>
  <si>
    <t>Extracellular matrix protein 1</t>
  </si>
  <si>
    <t>Isoform 4 of Occludin</t>
  </si>
  <si>
    <t>Male-enhanced antigen 1</t>
  </si>
  <si>
    <t>Isoform 2 of Cleavage and polyadenylation specificity factor subunit 6</t>
  </si>
  <si>
    <t>Isoform 6 of Tafazzin</t>
  </si>
  <si>
    <t>Drebrin</t>
  </si>
  <si>
    <t>MAP kinase-activated protein kinase 3</t>
  </si>
  <si>
    <t>Isoform Short of Nuclear respiratory factor 1</t>
  </si>
  <si>
    <t>Fascin</t>
  </si>
  <si>
    <t>Isoform 2 of Zinc finger and SCAN domain-containing protein 26</t>
  </si>
  <si>
    <t>Alpha-mannosidase 2</t>
  </si>
  <si>
    <t>NADH dehydrogenase [ubiquinone] 1 alpha subcomplex subunit 5</t>
  </si>
  <si>
    <t>Isoform ZG of Plasma membrane calcium-transporting ATPase 3</t>
  </si>
  <si>
    <t>Putative ATP-dependent Clp protease proteolytic subunit, mitochondrial</t>
  </si>
  <si>
    <t>Thiosulfate sulfurtransferase</t>
  </si>
  <si>
    <t>Ubiquitin-conjugating enzyme E2 S</t>
  </si>
  <si>
    <t>Glutaminyl-peptide cyclotransferase</t>
  </si>
  <si>
    <t>Isoform 2 of Hydroxyacylglutathione hydrolase, mitochondrial</t>
  </si>
  <si>
    <t>Histone H2B type 2-E</t>
  </si>
  <si>
    <t>Laminin subunit alpha-3</t>
  </si>
  <si>
    <t>Carbonic anhydrase 9</t>
  </si>
  <si>
    <t>NADH dehydrogenase [ubiquinone] 1 alpha subcomplex subunit 9, mitochondrial</t>
  </si>
  <si>
    <t>Phosphoenolpyruvate carboxykinase [GTP], mitochondrial</t>
  </si>
  <si>
    <t>Lanosterol 14-alpha demethylase</t>
  </si>
  <si>
    <t>UTP--glucose-1-phosphate uridylyltransferase</t>
  </si>
  <si>
    <t>Deoxyguanosine kinase, mitochondrial</t>
  </si>
  <si>
    <t>V-type proton ATPase subunit F</t>
  </si>
  <si>
    <t>2-hydroxyacylsphingosine 1-beta-galactosyltransferase</t>
  </si>
  <si>
    <t>Isoform 2 of Putative deoxyribonuclease TATDN3</t>
  </si>
  <si>
    <t>Protein FAM98C</t>
  </si>
  <si>
    <t>Proto-oncogene c-Rel</t>
  </si>
  <si>
    <t>Isoform 2 of Protein Dok-7</t>
  </si>
  <si>
    <t>Lysine-rich nucleolar protein 1</t>
  </si>
  <si>
    <t>Heterogeneous nuclear ribonucleoprotein U-like protein 2</t>
  </si>
  <si>
    <t>Isoform 1 of Centrosome and spindle pole-associated protein 1</t>
  </si>
  <si>
    <t>Transmembrane protein 132A</t>
  </si>
  <si>
    <t>Isoform 2 of Inverted formin-2</t>
  </si>
  <si>
    <t>Sister chromatid cohesion protein PDS5 homolog A</t>
  </si>
  <si>
    <t>Isoform 2 of Methenyltetrahydrofolate synthase domain-containing protein</t>
  </si>
  <si>
    <t>Isoform 2 of AP2-associated protein kinase 1</t>
  </si>
  <si>
    <t>Isoform 5 of Centrosomal protein kizuna</t>
  </si>
  <si>
    <t>WASH complex subunit 7</t>
  </si>
  <si>
    <t>Cardiac voltage-gated potassium channel accessory subunit isoform 3a (Fragment)</t>
  </si>
  <si>
    <t>DNA excision repair protein ERCC-6-like</t>
  </si>
  <si>
    <t>Pre-rRNA-processing protein TSR1 homolog</t>
  </si>
  <si>
    <t>Vimentin-type intermediate filament-associated coiled-coil protein</t>
  </si>
  <si>
    <t>Peroxisomal leader peptide-processing protease</t>
  </si>
  <si>
    <t>GDP-Man:Man(3)GlcNAc(2)-PP-Dol alpha-1,2-mannosyltransferase</t>
  </si>
  <si>
    <t>Glutamine-rich protein 1</t>
  </si>
  <si>
    <t>RELA protein</t>
  </si>
  <si>
    <t>Tumor suppressor candidate gene 1 protein</t>
  </si>
  <si>
    <t>WD40 repeat-containing protein SMU1</t>
  </si>
  <si>
    <t>CWF19-like protein 2</t>
  </si>
  <si>
    <t>Isoform 2 of Leucine-rich repeat flightless-interacting protein 1</t>
  </si>
  <si>
    <t>Isoform 3 of Leucine-rich repeat flightless-interacting protein 1</t>
  </si>
  <si>
    <t>DNA polymerase delta subunit 3</t>
  </si>
  <si>
    <t>Prolyl 3-hydroxylase 1</t>
  </si>
  <si>
    <t>tRNA (guanine(37)-N1)-methyltransferase</t>
  </si>
  <si>
    <t>DNA-directed RNA polymerase I subunit RPA43</t>
  </si>
  <si>
    <t>Glucose-fructose oxidoreductase domain-containing protein 2</t>
  </si>
  <si>
    <t>UDP-N-acetylhexosamine pyrophosphorylase-like protein 1</t>
  </si>
  <si>
    <t>UPF0538 protein C2orf76</t>
  </si>
  <si>
    <t>Alpha-ketoglutarate-dependent dioxygenase alkB homolog 6</t>
  </si>
  <si>
    <t>Bifunctional ATP-dependent dihydroxyacetone kinase/FAD-AMP lyase (cyclizing)</t>
  </si>
  <si>
    <t>Protein LSM12 homolog</t>
  </si>
  <si>
    <t>Cell cycle control protein 50B</t>
  </si>
  <si>
    <t>Putative tRNA pseudouridine synthase Pus10</t>
  </si>
  <si>
    <t>Inactive hydroxysteroid dehydrogenase-like protein 1</t>
  </si>
  <si>
    <t>Mitochondrial 10-formyltetrahydrofolate dehydrogenase</t>
  </si>
  <si>
    <t>Rab-like protein 6</t>
  </si>
  <si>
    <t>Vacuolar ATPase assembly integral membrane protein VMA21</t>
  </si>
  <si>
    <t>Tubulin beta-8 chain</t>
  </si>
  <si>
    <t>Mitochondrial import inner membrane translocase subunit TIM50</t>
  </si>
  <si>
    <t>Galectin-related protein</t>
  </si>
  <si>
    <t>Isoform 2 of Alpha-(1,3)-fucosyltransferase 11</t>
  </si>
  <si>
    <t>Isoform 2 of Cerebral dopamine neurotrophic factor</t>
  </si>
  <si>
    <t>Ceramide synthase 5</t>
  </si>
  <si>
    <t>UPF0489 protein C5orf22</t>
  </si>
  <si>
    <t>Cytochrome c oxidase assembly protein COX19</t>
  </si>
  <si>
    <t>Vacuolar protein sorting-associated protein 26B</t>
  </si>
  <si>
    <t>Protein CCSMST1</t>
  </si>
  <si>
    <t>NAD kinase domain-containing protein 1, mitochondrial</t>
  </si>
  <si>
    <t>Isoform 3 of Coiled-coil domain-containing protein 40</t>
  </si>
  <si>
    <t>Isoform 2 of Glucoside xylosyltransferase 1</t>
  </si>
  <si>
    <t>Acyl-CoA synthetase family member 3, mitochondrial</t>
  </si>
  <si>
    <t>Isoform 4 of Prolyl endopeptidase-like</t>
  </si>
  <si>
    <t>AGR2</t>
  </si>
  <si>
    <t>TBC1 domain family member 10B</t>
  </si>
  <si>
    <t>Isoform 3 of 1-phosphatidylinositol 4,5-bisphosphate phosphodiesterase eta-1</t>
  </si>
  <si>
    <t>Isoform 3 of Dynein light chain 1, axonemal</t>
  </si>
  <si>
    <t>Isoform 3 of AT-rich interactive domain-containing protein 4B</t>
  </si>
  <si>
    <t>GRIP1-associated protein 1</t>
  </si>
  <si>
    <t>B-cell CLL/lymphoma 7 protein family member A</t>
  </si>
  <si>
    <t>Angiomotin</t>
  </si>
  <si>
    <t>Peroxisomal 2,4-dienoyl-CoA reductase</t>
  </si>
  <si>
    <t>Isoform 2 of Membralin</t>
  </si>
  <si>
    <t>Isoform 2 of PAB-dependent poly(A)-specific ribonuclease subunit 2</t>
  </si>
  <si>
    <t>Protein lin-52 homolog</t>
  </si>
  <si>
    <t>Isoform 2 of Protein FAM98B</t>
  </si>
  <si>
    <t>Isoform 2 of Programmed cell death protein 4</t>
  </si>
  <si>
    <t>Centrosomal protein of 55 kDa</t>
  </si>
  <si>
    <t>Uncharacterized protein C17orf85</t>
  </si>
  <si>
    <t>Quinone oxidoreductase PIG3</t>
  </si>
  <si>
    <t>Protein Hikeshi</t>
  </si>
  <si>
    <t>Isoform 2 of PDZ and LIM domain protein 3</t>
  </si>
  <si>
    <t>Estradiol 17-beta-dehydrogenase 12</t>
  </si>
  <si>
    <t>Acylglycerol kinase, mitochondrial</t>
  </si>
  <si>
    <t>Histone-lysine N-methyltransferase SETMAR</t>
  </si>
  <si>
    <t>Beta-lactamase-like protein 2</t>
  </si>
  <si>
    <t>Pyrroline-5-carboxylate reductase 3</t>
  </si>
  <si>
    <t>Protein TSSC1</t>
  </si>
  <si>
    <t>Single-strand selective monofunctional uracil DNA glycosylase</t>
  </si>
  <si>
    <t>FAST kinase domain-containing protein 1</t>
  </si>
  <si>
    <t>BolA-like protein 3</t>
  </si>
  <si>
    <t>Isoform 4 of Cordon-bleu protein-like 1</t>
  </si>
  <si>
    <t>HCLS1-binding protein 3</t>
  </si>
  <si>
    <t>OCIA domain-containing protein 2</t>
  </si>
  <si>
    <t>Proto-oncogene tyrosine-protein kinase LCK</t>
  </si>
  <si>
    <t>Vesicle transport protein SFT2C</t>
  </si>
  <si>
    <t>PAB-dependent poly(A)-specific ribonuclease subunit 3</t>
  </si>
  <si>
    <t>Putative heat shock protein HSP 90-beta 2</t>
  </si>
  <si>
    <t>Putative heat shock protein HSP 90-alpha A4</t>
  </si>
  <si>
    <t>DDB1- and CUL4-associated factor 6</t>
  </si>
  <si>
    <t>Putative 60S ribosomal protein L39-like 5</t>
  </si>
  <si>
    <t>Transmembrane protein 97</t>
  </si>
  <si>
    <t>Oxidoreductase-like domain-containing protein 1</t>
  </si>
  <si>
    <t>UPF0692 protein C19orf54</t>
  </si>
  <si>
    <t>DBIRD complex subunit ZNF326</t>
  </si>
  <si>
    <t>Ribonuclease ZC3H12A</t>
  </si>
  <si>
    <t>PDZ domain-containing protein 11</t>
  </si>
  <si>
    <t>DnaJ homolog subfamily C member 21</t>
  </si>
  <si>
    <t>von Willebrand factor A domain-containing protein 2</t>
  </si>
  <si>
    <t>Isoform 3 of Probable E3 ubiquitin-protein ligase HERC4</t>
  </si>
  <si>
    <t>Urotensin-2</t>
  </si>
  <si>
    <t>Protein CXorf40B</t>
  </si>
  <si>
    <t>Metaxin-3</t>
  </si>
  <si>
    <t>Rab-like protein 3</t>
  </si>
  <si>
    <t>2-methoxy-6-polyprenyl-1,4-benzoquinol methylase, mitochondrial</t>
  </si>
  <si>
    <t>Isoform 2 of SH3 domain-containing protein 19</t>
  </si>
  <si>
    <t>Tubulin beta chain</t>
  </si>
  <si>
    <t>Isoform 2 of Nodal modulator 2</t>
  </si>
  <si>
    <t>Probable glutamate--tRNA ligase, mitochondrial</t>
  </si>
  <si>
    <t>Protein DPCD (Fragment)</t>
  </si>
  <si>
    <t>Rho-related GTP-binding protein RhoC (Fragment)</t>
  </si>
  <si>
    <t>Isoform 2 of Protein phosphatase 1J</t>
  </si>
  <si>
    <t>Melanoma inhibitory activity protein 3</t>
  </si>
  <si>
    <t>Nucleoporin p58/p45 (Fragment)</t>
  </si>
  <si>
    <t>Serine/arginine-rich-splicing factor 10</t>
  </si>
  <si>
    <t>Presequence protease, mitochondrial</t>
  </si>
  <si>
    <t>NHL repeat-containing protein 3</t>
  </si>
  <si>
    <t>Proteasome assembly chaperone 4</t>
  </si>
  <si>
    <t>Isoform 2 of WD repeat-containing protein 44</t>
  </si>
  <si>
    <t>High mobility group nucleosome-binding domain-containing protein 5 (Fragment)</t>
  </si>
  <si>
    <t>Protein PRRC2B</t>
  </si>
  <si>
    <t>Isoform 2 of Tight junction-associated protein 1</t>
  </si>
  <si>
    <t>Isoform 3 of Cytochrome c oxidase assembly factor 6 homolog</t>
  </si>
  <si>
    <t>Glucocorticoid modulatory element binding protein 2, isoform CRA_a</t>
  </si>
  <si>
    <t>Alanine--tRNA ligase, mitochondrial</t>
  </si>
  <si>
    <t>Torsin-2A</t>
  </si>
  <si>
    <t>Testis-expressed sequence 30 protein</t>
  </si>
  <si>
    <t>Discs, large homolog 3 (Neuroendocrine-dlg, Drosophila), isoform CRA_b</t>
  </si>
  <si>
    <t>Spindlin-3</t>
  </si>
  <si>
    <t>Isoform 3 of PCI domain-containing protein 2</t>
  </si>
  <si>
    <t>Isoform 2 of Zinc finger protein 506</t>
  </si>
  <si>
    <t>Intracellular hyaluronan-binding protein 4</t>
  </si>
  <si>
    <t>Double-stranded RNA-binding protein Staufen homolog 1</t>
  </si>
  <si>
    <t>Transmembrane protein 230 (Fragment)</t>
  </si>
  <si>
    <t>Mediator of RNA polymerase II transcription subunit 23</t>
  </si>
  <si>
    <t>Mortality factor 4-like protein 2 (Fragment)</t>
  </si>
  <si>
    <t>Crooked neck-like protein 1</t>
  </si>
  <si>
    <t>Long-chain fatty acid transport protein 3</t>
  </si>
  <si>
    <t>Cytospin-B</t>
  </si>
  <si>
    <t>Solute carrier family 35 member D3</t>
  </si>
  <si>
    <t>Isoform 3 of Serine/threonine-protein phosphatase 4 regulatory subunit 3B</t>
  </si>
  <si>
    <t>WD repeat domain phosphoinositide-interacting protein 3</t>
  </si>
  <si>
    <t>EGF domain-specific O-linked N-acetylglucosamine transferase</t>
  </si>
  <si>
    <t>Deoxynucleotidyltransferase terminal-interacting protein 2</t>
  </si>
  <si>
    <t>Peroxisomal biogenesis factor 19 (Fragment)</t>
  </si>
  <si>
    <t>ATP synthase subunit b, mitochondrial</t>
  </si>
  <si>
    <t>Bcl-2-like protein 1 (Fragment)</t>
  </si>
  <si>
    <t>Isoform 2 of DDB1- and CUL4-associated factor 10</t>
  </si>
  <si>
    <t>Dolichol-phosphate mannosyltransferase</t>
  </si>
  <si>
    <t>RNA-binding protein Raly (Fragment)</t>
  </si>
  <si>
    <t>Proteasome inhibitor PI31 subunit</t>
  </si>
  <si>
    <t>Isoform 4 of Rab GTPase-activating protein 1-like</t>
  </si>
  <si>
    <t>Mitochondrial pyruvate carrier 2 (Fragment)</t>
  </si>
  <si>
    <t>Cytochrome c oxidase protein 20 homolog</t>
  </si>
  <si>
    <t>Exosome complex component MTR3</t>
  </si>
  <si>
    <t>Isoform 5 of Alpha-tubulin N-acetyltransferase</t>
  </si>
  <si>
    <t>Phosphatidylinositol 4,5-bisphosphate 3-kinase catalytic subunit delta isoform</t>
  </si>
  <si>
    <t>Calsyntenin-1 (Fragment)</t>
  </si>
  <si>
    <t>Hippocampus abundant transcript-like protein 1</t>
  </si>
  <si>
    <t>Nucleoporin NUP188 homolog</t>
  </si>
  <si>
    <t>Glycoprotein endo-alpha-1,2-mannosidase</t>
  </si>
  <si>
    <t>Casein kinase 2, beta polypeptide, isoform CRA_d</t>
  </si>
  <si>
    <t>Heterochromatin protein 1-binding protein 3</t>
  </si>
  <si>
    <t>Kidney mitochondrial carrier protein 1</t>
  </si>
  <si>
    <t>Centrosomal protein of 170 kDa</t>
  </si>
  <si>
    <t>Isoform 4 of Protein odr-4 homolog</t>
  </si>
  <si>
    <t>DNL-type zinc finger protein</t>
  </si>
  <si>
    <t>Isoform 2 of NHS-like protein 1</t>
  </si>
  <si>
    <t>Splicing factor 3B subunit 4 (Fragment)</t>
  </si>
  <si>
    <t>Ceramide synthase 2 (Fragment)</t>
  </si>
  <si>
    <t>Tudor and KH domain containing, isoform CRA_a</t>
  </si>
  <si>
    <t>Alpha-amylase 1 (Fragment)</t>
  </si>
  <si>
    <t>Isoform 3 of Formin-binding protein 1-like</t>
  </si>
  <si>
    <t>Uncharacterized protein C6orf132</t>
  </si>
  <si>
    <t>SH3 domain-binding glutamic acid-rich-like protein 3</t>
  </si>
  <si>
    <t>Probable arginine--tRNA ligase, mitochondrial</t>
  </si>
  <si>
    <t>Pygopus homolog 2</t>
  </si>
  <si>
    <t>FK506-binding protein 15</t>
  </si>
  <si>
    <t>Probable ATP-dependent RNA helicase DDX59</t>
  </si>
  <si>
    <t>Pumilio homolog 1</t>
  </si>
  <si>
    <t>Zinc finger CCCH domain-containing protein 13</t>
  </si>
  <si>
    <t>UPF0668 protein C10orf76</t>
  </si>
  <si>
    <t>Isoform 3 of Decaprenyl-diphosphate synthase subunit 1</t>
  </si>
  <si>
    <t>Uncharacterized protein C1orf159</t>
  </si>
  <si>
    <t>Proline/serine-rich coiled-coil protein 1 (Fragment)</t>
  </si>
  <si>
    <t>Transmembrane protein 63B</t>
  </si>
  <si>
    <t>Ligand-dependent nuclear receptor-interacting factor 1</t>
  </si>
  <si>
    <t>Isoform 2 of Multidrug resistance-associated protein 7</t>
  </si>
  <si>
    <t>Putative transferase CAF17, mitochondrial</t>
  </si>
  <si>
    <t>E3 ubiquitin-protein ligase HECTD3</t>
  </si>
  <si>
    <t>Isoform 7 of Protrudin</t>
  </si>
  <si>
    <t>Pleckstrin homology domain containing, family O member 1</t>
  </si>
  <si>
    <t>Isoform 3 of E3 ubiquitin-protein ligase UBR4</t>
  </si>
  <si>
    <t>Acyl-Coenzyme A dehydrogenase, C-4 to C-12 straight chain, isoform CRA_a</t>
  </si>
  <si>
    <t>Isoform 3 of Syntaxin-binding protein 5</t>
  </si>
  <si>
    <t>Sickle tail protein homolog</t>
  </si>
  <si>
    <t>Rho GTPase-activating protein 21</t>
  </si>
  <si>
    <t>Isoform 2 of Calmodulin-regulated spectrin-associated protein 1</t>
  </si>
  <si>
    <t>Ubiquitin-associated protein 2</t>
  </si>
  <si>
    <t>Actin-binding LIM protein 1</t>
  </si>
  <si>
    <t>UPF0553 protein C9orf64</t>
  </si>
  <si>
    <t>Skin-specific protein 32</t>
  </si>
  <si>
    <t>Protein FAM69A</t>
  </si>
  <si>
    <t>RAB6-interacting golgin</t>
  </si>
  <si>
    <t>Isoform 4 of Acyl-CoA-binding domain-containing protein 5</t>
  </si>
  <si>
    <t>Protein COX6A1P2</t>
  </si>
  <si>
    <t>RNA-binding protein 26</t>
  </si>
  <si>
    <t>Surfeit 4</t>
  </si>
  <si>
    <t>Adenylate kinase isoenzyme 1</t>
  </si>
  <si>
    <t>Isoform 2 of Protein FAM102A</t>
  </si>
  <si>
    <t>Glutathione S-transferase omega-1 (Fragment)</t>
  </si>
  <si>
    <t>E3 ubiquitin-protein ligase RNF187</t>
  </si>
  <si>
    <t>Isoform 3 of Integrator complex subunit 11</t>
  </si>
  <si>
    <t>Glycolipid transfer protein domain-containing protein 1</t>
  </si>
  <si>
    <t>Terminal uridylyltransferase 4</t>
  </si>
  <si>
    <t>Protein furry homolog</t>
  </si>
  <si>
    <t>Ribonuclease H2 subunit B</t>
  </si>
  <si>
    <t>Transcription initiation factor TFIID subunit 4 (Fragment)</t>
  </si>
  <si>
    <t>Ribosyldihydronicotinamide dehydrogenase [quinone]</t>
  </si>
  <si>
    <t>Bombesin receptor-activated protein C6orf89</t>
  </si>
  <si>
    <t>DnaJ (Hsp40) homolog, subfamily C, member 16, isoform CRA_a</t>
  </si>
  <si>
    <t>Protein DDI1 homolog 2</t>
  </si>
  <si>
    <t>Isoform 2 of NADH dehydrogenase [ubiquinone] 1 alpha subcomplex assembly factor 5</t>
  </si>
  <si>
    <t>5-nucleotidase domain-containing protein 1</t>
  </si>
  <si>
    <t>Uncharacterized protein C6orf106</t>
  </si>
  <si>
    <t>Brefeldin A-inhibited guanine nucleotide-exchange protein 3</t>
  </si>
  <si>
    <t>PR domain zinc finger protein 2</t>
  </si>
  <si>
    <t>Isoform 3 of Protein PRR14L</t>
  </si>
  <si>
    <t>Histidine protein methyltransferase 1 homolog (Fragment)</t>
  </si>
  <si>
    <t>Thiamine transporter 1</t>
  </si>
  <si>
    <t>Rootletin</t>
  </si>
  <si>
    <t>Complex III assembly factor LYRM7</t>
  </si>
  <si>
    <t>Uncharacterized protein C12orf60</t>
  </si>
  <si>
    <t>Isoform 2 of Telomere-associated protein RIF1</t>
  </si>
  <si>
    <t>Isoform 4 of Vacuolar protein sorting-associated protein 53 homolog</t>
  </si>
  <si>
    <t>Striatin-interacting protein 1</t>
  </si>
  <si>
    <t>Alpha/beta hydrolase domain-containing protein 17B</t>
  </si>
  <si>
    <t>Centrosome-associated protein 350</t>
  </si>
  <si>
    <t>Isoform 3 of Regulation of nuclear pre-mRNA domain-containing protein 2</t>
  </si>
  <si>
    <t>MOSC domain-containing protein 1, mitochondrial</t>
  </si>
  <si>
    <t>Growth hormone-inducible transmembrane protein</t>
  </si>
  <si>
    <t>Pre-mRNA-splicing factor 38B</t>
  </si>
  <si>
    <t>Isoform 2 of Tetratricopeptide repeat protein 39B</t>
  </si>
  <si>
    <t>E3 ubiquitin-protein ligase BRE1A</t>
  </si>
  <si>
    <t>Dynein light chain Tctex-type 1</t>
  </si>
  <si>
    <t>Tropomyosin 3, isoform CRA_b</t>
  </si>
  <si>
    <t>Zinc finger protein 318</t>
  </si>
  <si>
    <t>Uncharacterized protein C1orf53</t>
  </si>
  <si>
    <t>UPF0369 protein C6orf57</t>
  </si>
  <si>
    <t>Rho guanine nucleotide exchange factor 16</t>
  </si>
  <si>
    <t>Threonylcarbamoyladenosine tRNA methylthiotransferase</t>
  </si>
  <si>
    <t>Zinc finger protein 691</t>
  </si>
  <si>
    <t>Microsomal glutathione S-transferase 3</t>
  </si>
  <si>
    <t>Isoform 2 of Histone H2A deubiquitinase MYSM1</t>
  </si>
  <si>
    <t>Isoform 2 of Ubiquitin thioesterase OTU1</t>
  </si>
  <si>
    <t>Nuclear factor 1</t>
  </si>
  <si>
    <t>BRO1 domain-containing protein BROX</t>
  </si>
  <si>
    <t>Focadhesin</t>
  </si>
  <si>
    <t>Glycerol-3-phosphate acyltransferase 1, mitochondrial</t>
  </si>
  <si>
    <t>Sorting nexin-30</t>
  </si>
  <si>
    <t>Protein FAM46C</t>
  </si>
  <si>
    <t>Round spermatid basic protein 1</t>
  </si>
  <si>
    <t>Isoform 2 of Disabled homolog 2-interacting protein</t>
  </si>
  <si>
    <t>Partitioning defective 3 homolog</t>
  </si>
  <si>
    <t>Lysophospholipase-like protein 1</t>
  </si>
  <si>
    <t>Rho guanine nucleotide exchange factor 2</t>
  </si>
  <si>
    <t>N-alpha-acetyltransferase 35, NatC auxiliary subunit</t>
  </si>
  <si>
    <t>Leucine-rich repeat-containing protein 16A</t>
  </si>
  <si>
    <t>BRI2, membrane form</t>
  </si>
  <si>
    <t>B box and SPRY domain-containing protein</t>
  </si>
  <si>
    <t>Protein FAM160B1</t>
  </si>
  <si>
    <t>Isoform 3 of Probable palmitoyltransferase ZDHHC20</t>
  </si>
  <si>
    <t>SPRY domain-containing protein 7</t>
  </si>
  <si>
    <t>NADH dehydrogenase (Ubiquinone) 1 beta subcomplex, 8, 19kDa, isoform CRA_a</t>
  </si>
  <si>
    <t>Protein QIL1</t>
  </si>
  <si>
    <t>Isoform 3 of F-box/WD repeat-containing protein 9</t>
  </si>
  <si>
    <t>CD276 antigen</t>
  </si>
  <si>
    <t>E3 ubiquitin-protein ligase RNF213</t>
  </si>
  <si>
    <t>WASH complex subunit FAM21A</t>
  </si>
  <si>
    <t>Lysophospholipid acyltransferase LPCAT4</t>
  </si>
  <si>
    <t>Protein FAM91A1</t>
  </si>
  <si>
    <t>La-related protein 1B</t>
  </si>
  <si>
    <t>Isoform 2 of TBC1 domain family member 9B</t>
  </si>
  <si>
    <t>DDB1- and CUL4-associated factor 15</t>
  </si>
  <si>
    <t>6-phosphofructo-2-kinase/fructose-2, 6-biphosphatase 4 isoform 1</t>
  </si>
  <si>
    <t>Digestive organ expansion factor homolog</t>
  </si>
  <si>
    <t>Protein SPT2 homolog</t>
  </si>
  <si>
    <t>Metallo-beta-lactamase domain-containing protein 2</t>
  </si>
  <si>
    <t>Isoform 5 of Formin-1</t>
  </si>
  <si>
    <t>LMBR1 domain-containing protein 2</t>
  </si>
  <si>
    <t>Isoform 2 of Integrator complex subunit 3</t>
  </si>
  <si>
    <t>Isoform 2 of Rho GTPase-activating protein 17</t>
  </si>
  <si>
    <t>Uncharacterized protein DKFZp762I1415</t>
  </si>
  <si>
    <t>CWF19-like protein 1</t>
  </si>
  <si>
    <t>Protein virilizer homolog</t>
  </si>
  <si>
    <t>Uncharacterized protein C12orf73</t>
  </si>
  <si>
    <t>E3 ubiquitin-protein ligase TRIM68</t>
  </si>
  <si>
    <t>HFE protein</t>
  </si>
  <si>
    <t>UHRF1-binding protein 1</t>
  </si>
  <si>
    <t>Zinc finger protein 787</t>
  </si>
  <si>
    <t>Atlastin-3</t>
  </si>
  <si>
    <t>Isoform 3 of Adenosine deaminase-like protein</t>
  </si>
  <si>
    <t>Tetratricopeptide repeat protein 19, mitochondrial</t>
  </si>
  <si>
    <t>Serine/threonine-protein kinase MRCK gamma</t>
  </si>
  <si>
    <t>Isoform 5 of DNA-directed RNA polymerase II subunit GRINL1A, isoforms 4/5</t>
  </si>
  <si>
    <t>Vasorin</t>
  </si>
  <si>
    <t>Isoform 3 of 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</si>
  <si>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</si>
  <si>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</si>
  <si>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</si>
  <si>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</si>
  <si>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Selenoprotein S</t>
  </si>
  <si>
    <t>Isoform 5 of Isthmin-2</t>
  </si>
  <si>
    <t>THO complex subunit 7 homolog</t>
  </si>
  <si>
    <t>Single Ig IL-1-related receptor</t>
  </si>
  <si>
    <t>Glutamine-dependent NAD(+) synthetase</t>
  </si>
  <si>
    <t>Isoform 5 of Elongator complex protein 2</t>
  </si>
  <si>
    <t>Ragulator complex protein LAMTOR1</t>
  </si>
  <si>
    <t>Dehydrogenase/reductase SDR family member 7B</t>
  </si>
  <si>
    <t>Twinfilin-2</t>
  </si>
  <si>
    <t>Isoform 2 of Condensin-2 complex subunit H2</t>
  </si>
  <si>
    <t>Desumoylating isopeptidase 1</t>
  </si>
  <si>
    <t>Uncharacterized protein KIAA0930</t>
  </si>
  <si>
    <t>Em:AP000351.3 protein</t>
  </si>
  <si>
    <t>Serine/threonine-protein phosphatase 4 regulatory subunit 3A</t>
  </si>
  <si>
    <t>LYR motif-containing protein 5</t>
  </si>
  <si>
    <t>tRNA wybutosine-synthesizing protein 3 homolog</t>
  </si>
  <si>
    <t>Ras-related protein Rab-12</t>
  </si>
  <si>
    <t>Grainyhead-like protein 2 homolog</t>
  </si>
  <si>
    <t>Acyl-CoA dehydrogenase family member 10</t>
  </si>
  <si>
    <t>Isoform 2 of Nipped-B-like protein</t>
  </si>
  <si>
    <t>Isoform 2 of Calcium-binding mitochondrial carrier protein SCaMC-2</t>
  </si>
  <si>
    <t>Isoform 2 of 2,5-phosphodiesterase 12</t>
  </si>
  <si>
    <t>Beta-1,4-N-acetylgalactosaminyltransferase 3</t>
  </si>
  <si>
    <t>Isoform 4 of Protein lin-54 homolog</t>
  </si>
  <si>
    <t>Isoform 2 of Zinc finger protein 280D</t>
  </si>
  <si>
    <t>2-oxoglutarate and iron-dependent oxygenase domain-containing protein 2</t>
  </si>
  <si>
    <t>N-alpha-acetyltransferase 16, NatA auxiliary subunit</t>
  </si>
  <si>
    <t>Uncharacterized family 31 glucosidase KIAA1161</t>
  </si>
  <si>
    <t>MFS-type transporter SLC18B1</t>
  </si>
  <si>
    <t>UPF0544 protein C5orf45</t>
  </si>
  <si>
    <t>Calcium-binding mitochondrial carrier protein SCaMC-1</t>
  </si>
  <si>
    <t>Receptor expression-enhancing protein 3</t>
  </si>
  <si>
    <t>All-trans-retinol 13,14-reductase</t>
  </si>
  <si>
    <t>RAD50-interacting protein 1</t>
  </si>
  <si>
    <t>Isoform 2 of Transmembrane protein 214</t>
  </si>
  <si>
    <t>Tectonic-3</t>
  </si>
  <si>
    <t>Uncharacterized protein KIAA1211-like</t>
  </si>
  <si>
    <t>ATPase SWSAP1</t>
  </si>
  <si>
    <t>Inactive Ufm1-specific protease 1</t>
  </si>
  <si>
    <t>3-hydroxyisobutyryl-CoA hydrolase, mitochondrial</t>
  </si>
  <si>
    <t>Putative protein phosphatase inhibitor 2-like protein 3</t>
  </si>
  <si>
    <t>Ankyrin repeat domain-containing protein 54</t>
  </si>
  <si>
    <t>Transmembrane anterior posterior transformation protein 1 homolog</t>
  </si>
  <si>
    <t>Bifunctional arginine demethylase and lysyl-hydroxylase JMJD6</t>
  </si>
  <si>
    <t>Phostensin</t>
  </si>
  <si>
    <t>Zinc finger CCHC domain-containing protein 8</t>
  </si>
  <si>
    <t>Isoform 2 of RNA pseudouridylate synthase domain-containing protein 3</t>
  </si>
  <si>
    <t>Putative ATP-dependent RNA helicase DHX57</t>
  </si>
  <si>
    <t>39S ribosomal protein L54, mitochondrial</t>
  </si>
  <si>
    <t>Isoform 3 of Endoplasmic reticulum aminopeptidase 2</t>
  </si>
  <si>
    <t>Parafibromin</t>
  </si>
  <si>
    <t>Isoform 4 of Polyamine-modulated factor 1</t>
  </si>
  <si>
    <t>Protein FAM117B</t>
  </si>
  <si>
    <t>39S ribosomal protein L14, mitochondrial</t>
  </si>
  <si>
    <t>Long-chain fatty acid transport protein 4</t>
  </si>
  <si>
    <t>Coiled-coil and C2 domain-containing protein 1A</t>
  </si>
  <si>
    <t>Methyltransferase-like protein 2B</t>
  </si>
  <si>
    <t>tRNA-dihydrouridine(16/17) synthase [NAD(P)(+)]-like</t>
  </si>
  <si>
    <t>UPF0598 protein C8orf82</t>
  </si>
  <si>
    <t>Cohesin subunit SA-1</t>
  </si>
  <si>
    <t>Enhancer of mRNA-decapping protein 4</t>
  </si>
  <si>
    <t>Isoform 2 of Centrosomal protein of 85 kDa</t>
  </si>
  <si>
    <t>Putative protein arginine N-methyltransferase 10</t>
  </si>
  <si>
    <t>Pre-mRNA-processing-splicing factor 8</t>
  </si>
  <si>
    <t>F-box only protein 42</t>
  </si>
  <si>
    <t>SCY1-like protein 2</t>
  </si>
  <si>
    <t>Tetratricopeptide repeat protein 27</t>
  </si>
  <si>
    <t>Sideroflexin-4</t>
  </si>
  <si>
    <t>Phospholipase B-like 1</t>
  </si>
  <si>
    <t>Protein CASC4</t>
  </si>
  <si>
    <t>Adrenodoxin-like protein, mitochondrial</t>
  </si>
  <si>
    <t>ATP-dependent DNA helicase Q5</t>
  </si>
  <si>
    <t>WD repeat-containing protein 73</t>
  </si>
  <si>
    <t>Isoform 3 of Nuclear factor related to kappa-B-binding protein</t>
  </si>
  <si>
    <t>Mitotic-spindle organizing protein 2A</t>
  </si>
  <si>
    <t>Acylpyruvase FAHD1, mitochondrial</t>
  </si>
  <si>
    <t>RNA demethylase ALKBH5</t>
  </si>
  <si>
    <t>Protein notum homolog</t>
  </si>
  <si>
    <t>Round spermatid basic protein 1-like protein</t>
  </si>
  <si>
    <t>Isoform 2 of Alpha/beta hydrolase domain-containing protein 17C</t>
  </si>
  <si>
    <t>Glucose 1,6-bisphosphate synthase</t>
  </si>
  <si>
    <t>RNA polymerase-associated protein CTR9 homolog</t>
  </si>
  <si>
    <t>Alpha- and gamma-adaptin-binding protein p34</t>
  </si>
  <si>
    <t>Tetratricopeptide repeat protein 37</t>
  </si>
  <si>
    <t>UPF0547 protein C16orf87</t>
  </si>
  <si>
    <t>Isoform 3 of BTB/POZ domain-containing protein KCTD18</t>
  </si>
  <si>
    <t>Aspartate--tRNA ligase, mitochondrial</t>
  </si>
  <si>
    <t>Tetratricopeptide repeat protein 33</t>
  </si>
  <si>
    <t>Coiled-coil domain-containing protein 174</t>
  </si>
  <si>
    <t>Isoform 2 of Hydroxyacylglutathione hydrolase-like protein</t>
  </si>
  <si>
    <t>F-box only protein 38</t>
  </si>
  <si>
    <t>Isoform 2 of Fidgetin-like protein 1</t>
  </si>
  <si>
    <t>Tripartite motif-containing protein 65</t>
  </si>
  <si>
    <t>Isoform 2 of Inactive rhomboid protein 2</t>
  </si>
  <si>
    <t>BRCA1-associated ATM activator 1</t>
  </si>
  <si>
    <t>Isoform 9 of Zinc finger CCCH domain-containing protein 14</t>
  </si>
  <si>
    <t>RAB17 protein</t>
  </si>
  <si>
    <t>Isoform 2 of Zinc finger protein 773</t>
  </si>
  <si>
    <t>Isoform 2 of Thioredoxin domain-containing protein 11</t>
  </si>
  <si>
    <t>La-related protein 1</t>
  </si>
  <si>
    <t>Protein TMED8</t>
  </si>
  <si>
    <t>Zinc transporter 9</t>
  </si>
  <si>
    <t>Biogenesis of lysosome-related organelles complex 1 subunit 3</t>
  </si>
  <si>
    <t>Biogenesis of lysosome-related organelles complex 1 subunit 2</t>
  </si>
  <si>
    <t>Isoform 2 of WD repeat-containing protein 74</t>
  </si>
  <si>
    <t>Type-1 angiotensin II receptor-associated protein</t>
  </si>
  <si>
    <t>POTE ankyrin domain family member E</t>
  </si>
  <si>
    <t>Isoform 2 of Sterile alpha and TIR motif-containing protein 1</t>
  </si>
  <si>
    <t>Methionine aminopeptidase 1D, mitochondrial</t>
  </si>
  <si>
    <t>Monofunctional C1-tetrahydrofolate synthase, mitochondrial</t>
  </si>
  <si>
    <t>Isoform 5 of Aftiphilin</t>
  </si>
  <si>
    <t>Pre-mRNA 3-end-processing factor FIP1</t>
  </si>
  <si>
    <t>Isoform 3 of CREB-regulated transcription coactivator 1</t>
  </si>
  <si>
    <t>All-trans retinoic acid-induced differentiation factor</t>
  </si>
  <si>
    <t>KDEL motif-containing protein 1</t>
  </si>
  <si>
    <t>UPF0723 protein C11orf83</t>
  </si>
  <si>
    <t>E3 ubiquitin-protein ligase LRSAM1</t>
  </si>
  <si>
    <t>Dehydrogenase/reductase SDR family member 11</t>
  </si>
  <si>
    <t>Isoform 3 of Lysocardiolipin acyltransferase 1</t>
  </si>
  <si>
    <t>Lipocalin-15</t>
  </si>
  <si>
    <t>Arylsulfatase K</t>
  </si>
  <si>
    <t>Peptidyl-prolyl cis-trans isomerase CWC27 homolog</t>
  </si>
  <si>
    <t>Isoform 2 of UPF0577 protein KIAA1324</t>
  </si>
  <si>
    <t>Isoform 5 of Cysteine-rich with EGF-like domain protein 2</t>
  </si>
  <si>
    <t>WD repeat-containing protein 82</t>
  </si>
  <si>
    <t>Apolipoprotein O-like</t>
  </si>
  <si>
    <t>Isoform 2 of Myosin phosphatase Rho-interacting protein</t>
  </si>
  <si>
    <t>Rab11 family-interacting protein 1</t>
  </si>
  <si>
    <t>Nicotinate phosphoribosyltransferase</t>
  </si>
  <si>
    <t>Very-long-chain (3R)-3-hydroxyacyl-[acyl-carrier protein] dehydratase 2</t>
  </si>
  <si>
    <t>DnaJ homolog subfamily C member 14</t>
  </si>
  <si>
    <t>PERQ amino acid-rich with GYF domain-containing protein 2</t>
  </si>
  <si>
    <t>CD109 antigen</t>
  </si>
  <si>
    <t>Isoform 3 of Thyroid adenoma-associated protein</t>
  </si>
  <si>
    <t>Hydroxysteroid dehydrogenase-like protein 2</t>
  </si>
  <si>
    <t>Isoform 3 of Kynurenine--oxoglutarate transaminase 3</t>
  </si>
  <si>
    <t>Ceramide synthase 6</t>
  </si>
  <si>
    <t>Protein phosphatase 1 regulatory subunit 21</t>
  </si>
  <si>
    <t>L-lactate dehydrogenase A-like 6A</t>
  </si>
  <si>
    <t>RNA-binding protein MEX3B</t>
  </si>
  <si>
    <t>Isoform 2 of Protein lin-28 homolog B</t>
  </si>
  <si>
    <t>NF-X1-type zinc finger protein NFXL1</t>
  </si>
  <si>
    <t>GDP-D-glucose phosphorylase 1</t>
  </si>
  <si>
    <t>Probable C-mannosyltransferase DPY19L3</t>
  </si>
  <si>
    <t>Sulfhydryl oxidase 2</t>
  </si>
  <si>
    <t>Isoform 2 of Helicase SRCAP</t>
  </si>
  <si>
    <t>Isoform 2 of Protein FAM65A</t>
  </si>
  <si>
    <t>Neurobeachin-like protein 1</t>
  </si>
  <si>
    <t>Uncharacterized protein C1orf122</t>
  </si>
  <si>
    <t>Major facilitator superfamily domain-containing protein 6</t>
  </si>
  <si>
    <t>E3 ubiquitin-protein ligase UBR3</t>
  </si>
  <si>
    <t>Isoform 2 of Transmembrane protein with metallophosphoesterase domain</t>
  </si>
  <si>
    <t>SH3 domain-binding protein 1</t>
  </si>
  <si>
    <t>Isoform 4 of Ras association domain-containing protein 6</t>
  </si>
  <si>
    <t>G protein-regulated inducer of neurite outgrowth 3</t>
  </si>
  <si>
    <t>Isoform 2 of TOM1-like protein 2</t>
  </si>
  <si>
    <t>Uncharacterized protein C16orf86</t>
  </si>
  <si>
    <t>Isoform 5 of PAX-interacting protein 1</t>
  </si>
  <si>
    <t>Isoform 2 of Transmembrane and TPR repeat-containing protein 3</t>
  </si>
  <si>
    <t>General transcription factor IIH subunit 5</t>
  </si>
  <si>
    <t>Isoform 3 of Vacuolar protein sorting-associated protein 13C</t>
  </si>
  <si>
    <t>Acyl-CoA dehydrogenase family member 11</t>
  </si>
  <si>
    <t>Ubiquitin carboxyl-terminal hydrolase 34</t>
  </si>
  <si>
    <t>MOB kinase activator 2</t>
  </si>
  <si>
    <t>Inhibitor of nuclear factor kappa-B kinase-interacting protein</t>
  </si>
  <si>
    <t>Isoform 4 of Inhibitor of nuclear factor kappa-B kinase-interacting protein</t>
  </si>
  <si>
    <t>Isoform 2 of Protein FRA10AC1</t>
  </si>
  <si>
    <t>Ubiquitin-conjugating enzyme E2 R2</t>
  </si>
  <si>
    <t>Isoform 5 of La-related protein 4</t>
  </si>
  <si>
    <t>Isoform 5 of Mediator of RNA polymerase II transcription subunit 25</t>
  </si>
  <si>
    <t>Histone H2A.V</t>
  </si>
  <si>
    <t>Isoform 2 of Integrator complex subunit 8</t>
  </si>
  <si>
    <t>MTSS1-like protein</t>
  </si>
  <si>
    <t>Transcription elongation factor SPT6</t>
  </si>
  <si>
    <t>Isoform 2 of Transcription elongation factor SPT6</t>
  </si>
  <si>
    <t>Staphylococcal nuclease domain-containing protein 1</t>
  </si>
  <si>
    <t>Isoform 2 of Cytochrome c oxidase assembly protein COX15 homolog</t>
  </si>
  <si>
    <t>Probable ATP-dependent RNA helicase DDX46</t>
  </si>
  <si>
    <t>Isoform 4 of Protein RUFY3</t>
  </si>
  <si>
    <t>Mitochondrial ribonuclease P protein 1</t>
  </si>
  <si>
    <t>Isoform 2 of Basic leucine zipper and W2 domain-containing protein 1</t>
  </si>
  <si>
    <t>Cytochrome b5 reductase 4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</si>
  <si>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</si>
  <si>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</si>
  <si>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</si>
  <si>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</si>
  <si>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Probable proline--tRNA ligase, mitochondrial</t>
  </si>
  <si>
    <t>Arginine/serine-rich coiled-coil protein 2</t>
  </si>
  <si>
    <t>Ras-related GTP-binding protein A</t>
  </si>
  <si>
    <t>Cytoplasmic FMR1-interacting protein 1</t>
  </si>
  <si>
    <t>NADH dehydrogenase [ubiquinone] complex I, assembly factor 7</t>
  </si>
  <si>
    <t>Golgi to ER traffic protein 4 homolog</t>
  </si>
  <si>
    <t>Lysophosphatidylcholine acyltransferase 2</t>
  </si>
  <si>
    <t>Mitochondrial enolase superfamily member 1</t>
  </si>
  <si>
    <t>EPM2A-interacting protein 1</t>
  </si>
  <si>
    <t>Putative pre-mRNA-splicing factor ATP-dependent RNA helicase DHX32</t>
  </si>
  <si>
    <t>Serine/threonine-protein kinase TAO1</t>
  </si>
  <si>
    <t>FAST kinase domain-containing protein 5</t>
  </si>
  <si>
    <t>Diphthine--ammonia ligase</t>
  </si>
  <si>
    <t>Endonuclease/exonuclease/phosphatase family domain-containing protein 1</t>
  </si>
  <si>
    <t>Lysine-specific demethylase 3B</t>
  </si>
  <si>
    <t>Charged multivesicular body protein 1b</t>
  </si>
  <si>
    <t>Heparan sulfate 2-O-sulfotransferase 1</t>
  </si>
  <si>
    <t>Protein-methionine sulfoxide oxidase MICAL3</t>
  </si>
  <si>
    <t>PHD finger-like domain-containing protein 5A</t>
  </si>
  <si>
    <t>Taste receptor type 1 member 3</t>
  </si>
  <si>
    <t>Isoform 8 of Aprataxin</t>
  </si>
  <si>
    <t>G protein-regulated inducer of neurite outgrowth 1</t>
  </si>
  <si>
    <t>TRMT1-like protein</t>
  </si>
  <si>
    <t>Zinc finger CCCH-type antiviral protein 1</t>
  </si>
  <si>
    <t>Interferon-induced very large GTPase 1</t>
  </si>
  <si>
    <t>Elongation factor Tu GTP-binding domain-containing protein 1</t>
  </si>
  <si>
    <t>Protein FAM122B</t>
  </si>
  <si>
    <t>Isoform 4 of Protein FAM122B</t>
  </si>
  <si>
    <t>Neuronal growth regulator 1</t>
  </si>
  <si>
    <t>LysM and putative peptidoglycan-binding domain-containing protein 3</t>
  </si>
  <si>
    <t>Isoform 2 of UPF0317 protein C14orf159, mitochondrial</t>
  </si>
  <si>
    <t>Uncharacterized protein C10orf118</t>
  </si>
  <si>
    <t>Integral membrane protein GPR155</t>
  </si>
  <si>
    <t>Isoform 5 of Pogo transposable element with ZNF domain</t>
  </si>
  <si>
    <t>Zinc finger FYVE domain-containing protein 16</t>
  </si>
  <si>
    <t>C-myc promoter-binding protein</t>
  </si>
  <si>
    <t>Isoform 2 of Transmembrane channel-like protein 4</t>
  </si>
  <si>
    <t>Nuclear fragile X mental retardation-interacting protein 2</t>
  </si>
  <si>
    <t>Isoform 2 of SUZ domain-containing protein 1</t>
  </si>
  <si>
    <t>Mitochondrial antiviral-signaling protein</t>
  </si>
  <si>
    <t>Cytochrome P450 2U1</t>
  </si>
  <si>
    <t>ATP-dependent RNA helicase DHX29</t>
  </si>
  <si>
    <t>COMM domain-containing protein 6</t>
  </si>
  <si>
    <t>Isoform 2 of tRNA (guanine(10)-N2)-methyltransferase homolog</t>
  </si>
  <si>
    <t>HD domain-containing protein 2</t>
  </si>
  <si>
    <t>KDEL motif-containing protein 2</t>
  </si>
  <si>
    <t>Isoform 4 of LIM and senescent cell antigen-like-containing domain protein 2</t>
  </si>
  <si>
    <t>HEAT repeat-containing protein 3</t>
  </si>
  <si>
    <t>Hepatoma-derived growth factor-related protein 2</t>
  </si>
  <si>
    <t>L-xylulose reductase</t>
  </si>
  <si>
    <t>BRCA1-associated protein</t>
  </si>
  <si>
    <t>Isoform 2 of Golgin subfamily A member 7</t>
  </si>
  <si>
    <t>Wings apart-like protein homolog</t>
  </si>
  <si>
    <t>Isoform 2 of Interferon regulatory factor 2-binding protein 2</t>
  </si>
  <si>
    <t>TMEM9 domain family, member B, isoform CRA_b</t>
  </si>
  <si>
    <t>Isoform 2 of Coiled-coil domain-containing protein 91</t>
  </si>
  <si>
    <t>Isoform 2 of SLIT-ROBO Rho GTPase-activating protein 1</t>
  </si>
  <si>
    <t>E3 ubiquitin-protein ligase RBBP6</t>
  </si>
  <si>
    <t>UPF0461 protein C5orf24</t>
  </si>
  <si>
    <t>E3 ubiquitin-protein ligase E3D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</si>
  <si>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</si>
  <si>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</si>
  <si>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</si>
  <si>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</si>
  <si>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F-box only protein 33</t>
  </si>
  <si>
    <t>mTERF domain-containing protein 2</t>
  </si>
  <si>
    <t>tRNA-specific adenosine deaminase 2</t>
  </si>
  <si>
    <t>Isoform 2 of E3 ubiquitin-protein ligase HUWE1</t>
  </si>
  <si>
    <t>Cytoplasmic tRNA 2-thiolation protein 1</t>
  </si>
  <si>
    <t>PX domain-containing protein kinase-like protein</t>
  </si>
  <si>
    <t>Transcription initiation factor TFIID subunit 8</t>
  </si>
  <si>
    <t>Ubiquitin-conjugating enzyme E2 Q1</t>
  </si>
  <si>
    <t>Isoform 2 of UPF0469 protein KIAA0907</t>
  </si>
  <si>
    <t>Isoform 3 of Transmembrane emp24 domain-containing protein 4</t>
  </si>
  <si>
    <t>COX assembly mitochondrial protein homolog</t>
  </si>
  <si>
    <t>Isoform 3 of Centromere protein V</t>
  </si>
  <si>
    <t>Transmembrane protein 179B</t>
  </si>
  <si>
    <t>Isoform 3 of Dehydrodolichyl diphosphate synthase</t>
  </si>
  <si>
    <t>Isoform 2 of Polypeptide N-acetylgalactosaminyltransferase 10</t>
  </si>
  <si>
    <t>Glutaredoxin-related protein 5, mitochondrial</t>
  </si>
  <si>
    <t>Trafficking protein particle complex subunit 6B</t>
  </si>
  <si>
    <t>Transmembrane protein 55B</t>
  </si>
  <si>
    <t>Isoform 4 of Protein PAT1 homolog 1</t>
  </si>
  <si>
    <t>Retrotransposon-derived protein PEG10</t>
  </si>
  <si>
    <t>TBC1 domain family member 1</t>
  </si>
  <si>
    <t>Dipeptidyl peptidase 9</t>
  </si>
  <si>
    <t>Isoform 2 of E3 ubiquitin-protein ligase synoviolin</t>
  </si>
  <si>
    <t>tRNA 2-phosphotransferase 1</t>
  </si>
  <si>
    <t>Protein prune homolog</t>
  </si>
  <si>
    <t>Isoform 3 of 39S ribosomal protein L52, mitochondrial</t>
  </si>
  <si>
    <t>Histone-lysine N-methyltransferase setd3</t>
  </si>
  <si>
    <t>Isoform 3 of Uncharacterized aarF domain-containing protein kinase 1</t>
  </si>
  <si>
    <t>Acyl-coenzyme A thioesterase 1</t>
  </si>
  <si>
    <t>Full-length cDNA clone CS0DI083YG01 of Placenta of Homo sapiens (human)</t>
  </si>
  <si>
    <t>Iron-sulfur cluster assembly 2 homolog, mitochondrial</t>
  </si>
  <si>
    <t>Nucleolar protein 9</t>
  </si>
  <si>
    <t>N6-adenosine-methyltransferase 70 kDa subunit</t>
  </si>
  <si>
    <t>Isoform 2 of LIM domain-binding protein 1</t>
  </si>
  <si>
    <t>Isoform 5 of Protein polybromo-1</t>
  </si>
  <si>
    <t>YrdC domain-containing protein, mitochondrial</t>
  </si>
  <si>
    <t>Pre-mRNA-processing factor 39</t>
  </si>
  <si>
    <t>Suppressor APC domain-containing protein 2</t>
  </si>
  <si>
    <t>Protein LYRIC</t>
  </si>
  <si>
    <t>Isoform 2 of Serine/threonine-protein kinase tousled-like 2</t>
  </si>
  <si>
    <t>Isoform 3 of Zinc finger protein 598</t>
  </si>
  <si>
    <t>Glycerol-3-phosphate acyltransferase 4</t>
  </si>
  <si>
    <t>Kinectin</t>
  </si>
  <si>
    <t>Isoform 2 of NLR family member X1</t>
  </si>
  <si>
    <t>Isoform 4 of B-cell CLL/lymphoma 9-like protein</t>
  </si>
  <si>
    <t>Ubiquitin carboxyl-terminal hydrolase 48</t>
  </si>
  <si>
    <t>ATP-binding cassette C5 splicing variant A</t>
  </si>
  <si>
    <t>Serine/threonine-protein kinase 32C</t>
  </si>
  <si>
    <t>TXNDC5 protein</t>
  </si>
  <si>
    <t>5-nucleotidase domain-containing protein 3</t>
  </si>
  <si>
    <t>Acetoacetyl-CoA synthetase</t>
  </si>
  <si>
    <t>Isoform 2 of Leucine zipper protein 1</t>
  </si>
  <si>
    <t>Integral membrane protein GPR180</t>
  </si>
  <si>
    <t>Protein FAM160B2</t>
  </si>
  <si>
    <t>Magnesium-dependent phosphatase 1</t>
  </si>
  <si>
    <t>Kelch repeat and BTB domain-containing protein 6</t>
  </si>
  <si>
    <t>Isoform 4 of Nebulin-related-anchoring protein</t>
  </si>
  <si>
    <t>Ras GTPase-activating-like protein IQGAP3</t>
  </si>
  <si>
    <t>Isoform 2 of Vacuolar protein-sorting-associated protein 36</t>
  </si>
  <si>
    <t>Cullin-associated NEDD8-dissociated protein 1</t>
  </si>
  <si>
    <t>Glucocorticoid-induced transcript 1 protein</t>
  </si>
  <si>
    <t>Protein FAM134C</t>
  </si>
  <si>
    <t>Protein Hook homolog 3</t>
  </si>
  <si>
    <t>Catechol O-methyltransferase domain-containing protein 1</t>
  </si>
  <si>
    <t>SEC14 domain and spectrin repeat-containing protein 1</t>
  </si>
  <si>
    <t>Vacuolar fusion protein MON1 homolog A</t>
  </si>
  <si>
    <t>THO complex subunit 6 homolog</t>
  </si>
  <si>
    <t>Methyltransferase-like protein 16</t>
  </si>
  <si>
    <t>Poly(ADP-ribose) glycohydrolase</t>
  </si>
  <si>
    <t>Isoform 4 of Liprin-beta-1</t>
  </si>
  <si>
    <t>Isoform 2 of Valacyclovir hydrolase</t>
  </si>
  <si>
    <t>Lon protease homolog 2, peroxisomal</t>
  </si>
  <si>
    <t>Isoform 2 of Chromodomain-helicase-DNA-binding protein 1-like</t>
  </si>
  <si>
    <t>Nuclear receptor 2C2-associated protein</t>
  </si>
  <si>
    <t>Coiled-coil domain-containing protein 25</t>
  </si>
  <si>
    <t>Proline and serine-rich protein 2</t>
  </si>
  <si>
    <t>Isoform 2 of Probable D-lactate dehydrogenase, mitochondrial</t>
  </si>
  <si>
    <t>CST complex subunit TEN1</t>
  </si>
  <si>
    <t>CCDC43 protein</t>
  </si>
  <si>
    <t>Active regulator of SIRT1</t>
  </si>
  <si>
    <t>Glutamate-rich protein 1</t>
  </si>
  <si>
    <t>Isoform 1 of Histone-arginine methyltransferase CARM1</t>
  </si>
  <si>
    <t>Isoform 1 of Nitrilase homolog 1</t>
  </si>
  <si>
    <t>COMM domain-containing protein 2</t>
  </si>
  <si>
    <t>Isoform 2 of Corepressor interacting with RBPJ 1</t>
  </si>
  <si>
    <t>Cytosolic phospholipase A2 delta</t>
  </si>
  <si>
    <t>Diacylglycerol kinase eta</t>
  </si>
  <si>
    <t>ATP-dependent RNA helicase DDX42</t>
  </si>
  <si>
    <t>Extracellular matrix protein FRAS1</t>
  </si>
  <si>
    <t>Spermatogenesis-associated serine-rich protein 2</t>
  </si>
  <si>
    <t>Serine/threonine-protein kinase VRK2</t>
  </si>
  <si>
    <t>NADH dehydrogenase [ubiquinone] 1 alpha subcomplex subunit 11</t>
  </si>
  <si>
    <t>HEAT repeat-containing protein 2</t>
  </si>
  <si>
    <t>Probable peptidyl-tRNA hydrolase</t>
  </si>
  <si>
    <t>Syntaxin-12</t>
  </si>
  <si>
    <t>ERO1-like protein beta</t>
  </si>
  <si>
    <t>Decaprenyl-diphosphate synthase subunit 2</t>
  </si>
  <si>
    <t>Homer protein homolog 1</t>
  </si>
  <si>
    <t>Isoform 2 of Dolichyldiphosphatase 1</t>
  </si>
  <si>
    <t>Transcriptional repressor p66-alpha</t>
  </si>
  <si>
    <t>C2 domain-containing protein 5</t>
  </si>
  <si>
    <t>E3 ubiquitin-protein ligase MIB1</t>
  </si>
  <si>
    <t>Tyrosine-protein kinase SgK223</t>
  </si>
  <si>
    <t>Hermansky-Pudlak syndrome 6 protein</t>
  </si>
  <si>
    <t>Interferon regulatory factor 2-binding protein 1</t>
  </si>
  <si>
    <t>Rhophilin-2</t>
  </si>
  <si>
    <t>Isoform 2 of ELKS/Rab6-interacting/CAST family member 1</t>
  </si>
  <si>
    <t>Bifunctional lysine-specific demethylase and histidyl-hydroxylase MINA</t>
  </si>
  <si>
    <t>Isoform 3 of RNA-binding protein 45</t>
  </si>
  <si>
    <t>Palmitoyltransferase ZDHHC13</t>
  </si>
  <si>
    <t>Cytokine receptor-like factor 3</t>
  </si>
  <si>
    <t>Trafficking protein particle complex subunit 5</t>
  </si>
  <si>
    <t>RELT-like protein 1</t>
  </si>
  <si>
    <t>Isoform 4 of Transmembrane protein 126B</t>
  </si>
  <si>
    <t>5-phosphohydroxy-L-lysine phospho-lyase</t>
  </si>
  <si>
    <t>Phospholipase D3</t>
  </si>
  <si>
    <t>Laccase domain-containing protein 1</t>
  </si>
  <si>
    <t>Isoform 2 of Protein HID1</t>
  </si>
  <si>
    <t>Ankyrin repeat and MYND domain-containing protein 2</t>
  </si>
  <si>
    <t>UNC5C-like protein</t>
  </si>
  <si>
    <t>LysM and putative peptidoglycan-binding domain-containing protein 2</t>
  </si>
  <si>
    <t>Proline-rich protein 15</t>
  </si>
  <si>
    <t>Isoform 3 of Inactive serine/threonine-protein kinase VRK3</t>
  </si>
  <si>
    <t>NudC domain-containing protein 3</t>
  </si>
  <si>
    <t>Isoform 3 of Protein AHNAK2</t>
  </si>
  <si>
    <t>Methylmalonic aciduria type A protein, mitochondrial</t>
  </si>
  <si>
    <t>Isoform 3 of Mitogen-activated protein kinase kinase kinase kinase 3</t>
  </si>
  <si>
    <t>Isoform 4 of Neuron navigator 2</t>
  </si>
  <si>
    <t>Coiled-coil domain-containing protein 50</t>
  </si>
  <si>
    <t>Isoform 2 of Coiled-coil domain-containing protein 50</t>
  </si>
  <si>
    <t>Somatomedin-B and thrombospondin type-1 domain-containing protein</t>
  </si>
  <si>
    <t>Palmitoyltransferase ZDHHC21</t>
  </si>
  <si>
    <t>PPM1D protein</t>
  </si>
  <si>
    <t>Malonyl-CoA-acyl carrier protein transacylase, mitochondrial</t>
  </si>
  <si>
    <t>Uncharacterized protein C19orf21</t>
  </si>
  <si>
    <t>Isoform 3 of AT-rich interactive domain-containing protein 3B</t>
  </si>
  <si>
    <t>ATP-dependent (S)-NAD(P)H-hydrate dehydratase</t>
  </si>
  <si>
    <t>WD repeat-containing protein 75</t>
  </si>
  <si>
    <t>Mitofusin-1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</si>
  <si>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</si>
  <si>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</si>
  <si>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</si>
  <si>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</si>
  <si>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Coiled-coil domain-containing protein 117</t>
  </si>
  <si>
    <t>Protein NOXP20</t>
  </si>
  <si>
    <t>DCN1-like protein 3</t>
  </si>
  <si>
    <t>Protein DENND6A</t>
  </si>
  <si>
    <t>GRIP and coiled-coil domain-containing protein 2</t>
  </si>
  <si>
    <t>Iron-sulfur cluster co-chaperone protein HscB, mitochondrial</t>
  </si>
  <si>
    <t>Zinc finger CCCH domain-containing protein 7A</t>
  </si>
  <si>
    <t>PHD finger protein 6</t>
  </si>
  <si>
    <t>Serine/threonine-protein kinase LMTK2</t>
  </si>
  <si>
    <t>E3 ubiquitin-protein ligase UBR1</t>
  </si>
  <si>
    <t>Isoform 4 of E3 ubiquitin-protein ligase UBR2</t>
  </si>
  <si>
    <t>Isoform 2 of Rho GTPase-activating protein 12</t>
  </si>
  <si>
    <t>Isoform 6 of Ankyrin repeat and KH domain-containing protein 1</t>
  </si>
  <si>
    <t>SURP and G-patch domain-containing protein 1</t>
  </si>
  <si>
    <t>Isoform 2 of Cell division cycle and apoptosis regulator protein 1</t>
  </si>
  <si>
    <t>Isoform 3 of Probable ATP-dependent RNA helicase DHX40</t>
  </si>
  <si>
    <t>Spindle and kinetochore-associated protein 3</t>
  </si>
  <si>
    <t>DnaJ homolog subfamily C member 10</t>
  </si>
  <si>
    <t>Mitochondrial Rho GTPase 2</t>
  </si>
  <si>
    <t>Isoform 4 of Mitochondrial Rho GTPase 1</t>
  </si>
  <si>
    <t>N-acetylaspartyl-glutamate synthetase A</t>
  </si>
  <si>
    <t>Uncharacterized protein KIAA1704</t>
  </si>
  <si>
    <t>Isoform 2 of Putative RNA polymerase II subunit B1 CTD phosphatase RPAP2</t>
  </si>
  <si>
    <t>Isoform 5 of Neuropathy target esterase</t>
  </si>
  <si>
    <t>Structural maintenance of chromosomes protein 5</t>
  </si>
  <si>
    <t>C-Maf-inducing protein</t>
  </si>
  <si>
    <t>Presqualene diphosphate phosphatase</t>
  </si>
  <si>
    <t>Probable ATP-dependent RNA helicase DHX37</t>
  </si>
  <si>
    <t>Kelch repeat and BTB domain-containing protein 2</t>
  </si>
  <si>
    <t>Isoform 2 of Solute carrier family 35 member F3</t>
  </si>
  <si>
    <t>pre-rRNA processing protein FTSJ3</t>
  </si>
  <si>
    <t>Isoform 2 of Transmembrane protein 192</t>
  </si>
  <si>
    <t>Protein MB21D2</t>
  </si>
  <si>
    <t>Isoform 3 of 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</si>
  <si>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</si>
  <si>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</si>
  <si>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</si>
  <si>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Isoform 2 of Coiled-coil domain-containing protein 146</t>
  </si>
  <si>
    <t>Exocyst complex component 8</t>
  </si>
  <si>
    <t>UPF0688 protein C1orf174</t>
  </si>
  <si>
    <t>UBA-like domain-containing protein 2</t>
  </si>
  <si>
    <t>Threonine synthase-like 1</t>
  </si>
  <si>
    <t>SET and MYND domain-containing protein 4</t>
  </si>
  <si>
    <t>Peptidase M20 domain-containing protein 2</t>
  </si>
  <si>
    <t>Uncharacterized protein KIAA2013</t>
  </si>
  <si>
    <t>Calcium uptake protein 2, mitochondrial</t>
  </si>
  <si>
    <t>E3 ubiquitin-protein ligase RNF168</t>
  </si>
  <si>
    <t>Ankyrin repeat domain-containing protein 13A</t>
  </si>
  <si>
    <t>Isoform 3 of Phosphatase and actin regulator 4</t>
  </si>
  <si>
    <t>REST corepressor 2</t>
  </si>
  <si>
    <t>Ras and EF-hand domain-containing protein</t>
  </si>
  <si>
    <t>Chondroitin sulfate synthase 2</t>
  </si>
  <si>
    <t>Metaxin 2</t>
  </si>
  <si>
    <t>RNA pseudouridylate synthase domain-containing protein 2</t>
  </si>
  <si>
    <t>ELMO domain-containing protein 2</t>
  </si>
  <si>
    <t>Aldehyde dehydrogenase family 16 member A1</t>
  </si>
  <si>
    <t>Sodium leak channel non-selective protein</t>
  </si>
  <si>
    <t>Isoform 2 of 5-3 exoribonuclease 1</t>
  </si>
  <si>
    <t>Mastermind-like protein 2</t>
  </si>
  <si>
    <t>Selenoprotein H</t>
  </si>
  <si>
    <t>Isoform 2 of CKLF-like MARVEL transmembrane domain-containing protein 4</t>
  </si>
  <si>
    <t>Retinol dehydrogenase 10</t>
  </si>
  <si>
    <t>Tensin-4</t>
  </si>
  <si>
    <t>Protein APCDD1</t>
  </si>
  <si>
    <t>Uncharacterized protein C8orf59</t>
  </si>
  <si>
    <t>Protein FAM185A</t>
  </si>
  <si>
    <t>Vitamin K epoxide reductase complex subunit 1-like protein 1</t>
  </si>
  <si>
    <t>L-fucose kinase</t>
  </si>
  <si>
    <t>Citrate lyase subunit beta-like protein, mitochondrial</t>
  </si>
  <si>
    <t>Tetratricopeptide repeat protein 5</t>
  </si>
  <si>
    <t>tRNA pseudouridine synthase-like 1</t>
  </si>
  <si>
    <t>Isoform 2 of V-set and immunoglobulin domain-containing protein 10</t>
  </si>
  <si>
    <t>Isoform 7 of Mesoderm induction early response protein 1</t>
  </si>
  <si>
    <t>Regulatory-associated protein of mTOR</t>
  </si>
  <si>
    <t>Protein canopy homolog 4</t>
  </si>
  <si>
    <t>DBIRD complex subunit KIAA1967</t>
  </si>
  <si>
    <t>Mimitin, mitochondrial</t>
  </si>
  <si>
    <t>Vacuolar protein sorting-associated protein 52 homolog</t>
  </si>
  <si>
    <t>Nuclear pore complex protein Nup93</t>
  </si>
  <si>
    <t>Zinc finger protein 687</t>
  </si>
  <si>
    <t>Cap-specific mRNA (nucleoside-2-O-)-methyltransferase 1</t>
  </si>
  <si>
    <t>Leucine-rich repeat-containing protein 47</t>
  </si>
  <si>
    <t>Protein THEMIS</t>
  </si>
  <si>
    <t>Mitochondrial cardiolipin hydrolase</t>
  </si>
  <si>
    <t>Isoform 3 of Armadillo repeat-containing protein 10</t>
  </si>
  <si>
    <t>Isoform 3 of GH3 domain-containing protein</t>
  </si>
  <si>
    <t>Monoacylglycerol lipase ABHD12</t>
  </si>
  <si>
    <t>Centromere protein S</t>
  </si>
  <si>
    <t>Coiled-coil domain-containing protein 23</t>
  </si>
  <si>
    <t>Glycerol-3-phosphate dehydrogenase 1-like protein</t>
  </si>
  <si>
    <t>Protein Dos</t>
  </si>
  <si>
    <t>Isoform 2 of Rho GTPase-activating protein 18</t>
  </si>
  <si>
    <t>Isoform 2 of von Willebrand factor A domain-containing protein 5B2</t>
  </si>
  <si>
    <t>Activating signal cointegrator 1 complex subunit 3</t>
  </si>
  <si>
    <t>EH domain-binding protein 1-like protein 1</t>
  </si>
  <si>
    <t>MICAL-like protein 1</t>
  </si>
  <si>
    <t>Isoform 2 of MAGUK p55 subfamily member 5</t>
  </si>
  <si>
    <t>Formin-binding protein 4</t>
  </si>
  <si>
    <t>Translation factor GUF1, mitochondrial</t>
  </si>
  <si>
    <t>D-2-hydroxyglutarate dehydrogenase, mitochondrial</t>
  </si>
  <si>
    <t>RING1 and YY1-binding protein</t>
  </si>
  <si>
    <t>Isoform 2 of Probable hydrolase PNKD</t>
  </si>
  <si>
    <t>Isoform 4 of Probable hydrolase PNKD</t>
  </si>
  <si>
    <t>Isoform 1 of Misshapen-like kinase 1</t>
  </si>
  <si>
    <t>Mitochondrial import receptor subunit TOM5 homolog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</si>
  <si>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</si>
  <si>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</si>
  <si>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</si>
  <si>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Carbonyl reductase family member 4</t>
  </si>
  <si>
    <t>Membrane magnesium transporter 1</t>
  </si>
  <si>
    <t>Zinc finger CCHC domain-containing protein 9</t>
  </si>
  <si>
    <t>Isoform 2 of Oxidation resistance protein 1</t>
  </si>
  <si>
    <t>Tetratricopeptide repeat protein 39C</t>
  </si>
  <si>
    <t>Isoform 3 of Zinc finger CCCH-type with G patch domain-containing protein</t>
  </si>
  <si>
    <t>S1 RNA-binding domain-containing protein 1</t>
  </si>
  <si>
    <t>DTW domain-containing protein 1</t>
  </si>
  <si>
    <t>Isoform 5 of WD and tetratricopeptide repeats protein 1</t>
  </si>
  <si>
    <t>NF-kappa-B-activating protein</t>
  </si>
  <si>
    <t>Isoform 2 of Small integral membrane protein 20</t>
  </si>
  <si>
    <t>Macoilin</t>
  </si>
  <si>
    <t>Arrestin domain-containing protein 1</t>
  </si>
  <si>
    <t>Uncharacterized protein C12orf45</t>
  </si>
  <si>
    <t>CDGSH iron-sulfur domain-containing protein 2</t>
  </si>
  <si>
    <t>Ribonuclease P protein subunit p25-like protein</t>
  </si>
  <si>
    <t>ATP synthase mitochondrial F1 complex assembly factor 2</t>
  </si>
  <si>
    <t>Protein jagunal homolog 1</t>
  </si>
  <si>
    <t>39S ribosomal protein L50, mitochondrial</t>
  </si>
  <si>
    <t>Zinc finger CCCH domain-containing protein 8</t>
  </si>
  <si>
    <t>Isoform 2 of Eukaryotic translation initiation factor 4E type 3</t>
  </si>
  <si>
    <t>Mono [ADP-ribose] polymerase PARP16</t>
  </si>
  <si>
    <t>FTS and Hook-interacting protein</t>
  </si>
  <si>
    <t>Isoform 2 of Cleavage and polyadenylation specificity factor subunit 7</t>
  </si>
  <si>
    <t>Solute carrier family 15 member 4</t>
  </si>
  <si>
    <t>ADP-ribosylation factor GTPase-activating protein 2</t>
  </si>
  <si>
    <t>OTU domain-containing protein 6B</t>
  </si>
  <si>
    <t>Isoform 2 of UPF0690 protein C1orf52</t>
  </si>
  <si>
    <t>Acyl-CoA-binding domain-containing protein 7</t>
  </si>
  <si>
    <t>Methyltransferase-like protein 25</t>
  </si>
  <si>
    <t>ADP-ribosylation factor GTPase-activating protein 1</t>
  </si>
  <si>
    <t>TOM1-like protein 1</t>
  </si>
  <si>
    <t>Isoform 3 of ER membrane protein complex subunit 1</t>
  </si>
  <si>
    <t>Isoform 3 of Cyclin-Y-like protein 1</t>
  </si>
  <si>
    <t>Putative E3 ubiquitin-protein ligase UBR7</t>
  </si>
  <si>
    <t>Uncharacterized protein C4orf32</t>
  </si>
  <si>
    <t>Prostaglandin reductase 2</t>
  </si>
  <si>
    <t>UPF0565 protein C2orf69</t>
  </si>
  <si>
    <t>ARL14 effector protein</t>
  </si>
  <si>
    <t>Protein enabled homolog</t>
  </si>
  <si>
    <t>G patch domain-containing protein 11</t>
  </si>
  <si>
    <t>Uncharacterized protein C12orf29</t>
  </si>
  <si>
    <t>Glycerophosphodiester phosphodiesterase domain-containing protein 1</t>
  </si>
  <si>
    <t>Transmembrane protein 102</t>
  </si>
  <si>
    <t>Leucine-rich repeat-containing protein 57</t>
  </si>
  <si>
    <t>Protein KRI1 homolog</t>
  </si>
  <si>
    <t>WD repeat, SAM and U-box domain-containing protein 1</t>
  </si>
  <si>
    <t>Glycosyltransferase-like domain-containing protein 2</t>
  </si>
  <si>
    <t>Pre-mRNA-splicing factor 38A</t>
  </si>
  <si>
    <t>Uncharacterized protein C1orf172</t>
  </si>
  <si>
    <t>Isoform 2 of Zinc finger protein 511</t>
  </si>
  <si>
    <t>Mixed lineage kinase domain-like protein</t>
  </si>
  <si>
    <t>Parkinson disease 7 domain-containing protein 1</t>
  </si>
  <si>
    <t>Serine/threonine-protein phosphatase 6 regulatory ankyrin repeat subunit C</t>
  </si>
  <si>
    <t>Isoform 2 of Probable phospholipid-transporting ATPase IG</t>
  </si>
  <si>
    <t>Spermatogenesis-associated protein 5</t>
  </si>
  <si>
    <t>NHL repeat-containing protein 2</t>
  </si>
  <si>
    <t>Late secretory pathway protein AVL9 homolog</t>
  </si>
  <si>
    <t>Xyloside xylosyltransferase 1</t>
  </si>
  <si>
    <t>Isoform 2 of Golgi membrane protein 1</t>
  </si>
  <si>
    <t>Procollagen galactosyltransferase 1</t>
  </si>
  <si>
    <t>Isoform 4 of Sulfatase-modifying factor 1</t>
  </si>
  <si>
    <t>Isoform 2 of Ubiquitin-associated domain-containing protein 2</t>
  </si>
  <si>
    <t>Prenylcysteine oxidase-like</t>
  </si>
  <si>
    <t>Transmembrane protein 87A</t>
  </si>
  <si>
    <t>Retinol dehydrogenase 13</t>
  </si>
  <si>
    <t>Tetratricopeptide repeat protein 13</t>
  </si>
  <si>
    <t>Proprotein convertase subtilisin/kexin type 9</t>
  </si>
  <si>
    <t>ATPase family AAA domain-containing protein 1</t>
  </si>
  <si>
    <t>Saccharopine dehydrogenase-like oxidoreductase</t>
  </si>
  <si>
    <t>Serine/threonine-protein kinase MST4</t>
  </si>
  <si>
    <t>Plasminogen activator inhibitor 1 RNA-binding protein</t>
  </si>
  <si>
    <t>Keratinocyte-associated transmembrane protein 2</t>
  </si>
  <si>
    <t>LEM domain-containing protein 2</t>
  </si>
  <si>
    <t>Nitric oxide-associated protein 1</t>
  </si>
  <si>
    <t>Adaptin ear-binding coat-associated protein 1</t>
  </si>
  <si>
    <t>Isoform 2 of Protein FAM98A</t>
  </si>
  <si>
    <t>Group XV phospholipase A2</t>
  </si>
  <si>
    <t>Isoform 4 of tRNA-splicing endonuclease subunit Sen2</t>
  </si>
  <si>
    <t>Myotubularin-related protein 14</t>
  </si>
  <si>
    <t>NFATC2-interacting protein</t>
  </si>
  <si>
    <t>Sn1-specific diacylglycerol lipase beta</t>
  </si>
  <si>
    <t>Polypeptide N-acetylgalactosaminyltransferase 6</t>
  </si>
  <si>
    <t>E3 ubiquitin-protein ligase RNF169</t>
  </si>
  <si>
    <t>Pyruvate dehydrogenase phosphatase regulatory subunit, mitochondrial</t>
  </si>
  <si>
    <t>NAD(P)H-hydrate epimerase</t>
  </si>
  <si>
    <t>Protein SMG8</t>
  </si>
  <si>
    <t>RING finger protein 214</t>
  </si>
  <si>
    <t>Isoform 2 of Protein LSM14 homolog A</t>
  </si>
  <si>
    <t>Cyclin-Y</t>
  </si>
  <si>
    <t>Paraneoplastic antigen Ma1</t>
  </si>
  <si>
    <t>MAPK-interacting and spindle-stabilizing protein-like</t>
  </si>
  <si>
    <t>Isoform 3 of Uncharacterized protein C1orf131</t>
  </si>
  <si>
    <t>Probable aminopeptidase NPEPL1</t>
  </si>
  <si>
    <t>Isoform 3 of EH domain-binding protein 1</t>
  </si>
  <si>
    <t>Putative RNA-binding protein 15B</t>
  </si>
  <si>
    <t>Isoform 2 of Structural maintenance of chromosomes protein 1B</t>
  </si>
  <si>
    <t>Deleted in autism protein 1</t>
  </si>
  <si>
    <t>Choline dehydrogenase, mitochondrial</t>
  </si>
  <si>
    <t>ATP-binding cassette sub-family F member 1</t>
  </si>
  <si>
    <t>Protein FAM83F</t>
  </si>
  <si>
    <t>Isoform 2 of Phospholipase DDHD1</t>
  </si>
  <si>
    <t>PDZ domain-containing protein 8</t>
  </si>
  <si>
    <t>Isoform 2 of DCC-interacting protein 13-beta</t>
  </si>
  <si>
    <t>F-box only protein 22</t>
  </si>
  <si>
    <t>Lysophosphatidylcholine acyltransferase 1</t>
  </si>
  <si>
    <t>Biorientation of chromosomes in cell division protein 1-like 1</t>
  </si>
  <si>
    <t>Isoform 2 of FAD synthase</t>
  </si>
  <si>
    <t>Nucleoporin Nup43</t>
  </si>
  <si>
    <t>Nucleoporin Nup37</t>
  </si>
  <si>
    <t>Cytosolic endo-beta-N-acetylglucosaminidase</t>
  </si>
  <si>
    <t>Torsin-1A-interacting protein 2</t>
  </si>
  <si>
    <t>Thiosulfate sulfurtransferase/rhodanese-like domain-containing protein 1</t>
  </si>
  <si>
    <t>Isoform 4 of Thiosulfate sulfurtransferase/rhodanese-like domain-containing protein 1</t>
  </si>
  <si>
    <t>Alpha/beta hydrolase domain-containing protein 11</t>
  </si>
  <si>
    <t>N-acylneuraminate cytidylyltransferase</t>
  </si>
  <si>
    <t>Isoform 2 of Syntaxin-binding protein 6</t>
  </si>
  <si>
    <t>Tubulin--tyrosine ligase</t>
  </si>
  <si>
    <t>Small VCP/p97-interacting protein</t>
  </si>
  <si>
    <t>E3 ubiquitin-protein ligase ZNRF2</t>
  </si>
  <si>
    <t>Atlastin-2</t>
  </si>
  <si>
    <t>Isoform 4 of Lysine-specific demethylase 2B</t>
  </si>
  <si>
    <t>Putative phospholipase B-like 2</t>
  </si>
  <si>
    <t>Tudor domain-containing protein 7</t>
  </si>
  <si>
    <t>GTPase IMAP family member 7</t>
  </si>
  <si>
    <t>Protein NEDD1</t>
  </si>
  <si>
    <t>Isoform 2 of Nuclear receptor coactivator 7</t>
  </si>
  <si>
    <t>Isoform 2 of Multiple coagulation factor deficiency protein 2</t>
  </si>
  <si>
    <t>THO complex subunit 2</t>
  </si>
  <si>
    <t>InaD-like protein</t>
  </si>
  <si>
    <t>WD repeat-containing protein 36</t>
  </si>
  <si>
    <t>Protein phosphatase PTC7 homolog</t>
  </si>
  <si>
    <t>Chaperone activity of bc1 complex-like, mitochondrial</t>
  </si>
  <si>
    <t>Retinitis pigmentosa 9 protein</t>
  </si>
  <si>
    <t>GrpE protein homolog 2, mitochondrial</t>
  </si>
  <si>
    <t>Protein phosphatase 1 regulatory subunit 14C</t>
  </si>
  <si>
    <t>Growth arrest and DNA damage-inducible proteins-interacting protein 1</t>
  </si>
  <si>
    <t>WD repeat-containing protein 48</t>
  </si>
  <si>
    <t>Ermin</t>
  </si>
  <si>
    <t>Centrosomal protein of 76 kDa</t>
  </si>
  <si>
    <t>SWI/SNF complex subunit SMARCC2</t>
  </si>
  <si>
    <t>Nuclear protein localization protein 4 homolog</t>
  </si>
  <si>
    <t>Ganglioside-induced differentiation-associated protein 1</t>
  </si>
  <si>
    <t>Iron-sulfur protein NUBPL</t>
  </si>
  <si>
    <t>F-box only protein 30</t>
  </si>
  <si>
    <t>Isoform 3 of Adenosine 3-phospho 5-phosphosulfate transporter 1</t>
  </si>
  <si>
    <t>Isoform 3 of Pumilio homolog 2</t>
  </si>
  <si>
    <t>Isoform 2 of Golgin subfamily A member 5</t>
  </si>
  <si>
    <t>E3 ubiquitin-protein ligase LNX</t>
  </si>
  <si>
    <t>Isoform 3 of Kelch domain-containing protein 4</t>
  </si>
  <si>
    <t>NEDD8-activating enzyme E1 catalytic subunit</t>
  </si>
  <si>
    <t>N-acylneuraminate-9-phosphatase</t>
  </si>
  <si>
    <t>Prostamide/prostaglandin F synthase</t>
  </si>
  <si>
    <t>Isoform 2 of N-lysine methyltransferase SETD6</t>
  </si>
  <si>
    <t>Solute carrier family 25 member 40</t>
  </si>
  <si>
    <t>Phosphatidylinositol 5-phosphate 4-kinase type-2 gamma</t>
  </si>
  <si>
    <t>Isoform 4 of WD repeat-containing protein 20</t>
  </si>
  <si>
    <t>tRNA methyltransferase 10 homolog A</t>
  </si>
  <si>
    <t>Isoform 2 of TBC1 domain family member 15</t>
  </si>
  <si>
    <t>Retinol dehydrogenase 11</t>
  </si>
  <si>
    <t>Leucine-rich repeat-containing protein 20</t>
  </si>
  <si>
    <t>UPF0729 protein C18orf32</t>
  </si>
  <si>
    <t>5(3)-deoxyribonucleotidase, cytosolic type</t>
  </si>
  <si>
    <t>Protein CIP2A</t>
  </si>
  <si>
    <t>Phosphatidylinositol 4-kinase type 2-beta</t>
  </si>
  <si>
    <t>Dolichyl-diphosphooligosaccharide--protein glycosyltransferase subunit STT3B</t>
  </si>
  <si>
    <t>Polyribonucleotide nucleotidyltransferase 1, mitochondrial</t>
  </si>
  <si>
    <t>Isoform 5 of Minor histocompatibility antigen H13</t>
  </si>
  <si>
    <t>Isoform 2 of Rhophilin-1</t>
  </si>
  <si>
    <t>Isoform 3 of Up-regulator of cell proliferation</t>
  </si>
  <si>
    <t>Protein bicaudal D homolog 2</t>
  </si>
  <si>
    <t>Serine/threonine-protein kinase Nek9</t>
  </si>
  <si>
    <t>Alanine aminotransferase 2</t>
  </si>
  <si>
    <t>E3 ubiquitin-protein ligase DTX3L</t>
  </si>
  <si>
    <t>Isoform 2 of ATP-dependent RNA helicase DDX54</t>
  </si>
  <si>
    <t>Biogenesis of lysosome-related organelles complex 1 subunit 5</t>
  </si>
  <si>
    <t>Isoform 2 of DmX-like protein 2</t>
  </si>
  <si>
    <t>Glucosamine-6-phosphate isomerase 2</t>
  </si>
  <si>
    <t>Serine/threonine-protein kinase 35</t>
  </si>
  <si>
    <t>Serine/threonine-protein kinase Nek7</t>
  </si>
  <si>
    <t>Isoform 2 of RB1-inducible coiled-coil protein 1</t>
  </si>
  <si>
    <t>Protein-methionine sulfoxide oxidase MICAL1</t>
  </si>
  <si>
    <t>Isoform 2 of Pantothenate kinase 1</t>
  </si>
  <si>
    <t>Protein phosphatase Slingshot homolog 3</t>
  </si>
  <si>
    <t>Putative methyltransferase NSUN6</t>
  </si>
  <si>
    <t>Isoform 3 of TBC domain-containing protein kinase-like protein</t>
  </si>
  <si>
    <t>D-tyrosyl-tRNA(Tyr) deacylase 1</t>
  </si>
  <si>
    <t>Isoform 2 of DDB1- and CUL4-associated factor 11</t>
  </si>
  <si>
    <t>U3 small nucleolar RNA-associated protein 15 homolog</t>
  </si>
  <si>
    <t>Nuclear pore membrane glycoprotein 210</t>
  </si>
  <si>
    <t>Gem-associated protein 5</t>
  </si>
  <si>
    <t>Isoform 2 of GPI ethanolamine phosphate transferase 3</t>
  </si>
  <si>
    <t>Neutral alpha-glucosidase C</t>
  </si>
  <si>
    <t>Isoform 2 of Smith-Magenis syndrome chromosomal region candidate gene 8 protein</t>
  </si>
  <si>
    <t>Importin-4</t>
  </si>
  <si>
    <t>Arginine/serine-rich protein PNISR</t>
  </si>
  <si>
    <t>Isoform 2 of Serine/threonine-protein phosphatase 4 regulatory subunit 1</t>
  </si>
  <si>
    <t>Monocarboxylate transporter 10</t>
  </si>
  <si>
    <t>WAS/WASL-interacting protein family member 2</t>
  </si>
  <si>
    <t>1-acylglycerol-3-phosphate O-acyltransferase ABHD5</t>
  </si>
  <si>
    <t>Histone-lysine N-methyltransferase SETD7</t>
  </si>
  <si>
    <t>Conserved oligomeric Golgi complex subunit 1</t>
  </si>
  <si>
    <t>Nitrogen permease regulator 2-like protein</t>
  </si>
  <si>
    <t>Probable palmitoyltransferase ZDHHC1</t>
  </si>
  <si>
    <t>Pyridine nucleotide-disulfide oxidoreductase domain-containing protein 1</t>
  </si>
  <si>
    <t>Isoform 2 of Stromal membrane-associated protein 2</t>
  </si>
  <si>
    <t>Zinc finger CCCH domain-containing protein 15</t>
  </si>
  <si>
    <t>Peptidyl-prolyl cis-trans isomerase-like 4</t>
  </si>
  <si>
    <t>General transcription factor 3C polypeptide 2</t>
  </si>
  <si>
    <t>Ras-related protein Rab-2B</t>
  </si>
  <si>
    <t>RelA-associated inhibitor</t>
  </si>
  <si>
    <t>Isoform 3 of Protein FAM172A</t>
  </si>
  <si>
    <t>UPF0444 transmembrane protein C12orf23</t>
  </si>
  <si>
    <t>Serine/threonine/tyrosine-interacting protein</t>
  </si>
  <si>
    <t>Isoform 2 of Protein KIAA1199</t>
  </si>
  <si>
    <t>Phosphatidylglycerophosphatase and protein-tyrosine phosphatase 1</t>
  </si>
  <si>
    <t>Nuclear pore complex protein Nup133</t>
  </si>
  <si>
    <t>Programmed cell death 6-interacting protein</t>
  </si>
  <si>
    <t>Ubiquitin domain-containing protein 2</t>
  </si>
  <si>
    <t>Filamin-binding LIM protein 1</t>
  </si>
  <si>
    <t>UPF0235 protein C15orf40</t>
  </si>
  <si>
    <t>Cation transport regulator-like protein 2</t>
  </si>
  <si>
    <t>Charged multivesicular body protein 7</t>
  </si>
  <si>
    <t>Protein THEM6</t>
  </si>
  <si>
    <t>N-acetyltransferase 14</t>
  </si>
  <si>
    <t>Non-structural maintenance of chromosomes element 1 homolog</t>
  </si>
  <si>
    <t>Sorting nexin-33</t>
  </si>
  <si>
    <t>Pentatricopeptide repeat-containing protein 2, mitochondrial</t>
  </si>
  <si>
    <t>Nucleoside diphosphate-linked moiety X motif 8, mitochondrial</t>
  </si>
  <si>
    <t>Lactation elevated protein 1</t>
  </si>
  <si>
    <t>Chromosome transmission fidelity protein 18 homolog</t>
  </si>
  <si>
    <t>RNA polymerase-associated protein LEO1</t>
  </si>
  <si>
    <t>40S ribosomal protein S21</t>
  </si>
  <si>
    <t>NudC domain-containing protein 2</t>
  </si>
  <si>
    <t>U4/U6.U5 small nuclear ribonucleoprotein 27 kDa protein</t>
  </si>
  <si>
    <t>Ankyrin repeat domain-containing protein 49</t>
  </si>
  <si>
    <t>Dimethyladenosine transferase 1, mitochondrial</t>
  </si>
  <si>
    <t>Sec1 family domain-containing protein 1</t>
  </si>
  <si>
    <t>Soluble calcium-activated nucleotidase 1</t>
  </si>
  <si>
    <t>Trafficking protein particle complex subunit 12</t>
  </si>
  <si>
    <t>Protein POF1B</t>
  </si>
  <si>
    <t>Isoform 4 of Heterogeneous nuclear ribonucleoprotein L-like</t>
  </si>
  <si>
    <t>Fatty acyl-CoA reductase 1</t>
  </si>
  <si>
    <t>Ubiquitin-like domain-containing CTD phosphatase 1</t>
  </si>
  <si>
    <t>Kelch repeat and BTB domain-containing protein 7</t>
  </si>
  <si>
    <t>tRNA-splicing endonuclease subunit Sen15</t>
  </si>
  <si>
    <t>PEST proteolytic signal-containing nuclear protein</t>
  </si>
  <si>
    <t>SPRY domain-containing protein 4</t>
  </si>
  <si>
    <t>Isoform 2 of Lysosomal protein NCU-G1</t>
  </si>
  <si>
    <t>Uncharacterized protein C2orf47, mitochondrial</t>
  </si>
  <si>
    <t>Probable tRNA pseudouridine synthase 1</t>
  </si>
  <si>
    <t>Choline transporter-like protein 1</t>
  </si>
  <si>
    <t>Ataxin-2-like protein</t>
  </si>
  <si>
    <t>Reticulon-4-interacting protein 1, mitochondrial</t>
  </si>
  <si>
    <t>Selenoprotein M</t>
  </si>
  <si>
    <t>Insulin-like growth factor-binding protein-like 1</t>
  </si>
  <si>
    <t>Negative elongation factor B</t>
  </si>
  <si>
    <t>Isoform 2 of Splicing regulatory glutamine/lysine-rich protein 1</t>
  </si>
  <si>
    <t>Secretogranin-3</t>
  </si>
  <si>
    <t>Gem-associated protein 6</t>
  </si>
  <si>
    <t>Isoform 4 of ATR-interacting protein</t>
  </si>
  <si>
    <t>Paraspeckle component 1</t>
  </si>
  <si>
    <t>Isoform 6 of MAP kinase-activating death domain protein</t>
  </si>
  <si>
    <t>Nesprin-2</t>
  </si>
  <si>
    <t>Transcriptional repressor p66-beta</t>
  </si>
  <si>
    <t>Dynein heavy chain 7, axonemal</t>
  </si>
  <si>
    <t>DnaJ homolog subfamily C member 9</t>
  </si>
  <si>
    <t>BRI3-binding protein</t>
  </si>
  <si>
    <t>Beta-catenin-like protein 1</t>
  </si>
  <si>
    <t>Protein ELYS</t>
  </si>
  <si>
    <t>Ovarian cancer-associated gene 2 protein</t>
  </si>
  <si>
    <t>Protein LZIC</t>
  </si>
  <si>
    <t>Immunity-related GTPase family Q protein</t>
  </si>
  <si>
    <t>DNA damage-binding protein 2</t>
  </si>
  <si>
    <t>Acid sphingomyelinase-like phosphodiesterase 3b</t>
  </si>
  <si>
    <t>ATP-dependent RNA helicase DDX1</t>
  </si>
  <si>
    <t>Zinc transporter SLC39A7</t>
  </si>
  <si>
    <t>Estradiol 17-beta-dehydrogenase 8</t>
  </si>
  <si>
    <t>Piezo-type mechanosensitive ion channel component 1</t>
  </si>
  <si>
    <t>Protein FAM3C</t>
  </si>
  <si>
    <t>Histone H1x</t>
  </si>
  <si>
    <t>T-complex protein 1 subunit zeta-2</t>
  </si>
  <si>
    <t>Y+L amino acid transporter 2</t>
  </si>
  <si>
    <t>Golgi-specific brefeldin A-resistance guanine nucleotide exchange factor 1</t>
  </si>
  <si>
    <t>RNA polymerase-associated protein RTF1 homolog</t>
  </si>
  <si>
    <t>Transmembrane 9 superfamily member 4</t>
  </si>
  <si>
    <t>DNA topoisomerase 2-binding protein 1</t>
  </si>
  <si>
    <t>Inositol hexakisphosphate kinase 1</t>
  </si>
  <si>
    <t>28S ribosomal protein S27, mitochondrial</t>
  </si>
  <si>
    <t>Wiskott-Aldrich syndrome protein family member 1</t>
  </si>
  <si>
    <t>AP-3 complex subunit sigma-1</t>
  </si>
  <si>
    <t>UBX domain-containing protein 4</t>
  </si>
  <si>
    <t>Isoform 2 of PHD finger protein 3</t>
  </si>
  <si>
    <t>Sodium/hydrogen exchanger 6</t>
  </si>
  <si>
    <t>Mastermind-like protein 1</t>
  </si>
  <si>
    <t>Protein NDRG1</t>
  </si>
  <si>
    <t>Isoform Beta of Heat shock protein 105 kDa</t>
  </si>
  <si>
    <t>Cell differentiation protein RCD1 homolog</t>
  </si>
  <si>
    <t>TBC1 domain family member 5</t>
  </si>
  <si>
    <t>La-related protein 4B</t>
  </si>
  <si>
    <t>Translational activator GCN1</t>
  </si>
  <si>
    <t>Pre-mRNA-splicing factor ATP-dependent RNA helicase PRP16</t>
  </si>
  <si>
    <t>Nuclear pore complex protein Nup205</t>
  </si>
  <si>
    <t>Tetratricopeptide repeat protein 9A</t>
  </si>
  <si>
    <t>Ankyrin repeat and SAM domain-containing protein 1A</t>
  </si>
  <si>
    <t>Protein FAN</t>
  </si>
  <si>
    <t>Isoform 2 of Transcription factor IIIA</t>
  </si>
  <si>
    <t>28S ribosomal protein S31, mitochondrial</t>
  </si>
  <si>
    <t>A-kinase anchor protein 1, mitochondrial</t>
  </si>
  <si>
    <t>Sortilin-related receptor</t>
  </si>
  <si>
    <t>Neurogranin</t>
  </si>
  <si>
    <t>Isoform 2 of 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</si>
  <si>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</si>
  <si>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</si>
  <si>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</si>
  <si>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Isoform 2 of Protein TFG</t>
  </si>
  <si>
    <t>USP6 N-terminal-like protein</t>
  </si>
  <si>
    <t>Actin-related protein 2/3 complex subunit 1A</t>
  </si>
  <si>
    <t>General transcription factor IIH subunit 4</t>
  </si>
  <si>
    <t>Isoform 2 of Signal transducing adapter molecule 1</t>
  </si>
  <si>
    <t>Prospero homeobox protein 1</t>
  </si>
  <si>
    <t>CREB-binding protein</t>
  </si>
  <si>
    <t>Symplekin</t>
  </si>
  <si>
    <t>Isoform Short of TATA-binding protein-associated factor 2N</t>
  </si>
  <si>
    <t>Golgin subfamily A member 1</t>
  </si>
  <si>
    <t>Gamma-glutamyl hydrolase</t>
  </si>
  <si>
    <t>Isoform 3 of Bcl-2-like protein 2</t>
  </si>
  <si>
    <t>Isoform 2 of Kinesin-associated protein 3</t>
  </si>
  <si>
    <t>Semaphorin-4D</t>
  </si>
  <si>
    <t>Kallikrein-6</t>
  </si>
  <si>
    <t>DNA repair protein RAD50</t>
  </si>
  <si>
    <t>Osteoclast-stimulating factor 1</t>
  </si>
  <si>
    <t>Ubiquitin fusion degradation protein 1 homolog</t>
  </si>
  <si>
    <t>Regulator of nonsense transcripts 1</t>
  </si>
  <si>
    <t>Isoform II of Hermansky-Pudlak syndrome 1 protein</t>
  </si>
  <si>
    <t>COP9 signalosome complex subunit 5</t>
  </si>
  <si>
    <t>G patch domain and KOW motifs-containing protein</t>
  </si>
  <si>
    <t>SWI/SNF complex subunit SMARCC1</t>
  </si>
  <si>
    <t>Bcl2 antagonist of cell death</t>
  </si>
  <si>
    <t>Far upstream element-binding protein 2</t>
  </si>
  <si>
    <t>Glutaryl-CoA dehydrogenase, mitochondrial</t>
  </si>
  <si>
    <t>Isoform 2 of GTP-binding protein Rit1</t>
  </si>
  <si>
    <t>Peroxisomal membrane protein PEX13</t>
  </si>
  <si>
    <t>Isoform 2 of Transportin-1</t>
  </si>
  <si>
    <t>Ribosomal RNA small subunit methyltransferase NEP1</t>
  </si>
  <si>
    <t>Glomulin</t>
  </si>
  <si>
    <t>Ubiquitin carboxyl-terminal hydrolase 13</t>
  </si>
  <si>
    <t>Isoform 2 of Probable ubiquitin carboxyl-terminal hydrolase FAF-X</t>
  </si>
  <si>
    <t>Isoform 2 of N-acetyltransferase 6</t>
  </si>
  <si>
    <t>Cullin-5</t>
  </si>
  <si>
    <t>Lipoma-preferred partner</t>
  </si>
  <si>
    <t>Exostosin-2</t>
  </si>
  <si>
    <t>Histone H2A type 1-C</t>
  </si>
  <si>
    <t>Transcription elongation factor A protein-like 3</t>
  </si>
  <si>
    <t>Pre-rRNA-processing protein TSR2 homolog</t>
  </si>
  <si>
    <t>Riboflavin kinase</t>
  </si>
  <si>
    <t>Isoform 2 of Ribonuclease P/MRP protein subunit POP5</t>
  </si>
  <si>
    <t>UPF0556 protein C19orf10</t>
  </si>
  <si>
    <t>Protein MAL2</t>
  </si>
  <si>
    <t>Protein YIPF5</t>
  </si>
  <si>
    <t>Isoform 4 of GPI transamidase component PIG-T</t>
  </si>
  <si>
    <t>Isoform 3 of Immunoglobulin superfamily member 8</t>
  </si>
  <si>
    <t>60S ribosomal protein L36a-like</t>
  </si>
  <si>
    <t>Zinc finger protein 622</t>
  </si>
  <si>
    <t>Isoform 3 of Ribosome-releasing factor 2, mitochondrial</t>
  </si>
  <si>
    <t>Isoform 2 of 7-methylguanosine phosphate-specific 5-nucleotidase</t>
  </si>
  <si>
    <t>Isoform 2 of Nicalin</t>
  </si>
  <si>
    <t>Isoform 2 of Endoplasmic reticulum-Golgi intermediate compartment protein 1</t>
  </si>
  <si>
    <t>Cirhin</t>
  </si>
  <si>
    <t>Isoform 3 of tRNA modification GTPase GTPBP3, mitochondrial</t>
  </si>
  <si>
    <t>Protein TBRG4</t>
  </si>
  <si>
    <t>Uncharacterized protein C11orf52</t>
  </si>
  <si>
    <t>Isoform 2 of GDP-fucose transporter 1</t>
  </si>
  <si>
    <t>Coiled-coil domain-containing protein 47</t>
  </si>
  <si>
    <t>Synapse-associated protein 1</t>
  </si>
  <si>
    <t>Isoform 2 of MARVEL domain-containing protein 3</t>
  </si>
  <si>
    <t>Exocyst complex component 4</t>
  </si>
  <si>
    <t>Putative monooxygenase p33MONOX</t>
  </si>
  <si>
    <t>Isochorismatase domain-containing protein 2, mitochondrial</t>
  </si>
  <si>
    <t>Protein N-terminal asparagine amidohydrolase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</si>
  <si>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</si>
  <si>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</si>
  <si>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</si>
  <si>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</si>
  <si>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Mitochondrial calcium uniporter regulator 1</t>
  </si>
  <si>
    <t>Uncharacterized protein KIAA1143</t>
  </si>
  <si>
    <t>Ribulose-phosphate 3-epimerase</t>
  </si>
  <si>
    <t>Peptidyl-prolyl cis-trans isomerase FKBP10</t>
  </si>
  <si>
    <t>Interferon-stimulated gene 20 kDa protein</t>
  </si>
  <si>
    <t>Isoform 2 of RAD51-associated protein 1</t>
  </si>
  <si>
    <t>Transmembrane protein 45B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</si>
  <si>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</si>
  <si>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</si>
  <si>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</si>
  <si>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</si>
  <si>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</si>
  <si>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Leukocyte receptor cluster member 9</t>
  </si>
  <si>
    <t>SH3 domain-containing kinase-binding protein 1</t>
  </si>
  <si>
    <t>Axin interactor, dorsalization-associated protein</t>
  </si>
  <si>
    <t>PIN2/TERF1-interacting telomerase inhibitor 1</t>
  </si>
  <si>
    <t>ADP-ribosylation factor-like protein 8A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</si>
  <si>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</si>
  <si>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</si>
  <si>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</si>
  <si>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</si>
  <si>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Uracil phosphoribosyltransferase homolog</t>
  </si>
  <si>
    <t>Isoform 2 of Phosphotriesterase-related protein</t>
  </si>
  <si>
    <t>Autophagy-related protein 2 homolog B</t>
  </si>
  <si>
    <t>Leukocyte receptor cluster member 1</t>
  </si>
  <si>
    <t>TBC1 domain family member 20</t>
  </si>
  <si>
    <t>Protein FAM136A</t>
  </si>
  <si>
    <t>EF-hand domain-containing protein D2</t>
  </si>
  <si>
    <t>Aldose 1-epimerase</t>
  </si>
  <si>
    <t>Isoform 2 of RUN domain-containing protein 1</t>
  </si>
  <si>
    <t>Pyrroline-5-carboxylate reductase 2</t>
  </si>
  <si>
    <t>Uncharacterized protein C12orf43</t>
  </si>
  <si>
    <t>m7GpppX diphosphatase</t>
  </si>
  <si>
    <t>Protein phosphatase 1 regulatory subunit 14B</t>
  </si>
  <si>
    <t>5-methylcytosine rRNA methyltransferase NSUN4</t>
  </si>
  <si>
    <t>F-box/LRR-repeat protein 8</t>
  </si>
  <si>
    <t>Phosphopantothenoylcysteine decarboxylase</t>
  </si>
  <si>
    <t>Charged multivesicular body protein 4c</t>
  </si>
  <si>
    <t>Collagen triple helix repeat-containing protein 1</t>
  </si>
  <si>
    <t>Isochorismatase domain-containing protein 1</t>
  </si>
  <si>
    <t>GRIP and coiled-coil domain-containing protein 1</t>
  </si>
  <si>
    <t>FLYWCH family member 2</t>
  </si>
  <si>
    <t>HAUS augmin-like complex subunit 1</t>
  </si>
  <si>
    <t>FAS-associated factor 2</t>
  </si>
  <si>
    <t>Coiled-coil domain-containing protein 124</t>
  </si>
  <si>
    <t>FAD-dependent oxidoreductase domain-containing protein 1</t>
  </si>
  <si>
    <t>Isoform 3 of Optineurin</t>
  </si>
  <si>
    <t>Isoform 2 of AP-2 complex subunit mu</t>
  </si>
  <si>
    <t>Gamma-tubulin complex component 3</t>
  </si>
  <si>
    <t>Probable RNA polymerase II nuclear localization protein SLC7A6OS</t>
  </si>
  <si>
    <t>BTB/POZ domain-containing protein KCTD12</t>
  </si>
  <si>
    <t>Isoform beta of Calcium release-activated calcium channel protein 1</t>
  </si>
  <si>
    <t>Isoform 2 of Uncharacterized aarF domain-containing protein kinase 4</t>
  </si>
  <si>
    <t>Isoform 3 of RalBP1-associated Eps domain-containing protein 1</t>
  </si>
  <si>
    <t>Mitochondrial import inner membrane translocase subunit TIM14</t>
  </si>
  <si>
    <t>Regulator of microtubule dynamics protein 1</t>
  </si>
  <si>
    <t>Protein shisa-4</t>
  </si>
  <si>
    <t>U8 snoRNA-decapping enzyme</t>
  </si>
  <si>
    <t>Protein DGCR14</t>
  </si>
  <si>
    <t>Carboxymethylenebutenolidase homolog</t>
  </si>
  <si>
    <t>U5 small nuclear ribonucleoprotein 40 kDa protein</t>
  </si>
  <si>
    <t>StAR-related lipid transfer protein 4</t>
  </si>
  <si>
    <t>39S ribosomal protein L38, mitochondrial</t>
  </si>
  <si>
    <t>RING finger and SPRY domain-containing protein 1</t>
  </si>
  <si>
    <t>Isoform 2 of Ankyrin repeat and SOCS box protein 9</t>
  </si>
  <si>
    <t>Tripartite motif-containing protein 44</t>
  </si>
  <si>
    <t>Endoplasmic reticulum lectin 1</t>
  </si>
  <si>
    <t>Protein FAM122A</t>
  </si>
  <si>
    <t>Isoform 3 of Ribosome-recycling factor, mitochondrial</t>
  </si>
  <si>
    <t>RecQ-mediated genome instability protein 2</t>
  </si>
  <si>
    <t>Nogo-B receptor</t>
  </si>
  <si>
    <t>Metalloendopeptidase OMA1, mitochondrial</t>
  </si>
  <si>
    <t>Protein Spindly</t>
  </si>
  <si>
    <t>Elongator complex protein 4</t>
  </si>
  <si>
    <t>NAD-dependent protein deacetylase sirtuin-1</t>
  </si>
  <si>
    <t>Protein YIPF6</t>
  </si>
  <si>
    <t>Isoform B of Nucleoporin SEH1</t>
  </si>
  <si>
    <t>Zinc fingers and homeoboxes protein 1, isoform 2</t>
  </si>
  <si>
    <t>Mitochondrial assembly of ribosomal large subunit protein 1</t>
  </si>
  <si>
    <t>Transcription elongation factor A protein-like 4</t>
  </si>
  <si>
    <t>KIF1-binding protein</t>
  </si>
  <si>
    <t>Glucosamine 6-phosphate N-acetyltransferase</t>
  </si>
  <si>
    <t>39S ribosomal protein L53, mitochondrial</t>
  </si>
  <si>
    <t>E3 ubiquitin-protein ligase RNF31</t>
  </si>
  <si>
    <t>Isoform 2 of DAZ-associated protein 1</t>
  </si>
  <si>
    <t>Small glutamine-rich tetratricopeptide repeat-containing protein beta</t>
  </si>
  <si>
    <t>Coiled-coil domain-containing protein 51</t>
  </si>
  <si>
    <t>SAGA-associated factor 29 homolog</t>
  </si>
  <si>
    <t>Isoform 2 of Ribosomal RNA processing protein 36 homolog</t>
  </si>
  <si>
    <t>C1GALT1-specific chaperone 1</t>
  </si>
  <si>
    <t>RNA-binding protein 33</t>
  </si>
  <si>
    <t>Dysbindin</t>
  </si>
  <si>
    <t>HSPB1-associated protein 1</t>
  </si>
  <si>
    <t>Small integral membrane protein 12</t>
  </si>
  <si>
    <t>WD repeat-containing protein 34</t>
  </si>
  <si>
    <t>DnaJ homolog subfamily A member 3, mitochondrial</t>
  </si>
  <si>
    <t>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</si>
  <si>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</si>
  <si>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</si>
  <si>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</si>
  <si>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Isoform 2 of Nuclear receptor-binding factor 2</t>
  </si>
  <si>
    <t>UDP-N-acetylglucosamine transferase subunit ALG14 homolog</t>
  </si>
  <si>
    <t>Zinc finger protein 503</t>
  </si>
  <si>
    <t>Coiled-coil domain-containing protein 97</t>
  </si>
  <si>
    <t>Enhancer of mRNA-decapping protein 3</t>
  </si>
  <si>
    <t>E3 ubiquitin-protein ligase pellino homolog 1</t>
  </si>
  <si>
    <t>Isoform 4 of Probable ATP-dependent RNA helicase DDX11</t>
  </si>
  <si>
    <t>Isoform 2 of Leucine-rich repeat and immunoglobulin-like domain-containing nogo receptor-interacting protein 1</t>
  </si>
  <si>
    <t>Uncharacterized protein LOC113230</t>
  </si>
  <si>
    <t>Protein MEF2BNB</t>
  </si>
  <si>
    <t>WD repeat-containing protein 89</t>
  </si>
  <si>
    <t>Protein S100-A16</t>
  </si>
  <si>
    <t>THO complex subunit 1</t>
  </si>
  <si>
    <t>DPH3 homolog</t>
  </si>
  <si>
    <t>tRNA (adenine(58)-N(1))-methyltransferase catalytic subunit TRMT61A</t>
  </si>
  <si>
    <t>UPF0361 protein C3orf37</t>
  </si>
  <si>
    <t>Charged multivesicular body protein 6</t>
  </si>
  <si>
    <t>Phosphoglucomutase-2</t>
  </si>
  <si>
    <t>Protein FAM86A</t>
  </si>
  <si>
    <t>Mediator of RNA polymerase II transcription subunit 8</t>
  </si>
  <si>
    <t>Coiled-coil domain-containing protein 104</t>
  </si>
  <si>
    <t>tRNA-dihydrouridine(47) synthase [NAD(P)(+)]-like</t>
  </si>
  <si>
    <t>Isoform 3 of OTU domain-containing protein 5</t>
  </si>
  <si>
    <t>Protein LTV1 homolog</t>
  </si>
  <si>
    <t>Serine dehydratase-like</t>
  </si>
  <si>
    <t>Pyridoxal phosphate phosphatase</t>
  </si>
  <si>
    <t>E3 ubiquitin-protein ligase RNF185</t>
  </si>
  <si>
    <t>DCN1-like protein 1</t>
  </si>
  <si>
    <t>Fumarylacetoacetate hydrolase domain-containing protein 2A</t>
  </si>
  <si>
    <t>Target of EGR1 protein 1</t>
  </si>
  <si>
    <t>Probable ATP-dependent RNA helicase DDX27</t>
  </si>
  <si>
    <t>Uncharacterized protein C17orf59</t>
  </si>
  <si>
    <t>UNC119-binding protein C5orf30</t>
  </si>
  <si>
    <t>Methionine--tRNA ligase, mitochondrial</t>
  </si>
  <si>
    <t>Putative ataxin-7-like protein 3B</t>
  </si>
  <si>
    <t>Isoform 2 of Serine/threonine-protein kinase greatwall</t>
  </si>
  <si>
    <t>Isoform 2 of Methylthioribulose-1-phosphate dehydratase</t>
  </si>
  <si>
    <t>Zinc finger C2HC domain-containing protein 1A</t>
  </si>
  <si>
    <t>Vacuolar-sorting protein SNF8</t>
  </si>
  <si>
    <t>Zinc finger CCCH-type antiviral protein 1-like</t>
  </si>
  <si>
    <t>PDZ and LIM domain protein 5</t>
  </si>
  <si>
    <t>Cysteine-rich with EGF-like domain protein 1</t>
  </si>
  <si>
    <t>ERO1-like protein alpha</t>
  </si>
  <si>
    <t>UPF0562 protein C7orf55</t>
  </si>
  <si>
    <t>Isoform 2 of UPF0562 protein C7orf55</t>
  </si>
  <si>
    <t>Isoform 2 of SH3 domain-containing YSC84-like protein 1</t>
  </si>
  <si>
    <t>Isoform 2 of Putative adenosylhomocysteinase 3</t>
  </si>
  <si>
    <t>Isoform 2 of CDKN2AIP N-terminal-like protein</t>
  </si>
  <si>
    <t>Isoform 2 of H/ACA ribonucleoprotein complex non-core subunit NAF1</t>
  </si>
  <si>
    <t>Serine/threonine-protein phosphatase PGAM5, mitochondrial</t>
  </si>
  <si>
    <t>Integrator complex subunit 4</t>
  </si>
  <si>
    <t>DDRGK domain-containing protein 1</t>
  </si>
  <si>
    <t>Probable 2-oxoglutarate dehydrogenase E1 component DHKTD1, mitochondrial</t>
  </si>
  <si>
    <t>Selenocysteine lyase</t>
  </si>
  <si>
    <t>Far upstream element-binding protein 3</t>
  </si>
  <si>
    <t>Splicing factor 45</t>
  </si>
  <si>
    <t>Cytochrome c oxidase assembly protein COX14</t>
  </si>
  <si>
    <t>Williams-Beuren syndrome chromosomal region 16 protein</t>
  </si>
  <si>
    <t>Probable asparagine--tRNA ligase, mitochondrial</t>
  </si>
  <si>
    <t>Succinyl-CoA ligase [GDP-forming] subunit beta, mitochondrial</t>
  </si>
  <si>
    <t>Mannose-1-phosphate guanyltransferase alpha</t>
  </si>
  <si>
    <t>Biorientation of chromosomes in cell division protein 1</t>
  </si>
  <si>
    <t>Zinc finger protein 414</t>
  </si>
  <si>
    <t>Zinc finger protein 845</t>
  </si>
  <si>
    <t>4-hydroxyphenylpyruvate dioxygenase-like protein</t>
  </si>
  <si>
    <t>Alpha/beta hydrolase domain-containing protein 14B</t>
  </si>
  <si>
    <t>Isoform 2 of Peptide-N(4)-(N-acetyl-beta-glucosaminyl)asparagine amidase</t>
  </si>
  <si>
    <t>Up-regulated during skeletal muscle growth protein 5</t>
  </si>
  <si>
    <t>Kinetochore-associated protein NSL1 homolog</t>
  </si>
  <si>
    <t>PRKC apoptosis WT1 regulator protein</t>
  </si>
  <si>
    <t>Isoform 2 of Serine/Arginine-related protein 53</t>
  </si>
  <si>
    <t>THO complex subunit 3</t>
  </si>
  <si>
    <t>Isoform 2 of E3 ubiquitin-protein ligase Itchy homolog</t>
  </si>
  <si>
    <t>Isoform 3 of Serine/threonine-protein kinase WNK4</t>
  </si>
  <si>
    <t>Leucine-rich repeats and immunoglobulin-like domains protein 1</t>
  </si>
  <si>
    <t>Conserved oligomeric Golgi complex subunit 3</t>
  </si>
  <si>
    <t>CDK5 regulatory subunit-associated protein 3</t>
  </si>
  <si>
    <t>Isoform 2 of Vam6/Vps39-like protein</t>
  </si>
  <si>
    <t>ELL-associated factor 1</t>
  </si>
  <si>
    <t>Isoform 3 of Coiled-coil domain-containing protein 132</t>
  </si>
  <si>
    <t>Deubiquitinating protein VCIP135</t>
  </si>
  <si>
    <t>Protein disulfide-isomerase TMX3</t>
  </si>
  <si>
    <t>Mastermind-like protein 3</t>
  </si>
  <si>
    <t>Chromosome alignment-maintaining phosphoprotein 1</t>
  </si>
  <si>
    <t>Isoform 2 of Lethal(3)malignant brain tumor-like protein 3</t>
  </si>
  <si>
    <t>E3 ubiquitin-protein ligase ZFP91</t>
  </si>
  <si>
    <t>Isoform 2 of Transcription factor BTF3 homolog 4</t>
  </si>
  <si>
    <t>Isoform 2 of E3 ubiquitin-protein ligase RNF170</t>
  </si>
  <si>
    <t>Zinc finger CCCH domain-containing protein 10</t>
  </si>
  <si>
    <t>Isoform 2 of Cleft lip and palate transmembrane protein 1-like protein</t>
  </si>
  <si>
    <t>Lymphokine-activated killer T-cell-originated protein kinase</t>
  </si>
  <si>
    <t>DnaJ homolog subfamily C member 1</t>
  </si>
  <si>
    <t>Protein FAM84B</t>
  </si>
  <si>
    <t>Exocyst complex component 2</t>
  </si>
  <si>
    <t>Cytosolic non-specific dipeptidase</t>
  </si>
  <si>
    <t>Zinc finger RNA-binding protein</t>
  </si>
  <si>
    <t>Beta-1,3-galactosyltransferase 6</t>
  </si>
  <si>
    <t>Isoform 4 of E1A-binding protein p400</t>
  </si>
  <si>
    <t>Sorting nexin-27</t>
  </si>
  <si>
    <t>Isoform 5 of Kinesin-like protein KIF16B</t>
  </si>
  <si>
    <t>Alpha-protein kinase 3</t>
  </si>
  <si>
    <t>Protein arginine N-methyltransferase 6</t>
  </si>
  <si>
    <t>Intraflagellar transport protein 74 homolog</t>
  </si>
  <si>
    <t>Tripartite motif-containing protein 47</t>
  </si>
  <si>
    <t>Sentrin-specific protease 8</t>
  </si>
  <si>
    <t>Dehydrogenase/reductase SDR family member 1</t>
  </si>
  <si>
    <t>Ubiquitin-conjugating enzyme E2 E2</t>
  </si>
  <si>
    <t>Isoform 2 of Cyclic nucleotide-binding domain-containing protein 2</t>
  </si>
  <si>
    <t>Protein PRRC1</t>
  </si>
  <si>
    <t>Isoform 4 of F-box/LRR-repeat protein 18</t>
  </si>
  <si>
    <t>Junctional sarcoplasmic reticulum protein 1</t>
  </si>
  <si>
    <t>Melanoma-associated antigen G1</t>
  </si>
  <si>
    <t>Protein HEXIM2</t>
  </si>
  <si>
    <t>Transmembrane protein 68</t>
  </si>
  <si>
    <t>WD repeat-containing protein 92</t>
  </si>
  <si>
    <t>Isoform 2 of AP-4 complex accessory subunit tepsin</t>
  </si>
  <si>
    <t>Isoform 2 of Lysophospholipid acyltransferase 7</t>
  </si>
  <si>
    <t>Isoform 4 of Dedicator of cytokinesis protein 7</t>
  </si>
  <si>
    <t>Sideroflexin-2</t>
  </si>
  <si>
    <t>Zinc finger protein 830</t>
  </si>
  <si>
    <t>Zinc finger matrin-type protein 2</t>
  </si>
  <si>
    <t>Nucleosome assembly protein 1-like 5</t>
  </si>
  <si>
    <t>Probable imidazolonepropionase</t>
  </si>
  <si>
    <t>Isoform A of Chloride intracellular channel protein 6</t>
  </si>
  <si>
    <t>Isoform 2 of Putative methyltransferase NSUN5</t>
  </si>
  <si>
    <t>Regulation of nuclear pre-mRNA domain-containing protein 1A</t>
  </si>
  <si>
    <t>Isoform 3 of Arf-GAP with Rho-GAP domain, ANK repeat and PH domain-containing protein 1</t>
  </si>
  <si>
    <t>Importin-9</t>
  </si>
  <si>
    <t>Discoidin, CUB and LCCL domain-containing protein 2</t>
  </si>
  <si>
    <t>Rho guanine nucleotide exchange factor 17</t>
  </si>
  <si>
    <t>Methylmalonyl-CoA epimerase, mitochondrial</t>
  </si>
  <si>
    <t>RNA-binding protein 14</t>
  </si>
  <si>
    <t>RING finger and CHY zinc finger domain-containing protein 1</t>
  </si>
  <si>
    <t>Formin-like protein 2</t>
  </si>
  <si>
    <t>Pseudouridylate synthase 7 homolog</t>
  </si>
  <si>
    <t>Isoform 2 of CCA tRNA nucleotidyltransferase 1, mitochondrial</t>
  </si>
  <si>
    <t>Alpha-ketoglutarate-dependent dioxygenase alkB homolog 3</t>
  </si>
  <si>
    <t>Serine/threonine-protein phosphatase 1 regulatory subunit 10</t>
  </si>
  <si>
    <t>MHC class I polypeptide-related sequence A</t>
  </si>
  <si>
    <t>Sodium-coupled neutral amino acid transporter 2</t>
  </si>
  <si>
    <t>Proton myo-inositol cotransporter</t>
  </si>
  <si>
    <t>Transcription elongation factor, mitochondrial</t>
  </si>
  <si>
    <t>Isoform 1 of Rab-3A-interacting protein</t>
  </si>
  <si>
    <t>Vacuolar protein sorting-associated protein 35</t>
  </si>
  <si>
    <t>Transcriptional activator protein Pur-beta</t>
  </si>
  <si>
    <t>Exportin-6</t>
  </si>
  <si>
    <t>Isoform 6 of Membrane-associated guanylate kinase, WW and PDZ domain-containing protein 1</t>
  </si>
  <si>
    <t>Sperm-associated antigen 5</t>
  </si>
  <si>
    <t>Isoform 2 of Pannexin-1</t>
  </si>
  <si>
    <t>Nucleus accumbens-associated protein 1</t>
  </si>
  <si>
    <t>Isoform 4 of Vacuolar protein sorting-associated protein 13A</t>
  </si>
  <si>
    <t>Isoform 3 of Mediator of RNA polymerase II transcription subunit 15</t>
  </si>
  <si>
    <t>Elongation factor G, mitochondrial</t>
  </si>
  <si>
    <t>Isoform 2 of Elongation factor G, mitochondrial</t>
  </si>
  <si>
    <t>Endoplasmic reticulum-Golgi intermediate compartment protein 2</t>
  </si>
  <si>
    <t>Twinkle protein, mitochondrial</t>
  </si>
  <si>
    <t>Isoform 2 of Calcium/calmodulin-dependent protein kinase kinase 2</t>
  </si>
  <si>
    <t>Trimethylguanosine synthase</t>
  </si>
  <si>
    <t>NudC domain-containing protein 1</t>
  </si>
  <si>
    <t>Isoform 4 of Protein LAP2</t>
  </si>
  <si>
    <t>JmjC domain-containing protein 8</t>
  </si>
  <si>
    <t>UPF0585 protein C16orf13</t>
  </si>
  <si>
    <t>TP53-regulating kinase</t>
  </si>
  <si>
    <t>GPI transamidase component PIG-S</t>
  </si>
  <si>
    <t>Isoform 2 of ATPase WRNIP1</t>
  </si>
  <si>
    <t>Ran-binding protein 9</t>
  </si>
  <si>
    <t>Chloride channel CLIC-like protein 1</t>
  </si>
  <si>
    <t>Ubiquitin-like protein 7</t>
  </si>
  <si>
    <t>LysM and putative peptidoglycan-binding domain-containing protein 1</t>
  </si>
  <si>
    <t>Cyclin-L2</t>
  </si>
  <si>
    <t>Pleckstrin homology domain-containing family F member 1</t>
  </si>
  <si>
    <t>SRSF protein kinase 1</t>
  </si>
  <si>
    <t>Structural maintenance of chromosomes protein 6</t>
  </si>
  <si>
    <t>Transcription factor AP-2 alpha (Activating enhancer binding protein 2 alpha), isoform CRA_c</t>
  </si>
  <si>
    <t>BTB/POZ domain-containing protein KCTD15</t>
  </si>
  <si>
    <t>Isoform 2 of Transmembrane protein 209</t>
  </si>
  <si>
    <t>Protein IWS1 homolog</t>
  </si>
  <si>
    <t>Paired amphipathic helix protein Sin3a</t>
  </si>
  <si>
    <t>2-aminoethanethiol dioxygenase</t>
  </si>
  <si>
    <t>Isoform 3 of CDK5 regulatory subunit-associated protein 1</t>
  </si>
  <si>
    <t>MAP7 domain-containing protein 2</t>
  </si>
  <si>
    <t>Isoform 2 of Selenocysteine insertion sequence-binding protein 2</t>
  </si>
  <si>
    <t>Isoform 2 of Remodeling and spacing factor 1</t>
  </si>
  <si>
    <t>Zinc finger protein ZIC 5</t>
  </si>
  <si>
    <t>Isoform 2 of Putative RNA-binding protein 15</t>
  </si>
  <si>
    <t>RUN and FYVE domain-containing protein 1</t>
  </si>
  <si>
    <t>Msx2-interacting protein</t>
  </si>
  <si>
    <t>Bifunctional polynucleotide phosphatase/kinase</t>
  </si>
  <si>
    <t>Nicotinamide mononucleotide adenylyltransferase 3</t>
  </si>
  <si>
    <t>MMS19 nucleotide excision repair protein homolog</t>
  </si>
  <si>
    <t>E3 ubiquitin-protein ligase UHRF1</t>
  </si>
  <si>
    <t>Isoform 2 of Niban-like protein 1</t>
  </si>
  <si>
    <t>Isoform 3 of ATP-dependent zinc metalloprotease YME1L1</t>
  </si>
  <si>
    <t>Regulator of microtubule dynamics protein 3</t>
  </si>
  <si>
    <t>Transcription factor 12</t>
  </si>
  <si>
    <t>C-Myc-binding protein</t>
  </si>
  <si>
    <t>Tubulin-folding cofactor B</t>
  </si>
  <si>
    <t>Proteasome subunit beta type-7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</si>
  <si>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</si>
  <si>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</si>
  <si>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</si>
  <si>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</si>
  <si>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</si>
  <si>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</si>
  <si>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Isoform DDO-2 of D-aspartate oxidase</t>
  </si>
  <si>
    <t>E3 ubiquitin-protein ligase RING2</t>
  </si>
  <si>
    <t>Protein DJ-1</t>
  </si>
  <si>
    <t>Sialidase-1</t>
  </si>
  <si>
    <t>Sortilin</t>
  </si>
  <si>
    <t>Synaptic vesicle membrane protein VAT-1 homolog</t>
  </si>
  <si>
    <t>Legumain</t>
  </si>
  <si>
    <t>Perilipin-2</t>
  </si>
  <si>
    <t>DnaJ homolog subfamily C member 2</t>
  </si>
  <si>
    <t>M-phase phosphoprotein 8</t>
  </si>
  <si>
    <t>Nuclear pore complex protein Nup88</t>
  </si>
  <si>
    <t>Phosphoinositide 3-kinase regulatory subunit 4</t>
  </si>
  <si>
    <t>Neuroserpin</t>
  </si>
  <si>
    <t>Ribonucleases P/MRP protein subunit POP1</t>
  </si>
  <si>
    <t>Max-binding protein MNT</t>
  </si>
  <si>
    <t>Protein S100-A13</t>
  </si>
  <si>
    <t>Zinc finger and BTB domain-containing protein 18</t>
  </si>
  <si>
    <t>Mitochondrial import inner membrane translocase subunit Tim17-A</t>
  </si>
  <si>
    <t>Translin-associated protein X</t>
  </si>
  <si>
    <t>Selenide, water dikinase 2</t>
  </si>
  <si>
    <t>Tetratricopeptide repeat protein 1</t>
  </si>
  <si>
    <t>DnaJ homolog subfamily C member 7</t>
  </si>
  <si>
    <t>Cell division cycle-associated protein 3</t>
  </si>
  <si>
    <t>Protein C10</t>
  </si>
  <si>
    <t>Prohibitin-2</t>
  </si>
  <si>
    <t>COP9 signalosome complex subunit 8</t>
  </si>
  <si>
    <t>Pre-mRNA-splicing factor 18</t>
  </si>
  <si>
    <t>Cell cycle checkpoint control protein RAD9A</t>
  </si>
  <si>
    <t>Calcineurin B homologous protein 1</t>
  </si>
  <si>
    <t>Kinesin-like protein KIF2C</t>
  </si>
  <si>
    <t>Cell growth regulator with EF hand domain protein 1</t>
  </si>
  <si>
    <t>Isoform 4 of Ataxin-2</t>
  </si>
  <si>
    <t>Docking protein 1</t>
  </si>
  <si>
    <t>Methionine synthase</t>
  </si>
  <si>
    <t>3-hydroxyacyl-CoA dehydrogenase type-2</t>
  </si>
  <si>
    <t>Sigma non-opioid intracellular receptor 1</t>
  </si>
  <si>
    <t>Isoform 3 of Heterogeneous nuclear ribonucleoprotein A/B</t>
  </si>
  <si>
    <t>Nucleosome assembly protein 1-like 4</t>
  </si>
  <si>
    <t>Isoform 2 of Microsomal glutathione S-transferase 2</t>
  </si>
  <si>
    <t>Gamma-soluble NSF attachment protein</t>
  </si>
  <si>
    <t>Thioredoxin, mitochondrial</t>
  </si>
  <si>
    <t>ATP synthase subunit s, mitochondrial</t>
  </si>
  <si>
    <t>Mitochondrial intermediate peptidase</t>
  </si>
  <si>
    <t>Transmembrane 9 superfamily member 2</t>
  </si>
  <si>
    <t>Equilibrative nucleoside transporter 1</t>
  </si>
  <si>
    <t>Tumor susceptibility gene 101 protein</t>
  </si>
  <si>
    <t>Calcium and integrin-binding protein 1</t>
  </si>
  <si>
    <t>Copine-1</t>
  </si>
  <si>
    <t>T-complex protein 1 subunit eta</t>
  </si>
  <si>
    <t>Histone H2A type 1-J</t>
  </si>
  <si>
    <t>Isoform 1 of Plakophilin-2</t>
  </si>
  <si>
    <t>Endophilin-A2</t>
  </si>
  <si>
    <t>Serine/threonine-protein kinase VRK1</t>
  </si>
  <si>
    <t>Growth/differentiation factor 15</t>
  </si>
  <si>
    <t>Isoform 5 of A-kinase anchor protein 9</t>
  </si>
  <si>
    <t>Protein NipSnap homolog 1</t>
  </si>
  <si>
    <t>Condensin complex subunit 3</t>
  </si>
  <si>
    <t>Actin-related protein 2/3 complex subunit 5-like protein</t>
  </si>
  <si>
    <t>BTB/POZ domain-containing protein KCTD14</t>
  </si>
  <si>
    <t>Zinc finger FYVE domain-containing protein 21</t>
  </si>
  <si>
    <t>ATP-dependent RNA helicase DDX50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</si>
  <si>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</si>
  <si>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</si>
  <si>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</si>
  <si>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</si>
  <si>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Transcription factor 25</t>
  </si>
  <si>
    <t>Kelch domain-containing protein 3</t>
  </si>
  <si>
    <t>Evolutionarily conserved signaling intermediate in Toll pathway, mitochondrial</t>
  </si>
  <si>
    <t>Methylosome protein 50</t>
  </si>
  <si>
    <t>Diphthamide biosynthesis protein 2</t>
  </si>
  <si>
    <t>Myb-binding protein 1A</t>
  </si>
  <si>
    <t>Peroxisomal NADH pyrophosphatase NUDT12</t>
  </si>
  <si>
    <t>PH and SEC7 domain-containing protein 2</t>
  </si>
  <si>
    <t>Fermitin family homolog 1</t>
  </si>
  <si>
    <t>Mitochondrial genome maintenance exonuclease 1</t>
  </si>
  <si>
    <t>Golgi reassembly-stacking protein 1</t>
  </si>
  <si>
    <t>FYVE and coiled-coil domain-containing protein 1</t>
  </si>
  <si>
    <t>Isoform 2 of Mitochondrial 2-oxodicarboxylate carrier</t>
  </si>
  <si>
    <t>Calsyntenin-3</t>
  </si>
  <si>
    <t>Acyl-CoA-binding domain-containing protein 6</t>
  </si>
  <si>
    <t>Coronin-1B</t>
  </si>
  <si>
    <t>Isoform 2 of LSM domain-containing protein 1</t>
  </si>
  <si>
    <t>Thioredoxin domain-containing protein 17</t>
  </si>
  <si>
    <t>BUD13 homolog</t>
  </si>
  <si>
    <t>Calcineurin-like phosphoesterase domain-containing protein 1</t>
  </si>
  <si>
    <t>Vacuolar protein-sorting-associated protein 25</t>
  </si>
  <si>
    <t>39S ribosomal protein L45, mitochondrial</t>
  </si>
  <si>
    <t>45 kDa calcium-binding protein</t>
  </si>
  <si>
    <t>Isoform 2 of Serine/arginine-rich splicing factor 8</t>
  </si>
  <si>
    <t>Programmed cell death protein 2-like</t>
  </si>
  <si>
    <t>Proteasomal ATPase-associated factor 1</t>
  </si>
  <si>
    <t>Isoform 2 of Partner of Y14 and mago</t>
  </si>
  <si>
    <t>Apoptosis-inducing factor 2</t>
  </si>
  <si>
    <t>Isoform 2 of Zinc finger protein with KRAB and SCAN domains 3</t>
  </si>
  <si>
    <t>Isoform 2 of ADP-dependent glucokinase</t>
  </si>
  <si>
    <t>Serine/threonine-protein kinase RIO1</t>
  </si>
  <si>
    <t>Mitochondrial nucleoid factor 1</t>
  </si>
  <si>
    <t>Migration and invasion enhancer 1</t>
  </si>
  <si>
    <t>Isoform 3 of COBW domain-containing protein 1</t>
  </si>
  <si>
    <t>DNA replication complex GINS protein SLD5</t>
  </si>
  <si>
    <t>Suppressor of IKBKE 1</t>
  </si>
  <si>
    <t>Protein pelota homolog</t>
  </si>
  <si>
    <t>DNA replication complex GINS protein PSF3</t>
  </si>
  <si>
    <t>Isoform 2 of Redox-regulatory protein FAM213A</t>
  </si>
  <si>
    <t>E3 ubiquitin-protein ligase TRIM56</t>
  </si>
  <si>
    <t>Anaphase-promoting complex subunit 13</t>
  </si>
  <si>
    <t>Endoplasmic reticulum resident protein 44</t>
  </si>
  <si>
    <t>Autophagy-related protein 101</t>
  </si>
  <si>
    <t>Cancer-related nucleoside-triphosphatase</t>
  </si>
  <si>
    <t>Agmatinase, mitochondrial</t>
  </si>
  <si>
    <t>Uncharacterized protein C19orf52</t>
  </si>
  <si>
    <t>Translational activator of cytochrome c oxidase 1</t>
  </si>
  <si>
    <t>Haloacid dehalogenase-like hydrolase domain-containing protein 3</t>
  </si>
  <si>
    <t>Gamma-tubulin complex component 2</t>
  </si>
  <si>
    <t>Isoform 3 of Uncharacterized protein C17orf80</t>
  </si>
  <si>
    <t>Protein FAM64A</t>
  </si>
  <si>
    <t>Extended synaptotagmin-1</t>
  </si>
  <si>
    <t>Solute carrier family 25 member 33</t>
  </si>
  <si>
    <t>Ubiquitin-associated domain-containing protein 1</t>
  </si>
  <si>
    <t>Protein YIPF4</t>
  </si>
  <si>
    <t>Rhotekin</t>
  </si>
  <si>
    <t>UPF0183 protein C16orf70</t>
  </si>
  <si>
    <t>tRNA-splicing endonuclease subunit Sen34</t>
  </si>
  <si>
    <t>Coiled-coil-helix-coiled-coil-helix domain-containing protein 5</t>
  </si>
  <si>
    <t>Protein canopy homolog 3</t>
  </si>
  <si>
    <t>Mitochondrial GTPase 1</t>
  </si>
  <si>
    <t>Chitobiosyldiphosphodolichol beta-mannosyltransferase</t>
  </si>
  <si>
    <t>LIM domain-containing protein 2</t>
  </si>
  <si>
    <t>Alpha-ketoglutarate-dependent dioxygenase alkB homolog 7</t>
  </si>
  <si>
    <t>Proteasome assembly chaperone 3</t>
  </si>
  <si>
    <t>COP9 signalosome complex subunit 4</t>
  </si>
  <si>
    <t>WW domain-containing adapter protein with coiled-coil</t>
  </si>
  <si>
    <t>Death-inducer obliterator 1</t>
  </si>
  <si>
    <t>Isoform 2 of Mini-chromosome maintenance complex-binding protein</t>
  </si>
  <si>
    <t>Alanyl-tRNA editing protein Aarsd1</t>
  </si>
  <si>
    <t>DCN1-like protein 5</t>
  </si>
  <si>
    <t>Isoform 2 of THUMP domain-containing protein 2</t>
  </si>
  <si>
    <t>RNMT-activating mini protein</t>
  </si>
  <si>
    <t>Acidic leucine-rich nuclear phosphoprotein 32 family member E</t>
  </si>
  <si>
    <t>Leucine-rich repeat-containing protein 1</t>
  </si>
  <si>
    <t>Phosphatidylinositol 4-kinase type 2-alpha</t>
  </si>
  <si>
    <t>Transmembrane protein 43</t>
  </si>
  <si>
    <t>WD repeat-containing protein 85</t>
  </si>
  <si>
    <t>Alpha-tocopherol transfer protein-like</t>
  </si>
  <si>
    <t>Plasma alpha-L-fucosidase</t>
  </si>
  <si>
    <t>Protein FAM203A</t>
  </si>
  <si>
    <t>Dehydrogenase/reductase SDR family member 4</t>
  </si>
  <si>
    <t>Thiamine-triphosphatase</t>
  </si>
  <si>
    <t>Isoform 3 of Lipase maturation factor 2</t>
  </si>
  <si>
    <t>NADH dehydrogenase [ubiquinone] 1 alpha subcomplex assembly factor 3</t>
  </si>
  <si>
    <t>Isoform 4 of Multiple myeloma tumor-associated protein 2</t>
  </si>
  <si>
    <t>Deoxyhypusine hydroxylase</t>
  </si>
  <si>
    <t>Uncharacterized protein C11orf84</t>
  </si>
  <si>
    <t>Isoform 2 of Transmembrane protein 70, mitochondrial</t>
  </si>
  <si>
    <t>Iron-sulfur cluster assembly 1 homolog, mitochondrial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</si>
  <si>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</si>
  <si>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</si>
  <si>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</si>
  <si>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</si>
  <si>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Isoform 2 of Protein misato homolog 1</t>
  </si>
  <si>
    <t>Ribonuclease P protein subunit p25</t>
  </si>
  <si>
    <t>Isoform 3 of Oxidoreductase HTATIP2</t>
  </si>
  <si>
    <t>Probable ATP-dependent RNA helicase DDX23</t>
  </si>
  <si>
    <t>Telomerase Cajal body protein 1</t>
  </si>
  <si>
    <t>Protein FAM195A</t>
  </si>
  <si>
    <t>UPF0184 protein C9orf16</t>
  </si>
  <si>
    <t>Isoform 2 of TNF receptor-associated factor 4</t>
  </si>
  <si>
    <t>Uncharacterized protein C1orf50</t>
  </si>
  <si>
    <t>Methylthioribose-1-phosphate isomerase</t>
  </si>
  <si>
    <t>Monoacylglycerol lipase ABHD6</t>
  </si>
  <si>
    <t>Calcium-binding mitochondrial carrier protein SCaMC-3</t>
  </si>
  <si>
    <t>WD repeat-containing protein 18</t>
  </si>
  <si>
    <t>Vesicle-associated membrane protein 8</t>
  </si>
  <si>
    <t>THUMP domain-containing protein 3</t>
  </si>
  <si>
    <t>1,2-dihydroxy-3-keto-5-methylthiopentene dioxygenase</t>
  </si>
  <si>
    <t>Isoform 2 of RING finger protein 126</t>
  </si>
  <si>
    <t>Trans-2-enoyl-CoA reductase, mitochondrial</t>
  </si>
  <si>
    <t>N-terminal Xaa-Pro-Lys N-methyltransferase 1</t>
  </si>
  <si>
    <t>Katanin p80 WD40 repeat-containing subunit B1</t>
  </si>
  <si>
    <t>Tubulin beta-2B chain</t>
  </si>
  <si>
    <t>Sister chromatid cohesion protein DCC1</t>
  </si>
  <si>
    <t>Target of rapamycin complex subunit LST8</t>
  </si>
  <si>
    <t>Transmembrane protein 109</t>
  </si>
  <si>
    <t>Protein PBDC1</t>
  </si>
  <si>
    <t>Phosphatidylserine synthase 2</t>
  </si>
  <si>
    <t>Isoform 3 of U3 small nucleolar RNA-associated protein 14 homolog A</t>
  </si>
  <si>
    <t>Dual specificity protein phosphatase 23</t>
  </si>
  <si>
    <t>Transmembrane emp24 domain-containing protein 9</t>
  </si>
  <si>
    <t>Selenoprotein O</t>
  </si>
  <si>
    <t>Gamma-glutamylaminecyclotransferase</t>
  </si>
  <si>
    <t>Isoform 2 of Guanine nucleotide-binding protein-like 3</t>
  </si>
  <si>
    <t>Spermatogenesis-associated protein 5-like protein 1</t>
  </si>
  <si>
    <t>tRNA (adenine(58)-N(1))-methyltransferase, mitochondrial</t>
  </si>
  <si>
    <t>Mitochondrial import inner membrane translocase subunit Tim21</t>
  </si>
  <si>
    <t>TIMELESS-interacting protein</t>
  </si>
  <si>
    <t>Specifically androgen-regulated gene protein</t>
  </si>
  <si>
    <t>Kinesin-like protein KIFC1</t>
  </si>
  <si>
    <t>Nuclear pore complex protein Nup85</t>
  </si>
  <si>
    <t>Tubulin polymerization-promoting protein family member 3</t>
  </si>
  <si>
    <t>Elongation of very long chain fatty acids protein 1</t>
  </si>
  <si>
    <t>DET1- and DDB1-associated protein 1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</si>
  <si>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</si>
  <si>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</si>
  <si>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</si>
  <si>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</si>
  <si>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</si>
  <si>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</si>
  <si>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Replication initiator 1</t>
  </si>
  <si>
    <t>RNA-binding protein 4</t>
  </si>
  <si>
    <t>FUN14 domain-containing protein 2</t>
  </si>
  <si>
    <t>RNA polymerase II-associated protein 1</t>
  </si>
  <si>
    <t>Splicing factor 3B subunit 5</t>
  </si>
  <si>
    <t>Sideroflexin-3</t>
  </si>
  <si>
    <t>Poly(A) polymerase gamma</t>
  </si>
  <si>
    <t>Kanadaptin</t>
  </si>
  <si>
    <t>Protein LSM14 homolog B</t>
  </si>
  <si>
    <t>Isoform 9 of Sorbin and SH3 domain-containing protein 1</t>
  </si>
  <si>
    <t>Histidine triad nucleotide-binding protein 2, mitochondrial</t>
  </si>
  <si>
    <t>Sphingosine-1-phosphate phosphatase 1</t>
  </si>
  <si>
    <t>Isoform 2 of Bcl-2-binding component 3</t>
  </si>
  <si>
    <t>TBC1 domain family member 10A</t>
  </si>
  <si>
    <t>N-alpha-acetyltransferase 15, NatA auxiliary subunit</t>
  </si>
  <si>
    <t>Krueppel-like factor 16</t>
  </si>
  <si>
    <t>Bcl-2-like protein 13</t>
  </si>
  <si>
    <t>Solute carrier family 12 member 9</t>
  </si>
  <si>
    <t>Isoform 4 of Serrate RNA effector molecule homolog</t>
  </si>
  <si>
    <t>Queuine tRNA-ribosyltransferase</t>
  </si>
  <si>
    <t>Transmembrane protein 59</t>
  </si>
  <si>
    <t>Isoform 2 of Nucleolar and spindle-associated protein 1</t>
  </si>
  <si>
    <t>Uncharacterized protein C14orf142</t>
  </si>
  <si>
    <t>Oxysterol-binding protein-related protein 1</t>
  </si>
  <si>
    <t>Isoform 1 of Cat eye syndrome critical region protein 5</t>
  </si>
  <si>
    <t>Isoform 3 of Fanconi anemia group D2 protein</t>
  </si>
  <si>
    <t>Inosine triphosphate pyrophosphatase</t>
  </si>
  <si>
    <t>Charged multivesicular body protein 4a</t>
  </si>
  <si>
    <t>Eukaryotic translation initiation factor 2A</t>
  </si>
  <si>
    <t>Polymerase delta-interacting protein 3</t>
  </si>
  <si>
    <t>Uncharacterized protein KIAA1671</t>
  </si>
  <si>
    <t>Guanine nucleotide-binding protein subunit beta-like protein 1</t>
  </si>
  <si>
    <t>39S ribosomal protein L32, mitochondrial</t>
  </si>
  <si>
    <t>39S ribosomal protein L1, mitochondrial</t>
  </si>
  <si>
    <t>Partitioning defective 6 homolog beta</t>
  </si>
  <si>
    <t>Isoform 2 of RanBP-type and C3HC4-type zinc finger-containing protein 1</t>
  </si>
  <si>
    <t>28S ribosomal protein S26, mitochondrial</t>
  </si>
  <si>
    <t>Neurolysin, mitochondrial</t>
  </si>
  <si>
    <t>Histone-lysine N-methyltransferase SETD2</t>
  </si>
  <si>
    <t>Isoform 2 of Pantothenate kinase 2, mitochondrial</t>
  </si>
  <si>
    <t>Isoform 3 of Dedicator of cytokinesis protein 9</t>
  </si>
  <si>
    <t>Isoform 2 of FERM domain-containing protein 8</t>
  </si>
  <si>
    <t>Isoform 4 of Histone-lysine N-methyltransferase NSD3</t>
  </si>
  <si>
    <t>39S ribosomal protein L37, mitochondrial</t>
  </si>
  <si>
    <t>tRNA pseudouridine(38/39) synthase</t>
  </si>
  <si>
    <t>Tether containing UBX domain for GLUT4</t>
  </si>
  <si>
    <t>Isoform 3 of Oxysterol-binding protein-related protein 8</t>
  </si>
  <si>
    <t>WD repeat-containing protein 11</t>
  </si>
  <si>
    <t>Isoform 2 of Regulator of nonsense transcripts 3B</t>
  </si>
  <si>
    <t>F-box-like/WD repeat-containing protein TBL1XR1</t>
  </si>
  <si>
    <t>Ubiquitin-like protein 5</t>
  </si>
  <si>
    <t>Group XIIA secretory phospholipase A2</t>
  </si>
  <si>
    <t>NKG2D ligand 3</t>
  </si>
  <si>
    <t>NKG2D ligand 2</t>
  </si>
  <si>
    <t>Uridine-cytidine kinase 2</t>
  </si>
  <si>
    <t>Apoptosis inhibitor 5</t>
  </si>
  <si>
    <t>Isoform 2 of Apoptosis inhibitor 5</t>
  </si>
  <si>
    <t>Protein sprouty homolog 4</t>
  </si>
  <si>
    <t>Protein dpy-30 homolog</t>
  </si>
  <si>
    <t>Isoform Beta of Tripartite motif-containing protein 4</t>
  </si>
  <si>
    <t>Tripartite motif-containing protein 2</t>
  </si>
  <si>
    <t>RING finger protein unkempt homolog</t>
  </si>
  <si>
    <t>Alpha-ketoglutarate-dependent dioxygenase FTO</t>
  </si>
  <si>
    <t>Isoform 2 of Palmitoyltransferase ZDHHC5</t>
  </si>
  <si>
    <t>182 kDa tankyrase-1-binding protein</t>
  </si>
  <si>
    <t>Semaphorin-4C</t>
  </si>
  <si>
    <t>Isoform 6 of Activating molecule in BECN1-regulated autophagy protein 1</t>
  </si>
  <si>
    <t>Ubiquitin-conjugating enzyme E2 O</t>
  </si>
  <si>
    <t>Protein zyg-11 homolog B</t>
  </si>
  <si>
    <t>Isoform 2 of Protein TANC1</t>
  </si>
  <si>
    <t>Isoform 2 of Protein tweety homolog 3</t>
  </si>
  <si>
    <t>Myotubularin-related protein 12</t>
  </si>
  <si>
    <t>pre-mRNA 3 end processing protein WDR33</t>
  </si>
  <si>
    <t>Isoform 2 of Zinc transporter ZIP8</t>
  </si>
  <si>
    <t>Ribosome biogenesis protein WDR12</t>
  </si>
  <si>
    <t>UPF0687 protein C20orf27</t>
  </si>
  <si>
    <t>Neurensin-2</t>
  </si>
  <si>
    <t>PITH domain-containing protein 1</t>
  </si>
  <si>
    <t>Derlin-2</t>
  </si>
  <si>
    <t>COMM domain-containing protein 5</t>
  </si>
  <si>
    <t>Isoform 2 of DNA-directed RNA polymerase I subunit RPA49</t>
  </si>
  <si>
    <t>WD repeat-containing protein 61</t>
  </si>
  <si>
    <t>SRA stem-loop-interacting RNA-binding protein, mitochondrial</t>
  </si>
  <si>
    <t>Protein Wnt-10a</t>
  </si>
  <si>
    <t>Isoform 2 of Coiled-coil domain-containing protein 90B, mitochondrial</t>
  </si>
  <si>
    <t>Isoform 2 of NIF3-like protein 1</t>
  </si>
  <si>
    <t>Egl nine homolog 1</t>
  </si>
  <si>
    <t>Protein FAM192A</t>
  </si>
  <si>
    <t>Twisted gastrulation protein homolog 1</t>
  </si>
  <si>
    <t>Isoform 2 of Mitochondrial fission factor</t>
  </si>
  <si>
    <t>Isoform 5 of Mitochondrial fission factor</t>
  </si>
  <si>
    <t>Ubiquitin-like modifier-activating enzyme 5</t>
  </si>
  <si>
    <t>Phospholysine phosphohistidine inorganic pyrophosphate phosphatase</t>
  </si>
  <si>
    <t>Isoform 3 of Mitochondrial fission regulator 1-like</t>
  </si>
  <si>
    <t>Transmembrane protein 126A</t>
  </si>
  <si>
    <t>Polyadenylate-binding protein-interacting protein 1</t>
  </si>
  <si>
    <t>Isoform 2 of Caseinolytic peptidase B protein homolog</t>
  </si>
  <si>
    <t>Ras-related protein Rab-33B</t>
  </si>
  <si>
    <t>Large subunit GTPase 1 homolog</t>
  </si>
  <si>
    <t>Kinesin light chain 2</t>
  </si>
  <si>
    <t>Integrin-linked kinase-associated serine/threonine phosphatase 2C</t>
  </si>
  <si>
    <t>5-3 exoribonuclease 2</t>
  </si>
  <si>
    <t>Toll-interacting protein</t>
  </si>
  <si>
    <t>Isoform 2 of Bromodomain-containing protein 8</t>
  </si>
  <si>
    <t>ADP-ribosylation factor-like protein 6</t>
  </si>
  <si>
    <t>Nuclear speckle splicing regulatory protein 1</t>
  </si>
  <si>
    <t>Rac GTPase-activating protein 1</t>
  </si>
  <si>
    <t>Poly [ADP-ribose] polymerase 12</t>
  </si>
  <si>
    <t>Pseudouridylate synthase 7 homolog-like protein</t>
  </si>
  <si>
    <t>Cleavage stimulation factor subunit 2 tau variant</t>
  </si>
  <si>
    <t>Isoform 1 of Cytosolic 5-nucleotidase 3A</t>
  </si>
  <si>
    <t>Haloacid dehalogenase-like hydrolase domain-containing protein 2</t>
  </si>
  <si>
    <t>Glutamyl-tRNA(Gln) amidotransferase subunit A, mitochondrial</t>
  </si>
  <si>
    <t>Isoform 2 of Probable ATP-dependent RNA helicase DDX47</t>
  </si>
  <si>
    <t>Magnesium transporter protein 1</t>
  </si>
  <si>
    <t>Ras-related protein Rab-1B</t>
  </si>
  <si>
    <t>39S ribosomal protein L18, mitochondrial</t>
  </si>
  <si>
    <t>VIP36-like protein</t>
  </si>
  <si>
    <t>Isoform 2 of Protein SMG9</t>
  </si>
  <si>
    <t>Ester hydrolase C11orf54</t>
  </si>
  <si>
    <t>Protein ITFG3</t>
  </si>
  <si>
    <t>Beta-soluble NSF attachment protein</t>
  </si>
  <si>
    <t>Nucleotide exchange factor SIL1</t>
  </si>
  <si>
    <t>Interferon regulatory factor 2-binding protein-like</t>
  </si>
  <si>
    <t>Protein unc-93 homolog B1</t>
  </si>
  <si>
    <t>DNA-directed RNA polymerase III subunit RPC6</t>
  </si>
  <si>
    <t>Nuclear ubiquitous casein and cyclin-dependent kinase substrate 1</t>
  </si>
  <si>
    <t>Thioredoxin-related transmembrane protein 4</t>
  </si>
  <si>
    <t>Isoform 3 of Activating signal cointegrator 1 complex subunit 2</t>
  </si>
  <si>
    <t>Regulator of nonsense transcripts 3A</t>
  </si>
  <si>
    <t>Rabenosyn-5</t>
  </si>
  <si>
    <t>Iron-sulfur cluster assembly enzyme ISCU, mitochondrial</t>
  </si>
  <si>
    <t>Isoform 2 of Oxysterol-binding protein-related protein 2</t>
  </si>
  <si>
    <t>WD repeat-containing protein 13</t>
  </si>
  <si>
    <t>Mediator of RNA polymerase II transcription subunit 28</t>
  </si>
  <si>
    <t>EH domain-containing protein 4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</si>
  <si>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</si>
  <si>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</si>
  <si>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</si>
  <si>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</si>
  <si>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Isoform 1 of TRIO and F-actin-binding protein</t>
  </si>
  <si>
    <t>STE20-like serine/threonine-protein kinase</t>
  </si>
  <si>
    <t>Peptidyl-prolyl cis-trans isomerase-like 3</t>
  </si>
  <si>
    <t>Phosducin-like protein 3</t>
  </si>
  <si>
    <t>Translation initiation factor IF-3, mitochondrial</t>
  </si>
  <si>
    <t>Serine/threonine-protein kinase TAO3</t>
  </si>
  <si>
    <t>Rab3 GTPase-activating protein non-catalytic subunit</t>
  </si>
  <si>
    <t>Activity-dependent neuroprotector homeobox protein</t>
  </si>
  <si>
    <t>Diphthine synthase</t>
  </si>
  <si>
    <t>Inorganic pyrophosphatase 2, mitochondrial</t>
  </si>
  <si>
    <t>39S ribosomal protein L46, mitochondrial</t>
  </si>
  <si>
    <t>Presenilins-associated rhomboid-like protein, mitochondrial</t>
  </si>
  <si>
    <t>Pinin</t>
  </si>
  <si>
    <t>Isoform 2 of Transmembrane protein 245</t>
  </si>
  <si>
    <t>Gametogenetin-binding protein 2</t>
  </si>
  <si>
    <t>BTB/POZ domain-containing adapter for CUL3-mediated RhoA degradation protein 3</t>
  </si>
  <si>
    <t>Isoform 4 of tRNA dimethylallyltransferase, mitochondrial</t>
  </si>
  <si>
    <t>UPF0696 protein C11orf68</t>
  </si>
  <si>
    <t>Isoform 2 of UDP-N-acetylglucosamine--dolichyl-phosphate N-acetylglucosaminephosphotransferase</t>
  </si>
  <si>
    <t>Probable peptide chain release factor C12orf65, mitochondrial</t>
  </si>
  <si>
    <t>BolA-like protein 2</t>
  </si>
  <si>
    <t>Thioredoxin-related transmembrane protein 1</t>
  </si>
  <si>
    <t>Negative elongation factor A</t>
  </si>
  <si>
    <t>Golgi resident protein GCP60</t>
  </si>
  <si>
    <t>Cdc42 effector protein 4</t>
  </si>
  <si>
    <t>Isoform 4 of Lysine-specific demethylase 4C</t>
  </si>
  <si>
    <t>Tyrosine-protein phosphatase non-receptor type 23</t>
  </si>
  <si>
    <t>Protein unc-45 homolog A</t>
  </si>
  <si>
    <t>Isoform 4 of Major facilitator superfamily domain-containing protein 1</t>
  </si>
  <si>
    <t>Pancreatic progenitor cell differentiation and proliferation factor</t>
  </si>
  <si>
    <t>Isoform 2 of DnaJ homolog subfamily C member 5</t>
  </si>
  <si>
    <t>Kinetochore-associated protein DSN1 homolog</t>
  </si>
  <si>
    <t>Uncharacterized protein C1orf198</t>
  </si>
  <si>
    <t>Charged multivesicular body protein 4b</t>
  </si>
  <si>
    <t>CUE domain-containing protein 2</t>
  </si>
  <si>
    <t>Fructosamine-3-kinase</t>
  </si>
  <si>
    <t>GDP-fucose protein O-fucosyltransferase 1</t>
  </si>
  <si>
    <t>Isoform 2 of Phosphatidylinositol glycan anchor biosynthesis class U protein</t>
  </si>
  <si>
    <t>15 kDa interferon-responsive protein</t>
  </si>
  <si>
    <t>Aminopeptidase B</t>
  </si>
  <si>
    <t>Golgi phosphoprotein 3-like</t>
  </si>
  <si>
    <t>Golgi phosphoprotein 3</t>
  </si>
  <si>
    <t>Probable tRNA threonylcarbamoyladenosine biosynthesis protein OSGEPL1</t>
  </si>
  <si>
    <t>Zinc fingers and homeoboxes protein 3</t>
  </si>
  <si>
    <t>GTP-binding protein 5</t>
  </si>
  <si>
    <t>Isoform 1b of Oxysterol-binding protein-related protein 3</t>
  </si>
  <si>
    <t>Isoform 2 of SWI/SNF-related matrix-associated actin-dependent regulator of chromatin subfamily A containing DEAD/H box 1</t>
  </si>
  <si>
    <t>EH domain-containing protein 1</t>
  </si>
  <si>
    <t>Isoform 2 of E3 ubiquitin-protein ligase NRDP1</t>
  </si>
  <si>
    <t>Phosphorylated CTD-interacting factor 1</t>
  </si>
  <si>
    <t>ESF1 homolog</t>
  </si>
  <si>
    <t>Alpha-1,3/1,6-mannosyltransferase ALG2</t>
  </si>
  <si>
    <t>HEAT repeat-containing protein 1</t>
  </si>
  <si>
    <t>Probable inactive protein kinase-like protein SgK196</t>
  </si>
  <si>
    <t>Rab GTPase-binding effector protein 2</t>
  </si>
  <si>
    <t>Dimethyladenosine transferase 2, mitochondrial</t>
  </si>
  <si>
    <t>CUB domain-containing protein 1</t>
  </si>
  <si>
    <t>UPF0428 protein CXorf56</t>
  </si>
  <si>
    <t>MIP18 family protein FAM96A</t>
  </si>
  <si>
    <t>SLIT and NTRK-like protein 6</t>
  </si>
  <si>
    <t>Putative methyltransferase NSUN3</t>
  </si>
  <si>
    <t>Isoform 2 of Pecanex-like protein 3</t>
  </si>
  <si>
    <t>Coiled-coil domain-containing protein 134</t>
  </si>
  <si>
    <t>Coiled-coil domain-containing protein 86</t>
  </si>
  <si>
    <t>Receptor expression-enhancing protein 4</t>
  </si>
  <si>
    <t>Optic atrophy 3 protein</t>
  </si>
  <si>
    <t>Armadillo repeat-containing protein 7</t>
  </si>
  <si>
    <t>Protein FAM134B</t>
  </si>
  <si>
    <t>Threonine aspartase 1</t>
  </si>
  <si>
    <t>Cytosolic Fe-S cluster assembly factor NARFL</t>
  </si>
  <si>
    <t>Putative ATP-dependent RNA helicase DHX33</t>
  </si>
  <si>
    <t>Isoform 4 of Nucleolar protein 6</t>
  </si>
  <si>
    <t>Isoform 2 of WD repeat-containing protein C2orf44</t>
  </si>
  <si>
    <t>Epidermal growth factor receptor kinase substrate 8-like protein 2</t>
  </si>
  <si>
    <t>Isoform 2 of Epithelial splicing regulatory protein 2</t>
  </si>
  <si>
    <t>RNA polymerase II-associated protein 3</t>
  </si>
  <si>
    <t>Isoform 1 of Breast carcinoma-amplified sequence 3</t>
  </si>
  <si>
    <t>Alpha-1,2-mannosyltransferase ALG9</t>
  </si>
  <si>
    <t>WD repeat-containing protein 55</t>
  </si>
  <si>
    <t>dCTP pyrophosphatase 1</t>
  </si>
  <si>
    <t>Isoform 2 of SH2 domain-containing protein 4A</t>
  </si>
  <si>
    <t>Histone-lysine N-methyltransferase SMYD3</t>
  </si>
  <si>
    <t>Mth938 domain-containing protein</t>
  </si>
  <si>
    <t>Isoform 2 of WD repeat-containing protein 26</t>
  </si>
  <si>
    <t>Isoform 3 of Tudor domain-containing protein 3</t>
  </si>
  <si>
    <t>Probable cation-transporting ATPase 13A3</t>
  </si>
  <si>
    <t>Protein phosphatase 1 regulatory subunit 3E</t>
  </si>
  <si>
    <t>Sin3 histone deacetylase corepressor complex component SDS3</t>
  </si>
  <si>
    <t>Splicing factor, arginine/serine-rich 19</t>
  </si>
  <si>
    <t>Zinc finger protein 703</t>
  </si>
  <si>
    <t>Histone acetyltransferase KAT8</t>
  </si>
  <si>
    <t>Prostaglandin E synthase 2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</si>
  <si>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</si>
  <si>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</si>
  <si>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</si>
  <si>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</si>
  <si>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PRKR-interacting protein 1</t>
  </si>
  <si>
    <t>Caspase activity and apoptosis inhibitor 1</t>
  </si>
  <si>
    <t>Nucleolar protein 11</t>
  </si>
  <si>
    <t>MANSC domain-containing protein 1</t>
  </si>
  <si>
    <t>Protein FAM188A</t>
  </si>
  <si>
    <t>MOB kinase activator 1A</t>
  </si>
  <si>
    <t>AN1-type zinc finger protein 3</t>
  </si>
  <si>
    <t>Protein ECT2</t>
  </si>
  <si>
    <t>Ankyrin repeat and zinc finger domain-containing protein 1</t>
  </si>
  <si>
    <t>Golgi reassembly-stacking protein 2</t>
  </si>
  <si>
    <t>Protein zwilch homolog</t>
  </si>
  <si>
    <t>Isoform 1 of Probable bifunctional methylenetetrahydrofolate dehydrogenase/cyclohydrolase 2</t>
  </si>
  <si>
    <t>Hematological and neurological expressed 1-like protein</t>
  </si>
  <si>
    <t>Isoform 2 of Hematological and neurological expressed 1-like protein</t>
  </si>
  <si>
    <t>Mitochondrial glutamate carrier 1</t>
  </si>
  <si>
    <t>Proline-serine-threonine phosphatase-interacting protein 2</t>
  </si>
  <si>
    <t>Mediator of RNA polymerase II transcription subunit 20</t>
  </si>
  <si>
    <t>Queuine tRNA-ribosyltransferase subunit QTRTD1</t>
  </si>
  <si>
    <t>WD repeat-containing protein 54</t>
  </si>
  <si>
    <t>UPF0364 protein C6orf211</t>
  </si>
  <si>
    <t>Isoform 2 of CCR4-NOT transcription complex subunit 10</t>
  </si>
  <si>
    <t>Leucine-rich repeat-containing protein 40</t>
  </si>
  <si>
    <t>RecQ-mediated genome instability protein 1</t>
  </si>
  <si>
    <t>Histone-lysine N-methyltransferase EHMT1</t>
  </si>
  <si>
    <t>Sideroflexin-1</t>
  </si>
  <si>
    <t>Actin-related protein 5</t>
  </si>
  <si>
    <t>Protein argonaute-3</t>
  </si>
  <si>
    <t>Vacuolar protein sorting-associated protein 37B</t>
  </si>
  <si>
    <t>39S ribosomal protein L44, mitochondrial</t>
  </si>
  <si>
    <t>L-2-hydroxyglutarate dehydrogenase, mitochondrial</t>
  </si>
  <si>
    <t>Calcium-binding protein 39-like</t>
  </si>
  <si>
    <t>Isoform 2 of Elongator complex protein 3</t>
  </si>
  <si>
    <t>Isoform 2 of JmjC domain-containing protein 4</t>
  </si>
  <si>
    <t>Isoform 2 of Zinc finger matrin-type protein 3</t>
  </si>
  <si>
    <t>Isoform 3 of Uridine-cytidine kinase 1</t>
  </si>
  <si>
    <t>Ketosamine-3-kinase</t>
  </si>
  <si>
    <t>TBC1 domain family member 17</t>
  </si>
  <si>
    <t>Probable cysteine--tRNA ligase, mitochondrial</t>
  </si>
  <si>
    <t>EF-hand and coiled-coil domain-containing protein 1</t>
  </si>
  <si>
    <t>Radical S-adenosyl methionine domain-containing protein 1, mitochondrial</t>
  </si>
  <si>
    <t>Phosphopantothenate--cysteine ligase</t>
  </si>
  <si>
    <t>Isoform 2 of Chromatin modification-related protein MEAF6</t>
  </si>
  <si>
    <t>Nicotinamide mononucleotide adenylyltransferase 1</t>
  </si>
  <si>
    <t>Pleckstrin homology domain-containing family A member 5</t>
  </si>
  <si>
    <t>Regulator of nonsense transcripts 2</t>
  </si>
  <si>
    <t>Exportin-5</t>
  </si>
  <si>
    <t>GrpE protein homolog 1, mitochondrial</t>
  </si>
  <si>
    <t>Isoform 3 of Claspin</t>
  </si>
  <si>
    <t>UPF0160 protein MYG1, mitochondrial</t>
  </si>
  <si>
    <t>Pleckstrin homology domain-containing family A member 1</t>
  </si>
  <si>
    <t>Retinoid-inducible serine carboxypeptidase</t>
  </si>
  <si>
    <t>Calcyclin-binding protein</t>
  </si>
  <si>
    <t>Ras-related GTP-binding protein C</t>
  </si>
  <si>
    <t>SMARCA4 isoform 2</t>
  </si>
  <si>
    <t>Peptide deformylase, mitochondrial</t>
  </si>
  <si>
    <t>Retinol dehydrogenase 14</t>
  </si>
  <si>
    <t>Isoform 3 of Gamma-parvin</t>
  </si>
  <si>
    <t>Beta-parvin</t>
  </si>
  <si>
    <t>Plasminogen receptor (KT)</t>
  </si>
  <si>
    <t>NmrA-like family domain-containing protein 1</t>
  </si>
  <si>
    <t>Kinetochore protein Spc25</t>
  </si>
  <si>
    <t>Transcription initiation factor TFIID subunit 9B</t>
  </si>
  <si>
    <t>1-acyl-sn-glycerol-3-phosphate acyltransferase alpha</t>
  </si>
  <si>
    <t>Ethanolamine kinase 1</t>
  </si>
  <si>
    <t>RNA methyltransferase-like protein 1</t>
  </si>
  <si>
    <t>Isoform 2 of Glyoxalase domain-containing protein 4</t>
  </si>
  <si>
    <t>Chromobox protein homolog 8</t>
  </si>
  <si>
    <t>Methylcrotonoyl-CoA carboxylase beta chain, mitochondrial</t>
  </si>
  <si>
    <t>Nuclear receptor coactivator 5</t>
  </si>
  <si>
    <t>Putative helicase MOV-10</t>
  </si>
  <si>
    <t>Methyltransferase-like protein 14</t>
  </si>
  <si>
    <t>Non-lysosomal glucosylceramidase</t>
  </si>
  <si>
    <t>Isoform 2 of Ribonucleoprotein PTB-binding 2</t>
  </si>
  <si>
    <t>Isoform 2 of Chromodomain-helicase-DNA-binding protein 8</t>
  </si>
  <si>
    <t>Isoform 2 of Band 4.1-like protein 5</t>
  </si>
  <si>
    <t>Transmembrane protein 8A</t>
  </si>
  <si>
    <t>GPN-loop GTPase 1</t>
  </si>
  <si>
    <t>Stromal cell-derived factor 2-like protein 1</t>
  </si>
  <si>
    <t>Dual 3,5-cyclic-AMP and -GMP phosphodiesterase 11A</t>
  </si>
  <si>
    <t>Prolactin regulatory element-binding protein</t>
  </si>
  <si>
    <t>DNA polymerase delta subunit 4</t>
  </si>
  <si>
    <t>Protein S100-A14</t>
  </si>
  <si>
    <t>Steroid receptor RNA activator 1</t>
  </si>
  <si>
    <t>Isoform B of Probable cation-transporting ATPase 13A1</t>
  </si>
  <si>
    <t>Isoform 2 of Magnesium transporter MRS2 homolog, mitochondrial</t>
  </si>
  <si>
    <t>Isoform 2 of 39S ribosomal protein L47, mitochondrial</t>
  </si>
  <si>
    <t>LYR motif-containing protein 4</t>
  </si>
  <si>
    <t>Isoform 3 of O-phosphoseryl-tRNA(Sec) selenium transferase</t>
  </si>
  <si>
    <t>Transmembrane 9 superfamily member 3</t>
  </si>
  <si>
    <t>Isoform 2 of Ran guanine nucleotide release factor</t>
  </si>
  <si>
    <t>Unconventional myosin-X</t>
  </si>
  <si>
    <t>Junctophilin-1</t>
  </si>
  <si>
    <t>Adipocyte plasma membrane-associated protein</t>
  </si>
  <si>
    <t>WD repeat-containing protein 6</t>
  </si>
  <si>
    <t>Isoform 2 of ATP-binding cassette sub-family B member 6, mitochondrial</t>
  </si>
  <si>
    <t>High mobility group protein 20A</t>
  </si>
  <si>
    <t>Ras-related protein Rab-18</t>
  </si>
  <si>
    <t>Isoform 2 of UDP-N-acetylglucosamine transferase subunit ALG13 homolog</t>
  </si>
  <si>
    <t>RNA polymerase II subunit A C-terminal domain phosphatase SSU72</t>
  </si>
  <si>
    <t>Vacuolar protein sorting-associated protein VTA1 homolog</t>
  </si>
  <si>
    <t>Isoform 3 of Calcium-independent phospholipase A2-gamma</t>
  </si>
  <si>
    <t>Tumor necrosis factor receptor superfamily member 12A</t>
  </si>
  <si>
    <t>28S ribosomal protein S30, mitochondrial</t>
  </si>
  <si>
    <t>ER membrane protein complex subunit 7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</si>
  <si>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</si>
  <si>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</si>
  <si>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</si>
  <si>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</si>
  <si>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</si>
  <si>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Neugrin</t>
  </si>
  <si>
    <t>H/ACA ribonucleoprotein complex subunit 3</t>
  </si>
  <si>
    <t>CD320 antigen</t>
  </si>
  <si>
    <t>Probable tRNA threonylcarbamoyladenosine biosynthesis protein OSGEP</t>
  </si>
  <si>
    <t>Lysophosphatidic acid phosphatase type 6</t>
  </si>
  <si>
    <t>Bromodomain-containing protein 7</t>
  </si>
  <si>
    <t>mRNA-decapping enzyme 1A</t>
  </si>
  <si>
    <t>Acyl-coenzyme A thioesterase 13</t>
  </si>
  <si>
    <t>Mediator of RNA polymerase II transcription subunit 4</t>
  </si>
  <si>
    <t>Translocase of inner mitochondrial membrane domain-containing protein 1</t>
  </si>
  <si>
    <t>Isoform 4 of Synembryn-A</t>
  </si>
  <si>
    <t>Protein GPR108</t>
  </si>
  <si>
    <t>Putative RNA-binding protein Luc7-like 1</t>
  </si>
  <si>
    <t>Fructose-2,6-bisphosphatase TIGAR</t>
  </si>
  <si>
    <t>Reticulon-4</t>
  </si>
  <si>
    <t>Isoform 2 of Reticulon-4</t>
  </si>
  <si>
    <t>Histidine triad nucleotide-binding protein 3</t>
  </si>
  <si>
    <t>Protein MANBAL</t>
  </si>
  <si>
    <t>Regulation of nuclear pre-mRNA domain-containing protein 1B</t>
  </si>
  <si>
    <t>Isoform 3 of Hermansky-Pudlak syndrome 4 protein</t>
  </si>
  <si>
    <t>Isoform 2 of Probable Xaa-Pro aminopeptidase 3</t>
  </si>
  <si>
    <t>Omega-amidase NIT2</t>
  </si>
  <si>
    <t>Cell death regulator Aven</t>
  </si>
  <si>
    <t>Exosome complex component RRP46</t>
  </si>
  <si>
    <t>Exosome complex component RRP40</t>
  </si>
  <si>
    <t>Kinesin-like protein KIF13B</t>
  </si>
  <si>
    <t>Isoform 2 of Actin-binding protein anillin</t>
  </si>
  <si>
    <t>Xaa-Pro aminopeptidase 1</t>
  </si>
  <si>
    <t>Isoform 3 of Xaa-Pro aminopeptidase 1</t>
  </si>
  <si>
    <t>Bridging integrator 3</t>
  </si>
  <si>
    <t>Something about silencing protein 10</t>
  </si>
  <si>
    <t>StAR-related lipid transfer protein 7, mitochondrial</t>
  </si>
  <si>
    <t>Isoform 3 of Zinc finger C4H2 domain-containing protein</t>
  </si>
  <si>
    <t>Baculoviral IAP repeat-containing protein 6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</si>
  <si>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</si>
  <si>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</si>
  <si>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</si>
  <si>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</si>
  <si>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</si>
  <si>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</si>
  <si>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</si>
  <si>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Isoform 2 of Histone-lysine N-methyltransferase ASH1L</t>
  </si>
  <si>
    <t>Translation initiation factor eIF-2B subunit gamma</t>
  </si>
  <si>
    <t>PRKCA-binding protein</t>
  </si>
  <si>
    <t>CTP synthase 2</t>
  </si>
  <si>
    <t>DNA polymerase epsilon subunit 3</t>
  </si>
  <si>
    <t>Chromatin accessibility complex protein 1</t>
  </si>
  <si>
    <t>Phosphoribosyltransferase domain-containing protein 1</t>
  </si>
  <si>
    <t>N-lysine methyltransferase SMYD2</t>
  </si>
  <si>
    <t>Isoform 2 of Epimerase family protein SDR39U1</t>
  </si>
  <si>
    <t>Aladin</t>
  </si>
  <si>
    <t>Yae1 domain-containing protein 1</t>
  </si>
  <si>
    <t>ATP-binding cassette sub-family B member 10, mitochondrial</t>
  </si>
  <si>
    <t>Isoform 2 of Bromodomain adjacent to zinc finger domain protein 1A</t>
  </si>
  <si>
    <t>Striatin-4</t>
  </si>
  <si>
    <t>Interleukin-17 receptor B</t>
  </si>
  <si>
    <t>L-aminoadipate-semialdehyde dehydrogenase-phosphopantetheinyl transferase</t>
  </si>
  <si>
    <t>Methyltransferase-like protein 5</t>
  </si>
  <si>
    <t>Oligosaccharyltransferase complex subunit OSTC</t>
  </si>
  <si>
    <t>COX assembly mitochondrial protein 2 homolog</t>
  </si>
  <si>
    <t>Protein ACN9 homolog, mitochondrial</t>
  </si>
  <si>
    <t>Ubiquilin-4</t>
  </si>
  <si>
    <t>CDC42 small effector protein 1</t>
  </si>
  <si>
    <t>Heme-binding protein 1</t>
  </si>
  <si>
    <t>Ras-related protein Rab-6B</t>
  </si>
  <si>
    <t>Dual specificity protein phosphatase 22</t>
  </si>
  <si>
    <t>Vacuolar protein sorting-associated protein 45</t>
  </si>
  <si>
    <t>RNA-binding protein PNO1</t>
  </si>
  <si>
    <t>NADH dehydrogenase [ubiquinone] 1 alpha subcomplex subunit 4-like 2</t>
  </si>
  <si>
    <t>14 kDa phosphohistidine phosphatase</t>
  </si>
  <si>
    <t>SOSS complex subunit C</t>
  </si>
  <si>
    <t>Rho GTPase-activating protein 35</t>
  </si>
  <si>
    <t>Protein FAM114A2</t>
  </si>
  <si>
    <t>1-acyl-sn-glycerol-3-phosphate acyltransferase delta</t>
  </si>
  <si>
    <t>Isoform 2 of 1-acyl-sn-glycerol-3-phosphate acyltransferase gamma</t>
  </si>
  <si>
    <t>Isoform 2 of Lymphoid-specific helicase</t>
  </si>
  <si>
    <t>Glutaredoxin-2, mitochondrial</t>
  </si>
  <si>
    <t>Mitochondrial import receptor subunit TOM22 homolog</t>
  </si>
  <si>
    <t>Isoform 4 of MAP3K12-binding inhibitory protein 1</t>
  </si>
  <si>
    <t>LanC-like protein 2</t>
  </si>
  <si>
    <t>Isoform 2 of Kinesin-like protein KIF15</t>
  </si>
  <si>
    <t>E3 ubiquitin-protein ligase RAD18</t>
  </si>
  <si>
    <t>Transmembrane 7 superfamily member 3</t>
  </si>
  <si>
    <t>Beta-catenin-interacting protein 1</t>
  </si>
  <si>
    <t>Phenylalanine--tRNA ligase beta subunit</t>
  </si>
  <si>
    <t>Isoleucine--tRNA ligase, mitochondrial</t>
  </si>
  <si>
    <t>Isoform B of Protein FAM207A</t>
  </si>
  <si>
    <t>Isoform 2 of SAM domain-containing protein SAMSN-1</t>
  </si>
  <si>
    <t>Kinesin light chain 4</t>
  </si>
  <si>
    <t>Ubiquitin-like-conjugating enzyme ATG3</t>
  </si>
  <si>
    <t>NAD-dependent protein deacetylase sirtuin-3, mitochondrial</t>
  </si>
  <si>
    <t>Isoform 2 of Sister chromatid cohesion protein PDS5 homolog B</t>
  </si>
  <si>
    <t>Structural maintenance of chromosomes protein 4</t>
  </si>
  <si>
    <t>Isoform 3 of Alpha-mannosidase 2C1</t>
  </si>
  <si>
    <t>Phosphatidylinositide phosphatase SAC1</t>
  </si>
  <si>
    <t>Isoform 2 of Obg-like ATPase 1</t>
  </si>
  <si>
    <t>Copper homeostasis protein cutC homolog</t>
  </si>
  <si>
    <t>Isoform 2 of Ethylmalonyl-CoA decarboxylase</t>
  </si>
  <si>
    <t>Isoform 2 of E3 ubiquitin-protein ligase RNF146</t>
  </si>
  <si>
    <t>RNA-binding protein 12</t>
  </si>
  <si>
    <t>TBC1 domain family member 22B</t>
  </si>
  <si>
    <t>Midasin</t>
  </si>
  <si>
    <t>LYR motif-containing protein 2</t>
  </si>
  <si>
    <t>Isoform 2 of Acetyl-coenzyme A synthetase 2-like, mitochondrial</t>
  </si>
  <si>
    <t>Zinc finger CCHC domain-containing protein 3</t>
  </si>
  <si>
    <t>p53 and DNA damage-regulated protein 1</t>
  </si>
  <si>
    <t>Mycophenolic acid acyl-glucuronide esterase, mitochondrial</t>
  </si>
  <si>
    <t>Isoform 3 of UPF0515 protein C19orf66</t>
  </si>
  <si>
    <t>Probable ATP-dependent RNA helicase DDX28</t>
  </si>
  <si>
    <t>Transmembrane protein 106B</t>
  </si>
  <si>
    <t>Isoform 3 of Probable lysosomal cobalamin transporter</t>
  </si>
  <si>
    <t>Biogenesis of lysosome-related organelles complex 1 subunit 4</t>
  </si>
  <si>
    <t>tRNA:m(4)X modification enzyme TRM13 homolog</t>
  </si>
  <si>
    <t>Protein lin-7 homolog C</t>
  </si>
  <si>
    <t>1-acyl-sn-glycerol-3-phosphate acyltransferase epsilon</t>
  </si>
  <si>
    <t>Gamma-taxilin</t>
  </si>
  <si>
    <t>Ufm1-specific protease 2</t>
  </si>
  <si>
    <t>Isoform 2 of ATP-binding cassette sub-family F member 3</t>
  </si>
  <si>
    <t>Protein FAM49B</t>
  </si>
  <si>
    <t>ATP-dependent RNA helicase DDX19A</t>
  </si>
  <si>
    <t>Tyrosyl-DNA phosphodiesterase 1</t>
  </si>
  <si>
    <t>TBC1 domain family member 23</t>
  </si>
  <si>
    <t>DDB1- and CUL4-associated factor 13</t>
  </si>
  <si>
    <t>Probable 8-oxo-dGTP diphosphatase NUDT15</t>
  </si>
  <si>
    <t>MRG/MORF4L-binding protein</t>
  </si>
  <si>
    <t>Exocyst complex component 1</t>
  </si>
  <si>
    <t>Isoform 2 of Cell cycle control protein 50A</t>
  </si>
  <si>
    <t>Ubiquinol-cytochrome c reductase complex chaperone CBP3 homolog</t>
  </si>
  <si>
    <t>Transmembrane protein 184C</t>
  </si>
  <si>
    <t>Mediator of RNA polymerase II transcription subunit 17</t>
  </si>
  <si>
    <t>Pantothenate kinase 4</t>
  </si>
  <si>
    <t>TBC1 domain family member 13</t>
  </si>
  <si>
    <t>Exonuclease 3-5 domain-containing protein 2</t>
  </si>
  <si>
    <t>Isoform 3 of DnaJ homolog subfamily C member 11</t>
  </si>
  <si>
    <t>Isoform 3 of Integrator complex subunit 7</t>
  </si>
  <si>
    <t>Trimethyllysine dioxygenase, mitochondrial</t>
  </si>
  <si>
    <t>Fanconi anemia group I protein</t>
  </si>
  <si>
    <t>Isoform 2 of ATPase family AAA domain-containing protein 3A</t>
  </si>
  <si>
    <t>ADP-ribosylation factor-like protein 8B</t>
  </si>
  <si>
    <t>Isoform 2 of FGFR1 oncogene partner 2</t>
  </si>
  <si>
    <t>Isoform 3 of Protein arginine N-methyltransferase 7</t>
  </si>
  <si>
    <t>DnaJ homolog subfamily C member 17</t>
  </si>
  <si>
    <t>Protein asunder homolog</t>
  </si>
  <si>
    <t>Guanine nucleotide-binding protein-like 3-like protein</t>
  </si>
  <si>
    <t>ATP-dependent RNA helicase DDX18</t>
  </si>
  <si>
    <t>Histone chaperone ASF1B</t>
  </si>
  <si>
    <t>Fas apoptotic inhibitory molecule 1</t>
  </si>
  <si>
    <t>Kelch-like protein 11</t>
  </si>
  <si>
    <t>Integrator complex subunit 10</t>
  </si>
  <si>
    <t>Protein kintoun</t>
  </si>
  <si>
    <t>Pyridoxine-5-phosphate oxidase</t>
  </si>
  <si>
    <t>Armadillo repeat-containing protein 1</t>
  </si>
  <si>
    <t>Isoform 3 of DNA-directed RNA polymerase III subunit RPC5</t>
  </si>
  <si>
    <t>Poly(A) RNA polymerase, mitochondrial</t>
  </si>
  <si>
    <t>Notchless protein homolog 1</t>
  </si>
  <si>
    <t>Kelch repeat and BTB domain-containing protein 4</t>
  </si>
  <si>
    <t>Adaptin ear-binding coat-associated protein 2</t>
  </si>
  <si>
    <t>Zinc finger protein 358</t>
  </si>
  <si>
    <t>Anoctamin-10</t>
  </si>
  <si>
    <t>Pre-mRNA-splicing factor RBM22</t>
  </si>
  <si>
    <t>G patch domain-containing protein 2</t>
  </si>
  <si>
    <t>WD repeat-containing protein 70</t>
  </si>
  <si>
    <t>Mediator of RNA polymerase II transcription subunit 9</t>
  </si>
  <si>
    <t>Arginine and glutamate-rich protein 1</t>
  </si>
  <si>
    <t>Transmembrane protein 242</t>
  </si>
  <si>
    <t>SAFB-like transcription modulator</t>
  </si>
  <si>
    <t>CUE domain-containing protein 1</t>
  </si>
  <si>
    <t>Peptidyl-prolyl cis-trans isomerase FKBP14</t>
  </si>
  <si>
    <t>Uncharacterized protein C14orf119</t>
  </si>
  <si>
    <t>PIH1 domain-containing protein 1</t>
  </si>
  <si>
    <t>Protein FAM118A</t>
  </si>
  <si>
    <t>Required for meiotic nuclear division protein 1 homolog</t>
  </si>
  <si>
    <t>Hypoxia-inducible factor 1-alpha inhibitor</t>
  </si>
  <si>
    <t>3-oxoacyl-[acyl-carrier-protein] synthase, mitochondrial</t>
  </si>
  <si>
    <t>UPF0587 protein C1orf123</t>
  </si>
  <si>
    <t>Ankyrin repeat and SOCS box protein 6</t>
  </si>
  <si>
    <t>Probable tRNA(His) guanylyltransferase</t>
  </si>
  <si>
    <t>UPF0609 protein C4orf27</t>
  </si>
  <si>
    <t>Interleukin-1 receptor-associated kinase 4</t>
  </si>
  <si>
    <t>Uridine-cytidine kinase-like 1</t>
  </si>
  <si>
    <t>Transmembrane protein 160</t>
  </si>
  <si>
    <t>Thioredoxin-like protein 4B</t>
  </si>
  <si>
    <t>tRNA selenocysteine 1-associated protein 1</t>
  </si>
  <si>
    <t>COMM domain-containing protein 8</t>
  </si>
  <si>
    <t>Isoform 2 of NADH dehydrogenase [ubiquinone] 1 beta subcomplex subunit 11, mitochondrial</t>
  </si>
  <si>
    <t>H/ACA ribonucleoprotein complex subunit 2</t>
  </si>
  <si>
    <t>Protein FAM206A</t>
  </si>
  <si>
    <t>OCIA domain-containing protein 1</t>
  </si>
  <si>
    <t>Poly(ADP-ribose) glycohydrolase ARH3</t>
  </si>
  <si>
    <t>E3 ubiquitin-protein ligase MARCH5</t>
  </si>
  <si>
    <t>Huntingtin-interacting protein K</t>
  </si>
  <si>
    <t>Ras-related protein Rab-20</t>
  </si>
  <si>
    <t>Cell growth-regulating nucleolar protein</t>
  </si>
  <si>
    <t>Inositol monophosphatase 3</t>
  </si>
  <si>
    <t>Mediator of RNA polymerase II transcription subunit 29</t>
  </si>
  <si>
    <t>tRNA-dihydrouridine(20) synthase [NAD(P)+]-like</t>
  </si>
  <si>
    <t>NAD-dependent protein deacylase sirtuin-5, mitochondrial</t>
  </si>
  <si>
    <t>WD repeat-containing protein mio</t>
  </si>
  <si>
    <t>Pre-mRNA-splicing factor CWC25 homolog</t>
  </si>
  <si>
    <t>Isoform 2 of Testis-expressed sequence 10 protein</t>
  </si>
  <si>
    <t>DDB1- and CUL4-associated factor 16</t>
  </si>
  <si>
    <t>Palmitoyltransferase ZDHHC7</t>
  </si>
  <si>
    <t>Transmembrane prolyl 4-hydroxylase</t>
  </si>
  <si>
    <t>tRNA (guanine(26)-N(2))-dimethyltransferase</t>
  </si>
  <si>
    <t>Isoform 2 of Nuclear distribution protein nudE homolog 1</t>
  </si>
  <si>
    <t>Ankyrin repeat domain-containing protein 10</t>
  </si>
  <si>
    <t>BRCA1-A complex subunit BRE</t>
  </si>
  <si>
    <t>Glutaminyl-peptide cyclotransferase-like protein</t>
  </si>
  <si>
    <t>ADP-ribosylation factor-like protein 15</t>
  </si>
  <si>
    <t>BTB/POZ domain-containing protein KCTD5</t>
  </si>
  <si>
    <t>CDKN2A-interacting protein</t>
  </si>
  <si>
    <t>Alpha-ketoglutarate-dependent dioxygenase alkB homolog 4</t>
  </si>
  <si>
    <t>Non-structural maintenance of chromosomes element 4 homolog A</t>
  </si>
  <si>
    <t>Serine/threonine-protein phosphatase 4 regulatory subunit 2</t>
  </si>
  <si>
    <t>Protein AATF</t>
  </si>
  <si>
    <t>Telomeric repeat-binding factor 2-interacting protein 1</t>
  </si>
  <si>
    <t>Isoform 2 of Bcl-2-associated transcription factor 1</t>
  </si>
  <si>
    <t>Palmitoyltransferase ZDHHC3</t>
  </si>
  <si>
    <t>Anaphase-promoting complex subunit 11</t>
  </si>
  <si>
    <t>U3 small nucleolar RNA-associated protein 6 homolog</t>
  </si>
  <si>
    <t>Cytochrome c oxidase assembly factor 4 homolog, mitochondrial</t>
  </si>
  <si>
    <t>39S ribosomal protein L39, mitochondrial</t>
  </si>
  <si>
    <t>Isoform 3 of Protein EURL homolog</t>
  </si>
  <si>
    <t>Isoform 2 of Mitogen-activated protein kinase kinase kinase MLT</t>
  </si>
  <si>
    <t>Tropomodulin-3</t>
  </si>
  <si>
    <t>BET1-like protein</t>
  </si>
  <si>
    <t>Protein Mis18-alpha</t>
  </si>
  <si>
    <t>Cadherin EGF LAG seven-pass G-type receptor 1</t>
  </si>
  <si>
    <t>Cadherin EGF LAG seven-pass G-type receptor 3</t>
  </si>
  <si>
    <t>Isoform 2 of UDP-glucose:glycoprotein glucosyltransferase 1</t>
  </si>
  <si>
    <t>Isoform 2 of Cyclin-dependent kinase 12</t>
  </si>
  <si>
    <t>FAST kinase domain-containing protein 2</t>
  </si>
  <si>
    <t>Very-long-chain enoyl-CoA reductase</t>
  </si>
  <si>
    <t>Endoplasmic reticulum aminopeptidase 1</t>
  </si>
  <si>
    <t>Isoform 2 of Ubiquitin-associated protein 1</t>
  </si>
  <si>
    <t>Actin-related protein 10</t>
  </si>
  <si>
    <t>Vesicle transport protein USE1</t>
  </si>
  <si>
    <t>CDGSH iron-sulfur domain-containing protein 1</t>
  </si>
  <si>
    <t>Podocalyxin-like protein 2</t>
  </si>
  <si>
    <t>Uncharacterized protein C9orf78</t>
  </si>
  <si>
    <t>Isoform D of Constitutive coactivator of PPAR-gamma-like protein 1</t>
  </si>
  <si>
    <t>Glycerophosphodiester phosphodiesterase 1</t>
  </si>
  <si>
    <t>WW domain-containing oxidoreductase</t>
  </si>
  <si>
    <t>Glycolipid transfer protein</t>
  </si>
  <si>
    <t>Isoform 2 of Maspardin</t>
  </si>
  <si>
    <t>Isoform 2 of Upstream-binding protein 1</t>
  </si>
  <si>
    <t>Insulin-like growth factor 2 mRNA-binding protein 1</t>
  </si>
  <si>
    <t>Isoform 2 of Sacsin</t>
  </si>
  <si>
    <t>Eukaryotic translation initiation factor 2-alpha kinase 3</t>
  </si>
  <si>
    <t>Hexaprenyldihydroxybenzoate methyltransferase, mitochondrial</t>
  </si>
  <si>
    <t>Isoform 2 of Diphosphoinositol polyphosphate phosphohydrolase 2</t>
  </si>
  <si>
    <t>Hsp70-binding protein 1</t>
  </si>
  <si>
    <t>Methionine adenosyltransferase 2 subunit beta</t>
  </si>
  <si>
    <t>Isoform 2 of Intersectin-2</t>
  </si>
  <si>
    <t>Isoform 2 of Glioma tumor suppressor candidate region gene 1 protein</t>
  </si>
  <si>
    <t>Complement C1r subcomponent-like protein</t>
  </si>
  <si>
    <t>Isoform 3 of NCK-interacting protein with SH3 domain</t>
  </si>
  <si>
    <t>Isoform 2 of Opioid growth factor receptor</t>
  </si>
  <si>
    <t>LIM and cysteine-rich domains protein 1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</si>
  <si>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</si>
  <si>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</si>
  <si>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</si>
  <si>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</si>
  <si>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</si>
  <si>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Cysteine-rich PDZ-binding protein</t>
  </si>
  <si>
    <t>Thyroid transcription factor 1-associated protein 26</t>
  </si>
  <si>
    <t>NADH dehydrogenase [ubiquinone] 1 alpha subcomplex assembly factor 4</t>
  </si>
  <si>
    <t>Very-long-chain (3R)-3-hydroxyacyl-[acyl-carrier protein] dehydratase 3</t>
  </si>
  <si>
    <t>Coiled-coil domain-containing protein 167</t>
  </si>
  <si>
    <t>ER membrane protein complex subunit 3</t>
  </si>
  <si>
    <t>[Pyruvate dehydrogenase [acetyl-transferring]]-phosphatase 1, mitochondrial</t>
  </si>
  <si>
    <t>Vesicle-associated membrane protein-associated protein A</t>
  </si>
  <si>
    <t>E3 ubiquitin-protein ligase RNF181</t>
  </si>
  <si>
    <t>GSK3-beta interaction protein</t>
  </si>
  <si>
    <t>Cytochrome c oxidase assembly protein COX16 homolog, mitochondrial</t>
  </si>
  <si>
    <t>CpG-binding protein</t>
  </si>
  <si>
    <t>SH3 domain-binding protein 4</t>
  </si>
  <si>
    <t>Isoform 2 of SWI/SNF-related matrix-associated actin-dependent regulator of chromatin subfamily E member 1-related</t>
  </si>
  <si>
    <t>Peroxisomal sarcosine oxidase</t>
  </si>
  <si>
    <t>Costars family protein ABRACL</t>
  </si>
  <si>
    <t>Actin-related protein 3B</t>
  </si>
  <si>
    <t>Calmodulin-regulated spectrin-associated protein 3</t>
  </si>
  <si>
    <t>Isoform 2 of Calcium-binding and coiled-coil domain-containing protein 1</t>
  </si>
  <si>
    <t>Isoform 2 of Uncharacterized protein KIAA1522</t>
  </si>
  <si>
    <t>Protein Daple</t>
  </si>
  <si>
    <t>Vacuolar protein sorting-associated protein 18 homolog</t>
  </si>
  <si>
    <t>Protein RCC2</t>
  </si>
  <si>
    <t>LisH domain and HEAT repeat-containing protein KIAA1468</t>
  </si>
  <si>
    <t>Disco-interacting protein 2 homolog B</t>
  </si>
  <si>
    <t>Junctional protein associated with coronary artery disease</t>
  </si>
  <si>
    <t>SLAIN motif-containing protein 2</t>
  </si>
  <si>
    <t>Teneurin-3</t>
  </si>
  <si>
    <t>BRCA2 and CDKN1A-interacting protein</t>
  </si>
  <si>
    <t>Isoform 2 of BRCA2 and CDKN1A-interacting protein</t>
  </si>
  <si>
    <t>Prostaglandin F2 receptor negative regulator</t>
  </si>
  <si>
    <t>CTTNBP2 N-terminal-like protein</t>
  </si>
  <si>
    <t>Transmembrane protein 181</t>
  </si>
  <si>
    <t>Chromodomain-helicase-DNA-binding protein 7</t>
  </si>
  <si>
    <t>Isoform 3 of HEAT repeat-containing protein 5B</t>
  </si>
  <si>
    <t>Ribosome-binding protein 1</t>
  </si>
  <si>
    <t>Cleavage and polyadenylation specificity factor subunit 2</t>
  </si>
  <si>
    <t>[Pyruvate dehydrogenase [acetyl-transferring]]-phosphatase 2, mitochondrial</t>
  </si>
  <si>
    <t>Thioredoxin domain-containing protein 16</t>
  </si>
  <si>
    <t>REST corepressor 3</t>
  </si>
  <si>
    <t>Isoform 2 of Myelin expression factor 2</t>
  </si>
  <si>
    <t>Kelch-like protein 42</t>
  </si>
  <si>
    <t>Cingulin</t>
  </si>
  <si>
    <t>RNA-binding protein 27</t>
  </si>
  <si>
    <t>Ankyrin repeat and FYVE domain-containing protein 1</t>
  </si>
  <si>
    <t>Arginine-glutamic acid dipeptide repeats protein</t>
  </si>
  <si>
    <t>Isoform 2 of Homologous-pairing protein 2 homolog</t>
  </si>
  <si>
    <t>Dolichol-phosphate mannosyltransferase subunit 3</t>
  </si>
  <si>
    <t>Zinc finger protein 219</t>
  </si>
  <si>
    <t>Ataxin-10</t>
  </si>
  <si>
    <t>Methyl-CpG-binding domain protein 2</t>
  </si>
  <si>
    <t>Neurochondrin</t>
  </si>
  <si>
    <t>Tuftelin-interacting protein 11</t>
  </si>
  <si>
    <t>Isoform 2 of Epidermal growth factor receptor substrate 15-like 1</t>
  </si>
  <si>
    <t>Isoform 4 of Epidermal growth factor receptor substrate 15-like 1</t>
  </si>
  <si>
    <t>Origin recognition complex subunit 3</t>
  </si>
  <si>
    <t>SUMO-activating enzyme subunit 1</t>
  </si>
  <si>
    <t>Coatomer subunit gamma-2</t>
  </si>
  <si>
    <t>RING-box protein 2</t>
  </si>
  <si>
    <t>Isoform 2 of Phosphatidylinositol 4-kinase beta</t>
  </si>
  <si>
    <t>Guanine nucleotide-binding protein G(I)/G(S)/G(O) subunit gamma-12</t>
  </si>
  <si>
    <t>Isoform B of Methionine synthase reductase</t>
  </si>
  <si>
    <t>Protein UXT</t>
  </si>
  <si>
    <t>Isoform 3 of Set1/Ash2 histone methyltransferase complex subunit ASH2</t>
  </si>
  <si>
    <t>7-dehydrocholesterol reductase</t>
  </si>
  <si>
    <t>Tumor necrosis factor receptor superfamily member 10D</t>
  </si>
  <si>
    <t>Isoform 3 of Spastin</t>
  </si>
  <si>
    <t>tRNA (guanine-N(7)-)-methyltransferase</t>
  </si>
  <si>
    <t>Vacuolar protein sorting-associated protein 29</t>
  </si>
  <si>
    <t>Glyoxylate reductase/hydroxypyruvate reductase</t>
  </si>
  <si>
    <t>Cathepsin Z</t>
  </si>
  <si>
    <t>Ribosomal protein S6 kinase beta-2</t>
  </si>
  <si>
    <t>E3 ubiquitin-protein ligase RNF14</t>
  </si>
  <si>
    <t>SUMO-activating enzyme subunit 2</t>
  </si>
  <si>
    <t>Nuclear RNA export factor 1</t>
  </si>
  <si>
    <t>Protein sel-1 homolog 1</t>
  </si>
  <si>
    <t>Peflin</t>
  </si>
  <si>
    <t>Zinc finger MYM-type protein 2</t>
  </si>
  <si>
    <t>COP9 signalosome complex subunit 7a</t>
  </si>
  <si>
    <t>Isoform 2 of Zinc finger protein 69</t>
  </si>
  <si>
    <t>Protein phosphatase 1 regulatory subunit 1B</t>
  </si>
  <si>
    <t>Cytochrome b-c1 complex subunit 9</t>
  </si>
  <si>
    <t>Mitochondrial fission process protein 1</t>
  </si>
  <si>
    <t>Isoform C1 of Tight junction protein ZO-2</t>
  </si>
  <si>
    <t>DnaJ homolog subfamily B member 4</t>
  </si>
  <si>
    <t>Mucosa-associated lymphoid tissue lymphoma translocation protein 1</t>
  </si>
  <si>
    <t>Craniofacial development protein 1</t>
  </si>
  <si>
    <t>Zinc finger protein 629</t>
  </si>
  <si>
    <t>Myelin protein zero-like protein 1 (Fragment)</t>
  </si>
  <si>
    <t>Isoform 3 of Death domain-associated protein 6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</si>
  <si>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</si>
  <si>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</si>
  <si>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</si>
  <si>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</si>
  <si>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Leucine-rich repeat and WD repeat-containing protein 1</t>
  </si>
  <si>
    <t>UPF0449 protein C19orf25</t>
  </si>
  <si>
    <t>Protein NipSnap homolog 3A</t>
  </si>
  <si>
    <t>CGG triplet repeat-binding protein 1</t>
  </si>
  <si>
    <t>Isoform 2 of Phosphatidylserine decarboxylase proenzyme</t>
  </si>
  <si>
    <t>ATP-binding cassette sub-family F member 2</t>
  </si>
  <si>
    <t>Peptide chain release factor 1-like, mitochondrial</t>
  </si>
  <si>
    <t>Testin</t>
  </si>
  <si>
    <t>Signal-transducing adaptor protein 2</t>
  </si>
  <si>
    <t>Secretion-regulating guanine nucleotide exchange factor</t>
  </si>
  <si>
    <t>Tryptophan--tRNA ligase, mitochondrial</t>
  </si>
  <si>
    <t>LIM domain-containing protein 1</t>
  </si>
  <si>
    <t>Translocation protein SEC63 homolog</t>
  </si>
  <si>
    <t>Isoform 2 of Solute carrier family 2, facilitated glucose transporter member 6</t>
  </si>
  <si>
    <t>Isoform 2 of Zinc finger CCCH domain-containing protein 7B</t>
  </si>
  <si>
    <t>Isoform 2 of Transcription factor 20</t>
  </si>
  <si>
    <t>Protein NDRG3</t>
  </si>
  <si>
    <t>Armadillo repeat-containing X-linked protein 3</t>
  </si>
  <si>
    <t>Switch-associated protein 70</t>
  </si>
  <si>
    <t>Ragulator complex protein LAMTOR3</t>
  </si>
  <si>
    <t>LIM domain and actin-binding protein 1</t>
  </si>
  <si>
    <t>AF4/FMR2 family member 4</t>
  </si>
  <si>
    <t>Signal recognition particle subunit SRP68</t>
  </si>
  <si>
    <t>Cysteine and histidine-rich domain-containing protein 1</t>
  </si>
  <si>
    <t>Septin-9</t>
  </si>
  <si>
    <t>Ubiquilin-2</t>
  </si>
  <si>
    <t>Metalloreductase STEAP1</t>
  </si>
  <si>
    <t>Zinc finger transcription factor Trps1</t>
  </si>
  <si>
    <t>Prenylcysteine oxidase 1</t>
  </si>
  <si>
    <t>Probable ATP-dependent RNA helicase DDX20</t>
  </si>
  <si>
    <t>Isoform 2 of Scm-like with four MBT domains protein 1</t>
  </si>
  <si>
    <t>Sedoheptulokinase</t>
  </si>
  <si>
    <t>Alpha-methylacyl-CoA racemase</t>
  </si>
  <si>
    <t>Dipeptidyl peptidase 2</t>
  </si>
  <si>
    <t>DNA polymerase subunit gamma-2, mitochondrial</t>
  </si>
  <si>
    <t>Transmembrane protein 2</t>
  </si>
  <si>
    <t>Ubiquitin carboxyl-terminal hydrolase 25</t>
  </si>
  <si>
    <t>B-cell receptor-associated protein 29</t>
  </si>
  <si>
    <t>NADH-cytochrome b5 reductase 1</t>
  </si>
  <si>
    <t>Brain-specific angiogenesis inhibitor 1-associated protein 2-like protein 1</t>
  </si>
  <si>
    <t>Zinc finger HIT domain-containing protein 2</t>
  </si>
  <si>
    <t>Prefoldin subunit 2</t>
  </si>
  <si>
    <t>GPN-loop GTPase 3</t>
  </si>
  <si>
    <t>Isoform 4 of Poly(U)-binding-splicing factor PUF60</t>
  </si>
  <si>
    <t>Isoform 4 of EGF-like module-containing mucin-like hormone receptor-like 2</t>
  </si>
  <si>
    <t>Nuclear receptor-binding protein</t>
  </si>
  <si>
    <t>Enolase-phosphatase E1</t>
  </si>
  <si>
    <t>Translation initiation factor eIF-2B subunit delta</t>
  </si>
  <si>
    <t>Isoform 2 of V-type proton ATPase subunit H</t>
  </si>
  <si>
    <t>Transgelin-3</t>
  </si>
  <si>
    <t>Importin-11</t>
  </si>
  <si>
    <t>tRNA methyltransferase 112 homolog</t>
  </si>
  <si>
    <t>Glutaminase liver isoform, mitochondrial</t>
  </si>
  <si>
    <t>Isoform 2 of Dachshund homolog 1</t>
  </si>
  <si>
    <t>Leucine carboxyl methyltransferase 1</t>
  </si>
  <si>
    <t>Vacuolar protein sorting-associated protein 51 homolog</t>
  </si>
  <si>
    <t>ATPase inhibitor, mitochondrial</t>
  </si>
  <si>
    <t>GTP:AMP phosphotransferase AK3, mitochondrial</t>
  </si>
  <si>
    <t>Death-associated protein kinase 2</t>
  </si>
  <si>
    <t>Isoform 3 of Short coiled-coil protein</t>
  </si>
  <si>
    <t>FK506-binding protein-like</t>
  </si>
  <si>
    <t>Isoform 3 of Leucyl-cystinyl aminopeptidase</t>
  </si>
  <si>
    <t>Homeobox protein SIX4</t>
  </si>
  <si>
    <t>Gamma-glutamyltransferase 7</t>
  </si>
  <si>
    <t>Isoform 2 of Mitochondrial peptide methionine sulfoxide reductase</t>
  </si>
  <si>
    <t>Isoform 2 of Cardiolipin synthase</t>
  </si>
  <si>
    <t>tRNA (adenine(58)-N(1))-methyltransferase non-catalytic subunit TRM6</t>
  </si>
  <si>
    <t>Ectonucleotide pyrophosphatase/phosphodiesterase family member 5</t>
  </si>
  <si>
    <t>SH3 domain-binding glutamic acid-rich-like protein 2</t>
  </si>
  <si>
    <t>Ribosome biogenesis protein TSR3 homolog</t>
  </si>
  <si>
    <t>Calcium-binding mitochondrial carrier protein Aralar2</t>
  </si>
  <si>
    <t>Tubulin epsilon chain</t>
  </si>
  <si>
    <t>Drebrin-like protein</t>
  </si>
  <si>
    <t>Isoform 2 of Drebrin-like protein</t>
  </si>
  <si>
    <t>Dynactin subunit 4</t>
  </si>
  <si>
    <t>Isoform 2 of Anaphase-promoting complex subunit 7</t>
  </si>
  <si>
    <t>Isoform 2 of Anaphase-promoting complex subunit 4</t>
  </si>
  <si>
    <t>Isoform 2 of Anaphase-promoting complex subunit 2</t>
  </si>
  <si>
    <t>ADP-ribosylation factor-binding protein GGA2</t>
  </si>
  <si>
    <t>Isoform 4 of ADP-ribosylation factor-binding protein GGA1</t>
  </si>
  <si>
    <t>Stomatin-like protein 2, mitochondrial</t>
  </si>
  <si>
    <t>F-box only protein 2</t>
  </si>
  <si>
    <t>N-acetylglucosamine-1-phosphodiester alpha-N-acetylglucosaminidase</t>
  </si>
  <si>
    <t>Vacuolar protein sorting-associated protein 28 homolog</t>
  </si>
  <si>
    <t>U6 snRNA-associated Sm-like protein LSm7</t>
  </si>
  <si>
    <t>Isoform 2 of Inhibitor of growth protein 1</t>
  </si>
  <si>
    <t>Lariat debranching enzyme</t>
  </si>
  <si>
    <t>Hematological and neurological expressed 1 protein</t>
  </si>
  <si>
    <t>Isoform 3 of F-box only protein 9</t>
  </si>
  <si>
    <t>F-box/LRR-repeat protein 4</t>
  </si>
  <si>
    <t>A-kinase anchor protein 11</t>
  </si>
  <si>
    <t>DnaJ homolog subfamily C member 12</t>
  </si>
  <si>
    <t>Adherens junction-associated protein 1</t>
  </si>
  <si>
    <t>mRNA turnover protein 4 homolog</t>
  </si>
  <si>
    <t>Cleavage and polyadenylation specificity factor subunit 3</t>
  </si>
  <si>
    <t>DCC-interacting protein 13-alpha</t>
  </si>
  <si>
    <t>Isoform 5 of Serine/threonine-protein kinase tousled-like 1</t>
  </si>
  <si>
    <t>G patch domain-containing protein 8</t>
  </si>
  <si>
    <t>ADP-sugar pyrophosphatase</t>
  </si>
  <si>
    <t>CASP8-associated protein 2</t>
  </si>
  <si>
    <t>Phosphatidylcholine transfer protein</t>
  </si>
  <si>
    <t>Endoplasmic reticulum mannosyl-oligosaccharide 1,2-alpha-mannosidase</t>
  </si>
  <si>
    <t>General transcription factor 3C polypeptide 4</t>
  </si>
  <si>
    <t>Isoform 2 of Disintegrin and metalloproteinase domain-containing protein 28</t>
  </si>
  <si>
    <t>Probable ergosterol biosynthetic protein 28</t>
  </si>
  <si>
    <t>Protein kinase C and casein kinase substrate in neurons protein 3</t>
  </si>
  <si>
    <t>F-box only protein 4</t>
  </si>
  <si>
    <t>Isobutyryl-CoA dehydrogenase, mitochondrial</t>
  </si>
  <si>
    <t>Protein argonaute-2</t>
  </si>
  <si>
    <t>Isoform 2 of Nuclear pore complex protein Nup50</t>
  </si>
  <si>
    <t>Protein CDV3 homolog</t>
  </si>
  <si>
    <t>CCR4-NOT transcription complex subunit 11</t>
  </si>
  <si>
    <t>BAG family molecular chaperone regulator 5</t>
  </si>
  <si>
    <t>Protein argonaute-1</t>
  </si>
  <si>
    <t>Ras-related protein Rab-21</t>
  </si>
  <si>
    <t>Ras-related protein Rab-22A</t>
  </si>
  <si>
    <t>Paraneoplastic antigen Ma2</t>
  </si>
  <si>
    <t>Proteasome activator complex subunit 2</t>
  </si>
  <si>
    <t>Isoform 2 of Serine/threonine-protein kinase TAO2</t>
  </si>
  <si>
    <t>Muskelin</t>
  </si>
  <si>
    <t>Ras-related protein Rab-23</t>
  </si>
  <si>
    <t>Malignant T-cell-amplified sequence 1</t>
  </si>
  <si>
    <t>Long-chain-fatty-acid--CoA ligase 5</t>
  </si>
  <si>
    <t>Zinc finger protein 608</t>
  </si>
  <si>
    <t>Paladin</t>
  </si>
  <si>
    <t>Zinc transporter ZIP10</t>
  </si>
  <si>
    <t>Isoform 2 of Kinase D-interacting substrate of 220 kDa</t>
  </si>
  <si>
    <t>Isoform 4 of MKL/myocardin-like protein 2</t>
  </si>
  <si>
    <t>Zinc finger MIZ domain-containing protein 1</t>
  </si>
  <si>
    <t>Neurabin-1</t>
  </si>
  <si>
    <t>Isoform 3 of Proline-rich protein 12</t>
  </si>
  <si>
    <t>YEATS domain-containing protein 2</t>
  </si>
  <si>
    <t>Isoform 2 of TBC1 domain family member 24</t>
  </si>
  <si>
    <t>Pre-mRNA-splicing factor ISY1 homolog</t>
  </si>
  <si>
    <t>Protein phosphatase 1H</t>
  </si>
  <si>
    <t>E3 ubiquitin-protein ligase HECTD1</t>
  </si>
  <si>
    <t>Coronin-1C</t>
  </si>
  <si>
    <t>Targeting protein for Xklp2</t>
  </si>
  <si>
    <t>RNA-binding protein NOB1</t>
  </si>
  <si>
    <t>A-kinase anchor protein 8-like</t>
  </si>
  <si>
    <t>Transcription factor MafF</t>
  </si>
  <si>
    <t>Isoform 2 of Apoptosis-associated speck-like protein containing a CARD</t>
  </si>
  <si>
    <t>Isoform 3 of NFU1 iron-sulfur cluster scaffold homolog, mitochondrial</t>
  </si>
  <si>
    <t>Pre-mRNA-processing factor 19</t>
  </si>
  <si>
    <t>Ubiquilin-1</t>
  </si>
  <si>
    <t>Neudesin</t>
  </si>
  <si>
    <t>Nucleolar protein 7</t>
  </si>
  <si>
    <t>Isoform 2 of Sorting nexin-12</t>
  </si>
  <si>
    <t>Isoform 5 of Synergin gamma</t>
  </si>
  <si>
    <t>Vacuolar protein sorting-associated protein 4A</t>
  </si>
  <si>
    <t>Transcription factor SOX-13</t>
  </si>
  <si>
    <t>Isoform B of Ras GTPase-activating protein-binding protein 2</t>
  </si>
  <si>
    <t>E3 ubiquitin-protein ligase CHIP</t>
  </si>
  <si>
    <t>Isoform 2 of Protein kinase C and casein kinase substrate in neurons protein 2</t>
  </si>
  <si>
    <t>Melanoma-associated antigen D2</t>
  </si>
  <si>
    <t>Sorting nexin-6</t>
  </si>
  <si>
    <t>Dual specificity protein phosphatase 12</t>
  </si>
  <si>
    <t>Syntaxin-8</t>
  </si>
  <si>
    <t>Protein angel homolog 1</t>
  </si>
  <si>
    <t>26S proteasome non-ATPase regulatory subunit 13</t>
  </si>
  <si>
    <t>FAS-associated factor 1</t>
  </si>
  <si>
    <t>Peptidyl-prolyl cis-trans isomerase E</t>
  </si>
  <si>
    <t>Isoform 2 of Protein timeless homolog</t>
  </si>
  <si>
    <t>COP9 signalosome complex subunit 3</t>
  </si>
  <si>
    <t>Multiple inositol polyphosphate phosphatase 1</t>
  </si>
  <si>
    <t>WD repeat-containing protein 3</t>
  </si>
  <si>
    <t>Transcription termination factor 2</t>
  </si>
  <si>
    <t>Leydig cell tumor 10 kDa protein homolog</t>
  </si>
  <si>
    <t>Isoform 3 of Conserved oligomeric Golgi complex subunit 5</t>
  </si>
  <si>
    <t>Protein SCAF8</t>
  </si>
  <si>
    <t>Serine/threonine-protein phosphatase 6 regulatory subunit 1</t>
  </si>
  <si>
    <t>Isoform Beta of E3 ubiquitin-protein ligase TRIM33</t>
  </si>
  <si>
    <t>Isoform 4 of Histone lysine demethylase PHF8</t>
  </si>
  <si>
    <t>Isoform 2 of Trinucleotide repeat-containing gene 6B protein</t>
  </si>
  <si>
    <t>Isoform 1 of Exocyst complex component 7</t>
  </si>
  <si>
    <t>Zinc finger CCCH domain-containing protein 4</t>
  </si>
  <si>
    <t>Isoform 2 of Ubiquitin carboxyl-terminal hydrolase 22</t>
  </si>
  <si>
    <t>Ubiquitin carboxyl-terminal hydrolase 24</t>
  </si>
  <si>
    <t>Cytosolic carboxypeptidase 1</t>
  </si>
  <si>
    <t>Endoribonuclease Dicer</t>
  </si>
  <si>
    <t>Cystine/glutamate transporter</t>
  </si>
  <si>
    <t>Isoform 2 of Hermansky-Pudlak syndrome 5 protein</t>
  </si>
  <si>
    <t>Isoform 2 of Leucine-rich repeat protein SHOC-2</t>
  </si>
  <si>
    <t>Serine/arginine repetitive matrix protein 2</t>
  </si>
  <si>
    <t>Proliferation-associated protein 2G4</t>
  </si>
  <si>
    <t>Paraplegin</t>
  </si>
  <si>
    <t>Isoform 5 of Brain-specific angiogenesis inhibitor 1-associated protein 2</t>
  </si>
  <si>
    <t>Isoform 2 of GRB2-associated-binding protein 2</t>
  </si>
  <si>
    <t>Structural maintenance of chromosomes protein 3</t>
  </si>
  <si>
    <t>Ubiquitin-conjugating enzyme 1 isoform</t>
  </si>
  <si>
    <t>Charged multivesicular body protein 2b</t>
  </si>
  <si>
    <t>Myotubularin-related protein 6</t>
  </si>
  <si>
    <t>Protein jagged-2</t>
  </si>
  <si>
    <t>Isoform 2 of 60S ribosome subunit biogenesis protein NIP7 homolog</t>
  </si>
  <si>
    <t>Bifunctional UDP-N-acetylglucosamine 2-epimerase/N-acetylmannosamine kinase</t>
  </si>
  <si>
    <t>UPF0568 protein C14orf166</t>
  </si>
  <si>
    <t>RuvB-like 2</t>
  </si>
  <si>
    <t>Isoform 2 of Chromodomain Y-like protein</t>
  </si>
  <si>
    <t>Lipoyltransferase 1, mitochondrial</t>
  </si>
  <si>
    <t>Probable C-&gt;U-editing enzyme APOBEC-2</t>
  </si>
  <si>
    <t>Peptidyl-prolyl cis-trans isomerase NIMA-interacting 4</t>
  </si>
  <si>
    <t>Transcription factor 19</t>
  </si>
  <si>
    <t>Isoform 2 of RAC-gamma serine/threonine-protein kinase</t>
  </si>
  <si>
    <t>Proteasome maturation protein</t>
  </si>
  <si>
    <t>Protein FAM50B</t>
  </si>
  <si>
    <t>DNA replication complex GINS protein PSF2</t>
  </si>
  <si>
    <t>Choline/ethanolamine kinase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</si>
  <si>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</si>
  <si>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</si>
  <si>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</si>
  <si>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</si>
  <si>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</si>
  <si>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</si>
  <si>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Sodium-dependent multivitamin transporter</t>
  </si>
  <si>
    <t>Histone chaperone ASF1A</t>
  </si>
  <si>
    <t>Developmentally-regulated GTP-binding protein 1</t>
  </si>
  <si>
    <t>Trafficking protein particle complex subunit 4</t>
  </si>
  <si>
    <t>Nck-associated protein 1</t>
  </si>
  <si>
    <t>UDP-GlcNAc:betaGal beta-1,3-N-acetylglucosaminyltransferase 3</t>
  </si>
  <si>
    <t>Protein canopy homolog 2</t>
  </si>
  <si>
    <t>Nuclease EXOG, mitochondrial</t>
  </si>
  <si>
    <t>Carbonic anhydrase 5B, mitochondrial</t>
  </si>
  <si>
    <t>Exocyst complex component 6B</t>
  </si>
  <si>
    <t>A-kinase anchor protein 2</t>
  </si>
  <si>
    <t>GDP-fucose protein O-fucosyltransferase 2</t>
  </si>
  <si>
    <t>Isoform 3 of Disks large-associated protein 4</t>
  </si>
  <si>
    <t>Serine/threonine-protein kinase 38-like</t>
  </si>
  <si>
    <t>Isoform 2 of Fibronectin type-III domain-containing protein 3A</t>
  </si>
  <si>
    <t>Nischarin</t>
  </si>
  <si>
    <t>WD repeat-containing protein 37</t>
  </si>
  <si>
    <t>Ubiquitin carboxyl-terminal hydrolase 20</t>
  </si>
  <si>
    <t>Lysine-specific demethylase 2A</t>
  </si>
  <si>
    <t>Exosome complex exonuclease RRP44</t>
  </si>
  <si>
    <t>Isoform 2 of Leucine-rich repeat and calponin homology domain-containing protein 1</t>
  </si>
  <si>
    <t>Glutathione S-transferase kappa 1</t>
  </si>
  <si>
    <t>Ragulator complex protein LAMTOR2</t>
  </si>
  <si>
    <t>28S ribosomal protein S28, mitochondrial</t>
  </si>
  <si>
    <t>Cytochrome c oxidase assembly protein 3 homolog, mitochondrial</t>
  </si>
  <si>
    <t>Probable ATP-dependent RNA helicase DDX52</t>
  </si>
  <si>
    <t>DNA-directed RNA polymerases I and III subunit RPAC2</t>
  </si>
  <si>
    <t>Isoform 2 of Lambda-crystallin homolog</t>
  </si>
  <si>
    <t>Translation machinery-associated protein 7</t>
  </si>
  <si>
    <t>Polymerase delta-interacting protein 2</t>
  </si>
  <si>
    <t>AP-3 complex subunit mu-1</t>
  </si>
  <si>
    <t>Inner nuclear membrane protein Man1</t>
  </si>
  <si>
    <t>Calcium-regulated heat stable protein 1</t>
  </si>
  <si>
    <t>Isoform 2 of Conserved oligomeric Golgi complex subunit 6</t>
  </si>
  <si>
    <t>Thyroid hormone receptor-associated protein 3</t>
  </si>
  <si>
    <t>Isoform 2 of Mediator of RNA polymerase II transcription subunit 16</t>
  </si>
  <si>
    <t>Nucleolar protein 58</t>
  </si>
  <si>
    <t>Isoform 3 of ARF GTPase-activating protein GIT1</t>
  </si>
  <si>
    <t>DNA-directed RNA polymerase III subunit RPC10</t>
  </si>
  <si>
    <t>Isoform 2 of Suppressor of G2 allele of SKP1 homolog</t>
  </si>
  <si>
    <t>Isoform 5 of Protein MTO1 homolog, mitochondrial</t>
  </si>
  <si>
    <t>Tyrosine--tRNA ligase, mitochondrial</t>
  </si>
  <si>
    <t>Isoform 3 of Ubiquinone biosynthesis monooxygenase COQ6</t>
  </si>
  <si>
    <t>Putative N-acetylglucosamine-6-phosphate deacetylase</t>
  </si>
  <si>
    <t>Acyl-coenzyme A thioesterase 9, mitochondrial</t>
  </si>
  <si>
    <t>Nitric oxide synthase-interacting protein</t>
  </si>
  <si>
    <t>Putative deoxyribose-phosphate aldolase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</si>
  <si>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</si>
  <si>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</si>
  <si>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</si>
  <si>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</si>
  <si>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</si>
  <si>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</si>
  <si>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Putative RNA-binding protein Luc7-like 2</t>
  </si>
  <si>
    <t>RNA-binding motif protein, X-linked 2</t>
  </si>
  <si>
    <t>Isoform 2 of Dehydrogenase/reductase SDR family member 7</t>
  </si>
  <si>
    <t>28S ribosomal protein S2, mitochondrial</t>
  </si>
  <si>
    <t>Isoform 2 of Ubiquinone biosynthesis protein COQ4 homolog, mitochondrial</t>
  </si>
  <si>
    <t>Isoform 3 of MOB-like protein phocein</t>
  </si>
  <si>
    <t>Ribosome maturation protein SBDS</t>
  </si>
  <si>
    <t>Transmembrane emp24 domain-containing protein 5</t>
  </si>
  <si>
    <t>Protein slowmo homolog 2</t>
  </si>
  <si>
    <t>Exosome complex component CSL4</t>
  </si>
  <si>
    <t>Transmembrane emp24 domain-containing protein 7</t>
  </si>
  <si>
    <t>Pre-mRNA branch site protein p14</t>
  </si>
  <si>
    <t>Isoform 2 of 39S ribosomal protein L11, mitochondrial</t>
  </si>
  <si>
    <t>RRP15-like protein</t>
  </si>
  <si>
    <t>Nucleolar protein 16</t>
  </si>
  <si>
    <t>TP53RK-binding protein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</si>
  <si>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</si>
  <si>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</si>
  <si>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</si>
  <si>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</si>
  <si>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28S ribosomal protein S18c, mitochondrial</t>
  </si>
  <si>
    <t>Mitochondrial fission 1 protein</t>
  </si>
  <si>
    <t>Adenylate kinase isoenzyme 6</t>
  </si>
  <si>
    <t>28S ribosomal protein S23, mitochondrial</t>
  </si>
  <si>
    <t>BolA-like protein 1</t>
  </si>
  <si>
    <t>Isoform 4 of Charged multivesicular body protein 3</t>
  </si>
  <si>
    <t>Serine-threonine kinase receptor-associated protein</t>
  </si>
  <si>
    <t>tRNA-splicing ligase RtcB homolog</t>
  </si>
  <si>
    <t>F-box only protein 7</t>
  </si>
  <si>
    <t>Ras-related protein Rap-2c</t>
  </si>
  <si>
    <t>Signaling threshold-regulating transmembrane adapter 1</t>
  </si>
  <si>
    <t>Rab GTPase-activating protein 1</t>
  </si>
  <si>
    <t>Isoform 2 of Protein dopey-2</t>
  </si>
  <si>
    <t>Zinc finger protein 330</t>
  </si>
  <si>
    <t>R3H and coiled-coil domain-containing protein 1</t>
  </si>
  <si>
    <t>Nucleolar complex protein 2 homolog</t>
  </si>
  <si>
    <t>60S ribosomal protein L36</t>
  </si>
  <si>
    <t>Coiled-coil domain-containing protein 9</t>
  </si>
  <si>
    <t>Isoform 3 of Chromatin target of PRMT1 protein</t>
  </si>
  <si>
    <t>Deoxynucleoside triphosphate triphosphohydrolase SAMHD1</t>
  </si>
  <si>
    <t>Protein FAM32A</t>
  </si>
  <si>
    <t>Plakophilin-3</t>
  </si>
  <si>
    <t>Isoform 2 of Small kinetochore-associated protein</t>
  </si>
  <si>
    <t>HBS1-like protein</t>
  </si>
  <si>
    <t>5-AMP-activated protein kinase subunit beta-1</t>
  </si>
  <si>
    <t>V-type proton ATPase 116 kDa subunit a isoform 2</t>
  </si>
  <si>
    <t>Talin-1</t>
  </si>
  <si>
    <t>Protein VPRBP</t>
  </si>
  <si>
    <t>Lysine-specific demethylase 3A</t>
  </si>
  <si>
    <t>Isoform 2 of Protein FAM115A</t>
  </si>
  <si>
    <t>Isoform 2 of WASH complex subunit FAM21C</t>
  </si>
  <si>
    <t>Isoform 2 of WD repeat-containing protein 7</t>
  </si>
  <si>
    <t>Ubiquitin carboxyl-terminal hydrolase 15</t>
  </si>
  <si>
    <t>Insulin receptor substrate 2</t>
  </si>
  <si>
    <t>Absent in melanoma 1 protein</t>
  </si>
  <si>
    <t>TNF receptor-associated factor 6</t>
  </si>
  <si>
    <t>Mitogen-activated protein kinase kinase kinase kinase 5</t>
  </si>
  <si>
    <t>Hypoxia up-regulated protein 1</t>
  </si>
  <si>
    <t>Isoform 6 of Cysteine protease ATG4B</t>
  </si>
  <si>
    <t>Isoform 3 of WD repeat domain phosphoinositide-interacting protein 2</t>
  </si>
  <si>
    <t>Telomere length regulation protein TEL2 homolog</t>
  </si>
  <si>
    <t>Methylmalonic aciduria and homocystinuria type C protein</t>
  </si>
  <si>
    <t>AFG3-like protein 2</t>
  </si>
  <si>
    <t>Isoform 4 of AMME syndrome candidate gene 1 protein</t>
  </si>
  <si>
    <t>E3 ubiquitin-protein ligase ARIH1</t>
  </si>
  <si>
    <t>U6 snRNA-associated Sm-like protein LSm4</t>
  </si>
  <si>
    <t>RING finger protein 114</t>
  </si>
  <si>
    <t>Sorting and assembly machinery component 50 homolog</t>
  </si>
  <si>
    <t>Isoform 7 of Protein PRRC2C</t>
  </si>
  <si>
    <t>Protein phosphatase methylesterase 1</t>
  </si>
  <si>
    <t>Mitochondrial import inner membrane translocase subunit Tim22</t>
  </si>
  <si>
    <t>Isoform 2 of BTB/POZ domain-containing protein KCTD3</t>
  </si>
  <si>
    <t>Isoform 2 of YTH domain family protein 2</t>
  </si>
  <si>
    <t>RNA polymerase II subunit A C-terminal domain phosphatase</t>
  </si>
  <si>
    <t>PAX3- and PAX7-binding protein 1</t>
  </si>
  <si>
    <t>Nucleoside diphosphate kinase 7</t>
  </si>
  <si>
    <t>FACT complex subunit SPT16</t>
  </si>
  <si>
    <t>U3 small nucleolar RNA-associated protein 18 homolog</t>
  </si>
  <si>
    <t>Mitochondrial import inner membrane translocase subunit Tim10 B</t>
  </si>
  <si>
    <t>Mitochondrial import inner membrane translocase subunit Tim9</t>
  </si>
  <si>
    <t>Isoform 1 of Choline-phosphate cytidylyltransferase B</t>
  </si>
  <si>
    <t>Isoform 2 of Ubiquitin carboxyl-terminal hydrolase isozyme L5</t>
  </si>
  <si>
    <t>CD2-associated protein</t>
  </si>
  <si>
    <t>V-type proton ATPase subunit D</t>
  </si>
  <si>
    <t>Transportin-3</t>
  </si>
  <si>
    <t>Ectonucleoside triphosphate diphosphohydrolase 2</t>
  </si>
  <si>
    <t>Mitochondrial import inner membrane translocase subunit Tim13</t>
  </si>
  <si>
    <t>Signal recognition particle receptor subunit beta</t>
  </si>
  <si>
    <t>Isoform 2 of 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</si>
  <si>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</si>
  <si>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</si>
  <si>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</si>
  <si>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Trafficking protein particle complex subunit 1</t>
  </si>
  <si>
    <t>Serine/threonine-protein kinase MRCK beta</t>
  </si>
  <si>
    <t>RNA-binding protein 8A</t>
  </si>
  <si>
    <t>DnaJ homolog subfamily C member 15</t>
  </si>
  <si>
    <t>Isoform 2 of Protein TSSC4</t>
  </si>
  <si>
    <t>Zinc finger protein 706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</si>
  <si>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</si>
  <si>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</si>
  <si>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</si>
  <si>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</si>
  <si>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</si>
  <si>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Suppressor of tumorigenicity 14 protein</t>
  </si>
  <si>
    <t>Heme-binding protein 2</t>
  </si>
  <si>
    <t>MORF4 family-associated protein 1</t>
  </si>
  <si>
    <t>Isoform 2 of Leucine-rich repeat flightless-interacting protein 2</t>
  </si>
  <si>
    <t>FH1/FH2 domain-containing protein 1</t>
  </si>
  <si>
    <t>Phosphoserine aminotransferase</t>
  </si>
  <si>
    <t>Mitochondrial ornithine transporter 1</t>
  </si>
  <si>
    <t>Neuroplastin</t>
  </si>
  <si>
    <t>Carboxypeptidase Q</t>
  </si>
  <si>
    <t>Spindlin-1</t>
  </si>
  <si>
    <t>Solute carrier family 12 member 7</t>
  </si>
  <si>
    <t>Dolichyl-phosphate beta-glucosyltransferase</t>
  </si>
  <si>
    <t>Coatomer subunit gamma-1</t>
  </si>
  <si>
    <t>Isoform Short of Ancient ubiquitous protein 1</t>
  </si>
  <si>
    <t>Isoform 3 of Peptidyl-prolyl cis-trans isomerase FKBP7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</si>
  <si>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</si>
  <si>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</si>
  <si>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</si>
  <si>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</si>
  <si>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</si>
  <si>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</si>
  <si>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</si>
  <si>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</si>
  <si>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</si>
  <si>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Isoform A of Serine/threonine-protein kinase 24</t>
  </si>
  <si>
    <t>COMM domain-containing protein 10</t>
  </si>
  <si>
    <t>Cytoplasmic dynein 1 light intermediate chain 1</t>
  </si>
  <si>
    <t>Coiled-coil-helix-coiled-coil-helix domain-containing protein 2, mitochondrial</t>
  </si>
  <si>
    <t>Epsin-1</t>
  </si>
  <si>
    <t>Testis-expressed sequence 264 protein</t>
  </si>
  <si>
    <t>2-5-oligoadenylate synthase 3</t>
  </si>
  <si>
    <t>NF-kappa-B essential modulator</t>
  </si>
  <si>
    <t>Isoform 4 of Casein kinase I isoform gamma-3</t>
  </si>
  <si>
    <t>Zinc transporter 1</t>
  </si>
  <si>
    <t>NADH dehydrogenase [ubiquinone] 1 beta subcomplex subunit 9</t>
  </si>
  <si>
    <t>Cytochrome c oxidase assembly protein COX11, mitochondrial</t>
  </si>
  <si>
    <t>Sulfide:quinone oxidoreductase, mitochondrial</t>
  </si>
  <si>
    <t>Isoform 4 of Roundabout homolog 1</t>
  </si>
  <si>
    <t>AP-1 complex subunit mu-2</t>
  </si>
  <si>
    <t>Isoform 2 of Nuclear receptor coactivator 3</t>
  </si>
  <si>
    <t>Adseverin</t>
  </si>
  <si>
    <t>Probable ATP-dependent RNA helicase DDX49</t>
  </si>
  <si>
    <t>Calpain-7</t>
  </si>
  <si>
    <t>Wiskott-Aldrich syndrome protein family member 2</t>
  </si>
  <si>
    <t>Bis(5-adenosyl)-triphosphatase ENPP4</t>
  </si>
  <si>
    <t>Zinc fingers and homeoboxes protein 2</t>
  </si>
  <si>
    <t>MORC family CW-type zinc finger protein 2</t>
  </si>
  <si>
    <t>26S proteasome non-ATPase regulatory subunit 8</t>
  </si>
  <si>
    <t>GDH/6PGL endoplasmic bifunctional protein</t>
  </si>
  <si>
    <t>Polycomb complex protein BMI-1</t>
  </si>
  <si>
    <t>Ran-binding protein 10</t>
  </si>
  <si>
    <t>Serine protease 56</t>
  </si>
  <si>
    <t>Protein tyrosine phosphatase type IVA 2</t>
  </si>
  <si>
    <t>YTH domain family protein 3</t>
  </si>
  <si>
    <t>Protein S100-A6 (Fragment)</t>
  </si>
  <si>
    <t>Acyl-CoA synthetase family member 4</t>
  </si>
  <si>
    <t>DENN domain-containing protein 4C</t>
  </si>
  <si>
    <t>Pleckstrin homology-like domain family A member 1</t>
  </si>
  <si>
    <t>Adrenocortical dysplasia protein homolog (Fragment)</t>
  </si>
  <si>
    <t>26S protease regulatory subunit 6A</t>
  </si>
  <si>
    <t>UBA6</t>
  </si>
  <si>
    <t>KIAA1598</t>
  </si>
  <si>
    <t>KIAA0999</t>
  </si>
  <si>
    <t>MARVELD2</t>
  </si>
  <si>
    <t>ILVBL</t>
  </si>
  <si>
    <t>C17orf89</t>
  </si>
  <si>
    <t>SH3PXD2B</t>
  </si>
  <si>
    <t>ACO2</t>
  </si>
  <si>
    <t>AAR2</t>
  </si>
  <si>
    <t>VEGFA</t>
  </si>
  <si>
    <t>FRMD3</t>
  </si>
  <si>
    <t>HLA-C</t>
  </si>
  <si>
    <t>HLA-DQB1</t>
  </si>
  <si>
    <t>TYW5</t>
  </si>
  <si>
    <t>SBNO1</t>
  </si>
  <si>
    <t>ISPD</t>
  </si>
  <si>
    <t>FAM221A</t>
  </si>
  <si>
    <t>GTPBP10</t>
  </si>
  <si>
    <t>KLRG2</t>
  </si>
  <si>
    <t>LCHN</t>
  </si>
  <si>
    <t>DKFZP586J0619</t>
  </si>
  <si>
    <t>MBLAC1</t>
  </si>
  <si>
    <t>TMEM189</t>
  </si>
  <si>
    <t>CNOT1</t>
  </si>
  <si>
    <t>ARHGEF35</t>
  </si>
  <si>
    <t>CCDC88B</t>
  </si>
  <si>
    <t>PGP</t>
  </si>
  <si>
    <t>C5orf51</t>
  </si>
  <si>
    <t>RCCD1</t>
  </si>
  <si>
    <t>HCFC1</t>
  </si>
  <si>
    <t>PIGK</t>
  </si>
  <si>
    <t>TSPAN14</t>
  </si>
  <si>
    <t>BPNT1</t>
  </si>
  <si>
    <t>ZNF316</t>
  </si>
  <si>
    <t>CHMP1A</t>
  </si>
  <si>
    <t>PRCC</t>
  </si>
  <si>
    <t>DYNLT3</t>
  </si>
  <si>
    <t>ZMYM3</t>
  </si>
  <si>
    <t>TUBAL3</t>
  </si>
  <si>
    <t>FBLL1</t>
  </si>
  <si>
    <t>SMCHD1</t>
  </si>
  <si>
    <t>PKMYT1</t>
  </si>
  <si>
    <t>GATSL2</t>
  </si>
  <si>
    <t>UNC119B</t>
  </si>
  <si>
    <t>SPOCK2</t>
  </si>
  <si>
    <t>METTL15</t>
  </si>
  <si>
    <t>C13orf23</t>
  </si>
  <si>
    <t>LIPT2</t>
  </si>
  <si>
    <t>CCDC85C</t>
  </si>
  <si>
    <t>GPR89C</t>
  </si>
  <si>
    <t>SEPT8</t>
  </si>
  <si>
    <t>DIAPH2</t>
  </si>
  <si>
    <t>POLA1</t>
  </si>
  <si>
    <t>CD9</t>
  </si>
  <si>
    <t>PIP5K1A</t>
  </si>
  <si>
    <t>ZSWIM8</t>
  </si>
  <si>
    <t>ARHGAP32</t>
  </si>
  <si>
    <t>SOBP</t>
  </si>
  <si>
    <t>ZBTB8OS</t>
  </si>
  <si>
    <t>SELK</t>
  </si>
  <si>
    <t>HSPA8</t>
  </si>
  <si>
    <t>YDJC</t>
  </si>
  <si>
    <t>MLLT4</t>
  </si>
  <si>
    <t>RTFDC1</t>
  </si>
  <si>
    <t>RTN1</t>
  </si>
  <si>
    <t>FAM3B</t>
  </si>
  <si>
    <t>ARMC8</t>
  </si>
  <si>
    <t>POT1</t>
  </si>
  <si>
    <t>hCG_1988162</t>
  </si>
  <si>
    <t>DSCR3</t>
  </si>
  <si>
    <t>TMEM147</t>
  </si>
  <si>
    <t>HOOK1</t>
  </si>
  <si>
    <t>SUMO3</t>
  </si>
  <si>
    <t>TUBA4A</t>
  </si>
  <si>
    <t>BICD1</t>
  </si>
  <si>
    <t>PLRG1</t>
  </si>
  <si>
    <t>MT1F</t>
  </si>
  <si>
    <t>ERCC2</t>
  </si>
  <si>
    <t>REEP6</t>
  </si>
  <si>
    <t>MATR3</t>
  </si>
  <si>
    <t>PTTG1IP</t>
  </si>
  <si>
    <t>NUDT19</t>
  </si>
  <si>
    <t>PIK3C3</t>
  </si>
  <si>
    <t>RUNX1</t>
  </si>
  <si>
    <t>MIF4GD</t>
  </si>
  <si>
    <t>SRRM1</t>
  </si>
  <si>
    <t>EIF3L</t>
  </si>
  <si>
    <t>SMCR7L</t>
  </si>
  <si>
    <t>TBC1D22A</t>
  </si>
  <si>
    <t>EWSR1</t>
  </si>
  <si>
    <t>SLC25A17</t>
  </si>
  <si>
    <t>BAG6</t>
  </si>
  <si>
    <t>ABHD16A</t>
  </si>
  <si>
    <t>EHMT2</t>
  </si>
  <si>
    <t>VARS</t>
  </si>
  <si>
    <t>PSMB9</t>
  </si>
  <si>
    <t>APOC3</t>
  </si>
  <si>
    <t>VIM</t>
  </si>
  <si>
    <t>TSPO</t>
  </si>
  <si>
    <t>NHP2L1</t>
  </si>
  <si>
    <t>FGF13</t>
  </si>
  <si>
    <t>HMGCL</t>
  </si>
  <si>
    <t>ESPN</t>
  </si>
  <si>
    <t>NRD1</t>
  </si>
  <si>
    <t>OSBPL9</t>
  </si>
  <si>
    <t>EIF4ENIF1</t>
  </si>
  <si>
    <t>NFIA</t>
  </si>
  <si>
    <t>ATP1A2</t>
  </si>
  <si>
    <t>CDC37L1</t>
  </si>
  <si>
    <t>SMG7</t>
  </si>
  <si>
    <t>PHYH</t>
  </si>
  <si>
    <t>ARHGEF7</t>
  </si>
  <si>
    <t>TMEM9</t>
  </si>
  <si>
    <t>UBE2J2</t>
  </si>
  <si>
    <t>SEPT6</t>
  </si>
  <si>
    <t>CD58</t>
  </si>
  <si>
    <t>EIF4G3</t>
  </si>
  <si>
    <t>PRSS3</t>
  </si>
  <si>
    <t>GUK1</t>
  </si>
  <si>
    <t>USF1</t>
  </si>
  <si>
    <t>MUC1</t>
  </si>
  <si>
    <t>PSAP</t>
  </si>
  <si>
    <t>TAP1</t>
  </si>
  <si>
    <t>STBD1</t>
  </si>
  <si>
    <t>PHC2</t>
  </si>
  <si>
    <t>WBSCR22</t>
  </si>
  <si>
    <t>EIF3S3</t>
  </si>
  <si>
    <t>EIF3F</t>
  </si>
  <si>
    <t>LZTFL1</t>
  </si>
  <si>
    <t>DCLRE1C</t>
  </si>
  <si>
    <t>SOD2</t>
  </si>
  <si>
    <t>UXS1</t>
  </si>
  <si>
    <t>PHF23</t>
  </si>
  <si>
    <t>CENPH</t>
  </si>
  <si>
    <t>DDX58</t>
  </si>
  <si>
    <t>AP1G1</t>
  </si>
  <si>
    <t>SLC12A6</t>
  </si>
  <si>
    <t>CDIPT</t>
  </si>
  <si>
    <t>ARL6IP4</t>
  </si>
  <si>
    <t>CNN2</t>
  </si>
  <si>
    <t>CLPTM1</t>
  </si>
  <si>
    <t>SIRT6</t>
  </si>
  <si>
    <t>HARS2</t>
  </si>
  <si>
    <t>PRNPIP</t>
  </si>
  <si>
    <t>HUS1</t>
  </si>
  <si>
    <t>COMMD1</t>
  </si>
  <si>
    <t>DYNLRB1</t>
  </si>
  <si>
    <t>CTNNB1</t>
  </si>
  <si>
    <t>PIP4K2A</t>
  </si>
  <si>
    <t>DCUN1D4</t>
  </si>
  <si>
    <t>MAP1S</t>
  </si>
  <si>
    <t>MSI2</t>
  </si>
  <si>
    <t>PIP5K1B</t>
  </si>
  <si>
    <t>RAB5A</t>
  </si>
  <si>
    <t>DHRS13</t>
  </si>
  <si>
    <t>SLC25A14</t>
  </si>
  <si>
    <t>SNRPD3</t>
  </si>
  <si>
    <t>CS</t>
  </si>
  <si>
    <t>PWP1</t>
  </si>
  <si>
    <t>ZNF286A</t>
  </si>
  <si>
    <t>LSR</t>
  </si>
  <si>
    <t>CHURC1-FNTB</t>
  </si>
  <si>
    <t>SLC25A10</t>
  </si>
  <si>
    <t>NQO1</t>
  </si>
  <si>
    <t>RPS6KB1</t>
  </si>
  <si>
    <t>PGS1</t>
  </si>
  <si>
    <t>RNF220</t>
  </si>
  <si>
    <t>FAM45A</t>
  </si>
  <si>
    <t>PTGES3</t>
  </si>
  <si>
    <t>TOX4</t>
  </si>
  <si>
    <t>PGD</t>
  </si>
  <si>
    <t>MAEA</t>
  </si>
  <si>
    <t>HIST2H2BF</t>
  </si>
  <si>
    <t>SEC61A1</t>
  </si>
  <si>
    <t>CHM</t>
  </si>
  <si>
    <t>ZDHHC20</t>
  </si>
  <si>
    <t>SH2D3A</t>
  </si>
  <si>
    <t>C9orf41</t>
  </si>
  <si>
    <t>PTBP2</t>
  </si>
  <si>
    <t>ANXA7</t>
  </si>
  <si>
    <t>SLC25A46</t>
  </si>
  <si>
    <t>SLC35F2</t>
  </si>
  <si>
    <t>MYLK</t>
  </si>
  <si>
    <t>SERINC3</t>
  </si>
  <si>
    <t>ANXA11</t>
  </si>
  <si>
    <t>EIF3D</t>
  </si>
  <si>
    <t>HACL1</t>
  </si>
  <si>
    <t>CNKSR1</t>
  </si>
  <si>
    <t>FXR1</t>
  </si>
  <si>
    <t>NUP35</t>
  </si>
  <si>
    <t>JAG1</t>
  </si>
  <si>
    <t>SYPL2</t>
  </si>
  <si>
    <t>HDAC6</t>
  </si>
  <si>
    <t>TMEM134</t>
  </si>
  <si>
    <t>PEX5</t>
  </si>
  <si>
    <t>PBXIP1</t>
  </si>
  <si>
    <t>ARMC6</t>
  </si>
  <si>
    <t>RIOK3</t>
  </si>
  <si>
    <t>SDC4</t>
  </si>
  <si>
    <t>NET1</t>
  </si>
  <si>
    <t>SFRS3</t>
  </si>
  <si>
    <t>LAMP2</t>
  </si>
  <si>
    <t>STOM</t>
  </si>
  <si>
    <t>HADHB</t>
  </si>
  <si>
    <t>METTL13</t>
  </si>
  <si>
    <t>USP28</t>
  </si>
  <si>
    <t>CHCHD10</t>
  </si>
  <si>
    <t>EML4</t>
  </si>
  <si>
    <t>MPV17</t>
  </si>
  <si>
    <t>EPCAM</t>
  </si>
  <si>
    <t>PES1</t>
  </si>
  <si>
    <t>PPM1F</t>
  </si>
  <si>
    <t>RFT1</t>
  </si>
  <si>
    <t>C2orf43</t>
  </si>
  <si>
    <t>METTL8</t>
  </si>
  <si>
    <t>PPP1R12C</t>
  </si>
  <si>
    <t>CWC22</t>
  </si>
  <si>
    <t>EML3</t>
  </si>
  <si>
    <t>RIC8B</t>
  </si>
  <si>
    <t>CNNM4</t>
  </si>
  <si>
    <t>DTNB</t>
  </si>
  <si>
    <t>PDIA6</t>
  </si>
  <si>
    <t>RPS6KA5</t>
  </si>
  <si>
    <t>MTMR1</t>
  </si>
  <si>
    <t>ALAD</t>
  </si>
  <si>
    <t>TBCE</t>
  </si>
  <si>
    <t>NPEPPS</t>
  </si>
  <si>
    <t>FGD4</t>
  </si>
  <si>
    <t>DNASE2</t>
  </si>
  <si>
    <t>CCBL1</t>
  </si>
  <si>
    <t>F11R</t>
  </si>
  <si>
    <t>SLC27A1</t>
  </si>
  <si>
    <t>ABR</t>
  </si>
  <si>
    <t>ZNF346</t>
  </si>
  <si>
    <t>DECR1</t>
  </si>
  <si>
    <t>TNFAIP1</t>
  </si>
  <si>
    <t>GTPBP4</t>
  </si>
  <si>
    <t>RANBP3</t>
  </si>
  <si>
    <t>ZKSCAN4</t>
  </si>
  <si>
    <t>USP7</t>
  </si>
  <si>
    <t>DHCR24</t>
  </si>
  <si>
    <t>ATP6AP2</t>
  </si>
  <si>
    <t>CALB1</t>
  </si>
  <si>
    <t>ATP1B1</t>
  </si>
  <si>
    <t>PMS1</t>
  </si>
  <si>
    <t>GALK2</t>
  </si>
  <si>
    <t>PPP1R3G</t>
  </si>
  <si>
    <t>SH3GLB2</t>
  </si>
  <si>
    <t>PPP2R5E</t>
  </si>
  <si>
    <t>SCARB1</t>
  </si>
  <si>
    <t>SMPD3</t>
  </si>
  <si>
    <t>COX18</t>
  </si>
  <si>
    <t>CLASP1</t>
  </si>
  <si>
    <t>EDEM3</t>
  </si>
  <si>
    <t>RLTPR</t>
  </si>
  <si>
    <t>CCDC115</t>
  </si>
  <si>
    <t>PIGQ</t>
  </si>
  <si>
    <t>LSM5</t>
  </si>
  <si>
    <t>STK16</t>
  </si>
  <si>
    <t>SUMO1</t>
  </si>
  <si>
    <t>PTMA</t>
  </si>
  <si>
    <t>NAB1</t>
  </si>
  <si>
    <t>ATF2</t>
  </si>
  <si>
    <t>COQ10B</t>
  </si>
  <si>
    <t>TXNDC9</t>
  </si>
  <si>
    <t>AGFG1</t>
  </si>
  <si>
    <t>USP39</t>
  </si>
  <si>
    <t>COA5</t>
  </si>
  <si>
    <t>IMMT</t>
  </si>
  <si>
    <t>BAK1</t>
  </si>
  <si>
    <t>ATG12</t>
  </si>
  <si>
    <t>KREMEN1</t>
  </si>
  <si>
    <t>WASH3P</t>
  </si>
  <si>
    <t>MAZ</t>
  </si>
  <si>
    <t>MED30S</t>
  </si>
  <si>
    <t>MKRN1</t>
  </si>
  <si>
    <t>NDUFB2</t>
  </si>
  <si>
    <t>ZC3HC1</t>
  </si>
  <si>
    <t>CCDC126</t>
  </si>
  <si>
    <t>PFN2</t>
  </si>
  <si>
    <t>SRI</t>
  </si>
  <si>
    <t>PMS2</t>
  </si>
  <si>
    <t>DNAJB2</t>
  </si>
  <si>
    <t>MEGF9</t>
  </si>
  <si>
    <t>UBE2F</t>
  </si>
  <si>
    <t>SLC4A10</t>
  </si>
  <si>
    <t>UBE2E1</t>
  </si>
  <si>
    <t>CBLL1</t>
  </si>
  <si>
    <t>TAMM41</t>
  </si>
  <si>
    <t>POLR2B</t>
  </si>
  <si>
    <t>B4GALT4</t>
  </si>
  <si>
    <t>MKRN2</t>
  </si>
  <si>
    <t>C2orf49</t>
  </si>
  <si>
    <t>IL8</t>
  </si>
  <si>
    <t>RPL37A</t>
  </si>
  <si>
    <t>PDCD10</t>
  </si>
  <si>
    <t>IGF1R</t>
  </si>
  <si>
    <t>ARHGAP31</t>
  </si>
  <si>
    <t>TANGO2</t>
  </si>
  <si>
    <t>ALDH5A1</t>
  </si>
  <si>
    <t>SYNPR</t>
  </si>
  <si>
    <t>RPSA</t>
  </si>
  <si>
    <t>NMD3</t>
  </si>
  <si>
    <t>SSR3</t>
  </si>
  <si>
    <t>BBX</t>
  </si>
  <si>
    <t>SRSF7</t>
  </si>
  <si>
    <t>FXN</t>
  </si>
  <si>
    <t>BSDC1</t>
  </si>
  <si>
    <t>LYG2</t>
  </si>
  <si>
    <t>SPCS1</t>
  </si>
  <si>
    <t>DRAP1</t>
  </si>
  <si>
    <t>TMUB1</t>
  </si>
  <si>
    <t>NCOR2</t>
  </si>
  <si>
    <t>CDC42EP3</t>
  </si>
  <si>
    <t>C19orf55</t>
  </si>
  <si>
    <t>ITM2C</t>
  </si>
  <si>
    <t>AAMP</t>
  </si>
  <si>
    <t>TYMP</t>
  </si>
  <si>
    <t>ZNF277</t>
  </si>
  <si>
    <t>APEH</t>
  </si>
  <si>
    <t>SLC38A5</t>
  </si>
  <si>
    <t>ITGA6</t>
  </si>
  <si>
    <t>POLR2H</t>
  </si>
  <si>
    <t>SEPT5</t>
  </si>
  <si>
    <t>FARP1</t>
  </si>
  <si>
    <t>OARD1</t>
  </si>
  <si>
    <t>MBNL1</t>
  </si>
  <si>
    <t>NKIRAS2</t>
  </si>
  <si>
    <t>CCDC58</t>
  </si>
  <si>
    <t>NME6</t>
  </si>
  <si>
    <t>PPIH</t>
  </si>
  <si>
    <t>STK11IP</t>
  </si>
  <si>
    <t>SATB2</t>
  </si>
  <si>
    <t>SEC22A</t>
  </si>
  <si>
    <t>CHCHD3</t>
  </si>
  <si>
    <t>SLC46A1</t>
  </si>
  <si>
    <t>FOXJ3</t>
  </si>
  <si>
    <t>MEST</t>
  </si>
  <si>
    <t>POP7</t>
  </si>
  <si>
    <t>SYPL1</t>
  </si>
  <si>
    <t>NRCAM</t>
  </si>
  <si>
    <t>INPP5K</t>
  </si>
  <si>
    <t>RFC4</t>
  </si>
  <si>
    <t>NAP1L4</t>
  </si>
  <si>
    <t>DHRS2</t>
  </si>
  <si>
    <t>ARFGAP3</t>
  </si>
  <si>
    <t>PCBP4</t>
  </si>
  <si>
    <t>UBE2H</t>
  </si>
  <si>
    <t>RAPH1</t>
  </si>
  <si>
    <t>EIF4G2</t>
  </si>
  <si>
    <t>NRBP2</t>
  </si>
  <si>
    <t>SLC4A7</t>
  </si>
  <si>
    <t>RPL32</t>
  </si>
  <si>
    <t>NDOR1</t>
  </si>
  <si>
    <t>TAPBP</t>
  </si>
  <si>
    <t>CAMK2D</t>
  </si>
  <si>
    <t>POLR3G</t>
  </si>
  <si>
    <t>SSBP2</t>
  </si>
  <si>
    <t>TMEM161B</t>
  </si>
  <si>
    <t>IRF2</t>
  </si>
  <si>
    <t>FAM173B</t>
  </si>
  <si>
    <t>EIF4E</t>
  </si>
  <si>
    <t>FAM135A</t>
  </si>
  <si>
    <t>HSD17B11</t>
  </si>
  <si>
    <t>PET112</t>
  </si>
  <si>
    <t>DTWD2</t>
  </si>
  <si>
    <t>CDC42SE2</t>
  </si>
  <si>
    <t>FAM175A</t>
  </si>
  <si>
    <t>SEC31A</t>
  </si>
  <si>
    <t>STX18</t>
  </si>
  <si>
    <t>DCK</t>
  </si>
  <si>
    <t>CD14</t>
  </si>
  <si>
    <t>SEPT11</t>
  </si>
  <si>
    <t>CENPK</t>
  </si>
  <si>
    <t>RNASET2</t>
  </si>
  <si>
    <t>COX7A2</t>
  </si>
  <si>
    <t>MFSD10</t>
  </si>
  <si>
    <t>VWA8</t>
  </si>
  <si>
    <t>C15orf38-AP3S2</t>
  </si>
  <si>
    <t>GMNN</t>
  </si>
  <si>
    <t>MRPL13</t>
  </si>
  <si>
    <t>NSMCE2</t>
  </si>
  <si>
    <t>TATDN1</t>
  </si>
  <si>
    <t>TRIQK</t>
  </si>
  <si>
    <t>STMN2</t>
  </si>
  <si>
    <t>DERL1</t>
  </si>
  <si>
    <t>EFCAB3</t>
  </si>
  <si>
    <t>TCEB1</t>
  </si>
  <si>
    <t>DNM3</t>
  </si>
  <si>
    <t>TMEM66</t>
  </si>
  <si>
    <t>ERLIN2</t>
  </si>
  <si>
    <t>RPL30</t>
  </si>
  <si>
    <t>TTI2</t>
  </si>
  <si>
    <t>MTERFD1</t>
  </si>
  <si>
    <t>IMPA1</t>
  </si>
  <si>
    <t>SERF1A</t>
  </si>
  <si>
    <t>IDO1</t>
  </si>
  <si>
    <t>PSEN2</t>
  </si>
  <si>
    <t>ZFAND1</t>
  </si>
  <si>
    <t>NUDT18</t>
  </si>
  <si>
    <t>SKP1</t>
  </si>
  <si>
    <t>MTFR1</t>
  </si>
  <si>
    <t>PIGG</t>
  </si>
  <si>
    <t>COPS6</t>
  </si>
  <si>
    <t>RNF5</t>
  </si>
  <si>
    <t>PTPN18</t>
  </si>
  <si>
    <t>ANXA6</t>
  </si>
  <si>
    <t>ASAH1</t>
  </si>
  <si>
    <t>PPP1R2</t>
  </si>
  <si>
    <t>RAI14</t>
  </si>
  <si>
    <t>TACC2</t>
  </si>
  <si>
    <t>KIAA0319L</t>
  </si>
  <si>
    <t>ZNF143</t>
  </si>
  <si>
    <t>NCSTN</t>
  </si>
  <si>
    <t>ADAR</t>
  </si>
  <si>
    <t>LRFN4</t>
  </si>
  <si>
    <t>BRCA1</t>
  </si>
  <si>
    <t>NARF</t>
  </si>
  <si>
    <t>RPL14</t>
  </si>
  <si>
    <t>CD44</t>
  </si>
  <si>
    <t>TOM1</t>
  </si>
  <si>
    <t>PDXDC1</t>
  </si>
  <si>
    <t>COQ2</t>
  </si>
  <si>
    <t>PRRC2C</t>
  </si>
  <si>
    <t>NDUFV2</t>
  </si>
  <si>
    <t>TGFA</t>
  </si>
  <si>
    <t>TNIP1</t>
  </si>
  <si>
    <t>NAA50</t>
  </si>
  <si>
    <t>PRODH</t>
  </si>
  <si>
    <t>ARHGAP4</t>
  </si>
  <si>
    <t>SENP6</t>
  </si>
  <si>
    <t>YIPF3</t>
  </si>
  <si>
    <t>ACIN1</t>
  </si>
  <si>
    <t>RPL15</t>
  </si>
  <si>
    <t>PRDM15</t>
  </si>
  <si>
    <t>ERMP1</t>
  </si>
  <si>
    <t>GMIP</t>
  </si>
  <si>
    <t>TNS3</t>
  </si>
  <si>
    <t>ZC3H18</t>
  </si>
  <si>
    <t>HMGB3</t>
  </si>
  <si>
    <t>TTC38</t>
  </si>
  <si>
    <t>HSPA4L</t>
  </si>
  <si>
    <t>PRPF31</t>
  </si>
  <si>
    <t>ITGA2</t>
  </si>
  <si>
    <t>NAT10</t>
  </si>
  <si>
    <t>CHRD</t>
  </si>
  <si>
    <t>NDUFA10</t>
  </si>
  <si>
    <t>U2SURP</t>
  </si>
  <si>
    <t>DTX2</t>
  </si>
  <si>
    <t>DNPEP</t>
  </si>
  <si>
    <t>RPS24</t>
  </si>
  <si>
    <t>BZW2</t>
  </si>
  <si>
    <t>RAD54L2</t>
  </si>
  <si>
    <t>GDI2</t>
  </si>
  <si>
    <t>CSNK2A1</t>
  </si>
  <si>
    <t>ABCD3</t>
  </si>
  <si>
    <t>SSFA2</t>
  </si>
  <si>
    <t>NUP54</t>
  </si>
  <si>
    <t>PGBD3</t>
  </si>
  <si>
    <t>PCM1</t>
  </si>
  <si>
    <t>MAP4</t>
  </si>
  <si>
    <t>ATG16L1</t>
  </si>
  <si>
    <t>CYFIP2</t>
  </si>
  <si>
    <t>RAI1</t>
  </si>
  <si>
    <t>SDAD1</t>
  </si>
  <si>
    <t>POLB</t>
  </si>
  <si>
    <t>MYO6</t>
  </si>
  <si>
    <t>MON1B</t>
  </si>
  <si>
    <t>SEPT10</t>
  </si>
  <si>
    <t>ABI2</t>
  </si>
  <si>
    <t>EXOC6</t>
  </si>
  <si>
    <t>ZMIZ2</t>
  </si>
  <si>
    <t>NDUFB5</t>
  </si>
  <si>
    <t>SIRT2</t>
  </si>
  <si>
    <t>MPP2</t>
  </si>
  <si>
    <t>EIF4B</t>
  </si>
  <si>
    <t>PCCB</t>
  </si>
  <si>
    <t>DCTN1</t>
  </si>
  <si>
    <t>NT5DC2</t>
  </si>
  <si>
    <t>RAVER1</t>
  </si>
  <si>
    <t>GPATCH4</t>
  </si>
  <si>
    <t>HES4</t>
  </si>
  <si>
    <t>ALYREF</t>
  </si>
  <si>
    <t>TMEM201</t>
  </si>
  <si>
    <t>CELF2</t>
  </si>
  <si>
    <t>MARK2</t>
  </si>
  <si>
    <t>EIF2B5</t>
  </si>
  <si>
    <t>MAN2B2</t>
  </si>
  <si>
    <t>FNIP1</t>
  </si>
  <si>
    <t>GOSR1</t>
  </si>
  <si>
    <t>TLL1</t>
  </si>
  <si>
    <t>CKAP2</t>
  </si>
  <si>
    <t>ARVCF</t>
  </si>
  <si>
    <t>MYO1B</t>
  </si>
  <si>
    <t>IFT122</t>
  </si>
  <si>
    <t>RPAIN</t>
  </si>
  <si>
    <t>ITGB6</t>
  </si>
  <si>
    <t>CDCA2</t>
  </si>
  <si>
    <t>ATP11A</t>
  </si>
  <si>
    <t>XPO7</t>
  </si>
  <si>
    <t>DIP2A</t>
  </si>
  <si>
    <t>PDPK1</t>
  </si>
  <si>
    <t>DIAPH1</t>
  </si>
  <si>
    <t>NUP155</t>
  </si>
  <si>
    <t>ACSF2</t>
  </si>
  <si>
    <t>HADH</t>
  </si>
  <si>
    <t>TBL2</t>
  </si>
  <si>
    <t>VPS41</t>
  </si>
  <si>
    <t>SLC25A19</t>
  </si>
  <si>
    <t>MAPK8IP3</t>
  </si>
  <si>
    <t>RABGEF1</t>
  </si>
  <si>
    <t>PPP2R5D</t>
  </si>
  <si>
    <t>CEP97</t>
  </si>
  <si>
    <t>TSN</t>
  </si>
  <si>
    <t>RPS6KA1</t>
  </si>
  <si>
    <t>PRDX3</t>
  </si>
  <si>
    <t>MCCC1</t>
  </si>
  <si>
    <t>CYP20A1</t>
  </si>
  <si>
    <t>PIAS3</t>
  </si>
  <si>
    <t>EPB41L2</t>
  </si>
  <si>
    <t>MROH1</t>
  </si>
  <si>
    <t>SDHD</t>
  </si>
  <si>
    <t>MTCH2</t>
  </si>
  <si>
    <t>SF3B2</t>
  </si>
  <si>
    <t>TCP11L1</t>
  </si>
  <si>
    <t>UBXN1</t>
  </si>
  <si>
    <t>CYHR1</t>
  </si>
  <si>
    <t>BRMS1</t>
  </si>
  <si>
    <t>CD81</t>
  </si>
  <si>
    <t>FBXO3</t>
  </si>
  <si>
    <t>RPS6KA4</t>
  </si>
  <si>
    <t>EEF1D</t>
  </si>
  <si>
    <t>SNX15</t>
  </si>
  <si>
    <t>BCLAF1</t>
  </si>
  <si>
    <t>RCE1</t>
  </si>
  <si>
    <t>PLEKHA7</t>
  </si>
  <si>
    <t>ACAT1</t>
  </si>
  <si>
    <t>PRMT1</t>
  </si>
  <si>
    <t>UBTF</t>
  </si>
  <si>
    <t>TMEM123</t>
  </si>
  <si>
    <t>MRPL17</t>
  </si>
  <si>
    <t>TTC9C</t>
  </si>
  <si>
    <t>BTF3L4</t>
  </si>
  <si>
    <t>CLP1</t>
  </si>
  <si>
    <t>EI24</t>
  </si>
  <si>
    <t>RAB7L1</t>
  </si>
  <si>
    <t>NEDD8-MDP1</t>
  </si>
  <si>
    <t>RPL27A</t>
  </si>
  <si>
    <t>CD36</t>
  </si>
  <si>
    <t>USP47</t>
  </si>
  <si>
    <t>C11orf58</t>
  </si>
  <si>
    <t>BIRC2</t>
  </si>
  <si>
    <t>CLNS1A</t>
  </si>
  <si>
    <t>FAM118B</t>
  </si>
  <si>
    <t>ATG13</t>
  </si>
  <si>
    <t>CD151</t>
  </si>
  <si>
    <t>ARHGEF12</t>
  </si>
  <si>
    <t>LMO7</t>
  </si>
  <si>
    <t>ARFGAP2</t>
  </si>
  <si>
    <t>EBAG9</t>
  </si>
  <si>
    <t>DGKZ</t>
  </si>
  <si>
    <t>TXNRD1</t>
  </si>
  <si>
    <t>ARHGAP27</t>
  </si>
  <si>
    <t>CD59</t>
  </si>
  <si>
    <t>RRP8</t>
  </si>
  <si>
    <t>NUF2</t>
  </si>
  <si>
    <t>PEX16</t>
  </si>
  <si>
    <t>CARD16</t>
  </si>
  <si>
    <t>PFDN4</t>
  </si>
  <si>
    <t>FAU</t>
  </si>
  <si>
    <t>MAF1</t>
  </si>
  <si>
    <t>SLC22A18</t>
  </si>
  <si>
    <t>EIF1AD</t>
  </si>
  <si>
    <t>SCYL1</t>
  </si>
  <si>
    <t>SMCO4</t>
  </si>
  <si>
    <t>TM9SF1</t>
  </si>
  <si>
    <t>PFKFB3</t>
  </si>
  <si>
    <t>MYH14</t>
  </si>
  <si>
    <t>FGGY</t>
  </si>
  <si>
    <t>TRMT2A</t>
  </si>
  <si>
    <t>XPO4</t>
  </si>
  <si>
    <t>GTF2H3</t>
  </si>
  <si>
    <t>TMEM258</t>
  </si>
  <si>
    <t>CCDC53</t>
  </si>
  <si>
    <t>WNK1</t>
  </si>
  <si>
    <t>CHD4</t>
  </si>
  <si>
    <t>PODXL</t>
  </si>
  <si>
    <t>FAM76B</t>
  </si>
  <si>
    <t>KDM4B</t>
  </si>
  <si>
    <t>FRYL</t>
  </si>
  <si>
    <t>SUCLA2</t>
  </si>
  <si>
    <t>ATE1</t>
  </si>
  <si>
    <t>AFF1</t>
  </si>
  <si>
    <t>PTPRK</t>
  </si>
  <si>
    <t>STIM2</t>
  </si>
  <si>
    <t>DNAJB11</t>
  </si>
  <si>
    <t>DAD1</t>
  </si>
  <si>
    <t>SASS6</t>
  </si>
  <si>
    <t>GPBP1</t>
  </si>
  <si>
    <t>GALNT1</t>
  </si>
  <si>
    <t>OTUB1</t>
  </si>
  <si>
    <t>ATP6V0D1</t>
  </si>
  <si>
    <t>TM7SF2</t>
  </si>
  <si>
    <t>EDEM2</t>
  </si>
  <si>
    <t>PXN</t>
  </si>
  <si>
    <t>PLEKHB1</t>
  </si>
  <si>
    <t>EXTL2</t>
  </si>
  <si>
    <t>TRIM59</t>
  </si>
  <si>
    <t>DHX36</t>
  </si>
  <si>
    <t>SLC3A2</t>
  </si>
  <si>
    <t>FAM120B</t>
  </si>
  <si>
    <t>TRIM21</t>
  </si>
  <si>
    <t>TPD52</t>
  </si>
  <si>
    <t>ANAPC5</t>
  </si>
  <si>
    <t>SEC23IP</t>
  </si>
  <si>
    <t>CLASRP</t>
  </si>
  <si>
    <t>MLF2</t>
  </si>
  <si>
    <t>GPR56</t>
  </si>
  <si>
    <t>DNAJA4</t>
  </si>
  <si>
    <t>ABI1</t>
  </si>
  <si>
    <t>TXNRD2</t>
  </si>
  <si>
    <t>FLJ22184</t>
  </si>
  <si>
    <t>LRBA</t>
  </si>
  <si>
    <t>GOPC</t>
  </si>
  <si>
    <t>STARD10</t>
  </si>
  <si>
    <t>ATXN3</t>
  </si>
  <si>
    <t>DMXL1</t>
  </si>
  <si>
    <t>ANKLE2</t>
  </si>
  <si>
    <t>VMP1</t>
  </si>
  <si>
    <t>KIAA1715</t>
  </si>
  <si>
    <t>DCTN2</t>
  </si>
  <si>
    <t>PRPF4B</t>
  </si>
  <si>
    <t>FADS3</t>
  </si>
  <si>
    <t>XAB2</t>
  </si>
  <si>
    <t>SEC23A</t>
  </si>
  <si>
    <t>KPNA6</t>
  </si>
  <si>
    <t>ATP5J2</t>
  </si>
  <si>
    <t>TJP3</t>
  </si>
  <si>
    <t>PDCD2</t>
  </si>
  <si>
    <t>ATP6V0A1</t>
  </si>
  <si>
    <t>BRK1</t>
  </si>
  <si>
    <t>TUBA1C</t>
  </si>
  <si>
    <t>GRSF1</t>
  </si>
  <si>
    <t>IFNGR1</t>
  </si>
  <si>
    <t>CDC42BPA</t>
  </si>
  <si>
    <t>NDUFS7</t>
  </si>
  <si>
    <t>BCKDHA</t>
  </si>
  <si>
    <t>NAT1</t>
  </si>
  <si>
    <t>CLASP2</t>
  </si>
  <si>
    <t>OXNAD1</t>
  </si>
  <si>
    <t>LARS</t>
  </si>
  <si>
    <t>NOL10</t>
  </si>
  <si>
    <t>MRPL48</t>
  </si>
  <si>
    <t>WBP11</t>
  </si>
  <si>
    <t>MSRB3</t>
  </si>
  <si>
    <t>MGST1</t>
  </si>
  <si>
    <t>GABPB1</t>
  </si>
  <si>
    <t>MFGE8</t>
  </si>
  <si>
    <t>RPS6KC1</t>
  </si>
  <si>
    <t>REEP1</t>
  </si>
  <si>
    <t>OGDH</t>
  </si>
  <si>
    <t>INPP4A</t>
  </si>
  <si>
    <t>MED21</t>
  </si>
  <si>
    <t>ASCC1</t>
  </si>
  <si>
    <t>SPINT1</t>
  </si>
  <si>
    <t>TRAP1</t>
  </si>
  <si>
    <t>XRCC1</t>
  </si>
  <si>
    <t>MVK</t>
  </si>
  <si>
    <t>RABGAP1L</t>
  </si>
  <si>
    <t>SIDT2</t>
  </si>
  <si>
    <t>EPN2</t>
  </si>
  <si>
    <t>SIPA1</t>
  </si>
  <si>
    <t>PIK3R3</t>
  </si>
  <si>
    <t>PPP3R1</t>
  </si>
  <si>
    <t>HYI</t>
  </si>
  <si>
    <t>TPD52L1</t>
  </si>
  <si>
    <t>NME2</t>
  </si>
  <si>
    <t>CAD</t>
  </si>
  <si>
    <t>DDX39B</t>
  </si>
  <si>
    <t>BRF1</t>
  </si>
  <si>
    <t>UIMC1</t>
  </si>
  <si>
    <t>METAP2</t>
  </si>
  <si>
    <t>RBFOX1</t>
  </si>
  <si>
    <t>TMEM19</t>
  </si>
  <si>
    <t>NEK3</t>
  </si>
  <si>
    <t>TSPAN31</t>
  </si>
  <si>
    <t>NFYB</t>
  </si>
  <si>
    <t>PLXNA1</t>
  </si>
  <si>
    <t>FKBP11</t>
  </si>
  <si>
    <t>POC1B-GALNT4</t>
  </si>
  <si>
    <t>DAZAP2</t>
  </si>
  <si>
    <t>CNOT2</t>
  </si>
  <si>
    <t>CD63</t>
  </si>
  <si>
    <t>NAP1L1</t>
  </si>
  <si>
    <t>COPZ1</t>
  </si>
  <si>
    <t>PACS2</t>
  </si>
  <si>
    <t>CSRP2</t>
  </si>
  <si>
    <t>MON2</t>
  </si>
  <si>
    <t>ALG10B</t>
  </si>
  <si>
    <t>SLC38A1</t>
  </si>
  <si>
    <t>SCAF11</t>
  </si>
  <si>
    <t>ARL1</t>
  </si>
  <si>
    <t>LETMD1</t>
  </si>
  <si>
    <t>NACA</t>
  </si>
  <si>
    <t>C17orf49</t>
  </si>
  <si>
    <t>PPHLN1</t>
  </si>
  <si>
    <t>SLC11A2</t>
  </si>
  <si>
    <t>BTD</t>
  </si>
  <si>
    <t>RFX5</t>
  </si>
  <si>
    <t>HNRNPA1</t>
  </si>
  <si>
    <t>BAP1</t>
  </si>
  <si>
    <t>UBAP2L</t>
  </si>
  <si>
    <t>GOLIM4</t>
  </si>
  <si>
    <t>GPHN</t>
  </si>
  <si>
    <t>FAM162A</t>
  </si>
  <si>
    <t>FAM73A</t>
  </si>
  <si>
    <t>VEZT</t>
  </si>
  <si>
    <t>SLBP</t>
  </si>
  <si>
    <t>PLS3</t>
  </si>
  <si>
    <t>FAM179A</t>
  </si>
  <si>
    <t>RAB24</t>
  </si>
  <si>
    <t>TIA1</t>
  </si>
  <si>
    <t>CADPS2</t>
  </si>
  <si>
    <t>STX5</t>
  </si>
  <si>
    <t>FSD1L</t>
  </si>
  <si>
    <t>CASK</t>
  </si>
  <si>
    <t>ELMO3</t>
  </si>
  <si>
    <t>PCMTD2</t>
  </si>
  <si>
    <t>WNK2</t>
  </si>
  <si>
    <t>DYRK1A</t>
  </si>
  <si>
    <t>LENG8</t>
  </si>
  <si>
    <t>MED24</t>
  </si>
  <si>
    <t>CCDC93</t>
  </si>
  <si>
    <t>SLC25A26</t>
  </si>
  <si>
    <t>ADAM22</t>
  </si>
  <si>
    <t>STAG2</t>
  </si>
  <si>
    <t>SEPW1</t>
  </si>
  <si>
    <t>MRPL40</t>
  </si>
  <si>
    <t>GTPBP8</t>
  </si>
  <si>
    <t>KIF21A</t>
  </si>
  <si>
    <t>OGG1</t>
  </si>
  <si>
    <t>ATL1</t>
  </si>
  <si>
    <t>NOL8</t>
  </si>
  <si>
    <t>KSR1</t>
  </si>
  <si>
    <t>ZFAND2B</t>
  </si>
  <si>
    <t>SEC62</t>
  </si>
  <si>
    <t>ALG3</t>
  </si>
  <si>
    <t>NDUFV1</t>
  </si>
  <si>
    <t>SDR16C5</t>
  </si>
  <si>
    <t>GSDMD</t>
  </si>
  <si>
    <t>DPP3</t>
  </si>
  <si>
    <t>PON2</t>
  </si>
  <si>
    <t>LOH12CR1</t>
  </si>
  <si>
    <t>ISYNA1</t>
  </si>
  <si>
    <t>ATF7IP</t>
  </si>
  <si>
    <t>GOLT1B</t>
  </si>
  <si>
    <t>ZCRB1</t>
  </si>
  <si>
    <t>RPL18</t>
  </si>
  <si>
    <t>TMCC3</t>
  </si>
  <si>
    <t>METTL10</t>
  </si>
  <si>
    <t>ACYP1</t>
  </si>
  <si>
    <t>ATP5J2-PTCD1</t>
  </si>
  <si>
    <t>FERMT2</t>
  </si>
  <si>
    <t>MYO5A</t>
  </si>
  <si>
    <t>C14orf93</t>
  </si>
  <si>
    <t>DCAF8</t>
  </si>
  <si>
    <t>NFKBIA</t>
  </si>
  <si>
    <t>MED6</t>
  </si>
  <si>
    <t>GPX2</t>
  </si>
  <si>
    <t>VIPAS39</t>
  </si>
  <si>
    <t>HNRNPC</t>
  </si>
  <si>
    <t>FAM177A1</t>
  </si>
  <si>
    <t>CTAGE5</t>
  </si>
  <si>
    <t>CCNK</t>
  </si>
  <si>
    <t>ZFYVE1</t>
  </si>
  <si>
    <t>GSTZ1</t>
  </si>
  <si>
    <t>CDK2</t>
  </si>
  <si>
    <t>WARS</t>
  </si>
  <si>
    <t>PSMA6</t>
  </si>
  <si>
    <t>TMEM48</t>
  </si>
  <si>
    <t>ARID1B</t>
  </si>
  <si>
    <t>MAP4K4</t>
  </si>
  <si>
    <t>TTC17</t>
  </si>
  <si>
    <t>SLC26A6</t>
  </si>
  <si>
    <t>PTPRD</t>
  </si>
  <si>
    <t>PAPOLA</t>
  </si>
  <si>
    <t>LAMB1</t>
  </si>
  <si>
    <t>FAM133B</t>
  </si>
  <si>
    <t>TRAM1</t>
  </si>
  <si>
    <t>TIMM8B</t>
  </si>
  <si>
    <t>SBF1</t>
  </si>
  <si>
    <t>SMARCB1</t>
  </si>
  <si>
    <t>USP11</t>
  </si>
  <si>
    <t>TJP1</t>
  </si>
  <si>
    <t>NKIRAS1</t>
  </si>
  <si>
    <t>CELF1</t>
  </si>
  <si>
    <t>TDG</t>
  </si>
  <si>
    <t>PUS1</t>
  </si>
  <si>
    <t>HNRNPH1</t>
  </si>
  <si>
    <t>WDR45</t>
  </si>
  <si>
    <t>LEPREL2</t>
  </si>
  <si>
    <t>TACC1</t>
  </si>
  <si>
    <t>PPT2</t>
  </si>
  <si>
    <t>MVB12B</t>
  </si>
  <si>
    <t>TAF6</t>
  </si>
  <si>
    <t>BLOC1S1</t>
  </si>
  <si>
    <t>TH1L</t>
  </si>
  <si>
    <t>PIGX</t>
  </si>
  <si>
    <t>MPRIP</t>
  </si>
  <si>
    <t>AMPD2</t>
  </si>
  <si>
    <t>SLC30A7</t>
  </si>
  <si>
    <t>ODF2</t>
  </si>
  <si>
    <t>ABCA3</t>
  </si>
  <si>
    <t>PRRC2B</t>
  </si>
  <si>
    <t>MYD88</t>
  </si>
  <si>
    <t>TRRAP</t>
  </si>
  <si>
    <t>NAPEPLD</t>
  </si>
  <si>
    <t>PAEP</t>
  </si>
  <si>
    <t>PTGDS</t>
  </si>
  <si>
    <t>CIZ1</t>
  </si>
  <si>
    <t>AAED1</t>
  </si>
  <si>
    <t>PREP</t>
  </si>
  <si>
    <t>UFM1</t>
  </si>
  <si>
    <t>KDM6A</t>
  </si>
  <si>
    <t>BRD2</t>
  </si>
  <si>
    <t>SP3</t>
  </si>
  <si>
    <t>MRPL43</t>
  </si>
  <si>
    <t>CALM2</t>
  </si>
  <si>
    <t>FOXP1</t>
  </si>
  <si>
    <t>MTCH1</t>
  </si>
  <si>
    <t>TMEM222</t>
  </si>
  <si>
    <t>B4GALT7</t>
  </si>
  <si>
    <t>PPIP5K2</t>
  </si>
  <si>
    <t>PRR5-ARHGAP8</t>
  </si>
  <si>
    <t>TMA16</t>
  </si>
  <si>
    <t>PCBD2</t>
  </si>
  <si>
    <t>UBE2B</t>
  </si>
  <si>
    <t>RRM2B</t>
  </si>
  <si>
    <t>UBE2W</t>
  </si>
  <si>
    <t>BNIP3L</t>
  </si>
  <si>
    <t>TXNRD3</t>
  </si>
  <si>
    <t>VPS37A</t>
  </si>
  <si>
    <t>PTK2</t>
  </si>
  <si>
    <t>TRAPPC9</t>
  </si>
  <si>
    <t>ESRP1</t>
  </si>
  <si>
    <t>RUFY2</t>
  </si>
  <si>
    <t>CRTC2</t>
  </si>
  <si>
    <t>PPP5C</t>
  </si>
  <si>
    <t>GNPTG</t>
  </si>
  <si>
    <t>SSSCA1</t>
  </si>
  <si>
    <t>RNASEH2C</t>
  </si>
  <si>
    <t>RASSF7</t>
  </si>
  <si>
    <t>PELI3</t>
  </si>
  <si>
    <t>SMPD1</t>
  </si>
  <si>
    <t>CADM1</t>
  </si>
  <si>
    <t>REXO2</t>
  </si>
  <si>
    <t>ARHGAP23</t>
  </si>
  <si>
    <t>METTL7A</t>
  </si>
  <si>
    <t>OAS1</t>
  </si>
  <si>
    <t>FBXO21</t>
  </si>
  <si>
    <t>NGDN</t>
  </si>
  <si>
    <t>CEP128</t>
  </si>
  <si>
    <t>RPL28</t>
  </si>
  <si>
    <t>TSPAN3</t>
  </si>
  <si>
    <t>ANXA2</t>
  </si>
  <si>
    <t>TLE3</t>
  </si>
  <si>
    <t>POU2F1</t>
  </si>
  <si>
    <t>RFX7</t>
  </si>
  <si>
    <t>GMPR2</t>
  </si>
  <si>
    <t>EIF2AK4</t>
  </si>
  <si>
    <t>ALDH1A2</t>
  </si>
  <si>
    <t>MORF4L1</t>
  </si>
  <si>
    <t>ASB7</t>
  </si>
  <si>
    <t>C15orf57</t>
  </si>
  <si>
    <t>SPPL2A</t>
  </si>
  <si>
    <t>RAB8B</t>
  </si>
  <si>
    <t>SEC11A</t>
  </si>
  <si>
    <t>EMC9</t>
  </si>
  <si>
    <t>UACA</t>
  </si>
  <si>
    <t>BLM</t>
  </si>
  <si>
    <t>CD55</t>
  </si>
  <si>
    <t>DBNDD1</t>
  </si>
  <si>
    <t>DDX17</t>
  </si>
  <si>
    <t>NUB1</t>
  </si>
  <si>
    <t>GLG1</t>
  </si>
  <si>
    <t>NOL3</t>
  </si>
  <si>
    <t>COMMD4</t>
  </si>
  <si>
    <t>SPNS1</t>
  </si>
  <si>
    <t>TMEM219</t>
  </si>
  <si>
    <t>INO80E</t>
  </si>
  <si>
    <t>MPHOSPH6</t>
  </si>
  <si>
    <t>CARHSP1</t>
  </si>
  <si>
    <t>TRAPPC2L</t>
  </si>
  <si>
    <t>HEXA</t>
  </si>
  <si>
    <t>COQ7</t>
  </si>
  <si>
    <t>TK2</t>
  </si>
  <si>
    <t>MACF1</t>
  </si>
  <si>
    <t>TCF4</t>
  </si>
  <si>
    <t>CLN3</t>
  </si>
  <si>
    <t>ALDOA</t>
  </si>
  <si>
    <t>SNAPC5</t>
  </si>
  <si>
    <t>OBSCN</t>
  </si>
  <si>
    <t>UBE2I</t>
  </si>
  <si>
    <t>TMEM170A</t>
  </si>
  <si>
    <t>COG8</t>
  </si>
  <si>
    <t>DCTN5</t>
  </si>
  <si>
    <t>ZFYVE19</t>
  </si>
  <si>
    <t>UBFD1</t>
  </si>
  <si>
    <t>ABAT</t>
  </si>
  <si>
    <t>NFATC3</t>
  </si>
  <si>
    <t>FAM219B</t>
  </si>
  <si>
    <t>EIF3C</t>
  </si>
  <si>
    <t>VWA9</t>
  </si>
  <si>
    <t>ZNF768</t>
  </si>
  <si>
    <t>GABARAPL2</t>
  </si>
  <si>
    <t>C16orf58</t>
  </si>
  <si>
    <t>BLOC1S6</t>
  </si>
  <si>
    <t>CTU2</t>
  </si>
  <si>
    <t>MAP1LC3B</t>
  </si>
  <si>
    <t>PKM</t>
  </si>
  <si>
    <t>ORC6</t>
  </si>
  <si>
    <t>CDR2</t>
  </si>
  <si>
    <t>ARL2BP</t>
  </si>
  <si>
    <t>ITFG1</t>
  </si>
  <si>
    <t>OGFOD1</t>
  </si>
  <si>
    <t>MRPL21</t>
  </si>
  <si>
    <t>RNPS1</t>
  </si>
  <si>
    <t>LMF1</t>
  </si>
  <si>
    <t>GABARAP</t>
  </si>
  <si>
    <t>GCA</t>
  </si>
  <si>
    <t>SAP130</t>
  </si>
  <si>
    <t>PPP6R3</t>
  </si>
  <si>
    <t>METTL21A</t>
  </si>
  <si>
    <t>ESYT2</t>
  </si>
  <si>
    <t>ERGIC3</t>
  </si>
  <si>
    <t>MPC1</t>
  </si>
  <si>
    <t>DHX30</t>
  </si>
  <si>
    <t>PCMT1</t>
  </si>
  <si>
    <t>RNF34</t>
  </si>
  <si>
    <t>INTS9</t>
  </si>
  <si>
    <t>TPM1</t>
  </si>
  <si>
    <t>P4HB</t>
  </si>
  <si>
    <t>PDIA3</t>
  </si>
  <si>
    <t>USP46</t>
  </si>
  <si>
    <t>NHEJ1</t>
  </si>
  <si>
    <t>IQSEC1</t>
  </si>
  <si>
    <t>ACTN4</t>
  </si>
  <si>
    <t>RAF1</t>
  </si>
  <si>
    <t>RALGAPA2</t>
  </si>
  <si>
    <t>SLC35E1</t>
  </si>
  <si>
    <t>BET1</t>
  </si>
  <si>
    <t>CC2D1B</t>
  </si>
  <si>
    <t>APOO</t>
  </si>
  <si>
    <t>IRAK1</t>
  </si>
  <si>
    <t>CTDSP1</t>
  </si>
  <si>
    <t>TSPAN15</t>
  </si>
  <si>
    <t>ART4</t>
  </si>
  <si>
    <t>EBNA1BP2</t>
  </si>
  <si>
    <t>RPL31</t>
  </si>
  <si>
    <t>NAGK</t>
  </si>
  <si>
    <t>GNS</t>
  </si>
  <si>
    <t>MITD1</t>
  </si>
  <si>
    <t>ATG2A</t>
  </si>
  <si>
    <t>ARV1</t>
  </si>
  <si>
    <t>STK19</t>
  </si>
  <si>
    <t>ITGB5</t>
  </si>
  <si>
    <t>ZMYND8</t>
  </si>
  <si>
    <t>NDFIP2</t>
  </si>
  <si>
    <t>IAH1</t>
  </si>
  <si>
    <t>GK5</t>
  </si>
  <si>
    <t>PARP14</t>
  </si>
  <si>
    <t>HEATR5A</t>
  </si>
  <si>
    <t>LCN2</t>
  </si>
  <si>
    <t>TNRC18</t>
  </si>
  <si>
    <t>MICU1</t>
  </si>
  <si>
    <t>SLC25A52</t>
  </si>
  <si>
    <t>SMG1</t>
  </si>
  <si>
    <t>GOSR2</t>
  </si>
  <si>
    <t>NSF</t>
  </si>
  <si>
    <t>CCDC137</t>
  </si>
  <si>
    <t>DGKE</t>
  </si>
  <si>
    <t>DPH1</t>
  </si>
  <si>
    <t>SLC25A11</t>
  </si>
  <si>
    <t>ELP5</t>
  </si>
  <si>
    <t>B3GNTL1</t>
  </si>
  <si>
    <t>CLUH</t>
  </si>
  <si>
    <t>GEMIN4</t>
  </si>
  <si>
    <t>CIC</t>
  </si>
  <si>
    <t>AZI1</t>
  </si>
  <si>
    <t>FAM195B</t>
  </si>
  <si>
    <t>SLC2A4</t>
  </si>
  <si>
    <t>EIF5A</t>
  </si>
  <si>
    <t>PELP1</t>
  </si>
  <si>
    <t>RPS15A</t>
  </si>
  <si>
    <t>ATPAF1</t>
  </si>
  <si>
    <t>ABCC1</t>
  </si>
  <si>
    <t>NFKBIB</t>
  </si>
  <si>
    <t>NDUFAB1</t>
  </si>
  <si>
    <t>FABP5</t>
  </si>
  <si>
    <t>CACTIN</t>
  </si>
  <si>
    <t>SMARCD2</t>
  </si>
  <si>
    <t>NPC2</t>
  </si>
  <si>
    <t>INTS2</t>
  </si>
  <si>
    <t>DPF2</t>
  </si>
  <si>
    <t>LDLR</t>
  </si>
  <si>
    <t>NDUFA13</t>
  </si>
  <si>
    <t>KIAA0368</t>
  </si>
  <si>
    <t>PSMD9</t>
  </si>
  <si>
    <t>RCOR1</t>
  </si>
  <si>
    <t>NLRP2</t>
  </si>
  <si>
    <t>TOR1AIP1</t>
  </si>
  <si>
    <t>TPM3</t>
  </si>
  <si>
    <t>NCEH1</t>
  </si>
  <si>
    <t>TBC1D8B</t>
  </si>
  <si>
    <t>APIP</t>
  </si>
  <si>
    <t>OXA1L</t>
  </si>
  <si>
    <t>SAAL1</t>
  </si>
  <si>
    <t>MYL6</t>
  </si>
  <si>
    <t>PAH</t>
  </si>
  <si>
    <t>RGPD3</t>
  </si>
  <si>
    <t>CCS</t>
  </si>
  <si>
    <t>CEP290</t>
  </si>
  <si>
    <t>CYB5B</t>
  </si>
  <si>
    <t>COG4</t>
  </si>
  <si>
    <t>CHID1</t>
  </si>
  <si>
    <t>SEC16A</t>
  </si>
  <si>
    <t>YAF2</t>
  </si>
  <si>
    <t>DDX41</t>
  </si>
  <si>
    <t>SEMA4B</t>
  </si>
  <si>
    <t>MARK3</t>
  </si>
  <si>
    <t>FGFR1</t>
  </si>
  <si>
    <t>ZNF292</t>
  </si>
  <si>
    <t>CCDC41</t>
  </si>
  <si>
    <t>MYO18A</t>
  </si>
  <si>
    <t>ANKRD46</t>
  </si>
  <si>
    <t>MCF2L</t>
  </si>
  <si>
    <t>KIF3A</t>
  </si>
  <si>
    <t>SYNJ1</t>
  </si>
  <si>
    <t>KDM1B</t>
  </si>
  <si>
    <t>LUC7L3</t>
  </si>
  <si>
    <t>DNAJB12</t>
  </si>
  <si>
    <t>TRABD</t>
  </si>
  <si>
    <t>CHCHD7</t>
  </si>
  <si>
    <t>MPST</t>
  </si>
  <si>
    <t>HDAC2</t>
  </si>
  <si>
    <t>DNA2</t>
  </si>
  <si>
    <t>C1D</t>
  </si>
  <si>
    <t>RFXANK</t>
  </si>
  <si>
    <t>OLA1</t>
  </si>
  <si>
    <t>COPS7B</t>
  </si>
  <si>
    <t>TBC1D8</t>
  </si>
  <si>
    <t>PTRH2</t>
  </si>
  <si>
    <t>C6orf203</t>
  </si>
  <si>
    <t>PPP1R37</t>
  </si>
  <si>
    <t>SYT1</t>
  </si>
  <si>
    <t>CYTH2</t>
  </si>
  <si>
    <t>THUMPD1</t>
  </si>
  <si>
    <t>SUN2</t>
  </si>
  <si>
    <t>RAN</t>
  </si>
  <si>
    <t>GBA</t>
  </si>
  <si>
    <t>SUMF2</t>
  </si>
  <si>
    <t>APOL2</t>
  </si>
  <si>
    <t>BABAM1</t>
  </si>
  <si>
    <t>CCDC12</t>
  </si>
  <si>
    <t>TBCD</t>
  </si>
  <si>
    <t>C16orf55</t>
  </si>
  <si>
    <t>SS18</t>
  </si>
  <si>
    <t>CBX1</t>
  </si>
  <si>
    <t>ICT1</t>
  </si>
  <si>
    <t>MBP</t>
  </si>
  <si>
    <t>AMZ2</t>
  </si>
  <si>
    <t>GGA3</t>
  </si>
  <si>
    <t>FBXL20</t>
  </si>
  <si>
    <t>DDX5</t>
  </si>
  <si>
    <t>RTTN</t>
  </si>
  <si>
    <t>CDH3</t>
  </si>
  <si>
    <t>SRSF1</t>
  </si>
  <si>
    <t>CHERP</t>
  </si>
  <si>
    <t>NSFL1C</t>
  </si>
  <si>
    <t>SMARCE1</t>
  </si>
  <si>
    <t>C17orf62</t>
  </si>
  <si>
    <t>SCO1</t>
  </si>
  <si>
    <t>SCRN2</t>
  </si>
  <si>
    <t>SLC39A11</t>
  </si>
  <si>
    <t>ELAC2</t>
  </si>
  <si>
    <t>MRPS7</t>
  </si>
  <si>
    <t>SNX11</t>
  </si>
  <si>
    <t>SAP30BP</t>
  </si>
  <si>
    <t>TRAPPC8</t>
  </si>
  <si>
    <t>SMURF2</t>
  </si>
  <si>
    <t>RPL17</t>
  </si>
  <si>
    <t>SUZ12</t>
  </si>
  <si>
    <t>YTHDC1</t>
  </si>
  <si>
    <t>RPL19</t>
  </si>
  <si>
    <t>IFT20</t>
  </si>
  <si>
    <t>ORMDL3</t>
  </si>
  <si>
    <t>MYL12A</t>
  </si>
  <si>
    <t>ZNF207</t>
  </si>
  <si>
    <t>YES1</t>
  </si>
  <si>
    <t>VAMP2</t>
  </si>
  <si>
    <t>LLGL2</t>
  </si>
  <si>
    <t>COPRS</t>
  </si>
  <si>
    <t>HELZ</t>
  </si>
  <si>
    <t>VEZF1</t>
  </si>
  <si>
    <t>ABCA2</t>
  </si>
  <si>
    <t>RSL1D1</t>
  </si>
  <si>
    <t>ZFP62</t>
  </si>
  <si>
    <t>CRBN</t>
  </si>
  <si>
    <t>BAG1</t>
  </si>
  <si>
    <t>CHCHD6</t>
  </si>
  <si>
    <t>C17orf75</t>
  </si>
  <si>
    <t>LMNB2</t>
  </si>
  <si>
    <t>PITPNC1</t>
  </si>
  <si>
    <t>TMCO1</t>
  </si>
  <si>
    <t>RWDD4</t>
  </si>
  <si>
    <t>CUL4B</t>
  </si>
  <si>
    <t>ICOSLG</t>
  </si>
  <si>
    <t>WBP2</t>
  </si>
  <si>
    <t>NUDT16L1</t>
  </si>
  <si>
    <t>MKNK2</t>
  </si>
  <si>
    <t>YIPF2</t>
  </si>
  <si>
    <t>SMAD4</t>
  </si>
  <si>
    <t>STX10</t>
  </si>
  <si>
    <t>RPS15</t>
  </si>
  <si>
    <t>CALR</t>
  </si>
  <si>
    <t>AP1M1</t>
  </si>
  <si>
    <t>SEC11C</t>
  </si>
  <si>
    <t>FAM210A</t>
  </si>
  <si>
    <t>H3F3B</t>
  </si>
  <si>
    <t>LONP1</t>
  </si>
  <si>
    <t>EVPL</t>
  </si>
  <si>
    <t>PPL</t>
  </si>
  <si>
    <t>TMUB2</t>
  </si>
  <si>
    <t>CAPS</t>
  </si>
  <si>
    <t>CDC37</t>
  </si>
  <si>
    <t>PRKCSH</t>
  </si>
  <si>
    <t>KATNAL2</t>
  </si>
  <si>
    <t>TMEM205</t>
  </si>
  <si>
    <t>UBALD1</t>
  </si>
  <si>
    <t>GLYR1</t>
  </si>
  <si>
    <t>RTN2</t>
  </si>
  <si>
    <t>ZNF444</t>
  </si>
  <si>
    <t>ELOF1</t>
  </si>
  <si>
    <t>hCG_2039718</t>
  </si>
  <si>
    <t>FUT5</t>
  </si>
  <si>
    <t>NARS</t>
  </si>
  <si>
    <t>PPAP2C</t>
  </si>
  <si>
    <t>C18orf8</t>
  </si>
  <si>
    <t>PSMG2</t>
  </si>
  <si>
    <t>ATP5SL</t>
  </si>
  <si>
    <t>UBXN6</t>
  </si>
  <si>
    <t>RBM42</t>
  </si>
  <si>
    <t>MGRN1</t>
  </si>
  <si>
    <t>NFIX</t>
  </si>
  <si>
    <t>MOB3A</t>
  </si>
  <si>
    <t>TMEM161A</t>
  </si>
  <si>
    <t>AES</t>
  </si>
  <si>
    <t>TPM4</t>
  </si>
  <si>
    <t>FARSA</t>
  </si>
  <si>
    <t>EIF3K</t>
  </si>
  <si>
    <t>UBE2O</t>
  </si>
  <si>
    <t>PEPD</t>
  </si>
  <si>
    <t>RAD23A</t>
  </si>
  <si>
    <t>G6PC3</t>
  </si>
  <si>
    <t>DNM2</t>
  </si>
  <si>
    <t>SARS2</t>
  </si>
  <si>
    <t>PAF1</t>
  </si>
  <si>
    <t>WIZ</t>
  </si>
  <si>
    <t>USF2</t>
  </si>
  <si>
    <t>ZNF428</t>
  </si>
  <si>
    <t>EPS15L1</t>
  </si>
  <si>
    <t>LIPE</t>
  </si>
  <si>
    <t>MPV17L2</t>
  </si>
  <si>
    <t>GMFG</t>
  </si>
  <si>
    <t>TUBB4A</t>
  </si>
  <si>
    <t>RPL13A</t>
  </si>
  <si>
    <t>SAMD4B</t>
  </si>
  <si>
    <t>HNRNPM</t>
  </si>
  <si>
    <t>ARHGEF1</t>
  </si>
  <si>
    <t>PRKD2</t>
  </si>
  <si>
    <t>KXD1</t>
  </si>
  <si>
    <t>RPS5</t>
  </si>
  <si>
    <t>AP2S1</t>
  </si>
  <si>
    <t>MRPL34</t>
  </si>
  <si>
    <t>EMC10</t>
  </si>
  <si>
    <t>POLD1</t>
  </si>
  <si>
    <t>HOMER3</t>
  </si>
  <si>
    <t>CGB1</t>
  </si>
  <si>
    <t>MYO9B</t>
  </si>
  <si>
    <t>PEX11G</t>
  </si>
  <si>
    <t>FSD1</t>
  </si>
  <si>
    <t>RABAC1</t>
  </si>
  <si>
    <t>AGPS</t>
  </si>
  <si>
    <t>KIF2A</t>
  </si>
  <si>
    <t>DDX39A</t>
  </si>
  <si>
    <t>PDLIM1</t>
  </si>
  <si>
    <t>ACOT7</t>
  </si>
  <si>
    <t>MYO1C</t>
  </si>
  <si>
    <t>SNAP23</t>
  </si>
  <si>
    <t>HAX1</t>
  </si>
  <si>
    <t>AIP</t>
  </si>
  <si>
    <t>GTPBP1</t>
  </si>
  <si>
    <t>STXBP3</t>
  </si>
  <si>
    <t>AP3B1</t>
  </si>
  <si>
    <t>NDUFS8</t>
  </si>
  <si>
    <t>TNFRSF10A</t>
  </si>
  <si>
    <t>NFKBIE</t>
  </si>
  <si>
    <t>PSMD11</t>
  </si>
  <si>
    <t>PSMD12</t>
  </si>
  <si>
    <t>ATOX1</t>
  </si>
  <si>
    <t>CBX4</t>
  </si>
  <si>
    <t>PGRMC1</t>
  </si>
  <si>
    <t>SUPT5H</t>
  </si>
  <si>
    <t>DFFA</t>
  </si>
  <si>
    <t>RFXAP</t>
  </si>
  <si>
    <t>HIP1</t>
  </si>
  <si>
    <t>CLIC1</t>
  </si>
  <si>
    <t>TNFRSF11B</t>
  </si>
  <si>
    <t>WWP2</t>
  </si>
  <si>
    <t>PDHX</t>
  </si>
  <si>
    <t>QSOX1</t>
  </si>
  <si>
    <t>DCTN6</t>
  </si>
  <si>
    <t>SLC33A1</t>
  </si>
  <si>
    <t>WASL</t>
  </si>
  <si>
    <t>IPO5</t>
  </si>
  <si>
    <t>EEF2K</t>
  </si>
  <si>
    <t>SAP18</t>
  </si>
  <si>
    <t>IGF2BP3</t>
  </si>
  <si>
    <t>DNM1L</t>
  </si>
  <si>
    <t>RTCA</t>
  </si>
  <si>
    <t>PIK3R2</t>
  </si>
  <si>
    <t>MANBA</t>
  </si>
  <si>
    <t>TRAF5</t>
  </si>
  <si>
    <t>AGRN</t>
  </si>
  <si>
    <t>PLOD2</t>
  </si>
  <si>
    <t>EXOC5</t>
  </si>
  <si>
    <t>HMGN4</t>
  </si>
  <si>
    <t>NDUFA4</t>
  </si>
  <si>
    <t>PSMD14</t>
  </si>
  <si>
    <t>ZNF593</t>
  </si>
  <si>
    <t>KPNA3</t>
  </si>
  <si>
    <t>STK25</t>
  </si>
  <si>
    <t>BCL9</t>
  </si>
  <si>
    <t>LAD1</t>
  </si>
  <si>
    <t>CHL1</t>
  </si>
  <si>
    <t>VWA5A</t>
  </si>
  <si>
    <t>SDCBP</t>
  </si>
  <si>
    <t>MPHOSPH10</t>
  </si>
  <si>
    <t>NOP56</t>
  </si>
  <si>
    <t>DDX3X</t>
  </si>
  <si>
    <t>PIR</t>
  </si>
  <si>
    <t>KPNA4</t>
  </si>
  <si>
    <t>PPP6C</t>
  </si>
  <si>
    <t>MAN2B1</t>
  </si>
  <si>
    <t>FBP2</t>
  </si>
  <si>
    <t>UBE2C</t>
  </si>
  <si>
    <t>PDXK</t>
  </si>
  <si>
    <t>SCD</t>
  </si>
  <si>
    <t>ARID1A</t>
  </si>
  <si>
    <t>CDK2AP1</t>
  </si>
  <si>
    <t>C2CD2L</t>
  </si>
  <si>
    <t>TRAFD1</t>
  </si>
  <si>
    <t>COX7A2L</t>
  </si>
  <si>
    <t>GAPDHS</t>
  </si>
  <si>
    <t>CIT</t>
  </si>
  <si>
    <t>COPE</t>
  </si>
  <si>
    <t>AP3D1</t>
  </si>
  <si>
    <t>CHD1</t>
  </si>
  <si>
    <t>TOR1A</t>
  </si>
  <si>
    <t>TOR1B</t>
  </si>
  <si>
    <t>STX16</t>
  </si>
  <si>
    <t>ADAM10</t>
  </si>
  <si>
    <t>MLL2</t>
  </si>
  <si>
    <t>IMPA2</t>
  </si>
  <si>
    <t>MAP2K7</t>
  </si>
  <si>
    <t>ACOT8</t>
  </si>
  <si>
    <t>PDCD5</t>
  </si>
  <si>
    <t>PRMT5</t>
  </si>
  <si>
    <t>SLC9A3R1</t>
  </si>
  <si>
    <t>CHEK1</t>
  </si>
  <si>
    <t>TNFRSF10B</t>
  </si>
  <si>
    <t>FPGT</t>
  </si>
  <si>
    <t>TPP1</t>
  </si>
  <si>
    <t>TCERG1</t>
  </si>
  <si>
    <t>NDC80</t>
  </si>
  <si>
    <t>TNPO2</t>
  </si>
  <si>
    <t>PSMA7</t>
  </si>
  <si>
    <t>SCAMP3</t>
  </si>
  <si>
    <t>OPLAH</t>
  </si>
  <si>
    <t>BACH1</t>
  </si>
  <si>
    <t>BCKDK</t>
  </si>
  <si>
    <t>IRF6</t>
  </si>
  <si>
    <t>TAX1BP3</t>
  </si>
  <si>
    <t>GIPC1</t>
  </si>
  <si>
    <t>IKBKB</t>
  </si>
  <si>
    <t>TIMM23</t>
  </si>
  <si>
    <t>HAT1</t>
  </si>
  <si>
    <t>UBE2L6</t>
  </si>
  <si>
    <t>UQCRQ</t>
  </si>
  <si>
    <t>HGS</t>
  </si>
  <si>
    <t>AURKA</t>
  </si>
  <si>
    <t>PPP1R12A</t>
  </si>
  <si>
    <t>SLC27A2</t>
  </si>
  <si>
    <t>GAK</t>
  </si>
  <si>
    <t>HNRPDL</t>
  </si>
  <si>
    <t>XPO1</t>
  </si>
  <si>
    <t>BTAF1</t>
  </si>
  <si>
    <t>ZNF609</t>
  </si>
  <si>
    <t>ZNF646</t>
  </si>
  <si>
    <t>SPTBN2</t>
  </si>
  <si>
    <t>PLXNB2</t>
  </si>
  <si>
    <t>RIMBP2</t>
  </si>
  <si>
    <t>KHNYN</t>
  </si>
  <si>
    <t>TECPR2</t>
  </si>
  <si>
    <t>SETD1A</t>
  </si>
  <si>
    <t>KIF3B</t>
  </si>
  <si>
    <t>PFAS</t>
  </si>
  <si>
    <t>DCLK1</t>
  </si>
  <si>
    <t>ERC2</t>
  </si>
  <si>
    <t>ANKRD28</t>
  </si>
  <si>
    <t>KIAA0391</t>
  </si>
  <si>
    <t>CHUK</t>
  </si>
  <si>
    <t>LSM1</t>
  </si>
  <si>
    <t>NPC1</t>
  </si>
  <si>
    <t>AGPAT2</t>
  </si>
  <si>
    <t>DEGS1</t>
  </si>
  <si>
    <t>SCAMP1</t>
  </si>
  <si>
    <t>SCAMP2</t>
  </si>
  <si>
    <t>ARPC1B</t>
  </si>
  <si>
    <t>ARPC2</t>
  </si>
  <si>
    <t>ARPC3</t>
  </si>
  <si>
    <t>ZBTB7B</t>
  </si>
  <si>
    <t>POLR1C</t>
  </si>
  <si>
    <t>TRIM24</t>
  </si>
  <si>
    <t>AXIN1</t>
  </si>
  <si>
    <t>PGRMC2</t>
  </si>
  <si>
    <t>PFDN6</t>
  </si>
  <si>
    <t>WDR46</t>
  </si>
  <si>
    <t>GSTA4</t>
  </si>
  <si>
    <t>GNPAT</t>
  </si>
  <si>
    <t>LAMA5</t>
  </si>
  <si>
    <t>CASC3</t>
  </si>
  <si>
    <t>VGF</t>
  </si>
  <si>
    <t>RER1</t>
  </si>
  <si>
    <t>MAPK13</t>
  </si>
  <si>
    <t>SPTLC1</t>
  </si>
  <si>
    <t>SPTLC2</t>
  </si>
  <si>
    <t>OGT</t>
  </si>
  <si>
    <t>PMM2</t>
  </si>
  <si>
    <t>INPP4B</t>
  </si>
  <si>
    <t>MID1</t>
  </si>
  <si>
    <t>PPM1G</t>
  </si>
  <si>
    <t>INPPL1</t>
  </si>
  <si>
    <t>HDAC3</t>
  </si>
  <si>
    <t>BCAT2</t>
  </si>
  <si>
    <t>IPO8</t>
  </si>
  <si>
    <t>STX7</t>
  </si>
  <si>
    <t>TOX3</t>
  </si>
  <si>
    <t>SLC16A3</t>
  </si>
  <si>
    <t>ABCC4</t>
  </si>
  <si>
    <t>CD3EAP</t>
  </si>
  <si>
    <t>P4HA2</t>
  </si>
  <si>
    <t>YKT6</t>
  </si>
  <si>
    <t>ARPC5</t>
  </si>
  <si>
    <t>POLR2D</t>
  </si>
  <si>
    <t>RNF113A</t>
  </si>
  <si>
    <t>CLDN3</t>
  </si>
  <si>
    <t>DHX15</t>
  </si>
  <si>
    <t>RNMT</t>
  </si>
  <si>
    <t>ASAP2</t>
  </si>
  <si>
    <t>TTI1</t>
  </si>
  <si>
    <t>PLXNB1</t>
  </si>
  <si>
    <t>PJA2</t>
  </si>
  <si>
    <t>PRPF4</t>
  </si>
  <si>
    <t>PHGDH</t>
  </si>
  <si>
    <t>NDUFS4</t>
  </si>
  <si>
    <t>DYNC1LI2</t>
  </si>
  <si>
    <t>PSMD3</t>
  </si>
  <si>
    <t>PAPSS1</t>
  </si>
  <si>
    <t>ZW10</t>
  </si>
  <si>
    <t>B4GALT5</t>
  </si>
  <si>
    <t>SART1</t>
  </si>
  <si>
    <t>SPINT2</t>
  </si>
  <si>
    <t>GPAA1</t>
  </si>
  <si>
    <t>ZBTB43</t>
  </si>
  <si>
    <t>MAP3K7</t>
  </si>
  <si>
    <t>LYRM1</t>
  </si>
  <si>
    <t>RIPK2</t>
  </si>
  <si>
    <t>WDR62</t>
  </si>
  <si>
    <t>HNRNPR</t>
  </si>
  <si>
    <t>PRPF3</t>
  </si>
  <si>
    <t>TXNL1</t>
  </si>
  <si>
    <t>TPD52L2</t>
  </si>
  <si>
    <t>EMC8</t>
  </si>
  <si>
    <t>PRKRIR</t>
  </si>
  <si>
    <t>FIBP</t>
  </si>
  <si>
    <t>CBFA2T2</t>
  </si>
  <si>
    <t>HTRA2</t>
  </si>
  <si>
    <t>KLF4</t>
  </si>
  <si>
    <t>OIP5</t>
  </si>
  <si>
    <t>AKR7A2</t>
  </si>
  <si>
    <t>PROM1</t>
  </si>
  <si>
    <t>TGOLN2</t>
  </si>
  <si>
    <t>RAD51C</t>
  </si>
  <si>
    <t>LAMTOR5</t>
  </si>
  <si>
    <t>B3GNT1</t>
  </si>
  <si>
    <t>MED7</t>
  </si>
  <si>
    <t>ATP8B1</t>
  </si>
  <si>
    <t>FOXO3</t>
  </si>
  <si>
    <t>RNF13</t>
  </si>
  <si>
    <t>DENR</t>
  </si>
  <si>
    <t>XPOT</t>
  </si>
  <si>
    <t>SPRY2</t>
  </si>
  <si>
    <t>DNPH1</t>
  </si>
  <si>
    <t>TIMM44</t>
  </si>
  <si>
    <t>TRAPPC3</t>
  </si>
  <si>
    <t>CHMP2A</t>
  </si>
  <si>
    <t>NCK2</t>
  </si>
  <si>
    <t>TSPAN6</t>
  </si>
  <si>
    <t>PRC1</t>
  </si>
  <si>
    <t>NDUFB3</t>
  </si>
  <si>
    <t>NDUFC1</t>
  </si>
  <si>
    <t>NDUFA2</t>
  </si>
  <si>
    <t>ASNA1</t>
  </si>
  <si>
    <t>BUB3</t>
  </si>
  <si>
    <t>TRIAP1</t>
  </si>
  <si>
    <t>HTATSF1</t>
  </si>
  <si>
    <t>STX6</t>
  </si>
  <si>
    <t>SYNGR2</t>
  </si>
  <si>
    <t>SGTA</t>
  </si>
  <si>
    <t>LIAS</t>
  </si>
  <si>
    <t>ENSA</t>
  </si>
  <si>
    <t>SLC25A20</t>
  </si>
  <si>
    <t>SSNA1</t>
  </si>
  <si>
    <t>NUDT21</t>
  </si>
  <si>
    <t>LANCL1</t>
  </si>
  <si>
    <t>STRN</t>
  </si>
  <si>
    <t>RRP9</t>
  </si>
  <si>
    <t>SCO2</t>
  </si>
  <si>
    <t>HYAL3</t>
  </si>
  <si>
    <t>AKAP8</t>
  </si>
  <si>
    <t>SLC37A4</t>
  </si>
  <si>
    <t>ZBTB14</t>
  </si>
  <si>
    <t>IDH3B</t>
  </si>
  <si>
    <t>CALU</t>
  </si>
  <si>
    <t>AHCYL1</t>
  </si>
  <si>
    <t>EXTL3</t>
  </si>
  <si>
    <t>ORC5</t>
  </si>
  <si>
    <t>NDUFS5</t>
  </si>
  <si>
    <t>PDE6D</t>
  </si>
  <si>
    <t>PEX1</t>
  </si>
  <si>
    <t>RAD21</t>
  </si>
  <si>
    <t>AKR1B10</t>
  </si>
  <si>
    <t>TIMM8A</t>
  </si>
  <si>
    <t>DHX16</t>
  </si>
  <si>
    <t>SH3BP5</t>
  </si>
  <si>
    <t>PRPSAP2</t>
  </si>
  <si>
    <t>SMARCA5</t>
  </si>
  <si>
    <t>SPAG9</t>
  </si>
  <si>
    <t>SIPA1L3</t>
  </si>
  <si>
    <t>LCMT2</t>
  </si>
  <si>
    <t>LZTS3</t>
  </si>
  <si>
    <t>AQR</t>
  </si>
  <si>
    <t>OPA1</t>
  </si>
  <si>
    <t>PIP5K1C</t>
  </si>
  <si>
    <t>KIF1B</t>
  </si>
  <si>
    <t>KDM1A</t>
  </si>
  <si>
    <t>TBC1D4</t>
  </si>
  <si>
    <t>ECE2</t>
  </si>
  <si>
    <t>PHLPP1</t>
  </si>
  <si>
    <t>TBC1D12</t>
  </si>
  <si>
    <t>FZD6</t>
  </si>
  <si>
    <t>FADS1</t>
  </si>
  <si>
    <t>LY75</t>
  </si>
  <si>
    <t>MAN1A2</t>
  </si>
  <si>
    <t>PLXNC1</t>
  </si>
  <si>
    <t>MPZL2</t>
  </si>
  <si>
    <t>ACSL4</t>
  </si>
  <si>
    <t>SNX3</t>
  </si>
  <si>
    <t>MGEA5</t>
  </si>
  <si>
    <t>SORBS3</t>
  </si>
  <si>
    <t>SYNCRIP</t>
  </si>
  <si>
    <t>CDC40</t>
  </si>
  <si>
    <t>RANBP6</t>
  </si>
  <si>
    <t>NEMF</t>
  </si>
  <si>
    <t>GMDS</t>
  </si>
  <si>
    <t>NMT2</t>
  </si>
  <si>
    <t>CCNT1</t>
  </si>
  <si>
    <t>BUB1B</t>
  </si>
  <si>
    <t>PLOD3</t>
  </si>
  <si>
    <t>EIF4E2</t>
  </si>
  <si>
    <t>CCNT2</t>
  </si>
  <si>
    <t>SEP15</t>
  </si>
  <si>
    <t>TSPAN1</t>
  </si>
  <si>
    <t>EXOC3</t>
  </si>
  <si>
    <t>KLHL41</t>
  </si>
  <si>
    <t>PLIN3</t>
  </si>
  <si>
    <t>RAD1</t>
  </si>
  <si>
    <t>PRMT3</t>
  </si>
  <si>
    <t>UGDH</t>
  </si>
  <si>
    <t>CTNND1</t>
  </si>
  <si>
    <t>ICMT</t>
  </si>
  <si>
    <t>SNX2</t>
  </si>
  <si>
    <t>USO1</t>
  </si>
  <si>
    <t>PFKFB2</t>
  </si>
  <si>
    <t>CCDC22</t>
  </si>
  <si>
    <t>PQBP1</t>
  </si>
  <si>
    <t>TIMM17B</t>
  </si>
  <si>
    <t>PRAF2</t>
  </si>
  <si>
    <t>DKC1</t>
  </si>
  <si>
    <t>EIF5B</t>
  </si>
  <si>
    <t>EDF1</t>
  </si>
  <si>
    <t>KIN</t>
  </si>
  <si>
    <t>DNAJA2</t>
  </si>
  <si>
    <t>BRD4</t>
  </si>
  <si>
    <t>CUTA</t>
  </si>
  <si>
    <t>PFDN1</t>
  </si>
  <si>
    <t>PPP1R11</t>
  </si>
  <si>
    <t>NBN</t>
  </si>
  <si>
    <t>RNGTT</t>
  </si>
  <si>
    <t>ABCB7</t>
  </si>
  <si>
    <t>SRGAP2</t>
  </si>
  <si>
    <t>PLXNA2</t>
  </si>
  <si>
    <t>IGSF3</t>
  </si>
  <si>
    <t>FAM20B</t>
  </si>
  <si>
    <t>EFCAB14</t>
  </si>
  <si>
    <t>WDR1</t>
  </si>
  <si>
    <t>MEGF6</t>
  </si>
  <si>
    <t>LRP4</t>
  </si>
  <si>
    <t>ATP9A</t>
  </si>
  <si>
    <t>N4BP1</t>
  </si>
  <si>
    <t>ROCK2</t>
  </si>
  <si>
    <t>COBL</t>
  </si>
  <si>
    <t>CPNE3</t>
  </si>
  <si>
    <t>HIP1R</t>
  </si>
  <si>
    <t>RNF40</t>
  </si>
  <si>
    <t>ZC3H11A</t>
  </si>
  <si>
    <t>TSC22D2</t>
  </si>
  <si>
    <t>NPHP4</t>
  </si>
  <si>
    <t>KDM4A</t>
  </si>
  <si>
    <t>DNAJC13</t>
  </si>
  <si>
    <t>PPP6R2</t>
  </si>
  <si>
    <t>CNOT3</t>
  </si>
  <si>
    <t>SS18L1</t>
  </si>
  <si>
    <t>ANKRD17</t>
  </si>
  <si>
    <t>ATP2C2</t>
  </si>
  <si>
    <t>XYLB</t>
  </si>
  <si>
    <t>COQ9</t>
  </si>
  <si>
    <t>GGCT</t>
  </si>
  <si>
    <t>NDUFS2</t>
  </si>
  <si>
    <t>ZNF259</t>
  </si>
  <si>
    <t>GBAS</t>
  </si>
  <si>
    <t>HMMR</t>
  </si>
  <si>
    <t>PDCD6</t>
  </si>
  <si>
    <t>TBCA</t>
  </si>
  <si>
    <t>ATP6V1G1</t>
  </si>
  <si>
    <t>VPS4B</t>
  </si>
  <si>
    <t>ENTPD3</t>
  </si>
  <si>
    <t>ZNF217</t>
  </si>
  <si>
    <t>H2AFY</t>
  </si>
  <si>
    <t>SH3BGRL</t>
  </si>
  <si>
    <t>FLNB</t>
  </si>
  <si>
    <t>NCOR1</t>
  </si>
  <si>
    <t>VAMP4</t>
  </si>
  <si>
    <t>NDUFS6</t>
  </si>
  <si>
    <t>PEX14</t>
  </si>
  <si>
    <t>TRIM3</t>
  </si>
  <si>
    <t>SPAG7</t>
  </si>
  <si>
    <t>SEC22B</t>
  </si>
  <si>
    <t>PRPF40A</t>
  </si>
  <si>
    <t>CDC45</t>
  </si>
  <si>
    <t>GIGYF1</t>
  </si>
  <si>
    <t>LRCH4</t>
  </si>
  <si>
    <t>VPS26A</t>
  </si>
  <si>
    <t>NDUFB1</t>
  </si>
  <si>
    <t>PMPCB</t>
  </si>
  <si>
    <t>SAP30</t>
  </si>
  <si>
    <t>KATNA1</t>
  </si>
  <si>
    <t>ERN1</t>
  </si>
  <si>
    <t>PSIP1</t>
  </si>
  <si>
    <t>ERLIN1</t>
  </si>
  <si>
    <t>GPC4</t>
  </si>
  <si>
    <t>NDUFS3</t>
  </si>
  <si>
    <t>CLN5</t>
  </si>
  <si>
    <t>HSBP1</t>
  </si>
  <si>
    <t>ECI2</t>
  </si>
  <si>
    <t>EED</t>
  </si>
  <si>
    <t>BANF1</t>
  </si>
  <si>
    <t>SF3B1</t>
  </si>
  <si>
    <t>CSDE1</t>
  </si>
  <si>
    <t>WBP4</t>
  </si>
  <si>
    <t>PRKRA</t>
  </si>
  <si>
    <t>MTRF1</t>
  </si>
  <si>
    <t>GCAT</t>
  </si>
  <si>
    <t>NPM3</t>
  </si>
  <si>
    <t>LYPLA1</t>
  </si>
  <si>
    <t>ERAL1</t>
  </si>
  <si>
    <t>CREG1</t>
  </si>
  <si>
    <t>SNRNP200</t>
  </si>
  <si>
    <t>TIPRL</t>
  </si>
  <si>
    <t>SURF6</t>
  </si>
  <si>
    <t>PPM1B</t>
  </si>
  <si>
    <t>UTP20</t>
  </si>
  <si>
    <t>WDHD1</t>
  </si>
  <si>
    <t>SLC25A12</t>
  </si>
  <si>
    <t>GRAP2</t>
  </si>
  <si>
    <t>RNASEH2A</t>
  </si>
  <si>
    <t>CDC123</t>
  </si>
  <si>
    <t>SOLH</t>
  </si>
  <si>
    <t>RPP40</t>
  </si>
  <si>
    <t>EIF3G</t>
  </si>
  <si>
    <t>EIF3J</t>
  </si>
  <si>
    <t>CBR3</t>
  </si>
  <si>
    <t>PSMD10</t>
  </si>
  <si>
    <t>ZMPSTE24</t>
  </si>
  <si>
    <t>SC5D</t>
  </si>
  <si>
    <t>TRAPPC6A</t>
  </si>
  <si>
    <t>IDH1</t>
  </si>
  <si>
    <t>ATRN</t>
  </si>
  <si>
    <t>RBBP9</t>
  </si>
  <si>
    <t>STAM2</t>
  </si>
  <si>
    <t>ALDH1L1</t>
  </si>
  <si>
    <t>TUSC2</t>
  </si>
  <si>
    <t>ARL6IP5</t>
  </si>
  <si>
    <t>BCAS2</t>
  </si>
  <si>
    <t>DCTN3</t>
  </si>
  <si>
    <t>DNAJC8</t>
  </si>
  <si>
    <t>SMNDC1</t>
  </si>
  <si>
    <t>ATP5H</t>
  </si>
  <si>
    <t>FLOT1</t>
  </si>
  <si>
    <t>TRIO</t>
  </si>
  <si>
    <t>ATP5L</t>
  </si>
  <si>
    <t>CPD</t>
  </si>
  <si>
    <t>GLRX3</t>
  </si>
  <si>
    <t>WFS1</t>
  </si>
  <si>
    <t>CLPX</t>
  </si>
  <si>
    <t>NEBL</t>
  </si>
  <si>
    <t>SEC14L2</t>
  </si>
  <si>
    <t>STC2</t>
  </si>
  <si>
    <t>SNCG</t>
  </si>
  <si>
    <t>CIAO1</t>
  </si>
  <si>
    <t>PDE5A</t>
  </si>
  <si>
    <t>DFFB</t>
  </si>
  <si>
    <t>ZFAND5</t>
  </si>
  <si>
    <t>SRP72</t>
  </si>
  <si>
    <t>JTB</t>
  </si>
  <si>
    <t>DOM3Z</t>
  </si>
  <si>
    <t>DDAH1</t>
  </si>
  <si>
    <t>URI1</t>
  </si>
  <si>
    <t>B3GAT3</t>
  </si>
  <si>
    <t>MTA2</t>
  </si>
  <si>
    <t>STK10</t>
  </si>
  <si>
    <t>TOMM70A</t>
  </si>
  <si>
    <t>IPO13</t>
  </si>
  <si>
    <t>DDHD2</t>
  </si>
  <si>
    <t>MYO1D</t>
  </si>
  <si>
    <t>MICAL2</t>
  </si>
  <si>
    <t>SEC24D</t>
  </si>
  <si>
    <t>SUPT7L</t>
  </si>
  <si>
    <t>UFL1</t>
  </si>
  <si>
    <t>SORBS2</t>
  </si>
  <si>
    <t>TMCC1</t>
  </si>
  <si>
    <t>PHF14</t>
  </si>
  <si>
    <t>UBXN7</t>
  </si>
  <si>
    <t>KLHL18</t>
  </si>
  <si>
    <t>PROSC</t>
  </si>
  <si>
    <t>PRPF6</t>
  </si>
  <si>
    <t>DKK1</t>
  </si>
  <si>
    <t>PCF11</t>
  </si>
  <si>
    <t>NFAT5</t>
  </si>
  <si>
    <t>GLS</t>
  </si>
  <si>
    <t>UBOX5</t>
  </si>
  <si>
    <t>USP19</t>
  </si>
  <si>
    <t>WDR47</t>
  </si>
  <si>
    <t>AP2A2</t>
  </si>
  <si>
    <t>HEXIM1</t>
  </si>
  <si>
    <t>RPP14</t>
  </si>
  <si>
    <t>CCNB2</t>
  </si>
  <si>
    <t>AGFG2</t>
  </si>
  <si>
    <t>SCAF4</t>
  </si>
  <si>
    <t>NDUFB6</t>
  </si>
  <si>
    <t>MFN2</t>
  </si>
  <si>
    <t>UBE4B</t>
  </si>
  <si>
    <t>ZFPL1</t>
  </si>
  <si>
    <t>IKBKAP</t>
  </si>
  <si>
    <t>NDUFA3</t>
  </si>
  <si>
    <t>NDUFB4</t>
  </si>
  <si>
    <t>SCEL</t>
  </si>
  <si>
    <t>NDUFA7</t>
  </si>
  <si>
    <t>CSPG5</t>
  </si>
  <si>
    <t>RTN3</t>
  </si>
  <si>
    <t>LETM1</t>
  </si>
  <si>
    <t>ZRANB2</t>
  </si>
  <si>
    <t>SNX4</t>
  </si>
  <si>
    <t>ZWINT</t>
  </si>
  <si>
    <t>VENTX</t>
  </si>
  <si>
    <t>KIF4A</t>
  </si>
  <si>
    <t>CCNDBP1</t>
  </si>
  <si>
    <t>LYPD3</t>
  </si>
  <si>
    <t>VAPB</t>
  </si>
  <si>
    <t>SNAPIN</t>
  </si>
  <si>
    <t>MPZL1</t>
  </si>
  <si>
    <t>NDUFC2</t>
  </si>
  <si>
    <t>FKBP9</t>
  </si>
  <si>
    <t>PGLS</t>
  </si>
  <si>
    <t>SMC2</t>
  </si>
  <si>
    <t>ATG7</t>
  </si>
  <si>
    <t>FARS2</t>
  </si>
  <si>
    <t>ZBTB7A</t>
  </si>
  <si>
    <t>LYPLA2</t>
  </si>
  <si>
    <t>IPO7</t>
  </si>
  <si>
    <t>ARIH2</t>
  </si>
  <si>
    <t>SLU7</t>
  </si>
  <si>
    <t>PGM3</t>
  </si>
  <si>
    <t>MOCS3</t>
  </si>
  <si>
    <t>CD2BP2</t>
  </si>
  <si>
    <t>MED26</t>
  </si>
  <si>
    <t>ZFYVE9</t>
  </si>
  <si>
    <t>ZIC2</t>
  </si>
  <si>
    <t>SVIL</t>
  </si>
  <si>
    <t>BAG4</t>
  </si>
  <si>
    <t>AHSA1</t>
  </si>
  <si>
    <t>PARN</t>
  </si>
  <si>
    <t>TGDS</t>
  </si>
  <si>
    <t>PSMG1</t>
  </si>
  <si>
    <t>SGPL1</t>
  </si>
  <si>
    <t>CLDN7</t>
  </si>
  <si>
    <t>SEC24A</t>
  </si>
  <si>
    <t>SEC24B</t>
  </si>
  <si>
    <t>NADK</t>
  </si>
  <si>
    <t>TDP2</t>
  </si>
  <si>
    <t>ETHE1</t>
  </si>
  <si>
    <t>ACSL3</t>
  </si>
  <si>
    <t>POLR1A</t>
  </si>
  <si>
    <t>YEATS4</t>
  </si>
  <si>
    <t>DUS4L</t>
  </si>
  <si>
    <t>CNOT4</t>
  </si>
  <si>
    <t>STAMBP</t>
  </si>
  <si>
    <t>CPSF4</t>
  </si>
  <si>
    <t>ASMTL</t>
  </si>
  <si>
    <t>FGFR1OP</t>
  </si>
  <si>
    <t>POP4</t>
  </si>
  <si>
    <t>RAB3D</t>
  </si>
  <si>
    <t>SNAP29</t>
  </si>
  <si>
    <t>OXSR1</t>
  </si>
  <si>
    <t>GGPS1</t>
  </si>
  <si>
    <t>FGF19</t>
  </si>
  <si>
    <t>PTBP3</t>
  </si>
  <si>
    <t>NAA38</t>
  </si>
  <si>
    <t>AP2A1</t>
  </si>
  <si>
    <t>TTC4</t>
  </si>
  <si>
    <t>TMEM50A</t>
  </si>
  <si>
    <t>SDPR</t>
  </si>
  <si>
    <t>BAG2</t>
  </si>
  <si>
    <t>BAG3</t>
  </si>
  <si>
    <t>MLYCD</t>
  </si>
  <si>
    <t>CRYZL1</t>
  </si>
  <si>
    <t>AIFM1</t>
  </si>
  <si>
    <t>CLIC3</t>
  </si>
  <si>
    <t>EML2</t>
  </si>
  <si>
    <t>NUDT14</t>
  </si>
  <si>
    <t>TSPAN13</t>
  </si>
  <si>
    <t>DDAH2</t>
  </si>
  <si>
    <t>C6orf47</t>
  </si>
  <si>
    <t>TXNDC12</t>
  </si>
  <si>
    <t>ECD</t>
  </si>
  <si>
    <t>SYF2</t>
  </si>
  <si>
    <t>MBD3</t>
  </si>
  <si>
    <t>TOP3B</t>
  </si>
  <si>
    <t>NUDT3</t>
  </si>
  <si>
    <t>BCL10</t>
  </si>
  <si>
    <t>NDUFB10</t>
  </si>
  <si>
    <t>MOCS2</t>
  </si>
  <si>
    <t>TOMM40</t>
  </si>
  <si>
    <t>PEX11B</t>
  </si>
  <si>
    <t>PAK4</t>
  </si>
  <si>
    <t>CHEK2</t>
  </si>
  <si>
    <t>APBA3</t>
  </si>
  <si>
    <t>ACTL6A</t>
  </si>
  <si>
    <t>CYB5A</t>
  </si>
  <si>
    <t>LDHA</t>
  </si>
  <si>
    <t>ALDH1A1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</si>
  <si>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</si>
  <si>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</si>
  <si>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</si>
  <si>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</si>
  <si>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</si>
  <si>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</si>
  <si>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</si>
  <si>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</si>
  <si>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</si>
  <si>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PGK1</t>
  </si>
  <si>
    <t>ADA</t>
  </si>
  <si>
    <t>CA2</t>
  </si>
  <si>
    <t>ASS1</t>
  </si>
  <si>
    <t>A2M</t>
  </si>
  <si>
    <t>CST3</t>
  </si>
  <si>
    <t>CST1</t>
  </si>
  <si>
    <t>NRAS</t>
  </si>
  <si>
    <t>HRAS</t>
  </si>
  <si>
    <t>KRAS</t>
  </si>
  <si>
    <t>TGFB1</t>
  </si>
  <si>
    <t>GAST</t>
  </si>
  <si>
    <t>PIGR</t>
  </si>
  <si>
    <t>MB</t>
  </si>
  <si>
    <t>LMNA</t>
  </si>
  <si>
    <t>SPTA1</t>
  </si>
  <si>
    <t>APOE</t>
  </si>
  <si>
    <t>TFRC</t>
  </si>
  <si>
    <t>TF</t>
  </si>
  <si>
    <t>FTL</t>
  </si>
  <si>
    <t>FTH1</t>
  </si>
  <si>
    <t>MT2A</t>
  </si>
  <si>
    <t>MT-ATP8</t>
  </si>
  <si>
    <t>SLPI</t>
  </si>
  <si>
    <t>CAT</t>
  </si>
  <si>
    <t>FUCA1</t>
  </si>
  <si>
    <t>CSTB</t>
  </si>
  <si>
    <t>ANXA1</t>
  </si>
  <si>
    <t>OAT</t>
  </si>
  <si>
    <t>TK1</t>
  </si>
  <si>
    <t>GAPDH</t>
  </si>
  <si>
    <t>ASL</t>
  </si>
  <si>
    <t>CAPNS1</t>
  </si>
  <si>
    <t>HSPB1</t>
  </si>
  <si>
    <t>TYMS</t>
  </si>
  <si>
    <t>RPN1</t>
  </si>
  <si>
    <t>RPN2</t>
  </si>
  <si>
    <t>GNAI2</t>
  </si>
  <si>
    <t>SLC4A2</t>
  </si>
  <si>
    <t>ATP1A1</t>
  </si>
  <si>
    <t>CHGB</t>
  </si>
  <si>
    <t>APP</t>
  </si>
  <si>
    <t>ALDH2</t>
  </si>
  <si>
    <t>HMGN1</t>
  </si>
  <si>
    <t>SLC25A5</t>
  </si>
  <si>
    <t>ISG15</t>
  </si>
  <si>
    <t>PCCA</t>
  </si>
  <si>
    <t>EIF2S1</t>
  </si>
  <si>
    <t>HMGN2</t>
  </si>
  <si>
    <t>ICAM1</t>
  </si>
  <si>
    <t>RPLP1</t>
  </si>
  <si>
    <t>RPLP2</t>
  </si>
  <si>
    <t>RPLP0</t>
  </si>
  <si>
    <t>JUN</t>
  </si>
  <si>
    <t>FABP3</t>
  </si>
  <si>
    <t>SSB</t>
  </si>
  <si>
    <t>ITGB1</t>
  </si>
  <si>
    <t>KRT18</t>
  </si>
  <si>
    <t>MYL1</t>
  </si>
  <si>
    <t>UROD</t>
  </si>
  <si>
    <t>BCHE</t>
  </si>
  <si>
    <t>GLA</t>
  </si>
  <si>
    <t>GSN</t>
  </si>
  <si>
    <t>RB1</t>
  </si>
  <si>
    <t>CDK1</t>
  </si>
  <si>
    <t>ATP5B</t>
  </si>
  <si>
    <t>ENO1</t>
  </si>
  <si>
    <t>PYGL</t>
  </si>
  <si>
    <t>GPI</t>
  </si>
  <si>
    <t>NPM1</t>
  </si>
  <si>
    <t>ITGAV</t>
  </si>
  <si>
    <t>DBI</t>
  </si>
  <si>
    <t>LDHB</t>
  </si>
  <si>
    <t>CENPB</t>
  </si>
  <si>
    <t>GPX1</t>
  </si>
  <si>
    <t>PGK2</t>
  </si>
  <si>
    <t>H1F0</t>
  </si>
  <si>
    <t>CTSD</t>
  </si>
  <si>
    <t>CAPN1</t>
  </si>
  <si>
    <t>HEXB</t>
  </si>
  <si>
    <t>PFN1</t>
  </si>
  <si>
    <t>BPGM</t>
  </si>
  <si>
    <t>APRT</t>
  </si>
  <si>
    <t>EPRS</t>
  </si>
  <si>
    <t>CTSB</t>
  </si>
  <si>
    <t>HSP90AA1</t>
  </si>
  <si>
    <t>GALT</t>
  </si>
  <si>
    <t>UQCRH</t>
  </si>
  <si>
    <t>LYN</t>
  </si>
  <si>
    <t>TPM2</t>
  </si>
  <si>
    <t>FH</t>
  </si>
  <si>
    <t>GJB1</t>
  </si>
  <si>
    <t>SP1</t>
  </si>
  <si>
    <t>HSPA1A</t>
  </si>
  <si>
    <t>PFKM</t>
  </si>
  <si>
    <t>HSP90AB1</t>
  </si>
  <si>
    <t>SRPR</t>
  </si>
  <si>
    <t>ASNS</t>
  </si>
  <si>
    <t>SOD3</t>
  </si>
  <si>
    <t>HMBS</t>
  </si>
  <si>
    <t>MME</t>
  </si>
  <si>
    <t>PDHA1</t>
  </si>
  <si>
    <t>CYC1</t>
  </si>
  <si>
    <t>SNRPB2</t>
  </si>
  <si>
    <t>SNRNP70</t>
  </si>
  <si>
    <t>GNAI3</t>
  </si>
  <si>
    <t>ANXA5</t>
  </si>
  <si>
    <t>ABHD2</t>
  </si>
  <si>
    <t>SNRPA</t>
  </si>
  <si>
    <t>FGF2</t>
  </si>
  <si>
    <t>ENO2</t>
  </si>
  <si>
    <t>ACAA1</t>
  </si>
  <si>
    <t>SRP19</t>
  </si>
  <si>
    <t>DBH</t>
  </si>
  <si>
    <t>GSTP1</t>
  </si>
  <si>
    <t>SNRPC</t>
  </si>
  <si>
    <t>LGALS1</t>
  </si>
  <si>
    <t>QDPR</t>
  </si>
  <si>
    <t>HMGB1</t>
  </si>
  <si>
    <t>FBP1</t>
  </si>
  <si>
    <t>CLTA</t>
  </si>
  <si>
    <t>CLTB</t>
  </si>
  <si>
    <t>ANXA4</t>
  </si>
  <si>
    <t>CNP</t>
  </si>
  <si>
    <t>HMOX1</t>
  </si>
  <si>
    <t>PDGFRB</t>
  </si>
  <si>
    <t>DLD</t>
  </si>
  <si>
    <t>SNRPA1</t>
  </si>
  <si>
    <t>COX6C</t>
  </si>
  <si>
    <t>PARP1</t>
  </si>
  <si>
    <t>LTA4H</t>
  </si>
  <si>
    <t>ALDOC</t>
  </si>
  <si>
    <t>NUDT7</t>
  </si>
  <si>
    <t>CISD3</t>
  </si>
  <si>
    <t>ATXN1L</t>
  </si>
  <si>
    <t>JMJD7</t>
  </si>
  <si>
    <t>POLR2M</t>
  </si>
  <si>
    <t>CHTF8</t>
  </si>
  <si>
    <t>RPS17L</t>
  </si>
  <si>
    <t>SMIM13</t>
  </si>
  <si>
    <t>FDX1</t>
  </si>
  <si>
    <t>RAP2A</t>
  </si>
  <si>
    <t>TROVE2</t>
  </si>
  <si>
    <t>COX8A</t>
  </si>
  <si>
    <t>GAA</t>
  </si>
  <si>
    <t>RRAS</t>
  </si>
  <si>
    <t>HIST1H1E</t>
  </si>
  <si>
    <t>DLAT</t>
  </si>
  <si>
    <t>PTPRF</t>
  </si>
  <si>
    <t>TXN</t>
  </si>
  <si>
    <t>COX5B</t>
  </si>
  <si>
    <t>CTSA</t>
  </si>
  <si>
    <t>MAPT</t>
  </si>
  <si>
    <t>C7</t>
  </si>
  <si>
    <t>PRKAR1A</t>
  </si>
  <si>
    <t>UROS</t>
  </si>
  <si>
    <t>ESD</t>
  </si>
  <si>
    <t>HSPD1</t>
  </si>
  <si>
    <t>CLU</t>
  </si>
  <si>
    <t>HSPA5</t>
  </si>
  <si>
    <t>LAMC1</t>
  </si>
  <si>
    <t>PNMT</t>
  </si>
  <si>
    <t>ACP2</t>
  </si>
  <si>
    <t>SLC2A1</t>
  </si>
  <si>
    <t>EPB41</t>
  </si>
  <si>
    <t>UMPS</t>
  </si>
  <si>
    <t>PDHB</t>
  </si>
  <si>
    <t>DBT</t>
  </si>
  <si>
    <t>PYGB</t>
  </si>
  <si>
    <t>RALA</t>
  </si>
  <si>
    <t>BCR</t>
  </si>
  <si>
    <t>LAMP1</t>
  </si>
  <si>
    <t>TOP1</t>
  </si>
  <si>
    <t>TOP2A</t>
  </si>
  <si>
    <t>G6PD</t>
  </si>
  <si>
    <t>UBL4A</t>
  </si>
  <si>
    <t>PC</t>
  </si>
  <si>
    <t>MTHFD1</t>
  </si>
  <si>
    <t>IGF2R</t>
  </si>
  <si>
    <t>ADH5</t>
  </si>
  <si>
    <t>CDK4</t>
  </si>
  <si>
    <t>PRPS2</t>
  </si>
  <si>
    <t>PABPC1</t>
  </si>
  <si>
    <t>PCNA</t>
  </si>
  <si>
    <t>HARS</t>
  </si>
  <si>
    <t>COL6A1</t>
  </si>
  <si>
    <t>SLC25A4</t>
  </si>
  <si>
    <t>SLC25A6</t>
  </si>
  <si>
    <t>IMPDH2</t>
  </si>
  <si>
    <t>TPR</t>
  </si>
  <si>
    <t>PIP</t>
  </si>
  <si>
    <t>CKB</t>
  </si>
  <si>
    <t>ANXA3</t>
  </si>
  <si>
    <t>CKMT1A</t>
  </si>
  <si>
    <t>SKI</t>
  </si>
  <si>
    <t>ACTN1</t>
  </si>
  <si>
    <t>CDH1</t>
  </si>
  <si>
    <t>XRCC6</t>
  </si>
  <si>
    <t>XRCC5</t>
  </si>
  <si>
    <t>UNG</t>
  </si>
  <si>
    <t>NR2C1</t>
  </si>
  <si>
    <t>COX4I1</t>
  </si>
  <si>
    <t>ALAS1</t>
  </si>
  <si>
    <t>IFI30</t>
  </si>
  <si>
    <t>RNH1</t>
  </si>
  <si>
    <t>CYBA</t>
  </si>
  <si>
    <t>SCG2</t>
  </si>
  <si>
    <t>EEF2</t>
  </si>
  <si>
    <t>PDIA4</t>
  </si>
  <si>
    <t>P4HA1</t>
  </si>
  <si>
    <t>TPT1</t>
  </si>
  <si>
    <t>ETFA</t>
  </si>
  <si>
    <t>PRKAR2A</t>
  </si>
  <si>
    <t>ENO3</t>
  </si>
  <si>
    <t>GTF2F2</t>
  </si>
  <si>
    <t>MTHFD2</t>
  </si>
  <si>
    <t>MIF</t>
  </si>
  <si>
    <t>PRF1</t>
  </si>
  <si>
    <t>FDPS</t>
  </si>
  <si>
    <t>AKR1A1</t>
  </si>
  <si>
    <t>PLA2G2A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</si>
  <si>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</si>
  <si>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</si>
  <si>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</si>
  <si>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</si>
  <si>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</si>
  <si>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</si>
  <si>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</si>
  <si>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</si>
  <si>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JUP</t>
  </si>
  <si>
    <t>UQCRB</t>
  </si>
  <si>
    <t>GLUL</t>
  </si>
  <si>
    <t>ANPEP</t>
  </si>
  <si>
    <t>PVR</t>
  </si>
  <si>
    <t>GSPT1</t>
  </si>
  <si>
    <t>ARSA</t>
  </si>
  <si>
    <t>B4GALT1</t>
  </si>
  <si>
    <t>EZR</t>
  </si>
  <si>
    <t>UCHL3</t>
  </si>
  <si>
    <t>FOSL1</t>
  </si>
  <si>
    <t>CD46</t>
  </si>
  <si>
    <t>NME1</t>
  </si>
  <si>
    <t>ARSB</t>
  </si>
  <si>
    <t>RPS2</t>
  </si>
  <si>
    <t>DSP</t>
  </si>
  <si>
    <t>RPA2</t>
  </si>
  <si>
    <t>COX7C</t>
  </si>
  <si>
    <t>ITGB4</t>
  </si>
  <si>
    <t>CBR1</t>
  </si>
  <si>
    <t>HLA-A</t>
  </si>
  <si>
    <t>ACADS</t>
  </si>
  <si>
    <t>CREB1</t>
  </si>
  <si>
    <t>GLB1</t>
  </si>
  <si>
    <t>PPP3CB</t>
  </si>
  <si>
    <t>GCFC2</t>
  </si>
  <si>
    <t>HIST1H1B</t>
  </si>
  <si>
    <t>POR</t>
  </si>
  <si>
    <t>MGMT</t>
  </si>
  <si>
    <t>ATP2A2</t>
  </si>
  <si>
    <t>FAH</t>
  </si>
  <si>
    <t>STMN1</t>
  </si>
  <si>
    <t>YBX3</t>
  </si>
  <si>
    <t>ZNF22</t>
  </si>
  <si>
    <t>ZNF24</t>
  </si>
  <si>
    <t>ZNF30</t>
  </si>
  <si>
    <t>NAGA</t>
  </si>
  <si>
    <t>HSPA6</t>
  </si>
  <si>
    <t>HMGA1</t>
  </si>
  <si>
    <t>TMEM11</t>
  </si>
  <si>
    <t>GOT1</t>
  </si>
  <si>
    <t>PRKCA</t>
  </si>
  <si>
    <t>JUNB</t>
  </si>
  <si>
    <t>JUND</t>
  </si>
  <si>
    <t>NDUFB7</t>
  </si>
  <si>
    <t>PRKACA</t>
  </si>
  <si>
    <t>CAPN2</t>
  </si>
  <si>
    <t>PTPN2</t>
  </si>
  <si>
    <t>CTPS1</t>
  </si>
  <si>
    <t>PFKL</t>
  </si>
  <si>
    <t>GM2A</t>
  </si>
  <si>
    <t>LGALS3</t>
  </si>
  <si>
    <t>TCP1</t>
  </si>
  <si>
    <t>PTPN1</t>
  </si>
  <si>
    <t>IGFBP2</t>
  </si>
  <si>
    <t>ARF4</t>
  </si>
  <si>
    <t>RPL7</t>
  </si>
  <si>
    <t>EGR1</t>
  </si>
  <si>
    <t>VCL</t>
  </si>
  <si>
    <t>SON</t>
  </si>
  <si>
    <t>NELFE</t>
  </si>
  <si>
    <t>PGAM1</t>
  </si>
  <si>
    <t>RCC1</t>
  </si>
  <si>
    <t>SDC1</t>
  </si>
  <si>
    <t>ATF1</t>
  </si>
  <si>
    <t>LIG1</t>
  </si>
  <si>
    <t>ATP5J</t>
  </si>
  <si>
    <t>PAM</t>
  </si>
  <si>
    <t>PLCG1</t>
  </si>
  <si>
    <t>NCL</t>
  </si>
  <si>
    <t>HK1</t>
  </si>
  <si>
    <t>POLR2C</t>
  </si>
  <si>
    <t>POLR2E</t>
  </si>
  <si>
    <t>EIF2AK2</t>
  </si>
  <si>
    <t>SRM</t>
  </si>
  <si>
    <t>CSNK2A2</t>
  </si>
  <si>
    <t>NFKB1</t>
  </si>
  <si>
    <t>ATP2B1</t>
  </si>
  <si>
    <t>EIF2S2</t>
  </si>
  <si>
    <t>CCNA2</t>
  </si>
  <si>
    <t>BTF3</t>
  </si>
  <si>
    <t>CHRM3</t>
  </si>
  <si>
    <t>RAB3A</t>
  </si>
  <si>
    <t>RAB4A</t>
  </si>
  <si>
    <t>RAB6A</t>
  </si>
  <si>
    <t>MSH3</t>
  </si>
  <si>
    <t>PSMB1</t>
  </si>
  <si>
    <t>M6PR</t>
  </si>
  <si>
    <t>COX5A</t>
  </si>
  <si>
    <t>LMNB1</t>
  </si>
  <si>
    <t>HOXA5</t>
  </si>
  <si>
    <t>CAST</t>
  </si>
  <si>
    <t>AGA</t>
  </si>
  <si>
    <t>PTMS</t>
  </si>
  <si>
    <t>CDK11B</t>
  </si>
  <si>
    <t>ATP6V1B2</t>
  </si>
  <si>
    <t>ATP6V1C1</t>
  </si>
  <si>
    <t>CSRP1</t>
  </si>
  <si>
    <t>FLNA</t>
  </si>
  <si>
    <t>NF1</t>
  </si>
  <si>
    <t>MAOA</t>
  </si>
  <si>
    <t>ACO1</t>
  </si>
  <si>
    <t>TNFAIP3</t>
  </si>
  <si>
    <t>KITLG</t>
  </si>
  <si>
    <t>GPD1</t>
  </si>
  <si>
    <t>VDAC1</t>
  </si>
  <si>
    <t>SDHB</t>
  </si>
  <si>
    <t>BCKDHB</t>
  </si>
  <si>
    <t>COMT</t>
  </si>
  <si>
    <t>MUT</t>
  </si>
  <si>
    <t>OSBP</t>
  </si>
  <si>
    <t>FUT4</t>
  </si>
  <si>
    <t>FBL</t>
  </si>
  <si>
    <t>GART</t>
  </si>
  <si>
    <t>PAICS</t>
  </si>
  <si>
    <t>IDS</t>
  </si>
  <si>
    <t>SCP2</t>
  </si>
  <si>
    <t>UBA1</t>
  </si>
  <si>
    <t>SPRR2D</t>
  </si>
  <si>
    <t>FDXR</t>
  </si>
  <si>
    <t>HNRNPA2B1</t>
  </si>
  <si>
    <t>CBL</t>
  </si>
  <si>
    <t>PRKACB</t>
  </si>
  <si>
    <t>UQCRC2</t>
  </si>
  <si>
    <t>FECH</t>
  </si>
  <si>
    <t>XPA</t>
  </si>
  <si>
    <t>CES1</t>
  </si>
  <si>
    <t>TCEA1</t>
  </si>
  <si>
    <t>SFPQ</t>
  </si>
  <si>
    <t>TUBG1</t>
  </si>
  <si>
    <t>CA6</t>
  </si>
  <si>
    <t>PPIB</t>
  </si>
  <si>
    <t>ME2</t>
  </si>
  <si>
    <t>RPS3</t>
  </si>
  <si>
    <t>MYF6</t>
  </si>
  <si>
    <t>GCSH</t>
  </si>
  <si>
    <t>JAK1</t>
  </si>
  <si>
    <t>PTPRE</t>
  </si>
  <si>
    <t>PTPRG</t>
  </si>
  <si>
    <t>SP100</t>
  </si>
  <si>
    <t>NFYA</t>
  </si>
  <si>
    <t>AHCY</t>
  </si>
  <si>
    <t>CFL1</t>
  </si>
  <si>
    <t>F8A1</t>
  </si>
  <si>
    <t>CPT2</t>
  </si>
  <si>
    <t>DTYMK</t>
  </si>
  <si>
    <t>RRM1</t>
  </si>
  <si>
    <t>CCND1</t>
  </si>
  <si>
    <t>NR2F2</t>
  </si>
  <si>
    <t>EEF1B2</t>
  </si>
  <si>
    <t>IGFBP5</t>
  </si>
  <si>
    <t>ACP1</t>
  </si>
  <si>
    <t>POLR2A</t>
  </si>
  <si>
    <t>APC</t>
  </si>
  <si>
    <t>ADRBK1</t>
  </si>
  <si>
    <t>MCM3</t>
  </si>
  <si>
    <t>AZGP1</t>
  </si>
  <si>
    <t>RPS12</t>
  </si>
  <si>
    <t>YY1</t>
  </si>
  <si>
    <t>DNAJB1</t>
  </si>
  <si>
    <t>ATP5A1</t>
  </si>
  <si>
    <t>PSMA1</t>
  </si>
  <si>
    <t>PSMA2</t>
  </si>
  <si>
    <t>PSMA3</t>
  </si>
  <si>
    <t>PSMA4</t>
  </si>
  <si>
    <t>S100P</t>
  </si>
  <si>
    <t>MSN</t>
  </si>
  <si>
    <t>DDX6</t>
  </si>
  <si>
    <t>DNMT1</t>
  </si>
  <si>
    <t>U2AF2</t>
  </si>
  <si>
    <t>RPL13</t>
  </si>
  <si>
    <t>IVD</t>
  </si>
  <si>
    <t>S100A4</t>
  </si>
  <si>
    <t>MGAT1</t>
  </si>
  <si>
    <t>HMGB2</t>
  </si>
  <si>
    <t>PTBP1</t>
  </si>
  <si>
    <t>TARS</t>
  </si>
  <si>
    <t>EEF1G</t>
  </si>
  <si>
    <t>FKBP2</t>
  </si>
  <si>
    <t>AK4</t>
  </si>
  <si>
    <t>MAOB</t>
  </si>
  <si>
    <t>YWHAQ</t>
  </si>
  <si>
    <t>MAPK3</t>
  </si>
  <si>
    <t>ATP6V0C</t>
  </si>
  <si>
    <t>CALML3</t>
  </si>
  <si>
    <t>ARNT</t>
  </si>
  <si>
    <t>RPL10</t>
  </si>
  <si>
    <t>RPA1</t>
  </si>
  <si>
    <t>APEX1</t>
  </si>
  <si>
    <t>CANX</t>
  </si>
  <si>
    <t>PIK3R1</t>
  </si>
  <si>
    <t>ITPKB</t>
  </si>
  <si>
    <t>PSMB8</t>
  </si>
  <si>
    <t>PSMA5</t>
  </si>
  <si>
    <t>PSMB4</t>
  </si>
  <si>
    <t>PSMB6</t>
  </si>
  <si>
    <t>PSMB5</t>
  </si>
  <si>
    <t>NDUFS1</t>
  </si>
  <si>
    <t>MAPK1</t>
  </si>
  <si>
    <t>RXRB</t>
  </si>
  <si>
    <t>ERCC5</t>
  </si>
  <si>
    <t>GRN</t>
  </si>
  <si>
    <t>LAP3</t>
  </si>
  <si>
    <t>S100A2</t>
  </si>
  <si>
    <t>GTF2E1</t>
  </si>
  <si>
    <t>GTF2E2</t>
  </si>
  <si>
    <t>TPP2</t>
  </si>
  <si>
    <t>EPHA2</t>
  </si>
  <si>
    <t>EPHB2</t>
  </si>
  <si>
    <t>PTPN6</t>
  </si>
  <si>
    <t>SHC1</t>
  </si>
  <si>
    <t>MPG</t>
  </si>
  <si>
    <t>CRABP2</t>
  </si>
  <si>
    <t>COL4A5</t>
  </si>
  <si>
    <t>TKT</t>
  </si>
  <si>
    <t>PML</t>
  </si>
  <si>
    <t>MARCKS</t>
  </si>
  <si>
    <t>GNA11</t>
  </si>
  <si>
    <t>ALDH4A1</t>
  </si>
  <si>
    <t>ERP29</t>
  </si>
  <si>
    <t>PRDX6</t>
  </si>
  <si>
    <t>C21orf33</t>
  </si>
  <si>
    <t>BLVRB</t>
  </si>
  <si>
    <t>PRDX5</t>
  </si>
  <si>
    <t>DDT</t>
  </si>
  <si>
    <t>GCHFR</t>
  </si>
  <si>
    <t>ATP5D</t>
  </si>
  <si>
    <t>RPL12</t>
  </si>
  <si>
    <t>ECHS1</t>
  </si>
  <si>
    <t>CMPK1</t>
  </si>
  <si>
    <t>PEBP1</t>
  </si>
  <si>
    <t>PPP2R1A</t>
  </si>
  <si>
    <t>PPP2R1B</t>
  </si>
  <si>
    <t>CDC27</t>
  </si>
  <si>
    <t>CCND3</t>
  </si>
  <si>
    <t>WEE1</t>
  </si>
  <si>
    <t>PPIF</t>
  </si>
  <si>
    <t>NKTR</t>
  </si>
  <si>
    <t>NMT1</t>
  </si>
  <si>
    <t>HMOX2</t>
  </si>
  <si>
    <t>ADSS</t>
  </si>
  <si>
    <t>LRPAP1</t>
  </si>
  <si>
    <t>ADSL</t>
  </si>
  <si>
    <t>CLIP1</t>
  </si>
  <si>
    <t>GSTT1</t>
  </si>
  <si>
    <t>SERPINB1</t>
  </si>
  <si>
    <t>SLC7A1</t>
  </si>
  <si>
    <t>ALDH1B1</t>
  </si>
  <si>
    <t>ALDH3A1</t>
  </si>
  <si>
    <t>SDHA</t>
  </si>
  <si>
    <t>CORO1A</t>
  </si>
  <si>
    <t>GDI1</t>
  </si>
  <si>
    <t>MAT2A</t>
  </si>
  <si>
    <t>PRKAR1B</t>
  </si>
  <si>
    <t>PRKAR2B</t>
  </si>
  <si>
    <t>RRM2</t>
  </si>
  <si>
    <t>SLC6A6</t>
  </si>
  <si>
    <t>DNAJA1</t>
  </si>
  <si>
    <t>AKT1</t>
  </si>
  <si>
    <t>AKT2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</si>
  <si>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</si>
  <si>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</si>
  <si>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</si>
  <si>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</si>
  <si>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</si>
  <si>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</si>
  <si>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</si>
  <si>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</si>
  <si>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PRDX2</t>
  </si>
  <si>
    <t>ARRB2</t>
  </si>
  <si>
    <t>GK</t>
  </si>
  <si>
    <t>DCTD</t>
  </si>
  <si>
    <t>PYCR1</t>
  </si>
  <si>
    <t>ELF1</t>
  </si>
  <si>
    <t>GTF2H1</t>
  </si>
  <si>
    <t>CTH</t>
  </si>
  <si>
    <t>RPL9</t>
  </si>
  <si>
    <t>ACSL1</t>
  </si>
  <si>
    <t>KIF5B</t>
  </si>
  <si>
    <t>CSTF2</t>
  </si>
  <si>
    <t>LSP1</t>
  </si>
  <si>
    <t>DUT</t>
  </si>
  <si>
    <t>CKS2</t>
  </si>
  <si>
    <t>S100A3</t>
  </si>
  <si>
    <t>MAN1A1</t>
  </si>
  <si>
    <t>TTK</t>
  </si>
  <si>
    <t>MCM4</t>
  </si>
  <si>
    <t>MCM5</t>
  </si>
  <si>
    <t>MCM7</t>
  </si>
  <si>
    <t>GALNS</t>
  </si>
  <si>
    <t>SHMT1</t>
  </si>
  <si>
    <t>SHMT2</t>
  </si>
  <si>
    <t>HSPA4</t>
  </si>
  <si>
    <t>MPI</t>
  </si>
  <si>
    <t>CA8</t>
  </si>
  <si>
    <t>CTNNA1</t>
  </si>
  <si>
    <t>PCGF2</t>
  </si>
  <si>
    <t>PHB</t>
  </si>
  <si>
    <t>SERPINB6</t>
  </si>
  <si>
    <t>RDX</t>
  </si>
  <si>
    <t>RPA3</t>
  </si>
  <si>
    <t>RFC2</t>
  </si>
  <si>
    <t>RFC1</t>
  </si>
  <si>
    <t>RPL22</t>
  </si>
  <si>
    <t>GTF2F1</t>
  </si>
  <si>
    <t>SPR</t>
  </si>
  <si>
    <t>IDUA</t>
  </si>
  <si>
    <t>AGL</t>
  </si>
  <si>
    <t>MYH9</t>
  </si>
  <si>
    <t>MYH10</t>
  </si>
  <si>
    <t>COPB2</t>
  </si>
  <si>
    <t>SOAT1</t>
  </si>
  <si>
    <t>ADD1</t>
  </si>
  <si>
    <t>BSG</t>
  </si>
  <si>
    <t>FUS</t>
  </si>
  <si>
    <t>NUP214</t>
  </si>
  <si>
    <t>DEK</t>
  </si>
  <si>
    <t>GLRX</t>
  </si>
  <si>
    <t>CHKA</t>
  </si>
  <si>
    <t>PPM1A</t>
  </si>
  <si>
    <t>PSMC2</t>
  </si>
  <si>
    <t>ARL2</t>
  </si>
  <si>
    <t>ARL3</t>
  </si>
  <si>
    <t>MAP2K2</t>
  </si>
  <si>
    <t>ATP5C1</t>
  </si>
  <si>
    <t>ATP6V1E1</t>
  </si>
  <si>
    <t>CPOX</t>
  </si>
  <si>
    <t>RPL4</t>
  </si>
  <si>
    <t>NUDT1</t>
  </si>
  <si>
    <t>PGM1</t>
  </si>
  <si>
    <t>PPP1CC</t>
  </si>
  <si>
    <t>GNL1</t>
  </si>
  <si>
    <t>SERPINB5</t>
  </si>
  <si>
    <t>POLR2I</t>
  </si>
  <si>
    <t>SERPINF1</t>
  </si>
  <si>
    <t>DLST</t>
  </si>
  <si>
    <t>GMPR</t>
  </si>
  <si>
    <t>GPX4</t>
  </si>
  <si>
    <t>SRP14</t>
  </si>
  <si>
    <t>NUP62</t>
  </si>
  <si>
    <t>HPCAL1</t>
  </si>
  <si>
    <t>FDFT1</t>
  </si>
  <si>
    <t>TAGLN2</t>
  </si>
  <si>
    <t>TALDO1</t>
  </si>
  <si>
    <t>ETFB</t>
  </si>
  <si>
    <t>RBMX</t>
  </si>
  <si>
    <t>COIL</t>
  </si>
  <si>
    <t>GGCX</t>
  </si>
  <si>
    <t>LIPA</t>
  </si>
  <si>
    <t>ATP6V1A</t>
  </si>
  <si>
    <t>HSPA9</t>
  </si>
  <si>
    <t>EIF4A3</t>
  </si>
  <si>
    <t>IGHMBP2</t>
  </si>
  <si>
    <t>RPS19</t>
  </si>
  <si>
    <t>RPL3</t>
  </si>
  <si>
    <t>DDOST</t>
  </si>
  <si>
    <t>ANP32A</t>
  </si>
  <si>
    <t>FEN1</t>
  </si>
  <si>
    <t>CUX1</t>
  </si>
  <si>
    <t>TXLNA</t>
  </si>
  <si>
    <t>CCT6A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</si>
  <si>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</si>
  <si>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</si>
  <si>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</si>
  <si>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</si>
  <si>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</si>
  <si>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</si>
  <si>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</si>
  <si>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</si>
  <si>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</si>
  <si>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ID1</t>
  </si>
  <si>
    <t>BCL6</t>
  </si>
  <si>
    <t>CETN2</t>
  </si>
  <si>
    <t>EIF2D</t>
  </si>
  <si>
    <t>BUD31</t>
  </si>
  <si>
    <t>NAA10</t>
  </si>
  <si>
    <t>KDM5C</t>
  </si>
  <si>
    <t>CSK</t>
  </si>
  <si>
    <t>PNPLA4</t>
  </si>
  <si>
    <t>GARS</t>
  </si>
  <si>
    <t>IARS</t>
  </si>
  <si>
    <t>SLC19A1</t>
  </si>
  <si>
    <t>EIF1</t>
  </si>
  <si>
    <t>PRKCI</t>
  </si>
  <si>
    <t>ACTR1B</t>
  </si>
  <si>
    <t>ECI1</t>
  </si>
  <si>
    <t>TMPO</t>
  </si>
  <si>
    <t>STAT1</t>
  </si>
  <si>
    <t>STAT6</t>
  </si>
  <si>
    <t>SKIV2L2</t>
  </si>
  <si>
    <t>AKR1C3</t>
  </si>
  <si>
    <t>PIK3CA</t>
  </si>
  <si>
    <t>MTOR</t>
  </si>
  <si>
    <t>EPS15</t>
  </si>
  <si>
    <t>CASP3</t>
  </si>
  <si>
    <t>CASP2</t>
  </si>
  <si>
    <t>RPS27</t>
  </si>
  <si>
    <t>FRK</t>
  </si>
  <si>
    <t>NCAPD3</t>
  </si>
  <si>
    <t>LRPPRC</t>
  </si>
  <si>
    <t>ACAA2</t>
  </si>
  <si>
    <t>RPL35</t>
  </si>
  <si>
    <t>CDKN2B</t>
  </si>
  <si>
    <t>PRCP</t>
  </si>
  <si>
    <t>HTT</t>
  </si>
  <si>
    <t>ECE1</t>
  </si>
  <si>
    <t>MTHFR</t>
  </si>
  <si>
    <t>SLC1A3</t>
  </si>
  <si>
    <t>SLC1A4</t>
  </si>
  <si>
    <t>PAFAH1B1</t>
  </si>
  <si>
    <t>MCAM</t>
  </si>
  <si>
    <t>CRAT</t>
  </si>
  <si>
    <t>MSH2</t>
  </si>
  <si>
    <t>GPD2</t>
  </si>
  <si>
    <t>SSR1</t>
  </si>
  <si>
    <t>PTPN9</t>
  </si>
  <si>
    <t>SYK</t>
  </si>
  <si>
    <t>RANBP1</t>
  </si>
  <si>
    <t>NAMPT</t>
  </si>
  <si>
    <t>PSMC4</t>
  </si>
  <si>
    <t>TSFM</t>
  </si>
  <si>
    <t>PPIC</t>
  </si>
  <si>
    <t>VDAC2</t>
  </si>
  <si>
    <t>ACADSB</t>
  </si>
  <si>
    <t>CBX5</t>
  </si>
  <si>
    <t>USP5</t>
  </si>
  <si>
    <t>MAPK8</t>
  </si>
  <si>
    <t>MAPK9</t>
  </si>
  <si>
    <t>MAP2K4</t>
  </si>
  <si>
    <t>MKI67</t>
  </si>
  <si>
    <t>PHKA2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</si>
  <si>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</si>
  <si>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</si>
  <si>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</si>
  <si>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</si>
  <si>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</si>
  <si>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</si>
  <si>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</si>
  <si>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</si>
  <si>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NOTCH1</t>
  </si>
  <si>
    <t>MAP2K3</t>
  </si>
  <si>
    <t>BRCC3</t>
  </si>
  <si>
    <t>RPL5</t>
  </si>
  <si>
    <t>RPL21</t>
  </si>
  <si>
    <t>RPS9</t>
  </si>
  <si>
    <t>RPS10</t>
  </si>
  <si>
    <t>GNPDA1</t>
  </si>
  <si>
    <t>YAP1</t>
  </si>
  <si>
    <t>UTRN</t>
  </si>
  <si>
    <t>IQGAP1</t>
  </si>
  <si>
    <t>GYG1</t>
  </si>
  <si>
    <t>STT3A</t>
  </si>
  <si>
    <t>PLA2G4A</t>
  </si>
  <si>
    <t>CAPZA2</t>
  </si>
  <si>
    <t>CAPZB</t>
  </si>
  <si>
    <t>EIF1AX</t>
  </si>
  <si>
    <t>QARS</t>
  </si>
  <si>
    <t>RPL29</t>
  </si>
  <si>
    <t>LGALS7</t>
  </si>
  <si>
    <t>UQCRFS1</t>
  </si>
  <si>
    <t>SLC6A8</t>
  </si>
  <si>
    <t>ATP5O</t>
  </si>
  <si>
    <t>LIMS1</t>
  </si>
  <si>
    <t>SLC6A9</t>
  </si>
  <si>
    <t>ME1</t>
  </si>
  <si>
    <t>IREB2</t>
  </si>
  <si>
    <t>RFX3</t>
  </si>
  <si>
    <t>SOX2</t>
  </si>
  <si>
    <t>SOX9</t>
  </si>
  <si>
    <t>ARCN1</t>
  </si>
  <si>
    <t>LSS</t>
  </si>
  <si>
    <t>PPP3CC</t>
  </si>
  <si>
    <t>GCLC</t>
  </si>
  <si>
    <t>GCLM</t>
  </si>
  <si>
    <t>PRRC2A</t>
  </si>
  <si>
    <t>GSS</t>
  </si>
  <si>
    <t>CCT5</t>
  </si>
  <si>
    <t>PTDSS1</t>
  </si>
  <si>
    <t>HSPA13</t>
  </si>
  <si>
    <t>AMT</t>
  </si>
  <si>
    <t>CSNK1A1</t>
  </si>
  <si>
    <t>CSNK1D</t>
  </si>
  <si>
    <t>IDH2</t>
  </si>
  <si>
    <t>PITPNB</t>
  </si>
  <si>
    <t>CD97</t>
  </si>
  <si>
    <t>POLD2</t>
  </si>
  <si>
    <t>MARCKSL1</t>
  </si>
  <si>
    <t>CAMLG</t>
  </si>
  <si>
    <t>NR2C2</t>
  </si>
  <si>
    <t>MAPKAPK2</t>
  </si>
  <si>
    <t>ALDH9A1</t>
  </si>
  <si>
    <t>RPL34</t>
  </si>
  <si>
    <t>RPIA</t>
  </si>
  <si>
    <t>LMAN1</t>
  </si>
  <si>
    <t>NASP</t>
  </si>
  <si>
    <t>FASN</t>
  </si>
  <si>
    <t>CDK8</t>
  </si>
  <si>
    <t>FNTA</t>
  </si>
  <si>
    <t>DHPS</t>
  </si>
  <si>
    <t>CCT3</t>
  </si>
  <si>
    <t>MRPL19</t>
  </si>
  <si>
    <t>ARRB1</t>
  </si>
  <si>
    <t>TUFM</t>
  </si>
  <si>
    <t>ALDH7A1</t>
  </si>
  <si>
    <t>CDC34</t>
  </si>
  <si>
    <t>INPP1</t>
  </si>
  <si>
    <t>CENPF</t>
  </si>
  <si>
    <t>SRP9</t>
  </si>
  <si>
    <t>UBE2A</t>
  </si>
  <si>
    <t>PCYT1A</t>
  </si>
  <si>
    <t>AARS</t>
  </si>
  <si>
    <t>CARS</t>
  </si>
  <si>
    <t>SARS</t>
  </si>
  <si>
    <t>PRIM1</t>
  </si>
  <si>
    <t>PRIM2</t>
  </si>
  <si>
    <t>CASP4</t>
  </si>
  <si>
    <t>CSNK1E</t>
  </si>
  <si>
    <t>CTCF</t>
  </si>
  <si>
    <t>PSMB3</t>
  </si>
  <si>
    <t>PSMB2</t>
  </si>
  <si>
    <t>MCM2</t>
  </si>
  <si>
    <t>ACADVL</t>
  </si>
  <si>
    <t>YLPM1</t>
  </si>
  <si>
    <t>ACOT2</t>
  </si>
  <si>
    <t>TMED10</t>
  </si>
  <si>
    <t>RBM25</t>
  </si>
  <si>
    <t>NUMB</t>
  </si>
  <si>
    <t>EIF2B2</t>
  </si>
  <si>
    <t>HINT1</t>
  </si>
  <si>
    <t>FHIT</t>
  </si>
  <si>
    <t>NUP153</t>
  </si>
  <si>
    <t>RANBP2</t>
  </si>
  <si>
    <t>GSK3A</t>
  </si>
  <si>
    <t>GSK3B</t>
  </si>
  <si>
    <t>NT5C2</t>
  </si>
  <si>
    <t>SEPHS1</t>
  </si>
  <si>
    <t>MTHFS</t>
  </si>
  <si>
    <t>GMPS</t>
  </si>
  <si>
    <t>LIG3</t>
  </si>
  <si>
    <t>MRE11A</t>
  </si>
  <si>
    <t>ENTPD1</t>
  </si>
  <si>
    <t>KHK</t>
  </si>
  <si>
    <t>GNAQ</t>
  </si>
  <si>
    <t>GNG10</t>
  </si>
  <si>
    <t>IDH3A</t>
  </si>
  <si>
    <t>CRIP1</t>
  </si>
  <si>
    <t>PPOX</t>
  </si>
  <si>
    <t>EMD</t>
  </si>
  <si>
    <t>CPT1A</t>
  </si>
  <si>
    <t>SERPINB8</t>
  </si>
  <si>
    <t>SERPINB9</t>
  </si>
  <si>
    <t>SERPINH1</t>
  </si>
  <si>
    <t>ST13</t>
  </si>
  <si>
    <t>VASP</t>
  </si>
  <si>
    <t>NUDT2</t>
  </si>
  <si>
    <t>CDK7</t>
  </si>
  <si>
    <t>HLCS</t>
  </si>
  <si>
    <t>KNTC1</t>
  </si>
  <si>
    <t>CDK9</t>
  </si>
  <si>
    <t>BCAM</t>
  </si>
  <si>
    <t>PPT1</t>
  </si>
  <si>
    <t>CCT8</t>
  </si>
  <si>
    <t>CCT4</t>
  </si>
  <si>
    <t>FXR2</t>
  </si>
  <si>
    <t>RAB5C</t>
  </si>
  <si>
    <t>RAB7A</t>
  </si>
  <si>
    <t>RAB9A</t>
  </si>
  <si>
    <t>RAB13</t>
  </si>
  <si>
    <t>RAB28</t>
  </si>
  <si>
    <t>FABP6</t>
  </si>
  <si>
    <t>DAP</t>
  </si>
  <si>
    <t>DAP3</t>
  </si>
  <si>
    <t>DUSP3</t>
  </si>
  <si>
    <t>SMARCA2</t>
  </si>
  <si>
    <t>IDH3G</t>
  </si>
  <si>
    <t>GALK1</t>
  </si>
  <si>
    <t>SSR4</t>
  </si>
  <si>
    <t>BCAP31</t>
  </si>
  <si>
    <t>TPMT</t>
  </si>
  <si>
    <t>MECP2</t>
  </si>
  <si>
    <t>ALDH3A2</t>
  </si>
  <si>
    <t>HSD17B4</t>
  </si>
  <si>
    <t>PSMD7</t>
  </si>
  <si>
    <t>SUOX</t>
  </si>
  <si>
    <t>SGSH</t>
  </si>
  <si>
    <t>KCNQ1</t>
  </si>
  <si>
    <t>CLCN3</t>
  </si>
  <si>
    <t>CLCN6</t>
  </si>
  <si>
    <t>CLCN7</t>
  </si>
  <si>
    <t>PLXNA3</t>
  </si>
  <si>
    <t>VAMP7</t>
  </si>
  <si>
    <t>RPS6KA3</t>
  </si>
  <si>
    <t>PRKX</t>
  </si>
  <si>
    <t>AKR1D1</t>
  </si>
  <si>
    <t>HDGF</t>
  </si>
  <si>
    <t>CCNH</t>
  </si>
  <si>
    <t>MNAT1</t>
  </si>
  <si>
    <t>NDUFA8</t>
  </si>
  <si>
    <t>HNRNPA3</t>
  </si>
  <si>
    <t>KPNA2</t>
  </si>
  <si>
    <t>KPNA1</t>
  </si>
  <si>
    <t>NCBP2</t>
  </si>
  <si>
    <t>RAP1GDS1</t>
  </si>
  <si>
    <t>MAP2K6</t>
  </si>
  <si>
    <t>ARHGDIA</t>
  </si>
  <si>
    <t>HNRNPF</t>
  </si>
  <si>
    <t>STAT2</t>
  </si>
  <si>
    <t>GTF2A1</t>
  </si>
  <si>
    <t>GTF2A2</t>
  </si>
  <si>
    <t>MSH6</t>
  </si>
  <si>
    <t>KIF11</t>
  </si>
  <si>
    <t>RBM5</t>
  </si>
  <si>
    <t>HRSP12</t>
  </si>
  <si>
    <t>SMS</t>
  </si>
  <si>
    <t>HK2</t>
  </si>
  <si>
    <t>EFNA4</t>
  </si>
  <si>
    <t>EFNB2</t>
  </si>
  <si>
    <t>THOP1</t>
  </si>
  <si>
    <t>CAPZA1</t>
  </si>
  <si>
    <t>CRIP2</t>
  </si>
  <si>
    <t>NUP98</t>
  </si>
  <si>
    <t>BLVRA</t>
  </si>
  <si>
    <t>SLC25A1</t>
  </si>
  <si>
    <t>PLK1</t>
  </si>
  <si>
    <t>ARFIP2</t>
  </si>
  <si>
    <t>ARFIP1</t>
  </si>
  <si>
    <t>NUDT6</t>
  </si>
  <si>
    <t>NUBP1</t>
  </si>
  <si>
    <t>ACLY</t>
  </si>
  <si>
    <t>CEBPG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</si>
  <si>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</si>
  <si>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</si>
  <si>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</si>
  <si>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</si>
  <si>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</si>
  <si>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</si>
  <si>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</si>
  <si>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</si>
  <si>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AP3M2</t>
  </si>
  <si>
    <t>HCCS</t>
  </si>
  <si>
    <t>MAPK12</t>
  </si>
  <si>
    <t>SLC5A3</t>
  </si>
  <si>
    <t>POLR2K</t>
  </si>
  <si>
    <t>SMTN</t>
  </si>
  <si>
    <t>SLC16A1</t>
  </si>
  <si>
    <t>IST1</t>
  </si>
  <si>
    <t>SEC24C</t>
  </si>
  <si>
    <t>SUB1</t>
  </si>
  <si>
    <t>POLG</t>
  </si>
  <si>
    <t>RARS</t>
  </si>
  <si>
    <t>ATN1</t>
  </si>
  <si>
    <t>YARS</t>
  </si>
  <si>
    <t>USP14</t>
  </si>
  <si>
    <t>PRKAG1</t>
  </si>
  <si>
    <t>HSPA2</t>
  </si>
  <si>
    <t>ATP1B3</t>
  </si>
  <si>
    <t>RAD23B</t>
  </si>
  <si>
    <t>EPHB3</t>
  </si>
  <si>
    <t>EPHA4</t>
  </si>
  <si>
    <t>NAGLU</t>
  </si>
  <si>
    <t>AK2</t>
  </si>
  <si>
    <t>ALDH18A1</t>
  </si>
  <si>
    <t>NAPA</t>
  </si>
  <si>
    <t>EIF5</t>
  </si>
  <si>
    <t>SLC12A2</t>
  </si>
  <si>
    <t>PSMD4</t>
  </si>
  <si>
    <t>DRG2</t>
  </si>
  <si>
    <t>CSE1L</t>
  </si>
  <si>
    <t>VCP</t>
  </si>
  <si>
    <t>MFAP1</t>
  </si>
  <si>
    <t>MFAP3</t>
  </si>
  <si>
    <t>MANF</t>
  </si>
  <si>
    <t>ELL</t>
  </si>
  <si>
    <t>CASP7</t>
  </si>
  <si>
    <t>CASP9</t>
  </si>
  <si>
    <t>CASP6</t>
  </si>
  <si>
    <t>ADK</t>
  </si>
  <si>
    <t>LAMB2</t>
  </si>
  <si>
    <t>CDKN2D</t>
  </si>
  <si>
    <t>SEC13</t>
  </si>
  <si>
    <t>GFER</t>
  </si>
  <si>
    <t>HNRNPH2</t>
  </si>
  <si>
    <t>OXCT1</t>
  </si>
  <si>
    <t>EIF3B</t>
  </si>
  <si>
    <t>BID</t>
  </si>
  <si>
    <t>NDUFV3</t>
  </si>
  <si>
    <t>RRP1</t>
  </si>
  <si>
    <t>MARS</t>
  </si>
  <si>
    <t>ITGA1</t>
  </si>
  <si>
    <t>ARPP19</t>
  </si>
  <si>
    <t>CMC4</t>
  </si>
  <si>
    <t>MP68</t>
  </si>
  <si>
    <t>ATP5E</t>
  </si>
  <si>
    <t>ATP5I</t>
  </si>
  <si>
    <t>HDAC4</t>
  </si>
  <si>
    <t>EIF6</t>
  </si>
  <si>
    <t>CTBP2</t>
  </si>
  <si>
    <t>NDUFA6</t>
  </si>
  <si>
    <t>PEX3</t>
  </si>
  <si>
    <t>CLDN12</t>
  </si>
  <si>
    <t>HSD17B7</t>
  </si>
  <si>
    <t>BCAR1</t>
  </si>
  <si>
    <t>STX17</t>
  </si>
  <si>
    <t>PIGP</t>
  </si>
  <si>
    <t>C21orf59</t>
  </si>
  <si>
    <t>WDR4</t>
  </si>
  <si>
    <t>TMEM33</t>
  </si>
  <si>
    <t>SYNJ2BP</t>
  </si>
  <si>
    <t>KLF3</t>
  </si>
  <si>
    <t>RAB25</t>
  </si>
  <si>
    <t>CORO7</t>
  </si>
  <si>
    <t>NUP107</t>
  </si>
  <si>
    <t>EEFSEC</t>
  </si>
  <si>
    <t>MTPN</t>
  </si>
  <si>
    <t>ARPC4</t>
  </si>
  <si>
    <t>SEC61G</t>
  </si>
  <si>
    <t>TPI1</t>
  </si>
  <si>
    <t>EIF3E</t>
  </si>
  <si>
    <t>SEC61B</t>
  </si>
  <si>
    <t>PTEN</t>
  </si>
  <si>
    <t>PPP4C</t>
  </si>
  <si>
    <t>ROMO1</t>
  </si>
  <si>
    <t>UBE2G2</t>
  </si>
  <si>
    <t>ACTB</t>
  </si>
  <si>
    <t>RAC3</t>
  </si>
  <si>
    <t>EIF4A1</t>
  </si>
  <si>
    <t>RPS20</t>
  </si>
  <si>
    <t>PRPS1</t>
  </si>
  <si>
    <t>SHFM1</t>
  </si>
  <si>
    <t>S100A10</t>
  </si>
  <si>
    <t>CDC42</t>
  </si>
  <si>
    <t>DSTN</t>
  </si>
  <si>
    <t>GMFB</t>
  </si>
  <si>
    <t>RAB8A</t>
  </si>
  <si>
    <t>SPCS3</t>
  </si>
  <si>
    <t>SRP54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</si>
  <si>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</si>
  <si>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</si>
  <si>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</si>
  <si>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</si>
  <si>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</si>
  <si>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</si>
  <si>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</si>
  <si>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</si>
  <si>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</si>
  <si>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ZC3H6</t>
  </si>
  <si>
    <t>ACTR3</t>
  </si>
  <si>
    <t>ACTR2</t>
  </si>
  <si>
    <t>ACTR1A</t>
  </si>
  <si>
    <t>COPS2</t>
  </si>
  <si>
    <t>ARF3</t>
  </si>
  <si>
    <t>POLR2F</t>
  </si>
  <si>
    <t>ABCE1</t>
  </si>
  <si>
    <t>RAP1B</t>
  </si>
  <si>
    <t>RAP2B</t>
  </si>
  <si>
    <t>MAX</t>
  </si>
  <si>
    <t>RPS3A</t>
  </si>
  <si>
    <t>RPL26</t>
  </si>
  <si>
    <t>PSME3</t>
  </si>
  <si>
    <t>MAGOH</t>
  </si>
  <si>
    <t>RPL27</t>
  </si>
  <si>
    <t>PCBD1</t>
  </si>
  <si>
    <t>RHOA</t>
  </si>
  <si>
    <t>NAA20</t>
  </si>
  <si>
    <t>NCALD</t>
  </si>
  <si>
    <t>HSPE1</t>
  </si>
  <si>
    <t>VBP1</t>
  </si>
  <si>
    <t>STXBP1</t>
  </si>
  <si>
    <t>B2M</t>
  </si>
  <si>
    <t>TGFB2</t>
  </si>
  <si>
    <t>RPL37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</si>
  <si>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</si>
  <si>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</si>
  <si>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</si>
  <si>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</si>
  <si>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</si>
  <si>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</si>
  <si>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</si>
  <si>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</si>
  <si>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</si>
  <si>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</si>
  <si>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</si>
  <si>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PSMC1</t>
  </si>
  <si>
    <t>PSMC5</t>
  </si>
  <si>
    <t>RPS8</t>
  </si>
  <si>
    <t>RPS16</t>
  </si>
  <si>
    <t>UBE2G1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</si>
  <si>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</si>
  <si>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</si>
  <si>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</si>
  <si>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</si>
  <si>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</si>
  <si>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</si>
  <si>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</si>
  <si>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</si>
  <si>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</si>
  <si>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</si>
  <si>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</si>
  <si>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</si>
  <si>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</si>
  <si>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</si>
  <si>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BTG1</t>
  </si>
  <si>
    <t>TMSB4X</t>
  </si>
  <si>
    <t>ARF6</t>
  </si>
  <si>
    <t>PSMC6</t>
  </si>
  <si>
    <t>SELT</t>
  </si>
  <si>
    <t>TBPL1</t>
  </si>
  <si>
    <t>RPL7A</t>
  </si>
  <si>
    <t>POLR2G</t>
  </si>
  <si>
    <t>ETF1</t>
  </si>
  <si>
    <t>CNBP</t>
  </si>
  <si>
    <t>RPS4X</t>
  </si>
  <si>
    <t>PPP2CB</t>
  </si>
  <si>
    <t>RHOB</t>
  </si>
  <si>
    <t>RPL23A</t>
  </si>
  <si>
    <t>RPS6</t>
  </si>
  <si>
    <t>VSNL1</t>
  </si>
  <si>
    <t>HIST1H4A</t>
  </si>
  <si>
    <t>RAB1A</t>
  </si>
  <si>
    <t>RPL23</t>
  </si>
  <si>
    <t>RAP1A</t>
  </si>
  <si>
    <t>UBE2D2</t>
  </si>
  <si>
    <t>RPS25</t>
  </si>
  <si>
    <t>RPS26</t>
  </si>
  <si>
    <t>RPS28</t>
  </si>
  <si>
    <t>GNB1</t>
  </si>
  <si>
    <t>RBX1</t>
  </si>
  <si>
    <t>GNB2</t>
  </si>
  <si>
    <t>RPL10A</t>
  </si>
  <si>
    <t>RPL11</t>
  </si>
  <si>
    <t>RPL8</t>
  </si>
  <si>
    <t>PPIA</t>
  </si>
  <si>
    <t>FKBP1A</t>
  </si>
  <si>
    <t>RPS27A</t>
  </si>
  <si>
    <t>UBA52</t>
  </si>
  <si>
    <t>GRB2</t>
  </si>
  <si>
    <t>TRA2B</t>
  </si>
  <si>
    <t>RAC1</t>
  </si>
  <si>
    <t>AP2B1</t>
  </si>
  <si>
    <t>GNAS</t>
  </si>
  <si>
    <t>GNAI1</t>
  </si>
  <si>
    <t>YWHAZ</t>
  </si>
  <si>
    <t>PPP2R2A</t>
  </si>
  <si>
    <t>DYNLL1</t>
  </si>
  <si>
    <t>RPL38</t>
  </si>
  <si>
    <t>GNG5</t>
  </si>
  <si>
    <t>GNB2L1</t>
  </si>
  <si>
    <t>SUPT4H1</t>
  </si>
  <si>
    <t>PPP2CA</t>
  </si>
  <si>
    <t>YBX1</t>
  </si>
  <si>
    <t>UBE2L3</t>
  </si>
  <si>
    <t>EEF1A1</t>
  </si>
  <si>
    <t>ACTA1</t>
  </si>
  <si>
    <t>TUBA1B</t>
  </si>
  <si>
    <t>TUBB4B</t>
  </si>
  <si>
    <t>PAFAH1B2</t>
  </si>
  <si>
    <t>HBB</t>
  </si>
  <si>
    <t>HBA1</t>
  </si>
  <si>
    <t>CXADR</t>
  </si>
  <si>
    <t>NOP14</t>
  </si>
  <si>
    <t>IGBP1</t>
  </si>
  <si>
    <t>PSPH</t>
  </si>
  <si>
    <t>RBM6</t>
  </si>
  <si>
    <t>RPP38</t>
  </si>
  <si>
    <t>RPP30</t>
  </si>
  <si>
    <t>GTF2I</t>
  </si>
  <si>
    <t>PIP4K2B</t>
  </si>
  <si>
    <t>CSNK1G2</t>
  </si>
  <si>
    <t>CCT2</t>
  </si>
  <si>
    <t>RAE1</t>
  </si>
  <si>
    <t>GSTO1</t>
  </si>
  <si>
    <t>ST5</t>
  </si>
  <si>
    <t>PRKDC</t>
  </si>
  <si>
    <t>ADAM17</t>
  </si>
  <si>
    <t>ARG2</t>
  </si>
  <si>
    <t>NTHL1</t>
  </si>
  <si>
    <t>CXCL6</t>
  </si>
  <si>
    <t>IFI35</t>
  </si>
  <si>
    <t>MT1H</t>
  </si>
  <si>
    <t>MT1X</t>
  </si>
  <si>
    <t>NUCB2</t>
  </si>
  <si>
    <t>BASP1</t>
  </si>
  <si>
    <t>DCD</t>
  </si>
  <si>
    <t>TMF1</t>
  </si>
  <si>
    <t>MRPS10</t>
  </si>
  <si>
    <t>MRPS35</t>
  </si>
  <si>
    <t>MRPS36</t>
  </si>
  <si>
    <t>MRPS34</t>
  </si>
  <si>
    <t>MRPS9</t>
  </si>
  <si>
    <t>SARNP</t>
  </si>
  <si>
    <t>LACTB</t>
  </si>
  <si>
    <t>COG7</t>
  </si>
  <si>
    <t>RPL24</t>
  </si>
  <si>
    <t>ARF5</t>
  </si>
  <si>
    <t>ERH</t>
  </si>
  <si>
    <t>RHOG</t>
  </si>
  <si>
    <t>SERF2</t>
  </si>
  <si>
    <t>MXRA7</t>
  </si>
  <si>
    <t>FOXK1</t>
  </si>
  <si>
    <t>CCZ1</t>
  </si>
  <si>
    <t>XIAP</t>
  </si>
  <si>
    <t>EFNB1</t>
  </si>
  <si>
    <t>FAM3A</t>
  </si>
  <si>
    <t>RBM10</t>
  </si>
  <si>
    <t>RBM3</t>
  </si>
  <si>
    <t>ATP2C1</t>
  </si>
  <si>
    <t>CYCS</t>
  </si>
  <si>
    <t>TFAM</t>
  </si>
  <si>
    <t>PITPNA</t>
  </si>
  <si>
    <t>MAT1A</t>
  </si>
  <si>
    <t>SLC25A3</t>
  </si>
  <si>
    <t>HDLBP</t>
  </si>
  <si>
    <t>GTF2B</t>
  </si>
  <si>
    <t>CDK6</t>
  </si>
  <si>
    <t>CDK5</t>
  </si>
  <si>
    <t>PURA</t>
  </si>
  <si>
    <t>CDC42EP1</t>
  </si>
  <si>
    <t>CLTC</t>
  </si>
  <si>
    <t>HSF1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</si>
  <si>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</si>
  <si>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</si>
  <si>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</si>
  <si>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</si>
  <si>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</si>
  <si>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</si>
  <si>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</si>
  <si>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</si>
  <si>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</si>
  <si>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SRSF2</t>
  </si>
  <si>
    <t>FOXK2</t>
  </si>
  <si>
    <t>AMPD3</t>
  </si>
  <si>
    <t>CAP1</t>
  </si>
  <si>
    <t>HMGCS1</t>
  </si>
  <si>
    <t>SLC7A5</t>
  </si>
  <si>
    <t>DR1</t>
  </si>
  <si>
    <t>TFAP4</t>
  </si>
  <si>
    <t>EXOSC10</t>
  </si>
  <si>
    <t>PFKP</t>
  </si>
  <si>
    <t>OCRL</t>
  </si>
  <si>
    <t>PLCB3</t>
  </si>
  <si>
    <t>TAGLN</t>
  </si>
  <si>
    <t>NAAA</t>
  </si>
  <si>
    <t>DHODH</t>
  </si>
  <si>
    <t>PRKCE</t>
  </si>
  <si>
    <t>KIF23</t>
  </si>
  <si>
    <t>ALDH6A1</t>
  </si>
  <si>
    <t>CYP27A1</t>
  </si>
  <si>
    <t>BDH1</t>
  </si>
  <si>
    <t>SEMG2</t>
  </si>
  <si>
    <t>SP4</t>
  </si>
  <si>
    <t>DSC2</t>
  </si>
  <si>
    <t>RPL18A</t>
  </si>
  <si>
    <t>GCNT1</t>
  </si>
  <si>
    <t>MAP2K1</t>
  </si>
  <si>
    <t>FKBP4</t>
  </si>
  <si>
    <t>PLOD1</t>
  </si>
  <si>
    <t>NUCB1</t>
  </si>
  <si>
    <t>RPL6</t>
  </si>
  <si>
    <t>TOP2B</t>
  </si>
  <si>
    <t>AKAP12</t>
  </si>
  <si>
    <t>DST</t>
  </si>
  <si>
    <t>MLLT1</t>
  </si>
  <si>
    <t>GNA12</t>
  </si>
  <si>
    <t>ACY1</t>
  </si>
  <si>
    <t>MLL</t>
  </si>
  <si>
    <t>TGFBR3</t>
  </si>
  <si>
    <t>TNFAIP2</t>
  </si>
  <si>
    <t>PTS</t>
  </si>
  <si>
    <t>TAP2</t>
  </si>
  <si>
    <t>CEBPZ</t>
  </si>
  <si>
    <t>GBE1</t>
  </si>
  <si>
    <t>EIF4G1</t>
  </si>
  <si>
    <t>ATP7A</t>
  </si>
  <si>
    <t>NOTCH2</t>
  </si>
  <si>
    <t>TLE1</t>
  </si>
  <si>
    <t>PRKCQ</t>
  </si>
  <si>
    <t>GLO1</t>
  </si>
  <si>
    <t>AKR1C1</t>
  </si>
  <si>
    <t>SSBP1</t>
  </si>
  <si>
    <t>YWHAH</t>
  </si>
  <si>
    <t>PLP2</t>
  </si>
  <si>
    <t>CSTF1</t>
  </si>
  <si>
    <t>ICA1</t>
  </si>
  <si>
    <t>UBE3A</t>
  </si>
  <si>
    <t>DNM1</t>
  </si>
  <si>
    <t>PTPN12</t>
  </si>
  <si>
    <t>PRKCZ</t>
  </si>
  <si>
    <t>SRSF11</t>
  </si>
  <si>
    <t>PRKCD</t>
  </si>
  <si>
    <t>CALD1</t>
  </si>
  <si>
    <t>FPGS</t>
  </si>
  <si>
    <t>MBTD1</t>
  </si>
  <si>
    <t>PTPN11</t>
  </si>
  <si>
    <t>KDSR</t>
  </si>
  <si>
    <t>PPAT</t>
  </si>
  <si>
    <t>GFPT1</t>
  </si>
  <si>
    <t>EXOSC9</t>
  </si>
  <si>
    <t>PSME1</t>
  </si>
  <si>
    <t>RBPJ</t>
  </si>
  <si>
    <t>APLP2</t>
  </si>
  <si>
    <t>GABPA</t>
  </si>
  <si>
    <t>RING1</t>
  </si>
  <si>
    <t>RAD51</t>
  </si>
  <si>
    <t>FMR1</t>
  </si>
  <si>
    <t>PRDX1</t>
  </si>
  <si>
    <t>C1QBP</t>
  </si>
  <si>
    <t>CKAP4</t>
  </si>
  <si>
    <t>TFF3</t>
  </si>
  <si>
    <t>KHDRBS1</t>
  </si>
  <si>
    <t>BAX</t>
  </si>
  <si>
    <t>KLC1</t>
  </si>
  <si>
    <t>LRP1</t>
  </si>
  <si>
    <t>ARHGAP1</t>
  </si>
  <si>
    <t>SRSF4</t>
  </si>
  <si>
    <t>PPP3CA</t>
  </si>
  <si>
    <t>DHX9</t>
  </si>
  <si>
    <t>CRYZ</t>
  </si>
  <si>
    <t>SLC20A2</t>
  </si>
  <si>
    <t>GOLGA3</t>
  </si>
  <si>
    <t>GOLGA2</t>
  </si>
  <si>
    <t>LGALS3BP</t>
  </si>
  <si>
    <t>EHHADH</t>
  </si>
  <si>
    <t>CD47</t>
  </si>
  <si>
    <t>PPID</t>
  </si>
  <si>
    <t>SSRP1</t>
  </si>
  <si>
    <t>SLFN5</t>
  </si>
  <si>
    <t>MZT1</t>
  </si>
  <si>
    <t>VAC14</t>
  </si>
  <si>
    <t>KIAA0100</t>
  </si>
  <si>
    <t>NSUN2</t>
  </si>
  <si>
    <t>RBBP4</t>
  </si>
  <si>
    <t>NCBP1</t>
  </si>
  <si>
    <t>MGAT5</t>
  </si>
  <si>
    <t>EP300</t>
  </si>
  <si>
    <t>AHNAK</t>
  </si>
  <si>
    <t>EGFEM1P</t>
  </si>
  <si>
    <t>FCHO2</t>
  </si>
  <si>
    <t>ELP6</t>
  </si>
  <si>
    <t>HSPA14</t>
  </si>
  <si>
    <t>SCRN3</t>
  </si>
  <si>
    <t>FAAP100</t>
  </si>
  <si>
    <t>LAMTOR4</t>
  </si>
  <si>
    <t>MGAT2</t>
  </si>
  <si>
    <t>GALNT2</t>
  </si>
  <si>
    <t>AP1B1</t>
  </si>
  <si>
    <t>CPSF1</t>
  </si>
  <si>
    <t>PMPCA</t>
  </si>
  <si>
    <t>SCRN1</t>
  </si>
  <si>
    <t>KIAA0196</t>
  </si>
  <si>
    <t>NUP160</t>
  </si>
  <si>
    <t>SCAP</t>
  </si>
  <si>
    <t>ARHGEF5</t>
  </si>
  <si>
    <t>TBL3</t>
  </si>
  <si>
    <t>GTF3C1</t>
  </si>
  <si>
    <t>TWF1</t>
  </si>
  <si>
    <t>ASPH</t>
  </si>
  <si>
    <t>TFCP2</t>
  </si>
  <si>
    <t>AKAP13</t>
  </si>
  <si>
    <t>BPTF</t>
  </si>
  <si>
    <t>CDC20</t>
  </si>
  <si>
    <t>STX4</t>
  </si>
  <si>
    <t>SFSWAP</t>
  </si>
  <si>
    <t>SF3A3</t>
  </si>
  <si>
    <t>TP53BP1</t>
  </si>
  <si>
    <t>IFRD2</t>
  </si>
  <si>
    <t>TRIM26</t>
  </si>
  <si>
    <t>AIMP1</t>
  </si>
  <si>
    <t>ILF2</t>
  </si>
  <si>
    <t>ILF3</t>
  </si>
  <si>
    <t>LMAN2</t>
  </si>
  <si>
    <t>EPS8</t>
  </si>
  <si>
    <t>TRAF2</t>
  </si>
  <si>
    <t>ANK3</t>
  </si>
  <si>
    <t>DLG1</t>
  </si>
  <si>
    <t>TAF10</t>
  </si>
  <si>
    <t>MYO1E</t>
  </si>
  <si>
    <t>PPP1R8</t>
  </si>
  <si>
    <t>BNIP1</t>
  </si>
  <si>
    <t>NFX1</t>
  </si>
  <si>
    <t>CSTF3</t>
  </si>
  <si>
    <t>ECH1</t>
  </si>
  <si>
    <t>ARHGAP5</t>
  </si>
  <si>
    <t>STRN3</t>
  </si>
  <si>
    <t>STK4</t>
  </si>
  <si>
    <t>FLII</t>
  </si>
  <si>
    <t>TRIM32</t>
  </si>
  <si>
    <t>COASY</t>
  </si>
  <si>
    <t>ACACA</t>
  </si>
  <si>
    <t>GPS1</t>
  </si>
  <si>
    <t>USP4</t>
  </si>
  <si>
    <t>CHAF1A</t>
  </si>
  <si>
    <t>CHAF1B</t>
  </si>
  <si>
    <t>IK</t>
  </si>
  <si>
    <t>MTAP</t>
  </si>
  <si>
    <t>PRKAA1</t>
  </si>
  <si>
    <t>PPFIA1</t>
  </si>
  <si>
    <t>BAMBI</t>
  </si>
  <si>
    <t>TARDBP</t>
  </si>
  <si>
    <t>HNRNPA0</t>
  </si>
  <si>
    <t>PAK1</t>
  </si>
  <si>
    <t>AIMP2</t>
  </si>
  <si>
    <t>FADD</t>
  </si>
  <si>
    <t>PRDX4</t>
  </si>
  <si>
    <t>MAPK7</t>
  </si>
  <si>
    <t>PAK2</t>
  </si>
  <si>
    <t>CBX3</t>
  </si>
  <si>
    <t>STK3</t>
  </si>
  <si>
    <t>PSMD2</t>
  </si>
  <si>
    <t>DDX10</t>
  </si>
  <si>
    <t>SEMA3B</t>
  </si>
  <si>
    <t>ERCC8</t>
  </si>
  <si>
    <t>DNAJC3</t>
  </si>
  <si>
    <t>SELENBP1</t>
  </si>
  <si>
    <t>NME3</t>
  </si>
  <si>
    <t>SRSF9</t>
  </si>
  <si>
    <t>SRSF5</t>
  </si>
  <si>
    <t>SRSF6</t>
  </si>
  <si>
    <t>MAD2L1</t>
  </si>
  <si>
    <t>TRIM28</t>
  </si>
  <si>
    <t>STX3</t>
  </si>
  <si>
    <t>G3BP1</t>
  </si>
  <si>
    <t>NMI</t>
  </si>
  <si>
    <t>PTK7</t>
  </si>
  <si>
    <t>SKP2</t>
  </si>
  <si>
    <t>PABPC4</t>
  </si>
  <si>
    <t>ATM</t>
  </si>
  <si>
    <t>GRB10</t>
  </si>
  <si>
    <t>MTA1</t>
  </si>
  <si>
    <t>EIF3I</t>
  </si>
  <si>
    <t>PPIL2</t>
  </si>
  <si>
    <t>PPP2R5C</t>
  </si>
  <si>
    <t>CTBP1</t>
  </si>
  <si>
    <t>PDCL</t>
  </si>
  <si>
    <t>TARBP1</t>
  </si>
  <si>
    <t>MRPL49</t>
  </si>
  <si>
    <t>DYNC1I2</t>
  </si>
  <si>
    <t>ORC2</t>
  </si>
  <si>
    <t>ILK</t>
  </si>
  <si>
    <t>NNT</t>
  </si>
  <si>
    <t>SNTB2</t>
  </si>
  <si>
    <t>XRCC4</t>
  </si>
  <si>
    <t>PPIG</t>
  </si>
  <si>
    <t>TCOF1</t>
  </si>
  <si>
    <t>UNC119</t>
  </si>
  <si>
    <t>SLC39A6</t>
  </si>
  <si>
    <t>OS9</t>
  </si>
  <si>
    <t>GOLGA4</t>
  </si>
  <si>
    <t>PDAP1</t>
  </si>
  <si>
    <t>ADAM9</t>
  </si>
  <si>
    <t>TMED1</t>
  </si>
  <si>
    <t>FKBP5</t>
  </si>
  <si>
    <t>ROCK1</t>
  </si>
  <si>
    <t>TCIRG1</t>
  </si>
  <si>
    <t>PICALM</t>
  </si>
  <si>
    <t>MTM1</t>
  </si>
  <si>
    <t>SQSTM1</t>
  </si>
  <si>
    <t>MTX1</t>
  </si>
  <si>
    <t>TUBB3</t>
  </si>
  <si>
    <t>PIN1</t>
  </si>
  <si>
    <t>ATR</t>
  </si>
  <si>
    <t>EIF4EBP1</t>
  </si>
  <si>
    <t>EIF4EBP2</t>
  </si>
  <si>
    <t>RIPK1</t>
  </si>
  <si>
    <t>HDAC1</t>
  </si>
  <si>
    <t>NAE1</t>
  </si>
  <si>
    <t>ITPK1</t>
  </si>
  <si>
    <t>SNW1</t>
  </si>
  <si>
    <t>STIM1</t>
  </si>
  <si>
    <t>SNX1</t>
  </si>
  <si>
    <t>KRR1</t>
  </si>
  <si>
    <t>PEX6</t>
  </si>
  <si>
    <t>MTMR2</t>
  </si>
  <si>
    <t>CUL1</t>
  </si>
  <si>
    <t>CUL2</t>
  </si>
  <si>
    <t>CUL3</t>
  </si>
  <si>
    <t>CUL4A</t>
  </si>
  <si>
    <t>TP53BP2</t>
  </si>
  <si>
    <t>TSTA3</t>
  </si>
  <si>
    <t>TPBG</t>
  </si>
  <si>
    <t>FHL1</t>
  </si>
  <si>
    <t>FHL3</t>
  </si>
  <si>
    <t>ALKBH1</t>
  </si>
  <si>
    <t>MOGS</t>
  </si>
  <si>
    <t>ATP1A4</t>
  </si>
  <si>
    <t>ALCAM</t>
  </si>
  <si>
    <t>LAMB3</t>
  </si>
  <si>
    <t>LAMC2</t>
  </si>
  <si>
    <t>THOC5</t>
  </si>
  <si>
    <t>ARFRP1</t>
  </si>
  <si>
    <t>SPTAN1</t>
  </si>
  <si>
    <t>AUH</t>
  </si>
  <si>
    <t>BLMH</t>
  </si>
  <si>
    <t>EXOSC2</t>
  </si>
  <si>
    <t>SNTB1</t>
  </si>
  <si>
    <t>TUBB2A</t>
  </si>
  <si>
    <t>KLF5</t>
  </si>
  <si>
    <t>BYSL</t>
  </si>
  <si>
    <t>IDI1</t>
  </si>
  <si>
    <t>CBFB</t>
  </si>
  <si>
    <t>NFYC</t>
  </si>
  <si>
    <t>PRKG1</t>
  </si>
  <si>
    <t>CKAP5</t>
  </si>
  <si>
    <t>CIRBP</t>
  </si>
  <si>
    <t>COTL1</t>
  </si>
  <si>
    <t>COL9A3</t>
  </si>
  <si>
    <t>COX17</t>
  </si>
  <si>
    <t>HNRNPD</t>
  </si>
  <si>
    <t>SCARB2</t>
  </si>
  <si>
    <t>LRP8</t>
  </si>
  <si>
    <t>DAG1</t>
  </si>
  <si>
    <t>DSG2</t>
  </si>
  <si>
    <t>VGLL4</t>
  </si>
  <si>
    <t>BOP1</t>
  </si>
  <si>
    <t>UBE4A</t>
  </si>
  <si>
    <t>KEAP1</t>
  </si>
  <si>
    <t>URB2</t>
  </si>
  <si>
    <t>MORC3</t>
  </si>
  <si>
    <t>SAFB2</t>
  </si>
  <si>
    <t>EIF3A</t>
  </si>
  <si>
    <t>SCRIB</t>
  </si>
  <si>
    <t>MLEC</t>
  </si>
  <si>
    <t>TTLL12</t>
  </si>
  <si>
    <t>POLA2</t>
  </si>
  <si>
    <t>TFDP1</t>
  </si>
  <si>
    <t>WRN</t>
  </si>
  <si>
    <t>DPYSL3</t>
  </si>
  <si>
    <t>DYNC1H1</t>
  </si>
  <si>
    <t>EIF2B1</t>
  </si>
  <si>
    <t>EIF4A2</t>
  </si>
  <si>
    <t>TCEB3</t>
  </si>
  <si>
    <t>MAP7</t>
  </si>
  <si>
    <t>CTTN</t>
  </si>
  <si>
    <t>ENDOG</t>
  </si>
  <si>
    <t>FLOT2</t>
  </si>
  <si>
    <t>RCN2</t>
  </si>
  <si>
    <t>TRIM25</t>
  </si>
  <si>
    <t>FKBP8</t>
  </si>
  <si>
    <t>FAM50A</t>
  </si>
  <si>
    <t>FRG1</t>
  </si>
  <si>
    <t>GNA13</t>
  </si>
  <si>
    <t>GALE</t>
  </si>
  <si>
    <t>GALNT3</t>
  </si>
  <si>
    <t>CAPRIN1</t>
  </si>
  <si>
    <t>GRB7</t>
  </si>
  <si>
    <t>BECN1</t>
  </si>
  <si>
    <t>HES1</t>
  </si>
  <si>
    <t>RBM39</t>
  </si>
  <si>
    <t>WFDC2</t>
  </si>
  <si>
    <t>NEDD9</t>
  </si>
  <si>
    <t>HABP2</t>
  </si>
  <si>
    <t>HIC1</t>
  </si>
  <si>
    <t>SQLE</t>
  </si>
  <si>
    <t>PDIA5</t>
  </si>
  <si>
    <t>PRPSAP1</t>
  </si>
  <si>
    <t>DHX8</t>
  </si>
  <si>
    <t>MCM6</t>
  </si>
  <si>
    <t>ITPR2</t>
  </si>
  <si>
    <t>ITPR3</t>
  </si>
  <si>
    <t>PLS1</t>
  </si>
  <si>
    <t>IRF3</t>
  </si>
  <si>
    <t>LAGE3</t>
  </si>
  <si>
    <t>TRIP12</t>
  </si>
  <si>
    <t>MDC1</t>
  </si>
  <si>
    <t>CLINT1</t>
  </si>
  <si>
    <t>KANK1</t>
  </si>
  <si>
    <t>KCTD2</t>
  </si>
  <si>
    <t>SMC1A</t>
  </si>
  <si>
    <t>RRP1B</t>
  </si>
  <si>
    <t>NCOA6</t>
  </si>
  <si>
    <t>GSE1</t>
  </si>
  <si>
    <t>GINS1</t>
  </si>
  <si>
    <t>USP10</t>
  </si>
  <si>
    <t>MESDC2</t>
  </si>
  <si>
    <t>GANAB</t>
  </si>
  <si>
    <t>RFTN1</t>
  </si>
  <si>
    <t>LBR</t>
  </si>
  <si>
    <t>COG2</t>
  </si>
  <si>
    <t>GOLGB1</t>
  </si>
  <si>
    <t>CASP8</t>
  </si>
  <si>
    <t>NAA30</t>
  </si>
  <si>
    <t>FXYD3</t>
  </si>
  <si>
    <t>KIF22</t>
  </si>
  <si>
    <t>LASP1</t>
  </si>
  <si>
    <t>STARD3</t>
  </si>
  <si>
    <t>MTF1</t>
  </si>
  <si>
    <t>PTGR1</t>
  </si>
  <si>
    <t>RAB39A</t>
  </si>
  <si>
    <t>ZNF638</t>
  </si>
  <si>
    <t>KPNB1</t>
  </si>
  <si>
    <t>NOLC1</t>
  </si>
  <si>
    <t>NUMA1</t>
  </si>
  <si>
    <t>PSME4</t>
  </si>
  <si>
    <t>SLMAP</t>
  </si>
  <si>
    <t>GAPVD1</t>
  </si>
  <si>
    <t>FRMPD4</t>
  </si>
  <si>
    <t>UBXN2B</t>
  </si>
  <si>
    <t>NAA25</t>
  </si>
  <si>
    <t>FASTKD3</t>
  </si>
  <si>
    <t>NCAPH</t>
  </si>
  <si>
    <t>KIAA0101</t>
  </si>
  <si>
    <t>SPCS2</t>
  </si>
  <si>
    <t>EMC2</t>
  </si>
  <si>
    <t>WTAP</t>
  </si>
  <si>
    <t>PSMD6</t>
  </si>
  <si>
    <t>HERPUD1</t>
  </si>
  <si>
    <t>LAPTM4A</t>
  </si>
  <si>
    <t>MAD2L1BP</t>
  </si>
  <si>
    <t>FAM175B</t>
  </si>
  <si>
    <t>SEPT2</t>
  </si>
  <si>
    <t>SART3</t>
  </si>
  <si>
    <t>NCAPD2</t>
  </si>
  <si>
    <t>EXOSC7</t>
  </si>
  <si>
    <t>EFTUD2</t>
  </si>
  <si>
    <t>LARS2</t>
  </si>
  <si>
    <t>SNX17</t>
  </si>
  <si>
    <t>RAB3GAP1</t>
  </si>
  <si>
    <t>SLC39A14</t>
  </si>
  <si>
    <t>KARS</t>
  </si>
  <si>
    <t>SETDB1</t>
  </si>
  <si>
    <t>RRS1</t>
  </si>
  <si>
    <t>EIF4H</t>
  </si>
  <si>
    <t>ACAP2</t>
  </si>
  <si>
    <t>BRD3</t>
  </si>
  <si>
    <t>WDR43</t>
  </si>
  <si>
    <t>ACOX1</t>
  </si>
  <si>
    <t>EEA1</t>
  </si>
  <si>
    <t>PAFAH1B3</t>
  </si>
  <si>
    <t>PDK1</t>
  </si>
  <si>
    <t>PDK3</t>
  </si>
  <si>
    <t>PEA15</t>
  </si>
  <si>
    <t>EBP</t>
  </si>
  <si>
    <t>PMVK</t>
  </si>
  <si>
    <t>PRKD1</t>
  </si>
  <si>
    <t>PLEC</t>
  </si>
  <si>
    <t>NOMO1</t>
  </si>
  <si>
    <t>PON3</t>
  </si>
  <si>
    <t>TCEAL1</t>
  </si>
  <si>
    <t>PPP2R5A</t>
  </si>
  <si>
    <t>PPA1</t>
  </si>
  <si>
    <t>STK38</t>
  </si>
  <si>
    <t>PVRL1</t>
  </si>
  <si>
    <t>NONO</t>
  </si>
  <si>
    <t>PPP2R4</t>
  </si>
  <si>
    <t>PWP2</t>
  </si>
  <si>
    <t>QPRT</t>
  </si>
  <si>
    <t>RABEP1</t>
  </si>
  <si>
    <t>RASA2</t>
  </si>
  <si>
    <t>RAB35</t>
  </si>
  <si>
    <t>RBBP5</t>
  </si>
  <si>
    <t>RCN1</t>
  </si>
  <si>
    <t>RALBP1</t>
  </si>
  <si>
    <t>LLGL1</t>
  </si>
  <si>
    <t>LRRC41</t>
  </si>
  <si>
    <t>TMED2</t>
  </si>
  <si>
    <t>PCBP1</t>
  </si>
  <si>
    <t>PCBP2</t>
  </si>
  <si>
    <t>TCEB2</t>
  </si>
  <si>
    <t>RHEB</t>
  </si>
  <si>
    <t>UBE3C</t>
  </si>
  <si>
    <t>SF3B3</t>
  </si>
  <si>
    <t>DLGAP5</t>
  </si>
  <si>
    <t>RSU1</t>
  </si>
  <si>
    <t>CNN3</t>
  </si>
  <si>
    <t>SAFB</t>
  </si>
  <si>
    <t>SF3A2</t>
  </si>
  <si>
    <t>PPP1R7</t>
  </si>
  <si>
    <t>SEC23B</t>
  </si>
  <si>
    <t>SF3A1</t>
  </si>
  <si>
    <t>SHB</t>
  </si>
  <si>
    <t>SKIV2L</t>
  </si>
  <si>
    <t>SPA17</t>
  </si>
  <si>
    <t>SURF1</t>
  </si>
  <si>
    <t>SURF2</t>
  </si>
  <si>
    <t>TAF13</t>
  </si>
  <si>
    <t>TAF7</t>
  </si>
  <si>
    <t>TERF2</t>
  </si>
  <si>
    <t>MAPRE2</t>
  </si>
  <si>
    <t>TCEA2</t>
  </si>
  <si>
    <t>SLC9A3R2</t>
  </si>
  <si>
    <t>TRADD</t>
  </si>
  <si>
    <t>TARBP2</t>
  </si>
  <si>
    <t>SF1</t>
  </si>
  <si>
    <t>TRIP10</t>
  </si>
  <si>
    <t>TRIP11</t>
  </si>
  <si>
    <t>TRIP13</t>
  </si>
  <si>
    <t>MED1</t>
  </si>
  <si>
    <t>ZNHIT3</t>
  </si>
  <si>
    <t>TRIP4</t>
  </si>
  <si>
    <t>HMGN3</t>
  </si>
  <si>
    <t>JMJD1C</t>
  </si>
  <si>
    <t>TRIP6</t>
  </si>
  <si>
    <t>MAPRE1</t>
  </si>
  <si>
    <t>TSC22D1</t>
  </si>
  <si>
    <t>ELAVL1</t>
  </si>
  <si>
    <t>NSDHL</t>
  </si>
  <si>
    <t>TAB1</t>
  </si>
  <si>
    <t>SLC1A5</t>
  </si>
  <si>
    <t>RAB30</t>
  </si>
  <si>
    <t>TOMM34</t>
  </si>
  <si>
    <t>NCOA1</t>
  </si>
  <si>
    <t>SMAD2</t>
  </si>
  <si>
    <t>SMAD1</t>
  </si>
  <si>
    <t>MSMO1</t>
  </si>
  <si>
    <t>TBCC</t>
  </si>
  <si>
    <t>UBE2V2</t>
  </si>
  <si>
    <t>STK11</t>
  </si>
  <si>
    <t>STXBP2</t>
  </si>
  <si>
    <t>VAMP3</t>
  </si>
  <si>
    <t>ADIRF</t>
  </si>
  <si>
    <t>ATP6AP1</t>
  </si>
  <si>
    <t>RAB11B</t>
  </si>
  <si>
    <t>ZYX</t>
  </si>
  <si>
    <t>ETFDH</t>
  </si>
  <si>
    <t>SEPT7</t>
  </si>
  <si>
    <t>ADRM1</t>
  </si>
  <si>
    <t>CCDC6</t>
  </si>
  <si>
    <t>UAP1</t>
  </si>
  <si>
    <t>E2F4</t>
  </si>
  <si>
    <t>PSMD5</t>
  </si>
  <si>
    <t>PKN1</t>
  </si>
  <si>
    <t>PKN2</t>
  </si>
  <si>
    <t>TAF12</t>
  </si>
  <si>
    <t>DDB1</t>
  </si>
  <si>
    <t>MAPK14</t>
  </si>
  <si>
    <t>DPYSL2</t>
  </si>
  <si>
    <t>RBBP7</t>
  </si>
  <si>
    <t>ECM1</t>
  </si>
  <si>
    <t>OCLN</t>
  </si>
  <si>
    <t>MEA1</t>
  </si>
  <si>
    <t>CPSF6</t>
  </si>
  <si>
    <t>TAZ</t>
  </si>
  <si>
    <t>DBN1</t>
  </si>
  <si>
    <t>MAPKAPK3</t>
  </si>
  <si>
    <t>NRF1</t>
  </si>
  <si>
    <t>FSCN1</t>
  </si>
  <si>
    <t>ZSCAN26</t>
  </si>
  <si>
    <t>MAN2A1</t>
  </si>
  <si>
    <t>NDUFA5</t>
  </si>
  <si>
    <t>ATP2B3</t>
  </si>
  <si>
    <t>CLPP</t>
  </si>
  <si>
    <t>TST</t>
  </si>
  <si>
    <t>UBE2S</t>
  </si>
  <si>
    <t>QPCT</t>
  </si>
  <si>
    <t>HAGH</t>
  </si>
  <si>
    <t>HIST2H2BE</t>
  </si>
  <si>
    <t>LAMA3</t>
  </si>
  <si>
    <t>CA9</t>
  </si>
  <si>
    <t>NDUFA9</t>
  </si>
  <si>
    <t>PCK2</t>
  </si>
  <si>
    <t>CYP51A1</t>
  </si>
  <si>
    <t>UGP2</t>
  </si>
  <si>
    <t>DGUOK</t>
  </si>
  <si>
    <t>ATP6V1F</t>
  </si>
  <si>
    <t>UGT8</t>
  </si>
  <si>
    <t>TATDN3</t>
  </si>
  <si>
    <t>FAM98C</t>
  </si>
  <si>
    <t>REL</t>
  </si>
  <si>
    <t>DOK7</t>
  </si>
  <si>
    <t>KNOP1</t>
  </si>
  <si>
    <t>HNRNPUL2</t>
  </si>
  <si>
    <t>CSPP1</t>
  </si>
  <si>
    <t>TMEM132A</t>
  </si>
  <si>
    <t>INF2</t>
  </si>
  <si>
    <t>PDS5A</t>
  </si>
  <si>
    <t>MTHFSD</t>
  </si>
  <si>
    <t>AAK1</t>
  </si>
  <si>
    <t>PLK1S1</t>
  </si>
  <si>
    <t>KIAA1033</t>
  </si>
  <si>
    <t>KCNE3</t>
  </si>
  <si>
    <t>ERCC6L</t>
  </si>
  <si>
    <t>TSR1</t>
  </si>
  <si>
    <t>VMAC</t>
  </si>
  <si>
    <t>TYSND1</t>
  </si>
  <si>
    <t>ALG11</t>
  </si>
  <si>
    <t>QRICH1</t>
  </si>
  <si>
    <t>RELA</t>
  </si>
  <si>
    <t>TUSC1</t>
  </si>
  <si>
    <t>SMU1</t>
  </si>
  <si>
    <t>CWF19L2</t>
  </si>
  <si>
    <t>LRRFIP1</t>
  </si>
  <si>
    <t>POLD3</t>
  </si>
  <si>
    <t>LEPRE1</t>
  </si>
  <si>
    <t>TRMT5</t>
  </si>
  <si>
    <t>NME1-NME2</t>
  </si>
  <si>
    <t>TWISTNB</t>
  </si>
  <si>
    <t>GFOD2</t>
  </si>
  <si>
    <t>UAP1L1</t>
  </si>
  <si>
    <t>C2orf76</t>
  </si>
  <si>
    <t>ALKBH6</t>
  </si>
  <si>
    <t>DAK</t>
  </si>
  <si>
    <t>LSM12</t>
  </si>
  <si>
    <t>TMEM30B</t>
  </si>
  <si>
    <t>PUS10</t>
  </si>
  <si>
    <t>HSDL1</t>
  </si>
  <si>
    <t>ALDH1L2</t>
  </si>
  <si>
    <t>RABL6</t>
  </si>
  <si>
    <t>VMA21</t>
  </si>
  <si>
    <t>TUBB8</t>
  </si>
  <si>
    <t>TIMM50</t>
  </si>
  <si>
    <t>LGALSL</t>
  </si>
  <si>
    <t>FUT11</t>
  </si>
  <si>
    <t>CDNF</t>
  </si>
  <si>
    <t>LASS5</t>
  </si>
  <si>
    <t>C5orf22</t>
  </si>
  <si>
    <t>COX19</t>
  </si>
  <si>
    <t>VPS26B</t>
  </si>
  <si>
    <t>CCSMST1</t>
  </si>
  <si>
    <t>NADKD1</t>
  </si>
  <si>
    <t>CCDC40</t>
  </si>
  <si>
    <t>GXYLT1</t>
  </si>
  <si>
    <t>ACSF3</t>
  </si>
  <si>
    <t>PREPL</t>
  </si>
  <si>
    <t>TBC1D10B</t>
  </si>
  <si>
    <t>PLCH1</t>
  </si>
  <si>
    <t>DNAL1</t>
  </si>
  <si>
    <t>ARID4B</t>
  </si>
  <si>
    <t>GRIPAP1</t>
  </si>
  <si>
    <t>BCL7A</t>
  </si>
  <si>
    <t>AMOT</t>
  </si>
  <si>
    <t>DECR2</t>
  </si>
  <si>
    <t>TMEM259</t>
  </si>
  <si>
    <t>PAN2</t>
  </si>
  <si>
    <t>LIN52</t>
  </si>
  <si>
    <t>FAM98B</t>
  </si>
  <si>
    <t>PDCD4</t>
  </si>
  <si>
    <t>CEP55</t>
  </si>
  <si>
    <t>C17orf85</t>
  </si>
  <si>
    <t>TP53I3</t>
  </si>
  <si>
    <t>C11orf73</t>
  </si>
  <si>
    <t>PDLIM3</t>
  </si>
  <si>
    <t>HSD17B12</t>
  </si>
  <si>
    <t>AGK</t>
  </si>
  <si>
    <t>SETMAR</t>
  </si>
  <si>
    <t>LACTB2</t>
  </si>
  <si>
    <t>PYCRL</t>
  </si>
  <si>
    <t>TSSC1</t>
  </si>
  <si>
    <t>SMUG1</t>
  </si>
  <si>
    <t>FASTKD1</t>
  </si>
  <si>
    <t>BOLA3</t>
  </si>
  <si>
    <t>COBLL1</t>
  </si>
  <si>
    <t>HS1BP3</t>
  </si>
  <si>
    <t>OCIAD2</t>
  </si>
  <si>
    <t>LCK</t>
  </si>
  <si>
    <t>SFT2D3</t>
  </si>
  <si>
    <t>PAN3</t>
  </si>
  <si>
    <t>HSP90AB2P</t>
  </si>
  <si>
    <t>HSP90AA4P</t>
  </si>
  <si>
    <t>DCAF6</t>
  </si>
  <si>
    <t>RPL39P5</t>
  </si>
  <si>
    <t>TMEM97</t>
  </si>
  <si>
    <t>OXLD1</t>
  </si>
  <si>
    <t>C19orf54</t>
  </si>
  <si>
    <t>ZNF326</t>
  </si>
  <si>
    <t>ZC3H12A</t>
  </si>
  <si>
    <t>PDZD11</t>
  </si>
  <si>
    <t>DNAJC21</t>
  </si>
  <si>
    <t>VWA2</t>
  </si>
  <si>
    <t>HERC4</t>
  </si>
  <si>
    <t>UTS2</t>
  </si>
  <si>
    <t>CXorf40B</t>
  </si>
  <si>
    <t>MTX3</t>
  </si>
  <si>
    <t>RABL3</t>
  </si>
  <si>
    <t>COQ5</t>
  </si>
  <si>
    <t>SH3D19</t>
  </si>
  <si>
    <t>TUBB</t>
  </si>
  <si>
    <t>NOMO2</t>
  </si>
  <si>
    <t>EARS2</t>
  </si>
  <si>
    <t>DPCD</t>
  </si>
  <si>
    <t>RHOC</t>
  </si>
  <si>
    <t>PPM1J</t>
  </si>
  <si>
    <t>MIA3</t>
  </si>
  <si>
    <t>NUPL1</t>
  </si>
  <si>
    <t>SRSF10</t>
  </si>
  <si>
    <t>PITRM1</t>
  </si>
  <si>
    <t>NHLRC3</t>
  </si>
  <si>
    <t>PSMG4</t>
  </si>
  <si>
    <t>WDR44</t>
  </si>
  <si>
    <t>HMGN5</t>
  </si>
  <si>
    <t>TJAP1</t>
  </si>
  <si>
    <t>COA6</t>
  </si>
  <si>
    <t>GMEB2</t>
  </si>
  <si>
    <t>AARS2</t>
  </si>
  <si>
    <t>TOR2A</t>
  </si>
  <si>
    <t>TEX30</t>
  </si>
  <si>
    <t>DLG3</t>
  </si>
  <si>
    <t>SPIN3</t>
  </si>
  <si>
    <t>PCID2</t>
  </si>
  <si>
    <t>ZNF506</t>
  </si>
  <si>
    <t>HABP4</t>
  </si>
  <si>
    <t>STAU1</t>
  </si>
  <si>
    <t>TMEM230</t>
  </si>
  <si>
    <t>MED23</t>
  </si>
  <si>
    <t>MORF4L2</t>
  </si>
  <si>
    <t>CRNKL1</t>
  </si>
  <si>
    <t>SLC27A3</t>
  </si>
  <si>
    <t>SPECC1</t>
  </si>
  <si>
    <t>SLC35D3</t>
  </si>
  <si>
    <t>SMEK2</t>
  </si>
  <si>
    <t>WDR45B</t>
  </si>
  <si>
    <t>EOGT</t>
  </si>
  <si>
    <t>DNTTIP2</t>
  </si>
  <si>
    <t>PEX19</t>
  </si>
  <si>
    <t>ATP5F1</t>
  </si>
  <si>
    <t>BCL2L1</t>
  </si>
  <si>
    <t>DCAF10</t>
  </si>
  <si>
    <t>DPM1</t>
  </si>
  <si>
    <t>RALY</t>
  </si>
  <si>
    <t>PSMF1</t>
  </si>
  <si>
    <t>MPC2</t>
  </si>
  <si>
    <t>COX20</t>
  </si>
  <si>
    <t>EXOSC6</t>
  </si>
  <si>
    <t>ATAT1</t>
  </si>
  <si>
    <t>PIK3CD</t>
  </si>
  <si>
    <t>CLSTN1</t>
  </si>
  <si>
    <t>HIATL1</t>
  </si>
  <si>
    <t>NUP188</t>
  </si>
  <si>
    <t>MANEA</t>
  </si>
  <si>
    <t>CSNK2B</t>
  </si>
  <si>
    <t>HP1BP3</t>
  </si>
  <si>
    <t>SLC25A30</t>
  </si>
  <si>
    <t>CEP170</t>
  </si>
  <si>
    <t>ODR4</t>
  </si>
  <si>
    <t>DNLZ</t>
  </si>
  <si>
    <t>NHSL1</t>
  </si>
  <si>
    <t>SF3B4</t>
  </si>
  <si>
    <t>CERS2</t>
  </si>
  <si>
    <t>TDRKH</t>
  </si>
  <si>
    <t>AMY1B</t>
  </si>
  <si>
    <t>FNBP1L</t>
  </si>
  <si>
    <t>C6orf132</t>
  </si>
  <si>
    <t>SH3BGRL3</t>
  </si>
  <si>
    <t>RARS2</t>
  </si>
  <si>
    <t>PYGO2</t>
  </si>
  <si>
    <t>FKBP15</t>
  </si>
  <si>
    <t>DDX59</t>
  </si>
  <si>
    <t>PUM1</t>
  </si>
  <si>
    <t>ZC3H13</t>
  </si>
  <si>
    <t>C10orf76</t>
  </si>
  <si>
    <t>PDSS1</t>
  </si>
  <si>
    <t>C1orf159</t>
  </si>
  <si>
    <t>PSRC1</t>
  </si>
  <si>
    <t>TMEM63B</t>
  </si>
  <si>
    <t>LRIF1</t>
  </si>
  <si>
    <t>ABCC10</t>
  </si>
  <si>
    <t>IBA57</t>
  </si>
  <si>
    <t>HECTD3</t>
  </si>
  <si>
    <t>ZFYVE27</t>
  </si>
  <si>
    <t>PLEKHO1</t>
  </si>
  <si>
    <t>UBR4</t>
  </si>
  <si>
    <t>ACADM</t>
  </si>
  <si>
    <t>STXBP5</t>
  </si>
  <si>
    <t>KIAA1217</t>
  </si>
  <si>
    <t>ARHGAP21</t>
  </si>
  <si>
    <t>CAMSAP1</t>
  </si>
  <si>
    <t>UBAP2</t>
  </si>
  <si>
    <t>ABLIM1</t>
  </si>
  <si>
    <t>C9orf64</t>
  </si>
  <si>
    <t>XP32</t>
  </si>
  <si>
    <t>FAM69A</t>
  </si>
  <si>
    <t>GORAB</t>
  </si>
  <si>
    <t>ACBD5</t>
  </si>
  <si>
    <t>COX6A1P2</t>
  </si>
  <si>
    <t>RBM26</t>
  </si>
  <si>
    <t>SURF4</t>
  </si>
  <si>
    <t>AK1</t>
  </si>
  <si>
    <t>FAM102A</t>
  </si>
  <si>
    <t>RNF187</t>
  </si>
  <si>
    <t>CPSF3L</t>
  </si>
  <si>
    <t>GLTPD1</t>
  </si>
  <si>
    <t>ZCCHC11</t>
  </si>
  <si>
    <t>FRY</t>
  </si>
  <si>
    <t>RNASEH2B</t>
  </si>
  <si>
    <t>TAF4</t>
  </si>
  <si>
    <t>NQO2</t>
  </si>
  <si>
    <t>C6orf89</t>
  </si>
  <si>
    <t>DNAJC16</t>
  </si>
  <si>
    <t>DDI2</t>
  </si>
  <si>
    <t>NDUFAF5</t>
  </si>
  <si>
    <t>NT5DC1</t>
  </si>
  <si>
    <t>C6orf106</t>
  </si>
  <si>
    <t>ARFGEF3</t>
  </si>
  <si>
    <t>PRDM2</t>
  </si>
  <si>
    <t>PRR14L</t>
  </si>
  <si>
    <t>METTL18</t>
  </si>
  <si>
    <t>SLC19A2</t>
  </si>
  <si>
    <t>CROCC</t>
  </si>
  <si>
    <t>LYRM7</t>
  </si>
  <si>
    <t>C12orf60</t>
  </si>
  <si>
    <t>RIF1</t>
  </si>
  <si>
    <t>VPS53</t>
  </si>
  <si>
    <t>STRIP1</t>
  </si>
  <si>
    <t>ABHD17B</t>
  </si>
  <si>
    <t>CEP350</t>
  </si>
  <si>
    <t>RPRD2</t>
  </si>
  <si>
    <t>MARC1</t>
  </si>
  <si>
    <t>GHITM</t>
  </si>
  <si>
    <t>PRPF38B</t>
  </si>
  <si>
    <t>TTC39B</t>
  </si>
  <si>
    <t>RNF20</t>
  </si>
  <si>
    <t>DYNLT1</t>
  </si>
  <si>
    <t>ZNF318</t>
  </si>
  <si>
    <t>C1orf53</t>
  </si>
  <si>
    <t>C6orf57</t>
  </si>
  <si>
    <t>ARHGEF16</t>
  </si>
  <si>
    <t>CDKAL1</t>
  </si>
  <si>
    <t>ZNF691</t>
  </si>
  <si>
    <t>MGST3</t>
  </si>
  <si>
    <t>MYSM1</t>
  </si>
  <si>
    <t>YOD1</t>
  </si>
  <si>
    <t>NFIB</t>
  </si>
  <si>
    <t>BROX</t>
  </si>
  <si>
    <t>FOCAD</t>
  </si>
  <si>
    <t>GPAM</t>
  </si>
  <si>
    <t>SNX30</t>
  </si>
  <si>
    <t>FAM46C</t>
  </si>
  <si>
    <t>RSBN1</t>
  </si>
  <si>
    <t>DAB2IP</t>
  </si>
  <si>
    <t>PARD3</t>
  </si>
  <si>
    <t>LYPLAL1</t>
  </si>
  <si>
    <t>ARHGEF2</t>
  </si>
  <si>
    <t>NAA35</t>
  </si>
  <si>
    <t>LRRC16A</t>
  </si>
  <si>
    <t>ITM2B</t>
  </si>
  <si>
    <t>BSPRY</t>
  </si>
  <si>
    <t>FAM160B1</t>
  </si>
  <si>
    <t>SPRYD7</t>
  </si>
  <si>
    <t>NDUFB8</t>
  </si>
  <si>
    <t>QIL1</t>
  </si>
  <si>
    <t>FBXW9</t>
  </si>
  <si>
    <t>CD276</t>
  </si>
  <si>
    <t>RNF213</t>
  </si>
  <si>
    <t>FAM21A</t>
  </si>
  <si>
    <t>LPCAT4</t>
  </si>
  <si>
    <t>FAM91A1</t>
  </si>
  <si>
    <t>LARP1B</t>
  </si>
  <si>
    <t>TBC1D9B</t>
  </si>
  <si>
    <t>DCAF15</t>
  </si>
  <si>
    <t>PFKFB4</t>
  </si>
  <si>
    <t>DIEXF</t>
  </si>
  <si>
    <t>SPTY2D1</t>
  </si>
  <si>
    <t>MBLAC2</t>
  </si>
  <si>
    <t>FMN1</t>
  </si>
  <si>
    <t>LMBRD2</t>
  </si>
  <si>
    <t>INTS3</t>
  </si>
  <si>
    <t>ARHGAP17</t>
  </si>
  <si>
    <t>CWF19L1</t>
  </si>
  <si>
    <t>KIAA1429</t>
  </si>
  <si>
    <t>C12orf73</t>
  </si>
  <si>
    <t>TRIM68</t>
  </si>
  <si>
    <t>HFE</t>
  </si>
  <si>
    <t>UHRF1BP1</t>
  </si>
  <si>
    <t>ZNF787</t>
  </si>
  <si>
    <t>ATL3</t>
  </si>
  <si>
    <t>ADAL</t>
  </si>
  <si>
    <t>TTC19</t>
  </si>
  <si>
    <t>CDC42BPG</t>
  </si>
  <si>
    <t>VASN</t>
  </si>
  <si>
    <t>CIAPIN1</t>
  </si>
  <si>
    <t>ZFAND6</t>
  </si>
  <si>
    <t>SMYD5</t>
  </si>
  <si>
    <t>PTRHD1</t>
  </si>
  <si>
    <t>OTUD7B</t>
  </si>
  <si>
    <t>SELS</t>
  </si>
  <si>
    <t>ISM2</t>
  </si>
  <si>
    <t>THOC7</t>
  </si>
  <si>
    <t>SIGIRR</t>
  </si>
  <si>
    <t>NADSYN1</t>
  </si>
  <si>
    <t>ELP2</t>
  </si>
  <si>
    <t>LAMTOR1</t>
  </si>
  <si>
    <t>DHRS7B</t>
  </si>
  <si>
    <t>TWF2</t>
  </si>
  <si>
    <t>NCAPH2</t>
  </si>
  <si>
    <t>DESI1</t>
  </si>
  <si>
    <t>KIAA0930</t>
  </si>
  <si>
    <t>Em:AP000351.3</t>
  </si>
  <si>
    <t>SMEK1</t>
  </si>
  <si>
    <t>LYRM5</t>
  </si>
  <si>
    <t>TYW3</t>
  </si>
  <si>
    <t>RAB12</t>
  </si>
  <si>
    <t>GRHL2</t>
  </si>
  <si>
    <t>USP3</t>
  </si>
  <si>
    <t>ACAD10</t>
  </si>
  <si>
    <t>NIPBL</t>
  </si>
  <si>
    <t>SLC25A25</t>
  </si>
  <si>
    <t>PDE12</t>
  </si>
  <si>
    <t>B4GALNT3</t>
  </si>
  <si>
    <t>LIN54</t>
  </si>
  <si>
    <t>ZNF280D</t>
  </si>
  <si>
    <t>OGFOD2</t>
  </si>
  <si>
    <t>NAA16</t>
  </si>
  <si>
    <t>KIAA1161</t>
  </si>
  <si>
    <t>SLC18B1</t>
  </si>
  <si>
    <t>C5orf45</t>
  </si>
  <si>
    <t>SLC25A24</t>
  </si>
  <si>
    <t>REEP3</t>
  </si>
  <si>
    <t>RETSAT</t>
  </si>
  <si>
    <t>RINT1</t>
  </si>
  <si>
    <t>TMEM214</t>
  </si>
  <si>
    <t>TCTN3</t>
  </si>
  <si>
    <t>KIAA1211L</t>
  </si>
  <si>
    <t>SWSAP1</t>
  </si>
  <si>
    <t>UFSP1</t>
  </si>
  <si>
    <t>HIBCH</t>
  </si>
  <si>
    <t>PPP1R2P3</t>
  </si>
  <si>
    <t>ANKRD54</t>
  </si>
  <si>
    <t>TAPT1</t>
  </si>
  <si>
    <t>JMJD6</t>
  </si>
  <si>
    <t>PPP1R18</t>
  </si>
  <si>
    <t>ZCCHC8</t>
  </si>
  <si>
    <t>RPUSD3</t>
  </si>
  <si>
    <t>DHX57</t>
  </si>
  <si>
    <t>MRPL54</t>
  </si>
  <si>
    <t>ERAP2</t>
  </si>
  <si>
    <t>CDC73</t>
  </si>
  <si>
    <t>PMF1</t>
  </si>
  <si>
    <t>FAM117B</t>
  </si>
  <si>
    <t>MRPL14</t>
  </si>
  <si>
    <t>SLC27A4</t>
  </si>
  <si>
    <t>CC2D1A</t>
  </si>
  <si>
    <t>METTL2B</t>
  </si>
  <si>
    <t>DUS1L</t>
  </si>
  <si>
    <t>C8orf82</t>
  </si>
  <si>
    <t>STAG1</t>
  </si>
  <si>
    <t>EDC4</t>
  </si>
  <si>
    <t>CEP85</t>
  </si>
  <si>
    <t>PRMT10</t>
  </si>
  <si>
    <t>PRPF8</t>
  </si>
  <si>
    <t>FBXO42</t>
  </si>
  <si>
    <t>SCYL2</t>
  </si>
  <si>
    <t>TTC27</t>
  </si>
  <si>
    <t>SFXN4</t>
  </si>
  <si>
    <t>PLBD1</t>
  </si>
  <si>
    <t>CASC4</t>
  </si>
  <si>
    <t>FDX1L</t>
  </si>
  <si>
    <t>RECQL5</t>
  </si>
  <si>
    <t>WDR73</t>
  </si>
  <si>
    <t>NFRKB</t>
  </si>
  <si>
    <t>MZT2A</t>
  </si>
  <si>
    <t>FAHD1</t>
  </si>
  <si>
    <t>ALKBH5</t>
  </si>
  <si>
    <t>NOTUM</t>
  </si>
  <si>
    <t>RSBN1L</t>
  </si>
  <si>
    <t>ABHD17C</t>
  </si>
  <si>
    <t>PGM2L1</t>
  </si>
  <si>
    <t>CTR9</t>
  </si>
  <si>
    <t>AAGAB</t>
  </si>
  <si>
    <t>TTC37</t>
  </si>
  <si>
    <t>C16orf87</t>
  </si>
  <si>
    <t>KCTD18</t>
  </si>
  <si>
    <t>DARS2</t>
  </si>
  <si>
    <t>TTC33</t>
  </si>
  <si>
    <t>CCDC174</t>
  </si>
  <si>
    <t>HAGHL</t>
  </si>
  <si>
    <t>FBXO38</t>
  </si>
  <si>
    <t>FIGNL1</t>
  </si>
  <si>
    <t>TRIM65</t>
  </si>
  <si>
    <t>RHBDF2</t>
  </si>
  <si>
    <t>BRAT1</t>
  </si>
  <si>
    <t>ZC3H14</t>
  </si>
  <si>
    <t>RAB17</t>
  </si>
  <si>
    <t>ZNF773</t>
  </si>
  <si>
    <t>TXNDC11</t>
  </si>
  <si>
    <t>LARP1</t>
  </si>
  <si>
    <t>TMED8</t>
  </si>
  <si>
    <t>SLC30A9</t>
  </si>
  <si>
    <t>BLOC1S3</t>
  </si>
  <si>
    <t>BLOC1S2</t>
  </si>
  <si>
    <t>WDR74</t>
  </si>
  <si>
    <t>AGTRAP</t>
  </si>
  <si>
    <t>POTEE</t>
  </si>
  <si>
    <t>SARM1</t>
  </si>
  <si>
    <t>METAP1D</t>
  </si>
  <si>
    <t>MTHFD1L</t>
  </si>
  <si>
    <t>AFTPH</t>
  </si>
  <si>
    <t>FIP1L1</t>
  </si>
  <si>
    <t>CRTC1</t>
  </si>
  <si>
    <t>ATRAID</t>
  </si>
  <si>
    <t>KDELC1</t>
  </si>
  <si>
    <t>C11orf83</t>
  </si>
  <si>
    <t>LRSAM1</t>
  </si>
  <si>
    <t>DHRS11</t>
  </si>
  <si>
    <t>LCLAT1</t>
  </si>
  <si>
    <t>LCN15</t>
  </si>
  <si>
    <t>ARSK</t>
  </si>
  <si>
    <t>CWC27</t>
  </si>
  <si>
    <t>KIAA1324</t>
  </si>
  <si>
    <t>CRELD2</t>
  </si>
  <si>
    <t>WDR82</t>
  </si>
  <si>
    <t>APOOL</t>
  </si>
  <si>
    <t>RAB11FIP1</t>
  </si>
  <si>
    <t>NAPRT1</t>
  </si>
  <si>
    <t>PTPLB</t>
  </si>
  <si>
    <t>DNAJC14</t>
  </si>
  <si>
    <t>GIGYF2</t>
  </si>
  <si>
    <t>CD109</t>
  </si>
  <si>
    <t>THADA</t>
  </si>
  <si>
    <t>HSDL2</t>
  </si>
  <si>
    <t>CCBL2</t>
  </si>
  <si>
    <t>CERS6</t>
  </si>
  <si>
    <t>PPP1R21</t>
  </si>
  <si>
    <t>LDHAL6A</t>
  </si>
  <si>
    <t>MEX3B</t>
  </si>
  <si>
    <t>LIN28B</t>
  </si>
  <si>
    <t>NFXL1</t>
  </si>
  <si>
    <t>GDPGP1</t>
  </si>
  <si>
    <t>DPY19L3</t>
  </si>
  <si>
    <t>QSOX2</t>
  </si>
  <si>
    <t>SRCAP</t>
  </si>
  <si>
    <t>FAM65A</t>
  </si>
  <si>
    <t>NBEAL1</t>
  </si>
  <si>
    <t>C1orf122</t>
  </si>
  <si>
    <t>MFSD6</t>
  </si>
  <si>
    <t>UBR3</t>
  </si>
  <si>
    <t>TMPPE</t>
  </si>
  <si>
    <t>SH3BP1</t>
  </si>
  <si>
    <t>RASSF6</t>
  </si>
  <si>
    <t>GPRIN3</t>
  </si>
  <si>
    <t>TOM1L2</t>
  </si>
  <si>
    <t>C16orf86</t>
  </si>
  <si>
    <t>PAXIP1</t>
  </si>
  <si>
    <t>TMTC3</t>
  </si>
  <si>
    <t>GTF2H5</t>
  </si>
  <si>
    <t>VPS13C</t>
  </si>
  <si>
    <t>ACAD11</t>
  </si>
  <si>
    <t>USP34</t>
  </si>
  <si>
    <t>MOB2</t>
  </si>
  <si>
    <t>IKBIP</t>
  </si>
  <si>
    <t>FRA10AC1</t>
  </si>
  <si>
    <t>UBE2R2</t>
  </si>
  <si>
    <t>LARP4</t>
  </si>
  <si>
    <t>MED25</t>
  </si>
  <si>
    <t>H2AFV</t>
  </si>
  <si>
    <t>INTS8</t>
  </si>
  <si>
    <t>MTSS1L</t>
  </si>
  <si>
    <t>SUPT6H</t>
  </si>
  <si>
    <t>SND1</t>
  </si>
  <si>
    <t>COX15</t>
  </si>
  <si>
    <t>DDX46</t>
  </si>
  <si>
    <t>RUFY3</t>
  </si>
  <si>
    <t>TRMT10C</t>
  </si>
  <si>
    <t>BZW1</t>
  </si>
  <si>
    <t>CYB5R4</t>
  </si>
  <si>
    <t>ASRGL1</t>
  </si>
  <si>
    <t>KCTD9</t>
  </si>
  <si>
    <t>EIF3M</t>
  </si>
  <si>
    <t>MEPCE</t>
  </si>
  <si>
    <t>PARS2</t>
  </si>
  <si>
    <t>RSRC2</t>
  </si>
  <si>
    <t>RRAGA</t>
  </si>
  <si>
    <t>CYFIP1</t>
  </si>
  <si>
    <t>NDUFAF7</t>
  </si>
  <si>
    <t>GET4</t>
  </si>
  <si>
    <t>LPCAT2</t>
  </si>
  <si>
    <t>ENOSF1</t>
  </si>
  <si>
    <t>EPM2AIP1</t>
  </si>
  <si>
    <t>DHX32</t>
  </si>
  <si>
    <t>TAOK1</t>
  </si>
  <si>
    <t>FASTKD5</t>
  </si>
  <si>
    <t>ATPBD4</t>
  </si>
  <si>
    <t>EEPD1</t>
  </si>
  <si>
    <t>KDM3B</t>
  </si>
  <si>
    <t>CHMP1B</t>
  </si>
  <si>
    <t>HS2ST1</t>
  </si>
  <si>
    <t>MICAL3</t>
  </si>
  <si>
    <t>PHF5A</t>
  </si>
  <si>
    <t>TAS1R3</t>
  </si>
  <si>
    <t>APTX</t>
  </si>
  <si>
    <t>GPRIN1</t>
  </si>
  <si>
    <t>TRMT1L</t>
  </si>
  <si>
    <t>ZC3HAV1</t>
  </si>
  <si>
    <t>GVINP1</t>
  </si>
  <si>
    <t>EFTUD1</t>
  </si>
  <si>
    <t>FAM122B</t>
  </si>
  <si>
    <t>NEGR1</t>
  </si>
  <si>
    <t>LYSMD3</t>
  </si>
  <si>
    <t>C14orf159</t>
  </si>
  <si>
    <t>C10orf118</t>
  </si>
  <si>
    <t>GPR155</t>
  </si>
  <si>
    <t>POGZ</t>
  </si>
  <si>
    <t>ZFYVE16</t>
  </si>
  <si>
    <t>DENND4A</t>
  </si>
  <si>
    <t>TMC4</t>
  </si>
  <si>
    <t>NUFIP2</t>
  </si>
  <si>
    <t>SZRD1</t>
  </si>
  <si>
    <t>MAVS</t>
  </si>
  <si>
    <t>CYP2U1</t>
  </si>
  <si>
    <t>DHX29</t>
  </si>
  <si>
    <t>COMMD6</t>
  </si>
  <si>
    <t>TRMT11</t>
  </si>
  <si>
    <t>HDDC2</t>
  </si>
  <si>
    <t>KDELC2</t>
  </si>
  <si>
    <t>LIMS2</t>
  </si>
  <si>
    <t>HEATR3</t>
  </si>
  <si>
    <t>HDGFRP2</t>
  </si>
  <si>
    <t>DCXR</t>
  </si>
  <si>
    <t>BRAP</t>
  </si>
  <si>
    <t>GOLGA7</t>
  </si>
  <si>
    <t>WAPAL</t>
  </si>
  <si>
    <t>IRF2BP2</t>
  </si>
  <si>
    <t>TMEM9B</t>
  </si>
  <si>
    <t>CCDC91</t>
  </si>
  <si>
    <t>SRGAP1</t>
  </si>
  <si>
    <t>RBBP6</t>
  </si>
  <si>
    <t>C5orf24</t>
  </si>
  <si>
    <t>UBE3D</t>
  </si>
  <si>
    <t>TSEN54</t>
  </si>
  <si>
    <t>PTAR1</t>
  </si>
  <si>
    <t>TECPR1</t>
  </si>
  <si>
    <t>RABEPK</t>
  </si>
  <si>
    <t>FBXO33</t>
  </si>
  <si>
    <t>MTERFD2</t>
  </si>
  <si>
    <t>ADAT2</t>
  </si>
  <si>
    <t>HUWE1</t>
  </si>
  <si>
    <t>CTU1</t>
  </si>
  <si>
    <t>PXK</t>
  </si>
  <si>
    <t>TAF8</t>
  </si>
  <si>
    <t>UBE2Q1</t>
  </si>
  <si>
    <t>KIAA0907</t>
  </si>
  <si>
    <t>TMED4</t>
  </si>
  <si>
    <t>CMC1</t>
  </si>
  <si>
    <t>CENPV</t>
  </si>
  <si>
    <t>TMEM179B</t>
  </si>
  <si>
    <t>DHDDS</t>
  </si>
  <si>
    <t>GALNT10</t>
  </si>
  <si>
    <t>GLRX5</t>
  </si>
  <si>
    <t>TRAPPC6B</t>
  </si>
  <si>
    <t>TMEM55B</t>
  </si>
  <si>
    <t>PATL1</t>
  </si>
  <si>
    <t>PEG10</t>
  </si>
  <si>
    <t>TBC1D1</t>
  </si>
  <si>
    <t>DPP9</t>
  </si>
  <si>
    <t>SYVN1</t>
  </si>
  <si>
    <t>TRPT1</t>
  </si>
  <si>
    <t>PRUNE</t>
  </si>
  <si>
    <t>MRPL52</t>
  </si>
  <si>
    <t>SETD3</t>
  </si>
  <si>
    <t>ADCK1</t>
  </si>
  <si>
    <t>ACOT1</t>
  </si>
  <si>
    <t>TINF2</t>
  </si>
  <si>
    <t>ISCA2</t>
  </si>
  <si>
    <t>NOP9</t>
  </si>
  <si>
    <t>METTL3</t>
  </si>
  <si>
    <t>LDB1</t>
  </si>
  <si>
    <t>PBRM1</t>
  </si>
  <si>
    <t>YRDC</t>
  </si>
  <si>
    <t>PRPF39</t>
  </si>
  <si>
    <t>SAPCD2</t>
  </si>
  <si>
    <t>MTDH</t>
  </si>
  <si>
    <t>TLK2</t>
  </si>
  <si>
    <t>ZNF598</t>
  </si>
  <si>
    <t>AGPAT6</t>
  </si>
  <si>
    <t>KTN1</t>
  </si>
  <si>
    <t>NLRX1</t>
  </si>
  <si>
    <t>BCL9L</t>
  </si>
  <si>
    <t>USP48</t>
  </si>
  <si>
    <t>ABCC5</t>
  </si>
  <si>
    <t>STK32C</t>
  </si>
  <si>
    <t>TXNDC5</t>
  </si>
  <si>
    <t>NT5DC3</t>
  </si>
  <si>
    <t>AACS</t>
  </si>
  <si>
    <t>LUZP1</t>
  </si>
  <si>
    <t>GPR180</t>
  </si>
  <si>
    <t>FAM160B2</t>
  </si>
  <si>
    <t>MDP1</t>
  </si>
  <si>
    <t>KBTBD6</t>
  </si>
  <si>
    <t>NRAP</t>
  </si>
  <si>
    <t>IQGAP3</t>
  </si>
  <si>
    <t>VPS36</t>
  </si>
  <si>
    <t>CAND1</t>
  </si>
  <si>
    <t>GLCCI1</t>
  </si>
  <si>
    <t>FAM134C</t>
  </si>
  <si>
    <t>HOOK3</t>
  </si>
  <si>
    <t>COMTD1</t>
  </si>
  <si>
    <t>SESTD1</t>
  </si>
  <si>
    <t>MON1A</t>
  </si>
  <si>
    <t>THOC6</t>
  </si>
  <si>
    <t>METTL16</t>
  </si>
  <si>
    <t>PARG</t>
  </si>
  <si>
    <t>PPFIBP1</t>
  </si>
  <si>
    <t>BPHL</t>
  </si>
  <si>
    <t>LONP2</t>
  </si>
  <si>
    <t>CHD1L</t>
  </si>
  <si>
    <t>NR2C2AP</t>
  </si>
  <si>
    <t>CCDC25</t>
  </si>
  <si>
    <t>PROSER2</t>
  </si>
  <si>
    <t>LDHD</t>
  </si>
  <si>
    <t>TEN1</t>
  </si>
  <si>
    <t>CCDC43</t>
  </si>
  <si>
    <t>RPS19BP1</t>
  </si>
  <si>
    <t>ERICH1</t>
  </si>
  <si>
    <t>CARM1</t>
  </si>
  <si>
    <t>NIT1</t>
  </si>
  <si>
    <t>COMMD2</t>
  </si>
  <si>
    <t>CIR1</t>
  </si>
  <si>
    <t>PLA2G4D</t>
  </si>
  <si>
    <t>DGKH</t>
  </si>
  <si>
    <t>DDX42</t>
  </si>
  <si>
    <t>FRAS1</t>
  </si>
  <si>
    <t>SPATS2</t>
  </si>
  <si>
    <t>VRK2</t>
  </si>
  <si>
    <t>NDUFA11</t>
  </si>
  <si>
    <t>HEATR2</t>
  </si>
  <si>
    <t>PTRH1</t>
  </si>
  <si>
    <t>STX12</t>
  </si>
  <si>
    <t>ERO1LB</t>
  </si>
  <si>
    <t>PDSS2</t>
  </si>
  <si>
    <t>HOMER1</t>
  </si>
  <si>
    <t>DOLPP1</t>
  </si>
  <si>
    <t>GATAD2A</t>
  </si>
  <si>
    <t>C2CD5</t>
  </si>
  <si>
    <t>MIB1</t>
  </si>
  <si>
    <t>SGK223</t>
  </si>
  <si>
    <t>HPS6</t>
  </si>
  <si>
    <t>IRF2BP1</t>
  </si>
  <si>
    <t>RHPN2</t>
  </si>
  <si>
    <t>ERC1</t>
  </si>
  <si>
    <t>MINA</t>
  </si>
  <si>
    <t>RBM45</t>
  </si>
  <si>
    <t>ZDHHC13</t>
  </si>
  <si>
    <t>CRLF3</t>
  </si>
  <si>
    <t>TRAPPC5</t>
  </si>
  <si>
    <t>RELL1</t>
  </si>
  <si>
    <t>TMEM126B</t>
  </si>
  <si>
    <t>AGXT2L2</t>
  </si>
  <si>
    <t>PLD3</t>
  </si>
  <si>
    <t>LACC1</t>
  </si>
  <si>
    <t>HID1</t>
  </si>
  <si>
    <t>ANKMY2</t>
  </si>
  <si>
    <t>UNC5CL</t>
  </si>
  <si>
    <t>LYSMD2</t>
  </si>
  <si>
    <t>PRR15</t>
  </si>
  <si>
    <t>VRK3</t>
  </si>
  <si>
    <t>NUDCD3</t>
  </si>
  <si>
    <t>AHNAK2</t>
  </si>
  <si>
    <t>MMAA</t>
  </si>
  <si>
    <t>MAP4K3</t>
  </si>
  <si>
    <t>NAV2</t>
  </si>
  <si>
    <t>CCDC50</t>
  </si>
  <si>
    <t>SBSPON</t>
  </si>
  <si>
    <t>ZDHHC21</t>
  </si>
  <si>
    <t>PPM1D</t>
  </si>
  <si>
    <t>MCAT</t>
  </si>
  <si>
    <t>C19orf21</t>
  </si>
  <si>
    <t>ARID3B</t>
  </si>
  <si>
    <t>CARKD</t>
  </si>
  <si>
    <t>WDR75</t>
  </si>
  <si>
    <t>MFN1</t>
  </si>
  <si>
    <t>ITPRIP</t>
  </si>
  <si>
    <t>WDFY1</t>
  </si>
  <si>
    <t>TEX2</t>
  </si>
  <si>
    <t>MAP7D3</t>
  </si>
  <si>
    <t>CCDC117</t>
  </si>
  <si>
    <t>FAM114A1</t>
  </si>
  <si>
    <t>DCUN1D3</t>
  </si>
  <si>
    <t>DENND6A</t>
  </si>
  <si>
    <t>GCC2</t>
  </si>
  <si>
    <t>HSCB</t>
  </si>
  <si>
    <t>ZC3H7A</t>
  </si>
  <si>
    <t>PHF6</t>
  </si>
  <si>
    <t>LMTK2</t>
  </si>
  <si>
    <t>UBR1</t>
  </si>
  <si>
    <t>UBR2</t>
  </si>
  <si>
    <t>ARHGAP12</t>
  </si>
  <si>
    <t>ANKHD1</t>
  </si>
  <si>
    <t>SUGP1</t>
  </si>
  <si>
    <t>CCAR1</t>
  </si>
  <si>
    <t>DHX40</t>
  </si>
  <si>
    <t>SKA3</t>
  </si>
  <si>
    <t>DNAJC10</t>
  </si>
  <si>
    <t>RHOT2</t>
  </si>
  <si>
    <t>RHOT1</t>
  </si>
  <si>
    <t>RIMKLA</t>
  </si>
  <si>
    <t>KIAA1704</t>
  </si>
  <si>
    <t>RPAP2</t>
  </si>
  <si>
    <t>PNPLA6</t>
  </si>
  <si>
    <t>SMC5</t>
  </si>
  <si>
    <t>CMIP</t>
  </si>
  <si>
    <t>PPAPDC2</t>
  </si>
  <si>
    <t>DHX37</t>
  </si>
  <si>
    <t>KBTBD2</t>
  </si>
  <si>
    <t>SLC35F3</t>
  </si>
  <si>
    <t>FTSJ3</t>
  </si>
  <si>
    <t>TMEM192</t>
  </si>
  <si>
    <t>MB21D2</t>
  </si>
  <si>
    <t>SMAP1</t>
  </si>
  <si>
    <t>DIS3L2</t>
  </si>
  <si>
    <t>SUPV3L1</t>
  </si>
  <si>
    <t>GSPT2</t>
  </si>
  <si>
    <t>CCDC146</t>
  </si>
  <si>
    <t>EXOC8</t>
  </si>
  <si>
    <t>C1orf174</t>
  </si>
  <si>
    <t>UBALD2</t>
  </si>
  <si>
    <t>THNSL1</t>
  </si>
  <si>
    <t>SMYD4</t>
  </si>
  <si>
    <t>PM20D2</t>
  </si>
  <si>
    <t>KIAA2013</t>
  </si>
  <si>
    <t>MICU2</t>
  </si>
  <si>
    <t>RNF168</t>
  </si>
  <si>
    <t>ANKRD13A</t>
  </si>
  <si>
    <t>PHACTR4</t>
  </si>
  <si>
    <t>RCOR2</t>
  </si>
  <si>
    <t>RASEF</t>
  </si>
  <si>
    <t>CHPF</t>
  </si>
  <si>
    <t>MTX2</t>
  </si>
  <si>
    <t>RPUSD2</t>
  </si>
  <si>
    <t>ELMOD2</t>
  </si>
  <si>
    <t>ALDH16A1</t>
  </si>
  <si>
    <t>NALCN</t>
  </si>
  <si>
    <t>XRN1</t>
  </si>
  <si>
    <t>MAML2</t>
  </si>
  <si>
    <t>SELH</t>
  </si>
  <si>
    <t>CMTM4</t>
  </si>
  <si>
    <t>RDH10</t>
  </si>
  <si>
    <t>TNS4</t>
  </si>
  <si>
    <t>APCDD1</t>
  </si>
  <si>
    <t>C8orf59</t>
  </si>
  <si>
    <t>FAM185A</t>
  </si>
  <si>
    <t>VKORC1L1</t>
  </si>
  <si>
    <t>FUK</t>
  </si>
  <si>
    <t>CLYBL</t>
  </si>
  <si>
    <t>TTC5</t>
  </si>
  <si>
    <t>PUSL1</t>
  </si>
  <si>
    <t>VSIG10</t>
  </si>
  <si>
    <t>MIER1</t>
  </si>
  <si>
    <t>RPTOR</t>
  </si>
  <si>
    <t>CNPY4</t>
  </si>
  <si>
    <t>KIAA1967</t>
  </si>
  <si>
    <t>NDUFAF2</t>
  </si>
  <si>
    <t>VPS52</t>
  </si>
  <si>
    <t>NUP93</t>
  </si>
  <si>
    <t>ZNF687</t>
  </si>
  <si>
    <t>FTSJD2</t>
  </si>
  <si>
    <t>LRRC47</t>
  </si>
  <si>
    <t>THEMIS</t>
  </si>
  <si>
    <t>PLD6</t>
  </si>
  <si>
    <t>ARMC10</t>
  </si>
  <si>
    <t>GHDC</t>
  </si>
  <si>
    <t>ABHD12</t>
  </si>
  <si>
    <t>APITD1</t>
  </si>
  <si>
    <t>CCDC23</t>
  </si>
  <si>
    <t>GPD1L</t>
  </si>
  <si>
    <t>DOS</t>
  </si>
  <si>
    <t>ARHGAP18</t>
  </si>
  <si>
    <t>VWA5B2</t>
  </si>
  <si>
    <t>ASCC3</t>
  </si>
  <si>
    <t>EHBP1L1</t>
  </si>
  <si>
    <t>MICALL1</t>
  </si>
  <si>
    <t>MPP5</t>
  </si>
  <si>
    <t>FNBP4</t>
  </si>
  <si>
    <t>GUF1</t>
  </si>
  <si>
    <t>D2HGDH</t>
  </si>
  <si>
    <t>RYBP</t>
  </si>
  <si>
    <t>PNKD</t>
  </si>
  <si>
    <t>MINK1</t>
  </si>
  <si>
    <t>TOMM5</t>
  </si>
  <si>
    <t>HDDC3</t>
  </si>
  <si>
    <t>ZADH2</t>
  </si>
  <si>
    <t>CHCHD4</t>
  </si>
  <si>
    <t>CBR4</t>
  </si>
  <si>
    <t>MMGT1</t>
  </si>
  <si>
    <t>ZCCHC9</t>
  </si>
  <si>
    <t>OXR1</t>
  </si>
  <si>
    <t>TTC39C</t>
  </si>
  <si>
    <t>ZGPAT</t>
  </si>
  <si>
    <t>SRBD1</t>
  </si>
  <si>
    <t>DTWD1</t>
  </si>
  <si>
    <t>WDTC1</t>
  </si>
  <si>
    <t>NKAP</t>
  </si>
  <si>
    <t>SMIM20</t>
  </si>
  <si>
    <t>TMEM57</t>
  </si>
  <si>
    <t>ARRDC1</t>
  </si>
  <si>
    <t>C12orf45</t>
  </si>
  <si>
    <t>CISD2</t>
  </si>
  <si>
    <t>RPP25L</t>
  </si>
  <si>
    <t>ATPAF2</t>
  </si>
  <si>
    <t>JAGN1</t>
  </si>
  <si>
    <t>MRPL50</t>
  </si>
  <si>
    <t>ZC3H8</t>
  </si>
  <si>
    <t>EIF4E3</t>
  </si>
  <si>
    <t>PARP16</t>
  </si>
  <si>
    <t>FAM160A2</t>
  </si>
  <si>
    <t>CPSF7</t>
  </si>
  <si>
    <t>SLC15A4</t>
  </si>
  <si>
    <t>OTUD6B</t>
  </si>
  <si>
    <t>C1orf52</t>
  </si>
  <si>
    <t>ACBD7</t>
  </si>
  <si>
    <t>METTL25</t>
  </si>
  <si>
    <t>ARFGAP1</t>
  </si>
  <si>
    <t>TOM1L1</t>
  </si>
  <si>
    <t>EMC1</t>
  </si>
  <si>
    <t>CCNYL1</t>
  </si>
  <si>
    <t>UBR7</t>
  </si>
  <si>
    <t>C4orf32</t>
  </si>
  <si>
    <t>PTGR2</t>
  </si>
  <si>
    <t>C2orf69</t>
  </si>
  <si>
    <t>ARL14EP</t>
  </si>
  <si>
    <t>ENAH</t>
  </si>
  <si>
    <t>GPATCH11</t>
  </si>
  <si>
    <t>C12orf29</t>
  </si>
  <si>
    <t>GDPD1</t>
  </si>
  <si>
    <t>TMEM102</t>
  </si>
  <si>
    <t>LRRC57</t>
  </si>
  <si>
    <t>KRI1</t>
  </si>
  <si>
    <t>WDSUB1</t>
  </si>
  <si>
    <t>GTDC2</t>
  </si>
  <si>
    <t>PRPF38A</t>
  </si>
  <si>
    <t>C1orf172</t>
  </si>
  <si>
    <t>ZNF511</t>
  </si>
  <si>
    <t>MLKL</t>
  </si>
  <si>
    <t>PDDC1</t>
  </si>
  <si>
    <t>ANKRD52</t>
  </si>
  <si>
    <t>ATP11C</t>
  </si>
  <si>
    <t>SPATA5</t>
  </si>
  <si>
    <t>NHLRC2</t>
  </si>
  <si>
    <t>AVL9</t>
  </si>
  <si>
    <t>XXYLT1</t>
  </si>
  <si>
    <t>GOLM1</t>
  </si>
  <si>
    <t>COLGALT1</t>
  </si>
  <si>
    <t>SUMF1</t>
  </si>
  <si>
    <t>UBAC2</t>
  </si>
  <si>
    <t>PCYOX1L</t>
  </si>
  <si>
    <t>TMEM87A</t>
  </si>
  <si>
    <t>RDH13</t>
  </si>
  <si>
    <t>TTC13</t>
  </si>
  <si>
    <t>PCSK9</t>
  </si>
  <si>
    <t>ATAD1</t>
  </si>
  <si>
    <t>SCCPDH</t>
  </si>
  <si>
    <t>MST4</t>
  </si>
  <si>
    <t>SERBP1</t>
  </si>
  <si>
    <t>KCT2</t>
  </si>
  <si>
    <t>LEMD2</t>
  </si>
  <si>
    <t>NOA1</t>
  </si>
  <si>
    <t>NECAP1</t>
  </si>
  <si>
    <t>FAM98A</t>
  </si>
  <si>
    <t>PLA2G15</t>
  </si>
  <si>
    <t>TSEN2</t>
  </si>
  <si>
    <t>MTMR14</t>
  </si>
  <si>
    <t>NFATC2IP</t>
  </si>
  <si>
    <t>DAGLB</t>
  </si>
  <si>
    <t>GALNT6</t>
  </si>
  <si>
    <t>RNF169</t>
  </si>
  <si>
    <t>PDPR</t>
  </si>
  <si>
    <t>APOA1BP</t>
  </si>
  <si>
    <t>SMG8</t>
  </si>
  <si>
    <t>RNF214</t>
  </si>
  <si>
    <t>LSM14A</t>
  </si>
  <si>
    <t>CCNY</t>
  </si>
  <si>
    <t>PNMA1</t>
  </si>
  <si>
    <t>MAPK1IP1L</t>
  </si>
  <si>
    <t>C1orf131</t>
  </si>
  <si>
    <t>NPEPL1</t>
  </si>
  <si>
    <t>EHBP1</t>
  </si>
  <si>
    <t>RBM15B</t>
  </si>
  <si>
    <t>SMC1B</t>
  </si>
  <si>
    <t>C3orf58</t>
  </si>
  <si>
    <t>CHDH</t>
  </si>
  <si>
    <t>ABCF1</t>
  </si>
  <si>
    <t>FAM83F</t>
  </si>
  <si>
    <t>DDHD1</t>
  </si>
  <si>
    <t>PDZD8</t>
  </si>
  <si>
    <t>APPL2</t>
  </si>
  <si>
    <t>FBXO22</t>
  </si>
  <si>
    <t>LPCAT1</t>
  </si>
  <si>
    <t>BOD1L1</t>
  </si>
  <si>
    <t>FLAD1</t>
  </si>
  <si>
    <t>NUP43</t>
  </si>
  <si>
    <t>NUP37</t>
  </si>
  <si>
    <t>ENGASE</t>
  </si>
  <si>
    <t>TOR1AIP2</t>
  </si>
  <si>
    <t>TSTD1</t>
  </si>
  <si>
    <t>ABHD11</t>
  </si>
  <si>
    <t>CMAS</t>
  </si>
  <si>
    <t>STXBP6</t>
  </si>
  <si>
    <t>TTL</t>
  </si>
  <si>
    <t>SVIP</t>
  </si>
  <si>
    <t>ZNRF2</t>
  </si>
  <si>
    <t>ATL2</t>
  </si>
  <si>
    <t>KDM2B</t>
  </si>
  <si>
    <t>PLBD2</t>
  </si>
  <si>
    <t>TDRD7</t>
  </si>
  <si>
    <t>GIMAP7</t>
  </si>
  <si>
    <t>NEDD1</t>
  </si>
  <si>
    <t>NCOA7</t>
  </si>
  <si>
    <t>MCFD2</t>
  </si>
  <si>
    <t>THOC2</t>
  </si>
  <si>
    <t>INADL</t>
  </si>
  <si>
    <t>WDR36</t>
  </si>
  <si>
    <t>PPTC7</t>
  </si>
  <si>
    <t>ADCK3</t>
  </si>
  <si>
    <t>RP9</t>
  </si>
  <si>
    <t>GRPEL2</t>
  </si>
  <si>
    <t>PPP1R14C</t>
  </si>
  <si>
    <t>GADD45GIP1</t>
  </si>
  <si>
    <t>WDR48</t>
  </si>
  <si>
    <t>ERMN</t>
  </si>
  <si>
    <t>CEP76</t>
  </si>
  <si>
    <t>SMARCC2</t>
  </si>
  <si>
    <t>NPLOC4</t>
  </si>
  <si>
    <t>GDAP1</t>
  </si>
  <si>
    <t>NUBPL</t>
  </si>
  <si>
    <t>FBXO30</t>
  </si>
  <si>
    <t>SLC35B2</t>
  </si>
  <si>
    <t>PUM2</t>
  </si>
  <si>
    <t>GOLGA5</t>
  </si>
  <si>
    <t>LNX1</t>
  </si>
  <si>
    <t>KLHDC4</t>
  </si>
  <si>
    <t>UBA3</t>
  </si>
  <si>
    <t>NANP</t>
  </si>
  <si>
    <t>FAM213B</t>
  </si>
  <si>
    <t>SETD6</t>
  </si>
  <si>
    <t>SLC25A40</t>
  </si>
  <si>
    <t>PIP4K2C</t>
  </si>
  <si>
    <t>WDR20</t>
  </si>
  <si>
    <t>TRMT10A</t>
  </si>
  <si>
    <t>TBC1D15</t>
  </si>
  <si>
    <t>RDH11</t>
  </si>
  <si>
    <t>LRRC20</t>
  </si>
  <si>
    <t>C18orf32</t>
  </si>
  <si>
    <t>NT5C</t>
  </si>
  <si>
    <t>KIAA1524</t>
  </si>
  <si>
    <t>PI4K2B</t>
  </si>
  <si>
    <t>STT3B</t>
  </si>
  <si>
    <t>PNPT1</t>
  </si>
  <si>
    <t>HM13</t>
  </si>
  <si>
    <t>RHPN1</t>
  </si>
  <si>
    <t>URGCP</t>
  </si>
  <si>
    <t>BICD2</t>
  </si>
  <si>
    <t>NEK9</t>
  </si>
  <si>
    <t>GPT2</t>
  </si>
  <si>
    <t>DTX3L</t>
  </si>
  <si>
    <t>DDX54</t>
  </si>
  <si>
    <t>BLOC1S5</t>
  </si>
  <si>
    <t>DMXL2</t>
  </si>
  <si>
    <t>GNPDA2</t>
  </si>
  <si>
    <t>STK35</t>
  </si>
  <si>
    <t>NEK7</t>
  </si>
  <si>
    <t>RB1CC1</t>
  </si>
  <si>
    <t>MICAL1</t>
  </si>
  <si>
    <t>PANK1</t>
  </si>
  <si>
    <t>SSH3</t>
  </si>
  <si>
    <t>NSUN6</t>
  </si>
  <si>
    <t>TBCK</t>
  </si>
  <si>
    <t>DTD1</t>
  </si>
  <si>
    <t>DCAF11</t>
  </si>
  <si>
    <t>UTP15</t>
  </si>
  <si>
    <t>NUP210</t>
  </si>
  <si>
    <t>GEMIN5</t>
  </si>
  <si>
    <t>PIGO</t>
  </si>
  <si>
    <t>GANC</t>
  </si>
  <si>
    <t>SMCR8</t>
  </si>
  <si>
    <t>IPO4</t>
  </si>
  <si>
    <t>PNISR</t>
  </si>
  <si>
    <t>PPP4R1</t>
  </si>
  <si>
    <t>SLC16A10</t>
  </si>
  <si>
    <t>WIPF2</t>
  </si>
  <si>
    <t>ABHD5</t>
  </si>
  <si>
    <t>SETD7</t>
  </si>
  <si>
    <t>COG1</t>
  </si>
  <si>
    <t>NPRL2</t>
  </si>
  <si>
    <t>ZDHHC1</t>
  </si>
  <si>
    <t>PYROXD1</t>
  </si>
  <si>
    <t>SMAP2</t>
  </si>
  <si>
    <t>ZC3H15</t>
  </si>
  <si>
    <t>PPIL4</t>
  </si>
  <si>
    <t>GTF3C2</t>
  </si>
  <si>
    <t>RAB2B</t>
  </si>
  <si>
    <t>PPP1R13L</t>
  </si>
  <si>
    <t>FAM172A</t>
  </si>
  <si>
    <t>C12orf23</t>
  </si>
  <si>
    <t>STYX</t>
  </si>
  <si>
    <t>KIAA1199</t>
  </si>
  <si>
    <t>PTPMT1</t>
  </si>
  <si>
    <t>NUP133</t>
  </si>
  <si>
    <t>PDCD6IP</t>
  </si>
  <si>
    <t>UBTD2</t>
  </si>
  <si>
    <t>FBLIM1</t>
  </si>
  <si>
    <t>C15orf40</t>
  </si>
  <si>
    <t>CHAC2</t>
  </si>
  <si>
    <t>CHMP7</t>
  </si>
  <si>
    <t>THEM6</t>
  </si>
  <si>
    <t>NAT14</t>
  </si>
  <si>
    <t>NSMCE1</t>
  </si>
  <si>
    <t>SNX33</t>
  </si>
  <si>
    <t>PTCD2</t>
  </si>
  <si>
    <t>NUDT8</t>
  </si>
  <si>
    <t>LACE1</t>
  </si>
  <si>
    <t>CHTF18</t>
  </si>
  <si>
    <t>LEO1</t>
  </si>
  <si>
    <t>RPS21</t>
  </si>
  <si>
    <t>NUDCD2</t>
  </si>
  <si>
    <t>SNRNP27</t>
  </si>
  <si>
    <t>ANKRD49</t>
  </si>
  <si>
    <t>TFB1M</t>
  </si>
  <si>
    <t>SCFD1</t>
  </si>
  <si>
    <t>CANT1</t>
  </si>
  <si>
    <t>TRAPPC12</t>
  </si>
  <si>
    <t>POF1B</t>
  </si>
  <si>
    <t>HNRPLL</t>
  </si>
  <si>
    <t>FAR1</t>
  </si>
  <si>
    <t>UBLCP1</t>
  </si>
  <si>
    <t>KBTBD7</t>
  </si>
  <si>
    <t>TSEN15</t>
  </si>
  <si>
    <t>PCNP</t>
  </si>
  <si>
    <t>SPRYD4</t>
  </si>
  <si>
    <t>C1orf85</t>
  </si>
  <si>
    <t>C2orf47</t>
  </si>
  <si>
    <t>TRUB1</t>
  </si>
  <si>
    <t>SLC44A1</t>
  </si>
  <si>
    <t>ATXN2L</t>
  </si>
  <si>
    <t>RTN4IP1</t>
  </si>
  <si>
    <t>SELM</t>
  </si>
  <si>
    <t>IGFBPL1</t>
  </si>
  <si>
    <t>NELFB</t>
  </si>
  <si>
    <t>SREK1</t>
  </si>
  <si>
    <t>SCG3</t>
  </si>
  <si>
    <t>GEMIN6</t>
  </si>
  <si>
    <t>ATRIP</t>
  </si>
  <si>
    <t>PSPC1</t>
  </si>
  <si>
    <t>MADD</t>
  </si>
  <si>
    <t>SYNE2</t>
  </si>
  <si>
    <t>GATAD2B</t>
  </si>
  <si>
    <t>DNAH7</t>
  </si>
  <si>
    <t>DNAJC9</t>
  </si>
  <si>
    <t>BRI3BP</t>
  </si>
  <si>
    <t>CTNNBL1</t>
  </si>
  <si>
    <t>AHCTF1</t>
  </si>
  <si>
    <t>OVCA2</t>
  </si>
  <si>
    <t>LZIC</t>
  </si>
  <si>
    <t>IRGQ</t>
  </si>
  <si>
    <t>DDB2</t>
  </si>
  <si>
    <t>SMPDL3B</t>
  </si>
  <si>
    <t>DDX1</t>
  </si>
  <si>
    <t>SLC39A7</t>
  </si>
  <si>
    <t>HSD17B8</t>
  </si>
  <si>
    <t>PIEZO1</t>
  </si>
  <si>
    <t>FAM3C</t>
  </si>
  <si>
    <t>H1FX</t>
  </si>
  <si>
    <t>CCT6B</t>
  </si>
  <si>
    <t>SLC7A6</t>
  </si>
  <si>
    <t>GBF1</t>
  </si>
  <si>
    <t>RTF1</t>
  </si>
  <si>
    <t>TM9SF4</t>
  </si>
  <si>
    <t>TOPBP1</t>
  </si>
  <si>
    <t>IP6K1</t>
  </si>
  <si>
    <t>MRPS27</t>
  </si>
  <si>
    <t>WASF1</t>
  </si>
  <si>
    <t>AP3S1</t>
  </si>
  <si>
    <t>UBXN4</t>
  </si>
  <si>
    <t>PHF3</t>
  </si>
  <si>
    <t>SLC9A6</t>
  </si>
  <si>
    <t>MAML1</t>
  </si>
  <si>
    <t>NDRG1</t>
  </si>
  <si>
    <t>HSPH1</t>
  </si>
  <si>
    <t>RQCD1</t>
  </si>
  <si>
    <t>TBC1D5</t>
  </si>
  <si>
    <t>LARP4B</t>
  </si>
  <si>
    <t>GCN1L1</t>
  </si>
  <si>
    <t>DHX38</t>
  </si>
  <si>
    <t>NUP205</t>
  </si>
  <si>
    <t>TTC9</t>
  </si>
  <si>
    <t>ANKS1A</t>
  </si>
  <si>
    <t>NSMAF</t>
  </si>
  <si>
    <t>GTF3A</t>
  </si>
  <si>
    <t>MRPS31</t>
  </si>
  <si>
    <t>AKAP1</t>
  </si>
  <si>
    <t>SORL1</t>
  </si>
  <si>
    <t>NRGN</t>
  </si>
  <si>
    <t>ANP32B</t>
  </si>
  <si>
    <t>PVRL2</t>
  </si>
  <si>
    <t>RABGGTA</t>
  </si>
  <si>
    <t>TFG</t>
  </si>
  <si>
    <t>USP6NL</t>
  </si>
  <si>
    <t>ARPC1A</t>
  </si>
  <si>
    <t>GTF2H4</t>
  </si>
  <si>
    <t>STAM</t>
  </si>
  <si>
    <t>PROX1</t>
  </si>
  <si>
    <t>CREBBP</t>
  </si>
  <si>
    <t>SYMPK</t>
  </si>
  <si>
    <t>TAF15</t>
  </si>
  <si>
    <t>GOLGA1</t>
  </si>
  <si>
    <t>GGH</t>
  </si>
  <si>
    <t>BCL2L2</t>
  </si>
  <si>
    <t>KIFAP3</t>
  </si>
  <si>
    <t>SEMA4D</t>
  </si>
  <si>
    <t>KLK6</t>
  </si>
  <si>
    <t>RAD50</t>
  </si>
  <si>
    <t>OSTF1</t>
  </si>
  <si>
    <t>UFD1L</t>
  </si>
  <si>
    <t>UPF1</t>
  </si>
  <si>
    <t>HPS1</t>
  </si>
  <si>
    <t>COPS5</t>
  </si>
  <si>
    <t>GPKOW</t>
  </si>
  <si>
    <t>SMARCC1</t>
  </si>
  <si>
    <t>BAD</t>
  </si>
  <si>
    <t>KHSRP</t>
  </si>
  <si>
    <t>GCDH</t>
  </si>
  <si>
    <t>RIT1</t>
  </si>
  <si>
    <t>PEX13</t>
  </si>
  <si>
    <t>TNPO1</t>
  </si>
  <si>
    <t>EMG1</t>
  </si>
  <si>
    <t>GLMN</t>
  </si>
  <si>
    <t>USP13</t>
  </si>
  <si>
    <t>USP9X</t>
  </si>
  <si>
    <t>NAT6</t>
  </si>
  <si>
    <t>CUL5</t>
  </si>
  <si>
    <t>LPP</t>
  </si>
  <si>
    <t>EXT2</t>
  </si>
  <si>
    <t>HIST1H2AC</t>
  </si>
  <si>
    <t>TCEAL3</t>
  </si>
  <si>
    <t>TSR2</t>
  </si>
  <si>
    <t>RFK</t>
  </si>
  <si>
    <t>POP5</t>
  </si>
  <si>
    <t>C19orf10</t>
  </si>
  <si>
    <t>MAL2</t>
  </si>
  <si>
    <t>YIPF5</t>
  </si>
  <si>
    <t>PIGT</t>
  </si>
  <si>
    <t>IGSF8</t>
  </si>
  <si>
    <t>RPL36AL</t>
  </si>
  <si>
    <t>ZNF622</t>
  </si>
  <si>
    <t>GFM2</t>
  </si>
  <si>
    <t>NT5C3B</t>
  </si>
  <si>
    <t>NCLN</t>
  </si>
  <si>
    <t>ERGIC1</t>
  </si>
  <si>
    <t>CIRH1A</t>
  </si>
  <si>
    <t>GTPBP3</t>
  </si>
  <si>
    <t>TBRG4</t>
  </si>
  <si>
    <t>C11orf52</t>
  </si>
  <si>
    <t>SLC35C1</t>
  </si>
  <si>
    <t>CCDC47</t>
  </si>
  <si>
    <t>SYAP1</t>
  </si>
  <si>
    <t>MARVELD3</t>
  </si>
  <si>
    <t>EXOC4</t>
  </si>
  <si>
    <t>KIAA1191</t>
  </si>
  <si>
    <t>ISOC2</t>
  </si>
  <si>
    <t>NTAN1</t>
  </si>
  <si>
    <t>FUBP1</t>
  </si>
  <si>
    <t>LRRC59</t>
  </si>
  <si>
    <t>VTI1A</t>
  </si>
  <si>
    <t>MCUR1</t>
  </si>
  <si>
    <t>KIAA1143</t>
  </si>
  <si>
    <t>RPE</t>
  </si>
  <si>
    <t>FKBP10</t>
  </si>
  <si>
    <t>ISG20</t>
  </si>
  <si>
    <t>RAD51AP1</t>
  </si>
  <si>
    <t>TMEM45B</t>
  </si>
  <si>
    <t>C18orf25</t>
  </si>
  <si>
    <t>EXOSC8</t>
  </si>
  <si>
    <t>AKT1S1</t>
  </si>
  <si>
    <t>C10orf32</t>
  </si>
  <si>
    <t>TOMM6</t>
  </si>
  <si>
    <t>LENG9</t>
  </si>
  <si>
    <t>SH3KBP1</t>
  </si>
  <si>
    <t>AIDA</t>
  </si>
  <si>
    <t>PINX1</t>
  </si>
  <si>
    <t>ARL8A</t>
  </si>
  <si>
    <t>FAM105B</t>
  </si>
  <si>
    <t>CHCHD1</t>
  </si>
  <si>
    <t>PPWD1</t>
  </si>
  <si>
    <t>SELRC1</t>
  </si>
  <si>
    <t>UPRT</t>
  </si>
  <si>
    <t>PTER</t>
  </si>
  <si>
    <t>ATG2B</t>
  </si>
  <si>
    <t>LENG1</t>
  </si>
  <si>
    <t>TBC1D20</t>
  </si>
  <si>
    <t>FAM136A</t>
  </si>
  <si>
    <t>EFHD2</t>
  </si>
  <si>
    <t>GALM</t>
  </si>
  <si>
    <t>RUNDC1</t>
  </si>
  <si>
    <t>PYCR2</t>
  </si>
  <si>
    <t>C12orf43</t>
  </si>
  <si>
    <t>DCPS</t>
  </si>
  <si>
    <t>PPP1R14B</t>
  </si>
  <si>
    <t>NSUN4</t>
  </si>
  <si>
    <t>FBXL8</t>
  </si>
  <si>
    <t>PPCDC</t>
  </si>
  <si>
    <t>CHMP4C</t>
  </si>
  <si>
    <t>CTHRC1</t>
  </si>
  <si>
    <t>ISOC1</t>
  </si>
  <si>
    <t>GCC1</t>
  </si>
  <si>
    <t>FLYWCH2</t>
  </si>
  <si>
    <t>HAUS1</t>
  </si>
  <si>
    <t>FAF2</t>
  </si>
  <si>
    <t>CCDC124</t>
  </si>
  <si>
    <t>FOXRED1</t>
  </si>
  <si>
    <t>OPTN</t>
  </si>
  <si>
    <t>AP2M1</t>
  </si>
  <si>
    <t>TUBGCP3</t>
  </si>
  <si>
    <t>SLC7A6OS</t>
  </si>
  <si>
    <t>KCTD12</t>
  </si>
  <si>
    <t>ORAI1</t>
  </si>
  <si>
    <t>ADCK4</t>
  </si>
  <si>
    <t>REPS1</t>
  </si>
  <si>
    <t>DNAJC19</t>
  </si>
  <si>
    <t>RMDN1</t>
  </si>
  <si>
    <t>SHISA4</t>
  </si>
  <si>
    <t>NUDT16</t>
  </si>
  <si>
    <t>DGCR14</t>
  </si>
  <si>
    <t>CMBL</t>
  </si>
  <si>
    <t>SNRNP40</t>
  </si>
  <si>
    <t>STARD4</t>
  </si>
  <si>
    <t>MRPL38</t>
  </si>
  <si>
    <t>RSPRY1</t>
  </si>
  <si>
    <t>ASB9</t>
  </si>
  <si>
    <t>TRIM44</t>
  </si>
  <si>
    <t>ERLEC1</t>
  </si>
  <si>
    <t>FAM122A</t>
  </si>
  <si>
    <t>MRRF</t>
  </si>
  <si>
    <t>RMI2</t>
  </si>
  <si>
    <t>NUS1</t>
  </si>
  <si>
    <t>OMA1</t>
  </si>
  <si>
    <t>SPDL1</t>
  </si>
  <si>
    <t>ELP4</t>
  </si>
  <si>
    <t>SIRT1</t>
  </si>
  <si>
    <t>YIPF6</t>
  </si>
  <si>
    <t>SEH1L</t>
  </si>
  <si>
    <t>ZHX1-C8orf76</t>
  </si>
  <si>
    <t>MALSU1</t>
  </si>
  <si>
    <t>TCEAL4</t>
  </si>
  <si>
    <t>KIAA1279</t>
  </si>
  <si>
    <t>GNPNAT1</t>
  </si>
  <si>
    <t>MRPL53</t>
  </si>
  <si>
    <t>RNF31</t>
  </si>
  <si>
    <t>DAZAP1</t>
  </si>
  <si>
    <t>SGTB</t>
  </si>
  <si>
    <t>CCDC51</t>
  </si>
  <si>
    <t>CCDC101</t>
  </si>
  <si>
    <t>RRP36</t>
  </si>
  <si>
    <t>C1GALT1C1</t>
  </si>
  <si>
    <t>RBM33</t>
  </si>
  <si>
    <t>DTNBP1</t>
  </si>
  <si>
    <t>HSPBAP1</t>
  </si>
  <si>
    <t>SMIM12</t>
  </si>
  <si>
    <t>WDR34</t>
  </si>
  <si>
    <t>DNAJA3</t>
  </si>
  <si>
    <t>MVB12A</t>
  </si>
  <si>
    <t>PTCD3</t>
  </si>
  <si>
    <t>MMAB</t>
  </si>
  <si>
    <t>ADAT3</t>
  </si>
  <si>
    <t>NRBF2</t>
  </si>
  <si>
    <t>ALG14</t>
  </si>
  <si>
    <t>ZNF503</t>
  </si>
  <si>
    <t>CCDC97</t>
  </si>
  <si>
    <t>EDC3</t>
  </si>
  <si>
    <t>PELI1</t>
  </si>
  <si>
    <t>DDX11</t>
  </si>
  <si>
    <t>LINGO1</t>
  </si>
  <si>
    <t>MEF2BNB</t>
  </si>
  <si>
    <t>WDR89</t>
  </si>
  <si>
    <t>S100A16</t>
  </si>
  <si>
    <t>THOC1</t>
  </si>
  <si>
    <t>DPH3</t>
  </si>
  <si>
    <t>TRMT61A</t>
  </si>
  <si>
    <t>C3orf37</t>
  </si>
  <si>
    <t>CHMP6</t>
  </si>
  <si>
    <t>PGM2</t>
  </si>
  <si>
    <t>FAM86A</t>
  </si>
  <si>
    <t>MED8</t>
  </si>
  <si>
    <t>CCDC104</t>
  </si>
  <si>
    <t>DUS3L</t>
  </si>
  <si>
    <t>OTUD5</t>
  </si>
  <si>
    <t>LTV1</t>
  </si>
  <si>
    <t>SDSL</t>
  </si>
  <si>
    <t>PDXP</t>
  </si>
  <si>
    <t>RNF185</t>
  </si>
  <si>
    <t>DCUN1D1</t>
  </si>
  <si>
    <t>FAHD2A</t>
  </si>
  <si>
    <t>TOE1</t>
  </si>
  <si>
    <t>DDX27</t>
  </si>
  <si>
    <t>C17orf59</t>
  </si>
  <si>
    <t>C5orf30</t>
  </si>
  <si>
    <t>MARS2</t>
  </si>
  <si>
    <t>ATXN7L3B</t>
  </si>
  <si>
    <t>MASTL</t>
  </si>
  <si>
    <t>ZC2HC1A</t>
  </si>
  <si>
    <t>SNF8</t>
  </si>
  <si>
    <t>ZC3HAV1L</t>
  </si>
  <si>
    <t>PDLIM5</t>
  </si>
  <si>
    <t>CRELD1</t>
  </si>
  <si>
    <t>ERO1L</t>
  </si>
  <si>
    <t>C7orf55</t>
  </si>
  <si>
    <t>SH3YL1</t>
  </si>
  <si>
    <t>AHCYL2</t>
  </si>
  <si>
    <t>CDKN2AIPNL</t>
  </si>
  <si>
    <t>NAF1</t>
  </si>
  <si>
    <t>PGAM5</t>
  </si>
  <si>
    <t>INTS4</t>
  </si>
  <si>
    <t>DDRGK1</t>
  </si>
  <si>
    <t>DHTKD1</t>
  </si>
  <si>
    <t>SCLY</t>
  </si>
  <si>
    <t>FUBP3</t>
  </si>
  <si>
    <t>RBM17</t>
  </si>
  <si>
    <t>COX14</t>
  </si>
  <si>
    <t>WBSCR16</t>
  </si>
  <si>
    <t>NARS2</t>
  </si>
  <si>
    <t>SUCLG2</t>
  </si>
  <si>
    <t>GMPPA</t>
  </si>
  <si>
    <t>BOD1</t>
  </si>
  <si>
    <t>ZNF414</t>
  </si>
  <si>
    <t>ZNF845</t>
  </si>
  <si>
    <t>HPDL</t>
  </si>
  <si>
    <t>ABHD14B</t>
  </si>
  <si>
    <t>NGLY1</t>
  </si>
  <si>
    <t>USMG5</t>
  </si>
  <si>
    <t>NSL1</t>
  </si>
  <si>
    <t>PAWR</t>
  </si>
  <si>
    <t>RSRC1</t>
  </si>
  <si>
    <t>THOC3</t>
  </si>
  <si>
    <t>ITCH</t>
  </si>
  <si>
    <t>WNK4</t>
  </si>
  <si>
    <t>LRIG1</t>
  </si>
  <si>
    <t>COG3</t>
  </si>
  <si>
    <t>CDK5RAP3</t>
  </si>
  <si>
    <t>VPS39</t>
  </si>
  <si>
    <t>EAF1</t>
  </si>
  <si>
    <t>CCDC132</t>
  </si>
  <si>
    <t>VCPIP1</t>
  </si>
  <si>
    <t>TMX3</t>
  </si>
  <si>
    <t>MAML3</t>
  </si>
  <si>
    <t>CHAMP1</t>
  </si>
  <si>
    <t>L3MBTL3</t>
  </si>
  <si>
    <t>ZFP91</t>
  </si>
  <si>
    <t>RNF170</t>
  </si>
  <si>
    <t>ZC3H10</t>
  </si>
  <si>
    <t>CLPTM1L</t>
  </si>
  <si>
    <t>PBK</t>
  </si>
  <si>
    <t>DNAJC1</t>
  </si>
  <si>
    <t>FAM84B</t>
  </si>
  <si>
    <t>EXOC2</t>
  </si>
  <si>
    <t>CNDP2</t>
  </si>
  <si>
    <t>ZFR</t>
  </si>
  <si>
    <t>B3GALT6</t>
  </si>
  <si>
    <t>EP400</t>
  </si>
  <si>
    <t>SNX27</t>
  </si>
  <si>
    <t>KIF16B</t>
  </si>
  <si>
    <t>ALPK3</t>
  </si>
  <si>
    <t>PRMT6</t>
  </si>
  <si>
    <t>IFT74</t>
  </si>
  <si>
    <t>TRIM47</t>
  </si>
  <si>
    <t>SENP8</t>
  </si>
  <si>
    <t>DHRS1</t>
  </si>
  <si>
    <t>UBE2E2</t>
  </si>
  <si>
    <t>CNBD2</t>
  </si>
  <si>
    <t>PRRC1</t>
  </si>
  <si>
    <t>FBXL18</t>
  </si>
  <si>
    <t>JSRP1</t>
  </si>
  <si>
    <t>NDNL2</t>
  </si>
  <si>
    <t>HEXIM2</t>
  </si>
  <si>
    <t>TMEM68</t>
  </si>
  <si>
    <t>WDR92</t>
  </si>
  <si>
    <t>ENTHD2</t>
  </si>
  <si>
    <t>MBOAT7</t>
  </si>
  <si>
    <t>DOCK7</t>
  </si>
  <si>
    <t>SFXN2</t>
  </si>
  <si>
    <t>ZNF830</t>
  </si>
  <si>
    <t>ZMAT2</t>
  </si>
  <si>
    <t>NAP1L5</t>
  </si>
  <si>
    <t>AMDHD1</t>
  </si>
  <si>
    <t>CLIC6</t>
  </si>
  <si>
    <t>NSUN5</t>
  </si>
  <si>
    <t>RPRD1A</t>
  </si>
  <si>
    <t>ARAP1</t>
  </si>
  <si>
    <t>IPO9</t>
  </si>
  <si>
    <t>DCBLD2</t>
  </si>
  <si>
    <t>ARHGEF17</t>
  </si>
  <si>
    <t>MCEE</t>
  </si>
  <si>
    <t>RBM14</t>
  </si>
  <si>
    <t>RCHY1</t>
  </si>
  <si>
    <t>FMNL2</t>
  </si>
  <si>
    <t>PUS7</t>
  </si>
  <si>
    <t>TRNT1</t>
  </si>
  <si>
    <t>ALKBH3</t>
  </si>
  <si>
    <t>PPP1R10</t>
  </si>
  <si>
    <t>MICA</t>
  </si>
  <si>
    <t>SLC38A2</t>
  </si>
  <si>
    <t>SLC2A13</t>
  </si>
  <si>
    <t>TEFM</t>
  </si>
  <si>
    <t>RAB3IP</t>
  </si>
  <si>
    <t>VPS35</t>
  </si>
  <si>
    <t>PURB</t>
  </si>
  <si>
    <t>XPO6</t>
  </si>
  <si>
    <t>MAGI1</t>
  </si>
  <si>
    <t>SPAG5</t>
  </si>
  <si>
    <t>PANX1</t>
  </si>
  <si>
    <t>NACC1</t>
  </si>
  <si>
    <t>VPS13A</t>
  </si>
  <si>
    <t>MED15</t>
  </si>
  <si>
    <t>GFM1</t>
  </si>
  <si>
    <t>ERGIC2</t>
  </si>
  <si>
    <t>PEO1</t>
  </si>
  <si>
    <t>CAMKK2</t>
  </si>
  <si>
    <t>TGS1</t>
  </si>
  <si>
    <t>NUDCD1</t>
  </si>
  <si>
    <t>ERBB2IP</t>
  </si>
  <si>
    <t>JMJD8</t>
  </si>
  <si>
    <t>C16orf13</t>
  </si>
  <si>
    <t>TP53RK</t>
  </si>
  <si>
    <t>PIGS</t>
  </si>
  <si>
    <t>WRNIP1</t>
  </si>
  <si>
    <t>RANBP9</t>
  </si>
  <si>
    <t>CLCC1</t>
  </si>
  <si>
    <t>UBL7</t>
  </si>
  <si>
    <t>LYSMD1</t>
  </si>
  <si>
    <t>CCNL2</t>
  </si>
  <si>
    <t>PLEKHF1</t>
  </si>
  <si>
    <t>SRPK1</t>
  </si>
  <si>
    <t>SMC6</t>
  </si>
  <si>
    <t>TFAP2A</t>
  </si>
  <si>
    <t>KCTD15</t>
  </si>
  <si>
    <t>TMEM209</t>
  </si>
  <si>
    <t>IWS1</t>
  </si>
  <si>
    <t>SIN3A</t>
  </si>
  <si>
    <t>ADO</t>
  </si>
  <si>
    <t>CDK5RAP1</t>
  </si>
  <si>
    <t>MAP7D2</t>
  </si>
  <si>
    <t>SECISBP2</t>
  </si>
  <si>
    <t>RSF1</t>
  </si>
  <si>
    <t>ZIC5</t>
  </si>
  <si>
    <t>RBM15</t>
  </si>
  <si>
    <t>RUFY1</t>
  </si>
  <si>
    <t>SPEN</t>
  </si>
  <si>
    <t>PNKP</t>
  </si>
  <si>
    <t>NMNAT3</t>
  </si>
  <si>
    <t>MMS19</t>
  </si>
  <si>
    <t>UHRF1</t>
  </si>
  <si>
    <t>FAM129B</t>
  </si>
  <si>
    <t>YME1L1</t>
  </si>
  <si>
    <t>RMDN3</t>
  </si>
  <si>
    <t>TCF12</t>
  </si>
  <si>
    <t>MYCBP</t>
  </si>
  <si>
    <t>TBCB</t>
  </si>
  <si>
    <t>PSMB7</t>
  </si>
  <si>
    <t>PCYT2</t>
  </si>
  <si>
    <t>CDC5L</t>
  </si>
  <si>
    <t>PSMD1</t>
  </si>
  <si>
    <t>SDF2</t>
  </si>
  <si>
    <t>PFDN5</t>
  </si>
  <si>
    <t>PAFAH2</t>
  </si>
  <si>
    <t>DDO</t>
  </si>
  <si>
    <t>RNF2</t>
  </si>
  <si>
    <t>PARK7</t>
  </si>
  <si>
    <t>NEU1</t>
  </si>
  <si>
    <t>SORT1</t>
  </si>
  <si>
    <t>VAT1</t>
  </si>
  <si>
    <t>LGMN</t>
  </si>
  <si>
    <t>PLIN2</t>
  </si>
  <si>
    <t>DNAJC2</t>
  </si>
  <si>
    <t>MPHOSPH8</t>
  </si>
  <si>
    <t>NUP88</t>
  </si>
  <si>
    <t>PIK3R4</t>
  </si>
  <si>
    <t>SERPINI1</t>
  </si>
  <si>
    <t>POP1</t>
  </si>
  <si>
    <t>MNT</t>
  </si>
  <si>
    <t>S100A13</t>
  </si>
  <si>
    <t>ZBTB18</t>
  </si>
  <si>
    <t>TIMM17A</t>
  </si>
  <si>
    <t>TSNAX</t>
  </si>
  <si>
    <t>SEPHS2</t>
  </si>
  <si>
    <t>TTC1</t>
  </si>
  <si>
    <t>DNAJC7</t>
  </si>
  <si>
    <t>CDCA3</t>
  </si>
  <si>
    <t>C12orf57</t>
  </si>
  <si>
    <t>PHB2</t>
  </si>
  <si>
    <t>COPS8</t>
  </si>
  <si>
    <t>PRPF18</t>
  </si>
  <si>
    <t>RAD9A</t>
  </si>
  <si>
    <t>CHP1</t>
  </si>
  <si>
    <t>KIF2C</t>
  </si>
  <si>
    <t>CGREF1</t>
  </si>
  <si>
    <t>ATXN2</t>
  </si>
  <si>
    <t>DOK1</t>
  </si>
  <si>
    <t>MTR</t>
  </si>
  <si>
    <t>HSD17B10</t>
  </si>
  <si>
    <t>SIGMAR1</t>
  </si>
  <si>
    <t>HNRNPAB</t>
  </si>
  <si>
    <t>MGST2</t>
  </si>
  <si>
    <t>NAPG</t>
  </si>
  <si>
    <t>TXN2</t>
  </si>
  <si>
    <t>ATP5S</t>
  </si>
  <si>
    <t>MIPEP</t>
  </si>
  <si>
    <t>TM9SF2</t>
  </si>
  <si>
    <t>SLC29A1</t>
  </si>
  <si>
    <t>TSG101</t>
  </si>
  <si>
    <t>CIB1</t>
  </si>
  <si>
    <t>CPNE1</t>
  </si>
  <si>
    <t>CCT7</t>
  </si>
  <si>
    <t>HIST1H2AJ</t>
  </si>
  <si>
    <t>PKP2</t>
  </si>
  <si>
    <t>SH3GL1</t>
  </si>
  <si>
    <t>VRK1</t>
  </si>
  <si>
    <t>GDF15</t>
  </si>
  <si>
    <t>AKAP9</t>
  </si>
  <si>
    <t>NIPSNAP1</t>
  </si>
  <si>
    <t>NCAPG</t>
  </si>
  <si>
    <t>ARPC5L</t>
  </si>
  <si>
    <t>KCTD14</t>
  </si>
  <si>
    <t>ZFYVE21</t>
  </si>
  <si>
    <t>DDX50</t>
  </si>
  <si>
    <t>C19orf43</t>
  </si>
  <si>
    <t>GRWD1</t>
  </si>
  <si>
    <t>MACROD1</t>
  </si>
  <si>
    <t>TCF25</t>
  </si>
  <si>
    <t>KLHDC3</t>
  </si>
  <si>
    <t>ECSIT</t>
  </si>
  <si>
    <t>WDR77</t>
  </si>
  <si>
    <t>DPH2</t>
  </si>
  <si>
    <t>MYBBP1A</t>
  </si>
  <si>
    <t>NUDT12</t>
  </si>
  <si>
    <t>PSD2</t>
  </si>
  <si>
    <t>FERMT1</t>
  </si>
  <si>
    <t>MGME1</t>
  </si>
  <si>
    <t>GORASP1</t>
  </si>
  <si>
    <t>FYCO1</t>
  </si>
  <si>
    <t>SLC25A21</t>
  </si>
  <si>
    <t>CLSTN3</t>
  </si>
  <si>
    <t>ACBD6</t>
  </si>
  <si>
    <t>CORO1B</t>
  </si>
  <si>
    <t>LSMD1</t>
  </si>
  <si>
    <t>TXNDC17</t>
  </si>
  <si>
    <t>BUD13</t>
  </si>
  <si>
    <t>CPPED1</t>
  </si>
  <si>
    <t>VPS25</t>
  </si>
  <si>
    <t>MRPL45</t>
  </si>
  <si>
    <t>SDF4</t>
  </si>
  <si>
    <t>SRSF8</t>
  </si>
  <si>
    <t>PDCD2L</t>
  </si>
  <si>
    <t>PAAF1</t>
  </si>
  <si>
    <t>WIBG</t>
  </si>
  <si>
    <t>AIFM2</t>
  </si>
  <si>
    <t>ZKSCAN3</t>
  </si>
  <si>
    <t>ADPGK</t>
  </si>
  <si>
    <t>RIOK1</t>
  </si>
  <si>
    <t>MNF1</t>
  </si>
  <si>
    <t>MIEN1</t>
  </si>
  <si>
    <t>CBWD1</t>
  </si>
  <si>
    <t>GINS4</t>
  </si>
  <si>
    <t>SIKE1</t>
  </si>
  <si>
    <t>PELO</t>
  </si>
  <si>
    <t>GINS3</t>
  </si>
  <si>
    <t>FAM213A</t>
  </si>
  <si>
    <t>TRIM56</t>
  </si>
  <si>
    <t>ANAPC13</t>
  </si>
  <si>
    <t>ERP44</t>
  </si>
  <si>
    <t>ATG101</t>
  </si>
  <si>
    <t>NTPCR</t>
  </si>
  <si>
    <t>AGMAT</t>
  </si>
  <si>
    <t>C19orf52</t>
  </si>
  <si>
    <t>TACO1</t>
  </si>
  <si>
    <t>HDHD3</t>
  </si>
  <si>
    <t>TUBGCP2</t>
  </si>
  <si>
    <t>C17orf80</t>
  </si>
  <si>
    <t>FAM64A</t>
  </si>
  <si>
    <t>ESYT1</t>
  </si>
  <si>
    <t>SLC25A33</t>
  </si>
  <si>
    <t>UBAC1</t>
  </si>
  <si>
    <t>YIPF4</t>
  </si>
  <si>
    <t>RTKN</t>
  </si>
  <si>
    <t>C16orf70</t>
  </si>
  <si>
    <t>TSEN34</t>
  </si>
  <si>
    <t>CHCHD5</t>
  </si>
  <si>
    <t>CNPY3</t>
  </si>
  <si>
    <t>MTG1</t>
  </si>
  <si>
    <t>ALG1</t>
  </si>
  <si>
    <t>LIMD2</t>
  </si>
  <si>
    <t>ALKBH7</t>
  </si>
  <si>
    <t>PSMG3</t>
  </si>
  <si>
    <t>COPS4</t>
  </si>
  <si>
    <t>WAC</t>
  </si>
  <si>
    <t>DIDO1</t>
  </si>
  <si>
    <t>MCMBP</t>
  </si>
  <si>
    <t>AARSD1</t>
  </si>
  <si>
    <t>DCUN1D5</t>
  </si>
  <si>
    <t>THUMPD2</t>
  </si>
  <si>
    <t>FAM103A1</t>
  </si>
  <si>
    <t>ANP32E</t>
  </si>
  <si>
    <t>LRRC1</t>
  </si>
  <si>
    <t>PI4K2A</t>
  </si>
  <si>
    <t>TMEM43</t>
  </si>
  <si>
    <t>WDR85</t>
  </si>
  <si>
    <t>TTPAL</t>
  </si>
  <si>
    <t>FUCA2</t>
  </si>
  <si>
    <t>FAM203A</t>
  </si>
  <si>
    <t>DHRS4</t>
  </si>
  <si>
    <t>THTPA</t>
  </si>
  <si>
    <t>LMF2</t>
  </si>
  <si>
    <t>NDUFAF3</t>
  </si>
  <si>
    <t>MMTAG2</t>
  </si>
  <si>
    <t>DOHH</t>
  </si>
  <si>
    <t>C11orf84</t>
  </si>
  <si>
    <t>TMEM70</t>
  </si>
  <si>
    <t>ISCA1</t>
  </si>
  <si>
    <t>TUBB6</t>
  </si>
  <si>
    <t>C9orf142</t>
  </si>
  <si>
    <t>POLR3C</t>
  </si>
  <si>
    <t>HNRNPUL1</t>
  </si>
  <si>
    <t>MSTO1</t>
  </si>
  <si>
    <t>RPP25</t>
  </si>
  <si>
    <t>HTATIP2</t>
  </si>
  <si>
    <t>DDX23</t>
  </si>
  <si>
    <t>WRAP53</t>
  </si>
  <si>
    <t>FAM195A</t>
  </si>
  <si>
    <t>C9orf16</t>
  </si>
  <si>
    <t>TRAF4</t>
  </si>
  <si>
    <t>C1orf50</t>
  </si>
  <si>
    <t>MRI1</t>
  </si>
  <si>
    <t>ABHD6</t>
  </si>
  <si>
    <t>SLC25A23</t>
  </si>
  <si>
    <t>WDR18</t>
  </si>
  <si>
    <t>VAMP8</t>
  </si>
  <si>
    <t>THUMPD3</t>
  </si>
  <si>
    <t>ADI1</t>
  </si>
  <si>
    <t>RNF126</t>
  </si>
  <si>
    <t>MECR</t>
  </si>
  <si>
    <t>NTMT1</t>
  </si>
  <si>
    <t>KATNB1</t>
  </si>
  <si>
    <t>TUBB2B</t>
  </si>
  <si>
    <t>DSCC1</t>
  </si>
  <si>
    <t>MLST8</t>
  </si>
  <si>
    <t>TMEM109</t>
  </si>
  <si>
    <t>PBDC1</t>
  </si>
  <si>
    <t>PTDSS2</t>
  </si>
  <si>
    <t>UTP14A</t>
  </si>
  <si>
    <t>DUSP23</t>
  </si>
  <si>
    <t>TMED9</t>
  </si>
  <si>
    <t>SELO</t>
  </si>
  <si>
    <t>GGACT</t>
  </si>
  <si>
    <t>GNL3</t>
  </si>
  <si>
    <t>SPATA5L1</t>
  </si>
  <si>
    <t>TRMT61B</t>
  </si>
  <si>
    <t>TIMM21</t>
  </si>
  <si>
    <t>TIPIN</t>
  </si>
  <si>
    <t>SARG</t>
  </si>
  <si>
    <t>KIFC1</t>
  </si>
  <si>
    <t>NUP85</t>
  </si>
  <si>
    <t>TPPP3</t>
  </si>
  <si>
    <t>ELOVL1</t>
  </si>
  <si>
    <t>DDA1</t>
  </si>
  <si>
    <t>HIRIP3</t>
  </si>
  <si>
    <t>IFT27</t>
  </si>
  <si>
    <t>CCDC94</t>
  </si>
  <si>
    <t>NUDT9</t>
  </si>
  <si>
    <t>TARS2</t>
  </si>
  <si>
    <t>ACAT2</t>
  </si>
  <si>
    <t>REPIN1</t>
  </si>
  <si>
    <t>RBM4</t>
  </si>
  <si>
    <t>FUNDC2</t>
  </si>
  <si>
    <t>RPAP1</t>
  </si>
  <si>
    <t>SF3B5</t>
  </si>
  <si>
    <t>SFXN3</t>
  </si>
  <si>
    <t>PAPOLG</t>
  </si>
  <si>
    <t>SLC4A1AP</t>
  </si>
  <si>
    <t>LSM14B</t>
  </si>
  <si>
    <t>SORBS1</t>
  </si>
  <si>
    <t>HINT2</t>
  </si>
  <si>
    <t>SGPP1</t>
  </si>
  <si>
    <t>BBC3</t>
  </si>
  <si>
    <t>TBC1D10A</t>
  </si>
  <si>
    <t>NAA15</t>
  </si>
  <si>
    <t>KLF16</t>
  </si>
  <si>
    <t>BCL2L13</t>
  </si>
  <si>
    <t>SLC12A9</t>
  </si>
  <si>
    <t>SRRT</t>
  </si>
  <si>
    <t>QTRT1</t>
  </si>
  <si>
    <t>TMEM59</t>
  </si>
  <si>
    <t>NUSAP1</t>
  </si>
  <si>
    <t>C14orf142</t>
  </si>
  <si>
    <t>OSBPL1A</t>
  </si>
  <si>
    <t>CECR5</t>
  </si>
  <si>
    <t>FANCD2</t>
  </si>
  <si>
    <t>ITPA</t>
  </si>
  <si>
    <t>CHMP4A</t>
  </si>
  <si>
    <t>EIF2A</t>
  </si>
  <si>
    <t>POLDIP3</t>
  </si>
  <si>
    <t>KIAA1671</t>
  </si>
  <si>
    <t>GNB1L</t>
  </si>
  <si>
    <t>MRPL32</t>
  </si>
  <si>
    <t>MRPL1</t>
  </si>
  <si>
    <t>PARD6B</t>
  </si>
  <si>
    <t>RBCK1</t>
  </si>
  <si>
    <t>MRPS26</t>
  </si>
  <si>
    <t>NLN</t>
  </si>
  <si>
    <t>SETD2</t>
  </si>
  <si>
    <t>PANK2</t>
  </si>
  <si>
    <t>DOCK9</t>
  </si>
  <si>
    <t>FRMD8</t>
  </si>
  <si>
    <t>WHSC1L1</t>
  </si>
  <si>
    <t>MRPL37</t>
  </si>
  <si>
    <t>PUS3</t>
  </si>
  <si>
    <t>ASPSCR1</t>
  </si>
  <si>
    <t>OSBPL8</t>
  </si>
  <si>
    <t>WDR11</t>
  </si>
  <si>
    <t>UPF3B</t>
  </si>
  <si>
    <t>TBL1XR1</t>
  </si>
  <si>
    <t>UBL5</t>
  </si>
  <si>
    <t>PLA2G12A</t>
  </si>
  <si>
    <t>ULBP3</t>
  </si>
  <si>
    <t>ULBP2</t>
  </si>
  <si>
    <t>UCK2</t>
  </si>
  <si>
    <t>API5</t>
  </si>
  <si>
    <t>SPRY4</t>
  </si>
  <si>
    <t>DPY30</t>
  </si>
  <si>
    <t>TRIM4</t>
  </si>
  <si>
    <t>TRIM2</t>
  </si>
  <si>
    <t>UNK</t>
  </si>
  <si>
    <t>FTO</t>
  </si>
  <si>
    <t>ZDHHC5</t>
  </si>
  <si>
    <t>TNKS1BP1</t>
  </si>
  <si>
    <t>SEMA4C</t>
  </si>
  <si>
    <t>AMBRA1</t>
  </si>
  <si>
    <t>ZYG11B</t>
  </si>
  <si>
    <t>TANC1</t>
  </si>
  <si>
    <t>TTYH3</t>
  </si>
  <si>
    <t>MTMR12</t>
  </si>
  <si>
    <t>WDR33</t>
  </si>
  <si>
    <t>SLC39A8</t>
  </si>
  <si>
    <t>WDR12</t>
  </si>
  <si>
    <t>C20orf27</t>
  </si>
  <si>
    <t>NRSN2</t>
  </si>
  <si>
    <t>PITHD1</t>
  </si>
  <si>
    <t>DERL2</t>
  </si>
  <si>
    <t>COMMD5</t>
  </si>
  <si>
    <t>POLR1E</t>
  </si>
  <si>
    <t>WDR61</t>
  </si>
  <si>
    <t>SLIRP</t>
  </si>
  <si>
    <t>WNT10A</t>
  </si>
  <si>
    <t>CCDC90B</t>
  </si>
  <si>
    <t>NIF3L1</t>
  </si>
  <si>
    <t>EGLN1</t>
  </si>
  <si>
    <t>FAM192A</t>
  </si>
  <si>
    <t>TWSG1</t>
  </si>
  <si>
    <t>MFF</t>
  </si>
  <si>
    <t>UBA5</t>
  </si>
  <si>
    <t>LHPP</t>
  </si>
  <si>
    <t>MTFR1L</t>
  </si>
  <si>
    <t>TMEM126A</t>
  </si>
  <si>
    <t>PAIP1</t>
  </si>
  <si>
    <t>CLPB</t>
  </si>
  <si>
    <t>RAB33B</t>
  </si>
  <si>
    <t>LSG1</t>
  </si>
  <si>
    <t>KLC2</t>
  </si>
  <si>
    <t>ILKAP</t>
  </si>
  <si>
    <t>XRN2</t>
  </si>
  <si>
    <t>TOLLIP</t>
  </si>
  <si>
    <t>BRD8</t>
  </si>
  <si>
    <t>ARL6</t>
  </si>
  <si>
    <t>NSRP1</t>
  </si>
  <si>
    <t>RACGAP1</t>
  </si>
  <si>
    <t>PARP12</t>
  </si>
  <si>
    <t>PUS7L</t>
  </si>
  <si>
    <t>CSTF2T</t>
  </si>
  <si>
    <t>NT5C3A</t>
  </si>
  <si>
    <t>HDHD2</t>
  </si>
  <si>
    <t>QRSL1</t>
  </si>
  <si>
    <t>DDX47</t>
  </si>
  <si>
    <t>MAGT1</t>
  </si>
  <si>
    <t>RAB1B</t>
  </si>
  <si>
    <t>MRPL18</t>
  </si>
  <si>
    <t>LMAN2L</t>
  </si>
  <si>
    <t>SMG9</t>
  </si>
  <si>
    <t>C11orf54</t>
  </si>
  <si>
    <t>ITFG3</t>
  </si>
  <si>
    <t>NAPB</t>
  </si>
  <si>
    <t>SIL1</t>
  </si>
  <si>
    <t>IRF2BPL</t>
  </si>
  <si>
    <t>UNC93B1</t>
  </si>
  <si>
    <t>POLR3F</t>
  </si>
  <si>
    <t>NUCKS1</t>
  </si>
  <si>
    <t>TMX4</t>
  </si>
  <si>
    <t>ASCC2</t>
  </si>
  <si>
    <t>UPF3A</t>
  </si>
  <si>
    <t>ZFYVE20</t>
  </si>
  <si>
    <t>ISCU</t>
  </si>
  <si>
    <t>OSBPL2</t>
  </si>
  <si>
    <t>WDR13</t>
  </si>
  <si>
    <t>MED28</t>
  </si>
  <si>
    <t>EHD4</t>
  </si>
  <si>
    <t>VPS33B</t>
  </si>
  <si>
    <t>VPS16</t>
  </si>
  <si>
    <t>VPS11</t>
  </si>
  <si>
    <t>GAN</t>
  </si>
  <si>
    <t>TRIOBP</t>
  </si>
  <si>
    <t>SLK</t>
  </si>
  <si>
    <t>PPIL3</t>
  </si>
  <si>
    <t>PDCL3</t>
  </si>
  <si>
    <t>MTIF3</t>
  </si>
  <si>
    <t>TAOK3</t>
  </si>
  <si>
    <t>RAB3GAP2</t>
  </si>
  <si>
    <t>ADNP</t>
  </si>
  <si>
    <t>DPH5</t>
  </si>
  <si>
    <t>PPA2</t>
  </si>
  <si>
    <t>MRPL46</t>
  </si>
  <si>
    <t>PARL</t>
  </si>
  <si>
    <t>PNN</t>
  </si>
  <si>
    <t>TMEM245</t>
  </si>
  <si>
    <t>GGNBP2</t>
  </si>
  <si>
    <t>KCTD10</t>
  </si>
  <si>
    <t>TRIT1</t>
  </si>
  <si>
    <t>C11orf68</t>
  </si>
  <si>
    <t>DPAGT1</t>
  </si>
  <si>
    <t>C12orf65</t>
  </si>
  <si>
    <t>BOLA2</t>
  </si>
  <si>
    <t>TMX1</t>
  </si>
  <si>
    <t>NELFA</t>
  </si>
  <si>
    <t>ACBD3</t>
  </si>
  <si>
    <t>CDC42EP4</t>
  </si>
  <si>
    <t>KDM4C</t>
  </si>
  <si>
    <t>PTPN23</t>
  </si>
  <si>
    <t>UNC45A</t>
  </si>
  <si>
    <t>MFSD1</t>
  </si>
  <si>
    <t>PPDPF</t>
  </si>
  <si>
    <t>DNAJC5</t>
  </si>
  <si>
    <t>DSN1</t>
  </si>
  <si>
    <t>C1orf198</t>
  </si>
  <si>
    <t>CHMP4B</t>
  </si>
  <si>
    <t>CUEDC2</t>
  </si>
  <si>
    <t>FN3K</t>
  </si>
  <si>
    <t>POFUT1</t>
  </si>
  <si>
    <t>PIGU</t>
  </si>
  <si>
    <t>IFRG15</t>
  </si>
  <si>
    <t>RNPEP</t>
  </si>
  <si>
    <t>GOLPH3L</t>
  </si>
  <si>
    <t>GOLPH3</t>
  </si>
  <si>
    <t>OSGEPL1</t>
  </si>
  <si>
    <t>ZHX3</t>
  </si>
  <si>
    <t>GTPBP5</t>
  </si>
  <si>
    <t>OSBPL3</t>
  </si>
  <si>
    <t>SMARCAD1</t>
  </si>
  <si>
    <t>EHD1</t>
  </si>
  <si>
    <t>RNF41</t>
  </si>
  <si>
    <t>PCIF1</t>
  </si>
  <si>
    <t>ESF1</t>
  </si>
  <si>
    <t>ALG2</t>
  </si>
  <si>
    <t>HEATR1</t>
  </si>
  <si>
    <t>SGK196</t>
  </si>
  <si>
    <t>RABEP2</t>
  </si>
  <si>
    <t>TFB2M</t>
  </si>
  <si>
    <t>CDCP1</t>
  </si>
  <si>
    <t>CXorf56</t>
  </si>
  <si>
    <t>FAM96A</t>
  </si>
  <si>
    <t>SLITRK6</t>
  </si>
  <si>
    <t>NSUN3</t>
  </si>
  <si>
    <t>PCNXL3</t>
  </si>
  <si>
    <t>CCDC134</t>
  </si>
  <si>
    <t>CCDC86</t>
  </si>
  <si>
    <t>REEP4</t>
  </si>
  <si>
    <t>OPA3</t>
  </si>
  <si>
    <t>ARMC7</t>
  </si>
  <si>
    <t>FAM134B</t>
  </si>
  <si>
    <t>TASP1</t>
  </si>
  <si>
    <t>NARFL</t>
  </si>
  <si>
    <t>DHX33</t>
  </si>
  <si>
    <t>NOL6</t>
  </si>
  <si>
    <t>C2orf44</t>
  </si>
  <si>
    <t>EPS8L2</t>
  </si>
  <si>
    <t>ESRP2</t>
  </si>
  <si>
    <t>RPAP3</t>
  </si>
  <si>
    <t>BCAS3</t>
  </si>
  <si>
    <t>ALG9</t>
  </si>
  <si>
    <t>WDR55</t>
  </si>
  <si>
    <t>DCTPP1</t>
  </si>
  <si>
    <t>SH2D4A</t>
  </si>
  <si>
    <t>SMYD3</t>
  </si>
  <si>
    <t>AAMDC</t>
  </si>
  <si>
    <t>WDR26</t>
  </si>
  <si>
    <t>TDRD3</t>
  </si>
  <si>
    <t>ATP13A3</t>
  </si>
  <si>
    <t>PPP1R3E</t>
  </si>
  <si>
    <t>SUDS3</t>
  </si>
  <si>
    <t>SCAF1</t>
  </si>
  <si>
    <t>ZNF703</t>
  </si>
  <si>
    <t>KAT8</t>
  </si>
  <si>
    <t>PTGES2</t>
  </si>
  <si>
    <t>PHAX</t>
  </si>
  <si>
    <t>UBE2Z</t>
  </si>
  <si>
    <t>GEMIN7</t>
  </si>
  <si>
    <t>ACAD9</t>
  </si>
  <si>
    <t>PRKRIP1</t>
  </si>
  <si>
    <t>CAAP1</t>
  </si>
  <si>
    <t>NOL11</t>
  </si>
  <si>
    <t>MANSC1</t>
  </si>
  <si>
    <t>FAM188A</t>
  </si>
  <si>
    <t>MOB1A</t>
  </si>
  <si>
    <t>ZFAND3</t>
  </si>
  <si>
    <t>ECT2</t>
  </si>
  <si>
    <t>ANKZF1</t>
  </si>
  <si>
    <t>GORASP2</t>
  </si>
  <si>
    <t>ZWILCH</t>
  </si>
  <si>
    <t>MTHFD2L</t>
  </si>
  <si>
    <t>HN1L</t>
  </si>
  <si>
    <t>SLC25A22</t>
  </si>
  <si>
    <t>PSTPIP2</t>
  </si>
  <si>
    <t>MED20</t>
  </si>
  <si>
    <t>QTRTD1</t>
  </si>
  <si>
    <t>WDR54</t>
  </si>
  <si>
    <t>C6orf211</t>
  </si>
  <si>
    <t>CNOT10</t>
  </si>
  <si>
    <t>LRRC40</t>
  </si>
  <si>
    <t>RMI1</t>
  </si>
  <si>
    <t>EHMT1</t>
  </si>
  <si>
    <t>SFXN1</t>
  </si>
  <si>
    <t>ACTR5</t>
  </si>
  <si>
    <t>AGO3</t>
  </si>
  <si>
    <t>VPS37B</t>
  </si>
  <si>
    <t>MRPL44</t>
  </si>
  <si>
    <t>L2HGDH</t>
  </si>
  <si>
    <t>CAB39L</t>
  </si>
  <si>
    <t>ELP3</t>
  </si>
  <si>
    <t>JMJD4</t>
  </si>
  <si>
    <t>ZMAT3</t>
  </si>
  <si>
    <t>UCK1</t>
  </si>
  <si>
    <t>FN3KRP</t>
  </si>
  <si>
    <t>TBC1D17</t>
  </si>
  <si>
    <t>CARS2</t>
  </si>
  <si>
    <t>EFCC1</t>
  </si>
  <si>
    <t>RSAD1</t>
  </si>
  <si>
    <t>PPCS</t>
  </si>
  <si>
    <t>MEAF6</t>
  </si>
  <si>
    <t>NMNAT1</t>
  </si>
  <si>
    <t>PLEKHA5</t>
  </si>
  <si>
    <t>UPF2</t>
  </si>
  <si>
    <t>XPO5</t>
  </si>
  <si>
    <t>GRPEL1</t>
  </si>
  <si>
    <t>CLSPN</t>
  </si>
  <si>
    <t>C12orf10</t>
  </si>
  <si>
    <t>PLEKHA1</t>
  </si>
  <si>
    <t>SCPEP1</t>
  </si>
  <si>
    <t>CACYBP</t>
  </si>
  <si>
    <t>RRAGC</t>
  </si>
  <si>
    <t>SMARCA4</t>
  </si>
  <si>
    <t>PDF</t>
  </si>
  <si>
    <t>RDH14</t>
  </si>
  <si>
    <t>PARVG</t>
  </si>
  <si>
    <t>PARVB</t>
  </si>
  <si>
    <t>PLGRKT</t>
  </si>
  <si>
    <t>NMRAL1</t>
  </si>
  <si>
    <t>SPC25</t>
  </si>
  <si>
    <t>TAF9B</t>
  </si>
  <si>
    <t>AGPAT1</t>
  </si>
  <si>
    <t>ETNK1</t>
  </si>
  <si>
    <t>RNMTL1</t>
  </si>
  <si>
    <t>GLOD4</t>
  </si>
  <si>
    <t>CBX8</t>
  </si>
  <si>
    <t>MCCC2</t>
  </si>
  <si>
    <t>NCOA5</t>
  </si>
  <si>
    <t>MOV10</t>
  </si>
  <si>
    <t>METTL14</t>
  </si>
  <si>
    <t>GBA2</t>
  </si>
  <si>
    <t>RAVER2</t>
  </si>
  <si>
    <t>CHD8</t>
  </si>
  <si>
    <t>EPB41L5</t>
  </si>
  <si>
    <t>TMEM8A</t>
  </si>
  <si>
    <t>GPN1</t>
  </si>
  <si>
    <t>SDF2L1</t>
  </si>
  <si>
    <t>PDE11A</t>
  </si>
  <si>
    <t>PREB</t>
  </si>
  <si>
    <t>POLD4</t>
  </si>
  <si>
    <t>S100A14</t>
  </si>
  <si>
    <t>SRA1</t>
  </si>
  <si>
    <t>ATP13A1</t>
  </si>
  <si>
    <t>MRS2</t>
  </si>
  <si>
    <t>MRPL47</t>
  </si>
  <si>
    <t>LYRM4</t>
  </si>
  <si>
    <t>SEPSECS</t>
  </si>
  <si>
    <t>TM9SF3</t>
  </si>
  <si>
    <t>RANGRF</t>
  </si>
  <si>
    <t>MYO10</t>
  </si>
  <si>
    <t>JPH1</t>
  </si>
  <si>
    <t>APMAP</t>
  </si>
  <si>
    <t>WDR6</t>
  </si>
  <si>
    <t>ABCB6</t>
  </si>
  <si>
    <t>HMG20A</t>
  </si>
  <si>
    <t>RAB18</t>
  </si>
  <si>
    <t>ALG13</t>
  </si>
  <si>
    <t>SSU72</t>
  </si>
  <si>
    <t>VTA1</t>
  </si>
  <si>
    <t>PNPLA8</t>
  </si>
  <si>
    <t>TNFRSF12A</t>
  </si>
  <si>
    <t>MRPS30</t>
  </si>
  <si>
    <t>EMC7</t>
  </si>
  <si>
    <t>MID1IP1</t>
  </si>
  <si>
    <t>ENY2</t>
  </si>
  <si>
    <t>GPCPD1</t>
  </si>
  <si>
    <t>EXOSC4</t>
  </si>
  <si>
    <t>UBE2T</t>
  </si>
  <si>
    <t>NGRN</t>
  </si>
  <si>
    <t>NOP10</t>
  </si>
  <si>
    <t>CD320</t>
  </si>
  <si>
    <t>OSGEP</t>
  </si>
  <si>
    <t>ACP6</t>
  </si>
  <si>
    <t>BRD7</t>
  </si>
  <si>
    <t>DCP1A</t>
  </si>
  <si>
    <t>ACOT13</t>
  </si>
  <si>
    <t>MED4</t>
  </si>
  <si>
    <t>TIMMDC1</t>
  </si>
  <si>
    <t>RIC8A</t>
  </si>
  <si>
    <t>GPR108</t>
  </si>
  <si>
    <t>LUC7L</t>
  </si>
  <si>
    <t>TIGAR</t>
  </si>
  <si>
    <t>RTN4</t>
  </si>
  <si>
    <t>HINT3</t>
  </si>
  <si>
    <t>MANBAL</t>
  </si>
  <si>
    <t>RPRD1B</t>
  </si>
  <si>
    <t>HPS4</t>
  </si>
  <si>
    <t>XPNPEP3</t>
  </si>
  <si>
    <t>NIT2</t>
  </si>
  <si>
    <t>AVEN</t>
  </si>
  <si>
    <t>EXOSC5</t>
  </si>
  <si>
    <t>EXOSC3</t>
  </si>
  <si>
    <t>KIF13B</t>
  </si>
  <si>
    <t>ANLN</t>
  </si>
  <si>
    <t>XPNPEP1</t>
  </si>
  <si>
    <t>BIN3</t>
  </si>
  <si>
    <t>UTP3</t>
  </si>
  <si>
    <t>STARD7</t>
  </si>
  <si>
    <t>ZC4H2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</si>
  <si>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</si>
  <si>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</si>
  <si>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</si>
  <si>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</si>
  <si>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</si>
  <si>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</si>
  <si>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</si>
  <si>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</si>
  <si>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ASH1L</t>
  </si>
  <si>
    <t>EIF2B3</t>
  </si>
  <si>
    <t>PICK1</t>
  </si>
  <si>
    <t>CTPS2</t>
  </si>
  <si>
    <t>POLE3</t>
  </si>
  <si>
    <t>CHRAC1</t>
  </si>
  <si>
    <t>PRTFDC1</t>
  </si>
  <si>
    <t>SMYD2</t>
  </si>
  <si>
    <t>SDR39U1</t>
  </si>
  <si>
    <t>AAAS</t>
  </si>
  <si>
    <t>YAE1D1</t>
  </si>
  <si>
    <t>ABCB10</t>
  </si>
  <si>
    <t>BAZ1A</t>
  </si>
  <si>
    <t>STRN4</t>
  </si>
  <si>
    <t>IL17RB</t>
  </si>
  <si>
    <t>AASDHPPT</t>
  </si>
  <si>
    <t>METTL5</t>
  </si>
  <si>
    <t>OSTC</t>
  </si>
  <si>
    <t>CMC2</t>
  </si>
  <si>
    <t>ACN9</t>
  </si>
  <si>
    <t>UBQLN4</t>
  </si>
  <si>
    <t>CDC42SE1</t>
  </si>
  <si>
    <t>HEBP1</t>
  </si>
  <si>
    <t>RAB6B</t>
  </si>
  <si>
    <t>DUSP22</t>
  </si>
  <si>
    <t>VPS45</t>
  </si>
  <si>
    <t>PNO1</t>
  </si>
  <si>
    <t>NDUFA4L2</t>
  </si>
  <si>
    <t>PHPT1</t>
  </si>
  <si>
    <t>INIP</t>
  </si>
  <si>
    <t>ARHGAP35</t>
  </si>
  <si>
    <t>FAM114A2</t>
  </si>
  <si>
    <t>AGPAT4</t>
  </si>
  <si>
    <t>AGPAT3</t>
  </si>
  <si>
    <t>HELLS</t>
  </si>
  <si>
    <t>GLRX2</t>
  </si>
  <si>
    <t>TOMM22</t>
  </si>
  <si>
    <t>MBIP</t>
  </si>
  <si>
    <t>LANCL2</t>
  </si>
  <si>
    <t>KIF15</t>
  </si>
  <si>
    <t>RAD18</t>
  </si>
  <si>
    <t>TM7SF3</t>
  </si>
  <si>
    <t>CTNNBIP1</t>
  </si>
  <si>
    <t>FARSB</t>
  </si>
  <si>
    <t>IARS2</t>
  </si>
  <si>
    <t>FAM207A</t>
  </si>
  <si>
    <t>SAMSN1</t>
  </si>
  <si>
    <t>KLC4</t>
  </si>
  <si>
    <t>ATG3</t>
  </si>
  <si>
    <t>SIRT3</t>
  </si>
  <si>
    <t>PDS5B</t>
  </si>
  <si>
    <t>SMC4</t>
  </si>
  <si>
    <t>MAN2C1</t>
  </si>
  <si>
    <t>SACM1L</t>
  </si>
  <si>
    <t>CUTC</t>
  </si>
  <si>
    <t>ECHDC1</t>
  </si>
  <si>
    <t>RNF146</t>
  </si>
  <si>
    <t>RBM12</t>
  </si>
  <si>
    <t>TBC1D22B</t>
  </si>
  <si>
    <t>MDN1</t>
  </si>
  <si>
    <t>LYRM2</t>
  </si>
  <si>
    <t>ACSS1</t>
  </si>
  <si>
    <t>ZCCHC3</t>
  </si>
  <si>
    <t>PDRG1</t>
  </si>
  <si>
    <t>ABHD10</t>
  </si>
  <si>
    <t>C19orf66</t>
  </si>
  <si>
    <t>DDX28</t>
  </si>
  <si>
    <t>TMEM106B</t>
  </si>
  <si>
    <t>LMBRD1</t>
  </si>
  <si>
    <t>BLOC1S4</t>
  </si>
  <si>
    <t>TRMT13</t>
  </si>
  <si>
    <t>LIN7C</t>
  </si>
  <si>
    <t>AGPAT5</t>
  </si>
  <si>
    <t>TXLNG</t>
  </si>
  <si>
    <t>UFSP2</t>
  </si>
  <si>
    <t>ABCF3</t>
  </si>
  <si>
    <t>FAM49B</t>
  </si>
  <si>
    <t>DDX19A</t>
  </si>
  <si>
    <t>TDP1</t>
  </si>
  <si>
    <t>TBC1D23</t>
  </si>
  <si>
    <t>DCAF13</t>
  </si>
  <si>
    <t>NUDT15</t>
  </si>
  <si>
    <t>MRGBP</t>
  </si>
  <si>
    <t>EXOC1</t>
  </si>
  <si>
    <t>TMEM30A</t>
  </si>
  <si>
    <t>UQCC</t>
  </si>
  <si>
    <t>TMEM184C</t>
  </si>
  <si>
    <t>MED17</t>
  </si>
  <si>
    <t>PANK4</t>
  </si>
  <si>
    <t>TBC1D13</t>
  </si>
  <si>
    <t>EXD2</t>
  </si>
  <si>
    <t>DNAJC11</t>
  </si>
  <si>
    <t>INTS7</t>
  </si>
  <si>
    <t>TMLHE</t>
  </si>
  <si>
    <t>FANCI</t>
  </si>
  <si>
    <t>ATAD3A</t>
  </si>
  <si>
    <t>ARL8B</t>
  </si>
  <si>
    <t>FGFR1OP2</t>
  </si>
  <si>
    <t>PRMT7</t>
  </si>
  <si>
    <t>DNAJC17</t>
  </si>
  <si>
    <t>ASUN</t>
  </si>
  <si>
    <t>GNL3L</t>
  </si>
  <si>
    <t>DDX18</t>
  </si>
  <si>
    <t>ASF1B</t>
  </si>
  <si>
    <t>FAIM</t>
  </si>
  <si>
    <t>KLHL11</t>
  </si>
  <si>
    <t>INTS10</t>
  </si>
  <si>
    <t>DNAAF2</t>
  </si>
  <si>
    <t>PNPO</t>
  </si>
  <si>
    <t>ARMC1</t>
  </si>
  <si>
    <t>POLR3E</t>
  </si>
  <si>
    <t>MTPAP</t>
  </si>
  <si>
    <t>NLE1</t>
  </si>
  <si>
    <t>KBTBD4</t>
  </si>
  <si>
    <t>NECAP2</t>
  </si>
  <si>
    <t>ZNF358</t>
  </si>
  <si>
    <t>ANO10</t>
  </si>
  <si>
    <t>RBM22</t>
  </si>
  <si>
    <t>GPATCH2</t>
  </si>
  <si>
    <t>WDR70</t>
  </si>
  <si>
    <t>MED9</t>
  </si>
  <si>
    <t>ARGLU1</t>
  </si>
  <si>
    <t>TMEM242</t>
  </si>
  <si>
    <t>SLTM</t>
  </si>
  <si>
    <t>CUEDC1</t>
  </si>
  <si>
    <t>FKBP14</t>
  </si>
  <si>
    <t>C14orf119</t>
  </si>
  <si>
    <t>PIH1D1</t>
  </si>
  <si>
    <t>FAM118A</t>
  </si>
  <si>
    <t>RMND1</t>
  </si>
  <si>
    <t>HIF1AN</t>
  </si>
  <si>
    <t>OXSM</t>
  </si>
  <si>
    <t>C1orf123</t>
  </si>
  <si>
    <t>ASB6</t>
  </si>
  <si>
    <t>THG1L</t>
  </si>
  <si>
    <t>C4orf27</t>
  </si>
  <si>
    <t>IRAK4</t>
  </si>
  <si>
    <t>UCKL1</t>
  </si>
  <si>
    <t>TMEM160</t>
  </si>
  <si>
    <t>TXNL4B</t>
  </si>
  <si>
    <t>TRNAU1AP</t>
  </si>
  <si>
    <t>COMMD8</t>
  </si>
  <si>
    <t>NDUFB11</t>
  </si>
  <si>
    <t>NHP2</t>
  </si>
  <si>
    <t>FAM206A</t>
  </si>
  <si>
    <t>OCIAD1</t>
  </si>
  <si>
    <t>ADPRHL2</t>
  </si>
  <si>
    <t>MARCH5</t>
  </si>
  <si>
    <t>HYPK</t>
  </si>
  <si>
    <t>RAB20</t>
  </si>
  <si>
    <t>LYAR</t>
  </si>
  <si>
    <t>IMPAD1</t>
  </si>
  <si>
    <t>MED29</t>
  </si>
  <si>
    <t>DUS2L</t>
  </si>
  <si>
    <t>SIRT5</t>
  </si>
  <si>
    <t>MIOS</t>
  </si>
  <si>
    <t>CWC25</t>
  </si>
  <si>
    <t>TEX10</t>
  </si>
  <si>
    <t>DCAF16</t>
  </si>
  <si>
    <t>ZDHHC7</t>
  </si>
  <si>
    <t>P4HTM</t>
  </si>
  <si>
    <t>TRMT1</t>
  </si>
  <si>
    <t>NDE1</t>
  </si>
  <si>
    <t>ANKRD10</t>
  </si>
  <si>
    <t>BRE</t>
  </si>
  <si>
    <t>QPCTL</t>
  </si>
  <si>
    <t>ARL15</t>
  </si>
  <si>
    <t>KCTD5</t>
  </si>
  <si>
    <t>CDKN2AIP</t>
  </si>
  <si>
    <t>ALKBH4</t>
  </si>
  <si>
    <t>NSMCE4A</t>
  </si>
  <si>
    <t>PPP4R2</t>
  </si>
  <si>
    <t>AATF</t>
  </si>
  <si>
    <t>TERF2IP</t>
  </si>
  <si>
    <t>ZDHHC3</t>
  </si>
  <si>
    <t>ANAPC11</t>
  </si>
  <si>
    <t>UTP6</t>
  </si>
  <si>
    <t>COA4</t>
  </si>
  <si>
    <t>MRPL39</t>
  </si>
  <si>
    <t>EURL</t>
  </si>
  <si>
    <t>MLTK</t>
  </si>
  <si>
    <t>TMOD3</t>
  </si>
  <si>
    <t>BET1L</t>
  </si>
  <si>
    <t>MIS18A</t>
  </si>
  <si>
    <t>CELSR1</t>
  </si>
  <si>
    <t>CELSR3</t>
  </si>
  <si>
    <t>UGGT1</t>
  </si>
  <si>
    <t>CDK12</t>
  </si>
  <si>
    <t>FASTKD2</t>
  </si>
  <si>
    <t>TECR</t>
  </si>
  <si>
    <t>ERAP1</t>
  </si>
  <si>
    <t>UBAP1</t>
  </si>
  <si>
    <t>ACTR10</t>
  </si>
  <si>
    <t>USE1</t>
  </si>
  <si>
    <t>CISD1</t>
  </si>
  <si>
    <t>PODXL2</t>
  </si>
  <si>
    <t>C9orf78</t>
  </si>
  <si>
    <t>FAM120A</t>
  </si>
  <si>
    <t>GDE1</t>
  </si>
  <si>
    <t>WWOX</t>
  </si>
  <si>
    <t>GLTP</t>
  </si>
  <si>
    <t>SPG21</t>
  </si>
  <si>
    <t>UBP1</t>
  </si>
  <si>
    <t>IGF2BP1</t>
  </si>
  <si>
    <t>SACS</t>
  </si>
  <si>
    <t>EIF2AK3</t>
  </si>
  <si>
    <t>COQ3</t>
  </si>
  <si>
    <t>NUDT4</t>
  </si>
  <si>
    <t>HSPBP1</t>
  </si>
  <si>
    <t>MAT2B</t>
  </si>
  <si>
    <t>ITSN2</t>
  </si>
  <si>
    <t>GLTSCR1</t>
  </si>
  <si>
    <t>C1RL</t>
  </si>
  <si>
    <t>NCKIPSD</t>
  </si>
  <si>
    <t>OGFR</t>
  </si>
  <si>
    <t>LMCD1</t>
  </si>
  <si>
    <t>MPP6</t>
  </si>
  <si>
    <t>CHMP5</t>
  </si>
  <si>
    <t>COMMD9</t>
  </si>
  <si>
    <t>CWC15</t>
  </si>
  <si>
    <t>THYN1</t>
  </si>
  <si>
    <t>CRIPT</t>
  </si>
  <si>
    <t>CCDC59</t>
  </si>
  <si>
    <t>NDUFAF4</t>
  </si>
  <si>
    <t>PTPLAD1</t>
  </si>
  <si>
    <t>CCDC167</t>
  </si>
  <si>
    <t>EMC3</t>
  </si>
  <si>
    <t>PDP1</t>
  </si>
  <si>
    <t>VAPA</t>
  </si>
  <si>
    <t>RNF181</t>
  </si>
  <si>
    <t>GSKIP</t>
  </si>
  <si>
    <t>COX16</t>
  </si>
  <si>
    <t>CXXC1</t>
  </si>
  <si>
    <t>SH3BP4</t>
  </si>
  <si>
    <t>HMG20B</t>
  </si>
  <si>
    <t>PIPOX</t>
  </si>
  <si>
    <t>ABRACL</t>
  </si>
  <si>
    <t>ACTR3B</t>
  </si>
  <si>
    <t>CAMSAP3</t>
  </si>
  <si>
    <t>CALCOCO1</t>
  </si>
  <si>
    <t>KIAA1522</t>
  </si>
  <si>
    <t>CCDC88C</t>
  </si>
  <si>
    <t>VPS18</t>
  </si>
  <si>
    <t>RCC2</t>
  </si>
  <si>
    <t>KIAA1468</t>
  </si>
  <si>
    <t>DIP2B</t>
  </si>
  <si>
    <t>KIAA1462</t>
  </si>
  <si>
    <t>SLAIN2</t>
  </si>
  <si>
    <t>TENM3</t>
  </si>
  <si>
    <t>BCCIP</t>
  </si>
  <si>
    <t>PTGFRN</t>
  </si>
  <si>
    <t>CTTNBP2NL</t>
  </si>
  <si>
    <t>TMEM181</t>
  </si>
  <si>
    <t>CHD7</t>
  </si>
  <si>
    <t>HEATR5B</t>
  </si>
  <si>
    <t>RRBP1</t>
  </si>
  <si>
    <t>CPSF2</t>
  </si>
  <si>
    <t>PDP2</t>
  </si>
  <si>
    <t>TXNDC16</t>
  </si>
  <si>
    <t>RCOR3</t>
  </si>
  <si>
    <t>MYEF2</t>
  </si>
  <si>
    <t>KLHL42</t>
  </si>
  <si>
    <t>CGN</t>
  </si>
  <si>
    <t>RBM27</t>
  </si>
  <si>
    <t>ANKFY1</t>
  </si>
  <si>
    <t>RERE</t>
  </si>
  <si>
    <t>PSMC3IP</t>
  </si>
  <si>
    <t>DPM3</t>
  </si>
  <si>
    <t>ZNF219</t>
  </si>
  <si>
    <t>ATXN10</t>
  </si>
  <si>
    <t>MBD2</t>
  </si>
  <si>
    <t>NCDN</t>
  </si>
  <si>
    <t>TFIP11</t>
  </si>
  <si>
    <t>ORC3</t>
  </si>
  <si>
    <t>SAE1</t>
  </si>
  <si>
    <t>COPG2</t>
  </si>
  <si>
    <t>RNF7</t>
  </si>
  <si>
    <t>PI4KB</t>
  </si>
  <si>
    <t>GNG12</t>
  </si>
  <si>
    <t>MTRR</t>
  </si>
  <si>
    <t>UXT</t>
  </si>
  <si>
    <t>ASH2L</t>
  </si>
  <si>
    <t>DHCR7</t>
  </si>
  <si>
    <t>TNFRSF10D</t>
  </si>
  <si>
    <t>SPAST</t>
  </si>
  <si>
    <t>METTL1</t>
  </si>
  <si>
    <t>VPS29</t>
  </si>
  <si>
    <t>GRHPR</t>
  </si>
  <si>
    <t>CTSZ</t>
  </si>
  <si>
    <t>RPS6KB2</t>
  </si>
  <si>
    <t>RNF14</t>
  </si>
  <si>
    <t>UBA2</t>
  </si>
  <si>
    <t>NXF1</t>
  </si>
  <si>
    <t>SEL1L</t>
  </si>
  <si>
    <t>PEF1</t>
  </si>
  <si>
    <t>ZMYM2</t>
  </si>
  <si>
    <t>COPS7A</t>
  </si>
  <si>
    <t>ZNF69</t>
  </si>
  <si>
    <t>PPP1R1B</t>
  </si>
  <si>
    <t>UQCR10</t>
  </si>
  <si>
    <t>MTFP1</t>
  </si>
  <si>
    <t>TJP2</t>
  </si>
  <si>
    <t>DNAJB4</t>
  </si>
  <si>
    <t>MALT1</t>
  </si>
  <si>
    <t>CFDP1</t>
  </si>
  <si>
    <t>ZNF629</t>
  </si>
  <si>
    <t>DAXX</t>
  </si>
  <si>
    <t>FTSJ1</t>
  </si>
  <si>
    <t>VTI1B</t>
  </si>
  <si>
    <t>STK39</t>
  </si>
  <si>
    <t>ADD3</t>
  </si>
  <si>
    <t>LRWD1</t>
  </si>
  <si>
    <t>C19orf25</t>
  </si>
  <si>
    <t>NIPSNAP3A</t>
  </si>
  <si>
    <t>CGGBP1</t>
  </si>
  <si>
    <t>PISD</t>
  </si>
  <si>
    <t>ABCF2</t>
  </si>
  <si>
    <t>MTRF1L</t>
  </si>
  <si>
    <t>TES</t>
  </si>
  <si>
    <t>STAP2</t>
  </si>
  <si>
    <t>SERGEF</t>
  </si>
  <si>
    <t>WARS2</t>
  </si>
  <si>
    <t>LIMD1</t>
  </si>
  <si>
    <t>SEC63</t>
  </si>
  <si>
    <t>SLC2A6</t>
  </si>
  <si>
    <t>ZC3H7B</t>
  </si>
  <si>
    <t>TCF20</t>
  </si>
  <si>
    <t>NDRG3</t>
  </si>
  <si>
    <t>ARMCX3</t>
  </si>
  <si>
    <t>SWAP70</t>
  </si>
  <si>
    <t>LAMTOR3</t>
  </si>
  <si>
    <t>LIMA1</t>
  </si>
  <si>
    <t>AFF4</t>
  </si>
  <si>
    <t>SRP68</t>
  </si>
  <si>
    <t>CHORDC1</t>
  </si>
  <si>
    <t>SEPT9</t>
  </si>
  <si>
    <t>UBQLN2</t>
  </si>
  <si>
    <t>STEAP1</t>
  </si>
  <si>
    <t>TRPS1</t>
  </si>
  <si>
    <t>PCYOX1</t>
  </si>
  <si>
    <t>DDX20</t>
  </si>
  <si>
    <t>SFMBT1</t>
  </si>
  <si>
    <t>SHPK</t>
  </si>
  <si>
    <t>AMACR</t>
  </si>
  <si>
    <t>DPP7</t>
  </si>
  <si>
    <t>POLG2</t>
  </si>
  <si>
    <t>TMEM2</t>
  </si>
  <si>
    <t>USP25</t>
  </si>
  <si>
    <t>BCAP29</t>
  </si>
  <si>
    <t>CYB5R1</t>
  </si>
  <si>
    <t>BAIAP2L1</t>
  </si>
  <si>
    <t>ZNHIT2</t>
  </si>
  <si>
    <t>PFDN2</t>
  </si>
  <si>
    <t>GPN3</t>
  </si>
  <si>
    <t>PUF60</t>
  </si>
  <si>
    <t>EMR2</t>
  </si>
  <si>
    <t>NRBP1</t>
  </si>
  <si>
    <t>ENOPH1</t>
  </si>
  <si>
    <t>EIF2B4</t>
  </si>
  <si>
    <t>ATP6V1H</t>
  </si>
  <si>
    <t>TAGLN3</t>
  </si>
  <si>
    <t>IPO11</t>
  </si>
  <si>
    <t>TRMT112</t>
  </si>
  <si>
    <t>GLS2</t>
  </si>
  <si>
    <t>DACH1</t>
  </si>
  <si>
    <t>LCMT1</t>
  </si>
  <si>
    <t>VPS51</t>
  </si>
  <si>
    <t>ATPIF1</t>
  </si>
  <si>
    <t>AK3</t>
  </si>
  <si>
    <t>DAPK2</t>
  </si>
  <si>
    <t>SCOC</t>
  </si>
  <si>
    <t>FKBPL</t>
  </si>
  <si>
    <t>LNPEP</t>
  </si>
  <si>
    <t>SIX4</t>
  </si>
  <si>
    <t>GGT7</t>
  </si>
  <si>
    <t>MSRA</t>
  </si>
  <si>
    <t>CRLS1</t>
  </si>
  <si>
    <t>TRMT6</t>
  </si>
  <si>
    <t>ENPP5</t>
  </si>
  <si>
    <t>SH3BGRL2</t>
  </si>
  <si>
    <t>TSR3</t>
  </si>
  <si>
    <t>SLC25A13</t>
  </si>
  <si>
    <t>TUBE1</t>
  </si>
  <si>
    <t>DBNL</t>
  </si>
  <si>
    <t>DCTN4</t>
  </si>
  <si>
    <t>ANAPC7</t>
  </si>
  <si>
    <t>ANAPC4</t>
  </si>
  <si>
    <t>ANAPC2</t>
  </si>
  <si>
    <t>GGA2</t>
  </si>
  <si>
    <t>GGA1</t>
  </si>
  <si>
    <t>STOML2</t>
  </si>
  <si>
    <t>FBXO2</t>
  </si>
  <si>
    <t>NAGPA</t>
  </si>
  <si>
    <t>VPS28</t>
  </si>
  <si>
    <t>LSM7</t>
  </si>
  <si>
    <t>ING1</t>
  </si>
  <si>
    <t>DBR1</t>
  </si>
  <si>
    <t>HN1</t>
  </si>
  <si>
    <t>FBXO9</t>
  </si>
  <si>
    <t>FBXL4</t>
  </si>
  <si>
    <t>AKAP11</t>
  </si>
  <si>
    <t>DNAJC12</t>
  </si>
  <si>
    <t>AJAP1</t>
  </si>
  <si>
    <t>MRTO4</t>
  </si>
  <si>
    <t>CPSF3</t>
  </si>
  <si>
    <t>APPL1</t>
  </si>
  <si>
    <t>TLK1</t>
  </si>
  <si>
    <t>GPATCH8</t>
  </si>
  <si>
    <t>NUDT5</t>
  </si>
  <si>
    <t>CASP8AP2</t>
  </si>
  <si>
    <t>PCTP</t>
  </si>
  <si>
    <t>MAN1B1</t>
  </si>
  <si>
    <t>GTF3C4</t>
  </si>
  <si>
    <t>ADAM28</t>
  </si>
  <si>
    <t>C14orf1</t>
  </si>
  <si>
    <t>PACSIN3</t>
  </si>
  <si>
    <t>FBXO4</t>
  </si>
  <si>
    <t>ACAD8</t>
  </si>
  <si>
    <t>AGO2</t>
  </si>
  <si>
    <t>NUP50</t>
  </si>
  <si>
    <t>CDV3</t>
  </si>
  <si>
    <t>CNOT11</t>
  </si>
  <si>
    <t>BAG5</t>
  </si>
  <si>
    <t>AGO1</t>
  </si>
  <si>
    <t>RAB21</t>
  </si>
  <si>
    <t>RAB22A</t>
  </si>
  <si>
    <t>PNMA2</t>
  </si>
  <si>
    <t>PSME2</t>
  </si>
  <si>
    <t>TAOK2</t>
  </si>
  <si>
    <t>MKLN1</t>
  </si>
  <si>
    <t>RAB23</t>
  </si>
  <si>
    <t>MCTS1</t>
  </si>
  <si>
    <t>ACSL5</t>
  </si>
  <si>
    <t>ZNF608</t>
  </si>
  <si>
    <t>PALD1</t>
  </si>
  <si>
    <t>SLC39A10</t>
  </si>
  <si>
    <t>KIDINS220</t>
  </si>
  <si>
    <t>MKL2</t>
  </si>
  <si>
    <t>ZMIZ1</t>
  </si>
  <si>
    <t>PPP1R9A</t>
  </si>
  <si>
    <t>PRR12</t>
  </si>
  <si>
    <t>YEATS2</t>
  </si>
  <si>
    <t>TBC1D24</t>
  </si>
  <si>
    <t>ISY1</t>
  </si>
  <si>
    <t>PPM1H</t>
  </si>
  <si>
    <t>HECTD1</t>
  </si>
  <si>
    <t>CORO1C</t>
  </si>
  <si>
    <t>TPX2</t>
  </si>
  <si>
    <t>NOB1</t>
  </si>
  <si>
    <t>AKAP8L</t>
  </si>
  <si>
    <t>MAFF</t>
  </si>
  <si>
    <t>PYCARD</t>
  </si>
  <si>
    <t>NFU1</t>
  </si>
  <si>
    <t>PRPF19</t>
  </si>
  <si>
    <t>UBQLN1</t>
  </si>
  <si>
    <t>NENF</t>
  </si>
  <si>
    <t>NOL7</t>
  </si>
  <si>
    <t>SNX12</t>
  </si>
  <si>
    <t>SYNRG</t>
  </si>
  <si>
    <t>VPS4A</t>
  </si>
  <si>
    <t>SOX13</t>
  </si>
  <si>
    <t>G3BP2</t>
  </si>
  <si>
    <t>STUB1</t>
  </si>
  <si>
    <t>PACSIN2</t>
  </si>
  <si>
    <t>MAGED2</t>
  </si>
  <si>
    <t>SNX6</t>
  </si>
  <si>
    <t>DUSP12</t>
  </si>
  <si>
    <t>STX8</t>
  </si>
  <si>
    <t>ANGEL1</t>
  </si>
  <si>
    <t>PSMD13</t>
  </si>
  <si>
    <t>FAF1</t>
  </si>
  <si>
    <t>PPIE</t>
  </si>
  <si>
    <t>TIMELESS</t>
  </si>
  <si>
    <t>COPS3</t>
  </si>
  <si>
    <t>MINPP1</t>
  </si>
  <si>
    <t>WDR3</t>
  </si>
  <si>
    <t>TTF2</t>
  </si>
  <si>
    <t>C19orf53</t>
  </si>
  <si>
    <t>COG5</t>
  </si>
  <si>
    <t>SCAF8</t>
  </si>
  <si>
    <t>PPP6R1</t>
  </si>
  <si>
    <t>TRIM33</t>
  </si>
  <si>
    <t>PHF8</t>
  </si>
  <si>
    <t>TNRC6B</t>
  </si>
  <si>
    <t>EXOC7</t>
  </si>
  <si>
    <t>ZC3H4</t>
  </si>
  <si>
    <t>USP22</t>
  </si>
  <si>
    <t>USP24</t>
  </si>
  <si>
    <t>AGTPBP1</t>
  </si>
  <si>
    <t>DICER1</t>
  </si>
  <si>
    <t>SLC7A11</t>
  </si>
  <si>
    <t>HPS5</t>
  </si>
  <si>
    <t>SHOC2</t>
  </si>
  <si>
    <t>SRRM2</t>
  </si>
  <si>
    <t>PA2G4</t>
  </si>
  <si>
    <t>SPG7</t>
  </si>
  <si>
    <t>BAIAP2</t>
  </si>
  <si>
    <t>GAB2</t>
  </si>
  <si>
    <t>SMC3</t>
  </si>
  <si>
    <t>UBE2D4</t>
  </si>
  <si>
    <t>CHMP2B</t>
  </si>
  <si>
    <t>MTMR6</t>
  </si>
  <si>
    <t>JAG2</t>
  </si>
  <si>
    <t>NIP7</t>
  </si>
  <si>
    <t>GNE</t>
  </si>
  <si>
    <t>C14orf166</t>
  </si>
  <si>
    <t>RUVBL2</t>
  </si>
  <si>
    <t>CDYL</t>
  </si>
  <si>
    <t>LIPT1</t>
  </si>
  <si>
    <t>APOBEC2</t>
  </si>
  <si>
    <t>PIN4</t>
  </si>
  <si>
    <t>TCF19</t>
  </si>
  <si>
    <t>AKT3</t>
  </si>
  <si>
    <t>POMP</t>
  </si>
  <si>
    <t>FAM50B</t>
  </si>
  <si>
    <t>GINS2</t>
  </si>
  <si>
    <t>CHKB</t>
  </si>
  <si>
    <t>PLAA</t>
  </si>
  <si>
    <t>RUVBL1</t>
  </si>
  <si>
    <t>NUDC</t>
  </si>
  <si>
    <t>BCS1L</t>
  </si>
  <si>
    <t>VDAC3</t>
  </si>
  <si>
    <t>CFL2</t>
  </si>
  <si>
    <t>SLC5A6</t>
  </si>
  <si>
    <t>ASF1A</t>
  </si>
  <si>
    <t>DRG1</t>
  </si>
  <si>
    <t>TRAPPC4</t>
  </si>
  <si>
    <t>NCKAP1</t>
  </si>
  <si>
    <t>B3GNT3</t>
  </si>
  <si>
    <t>CNPY2</t>
  </si>
  <si>
    <t>EXOG</t>
  </si>
  <si>
    <t>CA5B</t>
  </si>
  <si>
    <t>EXOC6B</t>
  </si>
  <si>
    <t>AKAP2</t>
  </si>
  <si>
    <t>POFUT2</t>
  </si>
  <si>
    <t>DLGAP4</t>
  </si>
  <si>
    <t>STK38L</t>
  </si>
  <si>
    <t>FNDC3A</t>
  </si>
  <si>
    <t>NISCH</t>
  </si>
  <si>
    <t>WDR37</t>
  </si>
  <si>
    <t>USP20</t>
  </si>
  <si>
    <t>KDM2A</t>
  </si>
  <si>
    <t>DIS3</t>
  </si>
  <si>
    <t>LRCH1</t>
  </si>
  <si>
    <t>GSTK1</t>
  </si>
  <si>
    <t>LAMTOR2</t>
  </si>
  <si>
    <t>MRPS28</t>
  </si>
  <si>
    <t>COA3</t>
  </si>
  <si>
    <t>DDX52</t>
  </si>
  <si>
    <t>POLR1D</t>
  </si>
  <si>
    <t>CRYL1</t>
  </si>
  <si>
    <t>TMA7</t>
  </si>
  <si>
    <t>POLDIP2</t>
  </si>
  <si>
    <t>AP3M1</t>
  </si>
  <si>
    <t>LEMD3</t>
  </si>
  <si>
    <t>COG6</t>
  </si>
  <si>
    <t>THRAP3</t>
  </si>
  <si>
    <t>MED16</t>
  </si>
  <si>
    <t>NOP58</t>
  </si>
  <si>
    <t>GIT1</t>
  </si>
  <si>
    <t>POLR3K</t>
  </si>
  <si>
    <t>SUGT1</t>
  </si>
  <si>
    <t>MTO1</t>
  </si>
  <si>
    <t>YARS2</t>
  </si>
  <si>
    <t>COQ6</t>
  </si>
  <si>
    <t>AMDHD2</t>
  </si>
  <si>
    <t>ACOT9</t>
  </si>
  <si>
    <t>NOSIP</t>
  </si>
  <si>
    <t>DERA</t>
  </si>
  <si>
    <t>MEMO1</t>
  </si>
  <si>
    <t>TMX2</t>
  </si>
  <si>
    <t>LSM2</t>
  </si>
  <si>
    <t>SH3GLB1</t>
  </si>
  <si>
    <t>NDUFAF1</t>
  </si>
  <si>
    <t>CAB39</t>
  </si>
  <si>
    <t>LUC7L2</t>
  </si>
  <si>
    <t>RBMX2</t>
  </si>
  <si>
    <t>DHRS7</t>
  </si>
  <si>
    <t>MRPS2</t>
  </si>
  <si>
    <t>COQ4</t>
  </si>
  <si>
    <t>MOB4</t>
  </si>
  <si>
    <t>SBDS</t>
  </si>
  <si>
    <t>TMED5</t>
  </si>
  <si>
    <t>SLMO2</t>
  </si>
  <si>
    <t>EXOSC1</t>
  </si>
  <si>
    <t>TMED7</t>
  </si>
  <si>
    <t>SF3B14</t>
  </si>
  <si>
    <t>MRPL11</t>
  </si>
  <si>
    <t>RRP15</t>
  </si>
  <si>
    <t>NOP16</t>
  </si>
  <si>
    <t>TPRKB</t>
  </si>
  <si>
    <t>PPIL1</t>
  </si>
  <si>
    <t>UFC1</t>
  </si>
  <si>
    <t>FAM96B</t>
  </si>
  <si>
    <t>MSRB2</t>
  </si>
  <si>
    <t>MRPS18C</t>
  </si>
  <si>
    <t>FIS1</t>
  </si>
  <si>
    <t>TAF9</t>
  </si>
  <si>
    <t>MRPS23</t>
  </si>
  <si>
    <t>BOLA1</t>
  </si>
  <si>
    <t>CHMP3</t>
  </si>
  <si>
    <t>STRAP</t>
  </si>
  <si>
    <t>C22orf28</t>
  </si>
  <si>
    <t>FBXO7</t>
  </si>
  <si>
    <t>RAP2C</t>
  </si>
  <si>
    <t>SIT1</t>
  </si>
  <si>
    <t>RABGAP1</t>
  </si>
  <si>
    <t>DOPEY2</t>
  </si>
  <si>
    <t>ZNF330</t>
  </si>
  <si>
    <t>R3HCC1</t>
  </si>
  <si>
    <t>NOC2L</t>
  </si>
  <si>
    <t>RPL36</t>
  </si>
  <si>
    <t>CCDC9</t>
  </si>
  <si>
    <t>CHTOP</t>
  </si>
  <si>
    <t>SAMHD1</t>
  </si>
  <si>
    <t>FAM32A</t>
  </si>
  <si>
    <t>PKP3</t>
  </si>
  <si>
    <t>KNSTRN</t>
  </si>
  <si>
    <t>HBS1L</t>
  </si>
  <si>
    <t>PRKAB1</t>
  </si>
  <si>
    <t>ATP6V0A2</t>
  </si>
  <si>
    <t>TLN1</t>
  </si>
  <si>
    <t>VPRBP</t>
  </si>
  <si>
    <t>KDM3A</t>
  </si>
  <si>
    <t>FAM115A</t>
  </si>
  <si>
    <t>FAM21C</t>
  </si>
  <si>
    <t>WDR7</t>
  </si>
  <si>
    <t>USP15</t>
  </si>
  <si>
    <t>IRS2</t>
  </si>
  <si>
    <t>AIM1</t>
  </si>
  <si>
    <t>TRAF6</t>
  </si>
  <si>
    <t>MAP4K5</t>
  </si>
  <si>
    <t>HYOU1</t>
  </si>
  <si>
    <t>ATG4B</t>
  </si>
  <si>
    <t>WIPI2</t>
  </si>
  <si>
    <t>TELO2</t>
  </si>
  <si>
    <t>MMACHC</t>
  </si>
  <si>
    <t>AFG3L2</t>
  </si>
  <si>
    <t>AMMECR1</t>
  </si>
  <si>
    <t>ARIH1</t>
  </si>
  <si>
    <t>LSM4</t>
  </si>
  <si>
    <t>RNF114</t>
  </si>
  <si>
    <t>SAMM50</t>
  </si>
  <si>
    <t>PPME1</t>
  </si>
  <si>
    <t>TIMM22</t>
  </si>
  <si>
    <t>KCTD3</t>
  </si>
  <si>
    <t>YTHDF2</t>
  </si>
  <si>
    <t>CTDP1</t>
  </si>
  <si>
    <t>PAXBP1</t>
  </si>
  <si>
    <t>NME7</t>
  </si>
  <si>
    <t>SUPT16H</t>
  </si>
  <si>
    <t>UTP18</t>
  </si>
  <si>
    <t>TIMM10B</t>
  </si>
  <si>
    <t>TIMM9</t>
  </si>
  <si>
    <t>PCYT1B</t>
  </si>
  <si>
    <t>UCHL5</t>
  </si>
  <si>
    <t>CD2AP</t>
  </si>
  <si>
    <t>ATP6V1D</t>
  </si>
  <si>
    <t>TNPO3</t>
  </si>
  <si>
    <t>ENTPD2</t>
  </si>
  <si>
    <t>TIMM13</t>
  </si>
  <si>
    <t>SRPRB</t>
  </si>
  <si>
    <t>COL4A3BP</t>
  </si>
  <si>
    <t>GMPPB</t>
  </si>
  <si>
    <t>GTF3C5</t>
  </si>
  <si>
    <t>GTF3C3</t>
  </si>
  <si>
    <t>TRAPPC1</t>
  </si>
  <si>
    <t>CDC42BPB</t>
  </si>
  <si>
    <t>RBM8A</t>
  </si>
  <si>
    <t>DNAJC15</t>
  </si>
  <si>
    <t>TSSC4</t>
  </si>
  <si>
    <t>ZNF706</t>
  </si>
  <si>
    <t>SNX9</t>
  </si>
  <si>
    <t>SNX8</t>
  </si>
  <si>
    <t>SNX5</t>
  </si>
  <si>
    <t>FLVCR1</t>
  </si>
  <si>
    <t>NUBP2</t>
  </si>
  <si>
    <t>ST14</t>
  </si>
  <si>
    <t>HEBP2</t>
  </si>
  <si>
    <t>MRFAP1</t>
  </si>
  <si>
    <t>LRRFIP2</t>
  </si>
  <si>
    <t>FHOD1</t>
  </si>
  <si>
    <t>PSAT1</t>
  </si>
  <si>
    <t>SLC25A15</t>
  </si>
  <si>
    <t>NPTN</t>
  </si>
  <si>
    <t>CPQ</t>
  </si>
  <si>
    <t>SPIN1</t>
  </si>
  <si>
    <t>SLC12A7</t>
  </si>
  <si>
    <t>ALG5</t>
  </si>
  <si>
    <t>COPG1</t>
  </si>
  <si>
    <t>AUP1</t>
  </si>
  <si>
    <t>FKBP7</t>
  </si>
  <si>
    <t>CLIC4</t>
  </si>
  <si>
    <t>NFS1</t>
  </si>
  <si>
    <t>C16orf80</t>
  </si>
  <si>
    <t>TACC3</t>
  </si>
  <si>
    <t>SAR1B</t>
  </si>
  <si>
    <t>ARFGEF2</t>
  </si>
  <si>
    <t>ARFGEF1</t>
  </si>
  <si>
    <t>MAD1L1</t>
  </si>
  <si>
    <t>STK24</t>
  </si>
  <si>
    <t>COMMD10</t>
  </si>
  <si>
    <t>DYNC1LI1</t>
  </si>
  <si>
    <t>CHCHD2</t>
  </si>
  <si>
    <t>EPN1</t>
  </si>
  <si>
    <t>TEX264</t>
  </si>
  <si>
    <t>OAS3</t>
  </si>
  <si>
    <t>IKBKG</t>
  </si>
  <si>
    <t>CSNK1G3</t>
  </si>
  <si>
    <t>SLC30A1</t>
  </si>
  <si>
    <t>NDUFB9</t>
  </si>
  <si>
    <t>COX11</t>
  </si>
  <si>
    <t>SQRDL</t>
  </si>
  <si>
    <t>ROBO1</t>
  </si>
  <si>
    <t>AP1M2</t>
  </si>
  <si>
    <t>NCOA3</t>
  </si>
  <si>
    <t>SCIN</t>
  </si>
  <si>
    <t>DDX49</t>
  </si>
  <si>
    <t>CAPN7</t>
  </si>
  <si>
    <t>WASF2</t>
  </si>
  <si>
    <t>ENPP4</t>
  </si>
  <si>
    <t>ZHX2</t>
  </si>
  <si>
    <t>MORC2</t>
  </si>
  <si>
    <t>PSMD8</t>
  </si>
  <si>
    <t>H6PD</t>
  </si>
  <si>
    <t>BMI1</t>
  </si>
  <si>
    <t>RANBP10</t>
  </si>
  <si>
    <t>PRSS56</t>
  </si>
  <si>
    <t>PTP4A2</t>
  </si>
  <si>
    <t>YTHDF3</t>
  </si>
  <si>
    <t>S100A6</t>
  </si>
  <si>
    <t>AASDH</t>
  </si>
  <si>
    <t>DENND4C</t>
  </si>
  <si>
    <t>PHLDA1</t>
  </si>
  <si>
    <t>ACD</t>
  </si>
  <si>
    <t>PSMC3</t>
  </si>
  <si>
    <t>A0AVT1</t>
  </si>
  <si>
    <t>A0MZ66</t>
  </si>
  <si>
    <t>A1A5A9</t>
  </si>
  <si>
    <t>A1BQX2</t>
  </si>
  <si>
    <t>A1L0T0</t>
  </si>
  <si>
    <t>A1L188</t>
  </si>
  <si>
    <t>A1X283</t>
  </si>
  <si>
    <t>A2A274</t>
  </si>
  <si>
    <t>A2A2Q9</t>
  </si>
  <si>
    <t>A2A2V4</t>
  </si>
  <si>
    <t>A2A2Y4-5</t>
  </si>
  <si>
    <t>A2AEA2</t>
  </si>
  <si>
    <t>A2BF36</t>
  </si>
  <si>
    <t>A2RUC4</t>
  </si>
  <si>
    <t>A3KN83-2</t>
  </si>
  <si>
    <t>A4D126</t>
  </si>
  <si>
    <t>A4D161-2</t>
  </si>
  <si>
    <t>A4D1E9</t>
  </si>
  <si>
    <t>A4D1S0</t>
  </si>
  <si>
    <t>A4D1U4</t>
  </si>
  <si>
    <t>A4D212</t>
  </si>
  <si>
    <t>A4D2B0</t>
  </si>
  <si>
    <t>A5PLL7</t>
  </si>
  <si>
    <t>A5YKK6</t>
  </si>
  <si>
    <t>A5YM69</t>
  </si>
  <si>
    <t>A6NC98-4</t>
  </si>
  <si>
    <t>A6NDG6</t>
  </si>
  <si>
    <t>A6NDJ8</t>
  </si>
  <si>
    <t>A6NDU8</t>
  </si>
  <si>
    <t>A6NED2</t>
  </si>
  <si>
    <t>A6NEM2</t>
  </si>
  <si>
    <t>A6NEM5</t>
  </si>
  <si>
    <t>A6NEP9</t>
  </si>
  <si>
    <t>A6NF51</t>
  </si>
  <si>
    <t>A6NFI3</t>
  </si>
  <si>
    <t>A6NG32</t>
  </si>
  <si>
    <t>A6NG79</t>
  </si>
  <si>
    <t>A6NGJ0</t>
  </si>
  <si>
    <t>A6NHB5</t>
  </si>
  <si>
    <t>A6NHL2-2</t>
  </si>
  <si>
    <t>A6NHQ2</t>
  </si>
  <si>
    <t>A6NHR9</t>
  </si>
  <si>
    <t>A6NHV6</t>
  </si>
  <si>
    <t>A6NHX0</t>
  </si>
  <si>
    <t>A6NIH7</t>
  </si>
  <si>
    <t>A6NIR4</t>
  </si>
  <si>
    <t>A6NJ78</t>
  </si>
  <si>
    <t>A6NJ97</t>
  </si>
  <si>
    <t>A6NK58</t>
  </si>
  <si>
    <t>A6NKD9</t>
  </si>
  <si>
    <t>A6NKF9</t>
  </si>
  <si>
    <t>A6NMH6</t>
  </si>
  <si>
    <t>A6NML8</t>
  </si>
  <si>
    <t>A6NMQ1</t>
  </si>
  <si>
    <t>A6NNI4</t>
  </si>
  <si>
    <t>A6PW57</t>
  </si>
  <si>
    <t>A7E2V4-5</t>
  </si>
  <si>
    <t>A7KAX9</t>
  </si>
  <si>
    <t>A7XYQ1</t>
  </si>
  <si>
    <t>A8K0B5</t>
  </si>
  <si>
    <t>A8K0M9</t>
  </si>
  <si>
    <t>A8K7Q2</t>
  </si>
  <si>
    <t>A8MPS7</t>
  </si>
  <si>
    <t>A8MQ02</t>
  </si>
  <si>
    <t>A8MSH5</t>
  </si>
  <si>
    <t>A8MT72</t>
  </si>
  <si>
    <t>A8MTF8</t>
  </si>
  <si>
    <t>A8MTG8</t>
  </si>
  <si>
    <t>A8MTK3</t>
  </si>
  <si>
    <t>A8MTT3</t>
  </si>
  <si>
    <t>A8MTY9</t>
  </si>
  <si>
    <t>A8MU21</t>
  </si>
  <si>
    <t>A8MU44</t>
  </si>
  <si>
    <t>A8MUA9</t>
  </si>
  <si>
    <t>A8MUB1</t>
  </si>
  <si>
    <t>A8MVZ6</t>
  </si>
  <si>
    <t>A8MW61</t>
  </si>
  <si>
    <t>A8MWH4</t>
  </si>
  <si>
    <t>A8MX75</t>
  </si>
  <si>
    <t>A8MXN1</t>
  </si>
  <si>
    <t>A8MXP9</t>
  </si>
  <si>
    <t>A8MXQ1</t>
  </si>
  <si>
    <t>A8MXV4</t>
  </si>
  <si>
    <t>A8MYT4</t>
  </si>
  <si>
    <t>A8MZI9</t>
  </si>
  <si>
    <t>A9UHW6</t>
  </si>
  <si>
    <t>A9Z1X7</t>
  </si>
  <si>
    <t>B0QY89</t>
  </si>
  <si>
    <t>B0QY95</t>
  </si>
  <si>
    <t>B0QYI3</t>
  </si>
  <si>
    <t>B0QYK0</t>
  </si>
  <si>
    <t>B0QYW5</t>
  </si>
  <si>
    <t>B0UX83</t>
  </si>
  <si>
    <t>B0UXB6</t>
  </si>
  <si>
    <t>B0UY12</t>
  </si>
  <si>
    <t>B0UZY3</t>
  </si>
  <si>
    <t>B0V043</t>
  </si>
  <si>
    <t>B0V0T3</t>
  </si>
  <si>
    <t>B0YIW2</t>
  </si>
  <si>
    <t>B0YJC4</t>
  </si>
  <si>
    <t>B1AH87</t>
  </si>
  <si>
    <t>B1AHD1</t>
  </si>
  <si>
    <t>B1AJW0</t>
  </si>
  <si>
    <t>B1AK13</t>
  </si>
  <si>
    <t>B1AK53</t>
  </si>
  <si>
    <t>B1AKJ5</t>
  </si>
  <si>
    <t>B1AKJ6</t>
  </si>
  <si>
    <t>B1AKL4</t>
  </si>
  <si>
    <t>B1AKN6</t>
  </si>
  <si>
    <t>B1AKY9</t>
  </si>
  <si>
    <t>B1AL69</t>
  </si>
  <si>
    <t>B1ALB4</t>
  </si>
  <si>
    <t>B1ALH6</t>
  </si>
  <si>
    <t>B1ALK7</t>
  </si>
  <si>
    <t>B1ALM5</t>
  </si>
  <si>
    <t>B1AMF0</t>
  </si>
  <si>
    <t>B1AMS2</t>
  </si>
  <si>
    <t>B1AMW1</t>
  </si>
  <si>
    <t>B1AN89</t>
  </si>
  <si>
    <t>B1AN99</t>
  </si>
  <si>
    <t>B1ANH0</t>
  </si>
  <si>
    <t>B1AQP1</t>
  </si>
  <si>
    <t>B1AVQ7</t>
  </si>
  <si>
    <t>B1AVU8</t>
  </si>
  <si>
    <t>B1AZV3</t>
  </si>
  <si>
    <t>B3KMK8</t>
  </si>
  <si>
    <t>B3KPJ4</t>
  </si>
  <si>
    <t>B3KR83</t>
  </si>
  <si>
    <t>B3KS98</t>
  </si>
  <si>
    <t>B3KSH1</t>
  </si>
  <si>
    <t>B3KSI9</t>
  </si>
  <si>
    <t>B3KSJ7</t>
  </si>
  <si>
    <t>B3KUK2</t>
  </si>
  <si>
    <t>B3KV61</t>
  </si>
  <si>
    <t>B3KVH8</t>
  </si>
  <si>
    <t>B3KVZ3</t>
  </si>
  <si>
    <t>B3KWW1</t>
  </si>
  <si>
    <t>B3KXW5</t>
  </si>
  <si>
    <t>B3KXX3</t>
  </si>
  <si>
    <t>B3KY94</t>
  </si>
  <si>
    <t>B3V0L1</t>
  </si>
  <si>
    <t>B4DDF4</t>
  </si>
  <si>
    <t>B4DDS3</t>
  </si>
  <si>
    <t>B4DDV3</t>
  </si>
  <si>
    <t>B4DDY8</t>
  </si>
  <si>
    <t>B4DEX5</t>
  </si>
  <si>
    <t>B4DFI9</t>
  </si>
  <si>
    <t>B4DFQ4</t>
  </si>
  <si>
    <t>B4DFR2</t>
  </si>
  <si>
    <t>B4DGU4</t>
  </si>
  <si>
    <t>B4DGX2</t>
  </si>
  <si>
    <t>B4DH26</t>
  </si>
  <si>
    <t>B4DH53</t>
  </si>
  <si>
    <t>B4DHE8</t>
  </si>
  <si>
    <t>B4DIG7</t>
  </si>
  <si>
    <t>B4DJA5</t>
  </si>
  <si>
    <t>B4DJC5</t>
  </si>
  <si>
    <t>B4DJN2</t>
  </si>
  <si>
    <t>B4DJP7</t>
  </si>
  <si>
    <t>B4DJV2</t>
  </si>
  <si>
    <t>B4DJV5</t>
  </si>
  <si>
    <t>B4DKF9</t>
  </si>
  <si>
    <t>B4DKL4</t>
  </si>
  <si>
    <t>B4DL54</t>
  </si>
  <si>
    <t>B4DLN1</t>
  </si>
  <si>
    <t>B4DLR8</t>
  </si>
  <si>
    <t>B4DLT4</t>
  </si>
  <si>
    <t>B4DLU3</t>
  </si>
  <si>
    <t>B4DLZ9</t>
  </si>
  <si>
    <t>B4DMU4</t>
  </si>
  <si>
    <t>B4DP21</t>
  </si>
  <si>
    <t>B4DPY8</t>
  </si>
  <si>
    <t>B4DQJ8</t>
  </si>
  <si>
    <t>B4DQT1</t>
  </si>
  <si>
    <t>B4DR52</t>
  </si>
  <si>
    <t>B4DR61</t>
  </si>
  <si>
    <t>B4DRL9</t>
  </si>
  <si>
    <t>B4DRN8</t>
  </si>
  <si>
    <t>B4DRS7</t>
  </si>
  <si>
    <t>B4DSD4</t>
  </si>
  <si>
    <t>B4DSS8</t>
  </si>
  <si>
    <t>B4DT77</t>
  </si>
  <si>
    <t>B4DTA3</t>
  </si>
  <si>
    <t>B4DUB9</t>
  </si>
  <si>
    <t>B4DUE3</t>
  </si>
  <si>
    <t>B4DUE9</t>
  </si>
  <si>
    <t>B4DVE7</t>
  </si>
  <si>
    <t>B4DVY1</t>
  </si>
  <si>
    <t>B4DWI1</t>
  </si>
  <si>
    <t>B4DXN4</t>
  </si>
  <si>
    <t>B4DXZ6</t>
  </si>
  <si>
    <t>B4DYB4</t>
  </si>
  <si>
    <t>B4DYR1</t>
  </si>
  <si>
    <t>B4DYR7</t>
  </si>
  <si>
    <t>B4DZH6</t>
  </si>
  <si>
    <t>B4E0E3</t>
  </si>
  <si>
    <t>B4E0T2</t>
  </si>
  <si>
    <t>B4E1J0</t>
  </si>
  <si>
    <t>B4E1N1</t>
  </si>
  <si>
    <t>B4E1Q4</t>
  </si>
  <si>
    <t>B4E1S6</t>
  </si>
  <si>
    <t>B4E1Y1</t>
  </si>
  <si>
    <t>B4E241</t>
  </si>
  <si>
    <t>B4E2S7</t>
  </si>
  <si>
    <t>B4E2V5</t>
  </si>
  <si>
    <t>B4E2W0</t>
  </si>
  <si>
    <t>B4E2X3</t>
  </si>
  <si>
    <t>B4E3L3</t>
  </si>
  <si>
    <t>B5MBW9</t>
  </si>
  <si>
    <t>B5MBZ0</t>
  </si>
  <si>
    <t>B5MC53</t>
  </si>
  <si>
    <t>B5MCA4</t>
  </si>
  <si>
    <t>B5MCF9</t>
  </si>
  <si>
    <t>B5MCT7</t>
  </si>
  <si>
    <t>B5MDE0</t>
  </si>
  <si>
    <t>B5MDU6</t>
  </si>
  <si>
    <t>B5ME25</t>
  </si>
  <si>
    <t>B5MEC7</t>
  </si>
  <si>
    <t>B7WP27</t>
  </si>
  <si>
    <t>B7WPE2</t>
  </si>
  <si>
    <t>B7WPL0</t>
  </si>
  <si>
    <t>B7Z1U0</t>
  </si>
  <si>
    <t>B7Z202</t>
  </si>
  <si>
    <t>B7Z254</t>
  </si>
  <si>
    <t>B7Z2Y5</t>
  </si>
  <si>
    <t>B7Z3D5</t>
  </si>
  <si>
    <t>B7Z3I9</t>
  </si>
  <si>
    <t>B7Z3P1</t>
  </si>
  <si>
    <t>B7Z463</t>
  </si>
  <si>
    <t>B7Z493</t>
  </si>
  <si>
    <t>B7Z4K6</t>
  </si>
  <si>
    <t>B7Z4W5</t>
  </si>
  <si>
    <t>B7Z5W1</t>
  </si>
  <si>
    <t>B7Z662</t>
  </si>
  <si>
    <t>B7Z683</t>
  </si>
  <si>
    <t>B7Z6B6</t>
  </si>
  <si>
    <t>B7Z6B8</t>
  </si>
  <si>
    <t>B7Z6M4</t>
  </si>
  <si>
    <t>B7Z7A3</t>
  </si>
  <si>
    <t>B7Z7F3</t>
  </si>
  <si>
    <t>B7Z7H3</t>
  </si>
  <si>
    <t>B7Z815</t>
  </si>
  <si>
    <t>B7Z817</t>
  </si>
  <si>
    <t>B7Z9I3</t>
  </si>
  <si>
    <t>B7Z9J4</t>
  </si>
  <si>
    <t>B7Z9S8</t>
  </si>
  <si>
    <t>B7ZAA0</t>
  </si>
  <si>
    <t>B7ZAX5</t>
  </si>
  <si>
    <t>B7ZBB8</t>
  </si>
  <si>
    <t>B7ZC38</t>
  </si>
  <si>
    <t>B7ZKK9</t>
  </si>
  <si>
    <t>B7ZKQ9</t>
  </si>
  <si>
    <t>B7ZL82</t>
  </si>
  <si>
    <t>B7ZL88</t>
  </si>
  <si>
    <t>B7ZLX3</t>
  </si>
  <si>
    <t>B7ZLZ2</t>
  </si>
  <si>
    <t>B8X2Z3</t>
  </si>
  <si>
    <t>B8ZZ99</t>
  </si>
  <si>
    <t>B8ZZC7</t>
  </si>
  <si>
    <t>B8ZZF8</t>
  </si>
  <si>
    <t>B8ZZI5</t>
  </si>
  <si>
    <t>B8ZZN6</t>
  </si>
  <si>
    <t>B8ZZQ6</t>
  </si>
  <si>
    <t>B8ZZS2</t>
  </si>
  <si>
    <t>B8ZZU6</t>
  </si>
  <si>
    <t>B8ZZV9</t>
  </si>
  <si>
    <t>B8ZZX4</t>
  </si>
  <si>
    <t>B8ZZY2</t>
  </si>
  <si>
    <t>B9A018</t>
  </si>
  <si>
    <t>B9A057</t>
  </si>
  <si>
    <t>B9A067</t>
  </si>
  <si>
    <t>C0H5Y7</t>
  </si>
  <si>
    <t>C1IDX9</t>
  </si>
  <si>
    <t>C1P671</t>
  </si>
  <si>
    <t>C4AMC7</t>
  </si>
  <si>
    <t>C6G496</t>
  </si>
  <si>
    <t>C6GKU9</t>
  </si>
  <si>
    <t>C9IZP5</t>
  </si>
  <si>
    <t>C9IZW8</t>
  </si>
  <si>
    <t>C9J0I9</t>
  </si>
  <si>
    <t>C9J0J0</t>
  </si>
  <si>
    <t>C9J0J7</t>
  </si>
  <si>
    <t>C9J0K6</t>
  </si>
  <si>
    <t>C9J167</t>
  </si>
  <si>
    <t>C9J1G2</t>
  </si>
  <si>
    <t>C9J1K8</t>
  </si>
  <si>
    <t>C9J212</t>
  </si>
  <si>
    <t>C9J240</t>
  </si>
  <si>
    <t>C9J2P0</t>
  </si>
  <si>
    <t>C9J2P9</t>
  </si>
  <si>
    <t>C9J2U4</t>
  </si>
  <si>
    <t>C9J2Y9</t>
  </si>
  <si>
    <t>C9J3R8</t>
  </si>
  <si>
    <t>C9J494</t>
  </si>
  <si>
    <t>C9J4K0</t>
  </si>
  <si>
    <t>C9J4T6</t>
  </si>
  <si>
    <t>C9J4Z3</t>
  </si>
  <si>
    <t>C9J5C3</t>
  </si>
  <si>
    <t>C9J5X1</t>
  </si>
  <si>
    <t>C9J652</t>
  </si>
  <si>
    <t>C9J695</t>
  </si>
  <si>
    <t>C9J712</t>
  </si>
  <si>
    <t>C9J8Q5</t>
  </si>
  <si>
    <t>C9J976</t>
  </si>
  <si>
    <t>C9J9K3</t>
  </si>
  <si>
    <t>C9JA08</t>
  </si>
  <si>
    <t>C9JA28</t>
  </si>
  <si>
    <t>C9JA69</t>
  </si>
  <si>
    <t>C9JAB2</t>
  </si>
  <si>
    <t>C9JAX1</t>
  </si>
  <si>
    <t>C9JB13</t>
  </si>
  <si>
    <t>C9JBA4</t>
  </si>
  <si>
    <t>C9JBL1</t>
  </si>
  <si>
    <t>C9JCC6</t>
  </si>
  <si>
    <t>C9JDS9</t>
  </si>
  <si>
    <t>C9JE12</t>
  </si>
  <si>
    <t>C9JE98</t>
  </si>
  <si>
    <t>C9JEZ4</t>
  </si>
  <si>
    <t>C9JFW7</t>
  </si>
  <si>
    <t>C9JG41</t>
  </si>
  <si>
    <t>C9JG97</t>
  </si>
  <si>
    <t>C9JGI3</t>
  </si>
  <si>
    <t>C9JH62</t>
  </si>
  <si>
    <t>C9JIF9</t>
  </si>
  <si>
    <t>C9JJU1</t>
  </si>
  <si>
    <t>C9JK10</t>
  </si>
  <si>
    <t>C9JLU1</t>
  </si>
  <si>
    <t>C9JM82</t>
  </si>
  <si>
    <t>C9JME2</t>
  </si>
  <si>
    <t>C9JNE2</t>
  </si>
  <si>
    <t>C9JP00</t>
  </si>
  <si>
    <t>C9JPP2</t>
  </si>
  <si>
    <t>C9JQ41</t>
  </si>
  <si>
    <t>C9JQB1</t>
  </si>
  <si>
    <t>C9JQD4</t>
  </si>
  <si>
    <t>C9JQV3</t>
  </si>
  <si>
    <t>C9JR56</t>
  </si>
  <si>
    <t>C9JRY4</t>
  </si>
  <si>
    <t>C9JRZ6</t>
  </si>
  <si>
    <t>C9JSZ2</t>
  </si>
  <si>
    <t>C9JVP0</t>
  </si>
  <si>
    <t>C9JWU9</t>
  </si>
  <si>
    <t>C9JYM0</t>
  </si>
  <si>
    <t>C9JYN0</t>
  </si>
  <si>
    <t>C9JYY6</t>
  </si>
  <si>
    <t>C9JZB0</t>
  </si>
  <si>
    <t>C9JZI1</t>
  </si>
  <si>
    <t>C9JZI7</t>
  </si>
  <si>
    <t>C9JZP6</t>
  </si>
  <si>
    <t>C9JZR4</t>
  </si>
  <si>
    <t>C9JZY3</t>
  </si>
  <si>
    <t>C9JZY6</t>
  </si>
  <si>
    <t>C9K0J5</t>
  </si>
  <si>
    <t>D3DQV9</t>
  </si>
  <si>
    <t>D3DWK9</t>
  </si>
  <si>
    <t>D3K174</t>
  </si>
  <si>
    <t>D3YTB1</t>
  </si>
  <si>
    <t>D3YTG6</t>
  </si>
  <si>
    <t>D3YTI9</t>
  </si>
  <si>
    <t>D6R938</t>
  </si>
  <si>
    <t>D6R9U7</t>
  </si>
  <si>
    <t>D6RAC5</t>
  </si>
  <si>
    <t>D6RAR3</t>
  </si>
  <si>
    <t>D6RB34</t>
  </si>
  <si>
    <t>D6RBE3</t>
  </si>
  <si>
    <t>D6RBW1</t>
  </si>
  <si>
    <t>D6RCC7</t>
  </si>
  <si>
    <t>D6RCD0</t>
  </si>
  <si>
    <t>D6REA0</t>
  </si>
  <si>
    <t>D6REE2</t>
  </si>
  <si>
    <t>D6REL0</t>
  </si>
  <si>
    <t>D6REL5</t>
  </si>
  <si>
    <t>D6REX3</t>
  </si>
  <si>
    <t>D6RF48</t>
  </si>
  <si>
    <t>D6RFG8</t>
  </si>
  <si>
    <t>D6RFL4</t>
  </si>
  <si>
    <t>D6RGI3</t>
  </si>
  <si>
    <t>D6RHD3</t>
  </si>
  <si>
    <t>D6RHI9</t>
  </si>
  <si>
    <t>D6RIE3</t>
  </si>
  <si>
    <t>D6RIZ4</t>
  </si>
  <si>
    <t>E2QRD0</t>
  </si>
  <si>
    <t>E2QRD5</t>
  </si>
  <si>
    <t>E2QRF9</t>
  </si>
  <si>
    <t>E5RFI2</t>
  </si>
  <si>
    <t>E5RFJ1</t>
  </si>
  <si>
    <t>E5RG17</t>
  </si>
  <si>
    <t>E5RG44</t>
  </si>
  <si>
    <t>E5RGX5</t>
  </si>
  <si>
    <t>E5RGY0</t>
  </si>
  <si>
    <t>E5RHB1</t>
  </si>
  <si>
    <t>E5RHG8</t>
  </si>
  <si>
    <t>E5RHK8</t>
  </si>
  <si>
    <t>E5RHW0</t>
  </si>
  <si>
    <t>E5RHW4</t>
  </si>
  <si>
    <t>E5RI99</t>
  </si>
  <si>
    <t>E5RIH5</t>
  </si>
  <si>
    <t>E5RIK9</t>
  </si>
  <si>
    <t>E5RIP7</t>
  </si>
  <si>
    <t>E5RIQ9</t>
  </si>
  <si>
    <t>E5RIX2</t>
  </si>
  <si>
    <t>E5RJ26</t>
  </si>
  <si>
    <t>E5RJ99</t>
  </si>
  <si>
    <t>E5RJD2</t>
  </si>
  <si>
    <t>E5RJJ3</t>
  </si>
  <si>
    <t>E5RJR5</t>
  </si>
  <si>
    <t>E5RJS5</t>
  </si>
  <si>
    <t>E7EM50</t>
  </si>
  <si>
    <t>E7EM64</t>
  </si>
  <si>
    <t>E7EM95</t>
  </si>
  <si>
    <t>E7EMB8</t>
  </si>
  <si>
    <t>E7EMC6</t>
  </si>
  <si>
    <t>E7EMM4</t>
  </si>
  <si>
    <t>E7EMN6</t>
  </si>
  <si>
    <t>E7EMX7</t>
  </si>
  <si>
    <t>E7EMZ9</t>
  </si>
  <si>
    <t>E7EN73</t>
  </si>
  <si>
    <t>E7EN86</t>
  </si>
  <si>
    <t>E7ENA9</t>
  </si>
  <si>
    <t>E7ENU4</t>
  </si>
  <si>
    <t>E7ENX6</t>
  </si>
  <si>
    <t>E7EP70</t>
  </si>
  <si>
    <t>E7EP87</t>
  </si>
  <si>
    <t>E7EPB3</t>
  </si>
  <si>
    <t>E7EPC6</t>
  </si>
  <si>
    <t>E7EPD0</t>
  </si>
  <si>
    <t>E7EPL4</t>
  </si>
  <si>
    <t>E7EPM7</t>
  </si>
  <si>
    <t>E7EPN9</t>
  </si>
  <si>
    <t>E7EPT4</t>
  </si>
  <si>
    <t>E7EPT6</t>
  </si>
  <si>
    <t>E7EPY1</t>
  </si>
  <si>
    <t>E7EQ69</t>
  </si>
  <si>
    <t>E7EQL6</t>
  </si>
  <si>
    <t>E7EQN5</t>
  </si>
  <si>
    <t>E7EQN6</t>
  </si>
  <si>
    <t>E7EQR8</t>
  </si>
  <si>
    <t>E7EQT4</t>
  </si>
  <si>
    <t>E7EQV9</t>
  </si>
  <si>
    <t>E7ER26</t>
  </si>
  <si>
    <t>E7ER77</t>
  </si>
  <si>
    <t>E7ERB7</t>
  </si>
  <si>
    <t>E7ERH3</t>
  </si>
  <si>
    <t>E7ERS3</t>
  </si>
  <si>
    <t>E7ES08</t>
  </si>
  <si>
    <t>E7ES35</t>
  </si>
  <si>
    <t>E7ES43</t>
  </si>
  <si>
    <t>E7ESA8</t>
  </si>
  <si>
    <t>E7ESP4</t>
  </si>
  <si>
    <t>E7ESU4</t>
  </si>
  <si>
    <t>E7ESX1</t>
  </si>
  <si>
    <t>E7ESZ7</t>
  </si>
  <si>
    <t>E7ET15</t>
  </si>
  <si>
    <t>E7ET89</t>
  </si>
  <si>
    <t>E7ETB3</t>
  </si>
  <si>
    <t>E7ETK0</t>
  </si>
  <si>
    <t>E7ETZ4</t>
  </si>
  <si>
    <t>E7EU19</t>
  </si>
  <si>
    <t>E7EU23</t>
  </si>
  <si>
    <t>E7EU96</t>
  </si>
  <si>
    <t>E7EUE1</t>
  </si>
  <si>
    <t>E7EUL7</t>
  </si>
  <si>
    <t>E7EUM5</t>
  </si>
  <si>
    <t>E7EV46</t>
  </si>
  <si>
    <t>E7EV56</t>
  </si>
  <si>
    <t>E7EVA0</t>
  </si>
  <si>
    <t>E7EVC7</t>
  </si>
  <si>
    <t>E7EVJ5</t>
  </si>
  <si>
    <t>E7EVZ3</t>
  </si>
  <si>
    <t>E7EW05</t>
  </si>
  <si>
    <t>E7EW18</t>
  </si>
  <si>
    <t>E7EW20</t>
  </si>
  <si>
    <t>E7EW32</t>
  </si>
  <si>
    <t>E7EW69</t>
  </si>
  <si>
    <t>E7EW77</t>
  </si>
  <si>
    <t>E7EW84</t>
  </si>
  <si>
    <t>E7EWM3</t>
  </si>
  <si>
    <t>E7EWP0</t>
  </si>
  <si>
    <t>E7EWX6</t>
  </si>
  <si>
    <t>E7EX01</t>
  </si>
  <si>
    <t>E7EX17</t>
  </si>
  <si>
    <t>E7EX59</t>
  </si>
  <si>
    <t>E7EX90</t>
  </si>
  <si>
    <t>E9PAL9</t>
  </si>
  <si>
    <t>E9PAU2</t>
  </si>
  <si>
    <t>E9PAV9</t>
  </si>
  <si>
    <t>E9PB28</t>
  </si>
  <si>
    <t>E9PB61</t>
  </si>
  <si>
    <t>E9PBR6</t>
  </si>
  <si>
    <t>E9PC62</t>
  </si>
  <si>
    <t>E9PC69</t>
  </si>
  <si>
    <t>E9PC74</t>
  </si>
  <si>
    <t>E9PCD7</t>
  </si>
  <si>
    <t>E9PCH4</t>
  </si>
  <si>
    <t>E9PCW1</t>
  </si>
  <si>
    <t>E9PD25</t>
  </si>
  <si>
    <t>E9PD90</t>
  </si>
  <si>
    <t>E9PDC3</t>
  </si>
  <si>
    <t>E9PDF6</t>
  </si>
  <si>
    <t>E9PDG2</t>
  </si>
  <si>
    <t>E9PDG9</t>
  </si>
  <si>
    <t>E9PEE8</t>
  </si>
  <si>
    <t>E9PEI0</t>
  </si>
  <si>
    <t>E9PEJ6</t>
  </si>
  <si>
    <t>E9PEN8</t>
  </si>
  <si>
    <t>E9PER1</t>
  </si>
  <si>
    <t>E9PER6</t>
  </si>
  <si>
    <t>E9PEZ3</t>
  </si>
  <si>
    <t>E9PF10</t>
  </si>
  <si>
    <t>E9PF16</t>
  </si>
  <si>
    <t>E9PF18</t>
  </si>
  <si>
    <t>E9PF19</t>
  </si>
  <si>
    <t>E9PF36</t>
  </si>
  <si>
    <t>E9PF74</t>
  </si>
  <si>
    <t>E9PFH7</t>
  </si>
  <si>
    <t>E9PFK9</t>
  </si>
  <si>
    <t>E9PFR3</t>
  </si>
  <si>
    <t>E9PG22</t>
  </si>
  <si>
    <t>E9PGT1</t>
  </si>
  <si>
    <t>E9PGT3</t>
  </si>
  <si>
    <t>E9PH29</t>
  </si>
  <si>
    <t>E9PHF7</t>
  </si>
  <si>
    <t>E9PHG5</t>
  </si>
  <si>
    <t>E9PHH8</t>
  </si>
  <si>
    <t>E9PHY5</t>
  </si>
  <si>
    <t>E9PHY8</t>
  </si>
  <si>
    <t>E9PIB1</t>
  </si>
  <si>
    <t>E9PIC0</t>
  </si>
  <si>
    <t>E9PIE4</t>
  </si>
  <si>
    <t>E9PJ04</t>
  </si>
  <si>
    <t>E9PJ55</t>
  </si>
  <si>
    <t>E9PJ81</t>
  </si>
  <si>
    <t>E9PJD7</t>
  </si>
  <si>
    <t>E9PJF5</t>
  </si>
  <si>
    <t>E9PJK1</t>
  </si>
  <si>
    <t>E9PJM3</t>
  </si>
  <si>
    <t>E9PJN1</t>
  </si>
  <si>
    <t>E9PK01</t>
  </si>
  <si>
    <t>E9PK26</t>
  </si>
  <si>
    <t>E9PK91</t>
  </si>
  <si>
    <t>E9PKA7</t>
  </si>
  <si>
    <t>E9PKC0</t>
  </si>
  <si>
    <t>E9PKF3</t>
  </si>
  <si>
    <t>E9PKG1</t>
  </si>
  <si>
    <t>E9PKP7</t>
  </si>
  <si>
    <t>E9PKT4</t>
  </si>
  <si>
    <t>E9PKV2</t>
  </si>
  <si>
    <t>E9PKV8</t>
  </si>
  <si>
    <t>E9PL10</t>
  </si>
  <si>
    <t>E9PL17</t>
  </si>
  <si>
    <t>E9PL33</t>
  </si>
  <si>
    <t>E9PL56</t>
  </si>
  <si>
    <t>E9PL57</t>
  </si>
  <si>
    <t>E9PLK3</t>
  </si>
  <si>
    <t>E9PLL6</t>
  </si>
  <si>
    <t>E9PLT1</t>
  </si>
  <si>
    <t>E9PM46</t>
  </si>
  <si>
    <t>E9PM92</t>
  </si>
  <si>
    <t>E9PMH5</t>
  </si>
  <si>
    <t>E9PMI6</t>
  </si>
  <si>
    <t>E9PMJ2</t>
  </si>
  <si>
    <t>E9PML6</t>
  </si>
  <si>
    <t>E9PMR4</t>
  </si>
  <si>
    <t>E9PMR6</t>
  </si>
  <si>
    <t>E9PMS6</t>
  </si>
  <si>
    <t>E9PN48</t>
  </si>
  <si>
    <t>E9PN89</t>
  </si>
  <si>
    <t>E9PND3</t>
  </si>
  <si>
    <t>E9PNL8</t>
  </si>
  <si>
    <t>E9PNQ6</t>
  </si>
  <si>
    <t>E9PNT2</t>
  </si>
  <si>
    <t>E9PNW4</t>
  </si>
  <si>
    <t>E9PPY3</t>
  </si>
  <si>
    <t>E9PQC4</t>
  </si>
  <si>
    <t>E9PQW0</t>
  </si>
  <si>
    <t>E9PQW1</t>
  </si>
  <si>
    <t>E9PQY2</t>
  </si>
  <si>
    <t>E9PR30</t>
  </si>
  <si>
    <t>E9PR76</t>
  </si>
  <si>
    <t>E9PRM7</t>
  </si>
  <si>
    <t>E9PRR8</t>
  </si>
  <si>
    <t>E9PRY8</t>
  </si>
  <si>
    <t>E9PS17</t>
  </si>
  <si>
    <t>E9PSB8</t>
  </si>
  <si>
    <t>E9PSI1</t>
  </si>
  <si>
    <t>F2Z2I2</t>
  </si>
  <si>
    <t>F2Z2U8</t>
  </si>
  <si>
    <t>F2Z2V1</t>
  </si>
  <si>
    <t>F2Z2W7</t>
  </si>
  <si>
    <t>F2Z2X4</t>
  </si>
  <si>
    <t>F5GWD3</t>
  </si>
  <si>
    <t>F5GWH5</t>
  </si>
  <si>
    <t>F5GWI9</t>
  </si>
  <si>
    <t>F5GWT4</t>
  </si>
  <si>
    <t>F5GWX5</t>
  </si>
  <si>
    <t>F5GWY5</t>
  </si>
  <si>
    <t>F5GX09</t>
  </si>
  <si>
    <t>F5GX28</t>
  </si>
  <si>
    <t>F5GX82</t>
  </si>
  <si>
    <t>F5GXC8</t>
  </si>
  <si>
    <t>F5GXE4</t>
  </si>
  <si>
    <t>F5GXF9</t>
  </si>
  <si>
    <t>F5GXI4</t>
  </si>
  <si>
    <t>F5GXJ4</t>
  </si>
  <si>
    <t>F5GXK8</t>
  </si>
  <si>
    <t>F5GXX5</t>
  </si>
  <si>
    <t>F5GXY5</t>
  </si>
  <si>
    <t>F5GY92</t>
  </si>
  <si>
    <t>F5GY99</t>
  </si>
  <si>
    <t>F5GYJ5</t>
  </si>
  <si>
    <t>F5GYN4</t>
  </si>
  <si>
    <t>F5GYQ1</t>
  </si>
  <si>
    <t>F5GYV3</t>
  </si>
  <si>
    <t>F5GZ44</t>
  </si>
  <si>
    <t>F5GZ78</t>
  </si>
  <si>
    <t>F5GZH3</t>
  </si>
  <si>
    <t>F5GZK1</t>
  </si>
  <si>
    <t>F5GZP3</t>
  </si>
  <si>
    <t>F5GZS0</t>
  </si>
  <si>
    <t>F5GZS6</t>
  </si>
  <si>
    <t>F5GZX9</t>
  </si>
  <si>
    <t>F5H012</t>
  </si>
  <si>
    <t>F5H0B0</t>
  </si>
  <si>
    <t>F5H0F9</t>
  </si>
  <si>
    <t>F5H0L8</t>
  </si>
  <si>
    <t>F5H0Q6</t>
  </si>
  <si>
    <t>F5H0Y3</t>
  </si>
  <si>
    <t>F5H144</t>
  </si>
  <si>
    <t>F5H170</t>
  </si>
  <si>
    <t>F5H1G9</t>
  </si>
  <si>
    <t>F5H1L4</t>
  </si>
  <si>
    <t>F5H1R7</t>
  </si>
  <si>
    <t>F5H1X8</t>
  </si>
  <si>
    <t>F5H1Y4</t>
  </si>
  <si>
    <t>F5H1Z6</t>
  </si>
  <si>
    <t>F5H211</t>
  </si>
  <si>
    <t>F5H269</t>
  </si>
  <si>
    <t>F5H2H5</t>
  </si>
  <si>
    <t>F5H2J3</t>
  </si>
  <si>
    <t>F5H2Q7</t>
  </si>
  <si>
    <t>F5H2S7</t>
  </si>
  <si>
    <t>F5H2U2</t>
  </si>
  <si>
    <t>F5H2V5</t>
  </si>
  <si>
    <t>F5H315</t>
  </si>
  <si>
    <t>F5H365</t>
  </si>
  <si>
    <t>F5H4G7</t>
  </si>
  <si>
    <t>F5H4H2</t>
  </si>
  <si>
    <t>F5H4S9</t>
  </si>
  <si>
    <t>F5H4V9</t>
  </si>
  <si>
    <t>F5H569</t>
  </si>
  <si>
    <t>F5H577</t>
  </si>
  <si>
    <t>F5H5D3</t>
  </si>
  <si>
    <t>F5H5I6</t>
  </si>
  <si>
    <t>F5H5M7</t>
  </si>
  <si>
    <t>F5H5N0</t>
  </si>
  <si>
    <t>F5H5N1</t>
  </si>
  <si>
    <t>F5H5P2</t>
  </si>
  <si>
    <t>F5H5R8</t>
  </si>
  <si>
    <t>F5H604</t>
  </si>
  <si>
    <t>F5H620</t>
  </si>
  <si>
    <t>F5H698</t>
  </si>
  <si>
    <t>F5H6G7</t>
  </si>
  <si>
    <t>F5H702</t>
  </si>
  <si>
    <t>F5H721</t>
  </si>
  <si>
    <t>F5H7C4</t>
  </si>
  <si>
    <t>F5H7F6</t>
  </si>
  <si>
    <t>F5H7I4</t>
  </si>
  <si>
    <t>F5H7N9</t>
  </si>
  <si>
    <t>F5H7T0</t>
  </si>
  <si>
    <t>F5H7Z9</t>
  </si>
  <si>
    <t>F5H801</t>
  </si>
  <si>
    <t>F5H860</t>
  </si>
  <si>
    <t>F5H872</t>
  </si>
  <si>
    <t>F5H874</t>
  </si>
  <si>
    <t>F5H877</t>
  </si>
  <si>
    <t>F5H897</t>
  </si>
  <si>
    <t>F5H8D7</t>
  </si>
  <si>
    <t>F5H8H2</t>
  </si>
  <si>
    <t>F5H8L0</t>
  </si>
  <si>
    <t>F5H8L4</t>
  </si>
  <si>
    <t>F6PQP6</t>
  </si>
  <si>
    <t>F6RY50</t>
  </si>
  <si>
    <t>F6TDL0</t>
  </si>
  <si>
    <t>F6U1T9</t>
  </si>
  <si>
    <t>F6UJY9</t>
  </si>
  <si>
    <t>F6V707</t>
  </si>
  <si>
    <t>F6XY72</t>
  </si>
  <si>
    <t>F8VP89</t>
  </si>
  <si>
    <t>F8VPD4</t>
  </si>
  <si>
    <t>F8VQ10</t>
  </si>
  <si>
    <t>F8VQ19</t>
  </si>
  <si>
    <t>F8VQY2</t>
  </si>
  <si>
    <t>F8VQZ7</t>
  </si>
  <si>
    <t>F8VR27</t>
  </si>
  <si>
    <t>F8VRE8</t>
  </si>
  <si>
    <t>F8VS47</t>
  </si>
  <si>
    <t>F8VS78</t>
  </si>
  <si>
    <t>F8VSL3</t>
  </si>
  <si>
    <t>F8VSZ4</t>
  </si>
  <si>
    <t>F8VU90</t>
  </si>
  <si>
    <t>F8VUJ3</t>
  </si>
  <si>
    <t>F8VUW5</t>
  </si>
  <si>
    <t>F8VV52</t>
  </si>
  <si>
    <t>F8VV56</t>
  </si>
  <si>
    <t>F8VV59</t>
  </si>
  <si>
    <t>F8VVA7</t>
  </si>
  <si>
    <t>F8VW41</t>
  </si>
  <si>
    <t>F8VW96</t>
  </si>
  <si>
    <t>F8VWA6</t>
  </si>
  <si>
    <t>F8VWA9</t>
  </si>
  <si>
    <t>F8VX04</t>
  </si>
  <si>
    <t>F8VXG7</t>
  </si>
  <si>
    <t>F8VY35</t>
  </si>
  <si>
    <t>F8VYN9</t>
  </si>
  <si>
    <t>F8VZA2</t>
  </si>
  <si>
    <t>F8VZJ2</t>
  </si>
  <si>
    <t>F8W031</t>
  </si>
  <si>
    <t>F8W038</t>
  </si>
  <si>
    <t>F8W0Q9</t>
  </si>
  <si>
    <t>F8W1P7</t>
  </si>
  <si>
    <t>F8W1Q3</t>
  </si>
  <si>
    <t>F8W689</t>
  </si>
  <si>
    <t>F8W6I7</t>
  </si>
  <si>
    <t>F8W6N3</t>
  </si>
  <si>
    <t>F8W726</t>
  </si>
  <si>
    <t>F8W785</t>
  </si>
  <si>
    <t>F8W7D6</t>
  </si>
  <si>
    <t>F8W7Q4</t>
  </si>
  <si>
    <t>F8W7S1</t>
  </si>
  <si>
    <t>F8W8C2</t>
  </si>
  <si>
    <t>F8W8D3</t>
  </si>
  <si>
    <t>F8W8D8</t>
  </si>
  <si>
    <t>F8W8E4</t>
  </si>
  <si>
    <t>F8W8H5</t>
  </si>
  <si>
    <t>F8W8I6</t>
  </si>
  <si>
    <t>F8W8P5</t>
  </si>
  <si>
    <t>F8W8Q9</t>
  </si>
  <si>
    <t>F8W946</t>
  </si>
  <si>
    <t>F8W998</t>
  </si>
  <si>
    <t>F8W9E7</t>
  </si>
  <si>
    <t>F8W9F3</t>
  </si>
  <si>
    <t>F8W9F9</t>
  </si>
  <si>
    <t>F8W9I9</t>
  </si>
  <si>
    <t>F8W9Q9</t>
  </si>
  <si>
    <t>F8W9R9</t>
  </si>
  <si>
    <t>F8W9X7</t>
  </si>
  <si>
    <t>F8WAB8</t>
  </si>
  <si>
    <t>F8WAD8</t>
  </si>
  <si>
    <t>F8WAK8</t>
  </si>
  <si>
    <t>F8WB74</t>
  </si>
  <si>
    <t>F8WBK5</t>
  </si>
  <si>
    <t>F8WBY6</t>
  </si>
  <si>
    <t>F8WCP6</t>
  </si>
  <si>
    <t>F8WCZ9</t>
  </si>
  <si>
    <t>F8WD04</t>
  </si>
  <si>
    <t>F8WE42</t>
  </si>
  <si>
    <t>F8WEA9</t>
  </si>
  <si>
    <t>F8WEE4</t>
  </si>
  <si>
    <t>F8WF48</t>
  </si>
  <si>
    <t>F8WF93</t>
  </si>
  <si>
    <t>G3V0I5</t>
  </si>
  <si>
    <t>G3V145</t>
  </si>
  <si>
    <t>G3V1A6</t>
  </si>
  <si>
    <t>G3V1D3</t>
  </si>
  <si>
    <t>G3V1K3</t>
  </si>
  <si>
    <t>G3V1P3</t>
  </si>
  <si>
    <t>G3V1R9</t>
  </si>
  <si>
    <t>G3V1U0</t>
  </si>
  <si>
    <t>G3V1U5</t>
  </si>
  <si>
    <t>G3V1V1</t>
  </si>
  <si>
    <t>G3V203</t>
  </si>
  <si>
    <t>G3V207</t>
  </si>
  <si>
    <t>G3V238</t>
  </si>
  <si>
    <t>G3V2F7</t>
  </si>
  <si>
    <t>G3V2U7</t>
  </si>
  <si>
    <t>G3V325</t>
  </si>
  <si>
    <t>G3V379</t>
  </si>
  <si>
    <t>G3V394</t>
  </si>
  <si>
    <t>G3V396</t>
  </si>
  <si>
    <t>G3V3G9</t>
  </si>
  <si>
    <t>G3V3I4</t>
  </si>
  <si>
    <t>G3V4A5</t>
  </si>
  <si>
    <t>G3V4J6</t>
  </si>
  <si>
    <t>G3V4K3</t>
  </si>
  <si>
    <t>G3V4W0</t>
  </si>
  <si>
    <t>G3V583</t>
  </si>
  <si>
    <t>G3V599</t>
  </si>
  <si>
    <t>G3V5E1</t>
  </si>
  <si>
    <t>G3V5N8</t>
  </si>
  <si>
    <t>G3V5T0</t>
  </si>
  <si>
    <t>G3V5T9</t>
  </si>
  <si>
    <t>G3V5W1</t>
  </si>
  <si>
    <t>G3V5Z7</t>
  </si>
  <si>
    <t>G3XA81</t>
  </si>
  <si>
    <t>G3XAA0</t>
  </si>
  <si>
    <t>G3XAA2</t>
  </si>
  <si>
    <t>G3XAB3</t>
  </si>
  <si>
    <t>G3XAC1</t>
  </si>
  <si>
    <t>G3XAD5</t>
  </si>
  <si>
    <t>G3XAH6</t>
  </si>
  <si>
    <t>G3XAI2</t>
  </si>
  <si>
    <t>G3XAI9</t>
  </si>
  <si>
    <t>G3XAN4</t>
  </si>
  <si>
    <t>G3XAN8</t>
  </si>
  <si>
    <t>G5E933</t>
  </si>
  <si>
    <t>G5E975</t>
  </si>
  <si>
    <t>G5E9A6</t>
  </si>
  <si>
    <t>G5E9E7</t>
  </si>
  <si>
    <t>G5E9P3</t>
  </si>
  <si>
    <t>G5EA30</t>
  </si>
  <si>
    <t>G8JL98</t>
  </si>
  <si>
    <t>G8JLB3</t>
  </si>
  <si>
    <t>G8JLB6</t>
  </si>
  <si>
    <t>G8JLI5</t>
  </si>
  <si>
    <t>G8JLI6</t>
  </si>
  <si>
    <t>G8JLK4</t>
  </si>
  <si>
    <t>G8JLL2</t>
  </si>
  <si>
    <t>G8JLL7</t>
  </si>
  <si>
    <t>G8JLM6</t>
  </si>
  <si>
    <t>G8JLQ3</t>
  </si>
  <si>
    <t>H0UI80</t>
  </si>
  <si>
    <t>H0Y2P9</t>
  </si>
  <si>
    <t>H0Y2S9</t>
  </si>
  <si>
    <t>H0Y360</t>
  </si>
  <si>
    <t>H0Y362</t>
  </si>
  <si>
    <t>H0Y384</t>
  </si>
  <si>
    <t>H0Y3H2</t>
  </si>
  <si>
    <t>H0Y3P2</t>
  </si>
  <si>
    <t>H0Y3Z8</t>
  </si>
  <si>
    <t>H0Y412</t>
  </si>
  <si>
    <t>H0Y4G9</t>
  </si>
  <si>
    <t>H0Y4W2</t>
  </si>
  <si>
    <t>H0Y4Y2</t>
  </si>
  <si>
    <t>H0Y530</t>
  </si>
  <si>
    <t>H0Y5A1</t>
  </si>
  <si>
    <t>H0Y5D5</t>
  </si>
  <si>
    <t>H0Y5J5</t>
  </si>
  <si>
    <t>H0Y5Y0</t>
  </si>
  <si>
    <t>H0Y614</t>
  </si>
  <si>
    <t>H0Y6A0</t>
  </si>
  <si>
    <t>H0Y6I7</t>
  </si>
  <si>
    <t>H0Y6K2</t>
  </si>
  <si>
    <t>H0Y6K5</t>
  </si>
  <si>
    <t>H0Y6Y8</t>
  </si>
  <si>
    <t>H0Y7A7</t>
  </si>
  <si>
    <t>H0Y882</t>
  </si>
  <si>
    <t>H0Y8C3</t>
  </si>
  <si>
    <t>H0Y8D0</t>
  </si>
  <si>
    <t>H0Y9D6</t>
  </si>
  <si>
    <t>H0Y9S9</t>
  </si>
  <si>
    <t>H0Y9T8</t>
  </si>
  <si>
    <t>H0Y9X1</t>
  </si>
  <si>
    <t>H0YA52</t>
  </si>
  <si>
    <t>H0YA80</t>
  </si>
  <si>
    <t>H0YAV1</t>
  </si>
  <si>
    <t>H0YB73</t>
  </si>
  <si>
    <t>H0YBC7</t>
  </si>
  <si>
    <t>H0YBI6</t>
  </si>
  <si>
    <t>H0YBI8</t>
  </si>
  <si>
    <t>H0YBN0</t>
  </si>
  <si>
    <t>H0YBP1</t>
  </si>
  <si>
    <t>H0YBR0</t>
  </si>
  <si>
    <t>H0YBR2</t>
  </si>
  <si>
    <t>H0YD93</t>
  </si>
  <si>
    <t>H0YDQ8</t>
  </si>
  <si>
    <t>H0YDU8</t>
  </si>
  <si>
    <t>H0YEA7</t>
  </si>
  <si>
    <t>H0YEB6</t>
  </si>
  <si>
    <t>H0YEF3</t>
  </si>
  <si>
    <t>H0YEI0</t>
  </si>
  <si>
    <t>H0YEM6</t>
  </si>
  <si>
    <t>H0YEP5</t>
  </si>
  <si>
    <t>H0YGA7</t>
  </si>
  <si>
    <t>H0YGR4</t>
  </si>
  <si>
    <t>H0YHG0</t>
  </si>
  <si>
    <t>H0YHQ9</t>
  </si>
  <si>
    <t>H0YI09</t>
  </si>
  <si>
    <t>H0YI20</t>
  </si>
  <si>
    <t>H0YIE9</t>
  </si>
  <si>
    <t>H0YIV9</t>
  </si>
  <si>
    <t>H0YJ17</t>
  </si>
  <si>
    <t>H0YJE3</t>
  </si>
  <si>
    <t>H0YKD8</t>
  </si>
  <si>
    <t>H0YKJ9</t>
  </si>
  <si>
    <t>H0YL33</t>
  </si>
  <si>
    <t>H0YL70</t>
  </si>
  <si>
    <t>H0YLB5</t>
  </si>
  <si>
    <t>H0YLX2</t>
  </si>
  <si>
    <t>H0YMB3</t>
  </si>
  <si>
    <t>H0YME5</t>
  </si>
  <si>
    <t>H0YMG7</t>
  </si>
  <si>
    <t>H0YMJ0</t>
  </si>
  <si>
    <t>H0YMJ1</t>
  </si>
  <si>
    <t>H0YN78</t>
  </si>
  <si>
    <t>H0YNA7</t>
  </si>
  <si>
    <t>H0YNE9</t>
  </si>
  <si>
    <t>H0YNG3</t>
  </si>
  <si>
    <t>H0YNH6</t>
  </si>
  <si>
    <t>H0YNH8</t>
  </si>
  <si>
    <t>H0YNN9</t>
  </si>
  <si>
    <t>H0YNU5</t>
  </si>
  <si>
    <t>H3BLV0</t>
  </si>
  <si>
    <t>H3BLZ2</t>
  </si>
  <si>
    <t>H3BLZ8</t>
  </si>
  <si>
    <t>H3BM14</t>
  </si>
  <si>
    <t>H3BM42</t>
  </si>
  <si>
    <t>H3BM67</t>
  </si>
  <si>
    <t>H3BM91</t>
  </si>
  <si>
    <t>H3BMF4</t>
  </si>
  <si>
    <t>H3BML8</t>
  </si>
  <si>
    <t>H3BMM5</t>
  </si>
  <si>
    <t>H3BN98</t>
  </si>
  <si>
    <t>H3BNM4</t>
  </si>
  <si>
    <t>H3BNT4</t>
  </si>
  <si>
    <t>H3BNU9</t>
  </si>
  <si>
    <t>H3BP13</t>
  </si>
  <si>
    <t>H3BP20</t>
  </si>
  <si>
    <t>H3BP28</t>
  </si>
  <si>
    <t>H3BP77</t>
  </si>
  <si>
    <t>H3BPE1</t>
  </si>
  <si>
    <t>H3BPJ7</t>
  </si>
  <si>
    <t>H3BPL0</t>
  </si>
  <si>
    <t>H3BPS8</t>
  </si>
  <si>
    <t>H3BQA0</t>
  </si>
  <si>
    <t>H3BQA7</t>
  </si>
  <si>
    <t>H3BQQ9</t>
  </si>
  <si>
    <t>H3BQT8</t>
  </si>
  <si>
    <t>H3BQV3</t>
  </si>
  <si>
    <t>H3BR01</t>
  </si>
  <si>
    <t>H3BR94</t>
  </si>
  <si>
    <t>H3BRF9</t>
  </si>
  <si>
    <t>H3BRL3</t>
  </si>
  <si>
    <t>H3BRN4</t>
  </si>
  <si>
    <t>H3BRS1</t>
  </si>
  <si>
    <t>H3BRU1</t>
  </si>
  <si>
    <t>H3BRV0</t>
  </si>
  <si>
    <t>H3BRY6</t>
  </si>
  <si>
    <t>H3BS42</t>
  </si>
  <si>
    <t>H3BSM5</t>
  </si>
  <si>
    <t>H3BSM7</t>
  </si>
  <si>
    <t>H3BST1</t>
  </si>
  <si>
    <t>H3BSW6</t>
  </si>
  <si>
    <t>H3BTL1</t>
  </si>
  <si>
    <t>H3BTN5</t>
  </si>
  <si>
    <t>H3BTQ7</t>
  </si>
  <si>
    <t>H3BTX0</t>
  </si>
  <si>
    <t>H3BU23</t>
  </si>
  <si>
    <t>H3BU49</t>
  </si>
  <si>
    <t>H3BUJ1</t>
  </si>
  <si>
    <t>H3BUQ2</t>
  </si>
  <si>
    <t>H3BUY0</t>
  </si>
  <si>
    <t>H3BV80</t>
  </si>
  <si>
    <t>H3BVI4</t>
  </si>
  <si>
    <t>H6UMI1</t>
  </si>
  <si>
    <t>H7BXD5</t>
  </si>
  <si>
    <t>H7BXF5</t>
  </si>
  <si>
    <t>H7BXH2</t>
  </si>
  <si>
    <t>H7BXH9</t>
  </si>
  <si>
    <t>H7BXI1</t>
  </si>
  <si>
    <t>H7BXI5</t>
  </si>
  <si>
    <t>H7BXW7</t>
  </si>
  <si>
    <t>H7BXY3</t>
  </si>
  <si>
    <t>H7BY36</t>
  </si>
  <si>
    <t>H7BY58</t>
  </si>
  <si>
    <t>H7BYJ1</t>
  </si>
  <si>
    <t>H7BYQ6</t>
  </si>
  <si>
    <t>H7BYY1</t>
  </si>
  <si>
    <t>H7BZ94</t>
  </si>
  <si>
    <t>H7BZJ3</t>
  </si>
  <si>
    <t>H7BZK6</t>
  </si>
  <si>
    <t>H7BZT4</t>
  </si>
  <si>
    <t>H7C0G7</t>
  </si>
  <si>
    <t>H7C107</t>
  </si>
  <si>
    <t>H7C144</t>
  </si>
  <si>
    <t>H7C155</t>
  </si>
  <si>
    <t>H7C1F9</t>
  </si>
  <si>
    <t>H7C1I0</t>
  </si>
  <si>
    <t>H7C1N3</t>
  </si>
  <si>
    <t>H7C1U3</t>
  </si>
  <si>
    <t>H7C1U8</t>
  </si>
  <si>
    <t>H7C224</t>
  </si>
  <si>
    <t>H7C270</t>
  </si>
  <si>
    <t>H7C285</t>
  </si>
  <si>
    <t>H7C2G2</t>
  </si>
  <si>
    <t>H7C2Q8</t>
  </si>
  <si>
    <t>H7C2W9</t>
  </si>
  <si>
    <t>H7C3G9</t>
  </si>
  <si>
    <t>H7C3P4</t>
  </si>
  <si>
    <t>H7C3Q6</t>
  </si>
  <si>
    <t>H7C3T2</t>
  </si>
  <si>
    <t>H7C417</t>
  </si>
  <si>
    <t>H7C484</t>
  </si>
  <si>
    <t>H7C4K1</t>
  </si>
  <si>
    <t>H7C4W1</t>
  </si>
  <si>
    <t>H7C4X9</t>
  </si>
  <si>
    <t>H7C5F7</t>
  </si>
  <si>
    <t>H7C5G1</t>
  </si>
  <si>
    <t>H7C5R4</t>
  </si>
  <si>
    <t>H7C5R8</t>
  </si>
  <si>
    <t>H7C5W6</t>
  </si>
  <si>
    <t>H9KV70</t>
  </si>
  <si>
    <t>H9KVB4</t>
  </si>
  <si>
    <t>H9KVB8</t>
  </si>
  <si>
    <t>I3L097</t>
  </si>
  <si>
    <t>I3L0B8</t>
  </si>
  <si>
    <t>I3L0C1</t>
  </si>
  <si>
    <t>I3L0K1</t>
  </si>
  <si>
    <t>I3L0N3</t>
  </si>
  <si>
    <t>I3L0U5</t>
  </si>
  <si>
    <t>I3L112</t>
  </si>
  <si>
    <t>I3L1H5</t>
  </si>
  <si>
    <t>I3L1P8</t>
  </si>
  <si>
    <t>I3L1Q3</t>
  </si>
  <si>
    <t>I3L232</t>
  </si>
  <si>
    <t>I3L2B0</t>
  </si>
  <si>
    <t>I3L2C7</t>
  </si>
  <si>
    <t>I3L2J0</t>
  </si>
  <si>
    <t>I3L2J8</t>
  </si>
  <si>
    <t>I3L2L5</t>
  </si>
  <si>
    <t>I3L2R4</t>
  </si>
  <si>
    <t>I3L397</t>
  </si>
  <si>
    <t>I3L3A8</t>
  </si>
  <si>
    <t>I3L3B4</t>
  </si>
  <si>
    <t>I3L3P7</t>
  </si>
  <si>
    <t>I3L448</t>
  </si>
  <si>
    <t>I3L4X2</t>
  </si>
  <si>
    <t>I3L4X3</t>
  </si>
  <si>
    <t>I3L505</t>
  </si>
  <si>
    <t>I6L8B7</t>
  </si>
  <si>
    <t>J3KMW8</t>
  </si>
  <si>
    <t>J3KMX2</t>
  </si>
  <si>
    <t>J3KMY5</t>
  </si>
  <si>
    <t>J3KMZ7</t>
  </si>
  <si>
    <t>J3KMZ8</t>
  </si>
  <si>
    <t>J3KMZ9</t>
  </si>
  <si>
    <t>J3KN00</t>
  </si>
  <si>
    <t>J3KN16</t>
  </si>
  <si>
    <t>J3KN29</t>
  </si>
  <si>
    <t>J3KN32</t>
  </si>
  <si>
    <t>J3KN39</t>
  </si>
  <si>
    <t>J3KN66</t>
  </si>
  <si>
    <t>J3KN67</t>
  </si>
  <si>
    <t>J3KN69</t>
  </si>
  <si>
    <t>J3KN75</t>
  </si>
  <si>
    <t>J3KN82</t>
  </si>
  <si>
    <t>J3KNA0</t>
  </si>
  <si>
    <t>J3KND1</t>
  </si>
  <si>
    <t>J3KND3</t>
  </si>
  <si>
    <t>J3KND8</t>
  </si>
  <si>
    <t>J3KNE0</t>
  </si>
  <si>
    <t>J3KNF4</t>
  </si>
  <si>
    <t>J3KNF5</t>
  </si>
  <si>
    <t>J3KNF8</t>
  </si>
  <si>
    <t>J3KNI1</t>
  </si>
  <si>
    <t>J3KNL3</t>
  </si>
  <si>
    <t>J3KNL6</t>
  </si>
  <si>
    <t>J3KNM5</t>
  </si>
  <si>
    <t>J3KNN5</t>
  </si>
  <si>
    <t>J3KNP4</t>
  </si>
  <si>
    <t>J3KNR0</t>
  </si>
  <si>
    <t>J3KNT4</t>
  </si>
  <si>
    <t>J3KNV1</t>
  </si>
  <si>
    <t>J3KNW7</t>
  </si>
  <si>
    <t>J3KNX9</t>
  </si>
  <si>
    <t>J3KP26</t>
  </si>
  <si>
    <t>J3KPD4</t>
  </si>
  <si>
    <t>J3KPF9</t>
  </si>
  <si>
    <t>J3KPK1</t>
  </si>
  <si>
    <t>J3KPL2</t>
  </si>
  <si>
    <t>J3KPP4</t>
  </si>
  <si>
    <t>J3KPS0</t>
  </si>
  <si>
    <t>J3KPT4</t>
  </si>
  <si>
    <t>J3KPV1</t>
  </si>
  <si>
    <t>J3KPV7</t>
  </si>
  <si>
    <t>J3KPW7</t>
  </si>
  <si>
    <t>J3KPX5</t>
  </si>
  <si>
    <t>J3KPZ4</t>
  </si>
  <si>
    <t>J3KPZ8</t>
  </si>
  <si>
    <t>J3KQ32</t>
  </si>
  <si>
    <t>J3KQ34</t>
  </si>
  <si>
    <t>J3KQ40</t>
  </si>
  <si>
    <t>J3KQ48</t>
  </si>
  <si>
    <t>J3KQ88</t>
  </si>
  <si>
    <t>J3KQ98</t>
  </si>
  <si>
    <t>J3KQA0</t>
  </si>
  <si>
    <t>J3KQA6</t>
  </si>
  <si>
    <t>J3KQB0</t>
  </si>
  <si>
    <t>J3KQE0</t>
  </si>
  <si>
    <t>J3KQE5</t>
  </si>
  <si>
    <t>J3KQG4</t>
  </si>
  <si>
    <t>J3KQJ1</t>
  </si>
  <si>
    <t>J3KQL8</t>
  </si>
  <si>
    <t>J3KQS6</t>
  </si>
  <si>
    <t>J3KR35</t>
  </si>
  <si>
    <t>J3KR97</t>
  </si>
  <si>
    <t>J3KRC8</t>
  </si>
  <si>
    <t>J3KRP6</t>
  </si>
  <si>
    <t>J3KS05</t>
  </si>
  <si>
    <t>J3KS15</t>
  </si>
  <si>
    <t>J3KS94</t>
  </si>
  <si>
    <t>J3KSH1</t>
  </si>
  <si>
    <t>J3KSS7</t>
  </si>
  <si>
    <t>J3KTA1</t>
  </si>
  <si>
    <t>J3KTA4</t>
  </si>
  <si>
    <t>J3KTD2</t>
  </si>
  <si>
    <t>J3KTE9</t>
  </si>
  <si>
    <t>J3KTL2</t>
  </si>
  <si>
    <t>J3QK89</t>
  </si>
  <si>
    <t>J3QK90</t>
  </si>
  <si>
    <t>J3QKS7</t>
  </si>
  <si>
    <t>J3QKZ6</t>
  </si>
  <si>
    <t>J3QL56</t>
  </si>
  <si>
    <t>J3QL71</t>
  </si>
  <si>
    <t>J3QLB2</t>
  </si>
  <si>
    <t>J3QLK4</t>
  </si>
  <si>
    <t>J3QLS3</t>
  </si>
  <si>
    <t>J3QLV8</t>
  </si>
  <si>
    <t>J3QQJ0</t>
  </si>
  <si>
    <t>J3QQJ5</t>
  </si>
  <si>
    <t>J3QQM4</t>
  </si>
  <si>
    <t>J3QQT2</t>
  </si>
  <si>
    <t>J3QQW9</t>
  </si>
  <si>
    <t>J3QR07</t>
  </si>
  <si>
    <t>J3QR09</t>
  </si>
  <si>
    <t>J3QRH2</t>
  </si>
  <si>
    <t>J3QRM9</t>
  </si>
  <si>
    <t>J3QRS3</t>
  </si>
  <si>
    <t>J3QRS9</t>
  </si>
  <si>
    <t>J3QRU1</t>
  </si>
  <si>
    <t>J3QRU4</t>
  </si>
  <si>
    <t>J3QRV5</t>
  </si>
  <si>
    <t>J3QRX6</t>
  </si>
  <si>
    <t>J3QS41</t>
  </si>
  <si>
    <t>J3QSH4</t>
  </si>
  <si>
    <t>J3QSS3</t>
  </si>
  <si>
    <t>J3QSV6</t>
  </si>
  <si>
    <t>J3QSW3</t>
  </si>
  <si>
    <t>J3QT87</t>
  </si>
  <si>
    <t>J3QTA2</t>
  </si>
  <si>
    <t>J3QTA6</t>
  </si>
  <si>
    <t>J9JIC5</t>
  </si>
  <si>
    <t>J9JID7</t>
  </si>
  <si>
    <t>J9JID9</t>
  </si>
  <si>
    <t>J9JIE6</t>
  </si>
  <si>
    <t>K4DI92</t>
  </si>
  <si>
    <t>K4DI93</t>
  </si>
  <si>
    <t>K4DIA0</t>
  </si>
  <si>
    <t>K7EIJ0</t>
  </si>
  <si>
    <t>K7EIN2</t>
  </si>
  <si>
    <t>K7EIN7</t>
  </si>
  <si>
    <t>K7EIP7</t>
  </si>
  <si>
    <t>K7EIU8</t>
  </si>
  <si>
    <t>K7EIY4</t>
  </si>
  <si>
    <t>K7EJ78</t>
  </si>
  <si>
    <t>K7EJB9</t>
  </si>
  <si>
    <t>K7EJL1</t>
  </si>
  <si>
    <t>K7EJQ7</t>
  </si>
  <si>
    <t>K7EK00</t>
  </si>
  <si>
    <t>K7EK07</t>
  </si>
  <si>
    <t>K7EKE6</t>
  </si>
  <si>
    <t>K7EKI0</t>
  </si>
  <si>
    <t>K7EKI8</t>
  </si>
  <si>
    <t>K7EKW3</t>
  </si>
  <si>
    <t>K7EL21</t>
  </si>
  <si>
    <t>K7EL68</t>
  </si>
  <si>
    <t>K7ELL7</t>
  </si>
  <si>
    <t>K7EM02</t>
  </si>
  <si>
    <t>K7EM09</t>
  </si>
  <si>
    <t>K7EM88</t>
  </si>
  <si>
    <t>K7EMM8</t>
  </si>
  <si>
    <t>K7EMR7</t>
  </si>
  <si>
    <t>K7EMV5</t>
  </si>
  <si>
    <t>K7EN05</t>
  </si>
  <si>
    <t>K7EN88</t>
  </si>
  <si>
    <t>K7ENC0</t>
  </si>
  <si>
    <t>K7ENF0</t>
  </si>
  <si>
    <t>K7ENH4</t>
  </si>
  <si>
    <t>K7ENL9</t>
  </si>
  <si>
    <t>K7ENR6</t>
  </si>
  <si>
    <t>K7EP31</t>
  </si>
  <si>
    <t>K7EP32</t>
  </si>
  <si>
    <t>K7EP90</t>
  </si>
  <si>
    <t>K7EPJ5</t>
  </si>
  <si>
    <t>K7EPU2</t>
  </si>
  <si>
    <t>K7EPX7</t>
  </si>
  <si>
    <t>K7EQ34</t>
  </si>
  <si>
    <t>K7EQH5</t>
  </si>
  <si>
    <t>K7EQW8</t>
  </si>
  <si>
    <t>K7ER00</t>
  </si>
  <si>
    <t>K7ERF1</t>
  </si>
  <si>
    <t>K7ES11</t>
  </si>
  <si>
    <t>K7ES25</t>
  </si>
  <si>
    <t>K7ESE3</t>
  </si>
  <si>
    <t>K7ESE6</t>
  </si>
  <si>
    <t>K7ESI9</t>
  </si>
  <si>
    <t>M0QWZ7</t>
  </si>
  <si>
    <t>M0QX35</t>
  </si>
  <si>
    <t>M0QXA7</t>
  </si>
  <si>
    <t>M0QXT0</t>
  </si>
  <si>
    <t>M0QXZ5</t>
  </si>
  <si>
    <t>M0QY01</t>
  </si>
  <si>
    <t>M0QY29</t>
  </si>
  <si>
    <t>M0QYH5</t>
  </si>
  <si>
    <t>M0QYJ8</t>
  </si>
  <si>
    <t>M0QYM7</t>
  </si>
  <si>
    <t>M0QYS1</t>
  </si>
  <si>
    <t>M0QZ22</t>
  </si>
  <si>
    <t>M0QZ67</t>
  </si>
  <si>
    <t>M0QZM1</t>
  </si>
  <si>
    <t>M0QZR4</t>
  </si>
  <si>
    <t>M0QZW1</t>
  </si>
  <si>
    <t>M0R042</t>
  </si>
  <si>
    <t>M0R0B4</t>
  </si>
  <si>
    <t>M0R0F0</t>
  </si>
  <si>
    <t>M0R0N4</t>
  </si>
  <si>
    <t>M0R150</t>
  </si>
  <si>
    <t>M0R226</t>
  </si>
  <si>
    <t>M0R2A0</t>
  </si>
  <si>
    <t>M0R2B7</t>
  </si>
  <si>
    <t>M0R2C4</t>
  </si>
  <si>
    <t>M0R2U7</t>
  </si>
  <si>
    <t>M0R2Z1</t>
  </si>
  <si>
    <t>M0R300</t>
  </si>
  <si>
    <t>M0R328</t>
  </si>
  <si>
    <t>M0R366</t>
  </si>
  <si>
    <t>M0R3D4</t>
  </si>
  <si>
    <t>O00116</t>
  </si>
  <si>
    <t>O00139-2</t>
  </si>
  <si>
    <t>O00148</t>
  </si>
  <si>
    <t>O00151</t>
  </si>
  <si>
    <t>O00154</t>
  </si>
  <si>
    <t>O00159</t>
  </si>
  <si>
    <t>O00161</t>
  </si>
  <si>
    <t>O00165-5</t>
  </si>
  <si>
    <t>O00170</t>
  </si>
  <si>
    <t>O00178</t>
  </si>
  <si>
    <t>O00186</t>
  </si>
  <si>
    <t>O00203</t>
  </si>
  <si>
    <t>O00217</t>
  </si>
  <si>
    <t>O00220</t>
  </si>
  <si>
    <t>O00221</t>
  </si>
  <si>
    <t>O00231</t>
  </si>
  <si>
    <t>O00232</t>
  </si>
  <si>
    <t>O00244</t>
  </si>
  <si>
    <t>O00257</t>
  </si>
  <si>
    <t>O00264</t>
  </si>
  <si>
    <t>O00267-2</t>
  </si>
  <si>
    <t>O00273</t>
  </si>
  <si>
    <t>O00273-2</t>
  </si>
  <si>
    <t>O00287</t>
  </si>
  <si>
    <t>O00291</t>
  </si>
  <si>
    <t>O00299</t>
  </si>
  <si>
    <t>O00300</t>
  </si>
  <si>
    <t>O00308</t>
  </si>
  <si>
    <t>O00330</t>
  </si>
  <si>
    <t>O00391</t>
  </si>
  <si>
    <t>O00399</t>
  </si>
  <si>
    <t>O00400</t>
  </si>
  <si>
    <t>O00401</t>
  </si>
  <si>
    <t>O00410</t>
  </si>
  <si>
    <t>O00418</t>
  </si>
  <si>
    <t>O00422</t>
  </si>
  <si>
    <t>O00425</t>
  </si>
  <si>
    <t>O00429-3</t>
  </si>
  <si>
    <t>O00429-4</t>
  </si>
  <si>
    <t>O00442</t>
  </si>
  <si>
    <t>O00459</t>
  </si>
  <si>
    <t>O00462</t>
  </si>
  <si>
    <t>O00463</t>
  </si>
  <si>
    <t>O00468-6</t>
  </si>
  <si>
    <t>O00469-2</t>
  </si>
  <si>
    <t>O00471</t>
  </si>
  <si>
    <t>O00479</t>
  </si>
  <si>
    <t>O00483</t>
  </si>
  <si>
    <t>O00487</t>
  </si>
  <si>
    <t>O00488</t>
  </si>
  <si>
    <t>O00505</t>
  </si>
  <si>
    <t>O00506</t>
  </si>
  <si>
    <t>O00512</t>
  </si>
  <si>
    <t>O00515</t>
  </si>
  <si>
    <t>O00533-2</t>
  </si>
  <si>
    <t>O00534</t>
  </si>
  <si>
    <t>O00560</t>
  </si>
  <si>
    <t>O00566</t>
  </si>
  <si>
    <t>O00567</t>
  </si>
  <si>
    <t>O00571</t>
  </si>
  <si>
    <t>O00625</t>
  </si>
  <si>
    <t>O00629</t>
  </si>
  <si>
    <t>O00743</t>
  </si>
  <si>
    <t>O00754-2</t>
  </si>
  <si>
    <t>O00757</t>
  </si>
  <si>
    <t>O00762-2</t>
  </si>
  <si>
    <t>O00764</t>
  </si>
  <si>
    <t>O00767</t>
  </si>
  <si>
    <t>O14497</t>
  </si>
  <si>
    <t>O14519-2</t>
  </si>
  <si>
    <t>O14523</t>
  </si>
  <si>
    <t>O14545</t>
  </si>
  <si>
    <t>O14548</t>
  </si>
  <si>
    <t>O14556</t>
  </si>
  <si>
    <t>O14561</t>
  </si>
  <si>
    <t>O14578-4</t>
  </si>
  <si>
    <t>O14579</t>
  </si>
  <si>
    <t>O14617</t>
  </si>
  <si>
    <t>O14646-2</t>
  </si>
  <si>
    <t>O14656</t>
  </si>
  <si>
    <t>O14657</t>
  </si>
  <si>
    <t>O14662-2</t>
  </si>
  <si>
    <t>O14672</t>
  </si>
  <si>
    <t>O14686</t>
  </si>
  <si>
    <t>O14732</t>
  </si>
  <si>
    <t>O14733</t>
  </si>
  <si>
    <t>O14734</t>
  </si>
  <si>
    <t>O14737</t>
  </si>
  <si>
    <t>O14744</t>
  </si>
  <si>
    <t>O14745</t>
  </si>
  <si>
    <t>O14757</t>
  </si>
  <si>
    <t>O14763-2</t>
  </si>
  <si>
    <t>O14772</t>
  </si>
  <si>
    <t>O14773</t>
  </si>
  <si>
    <t>O14776-2</t>
  </si>
  <si>
    <t>O14777</t>
  </si>
  <si>
    <t>O14787-2</t>
  </si>
  <si>
    <t>O14818</t>
  </si>
  <si>
    <t>O14828</t>
  </si>
  <si>
    <t>O14841</t>
  </si>
  <si>
    <t>O14867</t>
  </si>
  <si>
    <t>O14874</t>
  </si>
  <si>
    <t>O14896</t>
  </si>
  <si>
    <t>O14907</t>
  </si>
  <si>
    <t>O14908</t>
  </si>
  <si>
    <t>O14920</t>
  </si>
  <si>
    <t>O14925</t>
  </si>
  <si>
    <t>O14929</t>
  </si>
  <si>
    <t>O14933</t>
  </si>
  <si>
    <t>O14949</t>
  </si>
  <si>
    <t>O14964</t>
  </si>
  <si>
    <t>O14965</t>
  </si>
  <si>
    <t>O14974</t>
  </si>
  <si>
    <t>O14975-2</t>
  </si>
  <si>
    <t>O14976</t>
  </si>
  <si>
    <t>O14979-3</t>
  </si>
  <si>
    <t>O14980</t>
  </si>
  <si>
    <t>O14981</t>
  </si>
  <si>
    <t>O15014</t>
  </si>
  <si>
    <t>O15015</t>
  </si>
  <si>
    <t>O15020</t>
  </si>
  <si>
    <t>O15031</t>
  </si>
  <si>
    <t>O15034</t>
  </si>
  <si>
    <t>O15037</t>
  </si>
  <si>
    <t>O15040</t>
  </si>
  <si>
    <t>O15047</t>
  </si>
  <si>
    <t>O15066</t>
  </si>
  <si>
    <t>O15067</t>
  </si>
  <si>
    <t>O15075-4</t>
  </si>
  <si>
    <t>O15083</t>
  </si>
  <si>
    <t>O15084</t>
  </si>
  <si>
    <t>O15091-2</t>
  </si>
  <si>
    <t>O15111</t>
  </si>
  <si>
    <t>O15116</t>
  </si>
  <si>
    <t>O15118</t>
  </si>
  <si>
    <t>O15120</t>
  </si>
  <si>
    <t>O15121</t>
  </si>
  <si>
    <t>O15126</t>
  </si>
  <si>
    <t>O15127</t>
  </si>
  <si>
    <t>O15143</t>
  </si>
  <si>
    <t>O15144</t>
  </si>
  <si>
    <t>O15145</t>
  </si>
  <si>
    <t>O15156</t>
  </si>
  <si>
    <t>O15160</t>
  </si>
  <si>
    <t>O15164-2</t>
  </si>
  <si>
    <t>O15169-2</t>
  </si>
  <si>
    <t>O15173</t>
  </si>
  <si>
    <t>O15212</t>
  </si>
  <si>
    <t>O15213</t>
  </si>
  <si>
    <t>O15217</t>
  </si>
  <si>
    <t>O15228</t>
  </si>
  <si>
    <t>O15230</t>
  </si>
  <si>
    <t>O15234</t>
  </si>
  <si>
    <t>O15240</t>
  </si>
  <si>
    <t>O15258</t>
  </si>
  <si>
    <t>O15264</t>
  </si>
  <si>
    <t>O15269</t>
  </si>
  <si>
    <t>O15270</t>
  </si>
  <si>
    <t>O15294</t>
  </si>
  <si>
    <t>O15305</t>
  </si>
  <si>
    <t>O15327</t>
  </si>
  <si>
    <t>O15344</t>
  </si>
  <si>
    <t>O15355</t>
  </si>
  <si>
    <t>O15357</t>
  </si>
  <si>
    <t>O15379</t>
  </si>
  <si>
    <t>O15382</t>
  </si>
  <si>
    <t>O15397</t>
  </si>
  <si>
    <t>O15400-2</t>
  </si>
  <si>
    <t>O15405-2</t>
  </si>
  <si>
    <t>O15427</t>
  </si>
  <si>
    <t>O15439-2</t>
  </si>
  <si>
    <t>O15446</t>
  </si>
  <si>
    <t>O15460-2</t>
  </si>
  <si>
    <t>O15498</t>
  </si>
  <si>
    <t>O15511</t>
  </si>
  <si>
    <t>O15514</t>
  </si>
  <si>
    <t>O15541</t>
  </si>
  <si>
    <t>O15551</t>
  </si>
  <si>
    <t>O43143</t>
  </si>
  <si>
    <t>O43148</t>
  </si>
  <si>
    <t>O43150-2</t>
  </si>
  <si>
    <t>O43156</t>
  </si>
  <si>
    <t>O43157-2</t>
  </si>
  <si>
    <t>O43164-2</t>
  </si>
  <si>
    <t>O43172-2</t>
  </si>
  <si>
    <t>O43175</t>
  </si>
  <si>
    <t>O43181</t>
  </si>
  <si>
    <t>O43237</t>
  </si>
  <si>
    <t>O43242</t>
  </si>
  <si>
    <t>O43252</t>
  </si>
  <si>
    <t>O43264</t>
  </si>
  <si>
    <t>O43278-2</t>
  </si>
  <si>
    <t>O43286</t>
  </si>
  <si>
    <t>O43290</t>
  </si>
  <si>
    <t>O43291</t>
  </si>
  <si>
    <t>O43292</t>
  </si>
  <si>
    <t>O43298</t>
  </si>
  <si>
    <t>O43314-2</t>
  </si>
  <si>
    <t>O43318-2</t>
  </si>
  <si>
    <t>O43325</t>
  </si>
  <si>
    <t>O43353</t>
  </si>
  <si>
    <t>O43379</t>
  </si>
  <si>
    <t>O43390</t>
  </si>
  <si>
    <t>O43395</t>
  </si>
  <si>
    <t>O43396</t>
  </si>
  <si>
    <t>O43399-4</t>
  </si>
  <si>
    <t>O43399-5</t>
  </si>
  <si>
    <t>O43402</t>
  </si>
  <si>
    <t>O43422</t>
  </si>
  <si>
    <t>O43427-2</t>
  </si>
  <si>
    <t>O43432</t>
  </si>
  <si>
    <t>O43439-2</t>
  </si>
  <si>
    <t>O43464-3</t>
  </si>
  <si>
    <t>O43474-1</t>
  </si>
  <si>
    <t>O43482</t>
  </si>
  <si>
    <t>O43488</t>
  </si>
  <si>
    <t>O43490-4</t>
  </si>
  <si>
    <t>O43493-4</t>
  </si>
  <si>
    <t>O43502</t>
  </si>
  <si>
    <t>O43504</t>
  </si>
  <si>
    <t>O43505</t>
  </si>
  <si>
    <t>O43513</t>
  </si>
  <si>
    <t>O43520</t>
  </si>
  <si>
    <t>O43524</t>
  </si>
  <si>
    <t>O43567</t>
  </si>
  <si>
    <t>O43583</t>
  </si>
  <si>
    <t>O43592</t>
  </si>
  <si>
    <t>O43597</t>
  </si>
  <si>
    <t>O43598</t>
  </si>
  <si>
    <t>O43615</t>
  </si>
  <si>
    <t>O43617</t>
  </si>
  <si>
    <t>O43633</t>
  </si>
  <si>
    <t>O43639</t>
  </si>
  <si>
    <t>O43657</t>
  </si>
  <si>
    <t>O43663-2</t>
  </si>
  <si>
    <t>O43676</t>
  </si>
  <si>
    <t>O43677</t>
  </si>
  <si>
    <t>O43678</t>
  </si>
  <si>
    <t>O43681</t>
  </si>
  <si>
    <t>O43684</t>
  </si>
  <si>
    <t>O43707</t>
  </si>
  <si>
    <t>O43709</t>
  </si>
  <si>
    <t>O43715</t>
  </si>
  <si>
    <t>O43719</t>
  </si>
  <si>
    <t>O43752</t>
  </si>
  <si>
    <t>O43760</t>
  </si>
  <si>
    <t>O43765</t>
  </si>
  <si>
    <t>O43766</t>
  </si>
  <si>
    <t>O43768-2</t>
  </si>
  <si>
    <t>O43772</t>
  </si>
  <si>
    <t>O43776</t>
  </si>
  <si>
    <t>O43805</t>
  </si>
  <si>
    <t>O43809</t>
  </si>
  <si>
    <t>O43813</t>
  </si>
  <si>
    <t>O43815</t>
  </si>
  <si>
    <t>O43818</t>
  </si>
  <si>
    <t>O43819</t>
  </si>
  <si>
    <t>O43820-4</t>
  </si>
  <si>
    <t>O43823</t>
  </si>
  <si>
    <t>O43826</t>
  </si>
  <si>
    <t>O43829</t>
  </si>
  <si>
    <t>O43837</t>
  </si>
  <si>
    <t>O43852</t>
  </si>
  <si>
    <t>O43865</t>
  </si>
  <si>
    <t>O43909</t>
  </si>
  <si>
    <t>O43913</t>
  </si>
  <si>
    <t>O43920</t>
  </si>
  <si>
    <t>O43924</t>
  </si>
  <si>
    <t>O43933</t>
  </si>
  <si>
    <t>O60216</t>
  </si>
  <si>
    <t>O60218</t>
  </si>
  <si>
    <t>O60220</t>
  </si>
  <si>
    <t>O60231</t>
  </si>
  <si>
    <t>O60239</t>
  </si>
  <si>
    <t>O60256</t>
  </si>
  <si>
    <t>O60264</t>
  </si>
  <si>
    <t>O60271-4</t>
  </si>
  <si>
    <t>O60292</t>
  </si>
  <si>
    <t>O60294</t>
  </si>
  <si>
    <t>O60299-2</t>
  </si>
  <si>
    <t>O60306</t>
  </si>
  <si>
    <t>O60313-2</t>
  </si>
  <si>
    <t>O60331-4</t>
  </si>
  <si>
    <t>O60333-2</t>
  </si>
  <si>
    <t>O60341</t>
  </si>
  <si>
    <t>O60343-2</t>
  </si>
  <si>
    <t>O60344-4</t>
  </si>
  <si>
    <t>O60346</t>
  </si>
  <si>
    <t>O60347</t>
  </si>
  <si>
    <t>O60353-2</t>
  </si>
  <si>
    <t>O60427</t>
  </si>
  <si>
    <t>O60449-2</t>
  </si>
  <si>
    <t>O60476</t>
  </si>
  <si>
    <t>O60486</t>
  </si>
  <si>
    <t>O60487</t>
  </si>
  <si>
    <t>O60488-2</t>
  </si>
  <si>
    <t>O60493</t>
  </si>
  <si>
    <t>O60502</t>
  </si>
  <si>
    <t>O60504-2</t>
  </si>
  <si>
    <t>O60506-3</t>
  </si>
  <si>
    <t>O60508</t>
  </si>
  <si>
    <t>O60518</t>
  </si>
  <si>
    <t>O60524-4</t>
  </si>
  <si>
    <t>O60547</t>
  </si>
  <si>
    <t>O60551</t>
  </si>
  <si>
    <t>O60563</t>
  </si>
  <si>
    <t>O60566-3</t>
  </si>
  <si>
    <t>O60568</t>
  </si>
  <si>
    <t>O60573</t>
  </si>
  <si>
    <t>O60583-2</t>
  </si>
  <si>
    <t>O60613</t>
  </si>
  <si>
    <t>O60635</t>
  </si>
  <si>
    <t>O60645-3</t>
  </si>
  <si>
    <t>O60662</t>
  </si>
  <si>
    <t>O60664</t>
  </si>
  <si>
    <t>O60671</t>
  </si>
  <si>
    <t>O60678</t>
  </si>
  <si>
    <t>O60701</t>
  </si>
  <si>
    <t>O60716-5</t>
  </si>
  <si>
    <t>O60725</t>
  </si>
  <si>
    <t>O60749</t>
  </si>
  <si>
    <t>O60763</t>
  </si>
  <si>
    <t>O60825-2</t>
  </si>
  <si>
    <t>O60826</t>
  </si>
  <si>
    <t>O60828</t>
  </si>
  <si>
    <t>O60830</t>
  </si>
  <si>
    <t>O60831</t>
  </si>
  <si>
    <t>O60832</t>
  </si>
  <si>
    <t>O60841</t>
  </si>
  <si>
    <t>O60869</t>
  </si>
  <si>
    <t>O60870</t>
  </si>
  <si>
    <t>O60884</t>
  </si>
  <si>
    <t>O60885</t>
  </si>
  <si>
    <t>O60888-3</t>
  </si>
  <si>
    <t>O60925</t>
  </si>
  <si>
    <t>O60927</t>
  </si>
  <si>
    <t>O60934</t>
  </si>
  <si>
    <t>O60942</t>
  </si>
  <si>
    <t>O75027</t>
  </si>
  <si>
    <t>O75044</t>
  </si>
  <si>
    <t>O75051</t>
  </si>
  <si>
    <t>O75054</t>
  </si>
  <si>
    <t>O75063</t>
  </si>
  <si>
    <t>O75071</t>
  </si>
  <si>
    <t>O75083</t>
  </si>
  <si>
    <t>O75095</t>
  </si>
  <si>
    <t>O75096</t>
  </si>
  <si>
    <t>O75110</t>
  </si>
  <si>
    <t>O75113</t>
  </si>
  <si>
    <t>O75116</t>
  </si>
  <si>
    <t>O75128-3</t>
  </si>
  <si>
    <t>O75131</t>
  </si>
  <si>
    <t>O75146</t>
  </si>
  <si>
    <t>O75150</t>
  </si>
  <si>
    <t>O75152</t>
  </si>
  <si>
    <t>O75153</t>
  </si>
  <si>
    <t>O75157-2</t>
  </si>
  <si>
    <t>O75161</t>
  </si>
  <si>
    <t>O75164</t>
  </si>
  <si>
    <t>O75165</t>
  </si>
  <si>
    <t>O75170-4</t>
  </si>
  <si>
    <t>O75175</t>
  </si>
  <si>
    <t>O75177-2</t>
  </si>
  <si>
    <t>O75179-2</t>
  </si>
  <si>
    <t>O75185</t>
  </si>
  <si>
    <t>O75191</t>
  </si>
  <si>
    <t>O75208</t>
  </si>
  <si>
    <t>O75223</t>
  </si>
  <si>
    <t>O75306</t>
  </si>
  <si>
    <t>O75312</t>
  </si>
  <si>
    <t>O75323</t>
  </si>
  <si>
    <t>O75330-2</t>
  </si>
  <si>
    <t>O75340</t>
  </si>
  <si>
    <t>O75347</t>
  </si>
  <si>
    <t>O75348</t>
  </si>
  <si>
    <t>O75351</t>
  </si>
  <si>
    <t>O75355</t>
  </si>
  <si>
    <t>O75362</t>
  </si>
  <si>
    <t>O75367-2</t>
  </si>
  <si>
    <t>O75368</t>
  </si>
  <si>
    <t>O75369-2</t>
  </si>
  <si>
    <t>O75376</t>
  </si>
  <si>
    <t>O75379-2</t>
  </si>
  <si>
    <t>O75380</t>
  </si>
  <si>
    <t>O75381-2</t>
  </si>
  <si>
    <t>O75382-2</t>
  </si>
  <si>
    <t>O75391</t>
  </si>
  <si>
    <t>O75396</t>
  </si>
  <si>
    <t>O75400-3</t>
  </si>
  <si>
    <t>O75419-2</t>
  </si>
  <si>
    <t>O75420</t>
  </si>
  <si>
    <t>O75427</t>
  </si>
  <si>
    <t>O75436</t>
  </si>
  <si>
    <t>O75438</t>
  </si>
  <si>
    <t>O75439</t>
  </si>
  <si>
    <t>O75446</t>
  </si>
  <si>
    <t>O75449</t>
  </si>
  <si>
    <t>O75460</t>
  </si>
  <si>
    <t>O75475</t>
  </si>
  <si>
    <t>O75475-3</t>
  </si>
  <si>
    <t>O75477</t>
  </si>
  <si>
    <t>O75487</t>
  </si>
  <si>
    <t>O75489</t>
  </si>
  <si>
    <t>O75503</t>
  </si>
  <si>
    <t>O75506</t>
  </si>
  <si>
    <t>O75521-2</t>
  </si>
  <si>
    <t>O75530-3</t>
  </si>
  <si>
    <t>O75531</t>
  </si>
  <si>
    <t>O75533</t>
  </si>
  <si>
    <t>O75534</t>
  </si>
  <si>
    <t>O75554</t>
  </si>
  <si>
    <t>O75569-3</t>
  </si>
  <si>
    <t>O75570</t>
  </si>
  <si>
    <t>O75600</t>
  </si>
  <si>
    <t>O75607</t>
  </si>
  <si>
    <t>O75608-2</t>
  </si>
  <si>
    <t>O75616</t>
  </si>
  <si>
    <t>O75629</t>
  </si>
  <si>
    <t>O75643</t>
  </si>
  <si>
    <t>O75663</t>
  </si>
  <si>
    <t>O75683</t>
  </si>
  <si>
    <t>O75688</t>
  </si>
  <si>
    <t>O75691</t>
  </si>
  <si>
    <t>O75717</t>
  </si>
  <si>
    <t>O75746</t>
  </si>
  <si>
    <t>O75791</t>
  </si>
  <si>
    <t>O75792</t>
  </si>
  <si>
    <t>O75794</t>
  </si>
  <si>
    <t>O75808</t>
  </si>
  <si>
    <t>O75818-2</t>
  </si>
  <si>
    <t>O75821</t>
  </si>
  <si>
    <t>O75822</t>
  </si>
  <si>
    <t>O75828</t>
  </si>
  <si>
    <t>O75832</t>
  </si>
  <si>
    <t>O75844</t>
  </si>
  <si>
    <t>O75845</t>
  </si>
  <si>
    <t>O75865</t>
  </si>
  <si>
    <t>O75874</t>
  </si>
  <si>
    <t>O75882</t>
  </si>
  <si>
    <t>O75884</t>
  </si>
  <si>
    <t>O75886</t>
  </si>
  <si>
    <t>O75891</t>
  </si>
  <si>
    <t>O75896</t>
  </si>
  <si>
    <t>O75915</t>
  </si>
  <si>
    <t>O75934</t>
  </si>
  <si>
    <t>O75935</t>
  </si>
  <si>
    <t>O75937</t>
  </si>
  <si>
    <t>O75940</t>
  </si>
  <si>
    <t>O75947</t>
  </si>
  <si>
    <t>O75955</t>
  </si>
  <si>
    <t>O75962</t>
  </si>
  <si>
    <t>O75964</t>
  </si>
  <si>
    <t>O75976</t>
  </si>
  <si>
    <t>O76003</t>
  </si>
  <si>
    <t>O76024</t>
  </si>
  <si>
    <t>O76031</t>
  </si>
  <si>
    <t>O76041-2</t>
  </si>
  <si>
    <t>O76054-4</t>
  </si>
  <si>
    <t>O76061</t>
  </si>
  <si>
    <t>O76070</t>
  </si>
  <si>
    <t>O76071</t>
  </si>
  <si>
    <t>O76074-2</t>
  </si>
  <si>
    <t>O76075</t>
  </si>
  <si>
    <t>O76080</t>
  </si>
  <si>
    <t>O76094</t>
  </si>
  <si>
    <t>O76095-2</t>
  </si>
  <si>
    <t>O77932</t>
  </si>
  <si>
    <t>O94760</t>
  </si>
  <si>
    <t>O94763</t>
  </si>
  <si>
    <t>O94766</t>
  </si>
  <si>
    <t>O94776</t>
  </si>
  <si>
    <t>O94804</t>
  </si>
  <si>
    <t>O94826</t>
  </si>
  <si>
    <t>O94829</t>
  </si>
  <si>
    <t>O94830</t>
  </si>
  <si>
    <t>O94832</t>
  </si>
  <si>
    <t>O94851-6</t>
  </si>
  <si>
    <t>O94855</t>
  </si>
  <si>
    <t>O94864-2</t>
  </si>
  <si>
    <t>O94874</t>
  </si>
  <si>
    <t>O94875-12</t>
  </si>
  <si>
    <t>O94876</t>
  </si>
  <si>
    <t>O94880</t>
  </si>
  <si>
    <t>O94880-2</t>
  </si>
  <si>
    <t>O94888</t>
  </si>
  <si>
    <t>O94889</t>
  </si>
  <si>
    <t>O94903</t>
  </si>
  <si>
    <t>O94906-2</t>
  </si>
  <si>
    <t>O94907</t>
  </si>
  <si>
    <t>O94913</t>
  </si>
  <si>
    <t>O94916-2</t>
  </si>
  <si>
    <t>O94925</t>
  </si>
  <si>
    <t>O94925-3</t>
  </si>
  <si>
    <t>O94941-2</t>
  </si>
  <si>
    <t>O94966-7</t>
  </si>
  <si>
    <t>O94967-4</t>
  </si>
  <si>
    <t>O94973-2</t>
  </si>
  <si>
    <t>O94992</t>
  </si>
  <si>
    <t>O95059</t>
  </si>
  <si>
    <t>O95067</t>
  </si>
  <si>
    <t>O95081</t>
  </si>
  <si>
    <t>O95104-3</t>
  </si>
  <si>
    <t>O95139</t>
  </si>
  <si>
    <t>O95140</t>
  </si>
  <si>
    <t>O95155-2</t>
  </si>
  <si>
    <t>O95159</t>
  </si>
  <si>
    <t>O95163</t>
  </si>
  <si>
    <t>O95167</t>
  </si>
  <si>
    <t>O95168</t>
  </si>
  <si>
    <t>O95171-3</t>
  </si>
  <si>
    <t>O95182</t>
  </si>
  <si>
    <t>O95196-3</t>
  </si>
  <si>
    <t>O95197-2</t>
  </si>
  <si>
    <t>O95202</t>
  </si>
  <si>
    <t>O95218-2</t>
  </si>
  <si>
    <t>O95219</t>
  </si>
  <si>
    <t>O95229</t>
  </si>
  <si>
    <t>O95231</t>
  </si>
  <si>
    <t>O95232</t>
  </si>
  <si>
    <t>O95239</t>
  </si>
  <si>
    <t>O95273</t>
  </si>
  <si>
    <t>O95274</t>
  </si>
  <si>
    <t>O95292</t>
  </si>
  <si>
    <t>O95295</t>
  </si>
  <si>
    <t>O95297-2</t>
  </si>
  <si>
    <t>O95298-2</t>
  </si>
  <si>
    <t>O95302</t>
  </si>
  <si>
    <t>O95336</t>
  </si>
  <si>
    <t>O95347</t>
  </si>
  <si>
    <t>O95352</t>
  </si>
  <si>
    <t>O95363</t>
  </si>
  <si>
    <t>O95365</t>
  </si>
  <si>
    <t>O95372</t>
  </si>
  <si>
    <t>O95373</t>
  </si>
  <si>
    <t>O95376</t>
  </si>
  <si>
    <t>O95391</t>
  </si>
  <si>
    <t>O95394</t>
  </si>
  <si>
    <t>O95396</t>
  </si>
  <si>
    <t>O95400</t>
  </si>
  <si>
    <t>O95402</t>
  </si>
  <si>
    <t>O95405-3</t>
  </si>
  <si>
    <t>O95409</t>
  </si>
  <si>
    <t>O95425-2</t>
  </si>
  <si>
    <t>O95429-2</t>
  </si>
  <si>
    <t>O95433</t>
  </si>
  <si>
    <t>O95453-2</t>
  </si>
  <si>
    <t>O95455</t>
  </si>
  <si>
    <t>O95456-2</t>
  </si>
  <si>
    <t>O95470</t>
  </si>
  <si>
    <t>O95471</t>
  </si>
  <si>
    <t>O95486</t>
  </si>
  <si>
    <t>O95487-2</t>
  </si>
  <si>
    <t>O95544</t>
  </si>
  <si>
    <t>O95551</t>
  </si>
  <si>
    <t>O95571</t>
  </si>
  <si>
    <t>O95573</t>
  </si>
  <si>
    <t>O95602</t>
  </si>
  <si>
    <t>O95619</t>
  </si>
  <si>
    <t>O95620</t>
  </si>
  <si>
    <t>O95628-5</t>
  </si>
  <si>
    <t>O95630</t>
  </si>
  <si>
    <t>O95639-3</t>
  </si>
  <si>
    <t>O95671-2</t>
  </si>
  <si>
    <t>O95684</t>
  </si>
  <si>
    <t>O95707</t>
  </si>
  <si>
    <t>O95716</t>
  </si>
  <si>
    <t>O95721</t>
  </si>
  <si>
    <t>O95747</t>
  </si>
  <si>
    <t>O95749</t>
  </si>
  <si>
    <t>O95750</t>
  </si>
  <si>
    <t>O95758-1</t>
  </si>
  <si>
    <t>O95777</t>
  </si>
  <si>
    <t>O95782-2</t>
  </si>
  <si>
    <t>O95801</t>
  </si>
  <si>
    <t>O95807</t>
  </si>
  <si>
    <t>O95810</t>
  </si>
  <si>
    <t>O95816</t>
  </si>
  <si>
    <t>O95817</t>
  </si>
  <si>
    <t>O95822</t>
  </si>
  <si>
    <t>O95825</t>
  </si>
  <si>
    <t>O95831-3</t>
  </si>
  <si>
    <t>O95833</t>
  </si>
  <si>
    <t>O95834-2</t>
  </si>
  <si>
    <t>O95848</t>
  </si>
  <si>
    <t>O95857</t>
  </si>
  <si>
    <t>O95861</t>
  </si>
  <si>
    <t>O95865</t>
  </si>
  <si>
    <t>O95873</t>
  </si>
  <si>
    <t>O95881</t>
  </si>
  <si>
    <t>O95905</t>
  </si>
  <si>
    <t>O95926</t>
  </si>
  <si>
    <t>O95983-2</t>
  </si>
  <si>
    <t>O95985</t>
  </si>
  <si>
    <t>O95989</t>
  </si>
  <si>
    <t>O95999</t>
  </si>
  <si>
    <t>O96000</t>
  </si>
  <si>
    <t>O96007</t>
  </si>
  <si>
    <t>O96008</t>
  </si>
  <si>
    <t>O96011-2</t>
  </si>
  <si>
    <t>O96013</t>
  </si>
  <si>
    <t>O96017</t>
  </si>
  <si>
    <t>O96018</t>
  </si>
  <si>
    <t>O96019</t>
  </si>
  <si>
    <t>O96033</t>
  </si>
  <si>
    <t>P00167-2</t>
  </si>
  <si>
    <t>P00338</t>
  </si>
  <si>
    <t>P00352</t>
  </si>
  <si>
    <t>P00367</t>
  </si>
  <si>
    <t>P00374</t>
  </si>
  <si>
    <t>P00387-2</t>
  </si>
  <si>
    <t>P00390-2</t>
  </si>
  <si>
    <t>P00403</t>
  </si>
  <si>
    <t>P00441</t>
  </si>
  <si>
    <t>P00491</t>
  </si>
  <si>
    <t>P00492</t>
  </si>
  <si>
    <t>P00505</t>
  </si>
  <si>
    <t>P00558</t>
  </si>
  <si>
    <t>P00813</t>
  </si>
  <si>
    <t>P00918</t>
  </si>
  <si>
    <t>P00966</t>
  </si>
  <si>
    <t>P01023</t>
  </si>
  <si>
    <t>P01034</t>
  </si>
  <si>
    <t>P01037</t>
  </si>
  <si>
    <t>P01111</t>
  </si>
  <si>
    <t>P01112</t>
  </si>
  <si>
    <t>P01116-2</t>
  </si>
  <si>
    <t>P01137</t>
  </si>
  <si>
    <t>P01350</t>
  </si>
  <si>
    <t>P01833</t>
  </si>
  <si>
    <t>P02144</t>
  </si>
  <si>
    <t>P02545</t>
  </si>
  <si>
    <t>P02545-2</t>
  </si>
  <si>
    <t>P02549-2</t>
  </si>
  <si>
    <t>P02649</t>
  </si>
  <si>
    <t>P02786</t>
  </si>
  <si>
    <t>P02787</t>
  </si>
  <si>
    <t>P02792</t>
  </si>
  <si>
    <t>P02794</t>
  </si>
  <si>
    <t>P02795</t>
  </si>
  <si>
    <t>P03928</t>
  </si>
  <si>
    <t>P03973</t>
  </si>
  <si>
    <t>P04040</t>
  </si>
  <si>
    <t>P04066</t>
  </si>
  <si>
    <t>P04075</t>
  </si>
  <si>
    <t>P04080</t>
  </si>
  <si>
    <t>P04083</t>
  </si>
  <si>
    <t>P04181</t>
  </si>
  <si>
    <t>P04183</t>
  </si>
  <si>
    <t>P04350</t>
  </si>
  <si>
    <t>P04406</t>
  </si>
  <si>
    <t>P04424</t>
  </si>
  <si>
    <t>P04632</t>
  </si>
  <si>
    <t>P04792</t>
  </si>
  <si>
    <t>P04818</t>
  </si>
  <si>
    <t>P04843</t>
  </si>
  <si>
    <t>P04844</t>
  </si>
  <si>
    <t>P04899</t>
  </si>
  <si>
    <t>P04920-2</t>
  </si>
  <si>
    <t>P05023-4</t>
  </si>
  <si>
    <t>P05060</t>
  </si>
  <si>
    <t>P05067-7</t>
  </si>
  <si>
    <t>P05091</t>
  </si>
  <si>
    <t>P05114</t>
  </si>
  <si>
    <t>P05141</t>
  </si>
  <si>
    <t>P05161</t>
  </si>
  <si>
    <t>P05165-2</t>
  </si>
  <si>
    <t>P05198</t>
  </si>
  <si>
    <t>P05204</t>
  </si>
  <si>
    <t>P05362</t>
  </si>
  <si>
    <t>P05386</t>
  </si>
  <si>
    <t>P05387</t>
  </si>
  <si>
    <t>P05388</t>
  </si>
  <si>
    <t>P05412</t>
  </si>
  <si>
    <t>P05413</t>
  </si>
  <si>
    <t>P05455</t>
  </si>
  <si>
    <t>P05556</t>
  </si>
  <si>
    <t>P05783</t>
  </si>
  <si>
    <t>P05976-2</t>
  </si>
  <si>
    <t>P06132</t>
  </si>
  <si>
    <t>P06276</t>
  </si>
  <si>
    <t>P06280</t>
  </si>
  <si>
    <t>P06396-2</t>
  </si>
  <si>
    <t>P06400</t>
  </si>
  <si>
    <t>P06493</t>
  </si>
  <si>
    <t>P06576</t>
  </si>
  <si>
    <t>P06733</t>
  </si>
  <si>
    <t>P06733-2</t>
  </si>
  <si>
    <t>P06737</t>
  </si>
  <si>
    <t>P06744</t>
  </si>
  <si>
    <t>P06748</t>
  </si>
  <si>
    <t>P06748-3</t>
  </si>
  <si>
    <t>P06753-3</t>
  </si>
  <si>
    <t>P06756-3</t>
  </si>
  <si>
    <t>P07108</t>
  </si>
  <si>
    <t>P07195</t>
  </si>
  <si>
    <t>P07199</t>
  </si>
  <si>
    <t>P07203</t>
  </si>
  <si>
    <t>P07205</t>
  </si>
  <si>
    <t>P07237</t>
  </si>
  <si>
    <t>P07305-2</t>
  </si>
  <si>
    <t>P07339</t>
  </si>
  <si>
    <t>P07355</t>
  </si>
  <si>
    <t>P07384</t>
  </si>
  <si>
    <t>P07686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</si>
  <si>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</si>
  <si>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</si>
  <si>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</si>
  <si>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</si>
  <si>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</si>
  <si>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</si>
  <si>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</si>
  <si>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</si>
  <si>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P07948-2</t>
  </si>
  <si>
    <t>P07951</t>
  </si>
  <si>
    <t>P07954-2</t>
  </si>
  <si>
    <t>P08034</t>
  </si>
  <si>
    <t>P08047</t>
  </si>
  <si>
    <t>P08107</t>
  </si>
  <si>
    <t>P08237</t>
  </si>
  <si>
    <t>P08238</t>
  </si>
  <si>
    <t>P08240</t>
  </si>
  <si>
    <t>P08243-2</t>
  </si>
  <si>
    <t>P08294</t>
  </si>
  <si>
    <t>P08397-2</t>
  </si>
  <si>
    <t>P08473</t>
  </si>
  <si>
    <t>P08559</t>
  </si>
  <si>
    <t>P08574</t>
  </si>
  <si>
    <t>P08579</t>
  </si>
  <si>
    <t>P08621</t>
  </si>
  <si>
    <t>P08754</t>
  </si>
  <si>
    <t>P08758</t>
  </si>
  <si>
    <t>P08910</t>
  </si>
  <si>
    <t>P09012</t>
  </si>
  <si>
    <t>P09038-2</t>
  </si>
  <si>
    <t>P09104</t>
  </si>
  <si>
    <t>P09110</t>
  </si>
  <si>
    <t>P09132</t>
  </si>
  <si>
    <t>P09172</t>
  </si>
  <si>
    <t>P09211</t>
  </si>
  <si>
    <t>P09234</t>
  </si>
  <si>
    <t>P09382</t>
  </si>
  <si>
    <t>P09417</t>
  </si>
  <si>
    <t>P09429</t>
  </si>
  <si>
    <t>P09467</t>
  </si>
  <si>
    <t>P09493-10</t>
  </si>
  <si>
    <t>P09493-3</t>
  </si>
  <si>
    <t>P09496-2</t>
  </si>
  <si>
    <t>P09497-2</t>
  </si>
  <si>
    <t>P09525</t>
  </si>
  <si>
    <t>P09543-2</t>
  </si>
  <si>
    <t>P09601</t>
  </si>
  <si>
    <t>P09619</t>
  </si>
  <si>
    <t>P09622</t>
  </si>
  <si>
    <t>P09661</t>
  </si>
  <si>
    <t>P09669</t>
  </si>
  <si>
    <t>P09874</t>
  </si>
  <si>
    <t>P09960</t>
  </si>
  <si>
    <t>P09972</t>
  </si>
  <si>
    <t>P0C024</t>
  </si>
  <si>
    <t>P0C7P0</t>
  </si>
  <si>
    <t>P0C7T5</t>
  </si>
  <si>
    <t>P0C870</t>
  </si>
  <si>
    <t>P0CAP2</t>
  </si>
  <si>
    <t>P0CG12</t>
  </si>
  <si>
    <t>P0CW22</t>
  </si>
  <si>
    <t>P0DJ93</t>
  </si>
  <si>
    <t>P10109</t>
  </si>
  <si>
    <t>P10114</t>
  </si>
  <si>
    <t>P10155</t>
  </si>
  <si>
    <t>P10176</t>
  </si>
  <si>
    <t>P10253</t>
  </si>
  <si>
    <t>P10301</t>
  </si>
  <si>
    <t>P10412</t>
  </si>
  <si>
    <t>P10515</t>
  </si>
  <si>
    <t>P10586-2</t>
  </si>
  <si>
    <t>P10599</t>
  </si>
  <si>
    <t>P10606</t>
  </si>
  <si>
    <t>P10619</t>
  </si>
  <si>
    <t>P10636-5</t>
  </si>
  <si>
    <t>P10643</t>
  </si>
  <si>
    <t>P10644</t>
  </si>
  <si>
    <t>P10746</t>
  </si>
  <si>
    <t>P10768</t>
  </si>
  <si>
    <t>P10809</t>
  </si>
  <si>
    <t>P10909-4</t>
  </si>
  <si>
    <t>P11021</t>
  </si>
  <si>
    <t>P11047</t>
  </si>
  <si>
    <t>P11086</t>
  </si>
  <si>
    <t>P11117</t>
  </si>
  <si>
    <t>P11142</t>
  </si>
  <si>
    <t>P11166</t>
  </si>
  <si>
    <t>P11171</t>
  </si>
  <si>
    <t>P11171-2</t>
  </si>
  <si>
    <t>P11172</t>
  </si>
  <si>
    <t>P11177</t>
  </si>
  <si>
    <t>P11182</t>
  </si>
  <si>
    <t>P11216</t>
  </si>
  <si>
    <t>P11233</t>
  </si>
  <si>
    <t>P11274</t>
  </si>
  <si>
    <t>P11279</t>
  </si>
  <si>
    <t>P11387</t>
  </si>
  <si>
    <t>P11388</t>
  </si>
  <si>
    <t>P11413</t>
  </si>
  <si>
    <t>P11441</t>
  </si>
  <si>
    <t>P11498</t>
  </si>
  <si>
    <t>P11586</t>
  </si>
  <si>
    <t>P11717</t>
  </si>
  <si>
    <t>P11766</t>
  </si>
  <si>
    <t>P11802</t>
  </si>
  <si>
    <t>P11908</t>
  </si>
  <si>
    <t>P11940-2</t>
  </si>
  <si>
    <t>P12004</t>
  </si>
  <si>
    <t>P12081</t>
  </si>
  <si>
    <t>P12109</t>
  </si>
  <si>
    <t>P12235</t>
  </si>
  <si>
    <t>P12236</t>
  </si>
  <si>
    <t>P12268</t>
  </si>
  <si>
    <t>P12270</t>
  </si>
  <si>
    <t>P12273</t>
  </si>
  <si>
    <t>P12277</t>
  </si>
  <si>
    <t>P12429</t>
  </si>
  <si>
    <t>P12532</t>
  </si>
  <si>
    <t>P12755</t>
  </si>
  <si>
    <t>P12814-2</t>
  </si>
  <si>
    <t>P12830</t>
  </si>
  <si>
    <t>P12955</t>
  </si>
  <si>
    <t>P12956</t>
  </si>
  <si>
    <t>P13010</t>
  </si>
  <si>
    <t>P13051</t>
  </si>
  <si>
    <t>P13056</t>
  </si>
  <si>
    <t>P13073</t>
  </si>
  <si>
    <t>P13196</t>
  </si>
  <si>
    <t>P13284</t>
  </si>
  <si>
    <t>P13489</t>
  </si>
  <si>
    <t>P13498</t>
  </si>
  <si>
    <t>P13521</t>
  </si>
  <si>
    <t>P13639</t>
  </si>
  <si>
    <t>P13667</t>
  </si>
  <si>
    <t>P13674</t>
  </si>
  <si>
    <t>P13674-2</t>
  </si>
  <si>
    <t>P13693</t>
  </si>
  <si>
    <t>P13804</t>
  </si>
  <si>
    <t>P13861</t>
  </si>
  <si>
    <t>P13929</t>
  </si>
  <si>
    <t>P13984</t>
  </si>
  <si>
    <t>P13995</t>
  </si>
  <si>
    <t>P14174</t>
  </si>
  <si>
    <t>P14222</t>
  </si>
  <si>
    <t>P14324-2</t>
  </si>
  <si>
    <t>P14550</t>
  </si>
  <si>
    <t>P14555</t>
  </si>
  <si>
    <t>P14618</t>
  </si>
  <si>
    <t>P14618-2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</si>
  <si>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</si>
  <si>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</si>
  <si>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</si>
  <si>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</si>
  <si>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</si>
  <si>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</si>
  <si>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</si>
  <si>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</si>
  <si>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P14923</t>
  </si>
  <si>
    <t>P14927</t>
  </si>
  <si>
    <t>P15104</t>
  </si>
  <si>
    <t>P15144</t>
  </si>
  <si>
    <t>P15151-3</t>
  </si>
  <si>
    <t>P15170-2</t>
  </si>
  <si>
    <t>P15289</t>
  </si>
  <si>
    <t>P15291-2</t>
  </si>
  <si>
    <t>P15311</t>
  </si>
  <si>
    <t>P15374</t>
  </si>
  <si>
    <t>P15407</t>
  </si>
  <si>
    <t>P15529-7</t>
  </si>
  <si>
    <t>P15531</t>
  </si>
  <si>
    <t>P15848</t>
  </si>
  <si>
    <t>P15880</t>
  </si>
  <si>
    <t>P15924</t>
  </si>
  <si>
    <t>P15927</t>
  </si>
  <si>
    <t>P15954</t>
  </si>
  <si>
    <t>P16144-2</t>
  </si>
  <si>
    <t>P16152</t>
  </si>
  <si>
    <t>P16188</t>
  </si>
  <si>
    <t>P16219</t>
  </si>
  <si>
    <t>P16220-2</t>
  </si>
  <si>
    <t>P16278-3</t>
  </si>
  <si>
    <t>P16298</t>
  </si>
  <si>
    <t>P16383</t>
  </si>
  <si>
    <t>P16401</t>
  </si>
  <si>
    <t>P16435</t>
  </si>
  <si>
    <t>P16455</t>
  </si>
  <si>
    <t>P16615</t>
  </si>
  <si>
    <t>P16930</t>
  </si>
  <si>
    <t>P16949</t>
  </si>
  <si>
    <t>P16989</t>
  </si>
  <si>
    <t>P16989-2</t>
  </si>
  <si>
    <t>P17026</t>
  </si>
  <si>
    <t>P17028</t>
  </si>
  <si>
    <t>P17039</t>
  </si>
  <si>
    <t>P17050</t>
  </si>
  <si>
    <t>P17066</t>
  </si>
  <si>
    <t>P17096</t>
  </si>
  <si>
    <t>P17096-2</t>
  </si>
  <si>
    <t>P17152</t>
  </si>
  <si>
    <t>P17174</t>
  </si>
  <si>
    <t>P17252</t>
  </si>
  <si>
    <t>P17275</t>
  </si>
  <si>
    <t>P17301</t>
  </si>
  <si>
    <t>P17535</t>
  </si>
  <si>
    <t>P17568</t>
  </si>
  <si>
    <t>P17612</t>
  </si>
  <si>
    <t>P17655</t>
  </si>
  <si>
    <t>P17706-2</t>
  </si>
  <si>
    <t>P17812</t>
  </si>
  <si>
    <t>P17858</t>
  </si>
  <si>
    <t>P17900</t>
  </si>
  <si>
    <t>P17931</t>
  </si>
  <si>
    <t>P17987</t>
  </si>
  <si>
    <t>P18031</t>
  </si>
  <si>
    <t>P18065</t>
  </si>
  <si>
    <t>P18085</t>
  </si>
  <si>
    <t>P18124</t>
  </si>
  <si>
    <t>P18146</t>
  </si>
  <si>
    <t>P18206-2</t>
  </si>
  <si>
    <t>P18283</t>
  </si>
  <si>
    <t>P18583-2</t>
  </si>
  <si>
    <t>P18615</t>
  </si>
  <si>
    <t>P18669</t>
  </si>
  <si>
    <t>P18754</t>
  </si>
  <si>
    <t>P18827</t>
  </si>
  <si>
    <t>P18846</t>
  </si>
  <si>
    <t>P18858</t>
  </si>
  <si>
    <t>P18859</t>
  </si>
  <si>
    <t>P19021-6</t>
  </si>
  <si>
    <t>P19174</t>
  </si>
  <si>
    <t>P19338</t>
  </si>
  <si>
    <t>P19367</t>
  </si>
  <si>
    <t>P19387</t>
  </si>
  <si>
    <t>P19388</t>
  </si>
  <si>
    <t>P19525</t>
  </si>
  <si>
    <t>P19623</t>
  </si>
  <si>
    <t>P19784</t>
  </si>
  <si>
    <t>P19838</t>
  </si>
  <si>
    <t>P20020-6</t>
  </si>
  <si>
    <t>P20042</t>
  </si>
  <si>
    <t>P20248</t>
  </si>
  <si>
    <t>P20290</t>
  </si>
  <si>
    <t>P20290-2</t>
  </si>
  <si>
    <t>P20309</t>
  </si>
  <si>
    <t>P20336</t>
  </si>
  <si>
    <t>P20338</t>
  </si>
  <si>
    <t>P20340</t>
  </si>
  <si>
    <t>P20340-2</t>
  </si>
  <si>
    <t>P20585</t>
  </si>
  <si>
    <t>P20618</t>
  </si>
  <si>
    <t>P20645</t>
  </si>
  <si>
    <t>P20674</t>
  </si>
  <si>
    <t>P20700</t>
  </si>
  <si>
    <t>P20719</t>
  </si>
  <si>
    <t>P20810-5</t>
  </si>
  <si>
    <t>P20933</t>
  </si>
  <si>
    <t>P20962</t>
  </si>
  <si>
    <t>P21127-8</t>
  </si>
  <si>
    <t>P21281</t>
  </si>
  <si>
    <t>P21283</t>
  </si>
  <si>
    <t>P21291</t>
  </si>
  <si>
    <t>P21333-2</t>
  </si>
  <si>
    <t>P21359-2</t>
  </si>
  <si>
    <t>P21397</t>
  </si>
  <si>
    <t>P21399</t>
  </si>
  <si>
    <t>P21580</t>
  </si>
  <si>
    <t>P21583-2</t>
  </si>
  <si>
    <t>P21695-2</t>
  </si>
  <si>
    <t>P21796</t>
  </si>
  <si>
    <t>P21912</t>
  </si>
  <si>
    <t>P21953</t>
  </si>
  <si>
    <t>P21964-2</t>
  </si>
  <si>
    <t>P22033</t>
  </si>
  <si>
    <t>P22059</t>
  </si>
  <si>
    <t>P22083</t>
  </si>
  <si>
    <t>P22087</t>
  </si>
  <si>
    <t>P22102</t>
  </si>
  <si>
    <t>P22234</t>
  </si>
  <si>
    <t>P22304</t>
  </si>
  <si>
    <t>P22307-6</t>
  </si>
  <si>
    <t>P22314</t>
  </si>
  <si>
    <t>P22532</t>
  </si>
  <si>
    <t>P22570</t>
  </si>
  <si>
    <t>P22626</t>
  </si>
  <si>
    <t>P22681</t>
  </si>
  <si>
    <t>P22694</t>
  </si>
  <si>
    <t>P22695</t>
  </si>
  <si>
    <t>P22830</t>
  </si>
  <si>
    <t>P23025</t>
  </si>
  <si>
    <t>P23141-3</t>
  </si>
  <si>
    <t>P23193</t>
  </si>
  <si>
    <t>P23246</t>
  </si>
  <si>
    <t>P23258</t>
  </si>
  <si>
    <t>P23280</t>
  </si>
  <si>
    <t>P23284</t>
  </si>
  <si>
    <t>P23368</t>
  </si>
  <si>
    <t>P23381</t>
  </si>
  <si>
    <t>P23396</t>
  </si>
  <si>
    <t>P23409</t>
  </si>
  <si>
    <t>P23434</t>
  </si>
  <si>
    <t>P23458</t>
  </si>
  <si>
    <t>P23469-2</t>
  </si>
  <si>
    <t>P23470-2</t>
  </si>
  <si>
    <t>P23497</t>
  </si>
  <si>
    <t>P23511-2</t>
  </si>
  <si>
    <t>P23526</t>
  </si>
  <si>
    <t>P23528</t>
  </si>
  <si>
    <t>P23610</t>
  </si>
  <si>
    <t>P23786</t>
  </si>
  <si>
    <t>P23919</t>
  </si>
  <si>
    <t>P23921</t>
  </si>
  <si>
    <t>P24385</t>
  </si>
  <si>
    <t>P24468</t>
  </si>
  <si>
    <t>P24534</t>
  </si>
  <si>
    <t>P24593</t>
  </si>
  <si>
    <t>P24666</t>
  </si>
  <si>
    <t>P24666-2</t>
  </si>
  <si>
    <t>P24752</t>
  </si>
  <si>
    <t>P24928</t>
  </si>
  <si>
    <t>P25054-2</t>
  </si>
  <si>
    <t>P25098</t>
  </si>
  <si>
    <t>P25205</t>
  </si>
  <si>
    <t>P25311</t>
  </si>
  <si>
    <t>P25398</t>
  </si>
  <si>
    <t>P25490</t>
  </si>
  <si>
    <t>P25685</t>
  </si>
  <si>
    <t>P25705</t>
  </si>
  <si>
    <t>P25705-2</t>
  </si>
  <si>
    <t>P25786</t>
  </si>
  <si>
    <t>P25787</t>
  </si>
  <si>
    <t>P25788-2</t>
  </si>
  <si>
    <t>P25789</t>
  </si>
  <si>
    <t>P25815</t>
  </si>
  <si>
    <t>P26038</t>
  </si>
  <si>
    <t>P26196</t>
  </si>
  <si>
    <t>P26358</t>
  </si>
  <si>
    <t>P26368-2</t>
  </si>
  <si>
    <t>P26373</t>
  </si>
  <si>
    <t>P26440</t>
  </si>
  <si>
    <t>P26447</t>
  </si>
  <si>
    <t>P26572</t>
  </si>
  <si>
    <t>P26583</t>
  </si>
  <si>
    <t>P26599</t>
  </si>
  <si>
    <t>P26639</t>
  </si>
  <si>
    <t>P26641</t>
  </si>
  <si>
    <t>P26885</t>
  </si>
  <si>
    <t>P27144</t>
  </si>
  <si>
    <t>P27338</t>
  </si>
  <si>
    <t>P27348</t>
  </si>
  <si>
    <t>P27361</t>
  </si>
  <si>
    <t>P27449</t>
  </si>
  <si>
    <t>P27482</t>
  </si>
  <si>
    <t>P27540-2</t>
  </si>
  <si>
    <t>P27635</t>
  </si>
  <si>
    <t>P27694</t>
  </si>
  <si>
    <t>P27695</t>
  </si>
  <si>
    <t>P27797</t>
  </si>
  <si>
    <t>P27824</t>
  </si>
  <si>
    <t>P27986</t>
  </si>
  <si>
    <t>P27987</t>
  </si>
  <si>
    <t>P28062-2</t>
  </si>
  <si>
    <t>P28066</t>
  </si>
  <si>
    <t>P28070</t>
  </si>
  <si>
    <t>P28072</t>
  </si>
  <si>
    <t>P28074</t>
  </si>
  <si>
    <t>P28331-4</t>
  </si>
  <si>
    <t>P28482</t>
  </si>
  <si>
    <t>P28702</t>
  </si>
  <si>
    <t>P28715</t>
  </si>
  <si>
    <t>P28799</t>
  </si>
  <si>
    <t>P28838-2</t>
  </si>
  <si>
    <t>P29034</t>
  </si>
  <si>
    <t>P29083</t>
  </si>
  <si>
    <t>P29084</t>
  </si>
  <si>
    <t>P29144</t>
  </si>
  <si>
    <t>P29218</t>
  </si>
  <si>
    <t>P29317</t>
  </si>
  <si>
    <t>P29323-2</t>
  </si>
  <si>
    <t>P29350</t>
  </si>
  <si>
    <t>P29353-2</t>
  </si>
  <si>
    <t>P29372-5</t>
  </si>
  <si>
    <t>P29373</t>
  </si>
  <si>
    <t>P29400</t>
  </si>
  <si>
    <t>P29401</t>
  </si>
  <si>
    <t>P29590-11</t>
  </si>
  <si>
    <t>P29966</t>
  </si>
  <si>
    <t>P29992</t>
  </si>
  <si>
    <t>P30038</t>
  </si>
  <si>
    <t>P30040</t>
  </si>
  <si>
    <t>P30041</t>
  </si>
  <si>
    <t>P30042</t>
  </si>
  <si>
    <t>P30043</t>
  </si>
  <si>
    <t>P30044</t>
  </si>
  <si>
    <t>P30046</t>
  </si>
  <si>
    <t>P30047</t>
  </si>
  <si>
    <t>P30049</t>
  </si>
  <si>
    <t>P30050</t>
  </si>
  <si>
    <t>P30084</t>
  </si>
  <si>
    <t>P30085</t>
  </si>
  <si>
    <t>P30086</t>
  </si>
  <si>
    <t>P30101</t>
  </si>
  <si>
    <t>P30153</t>
  </si>
  <si>
    <t>P30154</t>
  </si>
  <si>
    <t>P30260</t>
  </si>
  <si>
    <t>P30281-3</t>
  </si>
  <si>
    <t>P30291</t>
  </si>
  <si>
    <t>P30405</t>
  </si>
  <si>
    <t>P30414</t>
  </si>
  <si>
    <t>P30419</t>
  </si>
  <si>
    <t>P30443</t>
  </si>
  <si>
    <t>P30504</t>
  </si>
  <si>
    <t>P30508</t>
  </si>
  <si>
    <t>P30519</t>
  </si>
  <si>
    <t>P30520</t>
  </si>
  <si>
    <t>P30533</t>
  </si>
  <si>
    <t>P30566</t>
  </si>
  <si>
    <t>P30622-2</t>
  </si>
  <si>
    <t>P30711</t>
  </si>
  <si>
    <t>P30740</t>
  </si>
  <si>
    <t>P30825</t>
  </si>
  <si>
    <t>P30837</t>
  </si>
  <si>
    <t>P30838</t>
  </si>
  <si>
    <t>P31040</t>
  </si>
  <si>
    <t>P31146</t>
  </si>
  <si>
    <t>P31150</t>
  </si>
  <si>
    <t>P31153</t>
  </si>
  <si>
    <t>P31321</t>
  </si>
  <si>
    <t>P31323</t>
  </si>
  <si>
    <t>P31350</t>
  </si>
  <si>
    <t>P31641</t>
  </si>
  <si>
    <t>P31689</t>
  </si>
  <si>
    <t>P31749</t>
  </si>
  <si>
    <t>P31751</t>
  </si>
  <si>
    <t>P31930</t>
  </si>
  <si>
    <t>P31937</t>
  </si>
  <si>
    <t>P31939</t>
  </si>
  <si>
    <t>P31942-2</t>
  </si>
  <si>
    <t>P31946</t>
  </si>
  <si>
    <t>P31947</t>
  </si>
  <si>
    <t>P31948</t>
  </si>
  <si>
    <t>P31949</t>
  </si>
  <si>
    <t>P32119</t>
  </si>
  <si>
    <t>P32121-5</t>
  </si>
  <si>
    <t>P32189-1</t>
  </si>
  <si>
    <t>P32321-2</t>
  </si>
  <si>
    <t>P32322</t>
  </si>
  <si>
    <t>P32519-2</t>
  </si>
  <si>
    <t>P32780</t>
  </si>
  <si>
    <t>P32929</t>
  </si>
  <si>
    <t>P32969</t>
  </si>
  <si>
    <t>P33121</t>
  </si>
  <si>
    <t>P33176</t>
  </si>
  <si>
    <t>P33240-2</t>
  </si>
  <si>
    <t>P33241-2</t>
  </si>
  <si>
    <t>P33316-2</t>
  </si>
  <si>
    <t>P33552</t>
  </si>
  <si>
    <t>P33764</t>
  </si>
  <si>
    <t>P33908</t>
  </si>
  <si>
    <t>P33981-2</t>
  </si>
  <si>
    <t>P33991</t>
  </si>
  <si>
    <t>P33992</t>
  </si>
  <si>
    <t>P33993</t>
  </si>
  <si>
    <t>P34059</t>
  </si>
  <si>
    <t>P34896-2</t>
  </si>
  <si>
    <t>P34897-3</t>
  </si>
  <si>
    <t>P34932</t>
  </si>
  <si>
    <t>P34949</t>
  </si>
  <si>
    <t>P35219</t>
  </si>
  <si>
    <t>P35221</t>
  </si>
  <si>
    <t>P35227</t>
  </si>
  <si>
    <t>P35232</t>
  </si>
  <si>
    <t>P35237</t>
  </si>
  <si>
    <t>P35241</t>
  </si>
  <si>
    <t>P35244</t>
  </si>
  <si>
    <t>P35250</t>
  </si>
  <si>
    <t>P35251-2</t>
  </si>
  <si>
    <t>P35268</t>
  </si>
  <si>
    <t>P35269</t>
  </si>
  <si>
    <t>P35270</t>
  </si>
  <si>
    <t>P35318</t>
  </si>
  <si>
    <t>P35475</t>
  </si>
  <si>
    <t>P35573</t>
  </si>
  <si>
    <t>P35579</t>
  </si>
  <si>
    <t>P35580</t>
  </si>
  <si>
    <t>P35606</t>
  </si>
  <si>
    <t>P35610</t>
  </si>
  <si>
    <t>P35611</t>
  </si>
  <si>
    <t>P35613-2</t>
  </si>
  <si>
    <t>P35637-2</t>
  </si>
  <si>
    <t>P35658-2</t>
  </si>
  <si>
    <t>P35659</t>
  </si>
  <si>
    <t>P35754</t>
  </si>
  <si>
    <t>P35790</t>
  </si>
  <si>
    <t>P35813</t>
  </si>
  <si>
    <t>P35998</t>
  </si>
  <si>
    <t>P36404</t>
  </si>
  <si>
    <t>P36405</t>
  </si>
  <si>
    <t>P36507</t>
  </si>
  <si>
    <t>P36542</t>
  </si>
  <si>
    <t>P36543</t>
  </si>
  <si>
    <t>P36551</t>
  </si>
  <si>
    <t>P36578</t>
  </si>
  <si>
    <t>P36639-4</t>
  </si>
  <si>
    <t>P36871</t>
  </si>
  <si>
    <t>P36873-2</t>
  </si>
  <si>
    <t>P36915</t>
  </si>
  <si>
    <t>P36952</t>
  </si>
  <si>
    <t>P36954</t>
  </si>
  <si>
    <t>P36955</t>
  </si>
  <si>
    <t>P36957</t>
  </si>
  <si>
    <t>P36959</t>
  </si>
  <si>
    <t>P36969-2</t>
  </si>
  <si>
    <t>P37108</t>
  </si>
  <si>
    <t>P37198</t>
  </si>
  <si>
    <t>P37235</t>
  </si>
  <si>
    <t>P37268</t>
  </si>
  <si>
    <t>P37802</t>
  </si>
  <si>
    <t>P37837</t>
  </si>
  <si>
    <t>P38117</t>
  </si>
  <si>
    <t>P38159</t>
  </si>
  <si>
    <t>P38432</t>
  </si>
  <si>
    <t>P38435</t>
  </si>
  <si>
    <t>P38571-2</t>
  </si>
  <si>
    <t>P38606</t>
  </si>
  <si>
    <t>P38646</t>
  </si>
  <si>
    <t>P38919</t>
  </si>
  <si>
    <t>P38935</t>
  </si>
  <si>
    <t>P39019</t>
  </si>
  <si>
    <t>P39023</t>
  </si>
  <si>
    <t>P39656</t>
  </si>
  <si>
    <t>P39687</t>
  </si>
  <si>
    <t>P39748</t>
  </si>
  <si>
    <t>P39880-3</t>
  </si>
  <si>
    <t>P40222</t>
  </si>
  <si>
    <t>P40227</t>
  </si>
  <si>
    <t>P40692</t>
  </si>
  <si>
    <t>P40763</t>
  </si>
  <si>
    <t>P40818</t>
  </si>
  <si>
    <t>P40925</t>
  </si>
  <si>
    <t>P40926</t>
  </si>
  <si>
    <t>P40937</t>
  </si>
  <si>
    <t>P40938-2</t>
  </si>
  <si>
    <t>P40939</t>
  </si>
  <si>
    <t>P41091</t>
  </si>
  <si>
    <t>P41134</t>
  </si>
  <si>
    <t>P41182-2</t>
  </si>
  <si>
    <t>P41208</t>
  </si>
  <si>
    <t>P41214</t>
  </si>
  <si>
    <t>P41223</t>
  </si>
  <si>
    <t>P41227</t>
  </si>
  <si>
    <t>P41229-3</t>
  </si>
  <si>
    <t>P41240</t>
  </si>
  <si>
    <t>P41247</t>
  </si>
  <si>
    <t>P41250</t>
  </si>
  <si>
    <t>P41252</t>
  </si>
  <si>
    <t>P41440-2</t>
  </si>
  <si>
    <t>P41567</t>
  </si>
  <si>
    <t>P41743</t>
  </si>
  <si>
    <t>P42025</t>
  </si>
  <si>
    <t>P42126-2</t>
  </si>
  <si>
    <t>P42166</t>
  </si>
  <si>
    <t>P42167</t>
  </si>
  <si>
    <t>P42167-2</t>
  </si>
  <si>
    <t>P42224</t>
  </si>
  <si>
    <t>P42226</t>
  </si>
  <si>
    <t>P42285</t>
  </si>
  <si>
    <t>P42330</t>
  </si>
  <si>
    <t>P42336</t>
  </si>
  <si>
    <t>P42345</t>
  </si>
  <si>
    <t>P42566</t>
  </si>
  <si>
    <t>P42574</t>
  </si>
  <si>
    <t>P42575</t>
  </si>
  <si>
    <t>P42677</t>
  </si>
  <si>
    <t>P42685</t>
  </si>
  <si>
    <t>P42695</t>
  </si>
  <si>
    <t>P42704</t>
  </si>
  <si>
    <t>P42765</t>
  </si>
  <si>
    <t>P42766</t>
  </si>
  <si>
    <t>P42772</t>
  </si>
  <si>
    <t>P42785</t>
  </si>
  <si>
    <t>P42858</t>
  </si>
  <si>
    <t>P42892-3</t>
  </si>
  <si>
    <t>P42898</t>
  </si>
  <si>
    <t>P43003-2</t>
  </si>
  <si>
    <t>P43007</t>
  </si>
  <si>
    <t>P43034</t>
  </si>
  <si>
    <t>P43121</t>
  </si>
  <si>
    <t>P43155-2</t>
  </si>
  <si>
    <t>P43246</t>
  </si>
  <si>
    <t>P43304</t>
  </si>
  <si>
    <t>P43307</t>
  </si>
  <si>
    <t>P43378</t>
  </si>
  <si>
    <t>P43405</t>
  </si>
  <si>
    <t>P43487</t>
  </si>
  <si>
    <t>P43490</t>
  </si>
  <si>
    <t>P43686</t>
  </si>
  <si>
    <t>P43897</t>
  </si>
  <si>
    <t>P45877</t>
  </si>
  <si>
    <t>P45880</t>
  </si>
  <si>
    <t>P45954</t>
  </si>
  <si>
    <t>P45973</t>
  </si>
  <si>
    <t>P45974-2</t>
  </si>
  <si>
    <t>P45983-3</t>
  </si>
  <si>
    <t>P45984-3</t>
  </si>
  <si>
    <t>P45985</t>
  </si>
  <si>
    <t>P46013</t>
  </si>
  <si>
    <t>P46019</t>
  </si>
  <si>
    <t>P46060</t>
  </si>
  <si>
    <t>P46063</t>
  </si>
  <si>
    <t>P46087</t>
  </si>
  <si>
    <t>P46100-2</t>
  </si>
  <si>
    <t>P46108</t>
  </si>
  <si>
    <t>P46108-2</t>
  </si>
  <si>
    <t>P46109</t>
  </si>
  <si>
    <t>P46199</t>
  </si>
  <si>
    <t>P46527</t>
  </si>
  <si>
    <t>P46531</t>
  </si>
  <si>
    <t>P46734</t>
  </si>
  <si>
    <t>P46736-2</t>
  </si>
  <si>
    <t>P46777</t>
  </si>
  <si>
    <t>P46778</t>
  </si>
  <si>
    <t>P46781</t>
  </si>
  <si>
    <t>P46783</t>
  </si>
  <si>
    <t>P46926</t>
  </si>
  <si>
    <t>P46937</t>
  </si>
  <si>
    <t>P46939</t>
  </si>
  <si>
    <t>P46940</t>
  </si>
  <si>
    <t>P46976-2</t>
  </si>
  <si>
    <t>P46977</t>
  </si>
  <si>
    <t>P47712</t>
  </si>
  <si>
    <t>P47755</t>
  </si>
  <si>
    <t>P47756-2</t>
  </si>
  <si>
    <t>P47813</t>
  </si>
  <si>
    <t>P47897</t>
  </si>
  <si>
    <t>P47914</t>
  </si>
  <si>
    <t>P47929</t>
  </si>
  <si>
    <t>P47985</t>
  </si>
  <si>
    <t>P48029</t>
  </si>
  <si>
    <t>P48047</t>
  </si>
  <si>
    <t>P48059</t>
  </si>
  <si>
    <t>P48067-2</t>
  </si>
  <si>
    <t>P48147</t>
  </si>
  <si>
    <t>P48163</t>
  </si>
  <si>
    <t>P48200</t>
  </si>
  <si>
    <t>P48380-2</t>
  </si>
  <si>
    <t>P48431</t>
  </si>
  <si>
    <t>P48436</t>
  </si>
  <si>
    <t>P48444</t>
  </si>
  <si>
    <t>P48449</t>
  </si>
  <si>
    <t>P48454-2</t>
  </si>
  <si>
    <t>P48506</t>
  </si>
  <si>
    <t>P48507</t>
  </si>
  <si>
    <t>P48634</t>
  </si>
  <si>
    <t>P48637</t>
  </si>
  <si>
    <t>P48643</t>
  </si>
  <si>
    <t>P48651</t>
  </si>
  <si>
    <t>P48723</t>
  </si>
  <si>
    <t>P48728</t>
  </si>
  <si>
    <t>P48729</t>
  </si>
  <si>
    <t>P48730-2</t>
  </si>
  <si>
    <t>P48735</t>
  </si>
  <si>
    <t>P48739</t>
  </si>
  <si>
    <t>P48960-2</t>
  </si>
  <si>
    <t>P49005</t>
  </si>
  <si>
    <t>P49006</t>
  </si>
  <si>
    <t>P49069</t>
  </si>
  <si>
    <t>P49116</t>
  </si>
  <si>
    <t>P49137</t>
  </si>
  <si>
    <t>P49189</t>
  </si>
  <si>
    <t>P49207</t>
  </si>
  <si>
    <t>P49247</t>
  </si>
  <si>
    <t>P49257</t>
  </si>
  <si>
    <t>P49321-3</t>
  </si>
  <si>
    <t>P49327</t>
  </si>
  <si>
    <t>P49336-2</t>
  </si>
  <si>
    <t>P49354</t>
  </si>
  <si>
    <t>P49366</t>
  </si>
  <si>
    <t>P49368</t>
  </si>
  <si>
    <t>P49406</t>
  </si>
  <si>
    <t>P49407-2</t>
  </si>
  <si>
    <t>P49411</t>
  </si>
  <si>
    <t>P49419-2</t>
  </si>
  <si>
    <t>P49427</t>
  </si>
  <si>
    <t>P49441</t>
  </si>
  <si>
    <t>P49454</t>
  </si>
  <si>
    <t>P49458</t>
  </si>
  <si>
    <t>P49459</t>
  </si>
  <si>
    <t>P49585</t>
  </si>
  <si>
    <t>P49588</t>
  </si>
  <si>
    <t>P49589-3</t>
  </si>
  <si>
    <t>P49591</t>
  </si>
  <si>
    <t>P49642</t>
  </si>
  <si>
    <t>P49643</t>
  </si>
  <si>
    <t>P49662</t>
  </si>
  <si>
    <t>P49674</t>
  </si>
  <si>
    <t>P49711-2</t>
  </si>
  <si>
    <t>P49720</t>
  </si>
  <si>
    <t>P49721</t>
  </si>
  <si>
    <t>P49736</t>
  </si>
  <si>
    <t>P49748-2</t>
  </si>
  <si>
    <t>P49750-4</t>
  </si>
  <si>
    <t>P49753</t>
  </si>
  <si>
    <t>P49755</t>
  </si>
  <si>
    <t>P49756</t>
  </si>
  <si>
    <t>P49757-4</t>
  </si>
  <si>
    <t>P49770</t>
  </si>
  <si>
    <t>P49773</t>
  </si>
  <si>
    <t>P49789</t>
  </si>
  <si>
    <t>P49790</t>
  </si>
  <si>
    <t>P49792</t>
  </si>
  <si>
    <t>P49840</t>
  </si>
  <si>
    <t>P49841</t>
  </si>
  <si>
    <t>P49902</t>
  </si>
  <si>
    <t>P49903</t>
  </si>
  <si>
    <t>P49914</t>
  </si>
  <si>
    <t>P49915</t>
  </si>
  <si>
    <t>P49916</t>
  </si>
  <si>
    <t>P49959</t>
  </si>
  <si>
    <t>P49961</t>
  </si>
  <si>
    <t>P50053</t>
  </si>
  <si>
    <t>P50148</t>
  </si>
  <si>
    <t>P50151</t>
  </si>
  <si>
    <t>P50213</t>
  </si>
  <si>
    <t>P50238</t>
  </si>
  <si>
    <t>P50336</t>
  </si>
  <si>
    <t>P50402</t>
  </si>
  <si>
    <t>P50416-2</t>
  </si>
  <si>
    <t>P50452</t>
  </si>
  <si>
    <t>P50453</t>
  </si>
  <si>
    <t>P50454</t>
  </si>
  <si>
    <t>P50502</t>
  </si>
  <si>
    <t>P50552</t>
  </si>
  <si>
    <t>P50570-4</t>
  </si>
  <si>
    <t>P50579</t>
  </si>
  <si>
    <t>P50583</t>
  </si>
  <si>
    <t>P50613</t>
  </si>
  <si>
    <t>P50747</t>
  </si>
  <si>
    <t>P50748</t>
  </si>
  <si>
    <t>P50750</t>
  </si>
  <si>
    <t>P50895</t>
  </si>
  <si>
    <t>P50897</t>
  </si>
  <si>
    <t>P50990</t>
  </si>
  <si>
    <t>P50991</t>
  </si>
  <si>
    <t>P51116</t>
  </si>
  <si>
    <t>P51148</t>
  </si>
  <si>
    <t>P51149</t>
  </si>
  <si>
    <t>P51151</t>
  </si>
  <si>
    <t>P51153</t>
  </si>
  <si>
    <t>P51157</t>
  </si>
  <si>
    <t>P51161</t>
  </si>
  <si>
    <t>P51397</t>
  </si>
  <si>
    <t>P51398-2</t>
  </si>
  <si>
    <t>P51452</t>
  </si>
  <si>
    <t>P51531-2</t>
  </si>
  <si>
    <t>P51553</t>
  </si>
  <si>
    <t>P51570</t>
  </si>
  <si>
    <t>P51571</t>
  </si>
  <si>
    <t>P51572</t>
  </si>
  <si>
    <t>P51580</t>
  </si>
  <si>
    <t>P51608</t>
  </si>
  <si>
    <t>P51610-2</t>
  </si>
  <si>
    <t>P51648</t>
  </si>
  <si>
    <t>P51659</t>
  </si>
  <si>
    <t>P51665</t>
  </si>
  <si>
    <t>P51687</t>
  </si>
  <si>
    <t>P51688</t>
  </si>
  <si>
    <t>P51787-2</t>
  </si>
  <si>
    <t>P51790-4</t>
  </si>
  <si>
    <t>P51797</t>
  </si>
  <si>
    <t>P51798-2</t>
  </si>
  <si>
    <t>P51805</t>
  </si>
  <si>
    <t>P51809</t>
  </si>
  <si>
    <t>P51812</t>
  </si>
  <si>
    <t>P51817</t>
  </si>
  <si>
    <t>P51857-2</t>
  </si>
  <si>
    <t>P51858</t>
  </si>
  <si>
    <t>P51946</t>
  </si>
  <si>
    <t>P51948-2</t>
  </si>
  <si>
    <t>P51970</t>
  </si>
  <si>
    <t>P51991</t>
  </si>
  <si>
    <t>P52272-2</t>
  </si>
  <si>
    <t>P52292</t>
  </si>
  <si>
    <t>P52294</t>
  </si>
  <si>
    <t>P52298</t>
  </si>
  <si>
    <t>P52306</t>
  </si>
  <si>
    <t>P52564</t>
  </si>
  <si>
    <t>P52565</t>
  </si>
  <si>
    <t>P52597</t>
  </si>
  <si>
    <t>P52630-4</t>
  </si>
  <si>
    <t>P52655</t>
  </si>
  <si>
    <t>P52657</t>
  </si>
  <si>
    <t>P52701</t>
  </si>
  <si>
    <t>P52732</t>
  </si>
  <si>
    <t>P52756</t>
  </si>
  <si>
    <t>P52758</t>
  </si>
  <si>
    <t>P52788</t>
  </si>
  <si>
    <t>P52789</t>
  </si>
  <si>
    <t>P52798-2</t>
  </si>
  <si>
    <t>P52799</t>
  </si>
  <si>
    <t>P52888</t>
  </si>
  <si>
    <t>P52907</t>
  </si>
  <si>
    <t>P52943</t>
  </si>
  <si>
    <t>P52948-6</t>
  </si>
  <si>
    <t>P53004</t>
  </si>
  <si>
    <t>P53007</t>
  </si>
  <si>
    <t>P53350</t>
  </si>
  <si>
    <t>P53365</t>
  </si>
  <si>
    <t>P53367</t>
  </si>
  <si>
    <t>P53367-2</t>
  </si>
  <si>
    <t>P53370</t>
  </si>
  <si>
    <t>P53384-2</t>
  </si>
  <si>
    <t>P53396</t>
  </si>
  <si>
    <t>P53567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</si>
  <si>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</si>
  <si>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</si>
  <si>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</si>
  <si>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</si>
  <si>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</si>
  <si>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</si>
  <si>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</si>
  <si>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</si>
  <si>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P53677</t>
  </si>
  <si>
    <t>P53701</t>
  </si>
  <si>
    <t>P53778</t>
  </si>
  <si>
    <t>P53794</t>
  </si>
  <si>
    <t>P53803</t>
  </si>
  <si>
    <t>P53814-5</t>
  </si>
  <si>
    <t>P53985</t>
  </si>
  <si>
    <t>P53990-2</t>
  </si>
  <si>
    <t>P53992</t>
  </si>
  <si>
    <t>P53999</t>
  </si>
  <si>
    <t>P54098</t>
  </si>
  <si>
    <t>P54136</t>
  </si>
  <si>
    <t>P54136-2</t>
  </si>
  <si>
    <t>P54259</t>
  </si>
  <si>
    <t>P54577</t>
  </si>
  <si>
    <t>P54578</t>
  </si>
  <si>
    <t>P54619-2</t>
  </si>
  <si>
    <t>P54652</t>
  </si>
  <si>
    <t>P54709</t>
  </si>
  <si>
    <t>P54727</t>
  </si>
  <si>
    <t>P54753</t>
  </si>
  <si>
    <t>P54764</t>
  </si>
  <si>
    <t>P54802</t>
  </si>
  <si>
    <t>P54819</t>
  </si>
  <si>
    <t>P54886-2</t>
  </si>
  <si>
    <t>P54920</t>
  </si>
  <si>
    <t>P55010</t>
  </si>
  <si>
    <t>P55011-3</t>
  </si>
  <si>
    <t>P55036</t>
  </si>
  <si>
    <t>P55039</t>
  </si>
  <si>
    <t>P55060-3</t>
  </si>
  <si>
    <t>P55072</t>
  </si>
  <si>
    <t>P55081</t>
  </si>
  <si>
    <t>P55082-2</t>
  </si>
  <si>
    <t>P55145</t>
  </si>
  <si>
    <t>P55199</t>
  </si>
  <si>
    <t>P55210</t>
  </si>
  <si>
    <t>P55211</t>
  </si>
  <si>
    <t>P55212</t>
  </si>
  <si>
    <t>P55263</t>
  </si>
  <si>
    <t>P55268</t>
  </si>
  <si>
    <t>P55273</t>
  </si>
  <si>
    <t>P55327-2</t>
  </si>
  <si>
    <t>P55735</t>
  </si>
  <si>
    <t>P55789</t>
  </si>
  <si>
    <t>P55795</t>
  </si>
  <si>
    <t>P55809</t>
  </si>
  <si>
    <t>P55884</t>
  </si>
  <si>
    <t>P55957</t>
  </si>
  <si>
    <t>P56181</t>
  </si>
  <si>
    <t>P56181-2</t>
  </si>
  <si>
    <t>P56182</t>
  </si>
  <si>
    <t>P56192</t>
  </si>
  <si>
    <t>P56199</t>
  </si>
  <si>
    <t>P56211</t>
  </si>
  <si>
    <t>P56270-2</t>
  </si>
  <si>
    <t>P56277</t>
  </si>
  <si>
    <t>P56378</t>
  </si>
  <si>
    <t>P56381</t>
  </si>
  <si>
    <t>P56385</t>
  </si>
  <si>
    <t>P56524</t>
  </si>
  <si>
    <t>P56537</t>
  </si>
  <si>
    <t>P56545-2</t>
  </si>
  <si>
    <t>P56556</t>
  </si>
  <si>
    <t>P56589</t>
  </si>
  <si>
    <t>P56749</t>
  </si>
  <si>
    <t>P56937-3</t>
  </si>
  <si>
    <t>P56945-5</t>
  </si>
  <si>
    <t>P56962</t>
  </si>
  <si>
    <t>P57054-3</t>
  </si>
  <si>
    <t>P57076</t>
  </si>
  <si>
    <t>P57081-2</t>
  </si>
  <si>
    <t>P57088</t>
  </si>
  <si>
    <t>P57105</t>
  </si>
  <si>
    <t>P57682</t>
  </si>
  <si>
    <t>P57735</t>
  </si>
  <si>
    <t>P57737-3</t>
  </si>
  <si>
    <t>P57740</t>
  </si>
  <si>
    <t>P57772</t>
  </si>
  <si>
    <t>P58546</t>
  </si>
  <si>
    <t>P59998</t>
  </si>
  <si>
    <t>P60059</t>
  </si>
  <si>
    <t>P60174</t>
  </si>
  <si>
    <t>P60228</t>
  </si>
  <si>
    <t>P60468</t>
  </si>
  <si>
    <t>P60484</t>
  </si>
  <si>
    <t>P60510</t>
  </si>
  <si>
    <t>P60602</t>
  </si>
  <si>
    <t>P60604-2</t>
  </si>
  <si>
    <t>P60709</t>
  </si>
  <si>
    <t>P60763</t>
  </si>
  <si>
    <t>P60842</t>
  </si>
  <si>
    <t>P60866</t>
  </si>
  <si>
    <t>P60891</t>
  </si>
  <si>
    <t>P60896</t>
  </si>
  <si>
    <t>P60903</t>
  </si>
  <si>
    <t>P60953</t>
  </si>
  <si>
    <t>P60981</t>
  </si>
  <si>
    <t>P60983</t>
  </si>
  <si>
    <t>P61006</t>
  </si>
  <si>
    <t>P61009</t>
  </si>
  <si>
    <t>P61011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</si>
  <si>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</si>
  <si>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</si>
  <si>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</si>
  <si>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</si>
  <si>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</si>
  <si>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</si>
  <si>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</si>
  <si>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</si>
  <si>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</si>
  <si>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P61129</t>
  </si>
  <si>
    <t>P61158</t>
  </si>
  <si>
    <t>P61160</t>
  </si>
  <si>
    <t>P61163</t>
  </si>
  <si>
    <t>P61201</t>
  </si>
  <si>
    <t>P61204</t>
  </si>
  <si>
    <t>P61218</t>
  </si>
  <si>
    <t>P61221</t>
  </si>
  <si>
    <t>P61224</t>
  </si>
  <si>
    <t>P61225</t>
  </si>
  <si>
    <t>P61244-2</t>
  </si>
  <si>
    <t>P61247</t>
  </si>
  <si>
    <t>P61254</t>
  </si>
  <si>
    <t>P61289</t>
  </si>
  <si>
    <t>P61326</t>
  </si>
  <si>
    <t>P61353</t>
  </si>
  <si>
    <t>P61457</t>
  </si>
  <si>
    <t>P61586</t>
  </si>
  <si>
    <t>P61599</t>
  </si>
  <si>
    <t>P61601</t>
  </si>
  <si>
    <t>P61604</t>
  </si>
  <si>
    <t>P61758</t>
  </si>
  <si>
    <t>P61764</t>
  </si>
  <si>
    <t>P61769</t>
  </si>
  <si>
    <t>P61812</t>
  </si>
  <si>
    <t>P61927</t>
  </si>
  <si>
    <t>P61962</t>
  </si>
  <si>
    <t>P61964</t>
  </si>
  <si>
    <t>P61966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</si>
  <si>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</si>
  <si>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</si>
  <si>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</si>
  <si>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</si>
  <si>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</si>
  <si>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</si>
  <si>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</si>
  <si>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</si>
  <si>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P62191</t>
  </si>
  <si>
    <t>P62195-2</t>
  </si>
  <si>
    <t>P62241</t>
  </si>
  <si>
    <t>P62249</t>
  </si>
  <si>
    <t>P62253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</si>
  <si>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</si>
  <si>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</si>
  <si>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</si>
  <si>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</si>
  <si>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</si>
  <si>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</si>
  <si>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</si>
  <si>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</si>
  <si>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</si>
  <si>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</si>
  <si>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</si>
  <si>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</si>
  <si>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</si>
  <si>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</si>
  <si>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P62324</t>
  </si>
  <si>
    <t>P62328</t>
  </si>
  <si>
    <t>P62330</t>
  </si>
  <si>
    <t>P62333</t>
  </si>
  <si>
    <t>P62341</t>
  </si>
  <si>
    <t>P62380</t>
  </si>
  <si>
    <t>P62424</t>
  </si>
  <si>
    <t>P62487</t>
  </si>
  <si>
    <t>P62495</t>
  </si>
  <si>
    <t>P62633-2</t>
  </si>
  <si>
    <t>P62633-4</t>
  </si>
  <si>
    <t>P62633-5</t>
  </si>
  <si>
    <t>P62701</t>
  </si>
  <si>
    <t>P62714</t>
  </si>
  <si>
    <t>P62745</t>
  </si>
  <si>
    <t>P62750</t>
  </si>
  <si>
    <t>P62753</t>
  </si>
  <si>
    <t>P62760</t>
  </si>
  <si>
    <t>P62805</t>
  </si>
  <si>
    <t>P62820</t>
  </si>
  <si>
    <t>P62829</t>
  </si>
  <si>
    <t>P62834</t>
  </si>
  <si>
    <t>P62837</t>
  </si>
  <si>
    <t>P62851</t>
  </si>
  <si>
    <t>P62854</t>
  </si>
  <si>
    <t>P62857</t>
  </si>
  <si>
    <t>P62873</t>
  </si>
  <si>
    <t>P62877</t>
  </si>
  <si>
    <t>P62879</t>
  </si>
  <si>
    <t>P62906</t>
  </si>
  <si>
    <t>P62913-2</t>
  </si>
  <si>
    <t>P62917</t>
  </si>
  <si>
    <t>P62937</t>
  </si>
  <si>
    <t>P62942</t>
  </si>
  <si>
    <t>P62979</t>
  </si>
  <si>
    <t>P62987</t>
  </si>
  <si>
    <t>P62993</t>
  </si>
  <si>
    <t>P62995-3</t>
  </si>
  <si>
    <t>P63000</t>
  </si>
  <si>
    <t>P63010</t>
  </si>
  <si>
    <t>P63092-3</t>
  </si>
  <si>
    <t>P63096</t>
  </si>
  <si>
    <t>P63104</t>
  </si>
  <si>
    <t>P63151</t>
  </si>
  <si>
    <t>P63167</t>
  </si>
  <si>
    <t>P63173</t>
  </si>
  <si>
    <t>P63218</t>
  </si>
  <si>
    <t>P63244</t>
  </si>
  <si>
    <t>P63272</t>
  </si>
  <si>
    <t>P67775</t>
  </si>
  <si>
    <t>P67809</t>
  </si>
  <si>
    <t>P67936</t>
  </si>
  <si>
    <t>P68036</t>
  </si>
  <si>
    <t>P68104</t>
  </si>
  <si>
    <t>P68133</t>
  </si>
  <si>
    <t>P68363</t>
  </si>
  <si>
    <t>P68371</t>
  </si>
  <si>
    <t>P68402</t>
  </si>
  <si>
    <t>P68871</t>
  </si>
  <si>
    <t>P69905</t>
  </si>
  <si>
    <t>P78310</t>
  </si>
  <si>
    <t>P78316</t>
  </si>
  <si>
    <t>P78318</t>
  </si>
  <si>
    <t>P78330</t>
  </si>
  <si>
    <t>P78332</t>
  </si>
  <si>
    <t>P78345</t>
  </si>
  <si>
    <t>P78346</t>
  </si>
  <si>
    <t>P78347-2</t>
  </si>
  <si>
    <t>P78356</t>
  </si>
  <si>
    <t>P78368</t>
  </si>
  <si>
    <t>P78371</t>
  </si>
  <si>
    <t>P78406</t>
  </si>
  <si>
    <t>P78417</t>
  </si>
  <si>
    <t>P78524</t>
  </si>
  <si>
    <t>P78527</t>
  </si>
  <si>
    <t>P78536</t>
  </si>
  <si>
    <t>P78540</t>
  </si>
  <si>
    <t>P78549</t>
  </si>
  <si>
    <t>P80162</t>
  </si>
  <si>
    <t>P80217</t>
  </si>
  <si>
    <t>P80294</t>
  </si>
  <si>
    <t>P80297</t>
  </si>
  <si>
    <t>P80303</t>
  </si>
  <si>
    <t>P80723</t>
  </si>
  <si>
    <t>P81605</t>
  </si>
  <si>
    <t>P82094</t>
  </si>
  <si>
    <t>P82664</t>
  </si>
  <si>
    <t>P82673</t>
  </si>
  <si>
    <t>P82909</t>
  </si>
  <si>
    <t>P82930</t>
  </si>
  <si>
    <t>P82933</t>
  </si>
  <si>
    <t>P82979</t>
  </si>
  <si>
    <t>P83111</t>
  </si>
  <si>
    <t>P83436</t>
  </si>
  <si>
    <t>P83731</t>
  </si>
  <si>
    <t>P84085</t>
  </si>
  <si>
    <t>P84090</t>
  </si>
  <si>
    <t>P84095</t>
  </si>
  <si>
    <t>P84101-4</t>
  </si>
  <si>
    <t>P84157</t>
  </si>
  <si>
    <t>P84157-2</t>
  </si>
  <si>
    <t>P85037</t>
  </si>
  <si>
    <t>P86397</t>
  </si>
  <si>
    <t>P86791</t>
  </si>
  <si>
    <t>P98170</t>
  </si>
  <si>
    <t>P98172</t>
  </si>
  <si>
    <t>P98173-3</t>
  </si>
  <si>
    <t>P98175-2</t>
  </si>
  <si>
    <t>P98179</t>
  </si>
  <si>
    <t>P98194-2</t>
  </si>
  <si>
    <t>P99999</t>
  </si>
  <si>
    <t>Q00059</t>
  </si>
  <si>
    <t>Q00169</t>
  </si>
  <si>
    <t>Q00266</t>
  </si>
  <si>
    <t>Q00325-2</t>
  </si>
  <si>
    <t>Q00341</t>
  </si>
  <si>
    <t>Q00403</t>
  </si>
  <si>
    <t>Q00534</t>
  </si>
  <si>
    <t>Q00535</t>
  </si>
  <si>
    <t>Q00577</t>
  </si>
  <si>
    <t>Q00587-2</t>
  </si>
  <si>
    <t>Q00610-2</t>
  </si>
  <si>
    <t>Q00613-2</t>
  </si>
  <si>
    <t>Q00653-4</t>
  </si>
  <si>
    <t>Q00688</t>
  </si>
  <si>
    <t>Q00765</t>
  </si>
  <si>
    <t>Q00796</t>
  </si>
  <si>
    <t>Q00839-2</t>
  </si>
  <si>
    <t>Q01081</t>
  </si>
  <si>
    <t>Q01082</t>
  </si>
  <si>
    <t>Q01082-3</t>
  </si>
  <si>
    <t>Q01085-2</t>
  </si>
  <si>
    <t>Q01105</t>
  </si>
  <si>
    <t>Q01130</t>
  </si>
  <si>
    <t>Q01167</t>
  </si>
  <si>
    <t>Q01432-6</t>
  </si>
  <si>
    <t>Q01469</t>
  </si>
  <si>
    <t>Q01518-2</t>
  </si>
  <si>
    <t>Q01581</t>
  </si>
  <si>
    <t>Q01650</t>
  </si>
  <si>
    <t>Q01658</t>
  </si>
  <si>
    <t>Q01664</t>
  </si>
  <si>
    <t>Q01780-2</t>
  </si>
  <si>
    <t>Q01813</t>
  </si>
  <si>
    <t>Q01968-2</t>
  </si>
  <si>
    <t>Q01970</t>
  </si>
  <si>
    <t>Q01995</t>
  </si>
  <si>
    <t>Q02083-2</t>
  </si>
  <si>
    <t>Q02127</t>
  </si>
  <si>
    <t>Q02156</t>
  </si>
  <si>
    <t>Q02241</t>
  </si>
  <si>
    <t>Q02252</t>
  </si>
  <si>
    <t>Q02318</t>
  </si>
  <si>
    <t>Q02338</t>
  </si>
  <si>
    <t>Q02383</t>
  </si>
  <si>
    <t>Q02446</t>
  </si>
  <si>
    <t>Q02487-2</t>
  </si>
  <si>
    <t>Q02543</t>
  </si>
  <si>
    <t>Q02742</t>
  </si>
  <si>
    <t>Q02750</t>
  </si>
  <si>
    <t>Q02790</t>
  </si>
  <si>
    <t>Q02809</t>
  </si>
  <si>
    <t>Q02818</t>
  </si>
  <si>
    <t>Q02878</t>
  </si>
  <si>
    <t>Q02880-2</t>
  </si>
  <si>
    <t>Q02952-3</t>
  </si>
  <si>
    <t>Q03001</t>
  </si>
  <si>
    <t>Q03111</t>
  </si>
  <si>
    <t>Q03113</t>
  </si>
  <si>
    <t>Q03154</t>
  </si>
  <si>
    <t>Q03164-2</t>
  </si>
  <si>
    <t>Q03167-2</t>
  </si>
  <si>
    <t>Q03169</t>
  </si>
  <si>
    <t>Q03393</t>
  </si>
  <si>
    <t>Q03519</t>
  </si>
  <si>
    <t>Q03701</t>
  </si>
  <si>
    <t>Q04446</t>
  </si>
  <si>
    <t>Q04637-5</t>
  </si>
  <si>
    <t>Q04656-5</t>
  </si>
  <si>
    <t>Q04721</t>
  </si>
  <si>
    <t>Q04724</t>
  </si>
  <si>
    <t>Q04726-5</t>
  </si>
  <si>
    <t>Q04759</t>
  </si>
  <si>
    <t>Q04760</t>
  </si>
  <si>
    <t>Q04828</t>
  </si>
  <si>
    <t>Q04837</t>
  </si>
  <si>
    <t>Q04917</t>
  </si>
  <si>
    <t>Q04941</t>
  </si>
  <si>
    <t>Q05048</t>
  </si>
  <si>
    <t>Q05084</t>
  </si>
  <si>
    <t>Q05086-3</t>
  </si>
  <si>
    <t>Q05193-5</t>
  </si>
  <si>
    <t>Q05209</t>
  </si>
  <si>
    <t>Q05513</t>
  </si>
  <si>
    <t>Q05519-2</t>
  </si>
  <si>
    <t>Q05655</t>
  </si>
  <si>
    <t>Q05682-5</t>
  </si>
  <si>
    <t>Q05932-3</t>
  </si>
  <si>
    <t>Q05BQ5-3</t>
  </si>
  <si>
    <t>Q06124-2</t>
  </si>
  <si>
    <t>Q06136</t>
  </si>
  <si>
    <t>Q06203</t>
  </si>
  <si>
    <t>Q06210-2</t>
  </si>
  <si>
    <t>Q06265</t>
  </si>
  <si>
    <t>Q06323</t>
  </si>
  <si>
    <t>Q06330-5</t>
  </si>
  <si>
    <t>Q06481</t>
  </si>
  <si>
    <t>Q06546</t>
  </si>
  <si>
    <t>Q06587</t>
  </si>
  <si>
    <t>Q06609-3</t>
  </si>
  <si>
    <t>Q06787-8</t>
  </si>
  <si>
    <t>Q06830</t>
  </si>
  <si>
    <t>Q07021</t>
  </si>
  <si>
    <t>Q07065</t>
  </si>
  <si>
    <t>Q07654</t>
  </si>
  <si>
    <t>Q07666</t>
  </si>
  <si>
    <t>Q07812-5</t>
  </si>
  <si>
    <t>Q07866-6</t>
  </si>
  <si>
    <t>Q07954</t>
  </si>
  <si>
    <t>Q07960</t>
  </si>
  <si>
    <t>Q08170</t>
  </si>
  <si>
    <t>Q08209-2</t>
  </si>
  <si>
    <t>Q08211</t>
  </si>
  <si>
    <t>Q08257</t>
  </si>
  <si>
    <t>Q08357</t>
  </si>
  <si>
    <t>Q08378</t>
  </si>
  <si>
    <t>Q08379</t>
  </si>
  <si>
    <t>Q08380</t>
  </si>
  <si>
    <t>Q08426</t>
  </si>
  <si>
    <t>Q08722</t>
  </si>
  <si>
    <t>Q08752</t>
  </si>
  <si>
    <t>Q08945</t>
  </si>
  <si>
    <t>Q08AF3</t>
  </si>
  <si>
    <t>Q08AG7</t>
  </si>
  <si>
    <t>Q08AM6</t>
  </si>
  <si>
    <t>Q08E86</t>
  </si>
  <si>
    <t>Q08J23</t>
  </si>
  <si>
    <t>Q09028-3</t>
  </si>
  <si>
    <t>Q09161</t>
  </si>
  <si>
    <t>Q09328</t>
  </si>
  <si>
    <t>Q09472</t>
  </si>
  <si>
    <t>Q09666</t>
  </si>
  <si>
    <t>Q0D2K5</t>
  </si>
  <si>
    <t>Q0JRZ9</t>
  </si>
  <si>
    <t>Q0PNE2</t>
  </si>
  <si>
    <t>Q0VDF9</t>
  </si>
  <si>
    <t>Q0VDG4-2</t>
  </si>
  <si>
    <t>Q0VG06</t>
  </si>
  <si>
    <t>Q0VGL1</t>
  </si>
  <si>
    <t>Q10469</t>
  </si>
  <si>
    <t>Q10471</t>
  </si>
  <si>
    <t>Q10567-3</t>
  </si>
  <si>
    <t>Q10570</t>
  </si>
  <si>
    <t>Q10713</t>
  </si>
  <si>
    <t>Q12765</t>
  </si>
  <si>
    <t>Q12768</t>
  </si>
  <si>
    <t>Q12769</t>
  </si>
  <si>
    <t>Q12770</t>
  </si>
  <si>
    <t>Q12774</t>
  </si>
  <si>
    <t>Q12788</t>
  </si>
  <si>
    <t>Q12789-3</t>
  </si>
  <si>
    <t>Q12792</t>
  </si>
  <si>
    <t>Q12797</t>
  </si>
  <si>
    <t>Q12800-4</t>
  </si>
  <si>
    <t>Q12802-4</t>
  </si>
  <si>
    <t>Q12830-4</t>
  </si>
  <si>
    <t>Q12834</t>
  </si>
  <si>
    <t>Q12846</t>
  </si>
  <si>
    <t>Q12872</t>
  </si>
  <si>
    <t>Q12874</t>
  </si>
  <si>
    <t>Q12888</t>
  </si>
  <si>
    <t>Q12894</t>
  </si>
  <si>
    <t>Q12899</t>
  </si>
  <si>
    <t>Q12904</t>
  </si>
  <si>
    <t>Q12905</t>
  </si>
  <si>
    <t>Q12906</t>
  </si>
  <si>
    <t>Q12907</t>
  </si>
  <si>
    <t>Q12929</t>
  </si>
  <si>
    <t>Q12933-3</t>
  </si>
  <si>
    <t>Q12955</t>
  </si>
  <si>
    <t>Q12959-5</t>
  </si>
  <si>
    <t>Q12962</t>
  </si>
  <si>
    <t>Q12965</t>
  </si>
  <si>
    <t>Q12972</t>
  </si>
  <si>
    <t>Q12981</t>
  </si>
  <si>
    <t>Q12986</t>
  </si>
  <si>
    <t>Q12996</t>
  </si>
  <si>
    <t>Q13011</t>
  </si>
  <si>
    <t>Q13017-2</t>
  </si>
  <si>
    <t>Q13033-2</t>
  </si>
  <si>
    <t>Q13043</t>
  </si>
  <si>
    <t>Q13045</t>
  </si>
  <si>
    <t>Q13049</t>
  </si>
  <si>
    <t>Q13057</t>
  </si>
  <si>
    <t>Q13085-3</t>
  </si>
  <si>
    <t>Q13098</t>
  </si>
  <si>
    <t>Q13107-2</t>
  </si>
  <si>
    <t>Q13111</t>
  </si>
  <si>
    <t>Q13112</t>
  </si>
  <si>
    <t>Q13123</t>
  </si>
  <si>
    <t>Q13126</t>
  </si>
  <si>
    <t>Q13131</t>
  </si>
  <si>
    <t>Q13136</t>
  </si>
  <si>
    <t>Q13145</t>
  </si>
  <si>
    <t>Q13148</t>
  </si>
  <si>
    <t>Q13151</t>
  </si>
  <si>
    <t>Q13153</t>
  </si>
  <si>
    <t>Q13155</t>
  </si>
  <si>
    <t>Q13158</t>
  </si>
  <si>
    <t>Q13162</t>
  </si>
  <si>
    <t>Q13164-3</t>
  </si>
  <si>
    <t>Q13177</t>
  </si>
  <si>
    <t>Q13185</t>
  </si>
  <si>
    <t>Q13188</t>
  </si>
  <si>
    <t>Q13200</t>
  </si>
  <si>
    <t>Q13206</t>
  </si>
  <si>
    <t>Q13214-2</t>
  </si>
  <si>
    <t>Q13216</t>
  </si>
  <si>
    <t>Q13217</t>
  </si>
  <si>
    <t>Q13228</t>
  </si>
  <si>
    <t>Q13232</t>
  </si>
  <si>
    <t>Q13242</t>
  </si>
  <si>
    <t>Q13243-3</t>
  </si>
  <si>
    <t>Q13247-3</t>
  </si>
  <si>
    <t>Q13257</t>
  </si>
  <si>
    <t>Q13263</t>
  </si>
  <si>
    <t>Q13277-2</t>
  </si>
  <si>
    <t>Q13283</t>
  </si>
  <si>
    <t>Q13287</t>
  </si>
  <si>
    <t>Q13308</t>
  </si>
  <si>
    <t>Q13309-2</t>
  </si>
  <si>
    <t>Q13310-2</t>
  </si>
  <si>
    <t>Q13315</t>
  </si>
  <si>
    <t>Q13322-3</t>
  </si>
  <si>
    <t>Q13330-3</t>
  </si>
  <si>
    <t>Q13347</t>
  </si>
  <si>
    <t>Q13356</t>
  </si>
  <si>
    <t>Q13362-3</t>
  </si>
  <si>
    <t>Q13363</t>
  </si>
  <si>
    <t>Q13371</t>
  </si>
  <si>
    <t>Q13395</t>
  </si>
  <si>
    <t>Q13405</t>
  </si>
  <si>
    <t>Q13409-3</t>
  </si>
  <si>
    <t>Q13416</t>
  </si>
  <si>
    <t>Q13418</t>
  </si>
  <si>
    <t>Q13423</t>
  </si>
  <si>
    <t>Q13425</t>
  </si>
  <si>
    <t>Q13426</t>
  </si>
  <si>
    <t>Q13427</t>
  </si>
  <si>
    <t>Q13428-3</t>
  </si>
  <si>
    <t>Q13432-2</t>
  </si>
  <si>
    <t>Q13433</t>
  </si>
  <si>
    <t>Q13435</t>
  </si>
  <si>
    <t>Q13438-4</t>
  </si>
  <si>
    <t>Q13439-3</t>
  </si>
  <si>
    <t>Q13442</t>
  </si>
  <si>
    <t>Q13443</t>
  </si>
  <si>
    <t>Q13445</t>
  </si>
  <si>
    <t>Q13451</t>
  </si>
  <si>
    <t>Q13464</t>
  </si>
  <si>
    <t>Q13488</t>
  </si>
  <si>
    <t>Q13492-2</t>
  </si>
  <si>
    <t>Q13496</t>
  </si>
  <si>
    <t>Q13501</t>
  </si>
  <si>
    <t>Q13505-3</t>
  </si>
  <si>
    <t>Q13509</t>
  </si>
  <si>
    <t>Q13526</t>
  </si>
  <si>
    <t>Q13535-3</t>
  </si>
  <si>
    <t>Q13541</t>
  </si>
  <si>
    <t>Q13542</t>
  </si>
  <si>
    <t>Q13546</t>
  </si>
  <si>
    <t>Q13547</t>
  </si>
  <si>
    <t>Q13564</t>
  </si>
  <si>
    <t>Q13572</t>
  </si>
  <si>
    <t>Q13573</t>
  </si>
  <si>
    <t>Q13586</t>
  </si>
  <si>
    <t>Q13596</t>
  </si>
  <si>
    <t>Q13601-2</t>
  </si>
  <si>
    <t>Q13608</t>
  </si>
  <si>
    <t>Q13614</t>
  </si>
  <si>
    <t>Q13616</t>
  </si>
  <si>
    <t>Q13617</t>
  </si>
  <si>
    <t>Q13618</t>
  </si>
  <si>
    <t>Q13619</t>
  </si>
  <si>
    <t>Q13625-2</t>
  </si>
  <si>
    <t>Q13630</t>
  </si>
  <si>
    <t>Q13641</t>
  </si>
  <si>
    <t>Q13642-1</t>
  </si>
  <si>
    <t>Q13643</t>
  </si>
  <si>
    <t>Q13686</t>
  </si>
  <si>
    <t>Q13724</t>
  </si>
  <si>
    <t>Q13733</t>
  </si>
  <si>
    <t>Q13740-2</t>
  </si>
  <si>
    <t>Q13751</t>
  </si>
  <si>
    <t>Q13753</t>
  </si>
  <si>
    <t>Q13769</t>
  </si>
  <si>
    <t>Q13795</t>
  </si>
  <si>
    <t>Q13813</t>
  </si>
  <si>
    <t>Q13813-2</t>
  </si>
  <si>
    <t>Q13825</t>
  </si>
  <si>
    <t>Q13867</t>
  </si>
  <si>
    <t>Q13868</t>
  </si>
  <si>
    <t>Q13884</t>
  </si>
  <si>
    <t>Q13885</t>
  </si>
  <si>
    <t>Q13887</t>
  </si>
  <si>
    <t>Q13895</t>
  </si>
  <si>
    <t>Q13907</t>
  </si>
  <si>
    <t>Q13951</t>
  </si>
  <si>
    <t>Q13951-2</t>
  </si>
  <si>
    <t>Q13952-3</t>
  </si>
  <si>
    <t>Q13976</t>
  </si>
  <si>
    <t>Q14008-2</t>
  </si>
  <si>
    <t>Q14011</t>
  </si>
  <si>
    <t>Q14019</t>
  </si>
  <si>
    <t>Q14050</t>
  </si>
  <si>
    <t>Q14061</t>
  </si>
  <si>
    <t>Q14103-3</t>
  </si>
  <si>
    <t>Q14108</t>
  </si>
  <si>
    <t>Q14114-4</t>
  </si>
  <si>
    <t>Q14118</t>
  </si>
  <si>
    <t>Q14126</t>
  </si>
  <si>
    <t>Q14135</t>
  </si>
  <si>
    <t>Q14137</t>
  </si>
  <si>
    <t>Q14139</t>
  </si>
  <si>
    <t>Q14145</t>
  </si>
  <si>
    <t>Q14146</t>
  </si>
  <si>
    <t>Q14149</t>
  </si>
  <si>
    <t>Q14151</t>
  </si>
  <si>
    <t>Q14152</t>
  </si>
  <si>
    <t>Q14157-1</t>
  </si>
  <si>
    <t>Q14157-5</t>
  </si>
  <si>
    <t>Q14160</t>
  </si>
  <si>
    <t>Q14165</t>
  </si>
  <si>
    <t>Q14166</t>
  </si>
  <si>
    <t>Q14181</t>
  </si>
  <si>
    <t>Q14186</t>
  </si>
  <si>
    <t>Q14191</t>
  </si>
  <si>
    <t>Q14195</t>
  </si>
  <si>
    <t>Q14204</t>
  </si>
  <si>
    <t>Q14232</t>
  </si>
  <si>
    <t>Q14240</t>
  </si>
  <si>
    <t>Q14241</t>
  </si>
  <si>
    <t>Q14244</t>
  </si>
  <si>
    <t>Q14247</t>
  </si>
  <si>
    <t>Q14247-3</t>
  </si>
  <si>
    <t>Q14249</t>
  </si>
  <si>
    <t>Q14254</t>
  </si>
  <si>
    <t>Q14257</t>
  </si>
  <si>
    <t>Q14258</t>
  </si>
  <si>
    <t>Q14318-2</t>
  </si>
  <si>
    <t>Q14320</t>
  </si>
  <si>
    <t>Q14331</t>
  </si>
  <si>
    <t>Q14344</t>
  </si>
  <si>
    <t>Q14376</t>
  </si>
  <si>
    <t>Q14435</t>
  </si>
  <si>
    <t>Q14444-2</t>
  </si>
  <si>
    <t>Q14451</t>
  </si>
  <si>
    <t>Q14457</t>
  </si>
  <si>
    <t>Q14469</t>
  </si>
  <si>
    <t>Q14498-2</t>
  </si>
  <si>
    <t>Q14508</t>
  </si>
  <si>
    <t>Q14511-3</t>
  </si>
  <si>
    <t>Q14520-2</t>
  </si>
  <si>
    <t>Q14526</t>
  </si>
  <si>
    <t>Q14534</t>
  </si>
  <si>
    <t>Q14554</t>
  </si>
  <si>
    <t>Q14558-2</t>
  </si>
  <si>
    <t>Q14562</t>
  </si>
  <si>
    <t>Q14566</t>
  </si>
  <si>
    <t>Q14571</t>
  </si>
  <si>
    <t>Q14573</t>
  </si>
  <si>
    <t>Q14651</t>
  </si>
  <si>
    <t>Q14653</t>
  </si>
  <si>
    <t>Q14657</t>
  </si>
  <si>
    <t>Q14669-2</t>
  </si>
  <si>
    <t>Q14676</t>
  </si>
  <si>
    <t>Q14677</t>
  </si>
  <si>
    <t>Q14678</t>
  </si>
  <si>
    <t>Q14681</t>
  </si>
  <si>
    <t>Q14683</t>
  </si>
  <si>
    <t>Q14684-2</t>
  </si>
  <si>
    <t>Q14686</t>
  </si>
  <si>
    <t>Q14687-2</t>
  </si>
  <si>
    <t>Q14691</t>
  </si>
  <si>
    <t>Q14694</t>
  </si>
  <si>
    <t>Q14696</t>
  </si>
  <si>
    <t>Q14697</t>
  </si>
  <si>
    <t>Q14699</t>
  </si>
  <si>
    <t>Q14739</t>
  </si>
  <si>
    <t>Q14746-2</t>
  </si>
  <si>
    <t>Q14789</t>
  </si>
  <si>
    <t>Q14790</t>
  </si>
  <si>
    <t>Q147X3</t>
  </si>
  <si>
    <t>Q14802-2</t>
  </si>
  <si>
    <t>Q14807</t>
  </si>
  <si>
    <t>Q14847</t>
  </si>
  <si>
    <t>Q14849-2</t>
  </si>
  <si>
    <t>Q14872</t>
  </si>
  <si>
    <t>Q14914-2</t>
  </si>
  <si>
    <t>Q14964</t>
  </si>
  <si>
    <t>Q14966</t>
  </si>
  <si>
    <t>Q14974</t>
  </si>
  <si>
    <t>Q14978-2</t>
  </si>
  <si>
    <t>Q14978-3</t>
  </si>
  <si>
    <t>Q14980</t>
  </si>
  <si>
    <t>Q14997</t>
  </si>
  <si>
    <t>Q14BN4-2</t>
  </si>
  <si>
    <t>Q14C86-6</t>
  </si>
  <si>
    <t>Q14CM0</t>
  </si>
  <si>
    <t>Q14CS0</t>
  </si>
  <si>
    <t>Q14CX7</t>
  </si>
  <si>
    <t>Q14CZ7</t>
  </si>
  <si>
    <t>Q15003</t>
  </si>
  <si>
    <t>Q15004</t>
  </si>
  <si>
    <t>Q15005</t>
  </si>
  <si>
    <t>Q15006</t>
  </si>
  <si>
    <t>Q15007</t>
  </si>
  <si>
    <t>Q15008</t>
  </si>
  <si>
    <t>Q15011-3</t>
  </si>
  <si>
    <t>Q15012</t>
  </si>
  <si>
    <t>Q15013</t>
  </si>
  <si>
    <t>Q15018</t>
  </si>
  <si>
    <t>Q15019</t>
  </si>
  <si>
    <t>Q15020</t>
  </si>
  <si>
    <t>Q15021</t>
  </si>
  <si>
    <t>Q15024</t>
  </si>
  <si>
    <t>Q15029-2</t>
  </si>
  <si>
    <t>Q15031</t>
  </si>
  <si>
    <t>Q15036-2</t>
  </si>
  <si>
    <t>Q15042</t>
  </si>
  <si>
    <t>Q15043-2</t>
  </si>
  <si>
    <t>Q15046</t>
  </si>
  <si>
    <t>Q15047-3</t>
  </si>
  <si>
    <t>Q15050</t>
  </si>
  <si>
    <t>Q15056</t>
  </si>
  <si>
    <t>Q15056-2</t>
  </si>
  <si>
    <t>Q15057</t>
  </si>
  <si>
    <t>Q15059</t>
  </si>
  <si>
    <t>Q15061</t>
  </si>
  <si>
    <t>Q15067-2</t>
  </si>
  <si>
    <t>Q15075</t>
  </si>
  <si>
    <t>Q15102</t>
  </si>
  <si>
    <t>Q15118</t>
  </si>
  <si>
    <t>Q15120</t>
  </si>
  <si>
    <t>Q15121</t>
  </si>
  <si>
    <t>Q15125</t>
  </si>
  <si>
    <t>Q15126</t>
  </si>
  <si>
    <t>Q15139</t>
  </si>
  <si>
    <t>Q15149-4</t>
  </si>
  <si>
    <t>Q15155</t>
  </si>
  <si>
    <t>Q15166</t>
  </si>
  <si>
    <t>Q15170-2</t>
  </si>
  <si>
    <t>Q15172</t>
  </si>
  <si>
    <t>Q15181</t>
  </si>
  <si>
    <t>Q15208</t>
  </si>
  <si>
    <t>Q15223</t>
  </si>
  <si>
    <t>Q15233</t>
  </si>
  <si>
    <t>Q15257</t>
  </si>
  <si>
    <t>Q15269</t>
  </si>
  <si>
    <t>Q15274</t>
  </si>
  <si>
    <t>Q15276</t>
  </si>
  <si>
    <t>Q15283-2</t>
  </si>
  <si>
    <t>Q15286</t>
  </si>
  <si>
    <t>Q15291</t>
  </si>
  <si>
    <t>Q15293</t>
  </si>
  <si>
    <t>Q15311</t>
  </si>
  <si>
    <t>Q15334</t>
  </si>
  <si>
    <t>Q15345-3</t>
  </si>
  <si>
    <t>Q15363</t>
  </si>
  <si>
    <t>Q15365</t>
  </si>
  <si>
    <t>Q15366</t>
  </si>
  <si>
    <t>Q15366-2</t>
  </si>
  <si>
    <t>Q15366-3</t>
  </si>
  <si>
    <t>Q15370</t>
  </si>
  <si>
    <t>Q15382</t>
  </si>
  <si>
    <t>Q15386</t>
  </si>
  <si>
    <t>Q15393</t>
  </si>
  <si>
    <t>Q15398-3</t>
  </si>
  <si>
    <t>Q15404</t>
  </si>
  <si>
    <t>Q15417</t>
  </si>
  <si>
    <t>Q15424</t>
  </si>
  <si>
    <t>Q15428</t>
  </si>
  <si>
    <t>Q15435</t>
  </si>
  <si>
    <t>Q15437</t>
  </si>
  <si>
    <t>Q15459</t>
  </si>
  <si>
    <t>Q15464</t>
  </si>
  <si>
    <t>Q15477</t>
  </si>
  <si>
    <t>Q15506</t>
  </si>
  <si>
    <t>Q15526-2</t>
  </si>
  <si>
    <t>Q15527</t>
  </si>
  <si>
    <t>Q15543</t>
  </si>
  <si>
    <t>Q15545</t>
  </si>
  <si>
    <t>Q15554</t>
  </si>
  <si>
    <t>Q15555-4</t>
  </si>
  <si>
    <t>Q15560-2</t>
  </si>
  <si>
    <t>Q15599</t>
  </si>
  <si>
    <t>Q15628</t>
  </si>
  <si>
    <t>Q15633-2</t>
  </si>
  <si>
    <t>Q15637-5</t>
  </si>
  <si>
    <t>Q15637-6</t>
  </si>
  <si>
    <t>Q15642</t>
  </si>
  <si>
    <t>Q15643</t>
  </si>
  <si>
    <t>Q15645</t>
  </si>
  <si>
    <t>Q15648</t>
  </si>
  <si>
    <t>Q15649</t>
  </si>
  <si>
    <t>Q15650</t>
  </si>
  <si>
    <t>Q15651</t>
  </si>
  <si>
    <t>Q15652-3</t>
  </si>
  <si>
    <t>Q15654</t>
  </si>
  <si>
    <t>Q15691</t>
  </si>
  <si>
    <t>Q15714</t>
  </si>
  <si>
    <t>Q15717</t>
  </si>
  <si>
    <t>Q15738</t>
  </si>
  <si>
    <t>Q15750-2</t>
  </si>
  <si>
    <t>Q15758</t>
  </si>
  <si>
    <t>Q15771</t>
  </si>
  <si>
    <t>Q15785</t>
  </si>
  <si>
    <t>Q15788-2</t>
  </si>
  <si>
    <t>Q15796-2</t>
  </si>
  <si>
    <t>Q15797</t>
  </si>
  <si>
    <t>Q15800</t>
  </si>
  <si>
    <t>Q15813</t>
  </si>
  <si>
    <t>Q15814</t>
  </si>
  <si>
    <t>Q15819</t>
  </si>
  <si>
    <t>Q15831-2</t>
  </si>
  <si>
    <t>Q15833</t>
  </si>
  <si>
    <t>Q15836</t>
  </si>
  <si>
    <t>Q15843</t>
  </si>
  <si>
    <t>Q15847</t>
  </si>
  <si>
    <t>Q15904</t>
  </si>
  <si>
    <t>Q15907</t>
  </si>
  <si>
    <t>Q15942</t>
  </si>
  <si>
    <t>Q16134</t>
  </si>
  <si>
    <t>Q16181</t>
  </si>
  <si>
    <t>Q16186</t>
  </si>
  <si>
    <t>Q16204</t>
  </si>
  <si>
    <t>Q16222-2</t>
  </si>
  <si>
    <t>Q16254</t>
  </si>
  <si>
    <t>Q16401-2</t>
  </si>
  <si>
    <t>Q16512</t>
  </si>
  <si>
    <t>Q16513</t>
  </si>
  <si>
    <t>Q16514-2</t>
  </si>
  <si>
    <t>Q16531</t>
  </si>
  <si>
    <t>Q16539-2</t>
  </si>
  <si>
    <t>Q16543</t>
  </si>
  <si>
    <t>Q16555</t>
  </si>
  <si>
    <t>Q16576</t>
  </si>
  <si>
    <t>Q16610</t>
  </si>
  <si>
    <t>Q16625-4</t>
  </si>
  <si>
    <t>Q16626</t>
  </si>
  <si>
    <t>Q16630-2</t>
  </si>
  <si>
    <t>Q16635-6</t>
  </si>
  <si>
    <t>Q16643</t>
  </si>
  <si>
    <t>Q16644</t>
  </si>
  <si>
    <t>Q16656-2</t>
  </si>
  <si>
    <t>Q16658</t>
  </si>
  <si>
    <t>Q16670-2</t>
  </si>
  <si>
    <t>Q16706</t>
  </si>
  <si>
    <t>Q16718</t>
  </si>
  <si>
    <t>Q16720-8</t>
  </si>
  <si>
    <t>Q16740</t>
  </si>
  <si>
    <t>Q16762</t>
  </si>
  <si>
    <t>Q16763</t>
  </si>
  <si>
    <t>Q16769</t>
  </si>
  <si>
    <t>Q16775-2</t>
  </si>
  <si>
    <t>Q16778</t>
  </si>
  <si>
    <t>Q16787</t>
  </si>
  <si>
    <t>Q16790</t>
  </si>
  <si>
    <t>Q16795</t>
  </si>
  <si>
    <t>Q16822</t>
  </si>
  <si>
    <t>Q16850</t>
  </si>
  <si>
    <t>Q16851</t>
  </si>
  <si>
    <t>Q16854</t>
  </si>
  <si>
    <t>Q16864</t>
  </si>
  <si>
    <t>Q16880</t>
  </si>
  <si>
    <t>Q17R31-2</t>
  </si>
  <si>
    <t>Q17RN3</t>
  </si>
  <si>
    <t>Q17RU2</t>
  </si>
  <si>
    <t>Q18PE1-2</t>
  </si>
  <si>
    <t>Q1ED39</t>
  </si>
  <si>
    <t>Q1KMD3</t>
  </si>
  <si>
    <t>Q1MSJ5-1</t>
  </si>
  <si>
    <t>Q24JP5</t>
  </si>
  <si>
    <t>Q27J81-2</t>
  </si>
  <si>
    <t>Q29RF7</t>
  </si>
  <si>
    <t>Q2M296-2</t>
  </si>
  <si>
    <t>Q2M2I8-2</t>
  </si>
  <si>
    <t>Q2M2Z5-5</t>
  </si>
  <si>
    <t>Q2M389</t>
  </si>
  <si>
    <t>Q2N1I1</t>
  </si>
  <si>
    <t>Q2NKX8</t>
  </si>
  <si>
    <t>Q2NL82</t>
  </si>
  <si>
    <t>Q2NL98</t>
  </si>
  <si>
    <t>Q2T9J0</t>
  </si>
  <si>
    <t>Q2TAA5</t>
  </si>
  <si>
    <t>Q2TAL8</t>
  </si>
  <si>
    <t>Q2TAM5</t>
  </si>
  <si>
    <t>Q2TAM9</t>
  </si>
  <si>
    <t>Q2TAY7</t>
  </si>
  <si>
    <t>Q2TBE0</t>
  </si>
  <si>
    <t>Q32MZ4-2</t>
  </si>
  <si>
    <t>Q32MZ4-3</t>
  </si>
  <si>
    <t>Q32MZ9</t>
  </si>
  <si>
    <t>Q32P28</t>
  </si>
  <si>
    <t>Q32P41</t>
  </si>
  <si>
    <t>Q32Q12</t>
  </si>
  <si>
    <t>Q3B726</t>
  </si>
  <si>
    <t>Q3B7J2</t>
  </si>
  <si>
    <t>Q3KQV9</t>
  </si>
  <si>
    <t>Q3KRA6</t>
  </si>
  <si>
    <t>Q3KRA9</t>
  </si>
  <si>
    <t>Q3LXA3</t>
  </si>
  <si>
    <t>Q3MHD2</t>
  </si>
  <si>
    <t>Q3MIR4</t>
  </si>
  <si>
    <t>Q3MIT2</t>
  </si>
  <si>
    <t>Q3SXM5</t>
  </si>
  <si>
    <t>Q3SY69</t>
  </si>
  <si>
    <t>Q3YEC7</t>
  </si>
  <si>
    <t>Q3ZAQ7</t>
  </si>
  <si>
    <t>Q3ZCM7</t>
  </si>
  <si>
    <t>Q3ZCQ8</t>
  </si>
  <si>
    <t>Q3ZCW2</t>
  </si>
  <si>
    <t>Q495W5-2</t>
  </si>
  <si>
    <t>Q49AH0-2</t>
  </si>
  <si>
    <t>Q49AQ3</t>
  </si>
  <si>
    <t>Q49AR2</t>
  </si>
  <si>
    <t>Q49B96</t>
  </si>
  <si>
    <t>Q4G0F5</t>
  </si>
  <si>
    <t>Q4G0I0</t>
  </si>
  <si>
    <t>Q4G0N4</t>
  </si>
  <si>
    <t>Q4G0X9-3</t>
  </si>
  <si>
    <t>Q4G148-2</t>
  </si>
  <si>
    <t>Q4G176</t>
  </si>
  <si>
    <t>Q4J6C6-4</t>
  </si>
  <si>
    <t>Q4JM47</t>
  </si>
  <si>
    <t>Q4KMP7</t>
  </si>
  <si>
    <t>Q4KWH8-3</t>
  </si>
  <si>
    <t>Q4LDG9-3</t>
  </si>
  <si>
    <t>Q4LE39-3</t>
  </si>
  <si>
    <t>Q4V328</t>
  </si>
  <si>
    <t>Q4VC05</t>
  </si>
  <si>
    <t>Q4VCS5</t>
  </si>
  <si>
    <t>Q4VXZ8</t>
  </si>
  <si>
    <t>Q4ZIN3-2</t>
  </si>
  <si>
    <t>Q504Q3-2</t>
  </si>
  <si>
    <t>Q52LA3</t>
  </si>
  <si>
    <t>Q52LJ0-2</t>
  </si>
  <si>
    <t>Q53EL6-2</t>
  </si>
  <si>
    <t>Q53EZ4</t>
  </si>
  <si>
    <t>Q53F19</t>
  </si>
  <si>
    <t>Q53FA7</t>
  </si>
  <si>
    <t>Q53FT3</t>
  </si>
  <si>
    <t>Q53GG5-2</t>
  </si>
  <si>
    <t>Q53GQ0</t>
  </si>
  <si>
    <t>Q53H12</t>
  </si>
  <si>
    <t>Q53H47</t>
  </si>
  <si>
    <t>Q53H82</t>
  </si>
  <si>
    <t>Q53H96</t>
  </si>
  <si>
    <t>Q53HC9</t>
  </si>
  <si>
    <t>Q53HV7</t>
  </si>
  <si>
    <t>Q53R41</t>
  </si>
  <si>
    <t>Q53S33</t>
  </si>
  <si>
    <t>Q53SF7-4</t>
  </si>
  <si>
    <t>Q53T59</t>
  </si>
  <si>
    <t>Q567Q0</t>
  </si>
  <si>
    <t>Q56VL3</t>
  </si>
  <si>
    <t>Q573B4</t>
  </si>
  <si>
    <t>Q587I9</t>
  </si>
  <si>
    <t>Q58A45</t>
  </si>
  <si>
    <t>Q58FF8</t>
  </si>
  <si>
    <t>Q58FG1</t>
  </si>
  <si>
    <t>Q58WW2</t>
  </si>
  <si>
    <t>Q59GN2</t>
  </si>
  <si>
    <t>Q5BJF2</t>
  </si>
  <si>
    <t>Q5BKU9</t>
  </si>
  <si>
    <t>Q5BKX5</t>
  </si>
  <si>
    <t>Q5BKZ1</t>
  </si>
  <si>
    <t>Q5D1E8</t>
  </si>
  <si>
    <t>Q5EBL8</t>
  </si>
  <si>
    <t>Q5F1R6</t>
  </si>
  <si>
    <t>Q5GFL6</t>
  </si>
  <si>
    <t>Q5GLZ8-3</t>
  </si>
  <si>
    <t>Q5H8X8</t>
  </si>
  <si>
    <t>Q5HY62</t>
  </si>
  <si>
    <t>Q5HYI7</t>
  </si>
  <si>
    <t>Q5HYI8</t>
  </si>
  <si>
    <t>Q5HYK3</t>
  </si>
  <si>
    <t>Q5HYK7-2</t>
  </si>
  <si>
    <t>Q5JP53</t>
  </si>
  <si>
    <t>Q5JPE7-2</t>
  </si>
  <si>
    <t>Q5JPH6</t>
  </si>
  <si>
    <t>Q5JQQ2</t>
  </si>
  <si>
    <t>Q5JR08</t>
  </si>
  <si>
    <t>Q5JR12-2</t>
  </si>
  <si>
    <t>Q5JRA6</t>
  </si>
  <si>
    <t>Q5JRG1</t>
  </si>
  <si>
    <t>Q5JRI1</t>
  </si>
  <si>
    <t>Q5JRX3</t>
  </si>
  <si>
    <t>Q5JS37</t>
  </si>
  <si>
    <t>Q5JS54</t>
  </si>
  <si>
    <t>Q5JSH3-2</t>
  </si>
  <si>
    <t>Q5JSL0</t>
  </si>
  <si>
    <t>Q5JSZ5</t>
  </si>
  <si>
    <t>Q5JTD0-2</t>
  </si>
  <si>
    <t>Q5JTJ3-3</t>
  </si>
  <si>
    <t>Q5JTV1</t>
  </si>
  <si>
    <t>Q5JTV8</t>
  </si>
  <si>
    <t>Q5JTZ9</t>
  </si>
  <si>
    <t>Q5JU69</t>
  </si>
  <si>
    <t>Q5JUR7</t>
  </si>
  <si>
    <t>Q5JUW8</t>
  </si>
  <si>
    <t>Q5JUX0</t>
  </si>
  <si>
    <t>Q5JVF3-3</t>
  </si>
  <si>
    <t>Q5JVG8-2</t>
  </si>
  <si>
    <t>Q5JVS0</t>
  </si>
  <si>
    <t>Q5JW30</t>
  </si>
  <si>
    <t>Q5JWB9</t>
  </si>
  <si>
    <t>Q5JWT2</t>
  </si>
  <si>
    <t>Q5JXX2</t>
  </si>
  <si>
    <t>Q5JY65</t>
  </si>
  <si>
    <t>Q5K4L6</t>
  </si>
  <si>
    <t>Q5M775</t>
  </si>
  <si>
    <t>Q5M8T2</t>
  </si>
  <si>
    <t>Q5MIZ7-3</t>
  </si>
  <si>
    <t>Q5MNZ6</t>
  </si>
  <si>
    <t>Q5NDL2</t>
  </si>
  <si>
    <t>Q5QJE6</t>
  </si>
  <si>
    <t>Q5QNY5</t>
  </si>
  <si>
    <t>Q5QNZ2</t>
  </si>
  <si>
    <t>Q5QP56</t>
  </si>
  <si>
    <t>Q5QP82-2</t>
  </si>
  <si>
    <t>Q5QPK2</t>
  </si>
  <si>
    <t>Q5QPL9</t>
  </si>
  <si>
    <t>Q5QPM7</t>
  </si>
  <si>
    <t>Q5R372-4</t>
  </si>
  <si>
    <t>Q5R3B4</t>
  </si>
  <si>
    <t>Q5RI15</t>
  </si>
  <si>
    <t>Q5RKV6</t>
  </si>
  <si>
    <t>Q5SQI0-5</t>
  </si>
  <si>
    <t>Q5SR50</t>
  </si>
  <si>
    <t>Q5SR54</t>
  </si>
  <si>
    <t>Q5SR56</t>
  </si>
  <si>
    <t>Q5SRE5</t>
  </si>
  <si>
    <t>Q5SRI9</t>
  </si>
  <si>
    <t>Q5SRQ6</t>
  </si>
  <si>
    <t>Q5SSJ5</t>
  </si>
  <si>
    <t>Q5SVS4</t>
  </si>
  <si>
    <t>Q5SW79</t>
  </si>
  <si>
    <t>Q5SWX8-4</t>
  </si>
  <si>
    <t>Q5SXM8</t>
  </si>
  <si>
    <t>Q5SYE7-2</t>
  </si>
  <si>
    <t>Q5SZ64</t>
  </si>
  <si>
    <t>Q5SZE2</t>
  </si>
  <si>
    <t>Q5SZR4</t>
  </si>
  <si>
    <t>Q5T085</t>
  </si>
  <si>
    <t>Q5T0N5-3</t>
  </si>
  <si>
    <t>Q5T0Z8</t>
  </si>
  <si>
    <t>Q5T123</t>
  </si>
  <si>
    <t>Q5T160</t>
  </si>
  <si>
    <t>Q5T171</t>
  </si>
  <si>
    <t>Q5T1M5</t>
  </si>
  <si>
    <t>Q5T1V6</t>
  </si>
  <si>
    <t>Q5T1Z4</t>
  </si>
  <si>
    <t>Q5T200</t>
  </si>
  <si>
    <t>Q5T2E6</t>
  </si>
  <si>
    <t>Q5T2R2-3</t>
  </si>
  <si>
    <t>Q5T2W9</t>
  </si>
  <si>
    <t>Q5T2Z0</t>
  </si>
  <si>
    <t>Q5T3F8</t>
  </si>
  <si>
    <t>Q5T3J3</t>
  </si>
  <si>
    <t>Q5T3U5-2</t>
  </si>
  <si>
    <t>Q5T440</t>
  </si>
  <si>
    <t>Q5T447</t>
  </si>
  <si>
    <t>Q5T4F4-7</t>
  </si>
  <si>
    <t>Q5T4P9</t>
  </si>
  <si>
    <t>Q5T4S7-3</t>
  </si>
  <si>
    <t>Q5T4U5</t>
  </si>
  <si>
    <t>Q5T5C0-3</t>
  </si>
  <si>
    <t>Q5T5P2</t>
  </si>
  <si>
    <t>Q5T5U3</t>
  </si>
  <si>
    <t>Q5T5Y3-2</t>
  </si>
  <si>
    <t>Q5T6F2</t>
  </si>
  <si>
    <t>Q5T6N4</t>
  </si>
  <si>
    <t>Q5T6V5</t>
  </si>
  <si>
    <t>Q5T750</t>
  </si>
  <si>
    <t>Q5T7M9</t>
  </si>
  <si>
    <t>Q5T7V8</t>
  </si>
  <si>
    <t>Q5T8D3-4</t>
  </si>
  <si>
    <t>Q5T8I0</t>
  </si>
  <si>
    <t>Q5T8P6</t>
  </si>
  <si>
    <t>Q5T8U5</t>
  </si>
  <si>
    <t>Q5T9B7</t>
  </si>
  <si>
    <t>Q5T9C2-2</t>
  </si>
  <si>
    <t>Q5TA02</t>
  </si>
  <si>
    <t>Q5TA31</t>
  </si>
  <si>
    <t>Q5TA45-3</t>
  </si>
  <si>
    <t>Q5TA50</t>
  </si>
  <si>
    <t>Q5TAX3</t>
  </si>
  <si>
    <t>Q5TBA9</t>
  </si>
  <si>
    <t>Q5TBB1</t>
  </si>
  <si>
    <t>Q5TBP5</t>
  </si>
  <si>
    <t>Q5TD07</t>
  </si>
  <si>
    <t>Q5TDC5</t>
  </si>
  <si>
    <t>Q5TDG9</t>
  </si>
  <si>
    <t>Q5TDH0</t>
  </si>
  <si>
    <t>Q5TEU4-2</t>
  </si>
  <si>
    <t>Q5TFE4</t>
  </si>
  <si>
    <t>Q5TH58</t>
  </si>
  <si>
    <t>Q5TH69</t>
  </si>
  <si>
    <t>Q5THJ1</t>
  </si>
  <si>
    <t>Q5THK1-3</t>
  </si>
  <si>
    <t>Q5TI78</t>
  </si>
  <si>
    <t>Q5TIE1</t>
  </si>
  <si>
    <t>Q5TZA2</t>
  </si>
  <si>
    <t>Q5U5X0</t>
  </si>
  <si>
    <t>Q5U649</t>
  </si>
  <si>
    <t>Q5UIP0-2</t>
  </si>
  <si>
    <t>Q5VIR6-4</t>
  </si>
  <si>
    <t>Q5VSL9</t>
  </si>
  <si>
    <t>Q5VST6</t>
  </si>
  <si>
    <t>Q5VT06</t>
  </si>
  <si>
    <t>Q5VT52-3</t>
  </si>
  <si>
    <t>Q5VT66</t>
  </si>
  <si>
    <t>Q5VT94</t>
  </si>
  <si>
    <t>Q5VTL8</t>
  </si>
  <si>
    <t>Q5VTQ0-2</t>
  </si>
  <si>
    <t>Q5VTR2</t>
  </si>
  <si>
    <t>Q5VTU3</t>
  </si>
  <si>
    <t>Q5VU58</t>
  </si>
  <si>
    <t>Q5VUA4</t>
  </si>
  <si>
    <t>Q5VUE5</t>
  </si>
  <si>
    <t>Q5VUM1</t>
  </si>
  <si>
    <t>Q5VV41</t>
  </si>
  <si>
    <t>Q5VV42</t>
  </si>
  <si>
    <t>Q5VV50</t>
  </si>
  <si>
    <t>Q5VV87</t>
  </si>
  <si>
    <t>Q5VVJ2-2</t>
  </si>
  <si>
    <t>Q5VVQ6-2</t>
  </si>
  <si>
    <t>Q5VW27</t>
  </si>
  <si>
    <t>Q5VW32</t>
  </si>
  <si>
    <t>Q5VW36</t>
  </si>
  <si>
    <t>Q5VW52</t>
  </si>
  <si>
    <t>Q5VWJ9</t>
  </si>
  <si>
    <t>Q5VWP2</t>
  </si>
  <si>
    <t>Q5VWQ0</t>
  </si>
  <si>
    <t>Q5VWQ8-2</t>
  </si>
  <si>
    <t>Q5VWV2</t>
  </si>
  <si>
    <t>Q5VWZ2</t>
  </si>
  <si>
    <t>Q5VY93</t>
  </si>
  <si>
    <t>Q5VZE5</t>
  </si>
  <si>
    <t>Q5VZK9</t>
  </si>
  <si>
    <t>Q5W0A2</t>
  </si>
  <si>
    <t>Q5W0U4</t>
  </si>
  <si>
    <t>Q5W0V3</t>
  </si>
  <si>
    <t>Q5W0Z9-3</t>
  </si>
  <si>
    <t>Q5W111</t>
  </si>
  <si>
    <t>Q5W145</t>
  </si>
  <si>
    <t>Q5XKP0</t>
  </si>
  <si>
    <t>Q5XUX1-3</t>
  </si>
  <si>
    <t>Q5ZPR3</t>
  </si>
  <si>
    <t>Q63HN8</t>
  </si>
  <si>
    <t>Q641Q2</t>
  </si>
  <si>
    <t>Q643R3</t>
  </si>
  <si>
    <t>Q658Y4</t>
  </si>
  <si>
    <t>Q659C4</t>
  </si>
  <si>
    <t>Q66K14-2</t>
  </si>
  <si>
    <t>Q66K64</t>
  </si>
  <si>
    <t>Q66PJ3</t>
  </si>
  <si>
    <t>Q66S35</t>
  </si>
  <si>
    <t>Q68CQ4</t>
  </si>
  <si>
    <t>Q68D10</t>
  </si>
  <si>
    <t>Q68D91</t>
  </si>
  <si>
    <t>Q68DA7-5</t>
  </si>
  <si>
    <t>Q68DH5</t>
  </si>
  <si>
    <t>Q68E01-2</t>
  </si>
  <si>
    <t>Q68EM7-2</t>
  </si>
  <si>
    <t>Q69YL0</t>
  </si>
  <si>
    <t>Q69YN2</t>
  </si>
  <si>
    <t>Q69YN4</t>
  </si>
  <si>
    <t>Q69YU5</t>
  </si>
  <si>
    <t>Q6AZZ1</t>
  </si>
  <si>
    <t>Q6B0J5</t>
  </si>
  <si>
    <t>Q6BDS2</t>
  </si>
  <si>
    <t>Q6DD87</t>
  </si>
  <si>
    <t>Q6DD88</t>
  </si>
  <si>
    <t>Q6DHV7-3</t>
  </si>
  <si>
    <t>Q6DKK2</t>
  </si>
  <si>
    <t>Q6DT37</t>
  </si>
  <si>
    <t>Q6EEV4-2</t>
  </si>
  <si>
    <t>Q6EMK4</t>
  </si>
  <si>
    <t>Q6FI81-3</t>
  </si>
  <si>
    <t>Q6FIF0-2</t>
  </si>
  <si>
    <t>Q6GMV2</t>
  </si>
  <si>
    <t>Q6GMV3</t>
  </si>
  <si>
    <t>Q6GQQ9</t>
  </si>
  <si>
    <t>Q6GYA4</t>
  </si>
  <si>
    <t>Q6H9L7-5</t>
  </si>
  <si>
    <t>Q6I9Y2</t>
  </si>
  <si>
    <t>Q6IA17</t>
  </si>
  <si>
    <t>Q6IA69</t>
  </si>
  <si>
    <t>Q6IA86-5</t>
  </si>
  <si>
    <t>Q6IAA8</t>
  </si>
  <si>
    <t>Q6IAN0</t>
  </si>
  <si>
    <t>Q6IBS0</t>
  </si>
  <si>
    <t>Q6IBW4-2</t>
  </si>
  <si>
    <t>Q6ICB0</t>
  </si>
  <si>
    <t>Q6ICG6</t>
  </si>
  <si>
    <t>Q6ICJ4</t>
  </si>
  <si>
    <t>Q6IN85</t>
  </si>
  <si>
    <t>Q6IPR1</t>
  </si>
  <si>
    <t>Q6IPR3</t>
  </si>
  <si>
    <t>Q6IQ22</t>
  </si>
  <si>
    <t>Q6ISB3</t>
  </si>
  <si>
    <t>Q6JHV3</t>
  </si>
  <si>
    <t>Q6JQN1</t>
  </si>
  <si>
    <t>Q6KC79-2</t>
  </si>
  <si>
    <t>Q6KCM7-2</t>
  </si>
  <si>
    <t>Q6L8Q7-2</t>
  </si>
  <si>
    <t>Q6L9W6</t>
  </si>
  <si>
    <t>Q6MZP7-4</t>
  </si>
  <si>
    <t>Q6N043-2</t>
  </si>
  <si>
    <t>Q6N063</t>
  </si>
  <si>
    <t>Q6N069</t>
  </si>
  <si>
    <t>Q6NSJ0</t>
  </si>
  <si>
    <t>Q6NT16</t>
  </si>
  <si>
    <t>Q6NTE8</t>
  </si>
  <si>
    <t>Q6NUK1</t>
  </si>
  <si>
    <t>Q6NUK4</t>
  </si>
  <si>
    <t>Q6NUM9</t>
  </si>
  <si>
    <t>Q6NUQ1</t>
  </si>
  <si>
    <t>Q6NUQ4-2</t>
  </si>
  <si>
    <t>Q6NUS6</t>
  </si>
  <si>
    <t>Q6NV74</t>
  </si>
  <si>
    <t>Q6NVH7</t>
  </si>
  <si>
    <t>Q6NVU6</t>
  </si>
  <si>
    <t>Q6NVY1</t>
  </si>
  <si>
    <t>Q6NXS1</t>
  </si>
  <si>
    <t>Q6NXT1</t>
  </si>
  <si>
    <t>Q6NXT6</t>
  </si>
  <si>
    <t>Q6NYC1</t>
  </si>
  <si>
    <t>Q6NYC8</t>
  </si>
  <si>
    <t>Q6NZY4</t>
  </si>
  <si>
    <t>Q6P087-2</t>
  </si>
  <si>
    <t>Q6P158</t>
  </si>
  <si>
    <t>Q6P161</t>
  </si>
  <si>
    <t>Q6P179-3</t>
  </si>
  <si>
    <t>Q6P1J9</t>
  </si>
  <si>
    <t>Q6P1K2-4</t>
  </si>
  <si>
    <t>Q6P1L5</t>
  </si>
  <si>
    <t>Q6P1L8</t>
  </si>
  <si>
    <t>Q6P1M0</t>
  </si>
  <si>
    <t>Q6P1N0</t>
  </si>
  <si>
    <t>Q6P1Q9</t>
  </si>
  <si>
    <t>Q6P1R4</t>
  </si>
  <si>
    <t>Q6P1X6</t>
  </si>
  <si>
    <t>Q6P275</t>
  </si>
  <si>
    <t>Q6P2E9</t>
  </si>
  <si>
    <t>Q6P2H3-2</t>
  </si>
  <si>
    <t>Q6P2P2</t>
  </si>
  <si>
    <t>Q6P2Q9</t>
  </si>
  <si>
    <t>Q6P3S6</t>
  </si>
  <si>
    <t>Q6P3W7</t>
  </si>
  <si>
    <t>Q6P3X3</t>
  </si>
  <si>
    <t>Q6P4A7</t>
  </si>
  <si>
    <t>Q6P4A8</t>
  </si>
  <si>
    <t>Q6P4E1</t>
  </si>
  <si>
    <t>Q6P4F2</t>
  </si>
  <si>
    <t>Q6P4G0</t>
  </si>
  <si>
    <t>Q6P4I2</t>
  </si>
  <si>
    <t>Q6P4R8-3</t>
  </si>
  <si>
    <t>Q6P582</t>
  </si>
  <si>
    <t>Q6P587</t>
  </si>
  <si>
    <t>Q6P6C2</t>
  </si>
  <si>
    <t>Q6P988</t>
  </si>
  <si>
    <t>Q6PCB5</t>
  </si>
  <si>
    <t>Q6PCB6-2</t>
  </si>
  <si>
    <t>Q6PCE3</t>
  </si>
  <si>
    <t>Q6PD62</t>
  </si>
  <si>
    <t>Q6PD74</t>
  </si>
  <si>
    <t>Q6PGP7</t>
  </si>
  <si>
    <t>Q6PH81</t>
  </si>
  <si>
    <t>Q6PI47-3</t>
  </si>
  <si>
    <t>Q6PI48</t>
  </si>
  <si>
    <t>Q6PID6</t>
  </si>
  <si>
    <t>Q6PII3</t>
  </si>
  <si>
    <t>Q6PII5-2</t>
  </si>
  <si>
    <t>Q6PIJ6</t>
  </si>
  <si>
    <t>Q6PIW4-2</t>
  </si>
  <si>
    <t>Q6PJ69</t>
  </si>
  <si>
    <t>Q6PJF5-2</t>
  </si>
  <si>
    <t>Q6PJG6</t>
  </si>
  <si>
    <t>Q6PJT7-9</t>
  </si>
  <si>
    <t>Q6PJZ0</t>
  </si>
  <si>
    <t>Q6PK81-2</t>
  </si>
  <si>
    <t>Q6PKC3-2</t>
  </si>
  <si>
    <t>Q6PKG0</t>
  </si>
  <si>
    <t>Q6PL24</t>
  </si>
  <si>
    <t>Q6PML9</t>
  </si>
  <si>
    <t>Q6QNY0</t>
  </si>
  <si>
    <t>Q6QNY1</t>
  </si>
  <si>
    <t>Q6RFH5-2</t>
  </si>
  <si>
    <t>Q6RW13</t>
  </si>
  <si>
    <t>Q6S8J3</t>
  </si>
  <si>
    <t>Q6SZW1-2</t>
  </si>
  <si>
    <t>Q6UB28</t>
  </si>
  <si>
    <t>Q6UB35</t>
  </si>
  <si>
    <t>Q6ULP2-5</t>
  </si>
  <si>
    <t>Q6UN15</t>
  </si>
  <si>
    <t>Q6UUV9-3</t>
  </si>
  <si>
    <t>Q6UW56</t>
  </si>
  <si>
    <t>Q6UW63</t>
  </si>
  <si>
    <t>Q6UW78</t>
  </si>
  <si>
    <t>Q6UWE0</t>
  </si>
  <si>
    <t>Q6UWP2</t>
  </si>
  <si>
    <t>Q6UWP7-3</t>
  </si>
  <si>
    <t>Q6UWW0</t>
  </si>
  <si>
    <t>Q6UWY0</t>
  </si>
  <si>
    <t>Q6UX04</t>
  </si>
  <si>
    <t>Q6UXG2-2</t>
  </si>
  <si>
    <t>Q6UXH1-5</t>
  </si>
  <si>
    <t>Q6UXN9</t>
  </si>
  <si>
    <t>Q6UXV4</t>
  </si>
  <si>
    <t>Q6WCQ1-2</t>
  </si>
  <si>
    <t>Q6WKZ4</t>
  </si>
  <si>
    <t>Q6XQN6</t>
  </si>
  <si>
    <t>Q6Y1H2</t>
  </si>
  <si>
    <t>Q6Y2X3</t>
  </si>
  <si>
    <t>Q6Y7W6</t>
  </si>
  <si>
    <t>Q6YHK3</t>
  </si>
  <si>
    <t>Q6YHU6-3</t>
  </si>
  <si>
    <t>Q6YN16</t>
  </si>
  <si>
    <t>Q6YP21-3</t>
  </si>
  <si>
    <t>Q6ZMG9</t>
  </si>
  <si>
    <t>Q6ZMI0</t>
  </si>
  <si>
    <t>Q6ZMR3</t>
  </si>
  <si>
    <t>Q6ZN04</t>
  </si>
  <si>
    <t>Q6ZN17-2</t>
  </si>
  <si>
    <t>Q6ZNB6</t>
  </si>
  <si>
    <t>Q6ZNW5</t>
  </si>
  <si>
    <t>Q6ZPD9</t>
  </si>
  <si>
    <t>Q6ZRP7</t>
  </si>
  <si>
    <t>Q6ZRS2-2</t>
  </si>
  <si>
    <t>Q6ZS17-2</t>
  </si>
  <si>
    <t>Q6ZS30</t>
  </si>
  <si>
    <t>Q6ZSJ8</t>
  </si>
  <si>
    <t>Q6ZSS7</t>
  </si>
  <si>
    <t>Q6ZT12</t>
  </si>
  <si>
    <t>Q6ZT21-2</t>
  </si>
  <si>
    <t>Q6ZT62</t>
  </si>
  <si>
    <t>Q6ZTQ3-4</t>
  </si>
  <si>
    <t>Q6ZVF9</t>
  </si>
  <si>
    <t>Q6ZVM7-2</t>
  </si>
  <si>
    <t>Q6ZW13</t>
  </si>
  <si>
    <t>Q6ZW49-4</t>
  </si>
  <si>
    <t>Q6ZXV5-2</t>
  </si>
  <si>
    <t>Q6ZYL4</t>
  </si>
  <si>
    <t>Q709C8-3</t>
  </si>
  <si>
    <t>Q709F0</t>
  </si>
  <si>
    <t>Q70CQ2</t>
  </si>
  <si>
    <t>Q70IA6</t>
  </si>
  <si>
    <t>Q70UQ0</t>
  </si>
  <si>
    <t>Q70UQ0-4</t>
  </si>
  <si>
    <t>Q70Z53-2</t>
  </si>
  <si>
    <t>Q712K3</t>
  </si>
  <si>
    <t>Q71RC2-5</t>
  </si>
  <si>
    <t>Q71SY5-5</t>
  </si>
  <si>
    <t>Q71UI9</t>
  </si>
  <si>
    <t>Q75QN2-2</t>
  </si>
  <si>
    <t>Q765P7</t>
  </si>
  <si>
    <t>Q7KZ85</t>
  </si>
  <si>
    <t>Q7KZ85-2</t>
  </si>
  <si>
    <t>Q7KZF4</t>
  </si>
  <si>
    <t>Q7KZN9-2</t>
  </si>
  <si>
    <t>Q7L014</t>
  </si>
  <si>
    <t>Q7L099-4</t>
  </si>
  <si>
    <t>Q7L0Y3</t>
  </si>
  <si>
    <t>Q7L1Q6-2</t>
  </si>
  <si>
    <t>Q7L1T6</t>
  </si>
  <si>
    <t>Q7L266</t>
  </si>
  <si>
    <t>Q7L273</t>
  </si>
  <si>
    <t>Q7L2H7</t>
  </si>
  <si>
    <t>Q7L2J0</t>
  </si>
  <si>
    <t>Q7L3T8</t>
  </si>
  <si>
    <t>Q7L4I2</t>
  </si>
  <si>
    <t>Q7L523</t>
  </si>
  <si>
    <t>Q7L576</t>
  </si>
  <si>
    <t>Q7L592</t>
  </si>
  <si>
    <t>Q7L5D6</t>
  </si>
  <si>
    <t>Q7L5N7</t>
  </si>
  <si>
    <t>Q7L5Y1</t>
  </si>
  <si>
    <t>Q7L775</t>
  </si>
  <si>
    <t>Q7L7V1</t>
  </si>
  <si>
    <t>Q7L7X3</t>
  </si>
  <si>
    <t>Q7L8L6</t>
  </si>
  <si>
    <t>Q7L8W6</t>
  </si>
  <si>
    <t>Q7L9B9</t>
  </si>
  <si>
    <t>Q7LBC6</t>
  </si>
  <si>
    <t>Q7LBR1</t>
  </si>
  <si>
    <t>Q7LGA3</t>
  </si>
  <si>
    <t>Q7RTP6</t>
  </si>
  <si>
    <t>Q7RTV0</t>
  </si>
  <si>
    <t>Q7RTX0</t>
  </si>
  <si>
    <t>Q7Z2E3-8</t>
  </si>
  <si>
    <t>Q7Z2K8</t>
  </si>
  <si>
    <t>Q7Z2T5</t>
  </si>
  <si>
    <t>Q7Z2W4</t>
  </si>
  <si>
    <t>Q7Z2Y8</t>
  </si>
  <si>
    <t>Q7Z2Z2</t>
  </si>
  <si>
    <t>Q7Z309</t>
  </si>
  <si>
    <t>Q7Z309-4</t>
  </si>
  <si>
    <t>Q7Z3B1</t>
  </si>
  <si>
    <t>Q7Z3D4</t>
  </si>
  <si>
    <t>Q7Z3D6-2</t>
  </si>
  <si>
    <t>Q7Z3E2</t>
  </si>
  <si>
    <t>Q7Z3F1</t>
  </si>
  <si>
    <t>Q7Z3K3-5</t>
  </si>
  <si>
    <t>Q7Z3T8</t>
  </si>
  <si>
    <t>Q7Z401</t>
  </si>
  <si>
    <t>Q7Z404-1</t>
  </si>
  <si>
    <t>Q7Z417</t>
  </si>
  <si>
    <t>Q7Z422-2</t>
  </si>
  <si>
    <t>Q7Z434</t>
  </si>
  <si>
    <t>Q7Z449</t>
  </si>
  <si>
    <t>Q7Z478</t>
  </si>
  <si>
    <t>Q7Z4G1</t>
  </si>
  <si>
    <t>Q7Z4G4-2</t>
  </si>
  <si>
    <t>Q7Z4H3</t>
  </si>
  <si>
    <t>Q7Z4H8</t>
  </si>
  <si>
    <t>Q7Z4I7-4</t>
  </si>
  <si>
    <t>Q7Z4Q2</t>
  </si>
  <si>
    <t>Q7Z4V5</t>
  </si>
  <si>
    <t>Q7Z4W1</t>
  </si>
  <si>
    <t>Q7Z569</t>
  </si>
  <si>
    <t>Q7Z5G4-3</t>
  </si>
  <si>
    <t>Q7Z5K2</t>
  </si>
  <si>
    <t>Q7Z5L9-2</t>
  </si>
  <si>
    <t>Q7Z649</t>
  </si>
  <si>
    <t>Q7Z6B0-2</t>
  </si>
  <si>
    <t>Q7Z6B7-2</t>
  </si>
  <si>
    <t>Q7Z6E9</t>
  </si>
  <si>
    <t>Q7Z6I8</t>
  </si>
  <si>
    <t>Q7Z6J8</t>
  </si>
  <si>
    <t>Q7Z6J9</t>
  </si>
  <si>
    <t>Q7Z6K3</t>
  </si>
  <si>
    <t>Q7Z6L1</t>
  </si>
  <si>
    <t>Q7Z6M1</t>
  </si>
  <si>
    <t>Q7Z6M2</t>
  </si>
  <si>
    <t>Q7Z6M4</t>
  </si>
  <si>
    <t>Q7Z6V5</t>
  </si>
  <si>
    <t>Q7Z6Z7-2</t>
  </si>
  <si>
    <t>Q7Z7A3</t>
  </si>
  <si>
    <t>Q7Z7A4</t>
  </si>
  <si>
    <t>Q7Z7C8</t>
  </si>
  <si>
    <t>Q7Z7E8</t>
  </si>
  <si>
    <t>Q7Z7F0-2</t>
  </si>
  <si>
    <t>Q7Z7H5-3</t>
  </si>
  <si>
    <t>Q7Z7K0</t>
  </si>
  <si>
    <t>Q7Z7K6-3</t>
  </si>
  <si>
    <t>Q7Z7N9</t>
  </si>
  <si>
    <t>Q86SQ9-3</t>
  </si>
  <si>
    <t>Q86SR1-2</t>
  </si>
  <si>
    <t>Q86SX6</t>
  </si>
  <si>
    <t>Q86SZ2</t>
  </si>
  <si>
    <t>Q86T03</t>
  </si>
  <si>
    <t>Q86TB9-4</t>
  </si>
  <si>
    <t>Q86TG7</t>
  </si>
  <si>
    <t>Q86TI0</t>
  </si>
  <si>
    <t>Q86TI2</t>
  </si>
  <si>
    <t>Q86TM6-2</t>
  </si>
  <si>
    <t>Q86TN4</t>
  </si>
  <si>
    <t>Q86TP1</t>
  </si>
  <si>
    <t>Q86TS9-3</t>
  </si>
  <si>
    <t>Q86TU7</t>
  </si>
  <si>
    <t>Q86TW2-3</t>
  </si>
  <si>
    <t>Q86TX2</t>
  </si>
  <si>
    <t>Q86TZ8</t>
  </si>
  <si>
    <t>Q86U28</t>
  </si>
  <si>
    <t>Q86U38</t>
  </si>
  <si>
    <t>Q86U44</t>
  </si>
  <si>
    <t>Q86U70-3</t>
  </si>
  <si>
    <t>Q86U86-5</t>
  </si>
  <si>
    <t>Q86U90</t>
  </si>
  <si>
    <t>Q86UA1</t>
  </si>
  <si>
    <t>Q86UD0</t>
  </si>
  <si>
    <t>Q86UE4</t>
  </si>
  <si>
    <t>Q86UE8-2</t>
  </si>
  <si>
    <t>Q86UK7-3</t>
  </si>
  <si>
    <t>Q86UL3</t>
  </si>
  <si>
    <t>Q86UP2</t>
  </si>
  <si>
    <t>Q86UT6-2</t>
  </si>
  <si>
    <t>Q86UU0-4</t>
  </si>
  <si>
    <t>Q86UV5</t>
  </si>
  <si>
    <t>Q86UX3</t>
  </si>
  <si>
    <t>Q86UX6</t>
  </si>
  <si>
    <t>Q86UY0</t>
  </si>
  <si>
    <t>Q86UY8</t>
  </si>
  <si>
    <t>Q86V21</t>
  </si>
  <si>
    <t>Q86V48-2</t>
  </si>
  <si>
    <t>Q86V85</t>
  </si>
  <si>
    <t>Q86V87</t>
  </si>
  <si>
    <t>Q86V88</t>
  </si>
  <si>
    <t>Q86V97</t>
  </si>
  <si>
    <t>Q86VF7-4</t>
  </si>
  <si>
    <t>Q86VI3</t>
  </si>
  <si>
    <t>Q86VN1-2</t>
  </si>
  <si>
    <t>Q86VP6</t>
  </si>
  <si>
    <t>Q86VQ1</t>
  </si>
  <si>
    <t>Q86VR2</t>
  </si>
  <si>
    <t>Q86VS8</t>
  </si>
  <si>
    <t>Q86VU5</t>
  </si>
  <si>
    <t>Q86VW0</t>
  </si>
  <si>
    <t>Q86VX9</t>
  </si>
  <si>
    <t>Q86W42</t>
  </si>
  <si>
    <t>Q86W50</t>
  </si>
  <si>
    <t>Q86W56</t>
  </si>
  <si>
    <t>Q86W92-4</t>
  </si>
  <si>
    <t>Q86WA6-2</t>
  </si>
  <si>
    <t>Q86WA8</t>
  </si>
  <si>
    <t>Q86WJ1-2</t>
  </si>
  <si>
    <t>Q86WQ0</t>
  </si>
  <si>
    <t>Q86WR0</t>
  </si>
  <si>
    <t>Q86WR7</t>
  </si>
  <si>
    <t>Q86WU2-2</t>
  </si>
  <si>
    <t>Q86WV5</t>
  </si>
  <si>
    <t>Q86WV7</t>
  </si>
  <si>
    <t>Q86WX3</t>
  </si>
  <si>
    <t>Q86X53</t>
  </si>
  <si>
    <t>Q86X55-1</t>
  </si>
  <si>
    <t>Q86X76-2</t>
  </si>
  <si>
    <t>Q86X83</t>
  </si>
  <si>
    <t>Q86X95-2</t>
  </si>
  <si>
    <t>Q86XP0</t>
  </si>
  <si>
    <t>Q86XP1</t>
  </si>
  <si>
    <t>Q86XP3</t>
  </si>
  <si>
    <t>Q86XX4</t>
  </si>
  <si>
    <t>Q86XZ4</t>
  </si>
  <si>
    <t>Q86Y07</t>
  </si>
  <si>
    <t>Q86Y39</t>
  </si>
  <si>
    <t>Q86Y56</t>
  </si>
  <si>
    <t>Q86Y79</t>
  </si>
  <si>
    <t>Q86Y82</t>
  </si>
  <si>
    <t>Q86YB8</t>
  </si>
  <si>
    <t>Q86YH6</t>
  </si>
  <si>
    <t>Q86YM7</t>
  </si>
  <si>
    <t>Q86YN1-2</t>
  </si>
  <si>
    <t>Q86YP4</t>
  </si>
  <si>
    <t>Q86YS7</t>
  </si>
  <si>
    <t>Q86YT6</t>
  </si>
  <si>
    <t>Q86YV5</t>
  </si>
  <si>
    <t>Q86YV9</t>
  </si>
  <si>
    <t>Q8IU81</t>
  </si>
  <si>
    <t>Q8IUC4</t>
  </si>
  <si>
    <t>Q8IUD2-2</t>
  </si>
  <si>
    <t>Q8IUF8</t>
  </si>
  <si>
    <t>Q8IUH3-3</t>
  </si>
  <si>
    <t>Q8IUH4</t>
  </si>
  <si>
    <t>Q8IUI8</t>
  </si>
  <si>
    <t>Q8IUR0</t>
  </si>
  <si>
    <t>Q8IUW5</t>
  </si>
  <si>
    <t>Q8IUX1-4</t>
  </si>
  <si>
    <t>Q8IUZ5</t>
  </si>
  <si>
    <t>Q8IV08</t>
  </si>
  <si>
    <t>Q8IV20</t>
  </si>
  <si>
    <t>Q8IV36-2</t>
  </si>
  <si>
    <t>Q8IV38</t>
  </si>
  <si>
    <t>Q8IV45</t>
  </si>
  <si>
    <t>Q8IV50</t>
  </si>
  <si>
    <t>Q8IV56</t>
  </si>
  <si>
    <t>Q8IV63-3</t>
  </si>
  <si>
    <t>Q8IVD9</t>
  </si>
  <si>
    <t>Q8IVF2-3</t>
  </si>
  <si>
    <t>Q8IVH4</t>
  </si>
  <si>
    <t>Q8IVH8-3</t>
  </si>
  <si>
    <t>Q8IVL1-4</t>
  </si>
  <si>
    <t>Q8IVM0</t>
  </si>
  <si>
    <t>Q8IVM0-2</t>
  </si>
  <si>
    <t>Q8IVN8</t>
  </si>
  <si>
    <t>Q8IVQ6</t>
  </si>
  <si>
    <t>Q8IVR6</t>
  </si>
  <si>
    <t>Q8IVS2</t>
  </si>
  <si>
    <t>Q8IVT2</t>
  </si>
  <si>
    <t>Q8IVW6-3</t>
  </si>
  <si>
    <t>Q8IW45</t>
  </si>
  <si>
    <t>Q8IWA0</t>
  </si>
  <si>
    <t>Q8IWA4</t>
  </si>
  <si>
    <t>Q8IWB1</t>
  </si>
  <si>
    <t>Q8IWB7</t>
  </si>
  <si>
    <t>Q8IWB9</t>
  </si>
  <si>
    <t>Q8IWC1-2</t>
  </si>
  <si>
    <t>Q8IWD4</t>
  </si>
  <si>
    <t>Q8IWE2</t>
  </si>
  <si>
    <t>Q8IWE4</t>
  </si>
  <si>
    <t>Q8IWF6</t>
  </si>
  <si>
    <t>Q8IWJ2</t>
  </si>
  <si>
    <t>Q8IWL3</t>
  </si>
  <si>
    <t>Q8IWR0</t>
  </si>
  <si>
    <t>Q8IWS0</t>
  </si>
  <si>
    <t>Q8IWU2</t>
  </si>
  <si>
    <t>Q8IWV7</t>
  </si>
  <si>
    <t>Q8IWV8-4</t>
  </si>
  <si>
    <t>Q8IWW6-2</t>
  </si>
  <si>
    <t>Q8IWZ3-6</t>
  </si>
  <si>
    <t>Q8IWZ8</t>
  </si>
  <si>
    <t>Q8IX12-2</t>
  </si>
  <si>
    <t>Q8IX18-3</t>
  </si>
  <si>
    <t>Q8IX90</t>
  </si>
  <si>
    <t>Q8IXB1</t>
  </si>
  <si>
    <t>Q8IXI1</t>
  </si>
  <si>
    <t>Q8IXI2-4</t>
  </si>
  <si>
    <t>Q8IXN7</t>
  </si>
  <si>
    <t>Q8IXQ4</t>
  </si>
  <si>
    <t>Q8IXW5-2</t>
  </si>
  <si>
    <t>Q8IY17-5</t>
  </si>
  <si>
    <t>Q8IY18</t>
  </si>
  <si>
    <t>Q8IY22</t>
  </si>
  <si>
    <t>Q8IY26</t>
  </si>
  <si>
    <t>Q8IY37</t>
  </si>
  <si>
    <t>Q8IY47</t>
  </si>
  <si>
    <t>Q8IY50-2</t>
  </si>
  <si>
    <t>Q8IY81</t>
  </si>
  <si>
    <t>Q8IY95-2</t>
  </si>
  <si>
    <t>Q8IYB1</t>
  </si>
  <si>
    <t>Q8IYB5-3</t>
  </si>
  <si>
    <t>Q8IYB7</t>
  </si>
  <si>
    <t>Q8IYB8</t>
  </si>
  <si>
    <t>Q8IYD1</t>
  </si>
  <si>
    <t>Q8IYE0-2</t>
  </si>
  <si>
    <t>Q8IYI6</t>
  </si>
  <si>
    <t>Q8IYL3</t>
  </si>
  <si>
    <t>Q8IYN6</t>
  </si>
  <si>
    <t>Q8IYQ7</t>
  </si>
  <si>
    <t>Q8IYR2</t>
  </si>
  <si>
    <t>Q8IYS1</t>
  </si>
  <si>
    <t>Q8IYS2</t>
  </si>
  <si>
    <t>Q8IYU8</t>
  </si>
  <si>
    <t>Q8IYW5</t>
  </si>
  <si>
    <t>Q8IZ07</t>
  </si>
  <si>
    <t>Q8IZ21-3</t>
  </si>
  <si>
    <t>Q8IZ40</t>
  </si>
  <si>
    <t>Q8IZ41</t>
  </si>
  <si>
    <t>Q8IZ52</t>
  </si>
  <si>
    <t>Q8IZ68</t>
  </si>
  <si>
    <t>Q8IZ73</t>
  </si>
  <si>
    <t>Q8IZ81</t>
  </si>
  <si>
    <t>Q8IZ83</t>
  </si>
  <si>
    <t>Q8IZF0</t>
  </si>
  <si>
    <t>Q8IZH2-2</t>
  </si>
  <si>
    <t>Q8IZL2</t>
  </si>
  <si>
    <t>Q8IZQ5</t>
  </si>
  <si>
    <t>Q8IZR5-2</t>
  </si>
  <si>
    <t>Q8IZV5</t>
  </si>
  <si>
    <t>Q8IZW8</t>
  </si>
  <si>
    <t>Q8J025</t>
  </si>
  <si>
    <t>Q8N0T1</t>
  </si>
  <si>
    <t>Q8N0U4</t>
  </si>
  <si>
    <t>Q8N0U8</t>
  </si>
  <si>
    <t>Q8N0W3</t>
  </si>
  <si>
    <t>Q8N0X4</t>
  </si>
  <si>
    <t>Q8N0Z6</t>
  </si>
  <si>
    <t>Q8N0Z8</t>
  </si>
  <si>
    <t>Q8N0Z9-2</t>
  </si>
  <si>
    <t>Q8N108-17</t>
  </si>
  <si>
    <t>Q8N122</t>
  </si>
  <si>
    <t>Q8N129</t>
  </si>
  <si>
    <t>Q8N163</t>
  </si>
  <si>
    <t>Q8N183</t>
  </si>
  <si>
    <t>Q8N1B4</t>
  </si>
  <si>
    <t>Q8N1F7</t>
  </si>
  <si>
    <t>Q8N1G0</t>
  </si>
  <si>
    <t>Q8N1G2</t>
  </si>
  <si>
    <t>Q8N1G4</t>
  </si>
  <si>
    <t>Q8N1K5</t>
  </si>
  <si>
    <t>Q8N2A8</t>
  </si>
  <si>
    <t>Q8N2F6-3</t>
  </si>
  <si>
    <t>Q8N2G8-3</t>
  </si>
  <si>
    <t>Q8N2K0</t>
  </si>
  <si>
    <t>Q8N2Z9</t>
  </si>
  <si>
    <t>Q8N300</t>
  </si>
  <si>
    <t>Q8N335</t>
  </si>
  <si>
    <t>Q8N350</t>
  </si>
  <si>
    <t>Q8N392-2</t>
  </si>
  <si>
    <t>Q8N398-2</t>
  </si>
  <si>
    <t>Q8N3C0</t>
  </si>
  <si>
    <t>Q8N3D4</t>
  </si>
  <si>
    <t>Q8N3F8</t>
  </si>
  <si>
    <t>Q8N3R9-2</t>
  </si>
  <si>
    <t>Q8N3X1</t>
  </si>
  <si>
    <t>Q8N442</t>
  </si>
  <si>
    <t>Q8N465</t>
  </si>
  <si>
    <t>Q8N488</t>
  </si>
  <si>
    <t>Q8N490-2</t>
  </si>
  <si>
    <t>Q8N490-4</t>
  </si>
  <si>
    <t>Q8N4C8-2</t>
  </si>
  <si>
    <t>Q8N4H5</t>
  </si>
  <si>
    <t>Q8N4P3</t>
  </si>
  <si>
    <t>Q8N4Q0</t>
  </si>
  <si>
    <t>Q8N4Q1</t>
  </si>
  <si>
    <t>Q8N4T8</t>
  </si>
  <si>
    <t>Q8N4V1</t>
  </si>
  <si>
    <t>Q8N567</t>
  </si>
  <si>
    <t>Q8N573-2</t>
  </si>
  <si>
    <t>Q8N584</t>
  </si>
  <si>
    <t>Q8N5A5-3</t>
  </si>
  <si>
    <t>Q8N5C6</t>
  </si>
  <si>
    <t>Q8N5C7</t>
  </si>
  <si>
    <t>Q8N5D0-5</t>
  </si>
  <si>
    <t>Q8N5F7</t>
  </si>
  <si>
    <t>Q8N5G0-2</t>
  </si>
  <si>
    <t>Q8N5G2</t>
  </si>
  <si>
    <t>Q8N5I2</t>
  </si>
  <si>
    <t>Q8N5I9</t>
  </si>
  <si>
    <t>Q8N5K1</t>
  </si>
  <si>
    <t>Q8N5L8</t>
  </si>
  <si>
    <t>Q8N5M1</t>
  </si>
  <si>
    <t>Q8N5M9</t>
  </si>
  <si>
    <t>Q8N5N7</t>
  </si>
  <si>
    <t>Q8N5P1</t>
  </si>
  <si>
    <t>Q8N5X7-2</t>
  </si>
  <si>
    <t>Q8N5Y8</t>
  </si>
  <si>
    <t>Q8N612</t>
  </si>
  <si>
    <t>Q8N684-2</t>
  </si>
  <si>
    <t>Q8N697</t>
  </si>
  <si>
    <t>Q8N6H7</t>
  </si>
  <si>
    <t>Q8N6M0</t>
  </si>
  <si>
    <t>Q8N6N3-2</t>
  </si>
  <si>
    <t>Q8N6N7</t>
  </si>
  <si>
    <t>Q8N6Q8</t>
  </si>
  <si>
    <t>Q8N6T3</t>
  </si>
  <si>
    <t>Q8N749</t>
  </si>
  <si>
    <t>Q8N766-3</t>
  </si>
  <si>
    <t>Q8N7R7-3</t>
  </si>
  <si>
    <t>Q8N806</t>
  </si>
  <si>
    <t>Q8N8J7</t>
  </si>
  <si>
    <t>Q8N8N7</t>
  </si>
  <si>
    <t>Q8N8R5</t>
  </si>
  <si>
    <t>Q8N8R7</t>
  </si>
  <si>
    <t>Q8N8S7</t>
  </si>
  <si>
    <t>Q8N954</t>
  </si>
  <si>
    <t>Q8N999</t>
  </si>
  <si>
    <t>Q8N9F7</t>
  </si>
  <si>
    <t>Q8N9M5</t>
  </si>
  <si>
    <t>Q8N9N7</t>
  </si>
  <si>
    <t>Q8N9T8</t>
  </si>
  <si>
    <t>Q8N9V3</t>
  </si>
  <si>
    <t>Q8NAT1</t>
  </si>
  <si>
    <t>Q8NAV1</t>
  </si>
  <si>
    <t>Q8NAX2</t>
  </si>
  <si>
    <t>Q8NB15-2</t>
  </si>
  <si>
    <t>Q8NB16</t>
  </si>
  <si>
    <t>Q8NB37</t>
  </si>
  <si>
    <t>Q8NB46</t>
  </si>
  <si>
    <t>Q8NB49-2</t>
  </si>
  <si>
    <t>Q8NB90</t>
  </si>
  <si>
    <t>Q8NBF2</t>
  </si>
  <si>
    <t>Q8NBF6</t>
  </si>
  <si>
    <t>Q8NBI6</t>
  </si>
  <si>
    <t>Q8NBJ4-2</t>
  </si>
  <si>
    <t>Q8NBJ5</t>
  </si>
  <si>
    <t>Q8NBK3-4</t>
  </si>
  <si>
    <t>Q8NBM4-2</t>
  </si>
  <si>
    <t>Q8NBM8</t>
  </si>
  <si>
    <t>Q8NBN3</t>
  </si>
  <si>
    <t>Q8NBN7</t>
  </si>
  <si>
    <t>Q8NBP0</t>
  </si>
  <si>
    <t>Q8NBP7</t>
  </si>
  <si>
    <t>Q8NBU5</t>
  </si>
  <si>
    <t>Q8NBX0</t>
  </si>
  <si>
    <t>Q8NBY1</t>
  </si>
  <si>
    <t>Q8NC51</t>
  </si>
  <si>
    <t>Q8NC54</t>
  </si>
  <si>
    <t>Q8NC56</t>
  </si>
  <si>
    <t>Q8NC60</t>
  </si>
  <si>
    <t>Q8NC96</t>
  </si>
  <si>
    <t>Q8NCA5-2</t>
  </si>
  <si>
    <t>Q8NCC3</t>
  </si>
  <si>
    <t>Q8NCE0-4</t>
  </si>
  <si>
    <t>Q8NCE2</t>
  </si>
  <si>
    <t>Q8NCF5</t>
  </si>
  <si>
    <t>Q8NCG7</t>
  </si>
  <si>
    <t>Q8NCL4</t>
  </si>
  <si>
    <t>Q8NCN4</t>
  </si>
  <si>
    <t>Q8NCN5</t>
  </si>
  <si>
    <t>Q8NCW5</t>
  </si>
  <si>
    <t>Q8ND04</t>
  </si>
  <si>
    <t>Q8ND24</t>
  </si>
  <si>
    <t>Q8ND56-2</t>
  </si>
  <si>
    <t>Q8ND76</t>
  </si>
  <si>
    <t>Q8ND90</t>
  </si>
  <si>
    <t>Q8NDC0</t>
  </si>
  <si>
    <t>Q8NDD1-3</t>
  </si>
  <si>
    <t>Q8NDH3</t>
  </si>
  <si>
    <t>Q8NDI1-3</t>
  </si>
  <si>
    <t>Q8NDT2</t>
  </si>
  <si>
    <t>Q8NDV3-2</t>
  </si>
  <si>
    <t>Q8NDZ4</t>
  </si>
  <si>
    <t>Q8NE62</t>
  </si>
  <si>
    <t>Q8NE71</t>
  </si>
  <si>
    <t>Q8NEG4</t>
  </si>
  <si>
    <t>Q8NEL9-2</t>
  </si>
  <si>
    <t>Q8NEN9</t>
  </si>
  <si>
    <t>Q8NEU8-2</t>
  </si>
  <si>
    <t>Q8NEZ5</t>
  </si>
  <si>
    <t>Q8NF37</t>
  </si>
  <si>
    <t>Q8NFC6</t>
  </si>
  <si>
    <t>Q8NFF5-2</t>
  </si>
  <si>
    <t>Q8NFH3</t>
  </si>
  <si>
    <t>Q8NFH4</t>
  </si>
  <si>
    <t>Q8NFI3</t>
  </si>
  <si>
    <t>Q8NFQ8</t>
  </si>
  <si>
    <t>Q8NFU3</t>
  </si>
  <si>
    <t>Q8NFU3-4</t>
  </si>
  <si>
    <t>Q8NFV4</t>
  </si>
  <si>
    <t>Q8NFW8</t>
  </si>
  <si>
    <t>Q8NFX7-2</t>
  </si>
  <si>
    <t>Q8NG68</t>
  </si>
  <si>
    <t>Q8NHG7</t>
  </si>
  <si>
    <t>Q8NHG8</t>
  </si>
  <si>
    <t>Q8NHH9</t>
  </si>
  <si>
    <t>Q8NHM5-4</t>
  </si>
  <si>
    <t>Q8NHP8</t>
  </si>
  <si>
    <t>Q8NHU6</t>
  </si>
  <si>
    <t>Q8NHV1</t>
  </si>
  <si>
    <t>Q8NHV4</t>
  </si>
  <si>
    <t>Q8NI08-2</t>
  </si>
  <si>
    <t>Q8NI22-2</t>
  </si>
  <si>
    <t>Q8NI27</t>
  </si>
  <si>
    <t>Q8NI35</t>
  </si>
  <si>
    <t>Q8NI36</t>
  </si>
  <si>
    <t>Q8NI37</t>
  </si>
  <si>
    <t>Q8NI60</t>
  </si>
  <si>
    <t>Q8TA86</t>
  </si>
  <si>
    <t>Q8TAA5</t>
  </si>
  <si>
    <t>Q8TAE6</t>
  </si>
  <si>
    <t>Q8TAE8</t>
  </si>
  <si>
    <t>Q8TAF3</t>
  </si>
  <si>
    <t>Q8TAM6</t>
  </si>
  <si>
    <t>Q8TAP6</t>
  </si>
  <si>
    <t>Q8TAQ2</t>
  </si>
  <si>
    <t>Q8TAT6</t>
  </si>
  <si>
    <t>Q8TB36</t>
  </si>
  <si>
    <t>Q8TB37</t>
  </si>
  <si>
    <t>Q8TB52</t>
  </si>
  <si>
    <t>Q8TB61-3</t>
  </si>
  <si>
    <t>Q8TB72-3</t>
  </si>
  <si>
    <t>Q8TBA6-2</t>
  </si>
  <si>
    <t>Q8TBB1</t>
  </si>
  <si>
    <t>Q8TBB5-3</t>
  </si>
  <si>
    <t>Q8TBC4</t>
  </si>
  <si>
    <t>Q8TBE9</t>
  </si>
  <si>
    <t>Q8TBF2</t>
  </si>
  <si>
    <t>Q8TBK2-2</t>
  </si>
  <si>
    <t>Q8TBP6</t>
  </si>
  <si>
    <t>Q8TBX8</t>
  </si>
  <si>
    <t>Q8TBZ3-4</t>
  </si>
  <si>
    <t>Q8TBZ6</t>
  </si>
  <si>
    <t>Q8TC07-2</t>
  </si>
  <si>
    <t>Q8TC12</t>
  </si>
  <si>
    <t>Q8TCA0</t>
  </si>
  <si>
    <t>Q8TCD1</t>
  </si>
  <si>
    <t>Q8TCD5</t>
  </si>
  <si>
    <t>Q8TCG1</t>
  </si>
  <si>
    <t>Q8TCG2</t>
  </si>
  <si>
    <t>Q8TCJ2</t>
  </si>
  <si>
    <t>Q8TCS8</t>
  </si>
  <si>
    <t>Q8TCT9-5</t>
  </si>
  <si>
    <t>Q8TCX5-2</t>
  </si>
  <si>
    <t>Q8TCY9-3</t>
  </si>
  <si>
    <t>Q8TD16</t>
  </si>
  <si>
    <t>Q8TD19</t>
  </si>
  <si>
    <t>Q8TD30</t>
  </si>
  <si>
    <t>Q8TDB6</t>
  </si>
  <si>
    <t>Q8TDD1-2</t>
  </si>
  <si>
    <t>Q8TDH9</t>
  </si>
  <si>
    <t>Q8TDJ6-2</t>
  </si>
  <si>
    <t>Q8TDQ7</t>
  </si>
  <si>
    <t>Q8TDR2</t>
  </si>
  <si>
    <t>Q8TDX7</t>
  </si>
  <si>
    <t>Q8TDY2-2</t>
  </si>
  <si>
    <t>Q8TDZ2</t>
  </si>
  <si>
    <t>Q8TE04-2</t>
  </si>
  <si>
    <t>Q8TE77</t>
  </si>
  <si>
    <t>Q8TEA1</t>
  </si>
  <si>
    <t>Q8TEA7-3</t>
  </si>
  <si>
    <t>Q8TEA8</t>
  </si>
  <si>
    <t>Q8TEB1-2</t>
  </si>
  <si>
    <t>Q8TED0</t>
  </si>
  <si>
    <t>Q8TEM1</t>
  </si>
  <si>
    <t>Q8TEQ6</t>
  </si>
  <si>
    <t>Q8TEQ8-2</t>
  </si>
  <si>
    <t>Q8TET4</t>
  </si>
  <si>
    <t>Q8TEV9-2</t>
  </si>
  <si>
    <t>Q8TEX9</t>
  </si>
  <si>
    <t>Q8TF01</t>
  </si>
  <si>
    <t>Q8TF05-2</t>
  </si>
  <si>
    <t>Q8TF71</t>
  </si>
  <si>
    <t>Q8TF74</t>
  </si>
  <si>
    <t>Q8WTS1</t>
  </si>
  <si>
    <t>Q8WTS6</t>
  </si>
  <si>
    <t>Q8WTW3</t>
  </si>
  <si>
    <t>Q8WTW4</t>
  </si>
  <si>
    <t>Q8WTX9</t>
  </si>
  <si>
    <t>Q8WU10</t>
  </si>
  <si>
    <t>Q8WU79-2</t>
  </si>
  <si>
    <t>Q8WU90</t>
  </si>
  <si>
    <t>Q8WUA2</t>
  </si>
  <si>
    <t>Q8WUA4</t>
  </si>
  <si>
    <t>Q8WUD1</t>
  </si>
  <si>
    <t>Q8WUF5</t>
  </si>
  <si>
    <t>Q8WUF8-3</t>
  </si>
  <si>
    <t>Q8WUH6</t>
  </si>
  <si>
    <t>Q8WUJ0</t>
  </si>
  <si>
    <t>Q8WUJ3-2</t>
  </si>
  <si>
    <t>Q8WUK0</t>
  </si>
  <si>
    <t>Q8WUM0</t>
  </si>
  <si>
    <t>Q8WUM4</t>
  </si>
  <si>
    <t>Q8WUN7</t>
  </si>
  <si>
    <t>Q8WUP2</t>
  </si>
  <si>
    <t>Q8WUR7</t>
  </si>
  <si>
    <t>Q8WUX2</t>
  </si>
  <si>
    <t>Q8WUX9</t>
  </si>
  <si>
    <t>Q8WUY1</t>
  </si>
  <si>
    <t>Q8WUY8</t>
  </si>
  <si>
    <t>Q8WV22</t>
  </si>
  <si>
    <t>Q8WV41</t>
  </si>
  <si>
    <t>Q8WV60</t>
  </si>
  <si>
    <t>Q8WV74</t>
  </si>
  <si>
    <t>Q8WV93</t>
  </si>
  <si>
    <t>Q8WVB6</t>
  </si>
  <si>
    <t>Q8WVC0</t>
  </si>
  <si>
    <t>Q8WVC2</t>
  </si>
  <si>
    <t>Q8WVJ2</t>
  </si>
  <si>
    <t>Q8WVK2</t>
  </si>
  <si>
    <t>Q8WVL7</t>
  </si>
  <si>
    <t>Q8WVM0</t>
  </si>
  <si>
    <t>Q8WVM8</t>
  </si>
  <si>
    <t>Q8WVQ1</t>
  </si>
  <si>
    <t>Q8WVT3</t>
  </si>
  <si>
    <t>Q8WVV4</t>
  </si>
  <si>
    <t>Q8WVV9-4</t>
  </si>
  <si>
    <t>Q8WVX9</t>
  </si>
  <si>
    <t>Q8WVY7</t>
  </si>
  <si>
    <t>Q8WVZ9</t>
  </si>
  <si>
    <t>Q8WW01</t>
  </si>
  <si>
    <t>Q8WW12</t>
  </si>
  <si>
    <t>Q8WW59</t>
  </si>
  <si>
    <t>Q8WWB7-2</t>
  </si>
  <si>
    <t>Q8WWC4</t>
  </si>
  <si>
    <t>Q8WWH5</t>
  </si>
  <si>
    <t>Q8WWI5</t>
  </si>
  <si>
    <t>Q8WWM7</t>
  </si>
  <si>
    <t>Q8WWV3</t>
  </si>
  <si>
    <t>Q8WWX9</t>
  </si>
  <si>
    <t>Q8WX77</t>
  </si>
  <si>
    <t>Q8WX92</t>
  </si>
  <si>
    <t>Q8WXA9-2</t>
  </si>
  <si>
    <t>Q8WXD2</t>
  </si>
  <si>
    <t>Q8WXD5</t>
  </si>
  <si>
    <t>Q8WXE1-5</t>
  </si>
  <si>
    <t>Q8WXF1</t>
  </si>
  <si>
    <t>Q8WXG6-6</t>
  </si>
  <si>
    <t>Q8WXH0</t>
  </si>
  <si>
    <t>Q8WXI9</t>
  </si>
  <si>
    <t>Q8WXX0</t>
  </si>
  <si>
    <t>Q8WXX5</t>
  </si>
  <si>
    <t>Q8WY22</t>
  </si>
  <si>
    <t>Q8WYA6</t>
  </si>
  <si>
    <t>Q8WYP5</t>
  </si>
  <si>
    <t>Q8WZ82</t>
  </si>
  <si>
    <t>Q8WZA0</t>
  </si>
  <si>
    <t>Q8WZA9</t>
  </si>
  <si>
    <t>Q92466</t>
  </si>
  <si>
    <t>Q92485</t>
  </si>
  <si>
    <t>Q92499</t>
  </si>
  <si>
    <t>Q92504</t>
  </si>
  <si>
    <t>Q92506</t>
  </si>
  <si>
    <t>Q92508</t>
  </si>
  <si>
    <t>Q92520</t>
  </si>
  <si>
    <t>Q92522</t>
  </si>
  <si>
    <t>Q92526</t>
  </si>
  <si>
    <t>Q92536</t>
  </si>
  <si>
    <t>Q92538</t>
  </si>
  <si>
    <t>Q92541</t>
  </si>
  <si>
    <t>Q92544</t>
  </si>
  <si>
    <t>Q92547</t>
  </si>
  <si>
    <t>Q92551</t>
  </si>
  <si>
    <t>Q92552</t>
  </si>
  <si>
    <t>Q92558</t>
  </si>
  <si>
    <t>Q92572</t>
  </si>
  <si>
    <t>Q92575</t>
  </si>
  <si>
    <t>Q92576-2</t>
  </si>
  <si>
    <t>Q92581</t>
  </si>
  <si>
    <t>Q92585</t>
  </si>
  <si>
    <t>Q92597</t>
  </si>
  <si>
    <t>Q92598-2</t>
  </si>
  <si>
    <t>Q92600</t>
  </si>
  <si>
    <t>Q92609</t>
  </si>
  <si>
    <t>Q92615</t>
  </si>
  <si>
    <t>Q92616</t>
  </si>
  <si>
    <t>Q92620</t>
  </si>
  <si>
    <t>Q92621</t>
  </si>
  <si>
    <t>Q92623</t>
  </si>
  <si>
    <t>Q92625</t>
  </si>
  <si>
    <t>Q92636</t>
  </si>
  <si>
    <t>Q92664-2</t>
  </si>
  <si>
    <t>Q92665</t>
  </si>
  <si>
    <t>Q92667</t>
  </si>
  <si>
    <t>Q92673</t>
  </si>
  <si>
    <t>Q92686</t>
  </si>
  <si>
    <t>Q92688-2</t>
  </si>
  <si>
    <t>Q92692</t>
  </si>
  <si>
    <t>Q92692-2</t>
  </si>
  <si>
    <t>Q92696</t>
  </si>
  <si>
    <t>Q92734-2</t>
  </si>
  <si>
    <t>Q92738</t>
  </si>
  <si>
    <t>Q92747</t>
  </si>
  <si>
    <t>Q92759</t>
  </si>
  <si>
    <t>Q92783-2</t>
  </si>
  <si>
    <t>Q92786</t>
  </si>
  <si>
    <t>Q92793</t>
  </si>
  <si>
    <t>Q92797</t>
  </si>
  <si>
    <t>Q92804-2</t>
  </si>
  <si>
    <t>Q92805</t>
  </si>
  <si>
    <t>Q92820</t>
  </si>
  <si>
    <t>Q92843-2</t>
  </si>
  <si>
    <t>Q92845-2</t>
  </si>
  <si>
    <t>Q92854</t>
  </si>
  <si>
    <t>Q92876</t>
  </si>
  <si>
    <t>Q92878</t>
  </si>
  <si>
    <t>Q92882</t>
  </si>
  <si>
    <t>Q92890</t>
  </si>
  <si>
    <t>Q92896</t>
  </si>
  <si>
    <t>Q92900</t>
  </si>
  <si>
    <t>Q92902-2</t>
  </si>
  <si>
    <t>Q92905</t>
  </si>
  <si>
    <t>Q92917</t>
  </si>
  <si>
    <t>Q92922</t>
  </si>
  <si>
    <t>Q92934</t>
  </si>
  <si>
    <t>Q92945</t>
  </si>
  <si>
    <t>Q92947</t>
  </si>
  <si>
    <t>Q92963-2</t>
  </si>
  <si>
    <t>Q92968</t>
  </si>
  <si>
    <t>Q92973-2</t>
  </si>
  <si>
    <t>Q92979</t>
  </si>
  <si>
    <t>Q92990</t>
  </si>
  <si>
    <t>Q92995</t>
  </si>
  <si>
    <t>Q93008-1</t>
  </si>
  <si>
    <t>Q93015-2</t>
  </si>
  <si>
    <t>Q93034</t>
  </si>
  <si>
    <t>Q93052</t>
  </si>
  <si>
    <t>Q93063</t>
  </si>
  <si>
    <t>Q93077</t>
  </si>
  <si>
    <t>Q969E4</t>
  </si>
  <si>
    <t>Q969E8</t>
  </si>
  <si>
    <t>Q969G6</t>
  </si>
  <si>
    <t>Q969H6-2</t>
  </si>
  <si>
    <t>Q969H8</t>
  </si>
  <si>
    <t>Q969L2</t>
  </si>
  <si>
    <t>Q969M3</t>
  </si>
  <si>
    <t>Q969N2-4</t>
  </si>
  <si>
    <t>Q969P0-3</t>
  </si>
  <si>
    <t>Q969Q0</t>
  </si>
  <si>
    <t>Q969S3</t>
  </si>
  <si>
    <t>Q969S9-3</t>
  </si>
  <si>
    <t>Q969T7-2</t>
  </si>
  <si>
    <t>Q969V3-2</t>
  </si>
  <si>
    <t>Q969X5-2</t>
  </si>
  <si>
    <t>Q969X6</t>
  </si>
  <si>
    <t>Q969Y2-3</t>
  </si>
  <si>
    <t>Q969Z0</t>
  </si>
  <si>
    <t>Q96A22</t>
  </si>
  <si>
    <t>Q96A29-2</t>
  </si>
  <si>
    <t>Q96A33</t>
  </si>
  <si>
    <t>Q96A49</t>
  </si>
  <si>
    <t>Q96A59-2</t>
  </si>
  <si>
    <t>Q96A65</t>
  </si>
  <si>
    <t>Q96A73</t>
  </si>
  <si>
    <t>Q96AB3</t>
  </si>
  <si>
    <t>Q96AB6</t>
  </si>
  <si>
    <t>Q96AE4</t>
  </si>
  <si>
    <t>Q96AE4-2</t>
  </si>
  <si>
    <t>Q96AG4</t>
  </si>
  <si>
    <t>Q96AJ9-1</t>
  </si>
  <si>
    <t>Q96AQ8</t>
  </si>
  <si>
    <t>Q96AT1</t>
  </si>
  <si>
    <t>Q96AT9</t>
  </si>
  <si>
    <t>Q96AY3</t>
  </si>
  <si>
    <t>Q96AZ6</t>
  </si>
  <si>
    <t>Q96B01-2</t>
  </si>
  <si>
    <t>Q96B21</t>
  </si>
  <si>
    <t>Q96B23-2</t>
  </si>
  <si>
    <t>Q96B26</t>
  </si>
  <si>
    <t>Q96B36</t>
  </si>
  <si>
    <t>Q96B45</t>
  </si>
  <si>
    <t>Q96B49</t>
  </si>
  <si>
    <t>Q96B70</t>
  </si>
  <si>
    <t>Q96B97</t>
  </si>
  <si>
    <t>Q96BJ3</t>
  </si>
  <si>
    <t>Q96BK5</t>
  </si>
  <si>
    <t>Q96BM9</t>
  </si>
  <si>
    <t>Q96BN8</t>
  </si>
  <si>
    <t>Q96BP2</t>
  </si>
  <si>
    <t>Q96BP3</t>
  </si>
  <si>
    <t>Q96BR5</t>
  </si>
  <si>
    <t>Q96BW1</t>
  </si>
  <si>
    <t>Q96BW5-2</t>
  </si>
  <si>
    <t>Q96BY7</t>
  </si>
  <si>
    <t>Q96BZ8</t>
  </si>
  <si>
    <t>Q96BZ9</t>
  </si>
  <si>
    <t>Q96C01</t>
  </si>
  <si>
    <t>Q96C19</t>
  </si>
  <si>
    <t>Q96C23</t>
  </si>
  <si>
    <t>Q96C34-2</t>
  </si>
  <si>
    <t>Q96C36</t>
  </si>
  <si>
    <t>Q96C57</t>
  </si>
  <si>
    <t>Q96C86</t>
  </si>
  <si>
    <t>Q96C90</t>
  </si>
  <si>
    <t>Q96CB9</t>
  </si>
  <si>
    <t>Q96CD0</t>
  </si>
  <si>
    <t>Q96CD2</t>
  </si>
  <si>
    <t>Q96CF2</t>
  </si>
  <si>
    <t>Q96CG8</t>
  </si>
  <si>
    <t>Q96CN7</t>
  </si>
  <si>
    <t>Q96CN9</t>
  </si>
  <si>
    <t>Q96CP2</t>
  </si>
  <si>
    <t>Q96CS2</t>
  </si>
  <si>
    <t>Q96CS3</t>
  </si>
  <si>
    <t>Q96CT7</t>
  </si>
  <si>
    <t>Q96CU9</t>
  </si>
  <si>
    <t>Q96CV9-3</t>
  </si>
  <si>
    <t>Q96CW1-2</t>
  </si>
  <si>
    <t>Q96CW5</t>
  </si>
  <si>
    <t>Q96CW6</t>
  </si>
  <si>
    <t>Q96CX2</t>
  </si>
  <si>
    <t>Q96D31-2</t>
  </si>
  <si>
    <t>Q96D53-2</t>
  </si>
  <si>
    <t>Q96D71-3</t>
  </si>
  <si>
    <t>Q96DA6</t>
  </si>
  <si>
    <t>Q96DB5</t>
  </si>
  <si>
    <t>Q96DD7</t>
  </si>
  <si>
    <t>Q96DE0</t>
  </si>
  <si>
    <t>Q96DF8</t>
  </si>
  <si>
    <t>Q96DG6</t>
  </si>
  <si>
    <t>Q96DI7</t>
  </si>
  <si>
    <t>Q96DR4</t>
  </si>
  <si>
    <t>Q96DV4</t>
  </si>
  <si>
    <t>Q96DX4</t>
  </si>
  <si>
    <t>Q96DX5-2</t>
  </si>
  <si>
    <t>Q96DX7</t>
  </si>
  <si>
    <t>Q96DZ1</t>
  </si>
  <si>
    <t>Q96E09</t>
  </si>
  <si>
    <t>Q96E11-3</t>
  </si>
  <si>
    <t>Q96E14</t>
  </si>
  <si>
    <t>Q96E22</t>
  </si>
  <si>
    <t>Q96E52</t>
  </si>
  <si>
    <t>Q96EA4</t>
  </si>
  <si>
    <t>Q96EB1</t>
  </si>
  <si>
    <t>Q96EB6</t>
  </si>
  <si>
    <t>Q96EC8</t>
  </si>
  <si>
    <t>Q96EE3-1</t>
  </si>
  <si>
    <t>Q96EF9</t>
  </si>
  <si>
    <t>Q96EH3</t>
  </si>
  <si>
    <t>Q96EI5</t>
  </si>
  <si>
    <t>Q96EK5</t>
  </si>
  <si>
    <t>Q96EK6</t>
  </si>
  <si>
    <t>Q96EL3</t>
  </si>
  <si>
    <t>Q96EP0</t>
  </si>
  <si>
    <t>Q96EP5-2</t>
  </si>
  <si>
    <t>Q96EQ0</t>
  </si>
  <si>
    <t>Q96ER3</t>
  </si>
  <si>
    <t>Q96ER9</t>
  </si>
  <si>
    <t>Q96ES7</t>
  </si>
  <si>
    <t>Q96EU6-2</t>
  </si>
  <si>
    <t>Q96EU7</t>
  </si>
  <si>
    <t>Q96EV2</t>
  </si>
  <si>
    <t>Q96EV8</t>
  </si>
  <si>
    <t>Q96EW2</t>
  </si>
  <si>
    <t>Q96EX1</t>
  </si>
  <si>
    <t>Q96EX3</t>
  </si>
  <si>
    <t>Q96EY1</t>
  </si>
  <si>
    <t>Q96EY5</t>
  </si>
  <si>
    <t>Q96EY7</t>
  </si>
  <si>
    <t>Q96EY8</t>
  </si>
  <si>
    <t>Q96EY9</t>
  </si>
  <si>
    <t>Q96F24-2</t>
  </si>
  <si>
    <t>Q96F25</t>
  </si>
  <si>
    <t>Q96F45</t>
  </si>
  <si>
    <t>Q96F63</t>
  </si>
  <si>
    <t>Q96F86</t>
  </si>
  <si>
    <t>Q96FA3</t>
  </si>
  <si>
    <t>Q96FC9-4</t>
  </si>
  <si>
    <t>Q96FE5-2</t>
  </si>
  <si>
    <t>Q96FF7</t>
  </si>
  <si>
    <t>Q96FH0</t>
  </si>
  <si>
    <t>Q96FK6</t>
  </si>
  <si>
    <t>Q96FQ6</t>
  </si>
  <si>
    <t>Q96FV9</t>
  </si>
  <si>
    <t>Q96FX2</t>
  </si>
  <si>
    <t>Q96FX7</t>
  </si>
  <si>
    <t>Q96FZ2</t>
  </si>
  <si>
    <t>Q96FZ7</t>
  </si>
  <si>
    <t>Q96G03</t>
  </si>
  <si>
    <t>Q96G04</t>
  </si>
  <si>
    <t>Q96G25</t>
  </si>
  <si>
    <t>Q96G28</t>
  </si>
  <si>
    <t>Q96G46</t>
  </si>
  <si>
    <t>Q96G74-3</t>
  </si>
  <si>
    <t>Q96GA3</t>
  </si>
  <si>
    <t>Q96GA7</t>
  </si>
  <si>
    <t>Q96GD0</t>
  </si>
  <si>
    <t>Q96GF1</t>
  </si>
  <si>
    <t>Q96GG9</t>
  </si>
  <si>
    <t>Q96GK7</t>
  </si>
  <si>
    <t>Q96GM8</t>
  </si>
  <si>
    <t>Q96GQ7</t>
  </si>
  <si>
    <t>Q96GS4</t>
  </si>
  <si>
    <t>Q96GV9</t>
  </si>
  <si>
    <t>Q96GW9</t>
  </si>
  <si>
    <t>Q96GX2</t>
  </si>
  <si>
    <t>Q96GX5-2</t>
  </si>
  <si>
    <t>Q96GX9-3</t>
  </si>
  <si>
    <t>Q96GY0</t>
  </si>
  <si>
    <t>Q96H20</t>
  </si>
  <si>
    <t>Q96H79</t>
  </si>
  <si>
    <t>Q96HC4</t>
  </si>
  <si>
    <t>Q96HD1</t>
  </si>
  <si>
    <t>Q96HE7</t>
  </si>
  <si>
    <t>Q96HJ9</t>
  </si>
  <si>
    <t>Q96HJ9-2</t>
  </si>
  <si>
    <t>Q96HL8-2</t>
  </si>
  <si>
    <t>Q96HN2-2</t>
  </si>
  <si>
    <t>Q96HQ2-2</t>
  </si>
  <si>
    <t>Q96HR8-2</t>
  </si>
  <si>
    <t>Q96HS1</t>
  </si>
  <si>
    <t>Q96HW7</t>
  </si>
  <si>
    <t>Q96HY6</t>
  </si>
  <si>
    <t>Q96HY7</t>
  </si>
  <si>
    <t>Q96I15</t>
  </si>
  <si>
    <t>Q96I24</t>
  </si>
  <si>
    <t>Q96I25</t>
  </si>
  <si>
    <t>Q96I36</t>
  </si>
  <si>
    <t>Q96I51</t>
  </si>
  <si>
    <t>Q96I59</t>
  </si>
  <si>
    <t>Q96I99</t>
  </si>
  <si>
    <t>Q96IJ6</t>
  </si>
  <si>
    <t>Q96IK1</t>
  </si>
  <si>
    <t>Q96IQ9</t>
  </si>
  <si>
    <t>Q96IR2</t>
  </si>
  <si>
    <t>Q96IR7</t>
  </si>
  <si>
    <t>Q96IU4</t>
  </si>
  <si>
    <t>Q96IV0-2</t>
  </si>
  <si>
    <t>Q96IX5</t>
  </si>
  <si>
    <t>Q96IY1</t>
  </si>
  <si>
    <t>Q96IZ0</t>
  </si>
  <si>
    <t>Q96IZ7-2</t>
  </si>
  <si>
    <t>Q96J01</t>
  </si>
  <si>
    <t>Q96J02-2</t>
  </si>
  <si>
    <t>Q96J92-3</t>
  </si>
  <si>
    <t>Q96JA1</t>
  </si>
  <si>
    <t>Q96JB2</t>
  </si>
  <si>
    <t>Q96JB5</t>
  </si>
  <si>
    <t>Q96JC1-2</t>
  </si>
  <si>
    <t>Q96JC9</t>
  </si>
  <si>
    <t>Q96JG6-3</t>
  </si>
  <si>
    <t>Q96JH7</t>
  </si>
  <si>
    <t>Q96JJ7</t>
  </si>
  <si>
    <t>Q96JK9</t>
  </si>
  <si>
    <t>Q96JM3</t>
  </si>
  <si>
    <t>Q96JM7-2</t>
  </si>
  <si>
    <t>Q96JP5</t>
  </si>
  <si>
    <t>Q96K17-2</t>
  </si>
  <si>
    <t>Q96K19-2</t>
  </si>
  <si>
    <t>Q96K80</t>
  </si>
  <si>
    <t>Q96KA5-2</t>
  </si>
  <si>
    <t>Q96KB5</t>
  </si>
  <si>
    <t>Q96KC8</t>
  </si>
  <si>
    <t>Q96KN1</t>
  </si>
  <si>
    <t>Q96KP1</t>
  </si>
  <si>
    <t>Q96KP4</t>
  </si>
  <si>
    <t>Q96KR1</t>
  </si>
  <si>
    <t>Q96L58</t>
  </si>
  <si>
    <t>Q96L91-4</t>
  </si>
  <si>
    <t>Q96L92</t>
  </si>
  <si>
    <t>Q96L93-6</t>
  </si>
  <si>
    <t>Q96L96</t>
  </si>
  <si>
    <t>Q96LA8</t>
  </si>
  <si>
    <t>Q96LB3</t>
  </si>
  <si>
    <t>Q96LD4</t>
  </si>
  <si>
    <t>Q96LD8</t>
  </si>
  <si>
    <t>Q96LJ7</t>
  </si>
  <si>
    <t>Q96LR5</t>
  </si>
  <si>
    <t>Q96M20-2</t>
  </si>
  <si>
    <t>Q96M27</t>
  </si>
  <si>
    <t>Q96ME1-4</t>
  </si>
  <si>
    <t>Q96MG2</t>
  </si>
  <si>
    <t>Q96MG7</t>
  </si>
  <si>
    <t>Q96MH2</t>
  </si>
  <si>
    <t>Q96MH6</t>
  </si>
  <si>
    <t>Q96MX6</t>
  </si>
  <si>
    <t>Q96N21-2</t>
  </si>
  <si>
    <t>Q96N66-2</t>
  </si>
  <si>
    <t>Q96N67-4</t>
  </si>
  <si>
    <t>Q96NB2</t>
  </si>
  <si>
    <t>Q96NB3</t>
  </si>
  <si>
    <t>Q96NC0</t>
  </si>
  <si>
    <t>Q96NT1</t>
  </si>
  <si>
    <t>Q96NU7</t>
  </si>
  <si>
    <t>Q96NY7-2</t>
  </si>
  <si>
    <t>Q96P11-2</t>
  </si>
  <si>
    <t>Q96P16</t>
  </si>
  <si>
    <t>Q96P48-3</t>
  </si>
  <si>
    <t>Q96P70</t>
  </si>
  <si>
    <t>Q96PD2</t>
  </si>
  <si>
    <t>Q96PE2</t>
  </si>
  <si>
    <t>Q96PE7</t>
  </si>
  <si>
    <t>Q96PK6</t>
  </si>
  <si>
    <t>Q96PM5</t>
  </si>
  <si>
    <t>Q96PY5</t>
  </si>
  <si>
    <t>Q96PZ0</t>
  </si>
  <si>
    <t>Q96Q11-2</t>
  </si>
  <si>
    <t>Q96Q83</t>
  </si>
  <si>
    <t>Q96QC0</t>
  </si>
  <si>
    <t>Q96QC4</t>
  </si>
  <si>
    <t>Q96QD8</t>
  </si>
  <si>
    <t>Q96QE2</t>
  </si>
  <si>
    <t>Q96QE5</t>
  </si>
  <si>
    <t>Q96QF0-2</t>
  </si>
  <si>
    <t>Q96QK1</t>
  </si>
  <si>
    <t>Q96QR8</t>
  </si>
  <si>
    <t>Q96QU8</t>
  </si>
  <si>
    <t>Q96QZ7-6</t>
  </si>
  <si>
    <t>Q96R06</t>
  </si>
  <si>
    <t>Q96RD7-2</t>
  </si>
  <si>
    <t>Q96RE7</t>
  </si>
  <si>
    <t>Q96RL7-4</t>
  </si>
  <si>
    <t>Q96RN5-3</t>
  </si>
  <si>
    <t>Q96RP9</t>
  </si>
  <si>
    <t>Q96RP9-2</t>
  </si>
  <si>
    <t>Q96RQ1</t>
  </si>
  <si>
    <t>Q96RR1</t>
  </si>
  <si>
    <t>Q96RR4-2</t>
  </si>
  <si>
    <t>Q96RS0</t>
  </si>
  <si>
    <t>Q96RS6</t>
  </si>
  <si>
    <t>Q96RT1-4</t>
  </si>
  <si>
    <t>Q96S16</t>
  </si>
  <si>
    <t>Q96S19</t>
  </si>
  <si>
    <t>Q96S44</t>
  </si>
  <si>
    <t>Q96S52</t>
  </si>
  <si>
    <t>Q96S55-2</t>
  </si>
  <si>
    <t>Q96S59</t>
  </si>
  <si>
    <t>Q96S66</t>
  </si>
  <si>
    <t>Q96S82</t>
  </si>
  <si>
    <t>Q96S90</t>
  </si>
  <si>
    <t>Q96S94</t>
  </si>
  <si>
    <t>Q96S99</t>
  </si>
  <si>
    <t>Q96SB4</t>
  </si>
  <si>
    <t>Q96SB8</t>
  </si>
  <si>
    <t>Q96SH1</t>
  </si>
  <si>
    <t>Q96SI1</t>
  </si>
  <si>
    <t>Q96SK2-2</t>
  </si>
  <si>
    <t>Q96ST2</t>
  </si>
  <si>
    <t>Q96ST3</t>
  </si>
  <si>
    <t>Q96SZ5</t>
  </si>
  <si>
    <t>Q96SZ6-3</t>
  </si>
  <si>
    <t>Q96T17</t>
  </si>
  <si>
    <t>Q96T21-2</t>
  </si>
  <si>
    <t>Q96T23-2</t>
  </si>
  <si>
    <t>Q96T25</t>
  </si>
  <si>
    <t>Q96T37-2</t>
  </si>
  <si>
    <t>Q96T51</t>
  </si>
  <si>
    <t>Q96T58</t>
  </si>
  <si>
    <t>Q96T60</t>
  </si>
  <si>
    <t>Q96T66</t>
  </si>
  <si>
    <t>Q96T76</t>
  </si>
  <si>
    <t>Q96T88</t>
  </si>
  <si>
    <t>Q96TA1-2</t>
  </si>
  <si>
    <t>Q96TA2-3</t>
  </si>
  <si>
    <t>Q96TC7</t>
  </si>
  <si>
    <t>Q99081</t>
  </si>
  <si>
    <t>Q99417</t>
  </si>
  <si>
    <t>Q99426</t>
  </si>
  <si>
    <t>Q99436</t>
  </si>
  <si>
    <t>Q99447</t>
  </si>
  <si>
    <t>Q99459</t>
  </si>
  <si>
    <t>Q99460</t>
  </si>
  <si>
    <t>Q99470</t>
  </si>
  <si>
    <t>Q99471</t>
  </si>
  <si>
    <t>Q99487</t>
  </si>
  <si>
    <t>Q99489-2</t>
  </si>
  <si>
    <t>Q99496</t>
  </si>
  <si>
    <t>Q99497</t>
  </si>
  <si>
    <t>Q99519</t>
  </si>
  <si>
    <t>Q99523</t>
  </si>
  <si>
    <t>Q99536</t>
  </si>
  <si>
    <t>Q99538</t>
  </si>
  <si>
    <t>Q99541</t>
  </si>
  <si>
    <t>Q99543</t>
  </si>
  <si>
    <t>Q99549</t>
  </si>
  <si>
    <t>Q99567</t>
  </si>
  <si>
    <t>Q99570</t>
  </si>
  <si>
    <t>Q99574</t>
  </si>
  <si>
    <t>Q99575</t>
  </si>
  <si>
    <t>Q99583</t>
  </si>
  <si>
    <t>Q99584</t>
  </si>
  <si>
    <t>Q99592</t>
  </si>
  <si>
    <t>Q99595</t>
  </si>
  <si>
    <t>Q99598</t>
  </si>
  <si>
    <t>Q99611</t>
  </si>
  <si>
    <t>Q99614</t>
  </si>
  <si>
    <t>Q99615</t>
  </si>
  <si>
    <t>Q99618</t>
  </si>
  <si>
    <t>Q99622</t>
  </si>
  <si>
    <t>Q99623</t>
  </si>
  <si>
    <t>Q99627</t>
  </si>
  <si>
    <t>Q99633</t>
  </si>
  <si>
    <t>Q99638</t>
  </si>
  <si>
    <t>Q99653</t>
  </si>
  <si>
    <t>Q99661</t>
  </si>
  <si>
    <t>Q99674</t>
  </si>
  <si>
    <t>Q99700-4</t>
  </si>
  <si>
    <t>Q99704</t>
  </si>
  <si>
    <t>Q99707</t>
  </si>
  <si>
    <t>Q99714</t>
  </si>
  <si>
    <t>Q99720</t>
  </si>
  <si>
    <t>Q99729-3</t>
  </si>
  <si>
    <t>Q99733</t>
  </si>
  <si>
    <t>Q99735-2</t>
  </si>
  <si>
    <t>Q99747</t>
  </si>
  <si>
    <t>Q99757</t>
  </si>
  <si>
    <t>Q99766</t>
  </si>
  <si>
    <t>Q99797</t>
  </si>
  <si>
    <t>Q99805</t>
  </si>
  <si>
    <t>Q99808</t>
  </si>
  <si>
    <t>Q99816</t>
  </si>
  <si>
    <t>Q99828</t>
  </si>
  <si>
    <t>Q99829</t>
  </si>
  <si>
    <t>Q99832</t>
  </si>
  <si>
    <t>Q99878</t>
  </si>
  <si>
    <t>Q99959-2</t>
  </si>
  <si>
    <t>Q99961</t>
  </si>
  <si>
    <t>Q99986</t>
  </si>
  <si>
    <t>Q99988</t>
  </si>
  <si>
    <t>Q99996-5</t>
  </si>
  <si>
    <t>Q9BPW8</t>
  </si>
  <si>
    <t>Q9BPX3</t>
  </si>
  <si>
    <t>Q9BPX5</t>
  </si>
  <si>
    <t>Q9BQ13</t>
  </si>
  <si>
    <t>Q9BQ24</t>
  </si>
  <si>
    <t>Q9BQ39</t>
  </si>
  <si>
    <t>Q9BQ52</t>
  </si>
  <si>
    <t>Q9BQ61</t>
  </si>
  <si>
    <t>Q9BQ67</t>
  </si>
  <si>
    <t>Q9BQ69</t>
  </si>
  <si>
    <t>Q9BQ70</t>
  </si>
  <si>
    <t>Q9BQ90</t>
  </si>
  <si>
    <t>Q9BQ95</t>
  </si>
  <si>
    <t>Q9BQA1</t>
  </si>
  <si>
    <t>Q9BQC3</t>
  </si>
  <si>
    <t>Q9BQG0</t>
  </si>
  <si>
    <t>Q9BQG2</t>
  </si>
  <si>
    <t>Q9BQI7</t>
  </si>
  <si>
    <t>Q9BQL6</t>
  </si>
  <si>
    <t>Q9BQP7</t>
  </si>
  <si>
    <t>Q9BQQ3</t>
  </si>
  <si>
    <t>Q9BQS8</t>
  </si>
  <si>
    <t>Q9BQT8-2</t>
  </si>
  <si>
    <t>Q9BQT9</t>
  </si>
  <si>
    <t>Q9BR61</t>
  </si>
  <si>
    <t>Q9BR76</t>
  </si>
  <si>
    <t>Q9BRA0-2</t>
  </si>
  <si>
    <t>Q9BRA2</t>
  </si>
  <si>
    <t>Q9BRD0</t>
  </si>
  <si>
    <t>Q9BRF8</t>
  </si>
  <si>
    <t>Q9BRG1</t>
  </si>
  <si>
    <t>Q9BRJ2</t>
  </si>
  <si>
    <t>Q9BRK5</t>
  </si>
  <si>
    <t>Q9BRL6-2</t>
  </si>
  <si>
    <t>Q9BRP1</t>
  </si>
  <si>
    <t>Q9BRP4</t>
  </si>
  <si>
    <t>Q9BRP8-2</t>
  </si>
  <si>
    <t>Q9BRQ8</t>
  </si>
  <si>
    <t>Q9BRR0-2</t>
  </si>
  <si>
    <t>Q9BRR6-2</t>
  </si>
  <si>
    <t>Q9BRS2</t>
  </si>
  <si>
    <t>Q9BRT2</t>
  </si>
  <si>
    <t>Q9BRT3</t>
  </si>
  <si>
    <t>Q9BRT8-3</t>
  </si>
  <si>
    <t>Q9BRT9</t>
  </si>
  <si>
    <t>Q9BRV8</t>
  </si>
  <si>
    <t>Q9BRX2</t>
  </si>
  <si>
    <t>Q9BRX5</t>
  </si>
  <si>
    <t>Q9BRX8-2</t>
  </si>
  <si>
    <t>Q9BRZ2</t>
  </si>
  <si>
    <t>Q9BS18</t>
  </si>
  <si>
    <t>Q9BS26</t>
  </si>
  <si>
    <t>Q9BSB4</t>
  </si>
  <si>
    <t>Q9BSD7</t>
  </si>
  <si>
    <t>Q9BSE5</t>
  </si>
  <si>
    <t>Q9BSF4</t>
  </si>
  <si>
    <t>Q9BSH4</t>
  </si>
  <si>
    <t>Q9BSH5</t>
  </si>
  <si>
    <t>Q9BSJ2</t>
  </si>
  <si>
    <t>Q9BSJ5-3</t>
  </si>
  <si>
    <t>Q9BSJ6</t>
  </si>
  <si>
    <t>Q9BSJ8</t>
  </si>
  <si>
    <t>Q9BSK2</t>
  </si>
  <si>
    <t>Q9BSL1</t>
  </si>
  <si>
    <t>Q9BSR8</t>
  </si>
  <si>
    <t>Q9BST9</t>
  </si>
  <si>
    <t>Q9BSU1</t>
  </si>
  <si>
    <t>Q9BSV6</t>
  </si>
  <si>
    <t>Q9BSY4</t>
  </si>
  <si>
    <t>Q9BT09</t>
  </si>
  <si>
    <t>Q9BT17</t>
  </si>
  <si>
    <t>Q9BT22</t>
  </si>
  <si>
    <t>Q9BT23</t>
  </si>
  <si>
    <t>Q9BT30</t>
  </si>
  <si>
    <t>Q9BT73</t>
  </si>
  <si>
    <t>Q9BT78</t>
  </si>
  <si>
    <t>Q9BTA9</t>
  </si>
  <si>
    <t>Q9BTC0</t>
  </si>
  <si>
    <t>Q9BTE3-2</t>
  </si>
  <si>
    <t>Q9BTE6</t>
  </si>
  <si>
    <t>Q9BTE7</t>
  </si>
  <si>
    <t>Q9BTF0-2</t>
  </si>
  <si>
    <t>Q9BTL3</t>
  </si>
  <si>
    <t>Q9BTT0</t>
  </si>
  <si>
    <t>Q9BTT6</t>
  </si>
  <si>
    <t>Q9BTU6</t>
  </si>
  <si>
    <t>Q9BTV4</t>
  </si>
  <si>
    <t>Q9BTV6</t>
  </si>
  <si>
    <t>Q9BTX7</t>
  </si>
  <si>
    <t>Q9BTY2</t>
  </si>
  <si>
    <t>Q9BTY7</t>
  </si>
  <si>
    <t>Q9BTZ2</t>
  </si>
  <si>
    <t>Q9BU02</t>
  </si>
  <si>
    <t>Q9BU23-3</t>
  </si>
  <si>
    <t>Q9BU61</t>
  </si>
  <si>
    <t>Q9BU76-4</t>
  </si>
  <si>
    <t>Q9BU89</t>
  </si>
  <si>
    <t>Q9BUA3</t>
  </si>
  <si>
    <t>Q9BUB7-2</t>
  </si>
  <si>
    <t>Q9BUE6</t>
  </si>
  <si>
    <t>Q9BUF5</t>
  </si>
  <si>
    <t>Q9BUH6</t>
  </si>
  <si>
    <t>Q9BUI4</t>
  </si>
  <si>
    <t>Q9BUJ2-2</t>
  </si>
  <si>
    <t>Q9BUK6-2</t>
  </si>
  <si>
    <t>Q9BUL9</t>
  </si>
  <si>
    <t>Q9BUP3-3</t>
  </si>
  <si>
    <t>Q9BUQ8</t>
  </si>
  <si>
    <t>Q9BUR4</t>
  </si>
  <si>
    <t>Q9BUT9</t>
  </si>
  <si>
    <t>Q9BUW7</t>
  </si>
  <si>
    <t>Q9BUZ4-2</t>
  </si>
  <si>
    <t>Q9BV19</t>
  </si>
  <si>
    <t>Q9BV20</t>
  </si>
  <si>
    <t>Q9BV23</t>
  </si>
  <si>
    <t>Q9BV35</t>
  </si>
  <si>
    <t>Q9BV38</t>
  </si>
  <si>
    <t>Q9BV40</t>
  </si>
  <si>
    <t>Q9BV44</t>
  </si>
  <si>
    <t>Q9BV57</t>
  </si>
  <si>
    <t>Q9BV68-2</t>
  </si>
  <si>
    <t>Q9BV79</t>
  </si>
  <si>
    <t>Q9BV86</t>
  </si>
  <si>
    <t>Q9BVA0</t>
  </si>
  <si>
    <t>Q9BVA1</t>
  </si>
  <si>
    <t>Q9BVC3</t>
  </si>
  <si>
    <t>Q9BVC4</t>
  </si>
  <si>
    <t>Q9BVC6</t>
  </si>
  <si>
    <t>Q9BVG4</t>
  </si>
  <si>
    <t>Q9BVG9</t>
  </si>
  <si>
    <t>Q9BVJ6-3</t>
  </si>
  <si>
    <t>Q9BVJ7</t>
  </si>
  <si>
    <t>Q9BVK6</t>
  </si>
  <si>
    <t>Q9BVL4</t>
  </si>
  <si>
    <t>Q9BVM4</t>
  </si>
  <si>
    <t>Q9BVP2-2</t>
  </si>
  <si>
    <t>Q9BVQ7</t>
  </si>
  <si>
    <t>Q9BVS5</t>
  </si>
  <si>
    <t>Q9BVV7</t>
  </si>
  <si>
    <t>Q9BVW5</t>
  </si>
  <si>
    <t>Q9BW04</t>
  </si>
  <si>
    <t>Q9BW19</t>
  </si>
  <si>
    <t>Q9BW27</t>
  </si>
  <si>
    <t>Q9BW30</t>
  </si>
  <si>
    <t>Q9BW60</t>
  </si>
  <si>
    <t>Q9BW61</t>
  </si>
  <si>
    <t>Q9BW71</t>
  </si>
  <si>
    <t>Q9BW83</t>
  </si>
  <si>
    <t>Q9BW85</t>
  </si>
  <si>
    <t>Q9BW91-2</t>
  </si>
  <si>
    <t>Q9BW92</t>
  </si>
  <si>
    <t>Q9BWD1</t>
  </si>
  <si>
    <t>Q9BWE0</t>
  </si>
  <si>
    <t>Q9BWF3</t>
  </si>
  <si>
    <t>Q9BWH2</t>
  </si>
  <si>
    <t>Q9BWH6</t>
  </si>
  <si>
    <t>Q9BWJ5</t>
  </si>
  <si>
    <t>Q9BWM7</t>
  </si>
  <si>
    <t>Q9BWT3</t>
  </si>
  <si>
    <t>Q9BWU0</t>
  </si>
  <si>
    <t>Q9BX40</t>
  </si>
  <si>
    <t>Q9BX66-9</t>
  </si>
  <si>
    <t>Q9BX68</t>
  </si>
  <si>
    <t>Q9BX95</t>
  </si>
  <si>
    <t>Q9BXH1-2</t>
  </si>
  <si>
    <t>Q9BXI6</t>
  </si>
  <si>
    <t>Q9BXJ9</t>
  </si>
  <si>
    <t>Q9BXK1</t>
  </si>
  <si>
    <t>Q9BXK5</t>
  </si>
  <si>
    <t>Q9BXP2</t>
  </si>
  <si>
    <t>Q9BXP5-4</t>
  </si>
  <si>
    <t>Q9BXR0</t>
  </si>
  <si>
    <t>Q9BXS4</t>
  </si>
  <si>
    <t>Q9BXS6-2</t>
  </si>
  <si>
    <t>Q9BXV9</t>
  </si>
  <si>
    <t>Q9BXW6</t>
  </si>
  <si>
    <t>Q9BXW7-2</t>
  </si>
  <si>
    <t>Q9BXW9-3</t>
  </si>
  <si>
    <t>Q9BY32</t>
  </si>
  <si>
    <t>Q9BY43</t>
  </si>
  <si>
    <t>Q9BY44</t>
  </si>
  <si>
    <t>Q9BY77</t>
  </si>
  <si>
    <t>Q9BY89</t>
  </si>
  <si>
    <t>Q9BYB4</t>
  </si>
  <si>
    <t>Q9BYC8</t>
  </si>
  <si>
    <t>Q9BYD6</t>
  </si>
  <si>
    <t>Q9BYG5</t>
  </si>
  <si>
    <t>Q9BYM8-3</t>
  </si>
  <si>
    <t>Q9BYN8</t>
  </si>
  <si>
    <t>Q9BYT8</t>
  </si>
  <si>
    <t>Q9BYW2</t>
  </si>
  <si>
    <t>Q9BZ23-3</t>
  </si>
  <si>
    <t>Q9BZ29-3</t>
  </si>
  <si>
    <t>Q9BZ67-2</t>
  </si>
  <si>
    <t>Q9BZ95-4</t>
  </si>
  <si>
    <t>Q9BZE1</t>
  </si>
  <si>
    <t>Q9BZE2</t>
  </si>
  <si>
    <t>Q9BZE9</t>
  </si>
  <si>
    <t>Q9BZF1-3</t>
  </si>
  <si>
    <t>Q9BZH6</t>
  </si>
  <si>
    <t>Q9BZI7-2</t>
  </si>
  <si>
    <t>Q9BZK7</t>
  </si>
  <si>
    <t>Q9BZL1</t>
  </si>
  <si>
    <t>Q9BZM1</t>
  </si>
  <si>
    <t>Q9BZM4</t>
  </si>
  <si>
    <t>Q9BZM5</t>
  </si>
  <si>
    <t>Q9BZX2</t>
  </si>
  <si>
    <t>Q9BZZ5</t>
  </si>
  <si>
    <t>Q9BZZ5-2</t>
  </si>
  <si>
    <t>Q9C004</t>
  </si>
  <si>
    <t>Q9C005</t>
  </si>
  <si>
    <t>Q9C037-2</t>
  </si>
  <si>
    <t>Q9C040</t>
  </si>
  <si>
    <t>Q9C0B0</t>
  </si>
  <si>
    <t>Q9C0B1</t>
  </si>
  <si>
    <t>Q9C0B5-2</t>
  </si>
  <si>
    <t>Q9C0C2</t>
  </si>
  <si>
    <t>Q9C0C4</t>
  </si>
  <si>
    <t>Q9C0C7-6</t>
  </si>
  <si>
    <t>Q9C0C9</t>
  </si>
  <si>
    <t>Q9C0D3</t>
  </si>
  <si>
    <t>Q9C0D5-2</t>
  </si>
  <si>
    <t>Q9C0H2-2</t>
  </si>
  <si>
    <t>Q9C0I1</t>
  </si>
  <si>
    <t>Q9C0J8</t>
  </si>
  <si>
    <t>Q9C0K1-2</t>
  </si>
  <si>
    <t>Q9GZL7</t>
  </si>
  <si>
    <t>Q9GZN8</t>
  </si>
  <si>
    <t>Q9GZP1</t>
  </si>
  <si>
    <t>Q9GZP4</t>
  </si>
  <si>
    <t>Q9GZP9</t>
  </si>
  <si>
    <t>Q9GZQ3</t>
  </si>
  <si>
    <t>Q9GZS1-2</t>
  </si>
  <si>
    <t>Q9GZS3</t>
  </si>
  <si>
    <t>Q9GZT3</t>
  </si>
  <si>
    <t>Q9GZT5</t>
  </si>
  <si>
    <t>Q9GZT6-2</t>
  </si>
  <si>
    <t>Q9GZT8-2</t>
  </si>
  <si>
    <t>Q9GZT9</t>
  </si>
  <si>
    <t>Q9GZU8</t>
  </si>
  <si>
    <t>Q9GZX9</t>
  </si>
  <si>
    <t>Q9GZY8-2</t>
  </si>
  <si>
    <t>Q9GZY8-5</t>
  </si>
  <si>
    <t>Q9GZZ9</t>
  </si>
  <si>
    <t>Q9H008</t>
  </si>
  <si>
    <t>Q9H019-3</t>
  </si>
  <si>
    <t>Q9H061</t>
  </si>
  <si>
    <t>Q9H074</t>
  </si>
  <si>
    <t>Q9H078-2</t>
  </si>
  <si>
    <t>Q9H082</t>
  </si>
  <si>
    <t>Q9H089</t>
  </si>
  <si>
    <t>Q9H0B6</t>
  </si>
  <si>
    <t>Q9H0C8</t>
  </si>
  <si>
    <t>Q9H0D6</t>
  </si>
  <si>
    <t>Q9H0E2</t>
  </si>
  <si>
    <t>Q9H0E9-2</t>
  </si>
  <si>
    <t>Q9H0F7</t>
  </si>
  <si>
    <t>Q9H0G5</t>
  </si>
  <si>
    <t>Q9H0H5</t>
  </si>
  <si>
    <t>Q9H0J9</t>
  </si>
  <si>
    <t>Q9H0K6</t>
  </si>
  <si>
    <t>Q9H0L4</t>
  </si>
  <si>
    <t>Q9H0P0-1</t>
  </si>
  <si>
    <t>Q9H0R4</t>
  </si>
  <si>
    <t>Q9H0R6</t>
  </si>
  <si>
    <t>Q9H0S4-2</t>
  </si>
  <si>
    <t>Q9H0U3</t>
  </si>
  <si>
    <t>Q9H0U4</t>
  </si>
  <si>
    <t>Q9H0U6</t>
  </si>
  <si>
    <t>Q9H0V9</t>
  </si>
  <si>
    <t>Q9H0W8-2</t>
  </si>
  <si>
    <t>Q9H0W9</t>
  </si>
  <si>
    <t>Q9H0X4</t>
  </si>
  <si>
    <t>Q9H115</t>
  </si>
  <si>
    <t>Q9H173</t>
  </si>
  <si>
    <t>Q9H1B7</t>
  </si>
  <si>
    <t>Q9H1C4</t>
  </si>
  <si>
    <t>Q9H1D9</t>
  </si>
  <si>
    <t>Q9H1E3</t>
  </si>
  <si>
    <t>Q9H1E5</t>
  </si>
  <si>
    <t>Q9H1I8-3</t>
  </si>
  <si>
    <t>Q9H1J1</t>
  </si>
  <si>
    <t>Q9H1K0</t>
  </si>
  <si>
    <t>Q9H1K1</t>
  </si>
  <si>
    <t>Q9H1P3-2</t>
  </si>
  <si>
    <t>Q9H1Z4</t>
  </si>
  <si>
    <t>Q9H204</t>
  </si>
  <si>
    <t>Q9H223</t>
  </si>
  <si>
    <t>Q9H267</t>
  </si>
  <si>
    <t>Q9H269</t>
  </si>
  <si>
    <t>Q9H270</t>
  </si>
  <si>
    <t>Q9H2C0</t>
  </si>
  <si>
    <t>Q9H2D6-5</t>
  </si>
  <si>
    <t>Q9H2G2</t>
  </si>
  <si>
    <t>Q9H2H8</t>
  </si>
  <si>
    <t>Q9H2J4</t>
  </si>
  <si>
    <t>Q9H2K0</t>
  </si>
  <si>
    <t>Q9H2K8</t>
  </si>
  <si>
    <t>Q9H2M9</t>
  </si>
  <si>
    <t>Q9H2P0</t>
  </si>
  <si>
    <t>Q9H2P9</t>
  </si>
  <si>
    <t>Q9H2U2</t>
  </si>
  <si>
    <t>Q9H2W6</t>
  </si>
  <si>
    <t>Q9H300</t>
  </si>
  <si>
    <t>Q9H307</t>
  </si>
  <si>
    <t>Q9H330-2</t>
  </si>
  <si>
    <t>Q9H3C7</t>
  </si>
  <si>
    <t>Q9H3F6</t>
  </si>
  <si>
    <t>Q9H3H1-4</t>
  </si>
  <si>
    <t>Q9H3H3</t>
  </si>
  <si>
    <t>Q9H3H5-2</t>
  </si>
  <si>
    <t>Q9H3J6</t>
  </si>
  <si>
    <t>Q9H3K6</t>
  </si>
  <si>
    <t>Q9H3N1</t>
  </si>
  <si>
    <t>Q9H3P2</t>
  </si>
  <si>
    <t>Q9H3P7</t>
  </si>
  <si>
    <t>Q9H3Q1</t>
  </si>
  <si>
    <t>Q9H3R0-4</t>
  </si>
  <si>
    <t>Q9H3S7</t>
  </si>
  <si>
    <t>Q9H3U1</t>
  </si>
  <si>
    <t>Q9H3U5-4</t>
  </si>
  <si>
    <t>Q9H3Y8</t>
  </si>
  <si>
    <t>Q9H3Z4-2</t>
  </si>
  <si>
    <t>Q9H410</t>
  </si>
  <si>
    <t>Q9H425</t>
  </si>
  <si>
    <t>Q9H444</t>
  </si>
  <si>
    <t>Q9H467</t>
  </si>
  <si>
    <t>Q9H479</t>
  </si>
  <si>
    <t>Q9H488</t>
  </si>
  <si>
    <t>Q9H490-2</t>
  </si>
  <si>
    <t>Q9H496</t>
  </si>
  <si>
    <t>Q9H4A4</t>
  </si>
  <si>
    <t>Q9H4A5</t>
  </si>
  <si>
    <t>Q9H4A6</t>
  </si>
  <si>
    <t>Q9H4B0</t>
  </si>
  <si>
    <t>Q9H4I2</t>
  </si>
  <si>
    <t>Q9H4K7</t>
  </si>
  <si>
    <t>Q9H4L5-2</t>
  </si>
  <si>
    <t>Q9H4L7-2</t>
  </si>
  <si>
    <t>Q9H4M9</t>
  </si>
  <si>
    <t>Q9H4P4-2</t>
  </si>
  <si>
    <t>Q9H4Z3</t>
  </si>
  <si>
    <t>Q9H501</t>
  </si>
  <si>
    <t>Q9H553</t>
  </si>
  <si>
    <t>Q9H583</t>
  </si>
  <si>
    <t>Q9H5K3</t>
  </si>
  <si>
    <t>Q9H5N1</t>
  </si>
  <si>
    <t>Q9H5Q4</t>
  </si>
  <si>
    <t>Q9H5V8</t>
  </si>
  <si>
    <t>Q9H5V9</t>
  </si>
  <si>
    <t>Q9H5X1</t>
  </si>
  <si>
    <t>Q9H5Y7</t>
  </si>
  <si>
    <t>Q9H649</t>
  </si>
  <si>
    <t>Q9H6A9-2</t>
  </si>
  <si>
    <t>Q9H6E4</t>
  </si>
  <si>
    <t>Q9H6F5</t>
  </si>
  <si>
    <t>Q9H6H4</t>
  </si>
  <si>
    <t>Q9H6K4</t>
  </si>
  <si>
    <t>Q9H6L4</t>
  </si>
  <si>
    <t>Q9H6L5</t>
  </si>
  <si>
    <t>Q9H6P5</t>
  </si>
  <si>
    <t>Q9H6Q4</t>
  </si>
  <si>
    <t>Q9H6R0</t>
  </si>
  <si>
    <t>Q9H6R4-4</t>
  </si>
  <si>
    <t>Q9H6R7-2</t>
  </si>
  <si>
    <t>Q9H6S3</t>
  </si>
  <si>
    <t>Q9H6T0-2</t>
  </si>
  <si>
    <t>Q9H6T3</t>
  </si>
  <si>
    <t>Q9H6U6-2</t>
  </si>
  <si>
    <t>Q9H6U8</t>
  </si>
  <si>
    <t>Q9H6Y2</t>
  </si>
  <si>
    <t>Q9H773</t>
  </si>
  <si>
    <t>Q9H788-2</t>
  </si>
  <si>
    <t>Q9H7B4</t>
  </si>
  <si>
    <t>Q9H7C9</t>
  </si>
  <si>
    <t>Q9H7D7-2</t>
  </si>
  <si>
    <t>Q9H7E2-3</t>
  </si>
  <si>
    <t>Q9H7F0</t>
  </si>
  <si>
    <t>Q9H7J1</t>
  </si>
  <si>
    <t>Q9H7L9</t>
  </si>
  <si>
    <t>Q9H7N4</t>
  </si>
  <si>
    <t>Q9H7S9</t>
  </si>
  <si>
    <t>Q9H7Z6</t>
  </si>
  <si>
    <t>Q9H7Z7</t>
  </si>
  <si>
    <t>Q9H814</t>
  </si>
  <si>
    <t>Q9H832</t>
  </si>
  <si>
    <t>Q9H840</t>
  </si>
  <si>
    <t>Q9H845</t>
  </si>
  <si>
    <t>Q9H875</t>
  </si>
  <si>
    <t>Q9H8G2</t>
  </si>
  <si>
    <t>Q9H8H0</t>
  </si>
  <si>
    <t>Q9H8J5</t>
  </si>
  <si>
    <t>Q9H8M7</t>
  </si>
  <si>
    <t>Q9H8S9</t>
  </si>
  <si>
    <t>Q9H8U3</t>
  </si>
  <si>
    <t>Q9H8V3</t>
  </si>
  <si>
    <t>Q9H8Y5</t>
  </si>
  <si>
    <t>Q9H8Y8</t>
  </si>
  <si>
    <t>Q9H900</t>
  </si>
  <si>
    <t>Q9H903-1</t>
  </si>
  <si>
    <t>Q9H910</t>
  </si>
  <si>
    <t>Q9H910-2</t>
  </si>
  <si>
    <t>Q9H936</t>
  </si>
  <si>
    <t>Q9H939</t>
  </si>
  <si>
    <t>Q9H944</t>
  </si>
  <si>
    <t>Q9H974</t>
  </si>
  <si>
    <t>Q9H977</t>
  </si>
  <si>
    <t>Q9H993</t>
  </si>
  <si>
    <t>Q9H9A5-2</t>
  </si>
  <si>
    <t>Q9H9A6</t>
  </si>
  <si>
    <t>Q9H9A7</t>
  </si>
  <si>
    <t>Q9H9B1</t>
  </si>
  <si>
    <t>Q9H9B4</t>
  </si>
  <si>
    <t>Q9H9F9</t>
  </si>
  <si>
    <t>Q9H9G7</t>
  </si>
  <si>
    <t>Q9H9H4</t>
  </si>
  <si>
    <t>Q9H9J2</t>
  </si>
  <si>
    <t>Q9H9P8</t>
  </si>
  <si>
    <t>Q9H9S4</t>
  </si>
  <si>
    <t>Q9H9T3-2</t>
  </si>
  <si>
    <t>Q9H9V9-2</t>
  </si>
  <si>
    <t>Q9HA38-2</t>
  </si>
  <si>
    <t>Q9HA47-3</t>
  </si>
  <si>
    <t>Q9HA64</t>
  </si>
  <si>
    <t>Q9HA65</t>
  </si>
  <si>
    <t>Q9HA77</t>
  </si>
  <si>
    <t>Q9HA90</t>
  </si>
  <si>
    <t>Q9HA92</t>
  </si>
  <si>
    <t>Q9HAB8</t>
  </si>
  <si>
    <t>Q9HAF1-2</t>
  </si>
  <si>
    <t>Q9HAN9</t>
  </si>
  <si>
    <t>Q9HAU0</t>
  </si>
  <si>
    <t>Q9HAU5</t>
  </si>
  <si>
    <t>Q9HAV4</t>
  </si>
  <si>
    <t>Q9HAV7</t>
  </si>
  <si>
    <t>Q9HAW4-3</t>
  </si>
  <si>
    <t>Q9HB07</t>
  </si>
  <si>
    <t>Q9HB21</t>
  </si>
  <si>
    <t>Q9HB40</t>
  </si>
  <si>
    <t>Q9HB71</t>
  </si>
  <si>
    <t>Q9HB90</t>
  </si>
  <si>
    <t>Q9HBD4</t>
  </si>
  <si>
    <t>Q9HBH1</t>
  </si>
  <si>
    <t>Q9HBH5</t>
  </si>
  <si>
    <t>Q9HBI0-3</t>
  </si>
  <si>
    <t>Q9HBI1</t>
  </si>
  <si>
    <t>Q9HBL7</t>
  </si>
  <si>
    <t>Q9HBL8</t>
  </si>
  <si>
    <t>Q9HBM1</t>
  </si>
  <si>
    <t>Q9HBM6</t>
  </si>
  <si>
    <t>Q9HBM8</t>
  </si>
  <si>
    <t>Q9HBU6</t>
  </si>
  <si>
    <t>Q9HC35</t>
  </si>
  <si>
    <t>Q9HC36</t>
  </si>
  <si>
    <t>Q9HC38-2</t>
  </si>
  <si>
    <t>Q9HC52</t>
  </si>
  <si>
    <t>Q9HCC0</t>
  </si>
  <si>
    <t>Q9HCD5</t>
  </si>
  <si>
    <t>Q9HCE1</t>
  </si>
  <si>
    <t>Q9HCE5</t>
  </si>
  <si>
    <t>Q9HCG7</t>
  </si>
  <si>
    <t>Q9HCJ3-2</t>
  </si>
  <si>
    <t>Q9HCK8-2</t>
  </si>
  <si>
    <t>Q9HCM4-2</t>
  </si>
  <si>
    <t>Q9HCN3</t>
  </si>
  <si>
    <t>Q9HCN4</t>
  </si>
  <si>
    <t>Q9HCN8</t>
  </si>
  <si>
    <t>Q9HCR9</t>
  </si>
  <si>
    <t>Q9HCU5</t>
  </si>
  <si>
    <t>Q9HCU8</t>
  </si>
  <si>
    <t>Q9HCY8</t>
  </si>
  <si>
    <t>Q9HD15</t>
  </si>
  <si>
    <t>Q9HD20-2</t>
  </si>
  <si>
    <t>Q9HD23-2</t>
  </si>
  <si>
    <t>Q9HD33-2</t>
  </si>
  <si>
    <t>Q9HD34</t>
  </si>
  <si>
    <t>Q9HD40-3</t>
  </si>
  <si>
    <t>Q9HD42</t>
  </si>
  <si>
    <t>Q9HD45</t>
  </si>
  <si>
    <t>Q9HD47-2</t>
  </si>
  <si>
    <t>Q9HD67</t>
  </si>
  <si>
    <t>Q9HDC5</t>
  </si>
  <si>
    <t>Q9HDC9</t>
  </si>
  <si>
    <t>Q9NNW5</t>
  </si>
  <si>
    <t>Q9NP58-4</t>
  </si>
  <si>
    <t>Q9NP66</t>
  </si>
  <si>
    <t>Q9NP72</t>
  </si>
  <si>
    <t>Q9NP73-2</t>
  </si>
  <si>
    <t>Q9NP77</t>
  </si>
  <si>
    <t>Q9NP79</t>
  </si>
  <si>
    <t>Q9NP80-3</t>
  </si>
  <si>
    <t>Q9NP84</t>
  </si>
  <si>
    <t>Q9NP92</t>
  </si>
  <si>
    <t>Q9NPA0</t>
  </si>
  <si>
    <t>Q9NPA3</t>
  </si>
  <si>
    <t>Q9NPA8-2</t>
  </si>
  <si>
    <t>Q9NPB8</t>
  </si>
  <si>
    <t>Q9NPD3</t>
  </si>
  <si>
    <t>Q9NPD8</t>
  </si>
  <si>
    <t>Q9NPE2</t>
  </si>
  <si>
    <t>Q9NPE3</t>
  </si>
  <si>
    <t>Q9NPF0</t>
  </si>
  <si>
    <t>Q9NPF4</t>
  </si>
  <si>
    <t>Q9NPH0</t>
  </si>
  <si>
    <t>Q9NPI1</t>
  </si>
  <si>
    <t>Q9NPI6</t>
  </si>
  <si>
    <t>Q9NPJ3</t>
  </si>
  <si>
    <t>Q9NPJ6</t>
  </si>
  <si>
    <t>Q9NPL8</t>
  </si>
  <si>
    <t>Q9NPQ8-4</t>
  </si>
  <si>
    <t>Q9NPR9</t>
  </si>
  <si>
    <t>Q9NQ29</t>
  </si>
  <si>
    <t>Q9NQ88</t>
  </si>
  <si>
    <t>Q9NQC3</t>
  </si>
  <si>
    <t>Q9NQC3-2</t>
  </si>
  <si>
    <t>Q9NQE9</t>
  </si>
  <si>
    <t>Q9NQG1</t>
  </si>
  <si>
    <t>Q9NQG5</t>
  </si>
  <si>
    <t>Q9NQG7-3</t>
  </si>
  <si>
    <t>Q9NQH7-2</t>
  </si>
  <si>
    <t>Q9NQR4</t>
  </si>
  <si>
    <t>Q9NQS1</t>
  </si>
  <si>
    <t>Q9NQT4</t>
  </si>
  <si>
    <t>Q9NQT5</t>
  </si>
  <si>
    <t>Q9NQT8</t>
  </si>
  <si>
    <t>Q9NQW6-2</t>
  </si>
  <si>
    <t>Q9NQW7</t>
  </si>
  <si>
    <t>Q9NQW7-3</t>
  </si>
  <si>
    <t>Q9NQY0</t>
  </si>
  <si>
    <t>Q9NQZ2</t>
  </si>
  <si>
    <t>Q9NQZ5</t>
  </si>
  <si>
    <t>Q9NQZ6-3</t>
  </si>
  <si>
    <t>Q9NR09</t>
  </si>
  <si>
    <t>Q9NR12</t>
  </si>
  <si>
    <t>Q9NR19</t>
  </si>
  <si>
    <t>Q9NR28-2</t>
  </si>
  <si>
    <t>Q9NR30</t>
  </si>
  <si>
    <t>Q9NR31</t>
  </si>
  <si>
    <t>Q9NR33</t>
  </si>
  <si>
    <t>Q9NR45</t>
  </si>
  <si>
    <t>Q9NR48-2</t>
  </si>
  <si>
    <t>Q9NR50</t>
  </si>
  <si>
    <t>Q9NRD5</t>
  </si>
  <si>
    <t>Q9NRF8</t>
  </si>
  <si>
    <t>Q9NRF9</t>
  </si>
  <si>
    <t>Q9NRG0</t>
  </si>
  <si>
    <t>Q9NRG1</t>
  </si>
  <si>
    <t>Q9NRG4</t>
  </si>
  <si>
    <t>Q9NRG7-2</t>
  </si>
  <si>
    <t>Q9NRG9</t>
  </si>
  <si>
    <t>Q9NRH1</t>
  </si>
  <si>
    <t>Q9NRK6</t>
  </si>
  <si>
    <t>Q9NRL2-2</t>
  </si>
  <si>
    <t>Q9NRL3</t>
  </si>
  <si>
    <t>Q9NRM6</t>
  </si>
  <si>
    <t>Q9NRN7</t>
  </si>
  <si>
    <t>Q9NRN9</t>
  </si>
  <si>
    <t>Q9NRP0</t>
  </si>
  <si>
    <t>Q9NRP2</t>
  </si>
  <si>
    <t>Q9NRP4</t>
  </si>
  <si>
    <t>Q9NRR5</t>
  </si>
  <si>
    <t>Q9NRR8</t>
  </si>
  <si>
    <t>Q9NRV9</t>
  </si>
  <si>
    <t>Q9NRW1</t>
  </si>
  <si>
    <t>Q9NRW4</t>
  </si>
  <si>
    <t>Q9NRW7</t>
  </si>
  <si>
    <t>Q9NRX1</t>
  </si>
  <si>
    <t>Q9NRX3</t>
  </si>
  <si>
    <t>Q9NRX4</t>
  </si>
  <si>
    <t>Q9NRY2</t>
  </si>
  <si>
    <t>Q9NRY4</t>
  </si>
  <si>
    <t>Q9NRY5</t>
  </si>
  <si>
    <t>Q9NRZ5</t>
  </si>
  <si>
    <t>Q9NRZ7-2</t>
  </si>
  <si>
    <t>Q9NRZ9-2</t>
  </si>
  <si>
    <t>Q9NS18</t>
  </si>
  <si>
    <t>Q9NS69</t>
  </si>
  <si>
    <t>Q9NS73-5</t>
  </si>
  <si>
    <t>Q9NS86</t>
  </si>
  <si>
    <t>Q9NS87-2</t>
  </si>
  <si>
    <t>Q9NS91</t>
  </si>
  <si>
    <t>Q9NS93</t>
  </si>
  <si>
    <t>Q9NSA3</t>
  </si>
  <si>
    <t>Q9NSD9</t>
  </si>
  <si>
    <t>Q9NSE4</t>
  </si>
  <si>
    <t>Q9NSI2-2</t>
  </si>
  <si>
    <t>Q9NSI8-2</t>
  </si>
  <si>
    <t>Q9NSK0</t>
  </si>
  <si>
    <t>Q9NT62</t>
  </si>
  <si>
    <t>Q9NTG7</t>
  </si>
  <si>
    <t>Q9NTI5-2</t>
  </si>
  <si>
    <t>Q9NTJ3</t>
  </si>
  <si>
    <t>Q9NTJ4-3</t>
  </si>
  <si>
    <t>Q9NTJ5</t>
  </si>
  <si>
    <t>Q9NTK5-2</t>
  </si>
  <si>
    <t>Q9NTM9</t>
  </si>
  <si>
    <t>Q9NTX5-2</t>
  </si>
  <si>
    <t>Q9NTX7-2</t>
  </si>
  <si>
    <t>Q9NTZ6</t>
  </si>
  <si>
    <t>Q9NU19</t>
  </si>
  <si>
    <t>Q9NU22</t>
  </si>
  <si>
    <t>Q9NU23</t>
  </si>
  <si>
    <t>Q9NUB1-2</t>
  </si>
  <si>
    <t>Q9NUD5</t>
  </si>
  <si>
    <t>Q9NUG6</t>
  </si>
  <si>
    <t>Q9NUJ1</t>
  </si>
  <si>
    <t>Q9NUL5-3</t>
  </si>
  <si>
    <t>Q9NUL7</t>
  </si>
  <si>
    <t>Q9NUM4</t>
  </si>
  <si>
    <t>Q9NUN5-3</t>
  </si>
  <si>
    <t>Q9NUP1</t>
  </si>
  <si>
    <t>Q9NUP7</t>
  </si>
  <si>
    <t>Q9NUP9</t>
  </si>
  <si>
    <t>Q9NUQ2</t>
  </si>
  <si>
    <t>Q9NUQ3</t>
  </si>
  <si>
    <t>Q9NUQ7</t>
  </si>
  <si>
    <t>Q9NUQ8-2</t>
  </si>
  <si>
    <t>Q9NUQ9</t>
  </si>
  <si>
    <t>Q9NUU7</t>
  </si>
  <si>
    <t>Q9NUW8</t>
  </si>
  <si>
    <t>Q9NUY8</t>
  </si>
  <si>
    <t>Q9NV06</t>
  </si>
  <si>
    <t>Q9NV35</t>
  </si>
  <si>
    <t>Q9NV56</t>
  </si>
  <si>
    <t>Q9NV70</t>
  </si>
  <si>
    <t>Q9NV96-2</t>
  </si>
  <si>
    <t>Q9NVA1</t>
  </si>
  <si>
    <t>Q9NVA4</t>
  </si>
  <si>
    <t>Q9NVC6</t>
  </si>
  <si>
    <t>Q9NVE7</t>
  </si>
  <si>
    <t>Q9NVG8</t>
  </si>
  <si>
    <t>Q9NVH0</t>
  </si>
  <si>
    <t>Q9NVH1-3</t>
  </si>
  <si>
    <t>Q9NVH2-3</t>
  </si>
  <si>
    <t>Q9NVH6</t>
  </si>
  <si>
    <t>Q9NVI1</t>
  </si>
  <si>
    <t>Q9NVI7-2</t>
  </si>
  <si>
    <t>Q9NVJ2</t>
  </si>
  <si>
    <t>Q9NVK5-2</t>
  </si>
  <si>
    <t>Q9NVM4-3</t>
  </si>
  <si>
    <t>Q9NVM6</t>
  </si>
  <si>
    <t>Q9NVM9</t>
  </si>
  <si>
    <t>Q9NVN8</t>
  </si>
  <si>
    <t>Q9NVP1</t>
  </si>
  <si>
    <t>Q9NVP2</t>
  </si>
  <si>
    <t>Q9NVQ4</t>
  </si>
  <si>
    <t>Q9NVR0</t>
  </si>
  <si>
    <t>Q9NVR2</t>
  </si>
  <si>
    <t>Q9NVR5</t>
  </si>
  <si>
    <t>Q9NVS9</t>
  </si>
  <si>
    <t>Q9NVT9</t>
  </si>
  <si>
    <t>Q9NVU0-3</t>
  </si>
  <si>
    <t>Q9NVV4</t>
  </si>
  <si>
    <t>Q9NVX2</t>
  </si>
  <si>
    <t>Q9NVX7</t>
  </si>
  <si>
    <t>Q9NVZ3</t>
  </si>
  <si>
    <t>Q9NW07</t>
  </si>
  <si>
    <t>Q9NW15</t>
  </si>
  <si>
    <t>Q9NW64</t>
  </si>
  <si>
    <t>Q9NW75</t>
  </si>
  <si>
    <t>Q9NW82</t>
  </si>
  <si>
    <t>Q9NWA0</t>
  </si>
  <si>
    <t>Q9NWB6</t>
  </si>
  <si>
    <t>Q9NWH2</t>
  </si>
  <si>
    <t>Q9NWH9</t>
  </si>
  <si>
    <t>Q9NWM3</t>
  </si>
  <si>
    <t>Q9NWM8</t>
  </si>
  <si>
    <t>Q9NWQ9</t>
  </si>
  <si>
    <t>Q9NWS0</t>
  </si>
  <si>
    <t>Q9NWS6</t>
  </si>
  <si>
    <t>Q9NWS8</t>
  </si>
  <si>
    <t>Q9NWT6</t>
  </si>
  <si>
    <t>Q9NWU1</t>
  </si>
  <si>
    <t>Q9NWV4</t>
  </si>
  <si>
    <t>Q9NWX5</t>
  </si>
  <si>
    <t>Q9NWX6</t>
  </si>
  <si>
    <t>Q9NWY4</t>
  </si>
  <si>
    <t>Q9NWZ3</t>
  </si>
  <si>
    <t>Q9NWZ5</t>
  </si>
  <si>
    <t>Q9NX00</t>
  </si>
  <si>
    <t>Q9NX01</t>
  </si>
  <si>
    <t>Q9NX07</t>
  </si>
  <si>
    <t>Q9NX08</t>
  </si>
  <si>
    <t>Q9NX14-2</t>
  </si>
  <si>
    <t>Q9NX24</t>
  </si>
  <si>
    <t>Q9NX38</t>
  </si>
  <si>
    <t>Q9NX40</t>
  </si>
  <si>
    <t>Q9NX46</t>
  </si>
  <si>
    <t>Q9NX47</t>
  </si>
  <si>
    <t>Q9NX55</t>
  </si>
  <si>
    <t>Q9NX57</t>
  </si>
  <si>
    <t>Q9NX58</t>
  </si>
  <si>
    <t>Q9NX62</t>
  </si>
  <si>
    <t>Q9NX70</t>
  </si>
  <si>
    <t>Q9NX74</t>
  </si>
  <si>
    <t>Q9NXA8</t>
  </si>
  <si>
    <t>Q9NXC5</t>
  </si>
  <si>
    <t>Q9NXE8</t>
  </si>
  <si>
    <t>Q9NXF1-2</t>
  </si>
  <si>
    <t>Q9NXF7</t>
  </si>
  <si>
    <t>Q9NXF8</t>
  </si>
  <si>
    <t>Q9NXG6</t>
  </si>
  <si>
    <t>Q9NXH9</t>
  </si>
  <si>
    <t>Q9NXR1-2</t>
  </si>
  <si>
    <t>Q9NXR5</t>
  </si>
  <si>
    <t>Q9NXR7</t>
  </si>
  <si>
    <t>Q9NXS2</t>
  </si>
  <si>
    <t>Q9NXU5</t>
  </si>
  <si>
    <t>Q9NXV2</t>
  </si>
  <si>
    <t>Q9NXV6</t>
  </si>
  <si>
    <t>Q9NXW9</t>
  </si>
  <si>
    <t>Q9NXX6</t>
  </si>
  <si>
    <t>Q9NY27</t>
  </si>
  <si>
    <t>Q9NY61</t>
  </si>
  <si>
    <t>Q9NYB0</t>
  </si>
  <si>
    <t>Q9NYF8-2</t>
  </si>
  <si>
    <t>Q9NYG2</t>
  </si>
  <si>
    <t>Q9NYG5</t>
  </si>
  <si>
    <t>Q9NYH9</t>
  </si>
  <si>
    <t>Q9NYJ1</t>
  </si>
  <si>
    <t>Q9NYK5</t>
  </si>
  <si>
    <t>Q9NYK6-3</t>
  </si>
  <si>
    <t>Q9NYL2-2</t>
  </si>
  <si>
    <t>Q9NYL9</t>
  </si>
  <si>
    <t>Q9NYM9</t>
  </si>
  <si>
    <t>Q9NYP9</t>
  </si>
  <si>
    <t>Q9NYQ6</t>
  </si>
  <si>
    <t>Q9NYQ7</t>
  </si>
  <si>
    <t>Q9NYU2-2</t>
  </si>
  <si>
    <t>Q9NYV4-2</t>
  </si>
  <si>
    <t>Q9NYY8</t>
  </si>
  <si>
    <t>Q9NZ01</t>
  </si>
  <si>
    <t>Q9NZ08</t>
  </si>
  <si>
    <t>Q9NZ09-2</t>
  </si>
  <si>
    <t>Q9NZ32</t>
  </si>
  <si>
    <t>Q9NZ43</t>
  </si>
  <si>
    <t>Q9NZ45</t>
  </si>
  <si>
    <t>Q9NZ53</t>
  </si>
  <si>
    <t>Q9NZ63</t>
  </si>
  <si>
    <t>Q9NZB2-4</t>
  </si>
  <si>
    <t>Q9NZC3</t>
  </si>
  <si>
    <t>Q9NZC7</t>
  </si>
  <si>
    <t>Q9NZD2</t>
  </si>
  <si>
    <t>Q9NZD8-2</t>
  </si>
  <si>
    <t>Q9NZI7-4</t>
  </si>
  <si>
    <t>Q9NZI8</t>
  </si>
  <si>
    <t>Q9NZJ4-2</t>
  </si>
  <si>
    <t>Q9NZJ5</t>
  </si>
  <si>
    <t>Q9NZJ6</t>
  </si>
  <si>
    <t>Q9NZJ9-2</t>
  </si>
  <si>
    <t>Q9NZL4</t>
  </si>
  <si>
    <t>Q9NZL9</t>
  </si>
  <si>
    <t>Q9NZM3-2</t>
  </si>
  <si>
    <t>Q9NZM4-2</t>
  </si>
  <si>
    <t>Q9NZP8</t>
  </si>
  <si>
    <t>Q9NZQ3-3</t>
  </si>
  <si>
    <t>Q9NZT2-2</t>
  </si>
  <si>
    <t>Q9NZU5</t>
  </si>
  <si>
    <t>Q9NZW5</t>
  </si>
  <si>
    <t>Q9NZZ3</t>
  </si>
  <si>
    <t>Q9P000</t>
  </si>
  <si>
    <t>Q9P013</t>
  </si>
  <si>
    <t>Q9P016</t>
  </si>
  <si>
    <t>Q9P021</t>
  </si>
  <si>
    <t>Q9P031</t>
  </si>
  <si>
    <t>Q9P032</t>
  </si>
  <si>
    <t>Q9P035</t>
  </si>
  <si>
    <t>Q9P0B6</t>
  </si>
  <si>
    <t>Q9P0I2</t>
  </si>
  <si>
    <t>Q9P0J1</t>
  </si>
  <si>
    <t>Q9P0L0</t>
  </si>
  <si>
    <t>Q9P0P0</t>
  </si>
  <si>
    <t>Q9P0R6</t>
  </si>
  <si>
    <t>Q9P0S2</t>
  </si>
  <si>
    <t>Q9P0U4</t>
  </si>
  <si>
    <t>Q9P0V3</t>
  </si>
  <si>
    <t>Q9P0W2-2</t>
  </si>
  <si>
    <t>Q9P0Z9</t>
  </si>
  <si>
    <t>Q9P1F3</t>
  </si>
  <si>
    <t>Q9P1U1</t>
  </si>
  <si>
    <t>Q9P1Y5</t>
  </si>
  <si>
    <t>Q9P1Z2-2</t>
  </si>
  <si>
    <t>Q9P206-2</t>
  </si>
  <si>
    <t>Q9P219</t>
  </si>
  <si>
    <t>Q9P253</t>
  </si>
  <si>
    <t>Q9P258</t>
  </si>
  <si>
    <t>Q9P260</t>
  </si>
  <si>
    <t>Q9P265</t>
  </si>
  <si>
    <t>Q9P266</t>
  </si>
  <si>
    <t>Q9P270</t>
  </si>
  <si>
    <t>Q9P273</t>
  </si>
  <si>
    <t>Q9P287</t>
  </si>
  <si>
    <t>Q9P287-2</t>
  </si>
  <si>
    <t>Q9P2B2</t>
  </si>
  <si>
    <t>Q9P2B4</t>
  </si>
  <si>
    <t>Q9P2C4</t>
  </si>
  <si>
    <t>Q9P2D1</t>
  </si>
  <si>
    <t>Q9P2D3-3</t>
  </si>
  <si>
    <t>Q9P2E9</t>
  </si>
  <si>
    <t>Q9P2I0</t>
  </si>
  <si>
    <t>Q9P2J9</t>
  </si>
  <si>
    <t>Q9P2K2</t>
  </si>
  <si>
    <t>Q9P2K3</t>
  </si>
  <si>
    <t>Q9P2K5-2</t>
  </si>
  <si>
    <t>Q9P2K6</t>
  </si>
  <si>
    <t>Q9P2M7</t>
  </si>
  <si>
    <t>Q9P2N5</t>
  </si>
  <si>
    <t>Q9P2R3</t>
  </si>
  <si>
    <t>Q9P2R6</t>
  </si>
  <si>
    <t>Q9P2W1-2</t>
  </si>
  <si>
    <t>Q9P2X0</t>
  </si>
  <si>
    <t>Q9P2Y4</t>
  </si>
  <si>
    <t>Q9UBB4</t>
  </si>
  <si>
    <t>Q9UBB5</t>
  </si>
  <si>
    <t>Q9UBB6</t>
  </si>
  <si>
    <t>Q9UBB9</t>
  </si>
  <si>
    <t>Q9UBC2-2</t>
  </si>
  <si>
    <t>Q9UBC2-4</t>
  </si>
  <si>
    <t>Q9UBD5</t>
  </si>
  <si>
    <t>Q9UBE0</t>
  </si>
  <si>
    <t>Q9UBF2</t>
  </si>
  <si>
    <t>Q9UBF6</t>
  </si>
  <si>
    <t>Q9UBF8-2</t>
  </si>
  <si>
    <t>Q9UBI6</t>
  </si>
  <si>
    <t>Q9UBK8-2</t>
  </si>
  <si>
    <t>Q9UBK9</t>
  </si>
  <si>
    <t>Q9UBL3-3</t>
  </si>
  <si>
    <t>Q9UBM7</t>
  </si>
  <si>
    <t>Q9UBN6</t>
  </si>
  <si>
    <t>Q9UBP0-3</t>
  </si>
  <si>
    <t>Q9UBP6</t>
  </si>
  <si>
    <t>Q9UBQ0</t>
  </si>
  <si>
    <t>Q9UBQ7</t>
  </si>
  <si>
    <t>Q9UBR2</t>
  </si>
  <si>
    <t>Q9UBS0</t>
  </si>
  <si>
    <t>Q9UBS4</t>
  </si>
  <si>
    <t>Q9UBS8</t>
  </si>
  <si>
    <t>Q9UBT2</t>
  </si>
  <si>
    <t>Q9UBU9</t>
  </si>
  <si>
    <t>Q9UBV2</t>
  </si>
  <si>
    <t>Q9UBV8</t>
  </si>
  <si>
    <t>Q9UBW7</t>
  </si>
  <si>
    <t>Q9UBW8</t>
  </si>
  <si>
    <t>Q9UBX3</t>
  </si>
  <si>
    <t>Q9UC07-2</t>
  </si>
  <si>
    <t>Q9UD71</t>
  </si>
  <si>
    <t>Q9UDW1</t>
  </si>
  <si>
    <t>Q9UDX5</t>
  </si>
  <si>
    <t>Q9UDY2-3</t>
  </si>
  <si>
    <t>Q9UDY4</t>
  </si>
  <si>
    <t>Q9UDY8</t>
  </si>
  <si>
    <t>Q9UEE9</t>
  </si>
  <si>
    <t>Q9UEG4</t>
  </si>
  <si>
    <t>Q9UEL6</t>
  </si>
  <si>
    <t>Q9UER7-3</t>
  </si>
  <si>
    <t>Q9UET6-2</t>
  </si>
  <si>
    <t>Q9UEU0</t>
  </si>
  <si>
    <t>Q9UEW8</t>
  </si>
  <si>
    <t>Q9UEY8-2</t>
  </si>
  <si>
    <t>Q9UFC0</t>
  </si>
  <si>
    <t>Q9UFG5</t>
  </si>
  <si>
    <t>Q9UFN0</t>
  </si>
  <si>
    <t>Q9UFW8</t>
  </si>
  <si>
    <t>Q9UG56-2</t>
  </si>
  <si>
    <t>Q9UG63</t>
  </si>
  <si>
    <t>Q9UGC7</t>
  </si>
  <si>
    <t>Q9UGI8</t>
  </si>
  <si>
    <t>Q9UGK3</t>
  </si>
  <si>
    <t>Q9UGK8</t>
  </si>
  <si>
    <t>Q9UGM6</t>
  </si>
  <si>
    <t>Q9UGP4</t>
  </si>
  <si>
    <t>Q9UGP8</t>
  </si>
  <si>
    <t>Q9UGQ3-2</t>
  </si>
  <si>
    <t>Q9UGR2-2</t>
  </si>
  <si>
    <t>Q9UGU0-2</t>
  </si>
  <si>
    <t>Q9UGV2</t>
  </si>
  <si>
    <t>Q9UH62</t>
  </si>
  <si>
    <t>Q9UH65</t>
  </si>
  <si>
    <t>Q9UHA4</t>
  </si>
  <si>
    <t>Q9UHB6</t>
  </si>
  <si>
    <t>Q9UHB7</t>
  </si>
  <si>
    <t>Q9UHB9</t>
  </si>
  <si>
    <t>Q9UHD1</t>
  </si>
  <si>
    <t>Q9UHD8</t>
  </si>
  <si>
    <t>Q9UHD9</t>
  </si>
  <si>
    <t>Q9UHE8</t>
  </si>
  <si>
    <t>Q9UHF7</t>
  </si>
  <si>
    <t>Q9UHG3</t>
  </si>
  <si>
    <t>Q9UHI6</t>
  </si>
  <si>
    <t>Q9UHJ3-2</t>
  </si>
  <si>
    <t>Q9UHJ6</t>
  </si>
  <si>
    <t>Q9UHK6</t>
  </si>
  <si>
    <t>Q9UHL4</t>
  </si>
  <si>
    <t>Q9UHN1</t>
  </si>
  <si>
    <t>Q9UHN6</t>
  </si>
  <si>
    <t>Q9UHP3</t>
  </si>
  <si>
    <t>Q9UHQ4</t>
  </si>
  <si>
    <t>Q9UHQ9</t>
  </si>
  <si>
    <t>Q9UHR4</t>
  </si>
  <si>
    <t>Q9UHR6</t>
  </si>
  <si>
    <t>Q9UHV9</t>
  </si>
  <si>
    <t>Q9UHW5</t>
  </si>
  <si>
    <t>Q9UHX1-4</t>
  </si>
  <si>
    <t>Q9UHX3-4</t>
  </si>
  <si>
    <t>Q9UHY1</t>
  </si>
  <si>
    <t>Q9UHY7</t>
  </si>
  <si>
    <t>Q9UI10</t>
  </si>
  <si>
    <t>Q9UI12-2</t>
  </si>
  <si>
    <t>Q9UI15</t>
  </si>
  <si>
    <t>Q9UI26</t>
  </si>
  <si>
    <t>Q9UI30</t>
  </si>
  <si>
    <t>Q9UI32</t>
  </si>
  <si>
    <t>Q9UI36-2</t>
  </si>
  <si>
    <t>Q9UIC8</t>
  </si>
  <si>
    <t>Q9UID3</t>
  </si>
  <si>
    <t>Q9UII2</t>
  </si>
  <si>
    <t>Q9UIJ7</t>
  </si>
  <si>
    <t>Q9UIK4</t>
  </si>
  <si>
    <t>Q9UIL1-3</t>
  </si>
  <si>
    <t>Q9UIM3</t>
  </si>
  <si>
    <t>Q9UIQ6-3</t>
  </si>
  <si>
    <t>Q9UIU6</t>
  </si>
  <si>
    <t>Q9UJ14</t>
  </si>
  <si>
    <t>Q9UJ68-2</t>
  </si>
  <si>
    <t>Q9UJA2-2</t>
  </si>
  <si>
    <t>Q9UJA5</t>
  </si>
  <si>
    <t>Q9UJA9</t>
  </si>
  <si>
    <t>Q9UJC5</t>
  </si>
  <si>
    <t>Q9UJK0</t>
  </si>
  <si>
    <t>Q9UJS0</t>
  </si>
  <si>
    <t>Q9UJT0</t>
  </si>
  <si>
    <t>Q9UJU6</t>
  </si>
  <si>
    <t>Q9UJU6-2</t>
  </si>
  <si>
    <t>Q9UJW0</t>
  </si>
  <si>
    <t>Q9UJX3-2</t>
  </si>
  <si>
    <t>Q9UJX5-2</t>
  </si>
  <si>
    <t>Q9UJX6-2</t>
  </si>
  <si>
    <t>Q9UJY4</t>
  </si>
  <si>
    <t>Q9UJY5-4</t>
  </si>
  <si>
    <t>Q9UJZ1</t>
  </si>
  <si>
    <t>Q9UK22</t>
  </si>
  <si>
    <t>Q9UK23</t>
  </si>
  <si>
    <t>Q9UK41</t>
  </si>
  <si>
    <t>Q9UK45</t>
  </si>
  <si>
    <t>Q9UK53-2</t>
  </si>
  <si>
    <t>Q9UK59</t>
  </si>
  <si>
    <t>Q9UK76</t>
  </si>
  <si>
    <t>Q9UK97-3</t>
  </si>
  <si>
    <t>Q9UKA2</t>
  </si>
  <si>
    <t>Q9UKA4</t>
  </si>
  <si>
    <t>Q9UKB3</t>
  </si>
  <si>
    <t>Q9UKB5</t>
  </si>
  <si>
    <t>Q9UKD2</t>
  </si>
  <si>
    <t>Q9UKF6</t>
  </si>
  <si>
    <t>Q9UKG1</t>
  </si>
  <si>
    <t>Q9UKI8-5</t>
  </si>
  <si>
    <t>Q9UKJ3</t>
  </si>
  <si>
    <t>Q9UKK9</t>
  </si>
  <si>
    <t>Q9UKL3</t>
  </si>
  <si>
    <t>Q9UKL6</t>
  </si>
  <si>
    <t>Q9UKM7</t>
  </si>
  <si>
    <t>Q9UKN8</t>
  </si>
  <si>
    <t>Q9UKQ2-2</t>
  </si>
  <si>
    <t>Q9UKR5</t>
  </si>
  <si>
    <t>Q9UKS6</t>
  </si>
  <si>
    <t>Q9UKT5</t>
  </si>
  <si>
    <t>Q9UKU7</t>
  </si>
  <si>
    <t>Q9UKV8</t>
  </si>
  <si>
    <t>Q9UKX7-2</t>
  </si>
  <si>
    <t>Q9UKY7</t>
  </si>
  <si>
    <t>Q9UKZ1</t>
  </si>
  <si>
    <t>Q9UL15</t>
  </si>
  <si>
    <t>Q9UL18</t>
  </si>
  <si>
    <t>Q9UL25</t>
  </si>
  <si>
    <t>Q9UL26</t>
  </si>
  <si>
    <t>Q9UL42</t>
  </si>
  <si>
    <t>Q9UL46</t>
  </si>
  <si>
    <t>Q9UL54-2</t>
  </si>
  <si>
    <t>Q9UL63</t>
  </si>
  <si>
    <t>Q9ULC3</t>
  </si>
  <si>
    <t>Q9ULC4</t>
  </si>
  <si>
    <t>Q9ULC5</t>
  </si>
  <si>
    <t>Q9ULD9</t>
  </si>
  <si>
    <t>Q9ULE6</t>
  </si>
  <si>
    <t>Q9ULF5</t>
  </si>
  <si>
    <t>Q9ULH0-2</t>
  </si>
  <si>
    <t>Q9ULH7-4</t>
  </si>
  <si>
    <t>Q9ULJ6</t>
  </si>
  <si>
    <t>Q9ULJ8</t>
  </si>
  <si>
    <t>Q9ULL5-3</t>
  </si>
  <si>
    <t>Q9ULM3</t>
  </si>
  <si>
    <t>Q9ULP9-2</t>
  </si>
  <si>
    <t>Q9ULR0</t>
  </si>
  <si>
    <t>Q9ULR3</t>
  </si>
  <si>
    <t>Q9ULT8</t>
  </si>
  <si>
    <t>Q9ULV4</t>
  </si>
  <si>
    <t>Q9ULW0</t>
  </si>
  <si>
    <t>Q9ULX3</t>
  </si>
  <si>
    <t>Q9ULX6</t>
  </si>
  <si>
    <t>Q9ULX9</t>
  </si>
  <si>
    <t>Q9ULZ3-2</t>
  </si>
  <si>
    <t>Q9UMS0-3</t>
  </si>
  <si>
    <t>Q9UMS4</t>
  </si>
  <si>
    <t>Q9UMX0</t>
  </si>
  <si>
    <t>Q9UMX5</t>
  </si>
  <si>
    <t>Q9UMY1</t>
  </si>
  <si>
    <t>Q9UMY4-2</t>
  </si>
  <si>
    <t>Q9UMZ2-6</t>
  </si>
  <si>
    <t>Q9UN37</t>
  </si>
  <si>
    <t>Q9UN79</t>
  </si>
  <si>
    <t>Q9UN86-2</t>
  </si>
  <si>
    <t>Q9UNE7</t>
  </si>
  <si>
    <t>Q9UNF0-2</t>
  </si>
  <si>
    <t>Q9UNF1</t>
  </si>
  <si>
    <t>Q9UNH7</t>
  </si>
  <si>
    <t>Q9UNI6</t>
  </si>
  <si>
    <t>Q9UNK0</t>
  </si>
  <si>
    <t>Q9UNK9</t>
  </si>
  <si>
    <t>Q9UNM6</t>
  </si>
  <si>
    <t>Q9UNN5</t>
  </si>
  <si>
    <t>Q9UNP9</t>
  </si>
  <si>
    <t>Q9UNS1-2</t>
  </si>
  <si>
    <t>Q9UNS2</t>
  </si>
  <si>
    <t>Q9UNW1</t>
  </si>
  <si>
    <t>Q9UNX4</t>
  </si>
  <si>
    <t>Q9UNY4</t>
  </si>
  <si>
    <t>Q9UNZ5</t>
  </si>
  <si>
    <t>Q9UP83-3</t>
  </si>
  <si>
    <t>Q9UPN6</t>
  </si>
  <si>
    <t>Q9UPN7</t>
  </si>
  <si>
    <t>Q9UPN9-2</t>
  </si>
  <si>
    <t>Q9UPP1-4</t>
  </si>
  <si>
    <t>Q9UPQ9-1</t>
  </si>
  <si>
    <t>Q9UPT5-1</t>
  </si>
  <si>
    <t>Q9UPT8</t>
  </si>
  <si>
    <t>Q9UPT9-2</t>
  </si>
  <si>
    <t>Q9UPU5</t>
  </si>
  <si>
    <t>Q9UPW5</t>
  </si>
  <si>
    <t>Q9UPY3</t>
  </si>
  <si>
    <t>Q9UPY5</t>
  </si>
  <si>
    <t>Q9UPZ3-2</t>
  </si>
  <si>
    <t>Q9UQ13-2</t>
  </si>
  <si>
    <t>Q9UQ35</t>
  </si>
  <si>
    <t>Q9UQ80</t>
  </si>
  <si>
    <t>Q9UQ90</t>
  </si>
  <si>
    <t>Q9UQB8-5</t>
  </si>
  <si>
    <t>Q9UQC2-2</t>
  </si>
  <si>
    <t>Q9UQE7</t>
  </si>
  <si>
    <t>Q9UQL0</t>
  </si>
  <si>
    <t>Q9UQN3</t>
  </si>
  <si>
    <t>Q9Y217</t>
  </si>
  <si>
    <t>Q9Y219</t>
  </si>
  <si>
    <t>Q9Y221-2</t>
  </si>
  <si>
    <t>Q9Y223</t>
  </si>
  <si>
    <t>Q9Y224</t>
  </si>
  <si>
    <t>Q9Y230</t>
  </si>
  <si>
    <t>Q9Y232-2</t>
  </si>
  <si>
    <t>Q9Y234</t>
  </si>
  <si>
    <t>Q9Y235</t>
  </si>
  <si>
    <t>Q9Y237</t>
  </si>
  <si>
    <t>Q9Y242</t>
  </si>
  <si>
    <t>Q9Y243-2</t>
  </si>
  <si>
    <t>Q9Y244</t>
  </si>
  <si>
    <t>Q9Y247</t>
  </si>
  <si>
    <t>Q9Y248</t>
  </si>
  <si>
    <t>Q9Y259</t>
  </si>
  <si>
    <t>Q9Y263</t>
  </si>
  <si>
    <t>Q9Y265</t>
  </si>
  <si>
    <t>Q9Y266</t>
  </si>
  <si>
    <t>Q9Y276</t>
  </si>
  <si>
    <t>Q9Y277</t>
  </si>
  <si>
    <t>Q9Y281</t>
  </si>
  <si>
    <t>Q9Y289</t>
  </si>
  <si>
    <t>Q9Y294</t>
  </si>
  <si>
    <t>Q9Y295</t>
  </si>
  <si>
    <t>Q9Y296</t>
  </si>
  <si>
    <t>Q9Y2A7</t>
  </si>
  <si>
    <t>Q9Y2A9</t>
  </si>
  <si>
    <t>Q9Y2B0</t>
  </si>
  <si>
    <t>Q9Y2C4</t>
  </si>
  <si>
    <t>Q9Y2D0</t>
  </si>
  <si>
    <t>Q9Y2D4</t>
  </si>
  <si>
    <t>Q9Y2D5</t>
  </si>
  <si>
    <t>Q9Y2G5</t>
  </si>
  <si>
    <t>Q9Y2H0-3</t>
  </si>
  <si>
    <t>Q9Y2H1</t>
  </si>
  <si>
    <t>Q9Y2H6-2</t>
  </si>
  <si>
    <t>Q9Y2I1</t>
  </si>
  <si>
    <t>Q9Y2I8</t>
  </si>
  <si>
    <t>Q9Y2K6</t>
  </si>
  <si>
    <t>Q9Y2K7</t>
  </si>
  <si>
    <t>Q9Y2L1</t>
  </si>
  <si>
    <t>Q9Y2L9-2</t>
  </si>
  <si>
    <t>Q9Y2Q3</t>
  </si>
  <si>
    <t>Q9Y2Q5</t>
  </si>
  <si>
    <t>Q9Y2Q9</t>
  </si>
  <si>
    <t>Q9Y2R0</t>
  </si>
  <si>
    <t>Q9Y2R4</t>
  </si>
  <si>
    <t>Q9Y2S0</t>
  </si>
  <si>
    <t>Q9Y2S2-2</t>
  </si>
  <si>
    <t>Q9Y2S6</t>
  </si>
  <si>
    <t>Q9Y2S7</t>
  </si>
  <si>
    <t>Q9Y2T2</t>
  </si>
  <si>
    <t>Q9Y2U8</t>
  </si>
  <si>
    <t>Q9Y2V2</t>
  </si>
  <si>
    <t>Q9Y2V7-2</t>
  </si>
  <si>
    <t>Q9Y2W1</t>
  </si>
  <si>
    <t>Q9Y2X0-2</t>
  </si>
  <si>
    <t>Q9Y2X3</t>
  </si>
  <si>
    <t>Q9Y2X7-3</t>
  </si>
  <si>
    <t>Q9Y2Y1</t>
  </si>
  <si>
    <t>Q9Y2Z0-2</t>
  </si>
  <si>
    <t>Q9Y2Z2-4</t>
  </si>
  <si>
    <t>Q9Y2Z4</t>
  </si>
  <si>
    <t>Q9Y2Z9-3</t>
  </si>
  <si>
    <t>Q9Y303</t>
  </si>
  <si>
    <t>Q9Y305</t>
  </si>
  <si>
    <t>Q9Y314</t>
  </si>
  <si>
    <t>Q9Y315</t>
  </si>
  <si>
    <t>Q9Y316</t>
  </si>
  <si>
    <t>Q9Y320-2</t>
  </si>
  <si>
    <t>Q9Y333</t>
  </si>
  <si>
    <t>Q9Y371</t>
  </si>
  <si>
    <t>Q9Y375</t>
  </si>
  <si>
    <t>Q9Y376</t>
  </si>
  <si>
    <t>Q9Y383</t>
  </si>
  <si>
    <t>Q9Y388</t>
  </si>
  <si>
    <t>Q9Y394-2</t>
  </si>
  <si>
    <t>Q9Y399</t>
  </si>
  <si>
    <t>Q9Y3A0-2</t>
  </si>
  <si>
    <t>Q9Y3A3-3</t>
  </si>
  <si>
    <t>Q9Y3A5</t>
  </si>
  <si>
    <t>Q9Y3A6</t>
  </si>
  <si>
    <t>Q9Y3B1</t>
  </si>
  <si>
    <t>Q9Y3B2</t>
  </si>
  <si>
    <t>Q9Y3B3</t>
  </si>
  <si>
    <t>Q9Y3B4</t>
  </si>
  <si>
    <t>Q9Y3B7-2</t>
  </si>
  <si>
    <t>Q9Y3B9</t>
  </si>
  <si>
    <t>Q9Y3C1</t>
  </si>
  <si>
    <t>Q9Y3C4</t>
  </si>
  <si>
    <t>Q9Y3C6</t>
  </si>
  <si>
    <t>Q9Y3C8</t>
  </si>
  <si>
    <t>Q9Y3D0</t>
  </si>
  <si>
    <t>Q9Y3D2</t>
  </si>
  <si>
    <t>Q9Y3D5</t>
  </si>
  <si>
    <t>Q9Y3D6</t>
  </si>
  <si>
    <t>Q9Y3D8</t>
  </si>
  <si>
    <t>Q9Y3D9</t>
  </si>
  <si>
    <t>Q9Y3E2</t>
  </si>
  <si>
    <t>Q9Y3E7-4</t>
  </si>
  <si>
    <t>Q9Y3F4</t>
  </si>
  <si>
    <t>Q9Y3I0</t>
  </si>
  <si>
    <t>Q9Y3I1</t>
  </si>
  <si>
    <t>Q9Y3L5</t>
  </si>
  <si>
    <t>Q9Y3P8</t>
  </si>
  <si>
    <t>Q9Y3P9</t>
  </si>
  <si>
    <t>Q9Y3R5-2</t>
  </si>
  <si>
    <t>Q9Y3S2</t>
  </si>
  <si>
    <t>Q9Y3T6</t>
  </si>
  <si>
    <t>Q9Y3T9</t>
  </si>
  <si>
    <t>Q9Y3U8</t>
  </si>
  <si>
    <t>Q9Y3X0</t>
  </si>
  <si>
    <t>Q9Y3Y2-4</t>
  </si>
  <si>
    <t>Q9Y3Z3</t>
  </si>
  <si>
    <t>Q9Y421</t>
  </si>
  <si>
    <t>Q9Y446</t>
  </si>
  <si>
    <t>Q9Y448-2</t>
  </si>
  <si>
    <t>Q9Y450</t>
  </si>
  <si>
    <t>Q9Y478</t>
  </si>
  <si>
    <t>Q9Y487</t>
  </si>
  <si>
    <t>Q9Y490</t>
  </si>
  <si>
    <t>Q9Y4B6</t>
  </si>
  <si>
    <t>Q9Y4C1</t>
  </si>
  <si>
    <t>Q9Y4C2-2</t>
  </si>
  <si>
    <t>Q9Y4E1-2</t>
  </si>
  <si>
    <t>Q9Y4E6-2</t>
  </si>
  <si>
    <t>Q9Y4E8</t>
  </si>
  <si>
    <t>Q9Y4H2</t>
  </si>
  <si>
    <t>Q9Y4K1</t>
  </si>
  <si>
    <t>Q9Y4K3</t>
  </si>
  <si>
    <t>Q9Y4K4</t>
  </si>
  <si>
    <t>Q9Y4L1</t>
  </si>
  <si>
    <t>Q9Y4P1-6</t>
  </si>
  <si>
    <t>Q9Y4P8-3</t>
  </si>
  <si>
    <t>Q9Y4R8</t>
  </si>
  <si>
    <t>Q9Y4U1</t>
  </si>
  <si>
    <t>Q9Y4W6</t>
  </si>
  <si>
    <t>Q9Y4X0-4</t>
  </si>
  <si>
    <t>Q9Y4X5</t>
  </si>
  <si>
    <t>Q9Y4Z0</t>
  </si>
  <si>
    <t>Q9Y508</t>
  </si>
  <si>
    <t>Q9Y512</t>
  </si>
  <si>
    <t>Q9Y520-7</t>
  </si>
  <si>
    <t>Q9Y570</t>
  </si>
  <si>
    <t>Q9Y584</t>
  </si>
  <si>
    <t>Q9Y597-2</t>
  </si>
  <si>
    <t>Q9Y5A9-2</t>
  </si>
  <si>
    <t>Q9Y5B0</t>
  </si>
  <si>
    <t>Q9Y5B6</t>
  </si>
  <si>
    <t>Q9Y5B8</t>
  </si>
  <si>
    <t>Q9Y5B9</t>
  </si>
  <si>
    <t>Q9Y5J1</t>
  </si>
  <si>
    <t>Q9Y5J6</t>
  </si>
  <si>
    <t>Q9Y5J7</t>
  </si>
  <si>
    <t>Q9Y5K3-2</t>
  </si>
  <si>
    <t>Q9Y5K5-2</t>
  </si>
  <si>
    <t>Q9Y5K6</t>
  </si>
  <si>
    <t>Q9Y5K8</t>
  </si>
  <si>
    <t>Q9Y5L0</t>
  </si>
  <si>
    <t>Q9Y5L3</t>
  </si>
  <si>
    <t>Q9Y5L4</t>
  </si>
  <si>
    <t>Q9Y5M8</t>
  </si>
  <si>
    <t>Q9Y5P4-2</t>
  </si>
  <si>
    <t>Q9Y5P6</t>
  </si>
  <si>
    <t>Q9Y5Q8</t>
  </si>
  <si>
    <t>Q9Y5Q9</t>
  </si>
  <si>
    <t>Q9Y5R8</t>
  </si>
  <si>
    <t>Q9Y5S2</t>
  </si>
  <si>
    <t>Q9Y5S9</t>
  </si>
  <si>
    <t>Q9Y5T4</t>
  </si>
  <si>
    <t>Q9Y5U2-2</t>
  </si>
  <si>
    <t>Q9Y5V0</t>
  </si>
  <si>
    <t>Q9Y5X1</t>
  </si>
  <si>
    <t>Q9Y5X2</t>
  </si>
  <si>
    <t>Q9Y5X3</t>
  </si>
  <si>
    <t>Q9Y5Y0</t>
  </si>
  <si>
    <t>Q9Y5Y2</t>
  </si>
  <si>
    <t>Q9Y5Y6</t>
  </si>
  <si>
    <t>Q9Y5Z4</t>
  </si>
  <si>
    <t>Q9Y605</t>
  </si>
  <si>
    <t>Q9Y608-2</t>
  </si>
  <si>
    <t>Q9Y613</t>
  </si>
  <si>
    <t>Q9Y617</t>
  </si>
  <si>
    <t>Q9Y619</t>
  </si>
  <si>
    <t>Q9Y639</t>
  </si>
  <si>
    <t>Q9Y646</t>
  </si>
  <si>
    <t>Q9Y657</t>
  </si>
  <si>
    <t>Q9Y666</t>
  </si>
  <si>
    <t>Q9Y673</t>
  </si>
  <si>
    <t>Q9Y678</t>
  </si>
  <si>
    <t>Q9Y679-2</t>
  </si>
  <si>
    <t>Q9Y680-3</t>
  </si>
  <si>
    <t>Q9Y696</t>
  </si>
  <si>
    <t>Q9Y697-2</t>
  </si>
  <si>
    <t>Q9Y6A4</t>
  </si>
  <si>
    <t>Q9Y6A5</t>
  </si>
  <si>
    <t>Q9Y6B6</t>
  </si>
  <si>
    <t>Q9Y6C9</t>
  </si>
  <si>
    <t>Q9Y6D5</t>
  </si>
  <si>
    <t>Q9Y6D6</t>
  </si>
  <si>
    <t>Q9Y6D9</t>
  </si>
  <si>
    <t>Q9Y6E0-2</t>
  </si>
  <si>
    <t>Q9Y6G5</t>
  </si>
  <si>
    <t>Q9Y6G9</t>
  </si>
  <si>
    <t>Q9Y6H1</t>
  </si>
  <si>
    <t>Q9Y6I3</t>
  </si>
  <si>
    <t>Q9Y6I9</t>
  </si>
  <si>
    <t>Q9Y6K5</t>
  </si>
  <si>
    <t>Q9Y6K9</t>
  </si>
  <si>
    <t>Q9Y6M4-4</t>
  </si>
  <si>
    <t>Q9Y6M5</t>
  </si>
  <si>
    <t>Q9Y6M9</t>
  </si>
  <si>
    <t>Q9Y6N1</t>
  </si>
  <si>
    <t>Q9Y6N5</t>
  </si>
  <si>
    <t>Q9Y6N7-4</t>
  </si>
  <si>
    <t>Q9Y6Q5</t>
  </si>
  <si>
    <t>Q9Y6Q9-2</t>
  </si>
  <si>
    <t>Q9Y6U3</t>
  </si>
  <si>
    <t>Q9Y6V7</t>
  </si>
  <si>
    <t>Q9Y6W3</t>
  </si>
  <si>
    <t>Q9Y6W5</t>
  </si>
  <si>
    <t>Q9Y6X5</t>
  </si>
  <si>
    <t>Q9Y6X8</t>
  </si>
  <si>
    <t>Q9Y6X9</t>
  </si>
  <si>
    <t>R4GMR5</t>
  </si>
  <si>
    <t>R4GMU1</t>
  </si>
  <si>
    <t>R4GMX3</t>
  </si>
  <si>
    <t>R4GMX8</t>
  </si>
  <si>
    <t>R4GMZ0</t>
  </si>
  <si>
    <t>R4GN50</t>
  </si>
  <si>
    <t>R4GN55</t>
  </si>
  <si>
    <t>R4GN98</t>
  </si>
  <si>
    <t>R4GNB1</t>
  </si>
  <si>
    <t>R4GNB2</t>
  </si>
  <si>
    <t>R4GND3</t>
  </si>
  <si>
    <t>R4GND4</t>
  </si>
  <si>
    <t>R4GNH3</t>
  </si>
  <si>
    <t>norm_FC_TMT126_colon_cancer_spheroids_P016046</t>
  </si>
  <si>
    <t>norm_FC_TMT127L_colon_cancer_spheroids_P016046</t>
  </si>
  <si>
    <t>norm_FC_TMT127H_colon_cancer_spheroids_P016046</t>
  </si>
  <si>
    <t>norm_FC_TMT128L_colon_cancer_spheroids_P016046</t>
  </si>
  <si>
    <t>norm_FC_TMT128H_colon_cancer_spheroids_P016046</t>
  </si>
  <si>
    <t>norm_FC_TMT129L_colon_cancer_spheroids_P016046</t>
  </si>
  <si>
    <t>norm_FC_TMT129H_colon_cancer_spheroids_P016046</t>
  </si>
  <si>
    <t>norm_FC_TMT130L_colon_cancer_spheroids_P016046</t>
  </si>
  <si>
    <t>norm_FC_TMT130H_colon_cancer_spheroids_P016046</t>
  </si>
  <si>
    <t>norm_FC_TMT131L_colon_cancer_spheroids_P016046</t>
  </si>
  <si>
    <t>a_colon_cancer_spheroids_P016046</t>
  </si>
  <si>
    <t>b_colon_cancer_spheroids_P016046</t>
  </si>
  <si>
    <t>meltPoint_colon_cancer_spheroids_P016046</t>
  </si>
  <si>
    <t>inflPoint_colon_cancer_spheroids_P016046</t>
  </si>
  <si>
    <t>slope_colon_cancer_spheroids_P016046</t>
  </si>
  <si>
    <t>plateau_colon_cancer_spheroids_P016046</t>
  </si>
  <si>
    <t>R_sq_colon_cancer_spheroids_P016046</t>
  </si>
  <si>
    <t>protein_identified_in_colon_cancer_spheroids_P016046</t>
  </si>
  <si>
    <t>model_converged_colon_cancer_spheroids_P016046</t>
  </si>
  <si>
    <t>sufficient_data_for_fit_colon_cancer_spheroids_P016046</t>
  </si>
  <si>
    <t>Proteinname_colon_cancer_spheroids_P016046</t>
  </si>
  <si>
    <t>numSpec_colon_cancer_spheroids_P016046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</si>
</sst>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49"/>
  <sheetViews>
    <sheetView tabSelected="1" topLeftCell="D1" workbookViewId="0">
      <selection sqref="A1:XFD1"/>
    </sheetView>
  </sheetViews>
  <sheetFormatPr defaultRowHeight="15" x14ac:dyDescent="0.25"/>
  <sheetData>
    <row r="1" spans="1:28" s="2" customFormat="1" ht="105" x14ac:dyDescent="0.25">
      <c r="A1" s="1" t="s">
        <v>0</v>
      </c>
      <c r="B1" s="1" t="s">
        <v>32025</v>
      </c>
      <c r="C1" s="1" t="s">
        <v>32026</v>
      </c>
      <c r="D1" s="1" t="s">
        <v>32027</v>
      </c>
      <c r="E1" s="1" t="s">
        <v>32028</v>
      </c>
      <c r="F1" s="1" t="s">
        <v>32029</v>
      </c>
      <c r="G1" s="1" t="s">
        <v>32030</v>
      </c>
      <c r="H1" s="1" t="s">
        <v>32031</v>
      </c>
      <c r="I1" s="1" t="s">
        <v>32032</v>
      </c>
      <c r="J1" s="1" t="s">
        <v>32033</v>
      </c>
      <c r="K1" s="1" t="s">
        <v>32034</v>
      </c>
      <c r="L1" s="1" t="s">
        <v>32035</v>
      </c>
      <c r="M1" s="1" t="s">
        <v>32036</v>
      </c>
      <c r="N1" s="1" t="s">
        <v>32037</v>
      </c>
      <c r="O1" s="1" t="s">
        <v>32038</v>
      </c>
      <c r="P1" s="1" t="s">
        <v>32039</v>
      </c>
      <c r="Q1" s="1" t="s">
        <v>32040</v>
      </c>
      <c r="R1" s="1" t="s">
        <v>32041</v>
      </c>
      <c r="S1" s="1" t="s">
        <v>1</v>
      </c>
      <c r="T1" s="1" t="s">
        <v>32042</v>
      </c>
      <c r="U1" s="1" t="s">
        <v>32043</v>
      </c>
      <c r="V1" s="1" t="s">
        <v>32044</v>
      </c>
      <c r="W1" s="1" t="s">
        <v>32045</v>
      </c>
      <c r="X1" s="1" t="s">
        <v>32046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0.99673306730245903</v>
      </c>
      <c r="C2">
        <v>1.05327106343411</v>
      </c>
      <c r="D2">
        <v>0.53717638930755596</v>
      </c>
      <c r="E2">
        <v>0.36290495993524102</v>
      </c>
      <c r="F2">
        <v>0.14903046068391901</v>
      </c>
      <c r="G2">
        <v>9.0738473751554402E-2</v>
      </c>
      <c r="H2">
        <v>5.6531569852987303E-2</v>
      </c>
      <c r="I2">
        <v>4.6368194093725397E-2</v>
      </c>
      <c r="J2">
        <v>4.6974126247452203E-2</v>
      </c>
      <c r="K2">
        <v>4.19900242904825E-2</v>
      </c>
      <c r="L2">
        <v>1019.84274471418</v>
      </c>
      <c r="M2">
        <v>21.611492950176299</v>
      </c>
      <c r="N2">
        <v>47.4508400400561</v>
      </c>
      <c r="O2">
        <v>46.7913619464058</v>
      </c>
      <c r="P2">
        <v>-0.108998772194839</v>
      </c>
      <c r="Q2">
        <v>5.6043219152870298E-2</v>
      </c>
      <c r="R2">
        <v>0.97034632043276503</v>
      </c>
      <c r="S2" t="s">
        <v>6454</v>
      </c>
      <c r="T2" t="s">
        <v>12902</v>
      </c>
      <c r="U2" t="s">
        <v>12902</v>
      </c>
      <c r="V2" t="s">
        <v>12902</v>
      </c>
      <c r="W2" t="s">
        <v>12904</v>
      </c>
      <c r="X2">
        <v>27</v>
      </c>
      <c r="Y2" t="s">
        <v>19299</v>
      </c>
      <c r="Z2" t="s">
        <v>25577</v>
      </c>
      <c r="AA2">
        <v>0.29384296685312661</v>
      </c>
      <c r="AB2" t="str">
        <f>HYPERLINK("Melting_Curves/meltCurve_A0AVT1_UBA6.pdf", "Melting_Curves/meltCurve_A0AVT1_UBA6.pdf")</f>
        <v>Melting_Curves/meltCurve_A0AVT1_UBA6.pdf</v>
      </c>
    </row>
    <row r="3" spans="1:28" x14ac:dyDescent="0.25">
      <c r="A3" t="s">
        <v>7</v>
      </c>
      <c r="B3">
        <v>0.99673306730245903</v>
      </c>
      <c r="C3">
        <v>1.0233777736481</v>
      </c>
      <c r="D3">
        <v>0.44733567534394197</v>
      </c>
      <c r="E3">
        <v>0.285540417235493</v>
      </c>
      <c r="F3">
        <v>0.18281121701962499</v>
      </c>
      <c r="G3">
        <v>0.119362455066177</v>
      </c>
      <c r="H3">
        <v>7.7885008067410305E-2</v>
      </c>
      <c r="I3">
        <v>8.1989688819449694E-2</v>
      </c>
      <c r="J3">
        <v>0.108599341632451</v>
      </c>
      <c r="K3">
        <v>9.7808812285449895E-2</v>
      </c>
      <c r="L3">
        <v>2322.5961369567299</v>
      </c>
      <c r="M3">
        <v>50.962254049590904</v>
      </c>
      <c r="N3">
        <v>45.852129830153103</v>
      </c>
      <c r="O3">
        <v>45.504819954232197</v>
      </c>
      <c r="P3">
        <v>-0.24285237056834999</v>
      </c>
      <c r="Q3">
        <v>0.132617292948085</v>
      </c>
      <c r="R3">
        <v>0.97315854410866798</v>
      </c>
      <c r="S3" t="s">
        <v>6455</v>
      </c>
      <c r="T3" t="s">
        <v>12902</v>
      </c>
      <c r="U3" t="s">
        <v>12902</v>
      </c>
      <c r="V3" t="s">
        <v>12902</v>
      </c>
      <c r="W3" t="s">
        <v>12905</v>
      </c>
      <c r="X3">
        <v>24</v>
      </c>
      <c r="Y3" t="s">
        <v>19300</v>
      </c>
      <c r="Z3" t="s">
        <v>25578</v>
      </c>
      <c r="AA3">
        <v>0.29549502509817749</v>
      </c>
      <c r="AB3" t="str">
        <f>HYPERLINK("Melting_Curves/meltCurve_A0MZ66_KIAA1598.pdf", "Melting_Curves/meltCurve_A0MZ66_KIAA1598.pdf")</f>
        <v>Melting_Curves/meltCurve_A0MZ66_KIAA1598.pdf</v>
      </c>
    </row>
    <row r="4" spans="1:28" x14ac:dyDescent="0.25">
      <c r="A4" t="s">
        <v>8</v>
      </c>
      <c r="B4">
        <v>0.99673306730245903</v>
      </c>
      <c r="C4">
        <v>0.77676508626139795</v>
      </c>
      <c r="D4">
        <v>0.72329139070746196</v>
      </c>
      <c r="E4">
        <v>0.56706847651206604</v>
      </c>
      <c r="F4">
        <v>0.41783878911351702</v>
      </c>
      <c r="G4">
        <v>0.161435447620981</v>
      </c>
      <c r="H4">
        <v>0.120006085268172</v>
      </c>
      <c r="I4">
        <v>0.12997180397519001</v>
      </c>
      <c r="J4">
        <v>0.16438770969791799</v>
      </c>
      <c r="K4">
        <v>0.154370780315158</v>
      </c>
      <c r="L4">
        <v>577.87606264288604</v>
      </c>
      <c r="M4">
        <v>11.7264677045419</v>
      </c>
      <c r="N4">
        <v>50.084856600404699</v>
      </c>
      <c r="O4">
        <v>47.911986850948999</v>
      </c>
      <c r="P4">
        <v>-5.59455901890391E-2</v>
      </c>
      <c r="Q4">
        <v>8.5911273253316406E-2</v>
      </c>
      <c r="R4">
        <v>0.96903019728129602</v>
      </c>
      <c r="S4" t="s">
        <v>6456</v>
      </c>
      <c r="T4" t="s">
        <v>12902</v>
      </c>
      <c r="U4" t="s">
        <v>12902</v>
      </c>
      <c r="V4" t="s">
        <v>12902</v>
      </c>
      <c r="W4" t="s">
        <v>12906</v>
      </c>
      <c r="X4">
        <v>3</v>
      </c>
      <c r="Y4" t="s">
        <v>19301</v>
      </c>
      <c r="Z4" t="s">
        <v>25579</v>
      </c>
      <c r="AA4">
        <v>0.40294550937535439</v>
      </c>
      <c r="AB4" t="str">
        <f>HYPERLINK("Melting_Curves/meltCurve_A1A5A9_KIAA0999.pdf", "Melting_Curves/meltCurve_A1A5A9_KIAA0999.pdf")</f>
        <v>Melting_Curves/meltCurve_A1A5A9_KIAA0999.pdf</v>
      </c>
    </row>
    <row r="5" spans="1:28" x14ac:dyDescent="0.25">
      <c r="A5" t="s">
        <v>9</v>
      </c>
      <c r="B5">
        <v>0.99673306730245903</v>
      </c>
      <c r="C5">
        <v>0.96260311677395005</v>
      </c>
      <c r="D5">
        <v>0.92366762474569697</v>
      </c>
      <c r="E5">
        <v>0.82579680833957003</v>
      </c>
      <c r="F5">
        <v>0.63082925606414697</v>
      </c>
      <c r="G5">
        <v>0.52960282473783005</v>
      </c>
      <c r="H5">
        <v>0.36864685365177402</v>
      </c>
      <c r="I5">
        <v>0.39656190760513699</v>
      </c>
      <c r="J5">
        <v>0.41017929481028398</v>
      </c>
      <c r="K5">
        <v>0.40363933657751599</v>
      </c>
      <c r="L5">
        <v>875.630192278815</v>
      </c>
      <c r="M5">
        <v>16.7997557915361</v>
      </c>
      <c r="N5">
        <v>56.838970816200401</v>
      </c>
      <c r="O5">
        <v>51.399885099086603</v>
      </c>
      <c r="P5">
        <v>-5.09912606985094E-2</v>
      </c>
      <c r="Q5">
        <v>0.37599683752792401</v>
      </c>
      <c r="R5">
        <v>0.98999814271421205</v>
      </c>
      <c r="S5" t="s">
        <v>6457</v>
      </c>
      <c r="T5" t="s">
        <v>12902</v>
      </c>
      <c r="U5" t="s">
        <v>12902</v>
      </c>
      <c r="V5" t="s">
        <v>12902</v>
      </c>
      <c r="W5" t="s">
        <v>12907</v>
      </c>
      <c r="X5">
        <v>4</v>
      </c>
      <c r="Y5" t="s">
        <v>19302</v>
      </c>
      <c r="Z5" t="s">
        <v>25580</v>
      </c>
      <c r="AA5">
        <v>0.6397529776471631</v>
      </c>
      <c r="AB5" t="str">
        <f>HYPERLINK("Melting_Curves/meltCurve_A1BQX2_MARVELD2.pdf", "Melting_Curves/meltCurve_A1BQX2_MARVELD2.pdf")</f>
        <v>Melting_Curves/meltCurve_A1BQX2_MARVELD2.pdf</v>
      </c>
    </row>
    <row r="6" spans="1:28" x14ac:dyDescent="0.25">
      <c r="A6" t="s">
        <v>10</v>
      </c>
      <c r="B6">
        <v>0.99673306730245903</v>
      </c>
      <c r="C6">
        <v>0.94469937257007597</v>
      </c>
      <c r="D6">
        <v>0.92505862358240198</v>
      </c>
      <c r="E6">
        <v>0.67014909419894897</v>
      </c>
      <c r="F6">
        <v>0.23291274488411101</v>
      </c>
      <c r="G6">
        <v>0.1470136397364</v>
      </c>
      <c r="H6">
        <v>9.3548592490770396E-2</v>
      </c>
      <c r="I6">
        <v>7.6310185883682893E-2</v>
      </c>
      <c r="J6">
        <v>6.47986019540438E-2</v>
      </c>
      <c r="K6">
        <v>5.1865267899984399E-2</v>
      </c>
      <c r="L6">
        <v>1358.4684519336699</v>
      </c>
      <c r="M6">
        <v>26.881369436489202</v>
      </c>
      <c r="N6">
        <v>50.824294321797602</v>
      </c>
      <c r="O6">
        <v>50.258500640052702</v>
      </c>
      <c r="P6">
        <v>-0.12425191657189499</v>
      </c>
      <c r="Q6">
        <v>7.0783659257417794E-2</v>
      </c>
      <c r="R6">
        <v>0.99654165011633</v>
      </c>
      <c r="S6" t="s">
        <v>6458</v>
      </c>
      <c r="T6" t="s">
        <v>12902</v>
      </c>
      <c r="U6" t="s">
        <v>12902</v>
      </c>
      <c r="V6" t="s">
        <v>12902</v>
      </c>
      <c r="W6" t="s">
        <v>12908</v>
      </c>
      <c r="X6">
        <v>14</v>
      </c>
      <c r="Y6" t="s">
        <v>19303</v>
      </c>
      <c r="Z6" t="s">
        <v>25581</v>
      </c>
      <c r="AA6">
        <v>0.40434163004904328</v>
      </c>
      <c r="AB6" t="str">
        <f>HYPERLINK("Melting_Curves/meltCurve_A1L0T0_ILVBL.pdf", "Melting_Curves/meltCurve_A1L0T0_ILVBL.pdf")</f>
        <v>Melting_Curves/meltCurve_A1L0T0_ILVBL.pdf</v>
      </c>
    </row>
    <row r="7" spans="1:28" x14ac:dyDescent="0.25">
      <c r="A7" t="s">
        <v>11</v>
      </c>
      <c r="B7">
        <v>0.99673306730245903</v>
      </c>
      <c r="C7">
        <v>1.0508502685621299</v>
      </c>
      <c r="D7">
        <v>1.0246647782153999</v>
      </c>
      <c r="E7">
        <v>1.04431525775853</v>
      </c>
      <c r="F7">
        <v>0.95643293253222805</v>
      </c>
      <c r="G7">
        <v>0.75311929887262297</v>
      </c>
      <c r="H7">
        <v>0.61315125776852397</v>
      </c>
      <c r="I7">
        <v>0.76757981325607905</v>
      </c>
      <c r="J7">
        <v>0.79945698688051503</v>
      </c>
      <c r="K7">
        <v>0.74041882110027701</v>
      </c>
      <c r="L7">
        <v>3671.1420777507401</v>
      </c>
      <c r="M7">
        <v>67.315515891932407</v>
      </c>
      <c r="O7">
        <v>54.488273496883203</v>
      </c>
      <c r="P7">
        <v>-8.3029522336931505E-2</v>
      </c>
      <c r="Q7">
        <v>0.73116842170375695</v>
      </c>
      <c r="R7">
        <v>0.886205911807048</v>
      </c>
      <c r="S7" t="s">
        <v>6459</v>
      </c>
      <c r="T7" t="s">
        <v>12902</v>
      </c>
      <c r="U7" t="s">
        <v>12902</v>
      </c>
      <c r="V7" t="s">
        <v>12902</v>
      </c>
      <c r="W7" t="s">
        <v>12909</v>
      </c>
      <c r="X7">
        <v>1</v>
      </c>
      <c r="Y7" t="s">
        <v>19304</v>
      </c>
      <c r="Z7" t="s">
        <v>25582</v>
      </c>
      <c r="AA7">
        <v>0.86178525086350821</v>
      </c>
      <c r="AB7" t="str">
        <f>HYPERLINK("Melting_Curves/meltCurve_A1L188_C17orf89.pdf", "Melting_Curves/meltCurve_A1L188_C17orf89.pdf")</f>
        <v>Melting_Curves/meltCurve_A1L188_C17orf89.pdf</v>
      </c>
    </row>
    <row r="8" spans="1:28" x14ac:dyDescent="0.25">
      <c r="A8" t="s">
        <v>12</v>
      </c>
      <c r="B8">
        <v>0.99673306730245903</v>
      </c>
      <c r="C8">
        <v>0.946908310646983</v>
      </c>
      <c r="D8">
        <v>0.66145222845093898</v>
      </c>
      <c r="E8">
        <v>0.31176369664292503</v>
      </c>
      <c r="F8">
        <v>0.213942151748061</v>
      </c>
      <c r="G8">
        <v>0.124530348688487</v>
      </c>
      <c r="H8">
        <v>8.6020373747586004E-2</v>
      </c>
      <c r="I8">
        <v>8.4839001563031799E-2</v>
      </c>
      <c r="J8">
        <v>8.5261719034163394E-2</v>
      </c>
      <c r="K8">
        <v>6.21222077864775E-2</v>
      </c>
      <c r="L8">
        <v>1022.44120940073</v>
      </c>
      <c r="M8">
        <v>21.6201889010093</v>
      </c>
      <c r="N8">
        <v>47.713974196004898</v>
      </c>
      <c r="O8">
        <v>46.892030576917499</v>
      </c>
      <c r="P8">
        <v>-0.105217013642552</v>
      </c>
      <c r="Q8">
        <v>8.7201052444581498E-2</v>
      </c>
      <c r="R8">
        <v>0.99531219099706303</v>
      </c>
      <c r="S8" t="s">
        <v>6460</v>
      </c>
      <c r="T8" t="s">
        <v>12902</v>
      </c>
      <c r="U8" t="s">
        <v>12902</v>
      </c>
      <c r="V8" t="s">
        <v>12902</v>
      </c>
      <c r="W8" t="s">
        <v>12910</v>
      </c>
      <c r="X8">
        <v>3</v>
      </c>
      <c r="Y8" t="s">
        <v>19305</v>
      </c>
      <c r="Z8" t="s">
        <v>25583</v>
      </c>
      <c r="AA8">
        <v>0.32018986396564142</v>
      </c>
      <c r="AB8" t="str">
        <f>HYPERLINK("Melting_Curves/meltCurve_A1X283_SH3PXD2B.pdf", "Melting_Curves/meltCurve_A1X283_SH3PXD2B.pdf")</f>
        <v>Melting_Curves/meltCurve_A1X283_SH3PXD2B.pdf</v>
      </c>
    </row>
    <row r="9" spans="1:28" x14ac:dyDescent="0.25">
      <c r="A9" t="s">
        <v>13</v>
      </c>
      <c r="B9">
        <v>0.99673306730245903</v>
      </c>
      <c r="C9">
        <v>1.00936413958243</v>
      </c>
      <c r="D9">
        <v>0.79039218141944501</v>
      </c>
      <c r="E9">
        <v>0.80908689160639502</v>
      </c>
      <c r="F9">
        <v>0.184291788309489</v>
      </c>
      <c r="G9">
        <v>0.118826061088635</v>
      </c>
      <c r="H9">
        <v>6.8887271956393895E-2</v>
      </c>
      <c r="I9">
        <v>6.1040017313353297E-2</v>
      </c>
      <c r="J9">
        <v>7.12194846268389E-2</v>
      </c>
      <c r="K9">
        <v>6.9434919242660903E-2</v>
      </c>
      <c r="L9">
        <v>2150.8316016990998</v>
      </c>
      <c r="M9">
        <v>42.177561476387702</v>
      </c>
      <c r="N9">
        <v>51.1823838840238</v>
      </c>
      <c r="O9">
        <v>50.880433032089798</v>
      </c>
      <c r="P9">
        <v>-0.19239037997071601</v>
      </c>
      <c r="Q9">
        <v>7.1649186365066203E-2</v>
      </c>
      <c r="R9">
        <v>0.97341179543561396</v>
      </c>
      <c r="S9" t="s">
        <v>6461</v>
      </c>
      <c r="T9" t="s">
        <v>12902</v>
      </c>
      <c r="U9" t="s">
        <v>12902</v>
      </c>
      <c r="V9" t="s">
        <v>12902</v>
      </c>
      <c r="W9" t="s">
        <v>12911</v>
      </c>
      <c r="X9">
        <v>48</v>
      </c>
      <c r="Y9" t="s">
        <v>19306</v>
      </c>
      <c r="Z9" t="s">
        <v>25584</v>
      </c>
      <c r="AA9">
        <v>0.41482090349429329</v>
      </c>
      <c r="AB9" t="str">
        <f>HYPERLINK("Melting_Curves/meltCurve_A2A274_ACO2.pdf", "Melting_Curves/meltCurve_A2A274_ACO2.pdf")</f>
        <v>Melting_Curves/meltCurve_A2A274_ACO2.pdf</v>
      </c>
    </row>
    <row r="10" spans="1:28" x14ac:dyDescent="0.25">
      <c r="A10" t="s">
        <v>14</v>
      </c>
      <c r="B10">
        <v>0.99673306730245903</v>
      </c>
      <c r="C10">
        <v>0.87866922268666303</v>
      </c>
      <c r="D10">
        <v>0.69695011060239098</v>
      </c>
      <c r="E10">
        <v>0.68911366928863405</v>
      </c>
      <c r="F10">
        <v>0.44924398743791499</v>
      </c>
      <c r="G10">
        <v>0.27888141887850099</v>
      </c>
      <c r="H10">
        <v>0.15364856513151301</v>
      </c>
      <c r="I10">
        <v>0.122247794818621</v>
      </c>
      <c r="J10">
        <v>0.113715304197126</v>
      </c>
      <c r="K10">
        <v>7.9497381612492299E-2</v>
      </c>
      <c r="L10">
        <v>518.76516765419899</v>
      </c>
      <c r="M10">
        <v>9.9998846073166892</v>
      </c>
      <c r="N10">
        <v>51.877106866231898</v>
      </c>
      <c r="O10">
        <v>49.930507062571998</v>
      </c>
      <c r="P10">
        <v>-5.0093365713296298E-2</v>
      </c>
      <c r="Q10">
        <v>0</v>
      </c>
      <c r="R10">
        <v>0.98383579460506898</v>
      </c>
      <c r="S10" t="s">
        <v>6462</v>
      </c>
      <c r="T10" t="s">
        <v>12902</v>
      </c>
      <c r="U10" t="s">
        <v>12902</v>
      </c>
      <c r="V10" t="s">
        <v>12902</v>
      </c>
      <c r="W10" t="s">
        <v>12912</v>
      </c>
      <c r="X10">
        <v>2</v>
      </c>
      <c r="Y10" t="s">
        <v>19307</v>
      </c>
      <c r="Z10" t="s">
        <v>25585</v>
      </c>
      <c r="AA10">
        <v>0.43432113436493558</v>
      </c>
      <c r="AB10" t="str">
        <f>HYPERLINK("Melting_Curves/meltCurve_A2A2Q9_AAR2.pdf", "Melting_Curves/meltCurve_A2A2Q9_AAR2.pdf")</f>
        <v>Melting_Curves/meltCurve_A2A2Q9_AAR2.pdf</v>
      </c>
    </row>
    <row r="11" spans="1:28" x14ac:dyDescent="0.25">
      <c r="A11" t="s">
        <v>15</v>
      </c>
      <c r="B11">
        <v>0.99673306730245903</v>
      </c>
      <c r="C11">
        <v>0.94049278012538295</v>
      </c>
      <c r="D11">
        <v>0.84907913108587796</v>
      </c>
      <c r="E11">
        <v>0.72559900563947699</v>
      </c>
      <c r="F11">
        <v>0.57517590195828106</v>
      </c>
      <c r="G11">
        <v>0.45988777351191501</v>
      </c>
      <c r="H11">
        <v>0.36389124555873698</v>
      </c>
      <c r="I11">
        <v>0.48985817153203098</v>
      </c>
      <c r="J11">
        <v>0.69652599087572598</v>
      </c>
      <c r="K11">
        <v>0.63484029627168703</v>
      </c>
      <c r="L11">
        <v>1057.55269128446</v>
      </c>
      <c r="M11">
        <v>22.0536974942952</v>
      </c>
      <c r="O11">
        <v>47.564471549083997</v>
      </c>
      <c r="P11">
        <v>-5.4551490239687701E-2</v>
      </c>
      <c r="Q11">
        <v>0.52939312196014898</v>
      </c>
      <c r="R11">
        <v>0.79985867452757498</v>
      </c>
      <c r="S11" t="s">
        <v>6463</v>
      </c>
      <c r="T11" t="s">
        <v>12902</v>
      </c>
      <c r="U11" t="s">
        <v>12902</v>
      </c>
      <c r="V11" t="s">
        <v>12902</v>
      </c>
      <c r="W11" t="s">
        <v>12913</v>
      </c>
      <c r="X11">
        <v>1</v>
      </c>
      <c r="Y11" t="s">
        <v>19308</v>
      </c>
      <c r="Z11" t="s">
        <v>25586</v>
      </c>
      <c r="AA11">
        <v>0.65959487861028288</v>
      </c>
      <c r="AB11" t="str">
        <f>HYPERLINK("Melting_Curves/meltCurve_A2A2V4_VEGFA.pdf", "Melting_Curves/meltCurve_A2A2V4_VEGFA.pdf")</f>
        <v>Melting_Curves/meltCurve_A2A2V4_VEGFA.pdf</v>
      </c>
    </row>
    <row r="12" spans="1:28" x14ac:dyDescent="0.25">
      <c r="A12" t="s">
        <v>16</v>
      </c>
      <c r="B12">
        <v>0.99673306730245903</v>
      </c>
      <c r="C12">
        <v>1.06988261698139</v>
      </c>
      <c r="D12">
        <v>0.97206408267647004</v>
      </c>
      <c r="E12">
        <v>0.88070054555792898</v>
      </c>
      <c r="F12">
        <v>1.1715859273905</v>
      </c>
      <c r="G12">
        <v>1.2631424486319101</v>
      </c>
      <c r="H12">
        <v>0.73875461509524198</v>
      </c>
      <c r="I12">
        <v>0.98546857996381498</v>
      </c>
      <c r="J12">
        <v>0.165108133700231</v>
      </c>
      <c r="K12">
        <v>4.9645414128158802E-2</v>
      </c>
      <c r="L12">
        <v>8449.2559642578799</v>
      </c>
      <c r="M12">
        <v>127.89180143350301</v>
      </c>
      <c r="N12">
        <v>66.118870035287699</v>
      </c>
      <c r="O12">
        <v>66.049507581616098</v>
      </c>
      <c r="P12">
        <v>-0.46040707201501302</v>
      </c>
      <c r="Q12">
        <v>4.8894160716640302E-2</v>
      </c>
      <c r="R12">
        <v>0.87510359177645403</v>
      </c>
      <c r="S12" t="s">
        <v>6464</v>
      </c>
      <c r="T12" t="s">
        <v>12902</v>
      </c>
      <c r="U12" t="s">
        <v>12902</v>
      </c>
      <c r="V12" t="s">
        <v>12902</v>
      </c>
      <c r="W12" t="s">
        <v>12914</v>
      </c>
      <c r="X12">
        <v>2</v>
      </c>
      <c r="Y12" t="s">
        <v>19309</v>
      </c>
      <c r="Z12" t="s">
        <v>25587</v>
      </c>
      <c r="AA12">
        <v>0.87567498673094557</v>
      </c>
      <c r="AB12" t="str">
        <f>HYPERLINK("Melting_Curves/meltCurve_A2A2Y4_5_FRMD3.pdf", "Melting_Curves/meltCurve_A2A2Y4_5_FRMD3.pdf")</f>
        <v>Melting_Curves/meltCurve_A2A2Y4_5_FRMD3.pdf</v>
      </c>
    </row>
    <row r="13" spans="1:28" x14ac:dyDescent="0.25">
      <c r="A13" t="s">
        <v>17</v>
      </c>
      <c r="B13">
        <v>0.99673306730245903</v>
      </c>
      <c r="C13">
        <v>0.92395984748636695</v>
      </c>
      <c r="D13">
        <v>0.88605175063158603</v>
      </c>
      <c r="E13">
        <v>0.64316803705741199</v>
      </c>
      <c r="F13">
        <v>0.46206176678895999</v>
      </c>
      <c r="G13">
        <v>0.24801952523970799</v>
      </c>
      <c r="H13">
        <v>9.9601450034656994E-2</v>
      </c>
      <c r="I13">
        <v>8.9837232176879403E-2</v>
      </c>
      <c r="J13">
        <v>0.106906587471731</v>
      </c>
      <c r="K13">
        <v>0.110619412186994</v>
      </c>
      <c r="L13">
        <v>780.23248655252905</v>
      </c>
      <c r="M13">
        <v>15.13152748353</v>
      </c>
      <c r="N13">
        <v>52.021001251466799</v>
      </c>
      <c r="O13">
        <v>50.687912295060897</v>
      </c>
      <c r="P13">
        <v>-6.9986867095121599E-2</v>
      </c>
      <c r="Q13">
        <v>6.2317240252157499E-2</v>
      </c>
      <c r="R13">
        <v>0.99413620849106199</v>
      </c>
      <c r="S13" t="s">
        <v>6465</v>
      </c>
      <c r="T13" t="s">
        <v>12902</v>
      </c>
      <c r="U13" t="s">
        <v>12902</v>
      </c>
      <c r="V13" t="s">
        <v>12902</v>
      </c>
      <c r="W13" t="s">
        <v>12915</v>
      </c>
      <c r="X13">
        <v>12</v>
      </c>
      <c r="Y13" t="s">
        <v>19310</v>
      </c>
      <c r="Z13" t="s">
        <v>25588</v>
      </c>
      <c r="AA13">
        <v>0.44472564205571152</v>
      </c>
      <c r="AB13" t="str">
        <f>HYPERLINK("Melting_Curves/meltCurve_A2AEA2_HLA_C.pdf", "Melting_Curves/meltCurve_A2AEA2_HLA_C.pdf")</f>
        <v>Melting_Curves/meltCurve_A2AEA2_HLA_C.pdf</v>
      </c>
    </row>
    <row r="14" spans="1:28" x14ac:dyDescent="0.25">
      <c r="A14" t="s">
        <v>18</v>
      </c>
      <c r="B14">
        <v>0.99673306730245903</v>
      </c>
      <c r="C14">
        <v>1.0202988403883699</v>
      </c>
      <c r="D14">
        <v>1.0139219415413601</v>
      </c>
      <c r="E14">
        <v>0.911651474734959</v>
      </c>
      <c r="F14">
        <v>0.83302240162315999</v>
      </c>
      <c r="G14">
        <v>0.671377467848985</v>
      </c>
      <c r="H14">
        <v>0.49979418597840197</v>
      </c>
      <c r="I14">
        <v>0.49252907830953202</v>
      </c>
      <c r="J14">
        <v>0.33215545662151802</v>
      </c>
      <c r="K14">
        <v>0.30036750458031902</v>
      </c>
      <c r="L14">
        <v>715.14693135384596</v>
      </c>
      <c r="M14">
        <v>12.1792030816676</v>
      </c>
      <c r="N14">
        <v>61.553329628906504</v>
      </c>
      <c r="O14">
        <v>57.202928049730502</v>
      </c>
      <c r="P14">
        <v>-4.1812461038282803E-2</v>
      </c>
      <c r="Q14">
        <v>0.214644352669143</v>
      </c>
      <c r="R14">
        <v>0.98791404733576305</v>
      </c>
      <c r="S14" t="s">
        <v>6466</v>
      </c>
      <c r="T14" t="s">
        <v>12902</v>
      </c>
      <c r="U14" t="s">
        <v>12902</v>
      </c>
      <c r="V14" t="s">
        <v>12902</v>
      </c>
      <c r="W14" t="s">
        <v>12916</v>
      </c>
      <c r="X14">
        <v>1</v>
      </c>
      <c r="Y14" t="s">
        <v>19311</v>
      </c>
      <c r="Z14" t="s">
        <v>25589</v>
      </c>
      <c r="AA14">
        <v>0.71218357110686559</v>
      </c>
      <c r="AB14" t="str">
        <f>HYPERLINK("Melting_Curves/meltCurve_A2BF36_HLA_DQB1.pdf", "Melting_Curves/meltCurve_A2BF36_HLA_DQB1.pdf")</f>
        <v>Melting_Curves/meltCurve_A2BF36_HLA_DQB1.pdf</v>
      </c>
    </row>
    <row r="15" spans="1:28" x14ac:dyDescent="0.25">
      <c r="A15" t="s">
        <v>19</v>
      </c>
      <c r="B15">
        <v>0.99673306730245903</v>
      </c>
      <c r="C15">
        <v>0.97917505017332396</v>
      </c>
      <c r="D15">
        <v>0.97438981355359</v>
      </c>
      <c r="E15">
        <v>0.90268926139827799</v>
      </c>
      <c r="F15">
        <v>0.60397781676404905</v>
      </c>
      <c r="G15">
        <v>0.37843049642634102</v>
      </c>
      <c r="H15">
        <v>0.181509540867589</v>
      </c>
      <c r="I15">
        <v>0.14351832113642399</v>
      </c>
      <c r="J15">
        <v>0.17406463607307299</v>
      </c>
      <c r="K15">
        <v>0.16106837030172999</v>
      </c>
      <c r="L15">
        <v>1191.6864683650199</v>
      </c>
      <c r="M15">
        <v>22.1493039218871</v>
      </c>
      <c r="N15">
        <v>54.641920312019799</v>
      </c>
      <c r="O15">
        <v>53.369630323950403</v>
      </c>
      <c r="P15">
        <v>-8.8793005425697694E-2</v>
      </c>
      <c r="Q15">
        <v>0.14421747007487101</v>
      </c>
      <c r="R15">
        <v>0.99708788214280397</v>
      </c>
      <c r="S15" t="s">
        <v>6467</v>
      </c>
      <c r="T15" t="s">
        <v>12902</v>
      </c>
      <c r="U15" t="s">
        <v>12902</v>
      </c>
      <c r="V15" t="s">
        <v>12902</v>
      </c>
      <c r="W15" t="s">
        <v>12917</v>
      </c>
      <c r="X15">
        <v>6</v>
      </c>
      <c r="Y15" t="s">
        <v>19312</v>
      </c>
      <c r="Z15" t="s">
        <v>25590</v>
      </c>
      <c r="AA15">
        <v>0.54777067969979543</v>
      </c>
      <c r="AB15" t="str">
        <f>HYPERLINK("Melting_Curves/meltCurve_A2RUC4_TYW5.pdf", "Melting_Curves/meltCurve_A2RUC4_TYW5.pdf")</f>
        <v>Melting_Curves/meltCurve_A2RUC4_TYW5.pdf</v>
      </c>
    </row>
    <row r="16" spans="1:28" x14ac:dyDescent="0.25">
      <c r="A16" t="s">
        <v>20</v>
      </c>
      <c r="B16">
        <v>0.99673306730245903</v>
      </c>
      <c r="C16">
        <v>1.0930304652406699</v>
      </c>
      <c r="D16">
        <v>0.54996508900554897</v>
      </c>
      <c r="E16">
        <v>0.84248855818398505</v>
      </c>
      <c r="F16">
        <v>0.249636617811103</v>
      </c>
      <c r="G16">
        <v>0.15905650745000599</v>
      </c>
      <c r="H16">
        <v>8.1268029541255504E-2</v>
      </c>
      <c r="I16">
        <v>7.4388470917841398E-2</v>
      </c>
      <c r="J16">
        <v>7.0877110862581194E-2</v>
      </c>
      <c r="K16">
        <v>6.3555361702526098E-2</v>
      </c>
      <c r="L16">
        <v>787.82716099670699</v>
      </c>
      <c r="M16">
        <v>15.5186394898213</v>
      </c>
      <c r="N16">
        <v>50.964734288361598</v>
      </c>
      <c r="O16">
        <v>49.945932579030803</v>
      </c>
      <c r="P16">
        <v>-7.5408735350994904E-2</v>
      </c>
      <c r="Q16">
        <v>2.9289492654112299E-2</v>
      </c>
      <c r="R16">
        <v>0.88849692527624902</v>
      </c>
      <c r="S16" t="s">
        <v>6468</v>
      </c>
      <c r="T16" t="s">
        <v>12902</v>
      </c>
      <c r="U16" t="s">
        <v>12902</v>
      </c>
      <c r="V16" t="s">
        <v>12902</v>
      </c>
      <c r="W16" t="s">
        <v>12918</v>
      </c>
      <c r="X16">
        <v>22</v>
      </c>
      <c r="Y16" t="s">
        <v>19313</v>
      </c>
      <c r="Z16" t="s">
        <v>25591</v>
      </c>
      <c r="AA16">
        <v>0.39898892707286782</v>
      </c>
      <c r="AB16" t="str">
        <f>HYPERLINK("Melting_Curves/meltCurve_A3KN83_2_SBNO1.pdf", "Melting_Curves/meltCurve_A3KN83_2_SBNO1.pdf")</f>
        <v>Melting_Curves/meltCurve_A3KN83_2_SBNO1.pdf</v>
      </c>
    </row>
    <row r="17" spans="1:28" x14ac:dyDescent="0.25">
      <c r="A17" t="s">
        <v>21</v>
      </c>
      <c r="B17">
        <v>0.99673306730245903</v>
      </c>
      <c r="C17">
        <v>1.0450446010068499</v>
      </c>
      <c r="D17">
        <v>2.24313897170823</v>
      </c>
      <c r="E17">
        <v>0.77040091366615904</v>
      </c>
      <c r="F17">
        <v>5.6670138767599303</v>
      </c>
      <c r="G17">
        <v>0.51573144998468401</v>
      </c>
      <c r="H17">
        <v>0.18130291644596699</v>
      </c>
      <c r="I17">
        <v>0.119010096956984</v>
      </c>
      <c r="J17">
        <v>9.2844297018043198E-2</v>
      </c>
      <c r="K17">
        <v>0.125592255389983</v>
      </c>
      <c r="L17">
        <v>14187.1244404304</v>
      </c>
      <c r="M17">
        <v>250</v>
      </c>
      <c r="N17">
        <v>56.816737870320502</v>
      </c>
      <c r="O17">
        <v>56.744866259817798</v>
      </c>
      <c r="P17">
        <v>-0.95858089916014799</v>
      </c>
      <c r="Q17">
        <v>0.12968728265903101</v>
      </c>
      <c r="R17">
        <v>0.11220741948143</v>
      </c>
      <c r="S17" t="s">
        <v>6469</v>
      </c>
      <c r="T17" t="s">
        <v>12902</v>
      </c>
      <c r="U17" t="s">
        <v>12902</v>
      </c>
      <c r="V17" t="s">
        <v>12902</v>
      </c>
      <c r="W17" t="s">
        <v>12919</v>
      </c>
      <c r="X17">
        <v>1</v>
      </c>
      <c r="Y17" t="s">
        <v>19314</v>
      </c>
      <c r="Z17" t="s">
        <v>25592</v>
      </c>
      <c r="AA17">
        <v>0.61565497942492919</v>
      </c>
      <c r="AB17" t="str">
        <f>HYPERLINK("Melting_Curves/meltCurve_A4D126_ISPD.pdf", "Melting_Curves/meltCurve_A4D126_ISPD.pdf")</f>
        <v>Melting_Curves/meltCurve_A4D126_ISPD.pdf</v>
      </c>
    </row>
    <row r="18" spans="1:28" x14ac:dyDescent="0.25">
      <c r="A18" t="s">
        <v>22</v>
      </c>
      <c r="B18">
        <v>0.99673306730245903</v>
      </c>
      <c r="C18">
        <v>0.99426849254685601</v>
      </c>
      <c r="D18">
        <v>0.90659185076392101</v>
      </c>
      <c r="E18">
        <v>0.61071701409780099</v>
      </c>
      <c r="F18">
        <v>0.41831049932996001</v>
      </c>
      <c r="G18">
        <v>0.296919109642795</v>
      </c>
      <c r="H18">
        <v>0.20189135886741799</v>
      </c>
      <c r="I18">
        <v>0.140509156300306</v>
      </c>
      <c r="J18">
        <v>6.2152842598893698E-2</v>
      </c>
      <c r="K18">
        <v>0.10735310015556</v>
      </c>
      <c r="L18">
        <v>772.38681545255997</v>
      </c>
      <c r="M18">
        <v>15.0433080412556</v>
      </c>
      <c r="N18">
        <v>52.019539893169103</v>
      </c>
      <c r="O18">
        <v>50.462535393155399</v>
      </c>
      <c r="P18">
        <v>-6.7923079592774604E-2</v>
      </c>
      <c r="Q18">
        <v>8.8703517291482001E-2</v>
      </c>
      <c r="R18">
        <v>0.99122283325400395</v>
      </c>
      <c r="S18" t="s">
        <v>6470</v>
      </c>
      <c r="T18" t="s">
        <v>12902</v>
      </c>
      <c r="U18" t="s">
        <v>12902</v>
      </c>
      <c r="V18" t="s">
        <v>12902</v>
      </c>
      <c r="W18" t="s">
        <v>12920</v>
      </c>
      <c r="X18">
        <v>1</v>
      </c>
      <c r="Y18" t="s">
        <v>19315</v>
      </c>
      <c r="Z18" t="s">
        <v>25593</v>
      </c>
      <c r="AA18">
        <v>0.45403035977998291</v>
      </c>
      <c r="AB18" t="str">
        <f>HYPERLINK("Melting_Curves/meltCurve_A4D161_2_FAM221A.pdf", "Melting_Curves/meltCurve_A4D161_2_FAM221A.pdf")</f>
        <v>Melting_Curves/meltCurve_A4D161_2_FAM221A.pdf</v>
      </c>
    </row>
    <row r="19" spans="1:28" x14ac:dyDescent="0.25">
      <c r="A19" t="s">
        <v>23</v>
      </c>
      <c r="B19">
        <v>0.99673306730245903</v>
      </c>
      <c r="C19">
        <v>0.92475869018086798</v>
      </c>
      <c r="D19">
        <v>0.70960888177229697</v>
      </c>
      <c r="E19">
        <v>0.25321902690604697</v>
      </c>
      <c r="F19">
        <v>0.12314523731411101</v>
      </c>
      <c r="G19">
        <v>7.3542434395430498E-2</v>
      </c>
      <c r="H19">
        <v>4.5540393058141802E-2</v>
      </c>
      <c r="I19">
        <v>4.4265593043154403E-2</v>
      </c>
      <c r="J19">
        <v>5.1135874111923899E-2</v>
      </c>
      <c r="K19">
        <v>5.59094794363863E-2</v>
      </c>
      <c r="L19">
        <v>1246.3206655864601</v>
      </c>
      <c r="M19">
        <v>26.340455329883699</v>
      </c>
      <c r="N19">
        <v>47.517902561198397</v>
      </c>
      <c r="O19">
        <v>47.045659763146503</v>
      </c>
      <c r="P19">
        <v>-0.13255744795595001</v>
      </c>
      <c r="Q19">
        <v>5.2987922562891601E-2</v>
      </c>
      <c r="R19">
        <v>0.99892442331298004</v>
      </c>
      <c r="S19" t="s">
        <v>6471</v>
      </c>
      <c r="T19" t="s">
        <v>12902</v>
      </c>
      <c r="U19" t="s">
        <v>12902</v>
      </c>
      <c r="V19" t="s">
        <v>12902</v>
      </c>
      <c r="W19" t="s">
        <v>12921</v>
      </c>
      <c r="X19">
        <v>5</v>
      </c>
      <c r="Y19" t="s">
        <v>19316</v>
      </c>
      <c r="Z19" t="s">
        <v>25594</v>
      </c>
      <c r="AA19">
        <v>0.291437179204659</v>
      </c>
      <c r="AB19" t="str">
        <f>HYPERLINK("Melting_Curves/meltCurve_A4D1E9_GTPBP10.pdf", "Melting_Curves/meltCurve_A4D1E9_GTPBP10.pdf")</f>
        <v>Melting_Curves/meltCurve_A4D1E9_GTPBP10.pdf</v>
      </c>
    </row>
    <row r="20" spans="1:28" x14ac:dyDescent="0.25">
      <c r="A20" t="s">
        <v>24</v>
      </c>
      <c r="B20">
        <v>0.99673306730245903</v>
      </c>
      <c r="C20">
        <v>0.949168810827696</v>
      </c>
      <c r="D20">
        <v>0.95937215736526504</v>
      </c>
      <c r="E20">
        <v>0.80837163427396797</v>
      </c>
      <c r="F20">
        <v>0.70592154437356103</v>
      </c>
      <c r="G20">
        <v>0.60766964096008602</v>
      </c>
      <c r="H20">
        <v>0.55992504130443999</v>
      </c>
      <c r="I20">
        <v>0.75266040413157898</v>
      </c>
      <c r="J20">
        <v>0.85398582358597697</v>
      </c>
      <c r="K20">
        <v>0.74093432431327</v>
      </c>
      <c r="L20">
        <v>1736.06060137344</v>
      </c>
      <c r="M20">
        <v>35.726278736155599</v>
      </c>
      <c r="O20">
        <v>48.4418830906178</v>
      </c>
      <c r="P20">
        <v>-5.4936313425821601E-2</v>
      </c>
      <c r="Q20">
        <v>0.70204455446601299</v>
      </c>
      <c r="R20">
        <v>0.70131086386427699</v>
      </c>
      <c r="S20" t="s">
        <v>6472</v>
      </c>
      <c r="T20" t="s">
        <v>12902</v>
      </c>
      <c r="U20" t="s">
        <v>12902</v>
      </c>
      <c r="V20" t="s">
        <v>12902</v>
      </c>
      <c r="W20" t="s">
        <v>12922</v>
      </c>
      <c r="X20">
        <v>8</v>
      </c>
      <c r="Y20" t="s">
        <v>19317</v>
      </c>
      <c r="Z20" t="s">
        <v>25595</v>
      </c>
      <c r="AA20">
        <v>0.78865398557779376</v>
      </c>
      <c r="AB20" t="str">
        <f>HYPERLINK("Melting_Curves/meltCurve_A4D1S0_KLRG2.pdf", "Melting_Curves/meltCurve_A4D1S0_KLRG2.pdf")</f>
        <v>Melting_Curves/meltCurve_A4D1S0_KLRG2.pdf</v>
      </c>
    </row>
    <row r="21" spans="1:28" x14ac:dyDescent="0.25">
      <c r="A21" t="s">
        <v>25</v>
      </c>
      <c r="B21">
        <v>0.99673306730245903</v>
      </c>
      <c r="C21">
        <v>1.15398806518508</v>
      </c>
      <c r="D21">
        <v>1.06029814249497</v>
      </c>
      <c r="E21">
        <v>0.98221196784784803</v>
      </c>
      <c r="F21">
        <v>0.71116022596885098</v>
      </c>
      <c r="G21">
        <v>0.408424189336902</v>
      </c>
      <c r="H21">
        <v>0.169633131549736</v>
      </c>
      <c r="I21">
        <v>0.115007203765737</v>
      </c>
      <c r="J21">
        <v>8.4942384446414401E-2</v>
      </c>
      <c r="K21">
        <v>7.84252922129344E-2</v>
      </c>
      <c r="L21">
        <v>1349.50205044065</v>
      </c>
      <c r="M21">
        <v>24.418073802432598</v>
      </c>
      <c r="N21">
        <v>55.654016270897301</v>
      </c>
      <c r="O21">
        <v>54.899850943148699</v>
      </c>
      <c r="P21">
        <v>-0.10250295100693101</v>
      </c>
      <c r="Q21">
        <v>7.8172391095548299E-2</v>
      </c>
      <c r="R21">
        <v>0.98296840409526698</v>
      </c>
      <c r="S21" t="s">
        <v>6473</v>
      </c>
      <c r="T21" t="s">
        <v>12902</v>
      </c>
      <c r="U21" t="s">
        <v>12902</v>
      </c>
      <c r="V21" t="s">
        <v>12902</v>
      </c>
      <c r="W21" t="s">
        <v>12923</v>
      </c>
      <c r="X21">
        <v>4</v>
      </c>
      <c r="Y21" t="s">
        <v>19318</v>
      </c>
      <c r="Z21" t="s">
        <v>25596</v>
      </c>
      <c r="AA21">
        <v>0.55614554455390697</v>
      </c>
      <c r="AB21" t="str">
        <f>HYPERLINK("Melting_Curves/meltCurve_A4D1U4_LCHN.pdf", "Melting_Curves/meltCurve_A4D1U4_LCHN.pdf")</f>
        <v>Melting_Curves/meltCurve_A4D1U4_LCHN.pdf</v>
      </c>
    </row>
    <row r="22" spans="1:28" x14ac:dyDescent="0.25">
      <c r="A22" t="s">
        <v>26</v>
      </c>
      <c r="B22">
        <v>0.99673306730245903</v>
      </c>
      <c r="C22">
        <v>0.89455986808589505</v>
      </c>
      <c r="D22">
        <v>0.75215318613354298</v>
      </c>
      <c r="E22">
        <v>0.43648795910474603</v>
      </c>
      <c r="F22">
        <v>0.19981365574211199</v>
      </c>
      <c r="G22">
        <v>0.12911867332239599</v>
      </c>
      <c r="H22">
        <v>7.7976540338529202E-2</v>
      </c>
      <c r="I22">
        <v>0.10409905511399301</v>
      </c>
      <c r="J22">
        <v>7.5484839780079901E-2</v>
      </c>
      <c r="K22">
        <v>0.18362432163012299</v>
      </c>
      <c r="L22">
        <v>971.78408574404295</v>
      </c>
      <c r="M22">
        <v>20.1915552605222</v>
      </c>
      <c r="N22">
        <v>48.671531945361799</v>
      </c>
      <c r="O22">
        <v>47.6636415165177</v>
      </c>
      <c r="P22">
        <v>-9.5223662418803007E-2</v>
      </c>
      <c r="Q22">
        <v>0.10089878639754001</v>
      </c>
      <c r="R22">
        <v>0.99092853816011295</v>
      </c>
      <c r="S22" t="s">
        <v>6474</v>
      </c>
      <c r="T22" t="s">
        <v>12902</v>
      </c>
      <c r="U22" t="s">
        <v>12902</v>
      </c>
      <c r="V22" t="s">
        <v>12902</v>
      </c>
      <c r="W22" t="s">
        <v>12924</v>
      </c>
      <c r="X22">
        <v>9</v>
      </c>
      <c r="Y22" t="s">
        <v>19319</v>
      </c>
      <c r="Z22" t="s">
        <v>25597</v>
      </c>
      <c r="AA22">
        <v>0.35699393860365558</v>
      </c>
      <c r="AB22" t="str">
        <f>HYPERLINK("Melting_Curves/meltCurve_A4D212_DKFZP586J0619.pdf", "Melting_Curves/meltCurve_A4D212_DKFZP586J0619.pdf")</f>
        <v>Melting_Curves/meltCurve_A4D212_DKFZP586J0619.pdf</v>
      </c>
    </row>
    <row r="23" spans="1:28" x14ac:dyDescent="0.25">
      <c r="A23" t="s">
        <v>27</v>
      </c>
      <c r="B23">
        <v>0.99673306730245903</v>
      </c>
      <c r="C23">
        <v>0.92439039002129597</v>
      </c>
      <c r="D23">
        <v>0.92746570347063095</v>
      </c>
      <c r="E23">
        <v>0.70320397023414305</v>
      </c>
      <c r="F23">
        <v>0.52314498308649304</v>
      </c>
      <c r="G23">
        <v>0.40970953993398301</v>
      </c>
      <c r="H23">
        <v>0.31638939112796299</v>
      </c>
      <c r="I23">
        <v>0.32468974246926002</v>
      </c>
      <c r="J23">
        <v>0.33099886639781401</v>
      </c>
      <c r="K23">
        <v>0.33749573128758598</v>
      </c>
      <c r="L23">
        <v>894.82504631432096</v>
      </c>
      <c r="M23">
        <v>17.6988770013715</v>
      </c>
      <c r="N23">
        <v>53.561776022108603</v>
      </c>
      <c r="O23">
        <v>49.926110500455003</v>
      </c>
      <c r="P23">
        <v>-6.0740943015690503E-2</v>
      </c>
      <c r="Q23">
        <v>0.31466858275679999</v>
      </c>
      <c r="R23">
        <v>0.99330624012151802</v>
      </c>
      <c r="S23" t="s">
        <v>6475</v>
      </c>
      <c r="T23" t="s">
        <v>12902</v>
      </c>
      <c r="U23" t="s">
        <v>12902</v>
      </c>
      <c r="V23" t="s">
        <v>12902</v>
      </c>
      <c r="W23" t="s">
        <v>12925</v>
      </c>
      <c r="X23">
        <v>3</v>
      </c>
      <c r="Y23" t="s">
        <v>19320</v>
      </c>
      <c r="Z23" t="s">
        <v>25598</v>
      </c>
      <c r="AA23">
        <v>0.56783942329280823</v>
      </c>
      <c r="AB23" t="str">
        <f>HYPERLINK("Melting_Curves/meltCurve_A4D2B0_MBLAC1.pdf", "Melting_Curves/meltCurve_A4D2B0_MBLAC1.pdf")</f>
        <v>Melting_Curves/meltCurve_A4D2B0_MBLAC1.pdf</v>
      </c>
    </row>
    <row r="24" spans="1:28" x14ac:dyDescent="0.25">
      <c r="A24" t="s">
        <v>28</v>
      </c>
      <c r="B24">
        <v>0.99673306730245903</v>
      </c>
      <c r="C24">
        <v>0.93396532789409503</v>
      </c>
      <c r="D24">
        <v>0.78898618812084698</v>
      </c>
      <c r="E24">
        <v>0.65275870952284099</v>
      </c>
      <c r="F24">
        <v>0.47608226829384298</v>
      </c>
      <c r="G24">
        <v>0.40827215351933699</v>
      </c>
      <c r="H24">
        <v>0.280493732463376</v>
      </c>
      <c r="I24">
        <v>0.41047433384583698</v>
      </c>
      <c r="J24">
        <v>0.320577999235863</v>
      </c>
      <c r="K24">
        <v>0.33833429378663199</v>
      </c>
      <c r="L24">
        <v>743.45809656164397</v>
      </c>
      <c r="M24">
        <v>15.1818497393861</v>
      </c>
      <c r="N24">
        <v>52.581808962826102</v>
      </c>
      <c r="O24">
        <v>48.144134145742598</v>
      </c>
      <c r="P24">
        <v>-5.3316599206328301E-2</v>
      </c>
      <c r="Q24">
        <v>0.32376249624935299</v>
      </c>
      <c r="R24">
        <v>0.98008260481839404</v>
      </c>
      <c r="S24" t="s">
        <v>6476</v>
      </c>
      <c r="T24" t="s">
        <v>12902</v>
      </c>
      <c r="U24" t="s">
        <v>12902</v>
      </c>
      <c r="V24" t="s">
        <v>12902</v>
      </c>
      <c r="W24" t="s">
        <v>12926</v>
      </c>
      <c r="X24">
        <v>5</v>
      </c>
      <c r="Y24" t="s">
        <v>19321</v>
      </c>
      <c r="Z24" t="s">
        <v>25599</v>
      </c>
      <c r="AA24">
        <v>0.54229433466799082</v>
      </c>
      <c r="AB24" t="str">
        <f>HYPERLINK("Melting_Curves/meltCurve_A5PLL7_TMEM189.pdf", "Melting_Curves/meltCurve_A5PLL7_TMEM189.pdf")</f>
        <v>Melting_Curves/meltCurve_A5PLL7_TMEM189.pdf</v>
      </c>
    </row>
    <row r="25" spans="1:28" x14ac:dyDescent="0.25">
      <c r="A25" t="s">
        <v>29</v>
      </c>
      <c r="B25">
        <v>0.99673306730245903</v>
      </c>
      <c r="C25">
        <v>0.90139726749182503</v>
      </c>
      <c r="D25">
        <v>0.89771313362208705</v>
      </c>
      <c r="E25">
        <v>0.63580455930832402</v>
      </c>
      <c r="F25">
        <v>0.203984364351907</v>
      </c>
      <c r="G25">
        <v>0.152568743288126</v>
      </c>
      <c r="H25">
        <v>0.1038449920811</v>
      </c>
      <c r="I25">
        <v>0.103794717312439</v>
      </c>
      <c r="J25">
        <v>9.8870016292007701E-2</v>
      </c>
      <c r="K25">
        <v>9.3860890328661101E-2</v>
      </c>
      <c r="L25">
        <v>1353.3644160461999</v>
      </c>
      <c r="M25">
        <v>27.043628887442399</v>
      </c>
      <c r="N25">
        <v>50.442540691869503</v>
      </c>
      <c r="O25">
        <v>49.772508378531803</v>
      </c>
      <c r="P25">
        <v>-0.122763873234497</v>
      </c>
      <c r="Q25">
        <v>9.6244684199587302E-2</v>
      </c>
      <c r="R25">
        <v>0.991201144388969</v>
      </c>
      <c r="S25" t="s">
        <v>6477</v>
      </c>
      <c r="T25" t="s">
        <v>12902</v>
      </c>
      <c r="U25" t="s">
        <v>12902</v>
      </c>
      <c r="V25" t="s">
        <v>12902</v>
      </c>
      <c r="W25" t="s">
        <v>12927</v>
      </c>
      <c r="X25">
        <v>17</v>
      </c>
      <c r="Y25" t="s">
        <v>19322</v>
      </c>
      <c r="Z25" t="s">
        <v>25600</v>
      </c>
      <c r="AA25">
        <v>0.40571271960257482</v>
      </c>
      <c r="AB25" t="str">
        <f>HYPERLINK("Melting_Curves/meltCurve_A5YKK6_CNOT1.pdf", "Melting_Curves/meltCurve_A5YKK6_CNOT1.pdf")</f>
        <v>Melting_Curves/meltCurve_A5YKK6_CNOT1.pdf</v>
      </c>
    </row>
    <row r="26" spans="1:28" x14ac:dyDescent="0.25">
      <c r="A26" t="s">
        <v>30</v>
      </c>
      <c r="B26">
        <v>0.99673306730245903</v>
      </c>
      <c r="C26">
        <v>0.94383369824463903</v>
      </c>
      <c r="D26">
        <v>1.00438244581823</v>
      </c>
      <c r="E26">
        <v>0.59977932451595395</v>
      </c>
      <c r="F26">
        <v>0.59741304009157403</v>
      </c>
      <c r="G26">
        <v>0.45871724935796698</v>
      </c>
      <c r="H26">
        <v>0.38822779219089099</v>
      </c>
      <c r="I26">
        <v>0.64627567266700603</v>
      </c>
      <c r="J26">
        <v>0.84825288999008697</v>
      </c>
      <c r="K26">
        <v>0.639380674686297</v>
      </c>
      <c r="L26">
        <v>12163.521496601499</v>
      </c>
      <c r="M26">
        <v>250</v>
      </c>
      <c r="O26">
        <v>48.650977544489201</v>
      </c>
      <c r="P26">
        <v>-0.51851759594690106</v>
      </c>
      <c r="Q26">
        <v>0.59637783601984096</v>
      </c>
      <c r="R26">
        <v>0.69934123126442704</v>
      </c>
      <c r="S26" t="s">
        <v>6478</v>
      </c>
      <c r="T26" t="s">
        <v>12902</v>
      </c>
      <c r="U26" t="s">
        <v>12902</v>
      </c>
      <c r="V26" t="s">
        <v>12902</v>
      </c>
      <c r="W26" t="s">
        <v>12928</v>
      </c>
      <c r="X26">
        <v>3</v>
      </c>
      <c r="Y26" t="s">
        <v>19323</v>
      </c>
      <c r="Z26" t="s">
        <v>25601</v>
      </c>
      <c r="AA26">
        <v>0.712844997275074</v>
      </c>
      <c r="AB26" t="str">
        <f>HYPERLINK("Melting_Curves/meltCurve_A5YM69_ARHGEF35.pdf", "Melting_Curves/meltCurve_A5YM69_ARHGEF35.pdf")</f>
        <v>Melting_Curves/meltCurve_A5YM69_ARHGEF35.pdf</v>
      </c>
    </row>
    <row r="27" spans="1:28" x14ac:dyDescent="0.25">
      <c r="A27" t="s">
        <v>31</v>
      </c>
      <c r="B27">
        <v>0.99673306730245903</v>
      </c>
      <c r="C27">
        <v>1.0089873956502</v>
      </c>
      <c r="D27">
        <v>1.0410479990469801</v>
      </c>
      <c r="E27">
        <v>0.85053550468169803</v>
      </c>
      <c r="F27">
        <v>0.81416450457212597</v>
      </c>
      <c r="G27">
        <v>0.65488007454491304</v>
      </c>
      <c r="H27">
        <v>0.53488645818595004</v>
      </c>
      <c r="I27">
        <v>0.68431375344411505</v>
      </c>
      <c r="J27">
        <v>1.08854553999432</v>
      </c>
      <c r="K27">
        <v>1.06535259699719</v>
      </c>
      <c r="L27">
        <v>12338.7921485224</v>
      </c>
      <c r="M27">
        <v>250</v>
      </c>
      <c r="O27">
        <v>49.352001072374897</v>
      </c>
      <c r="P27">
        <v>-0.244387435912087</v>
      </c>
      <c r="Q27">
        <v>0.807023820481374</v>
      </c>
      <c r="R27">
        <v>0.25040158416130798</v>
      </c>
      <c r="S27" t="s">
        <v>6479</v>
      </c>
      <c r="T27" t="s">
        <v>12902</v>
      </c>
      <c r="U27" t="s">
        <v>12902</v>
      </c>
      <c r="V27" t="s">
        <v>12902</v>
      </c>
      <c r="W27" t="s">
        <v>12929</v>
      </c>
      <c r="X27">
        <v>5</v>
      </c>
      <c r="Y27" t="s">
        <v>19324</v>
      </c>
      <c r="Z27" t="s">
        <v>25602</v>
      </c>
      <c r="AA27">
        <v>0.86721802540711712</v>
      </c>
      <c r="AB27" t="str">
        <f>HYPERLINK("Melting_Curves/meltCurve_A6NC98_4_CCDC88B.pdf", "Melting_Curves/meltCurve_A6NC98_4_CCDC88B.pdf")</f>
        <v>Melting_Curves/meltCurve_A6NC98_4_CCDC88B.pdf</v>
      </c>
    </row>
    <row r="28" spans="1:28" x14ac:dyDescent="0.25">
      <c r="A28" t="s">
        <v>32</v>
      </c>
      <c r="B28">
        <v>0.99673306730245903</v>
      </c>
      <c r="C28">
        <v>1.0496354019208001</v>
      </c>
      <c r="D28">
        <v>1.0434973399206899</v>
      </c>
      <c r="E28">
        <v>1.00291759402381</v>
      </c>
      <c r="F28">
        <v>0.95505201706545495</v>
      </c>
      <c r="G28">
        <v>0.83442512977974903</v>
      </c>
      <c r="H28">
        <v>0.63511620724762297</v>
      </c>
      <c r="I28">
        <v>0.40193151883724099</v>
      </c>
      <c r="J28">
        <v>0.103733499342816</v>
      </c>
      <c r="K28">
        <v>7.84380027861213E-2</v>
      </c>
      <c r="L28">
        <v>1326.6265408870099</v>
      </c>
      <c r="M28">
        <v>21.340286913931099</v>
      </c>
      <c r="N28">
        <v>62.165364140976102</v>
      </c>
      <c r="O28">
        <v>61.627198116478603</v>
      </c>
      <c r="P28">
        <v>-8.6572264710553196E-2</v>
      </c>
      <c r="Q28">
        <v>0</v>
      </c>
      <c r="R28">
        <v>0.98901780957154695</v>
      </c>
      <c r="S28" t="s">
        <v>6480</v>
      </c>
      <c r="T28" t="s">
        <v>12902</v>
      </c>
      <c r="U28" t="s">
        <v>12902</v>
      </c>
      <c r="V28" t="s">
        <v>12902</v>
      </c>
      <c r="W28" t="s">
        <v>12930</v>
      </c>
      <c r="X28">
        <v>11</v>
      </c>
      <c r="Y28" t="s">
        <v>19325</v>
      </c>
      <c r="Z28" t="s">
        <v>25603</v>
      </c>
      <c r="AA28">
        <v>0.74208701375164088</v>
      </c>
      <c r="AB28" t="str">
        <f>HYPERLINK("Melting_Curves/meltCurve_A6NDG6_PGP.pdf", "Melting_Curves/meltCurve_A6NDG6_PGP.pdf")</f>
        <v>Melting_Curves/meltCurve_A6NDG6_PGP.pdf</v>
      </c>
    </row>
    <row r="29" spans="1:28" x14ac:dyDescent="0.25">
      <c r="A29" t="s">
        <v>33</v>
      </c>
      <c r="B29">
        <v>0.99673306730245903</v>
      </c>
      <c r="C29">
        <v>0.91596345339642904</v>
      </c>
      <c r="D29">
        <v>0.87660666933350395</v>
      </c>
      <c r="E29">
        <v>0.76858112757806496</v>
      </c>
      <c r="F29">
        <v>0.57870548704334301</v>
      </c>
      <c r="G29">
        <v>0.458300390690773</v>
      </c>
      <c r="H29">
        <v>0.302984183134414</v>
      </c>
      <c r="I29">
        <v>0.17969652555465199</v>
      </c>
      <c r="J29">
        <v>0.232244714043466</v>
      </c>
      <c r="K29">
        <v>0.20419433504922699</v>
      </c>
      <c r="L29">
        <v>604.01811226172504</v>
      </c>
      <c r="M29">
        <v>11.2406066724126</v>
      </c>
      <c r="N29">
        <v>55.097391794757698</v>
      </c>
      <c r="O29">
        <v>52.118857145984002</v>
      </c>
      <c r="P29">
        <v>-4.7392498779008002E-2</v>
      </c>
      <c r="Q29">
        <v>0.12130136200658299</v>
      </c>
      <c r="R29">
        <v>0.99108661089602701</v>
      </c>
      <c r="S29" t="s">
        <v>6481</v>
      </c>
      <c r="T29" t="s">
        <v>12902</v>
      </c>
      <c r="U29" t="s">
        <v>12902</v>
      </c>
      <c r="V29" t="s">
        <v>12902</v>
      </c>
      <c r="W29" t="s">
        <v>12931</v>
      </c>
      <c r="X29">
        <v>4</v>
      </c>
      <c r="Z29" t="s">
        <v>25604</v>
      </c>
      <c r="AA29">
        <v>0.54861069593650269</v>
      </c>
      <c r="AB29" t="str">
        <f>HYPERLINK("Melting_Curves/meltCurve_A6NDJ8_.pdf", "Melting_Curves/meltCurve_A6NDJ8_.pdf")</f>
        <v>Melting_Curves/meltCurve_A6NDJ8_.pdf</v>
      </c>
    </row>
    <row r="30" spans="1:28" x14ac:dyDescent="0.25">
      <c r="A30" t="s">
        <v>34</v>
      </c>
      <c r="B30">
        <v>0.99673306730245903</v>
      </c>
      <c r="C30">
        <v>1.0121829708212999</v>
      </c>
      <c r="D30">
        <v>0.84479699316147705</v>
      </c>
      <c r="E30">
        <v>0.50303037981034404</v>
      </c>
      <c r="F30">
        <v>0.42392255222132902</v>
      </c>
      <c r="G30">
        <v>0.240688253610438</v>
      </c>
      <c r="H30">
        <v>0.18482229683492399</v>
      </c>
      <c r="I30">
        <v>0.15884049419563001</v>
      </c>
      <c r="J30">
        <v>0.27408244800323001</v>
      </c>
      <c r="K30">
        <v>0.125673110727477</v>
      </c>
      <c r="L30">
        <v>926.23264039066498</v>
      </c>
      <c r="M30">
        <v>18.780226838118399</v>
      </c>
      <c r="N30">
        <v>50.538584608643497</v>
      </c>
      <c r="O30">
        <v>48.770572593853302</v>
      </c>
      <c r="P30">
        <v>-7.8737578719532603E-2</v>
      </c>
      <c r="Q30">
        <v>0.18213629776672299</v>
      </c>
      <c r="R30">
        <v>0.97601725738936396</v>
      </c>
      <c r="S30" t="s">
        <v>6482</v>
      </c>
      <c r="T30" t="s">
        <v>12902</v>
      </c>
      <c r="U30" t="s">
        <v>12902</v>
      </c>
      <c r="V30" t="s">
        <v>12902</v>
      </c>
      <c r="W30" t="s">
        <v>12932</v>
      </c>
      <c r="X30">
        <v>2</v>
      </c>
      <c r="Y30" t="s">
        <v>19326</v>
      </c>
      <c r="Z30" t="s">
        <v>25605</v>
      </c>
      <c r="AA30">
        <v>0.44916248752775501</v>
      </c>
      <c r="AB30" t="str">
        <f>HYPERLINK("Melting_Curves/meltCurve_A6NDU8_C5orf51.pdf", "Melting_Curves/meltCurve_A6NDU8_C5orf51.pdf")</f>
        <v>Melting_Curves/meltCurve_A6NDU8_C5orf51.pdf</v>
      </c>
    </row>
    <row r="31" spans="1:28" x14ac:dyDescent="0.25">
      <c r="A31" t="s">
        <v>35</v>
      </c>
      <c r="B31">
        <v>0.99673306730245903</v>
      </c>
      <c r="C31">
        <v>0.928338314105151</v>
      </c>
      <c r="D31">
        <v>0.92465165929327997</v>
      </c>
      <c r="E31">
        <v>0.84192820872583296</v>
      </c>
      <c r="F31">
        <v>0.76476758657612998</v>
      </c>
      <c r="G31">
        <v>0.437717998824878</v>
      </c>
      <c r="H31">
        <v>0.24192339509663099</v>
      </c>
      <c r="I31">
        <v>0.191234668269717</v>
      </c>
      <c r="J31">
        <v>0.206499810881179</v>
      </c>
      <c r="K31">
        <v>0.190360360415404</v>
      </c>
      <c r="L31">
        <v>998.12841492758196</v>
      </c>
      <c r="M31">
        <v>18.174941956719699</v>
      </c>
      <c r="N31">
        <v>56.041184683900497</v>
      </c>
      <c r="O31">
        <v>54.265940334775202</v>
      </c>
      <c r="P31">
        <v>-7.0951468180701402E-2</v>
      </c>
      <c r="Q31">
        <v>0.15266518256189701</v>
      </c>
      <c r="R31">
        <v>0.98420393044437104</v>
      </c>
      <c r="S31" t="s">
        <v>6483</v>
      </c>
      <c r="T31" t="s">
        <v>12902</v>
      </c>
      <c r="U31" t="s">
        <v>12902</v>
      </c>
      <c r="V31" t="s">
        <v>12902</v>
      </c>
      <c r="W31" t="s">
        <v>12933</v>
      </c>
      <c r="X31">
        <v>5</v>
      </c>
      <c r="Y31" t="s">
        <v>19327</v>
      </c>
      <c r="Z31" t="s">
        <v>25606</v>
      </c>
      <c r="AA31">
        <v>0.58699022256392819</v>
      </c>
      <c r="AB31" t="str">
        <f>HYPERLINK("Melting_Curves/meltCurve_A6NED2_RCCD1.pdf", "Melting_Curves/meltCurve_A6NED2_RCCD1.pdf")</f>
        <v>Melting_Curves/meltCurve_A6NED2_RCCD1.pdf</v>
      </c>
    </row>
    <row r="32" spans="1:28" x14ac:dyDescent="0.25">
      <c r="A32" t="s">
        <v>36</v>
      </c>
      <c r="B32">
        <v>0.99673306730245903</v>
      </c>
      <c r="C32">
        <v>0.930903484653272</v>
      </c>
      <c r="D32">
        <v>0.92259330024247699</v>
      </c>
      <c r="E32">
        <v>0.87783193315460395</v>
      </c>
      <c r="F32">
        <v>0.58331014618195698</v>
      </c>
      <c r="G32">
        <v>0.28663701711225797</v>
      </c>
      <c r="H32">
        <v>9.7438614499393297E-2</v>
      </c>
      <c r="I32">
        <v>8.8657328582082598E-2</v>
      </c>
      <c r="J32">
        <v>8.6706635976566304E-2</v>
      </c>
      <c r="K32">
        <v>7.9727343591546304E-2</v>
      </c>
      <c r="L32">
        <v>1165.2719569462199</v>
      </c>
      <c r="M32">
        <v>21.7005174755488</v>
      </c>
      <c r="N32">
        <v>54.025211002732</v>
      </c>
      <c r="O32">
        <v>53.248111265197302</v>
      </c>
      <c r="P32">
        <v>-9.5610271388264695E-2</v>
      </c>
      <c r="Q32">
        <v>6.1598859030959699E-2</v>
      </c>
      <c r="R32">
        <v>0.99415153797336597</v>
      </c>
      <c r="S32" t="s">
        <v>6484</v>
      </c>
      <c r="T32" t="s">
        <v>12902</v>
      </c>
      <c r="U32" t="s">
        <v>12902</v>
      </c>
      <c r="V32" t="s">
        <v>12902</v>
      </c>
      <c r="W32" t="s">
        <v>12934</v>
      </c>
      <c r="X32">
        <v>41</v>
      </c>
      <c r="Y32" t="s">
        <v>19328</v>
      </c>
      <c r="Z32" t="s">
        <v>25607</v>
      </c>
      <c r="AA32">
        <v>0.50123558441181426</v>
      </c>
      <c r="AB32" t="str">
        <f>HYPERLINK("Melting_Curves/meltCurve_A6NEM2_HCFC1.pdf", "Melting_Curves/meltCurve_A6NEM2_HCFC1.pdf")</f>
        <v>Melting_Curves/meltCurve_A6NEM2_HCFC1.pdf</v>
      </c>
    </row>
    <row r="33" spans="1:28" x14ac:dyDescent="0.25">
      <c r="A33" t="s">
        <v>37</v>
      </c>
      <c r="B33">
        <v>0.99673306730245903</v>
      </c>
      <c r="C33">
        <v>1.0160023109313101</v>
      </c>
      <c r="D33">
        <v>0.89837921229560602</v>
      </c>
      <c r="E33">
        <v>0.70338246735130505</v>
      </c>
      <c r="F33">
        <v>0.47564363225616202</v>
      </c>
      <c r="G33">
        <v>0.26715717348405299</v>
      </c>
      <c r="H33">
        <v>0.16146121573712799</v>
      </c>
      <c r="I33">
        <v>9.3236186898211698E-2</v>
      </c>
      <c r="J33">
        <v>7.4812827187143202E-2</v>
      </c>
      <c r="K33">
        <v>6.9826974473419998E-2</v>
      </c>
      <c r="L33">
        <v>815.344810684001</v>
      </c>
      <c r="M33">
        <v>15.565034260624699</v>
      </c>
      <c r="N33">
        <v>52.735856247891199</v>
      </c>
      <c r="O33">
        <v>51.541279953259497</v>
      </c>
      <c r="P33">
        <v>-7.1771586946884E-2</v>
      </c>
      <c r="Q33">
        <v>4.9439201503484499E-2</v>
      </c>
      <c r="R33">
        <v>0.99806363836710299</v>
      </c>
      <c r="S33" t="s">
        <v>6485</v>
      </c>
      <c r="T33" t="s">
        <v>12902</v>
      </c>
      <c r="U33" t="s">
        <v>12902</v>
      </c>
      <c r="V33" t="s">
        <v>12902</v>
      </c>
      <c r="W33" t="s">
        <v>12935</v>
      </c>
      <c r="X33">
        <v>5</v>
      </c>
      <c r="Y33" t="s">
        <v>19329</v>
      </c>
      <c r="Z33" t="s">
        <v>25608</v>
      </c>
      <c r="AA33">
        <v>0.46163324647839871</v>
      </c>
      <c r="AB33" t="str">
        <f>HYPERLINK("Melting_Curves/meltCurve_A6NEM5_PIGK.pdf", "Melting_Curves/meltCurve_A6NEM5_PIGK.pdf")</f>
        <v>Melting_Curves/meltCurve_A6NEM5_PIGK.pdf</v>
      </c>
    </row>
    <row r="34" spans="1:28" x14ac:dyDescent="0.25">
      <c r="A34" t="s">
        <v>38</v>
      </c>
      <c r="B34">
        <v>0.99673306730245903</v>
      </c>
      <c r="C34">
        <v>0.93820743909064697</v>
      </c>
      <c r="D34">
        <v>0.90671222856921097</v>
      </c>
      <c r="E34">
        <v>0.78471329679197499</v>
      </c>
      <c r="F34">
        <v>0.62639032881850099</v>
      </c>
      <c r="G34">
        <v>0.55999218690845298</v>
      </c>
      <c r="H34">
        <v>0.38870910462388802</v>
      </c>
      <c r="I34">
        <v>0.48260449096019598</v>
      </c>
      <c r="J34">
        <v>0.44857110555463903</v>
      </c>
      <c r="K34">
        <v>0.41550054000855002</v>
      </c>
      <c r="L34">
        <v>726.988535642952</v>
      </c>
      <c r="M34">
        <v>14.1628928211423</v>
      </c>
      <c r="N34">
        <v>58.363124761244599</v>
      </c>
      <c r="O34">
        <v>50.339680356758798</v>
      </c>
      <c r="P34">
        <v>-4.1556018634971298E-2</v>
      </c>
      <c r="Q34">
        <v>0.40925853709910798</v>
      </c>
      <c r="R34">
        <v>0.97931134168084</v>
      </c>
      <c r="S34" t="s">
        <v>6486</v>
      </c>
      <c r="T34" t="s">
        <v>12902</v>
      </c>
      <c r="U34" t="s">
        <v>12902</v>
      </c>
      <c r="V34" t="s">
        <v>12902</v>
      </c>
      <c r="W34" t="s">
        <v>12936</v>
      </c>
      <c r="X34">
        <v>2</v>
      </c>
      <c r="Y34" t="s">
        <v>19330</v>
      </c>
      <c r="Z34" t="s">
        <v>25609</v>
      </c>
      <c r="AA34">
        <v>0.64716497959598618</v>
      </c>
      <c r="AB34" t="str">
        <f>HYPERLINK("Melting_Curves/meltCurve_A6NEP9_TSPAN14.pdf", "Melting_Curves/meltCurve_A6NEP9_TSPAN14.pdf")</f>
        <v>Melting_Curves/meltCurve_A6NEP9_TSPAN14.pdf</v>
      </c>
    </row>
    <row r="35" spans="1:28" x14ac:dyDescent="0.25">
      <c r="A35" t="s">
        <v>39</v>
      </c>
      <c r="B35">
        <v>0.99673306730245903</v>
      </c>
      <c r="C35">
        <v>1.0570765903941499</v>
      </c>
      <c r="D35">
        <v>1.0660005164864099</v>
      </c>
      <c r="E35">
        <v>0.98559390715446005</v>
      </c>
      <c r="F35">
        <v>1.1087548783550101</v>
      </c>
      <c r="G35">
        <v>0.97307652338777095</v>
      </c>
      <c r="H35">
        <v>0.85395991135452698</v>
      </c>
      <c r="I35">
        <v>0.599677329961809</v>
      </c>
      <c r="J35">
        <v>0.172508663973308</v>
      </c>
      <c r="K35">
        <v>0.15442677422803999</v>
      </c>
      <c r="L35">
        <v>2418.9348360480199</v>
      </c>
      <c r="M35">
        <v>37.728482174276699</v>
      </c>
      <c r="N35">
        <v>64.430470657631304</v>
      </c>
      <c r="O35">
        <v>63.934961924826098</v>
      </c>
      <c r="P35">
        <v>-0.13505989960154099</v>
      </c>
      <c r="Q35">
        <v>8.4508422156281904E-2</v>
      </c>
      <c r="R35">
        <v>0.97651502362917697</v>
      </c>
      <c r="S35" t="s">
        <v>6487</v>
      </c>
      <c r="T35" t="s">
        <v>12902</v>
      </c>
      <c r="U35" t="s">
        <v>12902</v>
      </c>
      <c r="V35" t="s">
        <v>12902</v>
      </c>
      <c r="W35" t="s">
        <v>12937</v>
      </c>
      <c r="X35">
        <v>16</v>
      </c>
      <c r="Y35" t="s">
        <v>19331</v>
      </c>
      <c r="Z35" t="s">
        <v>25610</v>
      </c>
      <c r="AA35">
        <v>0.82225533296337716</v>
      </c>
      <c r="AB35" t="str">
        <f>HYPERLINK("Melting_Curves/meltCurve_A6NF51_BPNT1.pdf", "Melting_Curves/meltCurve_A6NF51_BPNT1.pdf")</f>
        <v>Melting_Curves/meltCurve_A6NF51_BPNT1.pdf</v>
      </c>
    </row>
    <row r="36" spans="1:28" x14ac:dyDescent="0.25">
      <c r="A36" t="s">
        <v>40</v>
      </c>
      <c r="B36">
        <v>0.99673306730245903</v>
      </c>
      <c r="C36">
        <v>1.0167064472041201</v>
      </c>
      <c r="D36">
        <v>0.69460392509052404</v>
      </c>
      <c r="E36">
        <v>0.27484344749254402</v>
      </c>
      <c r="F36">
        <v>2.2458176106154202</v>
      </c>
      <c r="G36">
        <v>0.16080563614350499</v>
      </c>
      <c r="H36">
        <v>0.141365057212091</v>
      </c>
      <c r="I36">
        <v>8.4063036451676898E-2</v>
      </c>
      <c r="J36">
        <v>0.13769353895280501</v>
      </c>
      <c r="K36">
        <v>2.98590403938725E-2</v>
      </c>
      <c r="L36">
        <v>14052.5470359765</v>
      </c>
      <c r="M36">
        <v>250</v>
      </c>
      <c r="N36">
        <v>56.259416882468898</v>
      </c>
      <c r="O36">
        <v>56.206590978013601</v>
      </c>
      <c r="P36">
        <v>-1.0027272160584899</v>
      </c>
      <c r="Q36">
        <v>9.8241943737842605E-2</v>
      </c>
      <c r="R36">
        <v>0.49981519826825599</v>
      </c>
      <c r="S36" t="s">
        <v>6488</v>
      </c>
      <c r="T36" t="s">
        <v>12902</v>
      </c>
      <c r="U36" t="s">
        <v>12902</v>
      </c>
      <c r="V36" t="s">
        <v>12902</v>
      </c>
      <c r="W36" t="s">
        <v>12938</v>
      </c>
      <c r="X36">
        <v>3</v>
      </c>
      <c r="Y36" t="s">
        <v>19332</v>
      </c>
      <c r="Z36" t="s">
        <v>25611</v>
      </c>
      <c r="AA36">
        <v>0.58558649211450287</v>
      </c>
      <c r="AB36" t="str">
        <f>HYPERLINK("Melting_Curves/meltCurve_A6NFI3_ZNF316.pdf", "Melting_Curves/meltCurve_A6NFI3_ZNF316.pdf")</f>
        <v>Melting_Curves/meltCurve_A6NFI3_ZNF316.pdf</v>
      </c>
    </row>
    <row r="37" spans="1:28" x14ac:dyDescent="0.25">
      <c r="A37" t="s">
        <v>41</v>
      </c>
      <c r="B37">
        <v>0.99673306730245903</v>
      </c>
      <c r="C37">
        <v>0.82026357578833498</v>
      </c>
      <c r="D37">
        <v>1.10558026954349</v>
      </c>
      <c r="E37">
        <v>0.68991213290620101</v>
      </c>
      <c r="F37">
        <v>0.66575279810936905</v>
      </c>
      <c r="G37">
        <v>0.40629715994050303</v>
      </c>
      <c r="H37">
        <v>0.440942946462894</v>
      </c>
      <c r="I37">
        <v>0.50136663624897404</v>
      </c>
      <c r="J37">
        <v>0.86834452875140899</v>
      </c>
      <c r="K37">
        <v>0.65591462929315902</v>
      </c>
      <c r="L37">
        <v>12343.938963416</v>
      </c>
      <c r="M37">
        <v>250</v>
      </c>
      <c r="O37">
        <v>49.372603390823599</v>
      </c>
      <c r="P37">
        <v>-0.51930404205572001</v>
      </c>
      <c r="Q37">
        <v>0.58976978052597795</v>
      </c>
      <c r="R37">
        <v>0.60164003384807097</v>
      </c>
      <c r="S37" t="s">
        <v>6489</v>
      </c>
      <c r="T37" t="s">
        <v>12902</v>
      </c>
      <c r="U37" t="s">
        <v>12902</v>
      </c>
      <c r="V37" t="s">
        <v>12902</v>
      </c>
      <c r="W37" t="s">
        <v>12939</v>
      </c>
      <c r="X37">
        <v>2</v>
      </c>
      <c r="Y37" t="s">
        <v>19333</v>
      </c>
      <c r="Z37" t="s">
        <v>25612</v>
      </c>
      <c r="AA37">
        <v>0.718012607871515</v>
      </c>
      <c r="AB37" t="str">
        <f>HYPERLINK("Melting_Curves/meltCurve_A6NG32_CHMP1A.pdf", "Melting_Curves/meltCurve_A6NG32_CHMP1A.pdf")</f>
        <v>Melting_Curves/meltCurve_A6NG32_CHMP1A.pdf</v>
      </c>
    </row>
    <row r="38" spans="1:28" x14ac:dyDescent="0.25">
      <c r="A38" t="s">
        <v>42</v>
      </c>
      <c r="B38">
        <v>0.99673306730245903</v>
      </c>
      <c r="C38">
        <v>0.97890772392477299</v>
      </c>
      <c r="D38">
        <v>0.91488255709099497</v>
      </c>
      <c r="E38">
        <v>0.79326590574095301</v>
      </c>
      <c r="F38">
        <v>0.65127552842788305</v>
      </c>
      <c r="G38">
        <v>0.485249807541485</v>
      </c>
      <c r="H38">
        <v>0.34809481333034498</v>
      </c>
      <c r="I38">
        <v>0.56861136737195295</v>
      </c>
      <c r="J38">
        <v>0.94342899583786999</v>
      </c>
      <c r="K38">
        <v>0.949529320221281</v>
      </c>
      <c r="L38">
        <v>1535.4666155806499</v>
      </c>
      <c r="M38">
        <v>31.812730443893201</v>
      </c>
      <c r="O38">
        <v>48.076286620277202</v>
      </c>
      <c r="P38">
        <v>-5.65950867376405E-2</v>
      </c>
      <c r="Q38">
        <v>0.65788955100660396</v>
      </c>
      <c r="R38">
        <v>0.381901896478203</v>
      </c>
      <c r="S38" t="s">
        <v>6490</v>
      </c>
      <c r="T38" t="s">
        <v>12902</v>
      </c>
      <c r="U38" t="s">
        <v>12902</v>
      </c>
      <c r="V38" t="s">
        <v>12902</v>
      </c>
      <c r="W38" t="s">
        <v>12940</v>
      </c>
      <c r="X38">
        <v>7</v>
      </c>
      <c r="Y38" t="s">
        <v>19334</v>
      </c>
      <c r="Z38" t="s">
        <v>25613</v>
      </c>
      <c r="AA38">
        <v>0.75397815427800186</v>
      </c>
      <c r="AB38" t="str">
        <f>HYPERLINK("Melting_Curves/meltCurve_A6NG79_PRCC.pdf", "Melting_Curves/meltCurve_A6NG79_PRCC.pdf")</f>
        <v>Melting_Curves/meltCurve_A6NG79_PRCC.pdf</v>
      </c>
    </row>
    <row r="39" spans="1:28" x14ac:dyDescent="0.25">
      <c r="A39" t="s">
        <v>43</v>
      </c>
      <c r="B39">
        <v>0.99673306730245903</v>
      </c>
      <c r="C39">
        <v>0.95707482726215198</v>
      </c>
      <c r="D39">
        <v>0.96687924445840601</v>
      </c>
      <c r="E39">
        <v>1.0118978931615901</v>
      </c>
      <c r="F39">
        <v>0.88195668138743399</v>
      </c>
      <c r="G39">
        <v>0.717427482659587</v>
      </c>
      <c r="H39">
        <v>0.457581186414939</v>
      </c>
      <c r="I39">
        <v>0.40043716470073598</v>
      </c>
      <c r="J39">
        <v>0.32360910606254201</v>
      </c>
      <c r="K39">
        <v>0.30067622801809102</v>
      </c>
      <c r="L39">
        <v>1190.70450055885</v>
      </c>
      <c r="M39">
        <v>20.607319476249401</v>
      </c>
      <c r="N39">
        <v>60.3129631011915</v>
      </c>
      <c r="O39">
        <v>57.244800692492497</v>
      </c>
      <c r="P39">
        <v>-6.3942487441583595E-2</v>
      </c>
      <c r="Q39">
        <v>0.28952058591855401</v>
      </c>
      <c r="R39">
        <v>0.99331196877373595</v>
      </c>
      <c r="S39" t="s">
        <v>6491</v>
      </c>
      <c r="T39" t="s">
        <v>12902</v>
      </c>
      <c r="U39" t="s">
        <v>12902</v>
      </c>
      <c r="V39" t="s">
        <v>12902</v>
      </c>
      <c r="W39" t="s">
        <v>12941</v>
      </c>
      <c r="X39">
        <v>1</v>
      </c>
      <c r="Y39" t="s">
        <v>19335</v>
      </c>
      <c r="Z39" t="s">
        <v>25614</v>
      </c>
      <c r="AA39">
        <v>0.71857190505090551</v>
      </c>
      <c r="AB39" t="str">
        <f>HYPERLINK("Melting_Curves/meltCurve_A6NGJ0_DYNLT3.pdf", "Melting_Curves/meltCurve_A6NGJ0_DYNLT3.pdf")</f>
        <v>Melting_Curves/meltCurve_A6NGJ0_DYNLT3.pdf</v>
      </c>
    </row>
    <row r="40" spans="1:28" x14ac:dyDescent="0.25">
      <c r="A40" t="s">
        <v>44</v>
      </c>
      <c r="B40">
        <v>0.99673306730245903</v>
      </c>
      <c r="C40">
        <v>0.80261975671845498</v>
      </c>
      <c r="D40">
        <v>0.74397706655834706</v>
      </c>
      <c r="E40">
        <v>0.667518125954917</v>
      </c>
      <c r="F40">
        <v>0.49231283379920199</v>
      </c>
      <c r="G40">
        <v>0.42097227182563401</v>
      </c>
      <c r="H40">
        <v>0.31782166355750302</v>
      </c>
      <c r="I40">
        <v>0.34452333570488902</v>
      </c>
      <c r="J40">
        <v>0.29716437254769601</v>
      </c>
      <c r="K40">
        <v>0.229359371651396</v>
      </c>
      <c r="L40">
        <v>441.96120046833198</v>
      </c>
      <c r="M40">
        <v>8.7521935496203298</v>
      </c>
      <c r="N40">
        <v>53.545315089590197</v>
      </c>
      <c r="O40">
        <v>48.068997377364198</v>
      </c>
      <c r="P40">
        <v>-3.6617787225761297E-2</v>
      </c>
      <c r="Q40">
        <v>0.19619653139257101</v>
      </c>
      <c r="R40">
        <v>0.97692841059159297</v>
      </c>
      <c r="S40" t="s">
        <v>6492</v>
      </c>
      <c r="T40" t="s">
        <v>12902</v>
      </c>
      <c r="U40" t="s">
        <v>12902</v>
      </c>
      <c r="V40" t="s">
        <v>12902</v>
      </c>
      <c r="W40" t="s">
        <v>12942</v>
      </c>
      <c r="X40">
        <v>9</v>
      </c>
      <c r="Y40" t="s">
        <v>19336</v>
      </c>
      <c r="Z40" t="s">
        <v>25615</v>
      </c>
      <c r="AA40">
        <v>0.51856187101766693</v>
      </c>
      <c r="AB40" t="str">
        <f>HYPERLINK("Melting_Curves/meltCurve_A6NHB5_ZMYM3.pdf", "Melting_Curves/meltCurve_A6NHB5_ZMYM3.pdf")</f>
        <v>Melting_Curves/meltCurve_A6NHB5_ZMYM3.pdf</v>
      </c>
    </row>
    <row r="41" spans="1:28" x14ac:dyDescent="0.25">
      <c r="A41" t="s">
        <v>45</v>
      </c>
      <c r="B41">
        <v>0.99673306730245903</v>
      </c>
      <c r="C41">
        <v>0.85023538965400902</v>
      </c>
      <c r="D41">
        <v>0.99043372683766995</v>
      </c>
      <c r="E41">
        <v>1.2712878691507901</v>
      </c>
      <c r="F41">
        <v>1.7174446257454099</v>
      </c>
      <c r="G41">
        <v>1.09956152162321</v>
      </c>
      <c r="H41">
        <v>0.83162948663044201</v>
      </c>
      <c r="I41">
        <v>0.17881316425662599</v>
      </c>
      <c r="J41">
        <v>0.10357302681038399</v>
      </c>
      <c r="K41">
        <v>9.40681719199465E-2</v>
      </c>
      <c r="L41">
        <v>4652.4186619632401</v>
      </c>
      <c r="M41">
        <v>75.035698926866999</v>
      </c>
      <c r="N41">
        <v>62.183374527410898</v>
      </c>
      <c r="O41">
        <v>61.958740108885301</v>
      </c>
      <c r="P41">
        <v>-0.273117293161528</v>
      </c>
      <c r="Q41">
        <v>9.7922687550158399E-2</v>
      </c>
      <c r="R41">
        <v>0.76111034358385998</v>
      </c>
      <c r="S41" t="s">
        <v>6493</v>
      </c>
      <c r="T41" t="s">
        <v>12902</v>
      </c>
      <c r="U41" t="s">
        <v>12902</v>
      </c>
      <c r="V41" t="s">
        <v>12902</v>
      </c>
      <c r="W41" t="s">
        <v>12943</v>
      </c>
      <c r="X41">
        <v>8</v>
      </c>
      <c r="Y41" t="s">
        <v>19337</v>
      </c>
      <c r="Z41" t="s">
        <v>25616</v>
      </c>
      <c r="AA41">
        <v>0.76061421060874657</v>
      </c>
      <c r="AB41" t="str">
        <f>HYPERLINK("Melting_Curves/meltCurve_A6NHL2_2_TUBAL3.pdf", "Melting_Curves/meltCurve_A6NHL2_2_TUBAL3.pdf")</f>
        <v>Melting_Curves/meltCurve_A6NHL2_2_TUBAL3.pdf</v>
      </c>
    </row>
    <row r="42" spans="1:28" x14ac:dyDescent="0.25">
      <c r="A42" t="s">
        <v>46</v>
      </c>
      <c r="B42">
        <v>0.99673306730245903</v>
      </c>
      <c r="C42">
        <v>0.88856314512184398</v>
      </c>
      <c r="D42">
        <v>0.81625916247915498</v>
      </c>
      <c r="E42">
        <v>0.79447355502228501</v>
      </c>
      <c r="F42">
        <v>0.46503863552417601</v>
      </c>
      <c r="G42">
        <v>0.224655378278554</v>
      </c>
      <c r="H42">
        <v>0.14271794717195699</v>
      </c>
      <c r="I42">
        <v>0.11617451564235701</v>
      </c>
      <c r="J42">
        <v>0.109091591268531</v>
      </c>
      <c r="K42">
        <v>8.23442104008211E-2</v>
      </c>
      <c r="L42">
        <v>784.91124668550401</v>
      </c>
      <c r="M42">
        <v>15.0237550816107</v>
      </c>
      <c r="N42">
        <v>52.6502438263147</v>
      </c>
      <c r="O42">
        <v>51.345267158947301</v>
      </c>
      <c r="P42">
        <v>-6.9160525545671106E-2</v>
      </c>
      <c r="Q42">
        <v>5.46413681929604E-2</v>
      </c>
      <c r="R42">
        <v>0.98221719442005895</v>
      </c>
      <c r="S42" t="s">
        <v>6494</v>
      </c>
      <c r="T42" t="s">
        <v>12902</v>
      </c>
      <c r="U42" t="s">
        <v>12902</v>
      </c>
      <c r="V42" t="s">
        <v>12902</v>
      </c>
      <c r="W42" t="s">
        <v>12944</v>
      </c>
      <c r="X42">
        <v>2</v>
      </c>
      <c r="Y42" t="s">
        <v>19338</v>
      </c>
      <c r="Z42" t="s">
        <v>25617</v>
      </c>
      <c r="AA42">
        <v>0.46139731971439002</v>
      </c>
      <c r="AB42" t="str">
        <f>HYPERLINK("Melting_Curves/meltCurve_A6NHQ2_FBLL1.pdf", "Melting_Curves/meltCurve_A6NHQ2_FBLL1.pdf")</f>
        <v>Melting_Curves/meltCurve_A6NHQ2_FBLL1.pdf</v>
      </c>
    </row>
    <row r="43" spans="1:28" x14ac:dyDescent="0.25">
      <c r="A43" t="s">
        <v>47</v>
      </c>
      <c r="B43">
        <v>0.99673306730245903</v>
      </c>
      <c r="C43">
        <v>0.83818874393619003</v>
      </c>
      <c r="D43">
        <v>0.48112249579608901</v>
      </c>
      <c r="E43">
        <v>0.195584084411703</v>
      </c>
      <c r="F43">
        <v>0.14639615784201199</v>
      </c>
      <c r="G43">
        <v>0.101870773758952</v>
      </c>
      <c r="H43">
        <v>7.4675733246448897E-2</v>
      </c>
      <c r="I43">
        <v>7.6568392346218705E-2</v>
      </c>
      <c r="J43">
        <v>7.1510131765837801E-2</v>
      </c>
      <c r="K43">
        <v>5.8742309769972197E-2</v>
      </c>
      <c r="L43">
        <v>1101.8694917968</v>
      </c>
      <c r="M43">
        <v>24.1667660254524</v>
      </c>
      <c r="N43">
        <v>45.9295890636362</v>
      </c>
      <c r="O43">
        <v>45.2856519437209</v>
      </c>
      <c r="P43">
        <v>-0.122629446353789</v>
      </c>
      <c r="Q43">
        <v>8.0841901304101696E-2</v>
      </c>
      <c r="R43">
        <v>0.99714855362840404</v>
      </c>
      <c r="S43" t="s">
        <v>6495</v>
      </c>
      <c r="T43" t="s">
        <v>12902</v>
      </c>
      <c r="U43" t="s">
        <v>12902</v>
      </c>
      <c r="V43" t="s">
        <v>12902</v>
      </c>
      <c r="W43" t="s">
        <v>12945</v>
      </c>
      <c r="X43">
        <v>21</v>
      </c>
      <c r="Y43" t="s">
        <v>19339</v>
      </c>
      <c r="Z43" t="s">
        <v>25618</v>
      </c>
      <c r="AA43">
        <v>0.26166953091594602</v>
      </c>
      <c r="AB43" t="str">
        <f>HYPERLINK("Melting_Curves/meltCurve_A6NHR9_SMCHD1.pdf", "Melting_Curves/meltCurve_A6NHR9_SMCHD1.pdf")</f>
        <v>Melting_Curves/meltCurve_A6NHR9_SMCHD1.pdf</v>
      </c>
    </row>
    <row r="44" spans="1:28" x14ac:dyDescent="0.25">
      <c r="A44" t="s">
        <v>48</v>
      </c>
      <c r="B44">
        <v>0.99673306730245903</v>
      </c>
      <c r="C44">
        <v>0.94164752276074903</v>
      </c>
      <c r="D44">
        <v>0.91971780319567198</v>
      </c>
      <c r="E44">
        <v>0.68607635472902995</v>
      </c>
      <c r="F44">
        <v>0.56573907352993402</v>
      </c>
      <c r="G44">
        <v>0.54565325775872797</v>
      </c>
      <c r="H44">
        <v>0.60677695178476498</v>
      </c>
      <c r="I44">
        <v>1.02275736120787</v>
      </c>
      <c r="J44">
        <v>1.4336174131122099</v>
      </c>
      <c r="K44">
        <v>1.266436639783</v>
      </c>
      <c r="L44">
        <v>15000</v>
      </c>
      <c r="M44">
        <v>231.726643386468</v>
      </c>
      <c r="O44">
        <v>64.726614440031</v>
      </c>
      <c r="P44">
        <v>0.31330358998403801</v>
      </c>
      <c r="Q44">
        <v>1.35005181254173</v>
      </c>
      <c r="R44">
        <v>0.17499453410924101</v>
      </c>
      <c r="S44" t="s">
        <v>6496</v>
      </c>
      <c r="T44" t="s">
        <v>12902</v>
      </c>
      <c r="U44" t="s">
        <v>12902</v>
      </c>
      <c r="V44" t="s">
        <v>12902</v>
      </c>
      <c r="W44" t="s">
        <v>12946</v>
      </c>
      <c r="X44">
        <v>2</v>
      </c>
      <c r="Y44" t="s">
        <v>19340</v>
      </c>
      <c r="Z44" t="s">
        <v>25619</v>
      </c>
      <c r="AA44">
        <v>1.0614293104748429</v>
      </c>
      <c r="AB44" t="str">
        <f>HYPERLINK("Melting_Curves/meltCurve_A6NHV6_PKMYT1.pdf", "Melting_Curves/meltCurve_A6NHV6_PKMYT1.pdf")</f>
        <v>Melting_Curves/meltCurve_A6NHV6_PKMYT1.pdf</v>
      </c>
    </row>
    <row r="45" spans="1:28" x14ac:dyDescent="0.25">
      <c r="A45" t="s">
        <v>49</v>
      </c>
      <c r="B45">
        <v>0.99673306730245903</v>
      </c>
      <c r="C45">
        <v>0.94279958533980501</v>
      </c>
      <c r="D45">
        <v>0.84502074571327201</v>
      </c>
      <c r="E45">
        <v>0.76309305272587902</v>
      </c>
      <c r="F45">
        <v>0.71424267440932998</v>
      </c>
      <c r="G45">
        <v>0.469630625947634</v>
      </c>
      <c r="H45">
        <v>0.23655493014370901</v>
      </c>
      <c r="I45">
        <v>0.18561541805318499</v>
      </c>
      <c r="J45">
        <v>0.15574389333075001</v>
      </c>
      <c r="K45">
        <v>0.18373710540855101</v>
      </c>
      <c r="L45">
        <v>605.49085105557901</v>
      </c>
      <c r="M45">
        <v>10.9336444785671</v>
      </c>
      <c r="N45">
        <v>55.797176610336798</v>
      </c>
      <c r="O45">
        <v>53.622819173981703</v>
      </c>
      <c r="P45">
        <v>-4.8984998280835197E-2</v>
      </c>
      <c r="Q45">
        <v>3.9366271606226098E-2</v>
      </c>
      <c r="R45">
        <v>0.97915569417080195</v>
      </c>
      <c r="S45" t="s">
        <v>6497</v>
      </c>
      <c r="T45" t="s">
        <v>12902</v>
      </c>
      <c r="U45" t="s">
        <v>12902</v>
      </c>
      <c r="V45" t="s">
        <v>12902</v>
      </c>
      <c r="W45" t="s">
        <v>12947</v>
      </c>
      <c r="X45">
        <v>4</v>
      </c>
      <c r="Y45" t="s">
        <v>19341</v>
      </c>
      <c r="Z45" t="s">
        <v>25620</v>
      </c>
      <c r="AA45">
        <v>0.55429595741874427</v>
      </c>
      <c r="AB45" t="str">
        <f>HYPERLINK("Melting_Curves/meltCurve_A6NHX0_GATSL2.pdf", "Melting_Curves/meltCurve_A6NHX0_GATSL2.pdf")</f>
        <v>Melting_Curves/meltCurve_A6NHX0_GATSL2.pdf</v>
      </c>
    </row>
    <row r="46" spans="1:28" x14ac:dyDescent="0.25">
      <c r="A46" t="s">
        <v>50</v>
      </c>
      <c r="B46">
        <v>0.99673306730245903</v>
      </c>
      <c r="C46">
        <v>1.0464876550003299</v>
      </c>
      <c r="D46">
        <v>1.0171688637148399</v>
      </c>
      <c r="E46">
        <v>0.87016096169518797</v>
      </c>
      <c r="F46">
        <v>0.53435789820052704</v>
      </c>
      <c r="G46">
        <v>0.43050263908451503</v>
      </c>
      <c r="H46">
        <v>0.28379738422957002</v>
      </c>
      <c r="I46">
        <v>0.33196401559746203</v>
      </c>
      <c r="J46">
        <v>0.43224089979883001</v>
      </c>
      <c r="K46">
        <v>0.38693991969757302</v>
      </c>
      <c r="L46">
        <v>1741.30788774799</v>
      </c>
      <c r="M46">
        <v>33.710607118866001</v>
      </c>
      <c r="N46">
        <v>53.746969721785597</v>
      </c>
      <c r="O46">
        <v>51.473863538894797</v>
      </c>
      <c r="P46">
        <v>-0.10390021630337699</v>
      </c>
      <c r="Q46">
        <v>0.36540789455445599</v>
      </c>
      <c r="R46">
        <v>0.97965255537214002</v>
      </c>
      <c r="S46" t="s">
        <v>6498</v>
      </c>
      <c r="T46" t="s">
        <v>12902</v>
      </c>
      <c r="U46" t="s">
        <v>12902</v>
      </c>
      <c r="V46" t="s">
        <v>12902</v>
      </c>
      <c r="W46" t="s">
        <v>12948</v>
      </c>
      <c r="X46">
        <v>11</v>
      </c>
      <c r="Y46" t="s">
        <v>19342</v>
      </c>
      <c r="Z46" t="s">
        <v>25621</v>
      </c>
      <c r="AA46">
        <v>0.6151327711714778</v>
      </c>
      <c r="AB46" t="str">
        <f>HYPERLINK("Melting_Curves/meltCurve_A6NIH7_UNC119B.pdf", "Melting_Curves/meltCurve_A6NIH7_UNC119B.pdf")</f>
        <v>Melting_Curves/meltCurve_A6NIH7_UNC119B.pdf</v>
      </c>
    </row>
    <row r="47" spans="1:28" x14ac:dyDescent="0.25">
      <c r="A47" t="s">
        <v>51</v>
      </c>
      <c r="B47">
        <v>0.99673306730245903</v>
      </c>
      <c r="C47">
        <v>1.0158040950305001</v>
      </c>
      <c r="D47">
        <v>1.0639147161511699</v>
      </c>
      <c r="E47">
        <v>0.71173789883358196</v>
      </c>
      <c r="F47">
        <v>0.66609921710874798</v>
      </c>
      <c r="G47">
        <v>0.51470111014688802</v>
      </c>
      <c r="H47">
        <v>0.47942665592561201</v>
      </c>
      <c r="I47">
        <v>0.53227117986977401</v>
      </c>
      <c r="J47">
        <v>0.62137481714991205</v>
      </c>
      <c r="K47">
        <v>0.67099264941231795</v>
      </c>
      <c r="L47">
        <v>6722.3954321684496</v>
      </c>
      <c r="M47">
        <v>136.320951694212</v>
      </c>
      <c r="O47">
        <v>49.3023938149976</v>
      </c>
      <c r="P47">
        <v>-0.289769214234052</v>
      </c>
      <c r="Q47">
        <v>0.58080353870407098</v>
      </c>
      <c r="R47">
        <v>0.91114436562018697</v>
      </c>
      <c r="S47" t="s">
        <v>6499</v>
      </c>
      <c r="T47" t="s">
        <v>12902</v>
      </c>
      <c r="U47" t="s">
        <v>12902</v>
      </c>
      <c r="V47" t="s">
        <v>12902</v>
      </c>
      <c r="W47" t="s">
        <v>12949</v>
      </c>
      <c r="X47">
        <v>1</v>
      </c>
      <c r="Y47" t="s">
        <v>19343</v>
      </c>
      <c r="Z47" t="s">
        <v>25622</v>
      </c>
      <c r="AA47">
        <v>0.71105820564448929</v>
      </c>
      <c r="AB47" t="str">
        <f>HYPERLINK("Melting_Curves/meltCurve_A6NIR4_SPOCK2.pdf", "Melting_Curves/meltCurve_A6NIR4_SPOCK2.pdf")</f>
        <v>Melting_Curves/meltCurve_A6NIR4_SPOCK2.pdf</v>
      </c>
    </row>
    <row r="48" spans="1:28" x14ac:dyDescent="0.25">
      <c r="A48" t="s">
        <v>52</v>
      </c>
      <c r="B48">
        <v>0.99673306730245903</v>
      </c>
      <c r="C48">
        <v>0.87965473870639799</v>
      </c>
      <c r="D48">
        <v>0.632539796708386</v>
      </c>
      <c r="E48">
        <v>0.31087866896662097</v>
      </c>
      <c r="F48">
        <v>0.22906242577789601</v>
      </c>
      <c r="G48">
        <v>0.16619541133489199</v>
      </c>
      <c r="H48">
        <v>0.115777489263318</v>
      </c>
      <c r="I48">
        <v>0.10921187438197801</v>
      </c>
      <c r="J48">
        <v>0.120435724996972</v>
      </c>
      <c r="K48">
        <v>0.115292617179827</v>
      </c>
      <c r="L48">
        <v>942.13210040659305</v>
      </c>
      <c r="M48">
        <v>20.145355663708099</v>
      </c>
      <c r="N48">
        <v>47.419651849446403</v>
      </c>
      <c r="O48">
        <v>46.313203329764796</v>
      </c>
      <c r="P48">
        <v>-9.5577048535652104E-2</v>
      </c>
      <c r="Q48">
        <v>0.12111965691257499</v>
      </c>
      <c r="R48">
        <v>0.99675385197653998</v>
      </c>
      <c r="S48" t="s">
        <v>6500</v>
      </c>
      <c r="T48" t="s">
        <v>12902</v>
      </c>
      <c r="U48" t="s">
        <v>12902</v>
      </c>
      <c r="V48" t="s">
        <v>12902</v>
      </c>
      <c r="W48" t="s">
        <v>12950</v>
      </c>
      <c r="X48">
        <v>6</v>
      </c>
      <c r="Y48" t="s">
        <v>19344</v>
      </c>
      <c r="Z48" t="s">
        <v>25623</v>
      </c>
      <c r="AA48">
        <v>0.3321457927868921</v>
      </c>
      <c r="AB48" t="str">
        <f>HYPERLINK("Melting_Curves/meltCurve_A6NJ78_METTL15.pdf", "Melting_Curves/meltCurve_A6NJ78_METTL15.pdf")</f>
        <v>Melting_Curves/meltCurve_A6NJ78_METTL15.pdf</v>
      </c>
    </row>
    <row r="49" spans="1:28" x14ac:dyDescent="0.25">
      <c r="A49" t="s">
        <v>53</v>
      </c>
      <c r="B49">
        <v>0.99673306730245903</v>
      </c>
      <c r="C49">
        <v>0.98373933886145803</v>
      </c>
      <c r="D49">
        <v>0.843923224958117</v>
      </c>
      <c r="E49">
        <v>0.60073001971895401</v>
      </c>
      <c r="F49">
        <v>0.50218547786593204</v>
      </c>
      <c r="G49">
        <v>0.32492541024550098</v>
      </c>
      <c r="H49">
        <v>0.15259523655611301</v>
      </c>
      <c r="I49">
        <v>0.13606492885114399</v>
      </c>
      <c r="J49">
        <v>0.155749412972887</v>
      </c>
      <c r="K49">
        <v>0.117018966184168</v>
      </c>
      <c r="L49">
        <v>671.93057388053103</v>
      </c>
      <c r="M49">
        <v>13.0185005415166</v>
      </c>
      <c r="N49">
        <v>52.370448691451998</v>
      </c>
      <c r="O49">
        <v>50.441208571544401</v>
      </c>
      <c r="P49">
        <v>-5.9000015393625899E-2</v>
      </c>
      <c r="Q49">
        <v>8.5759743624154394E-2</v>
      </c>
      <c r="R49">
        <v>0.989734858146193</v>
      </c>
      <c r="S49" t="s">
        <v>6501</v>
      </c>
      <c r="T49" t="s">
        <v>12902</v>
      </c>
      <c r="U49" t="s">
        <v>12902</v>
      </c>
      <c r="V49" t="s">
        <v>12902</v>
      </c>
      <c r="W49" t="s">
        <v>12951</v>
      </c>
      <c r="X49">
        <v>3</v>
      </c>
      <c r="Y49" t="s">
        <v>19345</v>
      </c>
      <c r="Z49" t="s">
        <v>25624</v>
      </c>
      <c r="AA49">
        <v>0.46530955978845501</v>
      </c>
      <c r="AB49" t="str">
        <f>HYPERLINK("Melting_Curves/meltCurve_A6NJ97_C13orf23.pdf", "Melting_Curves/meltCurve_A6NJ97_C13orf23.pdf")</f>
        <v>Melting_Curves/meltCurve_A6NJ97_C13orf23.pdf</v>
      </c>
    </row>
    <row r="50" spans="1:28" x14ac:dyDescent="0.25">
      <c r="A50" t="s">
        <v>54</v>
      </c>
      <c r="B50">
        <v>0.99673306730245903</v>
      </c>
      <c r="C50">
        <v>0.97871076612867003</v>
      </c>
      <c r="D50">
        <v>0.99304715604391303</v>
      </c>
      <c r="E50">
        <v>0.888995052158841</v>
      </c>
      <c r="F50">
        <v>0.81138896672572502</v>
      </c>
      <c r="G50">
        <v>0.49429723651415303</v>
      </c>
      <c r="H50">
        <v>0.31177600233832697</v>
      </c>
      <c r="I50">
        <v>0.25060914460558198</v>
      </c>
      <c r="J50">
        <v>0.28075823174988301</v>
      </c>
      <c r="K50">
        <v>0.21096142997832201</v>
      </c>
      <c r="L50">
        <v>1211.26135952304</v>
      </c>
      <c r="M50">
        <v>21.873838075557</v>
      </c>
      <c r="N50">
        <v>56.914750122132098</v>
      </c>
      <c r="O50">
        <v>54.918299419700702</v>
      </c>
      <c r="P50">
        <v>-7.7337578039195901E-2</v>
      </c>
      <c r="Q50">
        <v>0.22333679623162001</v>
      </c>
      <c r="R50">
        <v>0.99313230380866002</v>
      </c>
      <c r="S50" t="s">
        <v>6502</v>
      </c>
      <c r="T50" t="s">
        <v>12902</v>
      </c>
      <c r="U50" t="s">
        <v>12902</v>
      </c>
      <c r="V50" t="s">
        <v>12902</v>
      </c>
      <c r="W50" t="s">
        <v>12952</v>
      </c>
      <c r="X50">
        <v>5</v>
      </c>
      <c r="Y50" t="s">
        <v>19346</v>
      </c>
      <c r="Z50" t="s">
        <v>25625</v>
      </c>
      <c r="AA50">
        <v>0.63031096995331837</v>
      </c>
      <c r="AB50" t="str">
        <f>HYPERLINK("Melting_Curves/meltCurve_A6NK58_LIPT2.pdf", "Melting_Curves/meltCurve_A6NK58_LIPT2.pdf")</f>
        <v>Melting_Curves/meltCurve_A6NK58_LIPT2.pdf</v>
      </c>
    </row>
    <row r="51" spans="1:28" x14ac:dyDescent="0.25">
      <c r="A51" t="s">
        <v>55</v>
      </c>
      <c r="B51">
        <v>0.99673306730245903</v>
      </c>
      <c r="C51">
        <v>0.87125654258247298</v>
      </c>
      <c r="D51">
        <v>0.64787614492599299</v>
      </c>
      <c r="E51">
        <v>0.46122672960212002</v>
      </c>
      <c r="F51">
        <v>0.33802933830638998</v>
      </c>
      <c r="G51">
        <v>0.24332958830025</v>
      </c>
      <c r="H51">
        <v>0.16974952301401999</v>
      </c>
      <c r="I51">
        <v>0.214901072185991</v>
      </c>
      <c r="J51">
        <v>0.37068913918084501</v>
      </c>
      <c r="K51">
        <v>0.51205470070548997</v>
      </c>
      <c r="L51">
        <v>1001.73432267393</v>
      </c>
      <c r="M51">
        <v>21.746051685030199</v>
      </c>
      <c r="N51">
        <v>48.132379592903497</v>
      </c>
      <c r="O51">
        <v>45.680866157441102</v>
      </c>
      <c r="P51">
        <v>-8.2891991235408496E-2</v>
      </c>
      <c r="Q51">
        <v>0.30350761149128402</v>
      </c>
      <c r="R51">
        <v>0.88384517779070104</v>
      </c>
      <c r="S51" t="s">
        <v>6503</v>
      </c>
      <c r="T51" t="s">
        <v>12902</v>
      </c>
      <c r="U51" t="s">
        <v>12902</v>
      </c>
      <c r="V51" t="s">
        <v>12902</v>
      </c>
      <c r="W51" t="s">
        <v>12953</v>
      </c>
      <c r="X51">
        <v>5</v>
      </c>
      <c r="Y51" t="s">
        <v>19347</v>
      </c>
      <c r="Z51" t="s">
        <v>25626</v>
      </c>
      <c r="AA51">
        <v>0.45316214098521429</v>
      </c>
      <c r="AB51" t="str">
        <f>HYPERLINK("Melting_Curves/meltCurve_A6NKD9_CCDC85C.pdf", "Melting_Curves/meltCurve_A6NKD9_CCDC85C.pdf")</f>
        <v>Melting_Curves/meltCurve_A6NKD9_CCDC85C.pdf</v>
      </c>
    </row>
    <row r="52" spans="1:28" x14ac:dyDescent="0.25">
      <c r="A52" t="s">
        <v>56</v>
      </c>
      <c r="B52">
        <v>0.99673306730245903</v>
      </c>
      <c r="C52">
        <v>0.94529041680132098</v>
      </c>
      <c r="D52">
        <v>0.87418625331022803</v>
      </c>
      <c r="E52">
        <v>0.619778720293503</v>
      </c>
      <c r="F52">
        <v>0.41290082307346099</v>
      </c>
      <c r="G52">
        <v>0.26067550076990798</v>
      </c>
      <c r="H52">
        <v>0.20493962231160001</v>
      </c>
      <c r="I52">
        <v>0.13870410060729099</v>
      </c>
      <c r="J52">
        <v>0.20175296706513601</v>
      </c>
      <c r="K52">
        <v>0.12203238517586</v>
      </c>
      <c r="L52">
        <v>824.65486083762505</v>
      </c>
      <c r="M52">
        <v>16.319356731414501</v>
      </c>
      <c r="N52">
        <v>51.580998322751597</v>
      </c>
      <c r="O52">
        <v>49.791820735684098</v>
      </c>
      <c r="P52">
        <v>-7.0375156782519294E-2</v>
      </c>
      <c r="Q52">
        <v>0.141178787516686</v>
      </c>
      <c r="R52">
        <v>0.99575437372678799</v>
      </c>
      <c r="S52" t="s">
        <v>6504</v>
      </c>
      <c r="T52" t="s">
        <v>12902</v>
      </c>
      <c r="U52" t="s">
        <v>12902</v>
      </c>
      <c r="V52" t="s">
        <v>12902</v>
      </c>
      <c r="W52" t="s">
        <v>12954</v>
      </c>
      <c r="X52">
        <v>1</v>
      </c>
      <c r="Y52" t="s">
        <v>19348</v>
      </c>
      <c r="Z52" t="s">
        <v>25627</v>
      </c>
      <c r="AA52">
        <v>0.46007350838644162</v>
      </c>
      <c r="AB52" t="str">
        <f>HYPERLINK("Melting_Curves/meltCurve_A6NKF9_GPR89C.pdf", "Melting_Curves/meltCurve_A6NKF9_GPR89C.pdf")</f>
        <v>Melting_Curves/meltCurve_A6NKF9_GPR89C.pdf</v>
      </c>
    </row>
    <row r="53" spans="1:28" x14ac:dyDescent="0.25">
      <c r="A53" t="s">
        <v>57</v>
      </c>
      <c r="B53">
        <v>0.99673306730245903</v>
      </c>
      <c r="C53">
        <v>0.91779391611586003</v>
      </c>
      <c r="D53">
        <v>1.0122198319643101</v>
      </c>
      <c r="E53">
        <v>0.98159636453312404</v>
      </c>
      <c r="F53">
        <v>0.86705666683303695</v>
      </c>
      <c r="G53">
        <v>0.56071760748412403</v>
      </c>
      <c r="H53">
        <v>0.37035980825981701</v>
      </c>
      <c r="I53">
        <v>0.21270020351062099</v>
      </c>
      <c r="J53">
        <v>0.23378953344989301</v>
      </c>
      <c r="K53">
        <v>0.21427168117505199</v>
      </c>
      <c r="L53">
        <v>1354.66023993811</v>
      </c>
      <c r="M53">
        <v>23.952759875069599</v>
      </c>
      <c r="N53">
        <v>57.829519350163501</v>
      </c>
      <c r="O53">
        <v>56.165720098118399</v>
      </c>
      <c r="P53">
        <v>-8.4759472181825196E-2</v>
      </c>
      <c r="Q53">
        <v>0.20501837256126201</v>
      </c>
      <c r="R53">
        <v>0.99038993284546795</v>
      </c>
      <c r="S53" t="s">
        <v>6505</v>
      </c>
      <c r="T53" t="s">
        <v>12902</v>
      </c>
      <c r="U53" t="s">
        <v>12902</v>
      </c>
      <c r="V53" t="s">
        <v>12902</v>
      </c>
      <c r="W53" t="s">
        <v>12955</v>
      </c>
      <c r="X53">
        <v>13</v>
      </c>
      <c r="Y53" t="s">
        <v>19349</v>
      </c>
      <c r="Z53" t="s">
        <v>25628</v>
      </c>
      <c r="AA53">
        <v>0.65146624629003891</v>
      </c>
      <c r="AB53" t="str">
        <f>HYPERLINK("Melting_Curves/meltCurve_A6NMH6_SEPT8.pdf", "Melting_Curves/meltCurve_A6NMH6_SEPT8.pdf")</f>
        <v>Melting_Curves/meltCurve_A6NMH6_SEPT8.pdf</v>
      </c>
    </row>
    <row r="54" spans="1:28" x14ac:dyDescent="0.25">
      <c r="A54" t="s">
        <v>58</v>
      </c>
      <c r="B54">
        <v>0.99673306730245903</v>
      </c>
      <c r="C54">
        <v>0.92152622867012501</v>
      </c>
      <c r="D54">
        <v>0.530720333286677</v>
      </c>
      <c r="E54">
        <v>0.18590892020569899</v>
      </c>
      <c r="F54">
        <v>0.114554770801332</v>
      </c>
      <c r="G54">
        <v>7.091158630562E-2</v>
      </c>
      <c r="H54">
        <v>4.3197980700731498E-2</v>
      </c>
      <c r="I54">
        <v>3.3962373655808099E-2</v>
      </c>
      <c r="J54">
        <v>3.0350166450227499E-2</v>
      </c>
      <c r="K54">
        <v>2.5334131280611301E-2</v>
      </c>
      <c r="L54">
        <v>1237.98150410625</v>
      </c>
      <c r="M54">
        <v>26.794084470226899</v>
      </c>
      <c r="N54">
        <v>46.373938631877998</v>
      </c>
      <c r="O54">
        <v>45.948474711716202</v>
      </c>
      <c r="P54">
        <v>-0.13895033449227601</v>
      </c>
      <c r="Q54">
        <v>4.6880559788696298E-2</v>
      </c>
      <c r="R54">
        <v>0.99666400891437601</v>
      </c>
      <c r="S54" t="s">
        <v>6506</v>
      </c>
      <c r="T54" t="s">
        <v>12902</v>
      </c>
      <c r="U54" t="s">
        <v>12902</v>
      </c>
      <c r="V54" t="s">
        <v>12902</v>
      </c>
      <c r="W54" t="s">
        <v>12956</v>
      </c>
      <c r="X54">
        <v>13</v>
      </c>
      <c r="Y54" t="s">
        <v>19350</v>
      </c>
      <c r="Z54" t="s">
        <v>25629</v>
      </c>
      <c r="AA54">
        <v>0.25141837030622538</v>
      </c>
      <c r="AB54" t="str">
        <f>HYPERLINK("Melting_Curves/meltCurve_A6NML8_DIAPH2.pdf", "Melting_Curves/meltCurve_A6NML8_DIAPH2.pdf")</f>
        <v>Melting_Curves/meltCurve_A6NML8_DIAPH2.pdf</v>
      </c>
    </row>
    <row r="55" spans="1:28" x14ac:dyDescent="0.25">
      <c r="A55" t="s">
        <v>59</v>
      </c>
      <c r="B55">
        <v>0.99673306730245903</v>
      </c>
      <c r="C55">
        <v>0.92540898365345803</v>
      </c>
      <c r="D55">
        <v>0.76201879522031801</v>
      </c>
      <c r="E55">
        <v>0.54957835706137104</v>
      </c>
      <c r="F55">
        <v>0.32255791727740502</v>
      </c>
      <c r="G55">
        <v>0.19686532065064999</v>
      </c>
      <c r="H55">
        <v>0.14993327546929</v>
      </c>
      <c r="I55">
        <v>0.11518393255081801</v>
      </c>
      <c r="J55">
        <v>9.6165559199189204E-2</v>
      </c>
      <c r="K55">
        <v>9.6656389152310701E-2</v>
      </c>
      <c r="L55">
        <v>742.85476806337897</v>
      </c>
      <c r="M55">
        <v>14.9963027735942</v>
      </c>
      <c r="N55">
        <v>50.160656448983502</v>
      </c>
      <c r="O55">
        <v>48.680050101164099</v>
      </c>
      <c r="P55">
        <v>-7.0460727123095104E-2</v>
      </c>
      <c r="Q55">
        <v>8.5191932209106605E-2</v>
      </c>
      <c r="R55">
        <v>0.99896061435248995</v>
      </c>
      <c r="S55" t="s">
        <v>6507</v>
      </c>
      <c r="T55" t="s">
        <v>12902</v>
      </c>
      <c r="U55" t="s">
        <v>12902</v>
      </c>
      <c r="V55" t="s">
        <v>12902</v>
      </c>
      <c r="W55" t="s">
        <v>12957</v>
      </c>
      <c r="X55">
        <v>10</v>
      </c>
      <c r="Y55" t="s">
        <v>19351</v>
      </c>
      <c r="Z55" t="s">
        <v>25630</v>
      </c>
      <c r="AA55">
        <v>0.39813674240787789</v>
      </c>
      <c r="AB55" t="str">
        <f>HYPERLINK("Melting_Curves/meltCurve_A6NMQ1_POLA1.pdf", "Melting_Curves/meltCurve_A6NMQ1_POLA1.pdf")</f>
        <v>Melting_Curves/meltCurve_A6NMQ1_POLA1.pdf</v>
      </c>
    </row>
    <row r="56" spans="1:28" x14ac:dyDescent="0.25">
      <c r="A56" t="s">
        <v>60</v>
      </c>
      <c r="B56">
        <v>0.99673306730245903</v>
      </c>
      <c r="C56">
        <v>0.97743649826657697</v>
      </c>
      <c r="D56">
        <v>0.97745853864601795</v>
      </c>
      <c r="E56">
        <v>0.82313915847305097</v>
      </c>
      <c r="F56">
        <v>0.76093876835960095</v>
      </c>
      <c r="G56">
        <v>0.71958015083869198</v>
      </c>
      <c r="H56">
        <v>0.62418837762381696</v>
      </c>
      <c r="I56">
        <v>0.88807154654972298</v>
      </c>
      <c r="J56">
        <v>1.02281297843751</v>
      </c>
      <c r="K56">
        <v>1.07880278560499</v>
      </c>
      <c r="L56">
        <v>11581.3361108974</v>
      </c>
      <c r="M56">
        <v>250</v>
      </c>
      <c r="O56">
        <v>46.322380006608498</v>
      </c>
      <c r="P56">
        <v>-0.20864379552727699</v>
      </c>
      <c r="Q56">
        <v>0.84536196552198095</v>
      </c>
      <c r="R56">
        <v>0.19939114508387701</v>
      </c>
      <c r="S56" t="s">
        <v>6508</v>
      </c>
      <c r="T56" t="s">
        <v>12902</v>
      </c>
      <c r="U56" t="s">
        <v>12902</v>
      </c>
      <c r="V56" t="s">
        <v>12902</v>
      </c>
      <c r="W56" t="s">
        <v>12958</v>
      </c>
      <c r="X56">
        <v>8</v>
      </c>
      <c r="Y56" t="s">
        <v>19352</v>
      </c>
      <c r="Z56" t="s">
        <v>25631</v>
      </c>
      <c r="AA56">
        <v>0.87797916537259912</v>
      </c>
      <c r="AB56" t="str">
        <f>HYPERLINK("Melting_Curves/meltCurve_A6NNI4_CD9.pdf", "Melting_Curves/meltCurve_A6NNI4_CD9.pdf")</f>
        <v>Melting_Curves/meltCurve_A6NNI4_CD9.pdf</v>
      </c>
    </row>
    <row r="57" spans="1:28" x14ac:dyDescent="0.25">
      <c r="A57" t="s">
        <v>61</v>
      </c>
      <c r="B57">
        <v>0.99673306730245903</v>
      </c>
      <c r="C57">
        <v>1.04750182611419</v>
      </c>
      <c r="D57">
        <v>0.98096287165975204</v>
      </c>
      <c r="E57">
        <v>0.88646416279823104</v>
      </c>
      <c r="F57">
        <v>0.32061244587861198</v>
      </c>
      <c r="G57">
        <v>0.20441469119619601</v>
      </c>
      <c r="H57">
        <v>0.121859745876906</v>
      </c>
      <c r="I57">
        <v>0.162939361670558</v>
      </c>
      <c r="J57">
        <v>0.143869479513618</v>
      </c>
      <c r="K57">
        <v>0.114148414714465</v>
      </c>
      <c r="L57">
        <v>2276.2102188016402</v>
      </c>
      <c r="M57">
        <v>44.077202795417897</v>
      </c>
      <c r="N57">
        <v>52.045105951466198</v>
      </c>
      <c r="O57">
        <v>51.535480276475802</v>
      </c>
      <c r="P57">
        <v>-0.18286347828390201</v>
      </c>
      <c r="Q57">
        <v>0.14477841622191001</v>
      </c>
      <c r="R57">
        <v>0.99593054212091603</v>
      </c>
      <c r="S57" t="s">
        <v>6509</v>
      </c>
      <c r="T57" t="s">
        <v>12902</v>
      </c>
      <c r="U57" t="s">
        <v>12902</v>
      </c>
      <c r="V57" t="s">
        <v>12902</v>
      </c>
      <c r="W57" t="s">
        <v>12959</v>
      </c>
      <c r="X57">
        <v>4</v>
      </c>
      <c r="Y57" t="s">
        <v>19353</v>
      </c>
      <c r="Z57" t="s">
        <v>25632</v>
      </c>
      <c r="AA57">
        <v>0.47915579608029879</v>
      </c>
      <c r="AB57" t="str">
        <f>HYPERLINK("Melting_Curves/meltCurve_A6PW57_PIP5K1A.pdf", "Melting_Curves/meltCurve_A6PW57_PIP5K1A.pdf")</f>
        <v>Melting_Curves/meltCurve_A6PW57_PIP5K1A.pdf</v>
      </c>
    </row>
    <row r="58" spans="1:28" x14ac:dyDescent="0.25">
      <c r="A58" t="s">
        <v>62</v>
      </c>
      <c r="B58">
        <v>0.99673306730245903</v>
      </c>
      <c r="C58">
        <v>0.77360618970370099</v>
      </c>
      <c r="D58">
        <v>0.54376218320982905</v>
      </c>
      <c r="E58">
        <v>0.286231937859524</v>
      </c>
      <c r="F58">
        <v>0.21999027815114999</v>
      </c>
      <c r="G58">
        <v>0.17448306942603201</v>
      </c>
      <c r="H58">
        <v>8.4382194572070204E-2</v>
      </c>
      <c r="I58">
        <v>6.2535969105344397E-2</v>
      </c>
      <c r="J58">
        <v>5.90229012166779E-2</v>
      </c>
      <c r="K58">
        <v>3.6609393240347302E-2</v>
      </c>
      <c r="L58">
        <v>712.56044523327796</v>
      </c>
      <c r="M58">
        <v>15.3745779542707</v>
      </c>
      <c r="N58">
        <v>46.767746090635903</v>
      </c>
      <c r="O58">
        <v>45.583810293398002</v>
      </c>
      <c r="P58">
        <v>-7.8877440596981693E-2</v>
      </c>
      <c r="Q58">
        <v>6.4636559283570205E-2</v>
      </c>
      <c r="R58">
        <v>0.98713621296999599</v>
      </c>
      <c r="S58" t="s">
        <v>6510</v>
      </c>
      <c r="T58" t="s">
        <v>12902</v>
      </c>
      <c r="U58" t="s">
        <v>12902</v>
      </c>
      <c r="V58" t="s">
        <v>12902</v>
      </c>
      <c r="W58" t="s">
        <v>12960</v>
      </c>
      <c r="X58">
        <v>3</v>
      </c>
      <c r="Y58" t="s">
        <v>19354</v>
      </c>
      <c r="Z58" t="s">
        <v>25633</v>
      </c>
      <c r="AA58">
        <v>0.28775314453984507</v>
      </c>
      <c r="AB58" t="str">
        <f>HYPERLINK("Melting_Curves/meltCurve_A7E2V4_5_ZSWIM8.pdf", "Melting_Curves/meltCurve_A7E2V4_5_ZSWIM8.pdf")</f>
        <v>Melting_Curves/meltCurve_A7E2V4_5_ZSWIM8.pdf</v>
      </c>
    </row>
    <row r="59" spans="1:28" x14ac:dyDescent="0.25">
      <c r="A59" t="s">
        <v>63</v>
      </c>
      <c r="B59">
        <v>0.99673306730245903</v>
      </c>
      <c r="C59">
        <v>0.91752776213090004</v>
      </c>
      <c r="D59">
        <v>0.89339321728230303</v>
      </c>
      <c r="E59">
        <v>0.82719988033019698</v>
      </c>
      <c r="F59">
        <v>0.60533997857377497</v>
      </c>
      <c r="G59">
        <v>0.28877984919718203</v>
      </c>
      <c r="H59">
        <v>0.17673571186923201</v>
      </c>
      <c r="I59">
        <v>0.146565482684757</v>
      </c>
      <c r="J59">
        <v>0.109238034790811</v>
      </c>
      <c r="K59">
        <v>7.2621614542871707E-2</v>
      </c>
      <c r="L59">
        <v>873.52202723334403</v>
      </c>
      <c r="M59">
        <v>16.264097822534101</v>
      </c>
      <c r="N59">
        <v>54.146669541787901</v>
      </c>
      <c r="O59">
        <v>52.916334354884</v>
      </c>
      <c r="P59">
        <v>-7.2106986260702305E-2</v>
      </c>
      <c r="Q59">
        <v>6.1649325987944897E-2</v>
      </c>
      <c r="R59">
        <v>0.99099486260069103</v>
      </c>
      <c r="S59" t="s">
        <v>6511</v>
      </c>
      <c r="T59" t="s">
        <v>12902</v>
      </c>
      <c r="U59" t="s">
        <v>12902</v>
      </c>
      <c r="V59" t="s">
        <v>12902</v>
      </c>
      <c r="W59" t="s">
        <v>12961</v>
      </c>
      <c r="X59">
        <v>5</v>
      </c>
      <c r="Y59" t="s">
        <v>19355</v>
      </c>
      <c r="Z59" t="s">
        <v>25634</v>
      </c>
      <c r="AA59">
        <v>0.50797009212724376</v>
      </c>
      <c r="AB59" t="str">
        <f>HYPERLINK("Melting_Curves/meltCurve_A7KAX9_ARHGAP32.pdf", "Melting_Curves/meltCurve_A7KAX9_ARHGAP32.pdf")</f>
        <v>Melting_Curves/meltCurve_A7KAX9_ARHGAP32.pdf</v>
      </c>
    </row>
    <row r="60" spans="1:28" x14ac:dyDescent="0.25">
      <c r="A60" t="s">
        <v>64</v>
      </c>
      <c r="B60">
        <v>0.99673306730245903</v>
      </c>
      <c r="C60">
        <v>0.99010488141003405</v>
      </c>
      <c r="D60">
        <v>1.04590180898838</v>
      </c>
      <c r="E60">
        <v>0.82338122413178905</v>
      </c>
      <c r="F60">
        <v>0.62473160053343901</v>
      </c>
      <c r="G60">
        <v>0.475150009016717</v>
      </c>
      <c r="H60">
        <v>0.31753641901843399</v>
      </c>
      <c r="I60">
        <v>0.18056545794265899</v>
      </c>
      <c r="J60">
        <v>0.170162131380273</v>
      </c>
      <c r="K60">
        <v>0.14856901472203099</v>
      </c>
      <c r="L60">
        <v>811.95903787903603</v>
      </c>
      <c r="M60">
        <v>14.7790617679523</v>
      </c>
      <c r="N60">
        <v>55.912073325767501</v>
      </c>
      <c r="O60">
        <v>53.963362868541303</v>
      </c>
      <c r="P60">
        <v>-6.0716284441433697E-2</v>
      </c>
      <c r="Q60">
        <v>0.113312021209312</v>
      </c>
      <c r="R60">
        <v>0.98902136658613504</v>
      </c>
      <c r="S60" t="s">
        <v>6512</v>
      </c>
      <c r="T60" t="s">
        <v>12902</v>
      </c>
      <c r="U60" t="s">
        <v>12902</v>
      </c>
      <c r="V60" t="s">
        <v>12902</v>
      </c>
      <c r="W60" t="s">
        <v>12962</v>
      </c>
      <c r="X60">
        <v>6</v>
      </c>
      <c r="Y60" t="s">
        <v>19356</v>
      </c>
      <c r="Z60" t="s">
        <v>25635</v>
      </c>
      <c r="AA60">
        <v>0.57232079077831799</v>
      </c>
      <c r="AB60" t="str">
        <f>HYPERLINK("Melting_Curves/meltCurve_A7XYQ1_SOBP.pdf", "Melting_Curves/meltCurve_A7XYQ1_SOBP.pdf")</f>
        <v>Melting_Curves/meltCurve_A7XYQ1_SOBP.pdf</v>
      </c>
    </row>
    <row r="61" spans="1:28" x14ac:dyDescent="0.25">
      <c r="A61" t="s">
        <v>65</v>
      </c>
      <c r="B61">
        <v>0.99673306730245903</v>
      </c>
      <c r="C61">
        <v>1.0601530886916599</v>
      </c>
      <c r="D61">
        <v>0.98744779862064103</v>
      </c>
      <c r="E61">
        <v>0.94488140145465005</v>
      </c>
      <c r="F61">
        <v>0.68899028258752504</v>
      </c>
      <c r="G61">
        <v>0.18351512137503201</v>
      </c>
      <c r="H61">
        <v>9.8728163417806505E-2</v>
      </c>
      <c r="I61">
        <v>5.2243002241699601E-2</v>
      </c>
      <c r="J61">
        <v>4.2329562578949202E-2</v>
      </c>
      <c r="K61">
        <v>3.90242992642603E-2</v>
      </c>
      <c r="L61">
        <v>1981.14833430146</v>
      </c>
      <c r="M61">
        <v>36.565746808596899</v>
      </c>
      <c r="N61">
        <v>54.336811066205499</v>
      </c>
      <c r="O61">
        <v>54.019158185871902</v>
      </c>
      <c r="P61">
        <v>-0.160775085846349</v>
      </c>
      <c r="Q61">
        <v>4.9940492680189297E-2</v>
      </c>
      <c r="R61">
        <v>0.99695880548205595</v>
      </c>
      <c r="S61" t="s">
        <v>6513</v>
      </c>
      <c r="T61" t="s">
        <v>12902</v>
      </c>
      <c r="U61" t="s">
        <v>12902</v>
      </c>
      <c r="V61" t="s">
        <v>12902</v>
      </c>
      <c r="W61" t="s">
        <v>12963</v>
      </c>
      <c r="X61">
        <v>2</v>
      </c>
      <c r="Y61" t="s">
        <v>19357</v>
      </c>
      <c r="Z61" t="s">
        <v>25636</v>
      </c>
      <c r="AA61">
        <v>0.50326076338254733</v>
      </c>
      <c r="AB61" t="str">
        <f>HYPERLINK("Melting_Curves/meltCurve_A8K0B5_ZBTB8OS.pdf", "Melting_Curves/meltCurve_A8K0B5_ZBTB8OS.pdf")</f>
        <v>Melting_Curves/meltCurve_A8K0B5_ZBTB8OS.pdf</v>
      </c>
    </row>
    <row r="62" spans="1:28" x14ac:dyDescent="0.25">
      <c r="A62" t="s">
        <v>66</v>
      </c>
      <c r="B62">
        <v>0.99673306730245903</v>
      </c>
      <c r="C62">
        <v>0.95346655777440403</v>
      </c>
      <c r="D62">
        <v>0.909470837510307</v>
      </c>
      <c r="E62">
        <v>0.68948317343357202</v>
      </c>
      <c r="F62">
        <v>0.35680585194966902</v>
      </c>
      <c r="G62">
        <v>0.236871619304095</v>
      </c>
      <c r="H62">
        <v>0.18223414197017401</v>
      </c>
      <c r="I62">
        <v>0.25390919826503899</v>
      </c>
      <c r="J62">
        <v>0.32251489027952801</v>
      </c>
      <c r="K62">
        <v>0.31130774804854799</v>
      </c>
      <c r="L62">
        <v>1483.4827266027701</v>
      </c>
      <c r="M62">
        <v>29.685180172706001</v>
      </c>
      <c r="N62">
        <v>51.2169092952158</v>
      </c>
      <c r="O62">
        <v>49.748697613033102</v>
      </c>
      <c r="P62">
        <v>-0.110877189292387</v>
      </c>
      <c r="Q62">
        <v>0.25673895175679801</v>
      </c>
      <c r="R62">
        <v>0.98091910947412597</v>
      </c>
      <c r="S62" t="s">
        <v>6514</v>
      </c>
      <c r="T62" t="s">
        <v>12902</v>
      </c>
      <c r="U62" t="s">
        <v>12902</v>
      </c>
      <c r="V62" t="s">
        <v>12902</v>
      </c>
      <c r="W62" t="s">
        <v>12964</v>
      </c>
      <c r="X62">
        <v>4</v>
      </c>
      <c r="Y62" t="s">
        <v>19358</v>
      </c>
      <c r="Z62" t="s">
        <v>25637</v>
      </c>
      <c r="AA62">
        <v>0.50853916583770076</v>
      </c>
      <c r="AB62" t="str">
        <f>HYPERLINK("Melting_Curves/meltCurve_A8K0M9_SELK.pdf", "Melting_Curves/meltCurve_A8K0M9_SELK.pdf")</f>
        <v>Melting_Curves/meltCurve_A8K0M9_SELK.pdf</v>
      </c>
    </row>
    <row r="63" spans="1:28" x14ac:dyDescent="0.25">
      <c r="A63" t="s">
        <v>67</v>
      </c>
      <c r="B63">
        <v>0.99673306730245903</v>
      </c>
      <c r="C63">
        <v>0.84482588770137601</v>
      </c>
      <c r="D63">
        <v>0.55983309422783001</v>
      </c>
      <c r="E63">
        <v>0.63714773225136501</v>
      </c>
      <c r="F63">
        <v>0.454977635885006</v>
      </c>
      <c r="G63">
        <v>0.345475979363077</v>
      </c>
      <c r="H63">
        <v>0.107754376369174</v>
      </c>
      <c r="I63">
        <v>3.8084904887481501E-2</v>
      </c>
      <c r="J63">
        <v>4.3956469301027999E-2</v>
      </c>
      <c r="K63">
        <v>4.4400819534627697E-2</v>
      </c>
      <c r="L63">
        <v>488.294425997769</v>
      </c>
      <c r="M63">
        <v>9.62622492106963</v>
      </c>
      <c r="N63">
        <v>50.7254319213706</v>
      </c>
      <c r="O63">
        <v>48.681323950735703</v>
      </c>
      <c r="P63">
        <v>-4.9462704299989703E-2</v>
      </c>
      <c r="Q63">
        <v>0</v>
      </c>
      <c r="R63">
        <v>0.94268124846281698</v>
      </c>
      <c r="S63" t="s">
        <v>6515</v>
      </c>
      <c r="T63" t="s">
        <v>12902</v>
      </c>
      <c r="U63" t="s">
        <v>12902</v>
      </c>
      <c r="V63" t="s">
        <v>12902</v>
      </c>
      <c r="W63" t="s">
        <v>12965</v>
      </c>
      <c r="X63">
        <v>45</v>
      </c>
      <c r="Y63" t="s">
        <v>19359</v>
      </c>
      <c r="Z63" t="s">
        <v>25638</v>
      </c>
      <c r="AA63">
        <v>0.40217545039712338</v>
      </c>
      <c r="AB63" t="str">
        <f>HYPERLINK("Melting_Curves/meltCurve_A8K7Q2_HSPA8.pdf", "Melting_Curves/meltCurve_A8K7Q2_HSPA8.pdf")</f>
        <v>Melting_Curves/meltCurve_A8K7Q2_HSPA8.pdf</v>
      </c>
    </row>
    <row r="64" spans="1:28" x14ac:dyDescent="0.25">
      <c r="A64" t="s">
        <v>68</v>
      </c>
      <c r="B64">
        <v>0.99673306730245903</v>
      </c>
      <c r="C64">
        <v>1.0016652877099299</v>
      </c>
      <c r="D64">
        <v>0.93534682171889105</v>
      </c>
      <c r="E64">
        <v>0.82652314527544501</v>
      </c>
      <c r="F64">
        <v>0.59579589955094803</v>
      </c>
      <c r="G64">
        <v>0.35603608803180498</v>
      </c>
      <c r="H64">
        <v>0.144474712410153</v>
      </c>
      <c r="I64">
        <v>7.2516415029737796E-2</v>
      </c>
      <c r="J64">
        <v>6.1016037830954703E-2</v>
      </c>
      <c r="K64">
        <v>5.1985488273154697E-2</v>
      </c>
      <c r="L64">
        <v>888.91251402981698</v>
      </c>
      <c r="M64">
        <v>16.348839032858098</v>
      </c>
      <c r="N64">
        <v>54.4541876689389</v>
      </c>
      <c r="O64">
        <v>53.577646660162102</v>
      </c>
      <c r="P64">
        <v>-7.5357016473623306E-2</v>
      </c>
      <c r="Q64">
        <v>1.22454255272408E-2</v>
      </c>
      <c r="R64">
        <v>0.99896348243204103</v>
      </c>
      <c r="S64" t="s">
        <v>6516</v>
      </c>
      <c r="T64" t="s">
        <v>12902</v>
      </c>
      <c r="U64" t="s">
        <v>12902</v>
      </c>
      <c r="V64" t="s">
        <v>12902</v>
      </c>
      <c r="W64" t="s">
        <v>12966</v>
      </c>
      <c r="X64">
        <v>1</v>
      </c>
      <c r="Y64" t="s">
        <v>19360</v>
      </c>
      <c r="Z64" t="s">
        <v>25639</v>
      </c>
      <c r="AA64">
        <v>0.50326573541911201</v>
      </c>
      <c r="AB64" t="str">
        <f>HYPERLINK("Melting_Curves/meltCurve_A8MPS7_YDJC.pdf", "Melting_Curves/meltCurve_A8MPS7_YDJC.pdf")</f>
        <v>Melting_Curves/meltCurve_A8MPS7_YDJC.pdf</v>
      </c>
    </row>
    <row r="65" spans="1:28" x14ac:dyDescent="0.25">
      <c r="A65" t="s">
        <v>69</v>
      </c>
      <c r="B65">
        <v>0.99673306730245903</v>
      </c>
      <c r="C65">
        <v>0.99147780733499702</v>
      </c>
      <c r="D65">
        <v>0.78274442228527796</v>
      </c>
      <c r="E65">
        <v>0.79152871062389496</v>
      </c>
      <c r="F65">
        <v>0.268713589821795</v>
      </c>
      <c r="G65">
        <v>0.175251351368682</v>
      </c>
      <c r="H65">
        <v>0.12091392122379301</v>
      </c>
      <c r="I65">
        <v>0.14697338878000399</v>
      </c>
      <c r="J65">
        <v>0.20710489095458601</v>
      </c>
      <c r="K65">
        <v>0.20072786799807199</v>
      </c>
      <c r="L65">
        <v>1720.49873596623</v>
      </c>
      <c r="M65">
        <v>33.894589501012597</v>
      </c>
      <c r="N65">
        <v>51.348150775923799</v>
      </c>
      <c r="O65">
        <v>50.584559700433701</v>
      </c>
      <c r="P65">
        <v>-0.14057698016363199</v>
      </c>
      <c r="Q65">
        <v>0.16081046539841601</v>
      </c>
      <c r="R65">
        <v>0.96197974074422099</v>
      </c>
      <c r="S65" t="s">
        <v>6517</v>
      </c>
      <c r="T65" t="s">
        <v>12902</v>
      </c>
      <c r="U65" t="s">
        <v>12902</v>
      </c>
      <c r="V65" t="s">
        <v>12902</v>
      </c>
      <c r="W65" t="s">
        <v>12967</v>
      </c>
      <c r="X65">
        <v>38</v>
      </c>
      <c r="Y65" t="s">
        <v>19361</v>
      </c>
      <c r="Z65" t="s">
        <v>25640</v>
      </c>
      <c r="AA65">
        <v>0.46591883410941648</v>
      </c>
      <c r="AB65" t="str">
        <f>HYPERLINK("Melting_Curves/meltCurve_A8MQ02_MLLT4.pdf", "Melting_Curves/meltCurve_A8MQ02_MLLT4.pdf")</f>
        <v>Melting_Curves/meltCurve_A8MQ02_MLLT4.pdf</v>
      </c>
    </row>
    <row r="66" spans="1:28" x14ac:dyDescent="0.25">
      <c r="A66" t="s">
        <v>70</v>
      </c>
      <c r="B66">
        <v>0.99673306730245903</v>
      </c>
      <c r="C66">
        <v>1.0246849299566201</v>
      </c>
      <c r="D66">
        <v>1.07525226204304</v>
      </c>
      <c r="E66">
        <v>0.88687948389437399</v>
      </c>
      <c r="F66">
        <v>0.32075628341062501</v>
      </c>
      <c r="G66">
        <v>0.135830800249889</v>
      </c>
      <c r="H66">
        <v>6.9190016224158005E-2</v>
      </c>
      <c r="I66">
        <v>6.9031730433327998E-2</v>
      </c>
      <c r="J66">
        <v>8.2364095166329504E-2</v>
      </c>
      <c r="K66">
        <v>8.2070672651575097E-2</v>
      </c>
      <c r="L66">
        <v>2193.99910064906</v>
      </c>
      <c r="M66">
        <v>42.257838228592703</v>
      </c>
      <c r="N66">
        <v>52.139407458933398</v>
      </c>
      <c r="O66">
        <v>51.803474493121399</v>
      </c>
      <c r="P66">
        <v>-0.18727662888300101</v>
      </c>
      <c r="Q66">
        <v>8.1679109289531204E-2</v>
      </c>
      <c r="R66">
        <v>0.995624165224547</v>
      </c>
      <c r="S66" t="s">
        <v>6518</v>
      </c>
      <c r="T66" t="s">
        <v>12902</v>
      </c>
      <c r="U66" t="s">
        <v>12902</v>
      </c>
      <c r="V66" t="s">
        <v>12902</v>
      </c>
      <c r="W66" t="s">
        <v>12968</v>
      </c>
      <c r="X66">
        <v>10</v>
      </c>
      <c r="Y66" t="s">
        <v>19362</v>
      </c>
      <c r="Z66" t="s">
        <v>25641</v>
      </c>
      <c r="AA66">
        <v>0.44948820367764353</v>
      </c>
      <c r="AB66" t="str">
        <f>HYPERLINK("Melting_Curves/meltCurve_A8MSH5_RTFDC1.pdf", "Melting_Curves/meltCurve_A8MSH5_RTFDC1.pdf")</f>
        <v>Melting_Curves/meltCurve_A8MSH5_RTFDC1.pdf</v>
      </c>
    </row>
    <row r="67" spans="1:28" x14ac:dyDescent="0.25">
      <c r="A67" t="s">
        <v>71</v>
      </c>
      <c r="B67">
        <v>0.99673306730245903</v>
      </c>
      <c r="C67">
        <v>1.0927909758229399</v>
      </c>
      <c r="D67">
        <v>1.0131703140892601</v>
      </c>
      <c r="E67">
        <v>1.24886128810645</v>
      </c>
      <c r="F67">
        <v>0.89836513562911502</v>
      </c>
      <c r="G67">
        <v>0.76207568197162301</v>
      </c>
      <c r="H67">
        <v>0.63027953373684897</v>
      </c>
      <c r="I67">
        <v>1.0562859512071601</v>
      </c>
      <c r="J67">
        <v>0.54308677100536196</v>
      </c>
      <c r="K67">
        <v>0.472953641986679</v>
      </c>
      <c r="L67">
        <v>651.69131977198799</v>
      </c>
      <c r="M67">
        <v>9.2265321788187897</v>
      </c>
      <c r="O67">
        <v>67.551987638979597</v>
      </c>
      <c r="P67">
        <v>-3.4168610143003798E-2</v>
      </c>
      <c r="Q67">
        <v>0</v>
      </c>
      <c r="R67">
        <v>0.56732905308773796</v>
      </c>
      <c r="S67" t="s">
        <v>6519</v>
      </c>
      <c r="T67" t="s">
        <v>12902</v>
      </c>
      <c r="U67" t="s">
        <v>12902</v>
      </c>
      <c r="V67" t="s">
        <v>12902</v>
      </c>
      <c r="W67" t="s">
        <v>12969</v>
      </c>
      <c r="X67">
        <v>1</v>
      </c>
      <c r="Y67" t="s">
        <v>19363</v>
      </c>
      <c r="Z67" t="s">
        <v>25642</v>
      </c>
      <c r="AA67">
        <v>0.86763549757562286</v>
      </c>
      <c r="AB67" t="str">
        <f>HYPERLINK("Melting_Curves/meltCurve_A8MT72_RTN1.pdf", "Melting_Curves/meltCurve_A8MT72_RTN1.pdf")</f>
        <v>Melting_Curves/meltCurve_A8MT72_RTN1.pdf</v>
      </c>
    </row>
    <row r="68" spans="1:28" x14ac:dyDescent="0.25">
      <c r="A68" t="s">
        <v>72</v>
      </c>
      <c r="B68">
        <v>0.99673306730245903</v>
      </c>
      <c r="C68">
        <v>0.97864916923004197</v>
      </c>
      <c r="D68">
        <v>0.89350114236476297</v>
      </c>
      <c r="E68">
        <v>0.73210737531431203</v>
      </c>
      <c r="F68">
        <v>0.40227059251213998</v>
      </c>
      <c r="G68">
        <v>0.20113317897497299</v>
      </c>
      <c r="H68">
        <v>0.13281944125148101</v>
      </c>
      <c r="I68">
        <v>0.11864325250454601</v>
      </c>
      <c r="J68">
        <v>0.13623262660237101</v>
      </c>
      <c r="K68">
        <v>0.107153957255266</v>
      </c>
      <c r="L68">
        <v>1063.7622499925301</v>
      </c>
      <c r="M68">
        <v>20.7011936356392</v>
      </c>
      <c r="N68">
        <v>51.987880193647797</v>
      </c>
      <c r="O68">
        <v>50.914202646230301</v>
      </c>
      <c r="P68">
        <v>-9.0827317563089704E-2</v>
      </c>
      <c r="Q68">
        <v>0.106472917415239</v>
      </c>
      <c r="R68">
        <v>0.99821873075705203</v>
      </c>
      <c r="S68" t="s">
        <v>6520</v>
      </c>
      <c r="T68" t="s">
        <v>12902</v>
      </c>
      <c r="U68" t="s">
        <v>12902</v>
      </c>
      <c r="V68" t="s">
        <v>12902</v>
      </c>
      <c r="W68" t="s">
        <v>12970</v>
      </c>
      <c r="X68">
        <v>4</v>
      </c>
      <c r="Y68" t="s">
        <v>19364</v>
      </c>
      <c r="Z68" t="s">
        <v>25643</v>
      </c>
      <c r="AA68">
        <v>0.45723662419289302</v>
      </c>
      <c r="AB68" t="str">
        <f>HYPERLINK("Melting_Curves/meltCurve_A8MTF8_FAM3B.pdf", "Melting_Curves/meltCurve_A8MTF8_FAM3B.pdf")</f>
        <v>Melting_Curves/meltCurve_A8MTF8_FAM3B.pdf</v>
      </c>
    </row>
    <row r="69" spans="1:28" x14ac:dyDescent="0.25">
      <c r="A69" t="s">
        <v>73</v>
      </c>
      <c r="B69">
        <v>0.99673306730245903</v>
      </c>
      <c r="C69">
        <v>1.0379662787420201</v>
      </c>
      <c r="D69">
        <v>1.07984479689449</v>
      </c>
      <c r="E69">
        <v>1.1436339981483401</v>
      </c>
      <c r="F69">
        <v>0.59881618082243204</v>
      </c>
      <c r="G69">
        <v>0.31500011911493198</v>
      </c>
      <c r="H69">
        <v>0.11804171578917901</v>
      </c>
      <c r="I69">
        <v>7.6398880929182997E-2</v>
      </c>
      <c r="J69">
        <v>8.2330134591788395E-2</v>
      </c>
      <c r="K69">
        <v>6.9933399244701405E-2</v>
      </c>
      <c r="L69">
        <v>1800.3099762003201</v>
      </c>
      <c r="M69">
        <v>33.239836944297501</v>
      </c>
      <c r="N69">
        <v>54.477918130997601</v>
      </c>
      <c r="O69">
        <v>53.966314799810803</v>
      </c>
      <c r="P69">
        <v>-0.14045611400185501</v>
      </c>
      <c r="Q69">
        <v>8.7857666483224905E-2</v>
      </c>
      <c r="R69">
        <v>0.97304965684507505</v>
      </c>
      <c r="S69" t="s">
        <v>6521</v>
      </c>
      <c r="T69" t="s">
        <v>12902</v>
      </c>
      <c r="U69" t="s">
        <v>12902</v>
      </c>
      <c r="V69" t="s">
        <v>12902</v>
      </c>
      <c r="W69" t="s">
        <v>12971</v>
      </c>
      <c r="X69">
        <v>4</v>
      </c>
      <c r="Y69" t="s">
        <v>19365</v>
      </c>
      <c r="Z69" t="s">
        <v>25644</v>
      </c>
      <c r="AA69">
        <v>0.523343710023083</v>
      </c>
      <c r="AB69" t="str">
        <f>HYPERLINK("Melting_Curves/meltCurve_A8MTG8_ARMC8.pdf", "Melting_Curves/meltCurve_A8MTG8_ARMC8.pdf")</f>
        <v>Melting_Curves/meltCurve_A8MTG8_ARMC8.pdf</v>
      </c>
    </row>
    <row r="70" spans="1:28" x14ac:dyDescent="0.25">
      <c r="A70" t="s">
        <v>74</v>
      </c>
      <c r="B70">
        <v>0.99673306730245903</v>
      </c>
      <c r="C70">
        <v>0.83514146205225803</v>
      </c>
      <c r="D70">
        <v>0.67271836800491402</v>
      </c>
      <c r="E70">
        <v>0.73186240395111501</v>
      </c>
      <c r="F70">
        <v>0.30514074585104201</v>
      </c>
      <c r="G70">
        <v>0.25941401949523901</v>
      </c>
      <c r="H70">
        <v>0.20194372910265199</v>
      </c>
      <c r="I70">
        <v>7.76073099622787E-2</v>
      </c>
      <c r="J70">
        <v>0.102214990181606</v>
      </c>
      <c r="K70">
        <v>0</v>
      </c>
      <c r="L70">
        <v>534.07387606293003</v>
      </c>
      <c r="M70">
        <v>10.458791899549899</v>
      </c>
      <c r="N70">
        <v>51.064561631844001</v>
      </c>
      <c r="O70">
        <v>49.303653560061697</v>
      </c>
      <c r="P70">
        <v>-5.30542704909122E-2</v>
      </c>
      <c r="Q70">
        <v>0</v>
      </c>
      <c r="R70">
        <v>0.95543523141555298</v>
      </c>
      <c r="S70" t="s">
        <v>6522</v>
      </c>
      <c r="T70" t="s">
        <v>12902</v>
      </c>
      <c r="U70" t="s">
        <v>12902</v>
      </c>
      <c r="V70" t="s">
        <v>12902</v>
      </c>
      <c r="W70" t="s">
        <v>12972</v>
      </c>
      <c r="X70">
        <v>1</v>
      </c>
      <c r="Y70" t="s">
        <v>19366</v>
      </c>
      <c r="Z70" t="s">
        <v>25645</v>
      </c>
      <c r="AA70">
        <v>0.40792205490363909</v>
      </c>
      <c r="AB70" t="str">
        <f>HYPERLINK("Melting_Curves/meltCurve_A8MTK3_POT1.pdf", "Melting_Curves/meltCurve_A8MTK3_POT1.pdf")</f>
        <v>Melting_Curves/meltCurve_A8MTK3_POT1.pdf</v>
      </c>
    </row>
    <row r="71" spans="1:28" x14ac:dyDescent="0.25">
      <c r="A71" t="s">
        <v>75</v>
      </c>
      <c r="B71">
        <v>0.99673306730245903</v>
      </c>
      <c r="C71">
        <v>1.01606022120012</v>
      </c>
      <c r="D71">
        <v>0.93785897578583799</v>
      </c>
      <c r="E71">
        <v>0.67544731320514995</v>
      </c>
      <c r="F71">
        <v>0.52976279292954997</v>
      </c>
      <c r="G71">
        <v>0.54032636914768295</v>
      </c>
      <c r="H71">
        <v>0.46704098405137301</v>
      </c>
      <c r="I71">
        <v>0.276609422702015</v>
      </c>
      <c r="J71">
        <v>0.32162820240801698</v>
      </c>
      <c r="K71">
        <v>0.20784903033236901</v>
      </c>
      <c r="L71">
        <v>564.40936373507395</v>
      </c>
      <c r="M71">
        <v>10.5940447969117</v>
      </c>
      <c r="N71">
        <v>56.1360796039761</v>
      </c>
      <c r="O71">
        <v>51.482935716436501</v>
      </c>
      <c r="P71">
        <v>-4.0731628813159899E-2</v>
      </c>
      <c r="Q71">
        <v>0.208549103235461</v>
      </c>
      <c r="R71">
        <v>0.95050973389919202</v>
      </c>
      <c r="S71" t="s">
        <v>6523</v>
      </c>
      <c r="T71" t="s">
        <v>12902</v>
      </c>
      <c r="U71" t="s">
        <v>12902</v>
      </c>
      <c r="V71" t="s">
        <v>12902</v>
      </c>
      <c r="W71" t="s">
        <v>12973</v>
      </c>
      <c r="X71">
        <v>1</v>
      </c>
      <c r="Y71" t="s">
        <v>19367</v>
      </c>
      <c r="Z71" t="s">
        <v>25646</v>
      </c>
      <c r="AA71">
        <v>0.58372407529127635</v>
      </c>
      <c r="AB71" t="str">
        <f>HYPERLINK("Melting_Curves/meltCurve_A8MTT3_hCG_1988162.pdf", "Melting_Curves/meltCurve_A8MTT3_hCG_1988162.pdf")</f>
        <v>Melting_Curves/meltCurve_A8MTT3_hCG_1988162.pdf</v>
      </c>
    </row>
    <row r="72" spans="1:28" x14ac:dyDescent="0.25">
      <c r="A72" t="s">
        <v>76</v>
      </c>
      <c r="B72">
        <v>0.99673306730245903</v>
      </c>
      <c r="C72">
        <v>0.97918483554606495</v>
      </c>
      <c r="D72">
        <v>0.93457511230894597</v>
      </c>
      <c r="E72">
        <v>0.85033704189512105</v>
      </c>
      <c r="F72">
        <v>0.38316977616120101</v>
      </c>
      <c r="G72">
        <v>0.20282294553791899</v>
      </c>
      <c r="H72">
        <v>0.135991733288365</v>
      </c>
      <c r="I72">
        <v>0.113626022174616</v>
      </c>
      <c r="J72">
        <v>7.9612417828753002E-2</v>
      </c>
      <c r="K72">
        <v>3.8769321063611299E-2</v>
      </c>
      <c r="L72">
        <v>1424.81566873769</v>
      </c>
      <c r="M72">
        <v>27.356836180015101</v>
      </c>
      <c r="N72">
        <v>52.454518744793802</v>
      </c>
      <c r="O72">
        <v>51.806704882904</v>
      </c>
      <c r="P72">
        <v>-0.120378168070328</v>
      </c>
      <c r="Q72">
        <v>8.8149306982600206E-2</v>
      </c>
      <c r="R72">
        <v>0.99405711364268701</v>
      </c>
      <c r="S72" t="s">
        <v>6524</v>
      </c>
      <c r="T72" t="s">
        <v>12902</v>
      </c>
      <c r="U72" t="s">
        <v>12902</v>
      </c>
      <c r="V72" t="s">
        <v>12902</v>
      </c>
      <c r="W72" t="s">
        <v>12974</v>
      </c>
      <c r="X72">
        <v>3</v>
      </c>
      <c r="Y72" t="s">
        <v>19368</v>
      </c>
      <c r="Z72" t="s">
        <v>25647</v>
      </c>
      <c r="AA72">
        <v>0.46239621057289121</v>
      </c>
      <c r="AB72" t="str">
        <f>HYPERLINK("Melting_Curves/meltCurve_A8MTY9_DSCR3.pdf", "Melting_Curves/meltCurve_A8MTY9_DSCR3.pdf")</f>
        <v>Melting_Curves/meltCurve_A8MTY9_DSCR3.pdf</v>
      </c>
    </row>
    <row r="73" spans="1:28" x14ac:dyDescent="0.25">
      <c r="A73" t="s">
        <v>77</v>
      </c>
      <c r="B73">
        <v>0.99673306730245903</v>
      </c>
      <c r="C73">
        <v>0.94699575871817498</v>
      </c>
      <c r="D73">
        <v>0.85429893890696895</v>
      </c>
      <c r="E73">
        <v>0.76581585575938504</v>
      </c>
      <c r="F73">
        <v>0.48276309424255698</v>
      </c>
      <c r="G73">
        <v>0.27989188778315499</v>
      </c>
      <c r="H73">
        <v>9.0010040366937299E-2</v>
      </c>
      <c r="I73">
        <v>5.4580283210299799E-2</v>
      </c>
      <c r="J73">
        <v>7.1072168833951802E-2</v>
      </c>
      <c r="K73">
        <v>5.6264866268277501E-2</v>
      </c>
      <c r="L73">
        <v>794.40752766405001</v>
      </c>
      <c r="M73">
        <v>15.0274955916135</v>
      </c>
      <c r="N73">
        <v>52.930095470020397</v>
      </c>
      <c r="O73">
        <v>51.953974978079302</v>
      </c>
      <c r="P73">
        <v>-7.1642728678897205E-2</v>
      </c>
      <c r="Q73">
        <v>9.3489142391696596E-3</v>
      </c>
      <c r="R73">
        <v>0.99458342226956598</v>
      </c>
      <c r="S73" t="s">
        <v>6525</v>
      </c>
      <c r="T73" t="s">
        <v>12902</v>
      </c>
      <c r="U73" t="s">
        <v>12902</v>
      </c>
      <c r="V73" t="s">
        <v>12902</v>
      </c>
      <c r="W73" t="s">
        <v>12975</v>
      </c>
      <c r="X73">
        <v>1</v>
      </c>
      <c r="Y73" t="s">
        <v>19369</v>
      </c>
      <c r="Z73" t="s">
        <v>25648</v>
      </c>
      <c r="AA73">
        <v>0.45551025698115882</v>
      </c>
      <c r="AB73" t="str">
        <f>HYPERLINK("Melting_Curves/meltCurve_A8MU21_TMEM147.pdf", "Melting_Curves/meltCurve_A8MU21_TMEM147.pdf")</f>
        <v>Melting_Curves/meltCurve_A8MU21_TMEM147.pdf</v>
      </c>
    </row>
    <row r="74" spans="1:28" x14ac:dyDescent="0.25">
      <c r="A74" t="s">
        <v>78</v>
      </c>
      <c r="B74">
        <v>0.99673306730245903</v>
      </c>
      <c r="C74">
        <v>0.85083522725424499</v>
      </c>
      <c r="D74">
        <v>0.55999972860551295</v>
      </c>
      <c r="E74">
        <v>0.25109281152889201</v>
      </c>
      <c r="F74">
        <v>0.148650195367652</v>
      </c>
      <c r="G74">
        <v>9.60724860916084E-2</v>
      </c>
      <c r="H74">
        <v>6.6946906591857105E-2</v>
      </c>
      <c r="I74">
        <v>6.2960369667468902E-2</v>
      </c>
      <c r="J74">
        <v>7.5377147644417802E-2</v>
      </c>
      <c r="K74">
        <v>6.6102419493849193E-2</v>
      </c>
      <c r="L74">
        <v>975.29392453759601</v>
      </c>
      <c r="M74">
        <v>21.0678450072629</v>
      </c>
      <c r="N74">
        <v>46.630557335971702</v>
      </c>
      <c r="O74">
        <v>45.881974455015403</v>
      </c>
      <c r="P74">
        <v>-0.10667802004094</v>
      </c>
      <c r="Q74">
        <v>7.0722468306331498E-2</v>
      </c>
      <c r="R74">
        <v>0.99853886874199105</v>
      </c>
      <c r="S74" t="s">
        <v>6526</v>
      </c>
      <c r="T74" t="s">
        <v>12902</v>
      </c>
      <c r="U74" t="s">
        <v>12902</v>
      </c>
      <c r="V74" t="s">
        <v>12902</v>
      </c>
      <c r="W74" t="s">
        <v>12976</v>
      </c>
      <c r="X74">
        <v>21</v>
      </c>
      <c r="Y74" t="s">
        <v>19370</v>
      </c>
      <c r="Z74" t="s">
        <v>25649</v>
      </c>
      <c r="AA74">
        <v>0.27817378268114318</v>
      </c>
      <c r="AB74" t="str">
        <f>HYPERLINK("Melting_Curves/meltCurve_A8MU44_HOOK1.pdf", "Melting_Curves/meltCurve_A8MU44_HOOK1.pdf")</f>
        <v>Melting_Curves/meltCurve_A8MU44_HOOK1.pdf</v>
      </c>
    </row>
    <row r="75" spans="1:28" x14ac:dyDescent="0.25">
      <c r="A75" t="s">
        <v>79</v>
      </c>
      <c r="B75">
        <v>0.99673306730245903</v>
      </c>
      <c r="C75">
        <v>0.92190241800609496</v>
      </c>
      <c r="D75">
        <v>0.96976594105096703</v>
      </c>
      <c r="E75">
        <v>0.67469090510839402</v>
      </c>
      <c r="F75">
        <v>0.57524180804614899</v>
      </c>
      <c r="G75">
        <v>0.53414877845792796</v>
      </c>
      <c r="H75">
        <v>0.47986859780722402</v>
      </c>
      <c r="I75">
        <v>0.939644057458346</v>
      </c>
      <c r="J75">
        <v>0.99395463765201397</v>
      </c>
      <c r="K75">
        <v>1.00971063851089</v>
      </c>
      <c r="L75">
        <v>11592.505826491701</v>
      </c>
      <c r="M75">
        <v>250</v>
      </c>
      <c r="O75">
        <v>46.3670500565852</v>
      </c>
      <c r="P75">
        <v>-0.34521519808401702</v>
      </c>
      <c r="Q75">
        <v>0.74389420186529698</v>
      </c>
      <c r="R75">
        <v>0.23082213294374501</v>
      </c>
      <c r="S75" t="s">
        <v>6527</v>
      </c>
      <c r="T75" t="s">
        <v>12902</v>
      </c>
      <c r="U75" t="s">
        <v>12902</v>
      </c>
      <c r="V75" t="s">
        <v>12902</v>
      </c>
      <c r="W75" t="s">
        <v>12977</v>
      </c>
      <c r="X75">
        <v>3</v>
      </c>
      <c r="Y75" t="s">
        <v>19371</v>
      </c>
      <c r="Z75" t="s">
        <v>25650</v>
      </c>
      <c r="AA75">
        <v>0.79829504017803965</v>
      </c>
      <c r="AB75" t="str">
        <f>HYPERLINK("Melting_Curves/meltCurve_A8MUA9_SUMO3.pdf", "Melting_Curves/meltCurve_A8MUA9_SUMO3.pdf")</f>
        <v>Melting_Curves/meltCurve_A8MUA9_SUMO3.pdf</v>
      </c>
    </row>
    <row r="76" spans="1:28" x14ac:dyDescent="0.25">
      <c r="A76" t="s">
        <v>80</v>
      </c>
      <c r="B76">
        <v>0.99673306730245903</v>
      </c>
      <c r="C76">
        <v>0.994417037044943</v>
      </c>
      <c r="D76">
        <v>0.96224372843293304</v>
      </c>
      <c r="E76">
        <v>0.92026908864950596</v>
      </c>
      <c r="F76">
        <v>0.78340909756191301</v>
      </c>
      <c r="G76">
        <v>0.53750663248239905</v>
      </c>
      <c r="H76">
        <v>0.24485221897937701</v>
      </c>
      <c r="I76">
        <v>6.4804965335072795E-2</v>
      </c>
      <c r="J76">
        <v>4.3456506531759198E-2</v>
      </c>
      <c r="K76">
        <v>3.3905143298125801E-2</v>
      </c>
      <c r="L76">
        <v>1087.1040426585801</v>
      </c>
      <c r="M76">
        <v>19.080615048079299</v>
      </c>
      <c r="N76">
        <v>56.974267069229597</v>
      </c>
      <c r="O76">
        <v>56.359528141613403</v>
      </c>
      <c r="P76">
        <v>-8.46412571761571E-2</v>
      </c>
      <c r="Q76">
        <v>0</v>
      </c>
      <c r="R76">
        <v>0.99730689424291896</v>
      </c>
      <c r="S76" t="s">
        <v>6528</v>
      </c>
      <c r="T76" t="s">
        <v>12902</v>
      </c>
      <c r="U76" t="s">
        <v>12902</v>
      </c>
      <c r="V76" t="s">
        <v>12902</v>
      </c>
      <c r="W76" t="s">
        <v>12978</v>
      </c>
      <c r="X76">
        <v>33</v>
      </c>
      <c r="Y76" t="s">
        <v>19372</v>
      </c>
      <c r="Z76" t="s">
        <v>25651</v>
      </c>
      <c r="AA76">
        <v>0.57874897085740218</v>
      </c>
      <c r="AB76" t="str">
        <f>HYPERLINK("Melting_Curves/meltCurve_A8MUB1_TUBA4A.pdf", "Melting_Curves/meltCurve_A8MUB1_TUBA4A.pdf")</f>
        <v>Melting_Curves/meltCurve_A8MUB1_TUBA4A.pdf</v>
      </c>
    </row>
    <row r="77" spans="1:28" x14ac:dyDescent="0.25">
      <c r="A77" t="s">
        <v>81</v>
      </c>
      <c r="B77">
        <v>0.99673306730245903</v>
      </c>
      <c r="C77">
        <v>0.85771800445484303</v>
      </c>
      <c r="D77">
        <v>0.73878429303219895</v>
      </c>
      <c r="E77">
        <v>0.34311117418784498</v>
      </c>
      <c r="F77">
        <v>0.212562292352419</v>
      </c>
      <c r="G77">
        <v>0.148468368515045</v>
      </c>
      <c r="H77">
        <v>0.100461808058067</v>
      </c>
      <c r="I77">
        <v>0.10185192710834599</v>
      </c>
      <c r="J77">
        <v>9.7653855178219603E-2</v>
      </c>
      <c r="K77">
        <v>7.8961061242381003E-2</v>
      </c>
      <c r="L77">
        <v>922.28998585759598</v>
      </c>
      <c r="M77">
        <v>19.365658750810798</v>
      </c>
      <c r="N77">
        <v>48.132819863555298</v>
      </c>
      <c r="O77">
        <v>47.125922313528001</v>
      </c>
      <c r="P77">
        <v>-9.3245443060110497E-2</v>
      </c>
      <c r="Q77">
        <v>9.2390463233484696E-2</v>
      </c>
      <c r="R77">
        <v>0.99433960371294305</v>
      </c>
      <c r="S77" t="s">
        <v>6529</v>
      </c>
      <c r="T77" t="s">
        <v>12902</v>
      </c>
      <c r="U77" t="s">
        <v>12902</v>
      </c>
      <c r="V77" t="s">
        <v>12902</v>
      </c>
      <c r="W77" t="s">
        <v>12979</v>
      </c>
      <c r="X77">
        <v>4</v>
      </c>
      <c r="Y77" t="s">
        <v>19373</v>
      </c>
      <c r="Z77" t="s">
        <v>25652</v>
      </c>
      <c r="AA77">
        <v>0.33702300944442182</v>
      </c>
      <c r="AB77" t="str">
        <f>HYPERLINK("Melting_Curves/meltCurve_A8MVZ6_BICD1.pdf", "Melting_Curves/meltCurve_A8MVZ6_BICD1.pdf")</f>
        <v>Melting_Curves/meltCurve_A8MVZ6_BICD1.pdf</v>
      </c>
    </row>
    <row r="78" spans="1:28" x14ac:dyDescent="0.25">
      <c r="A78" t="s">
        <v>82</v>
      </c>
      <c r="B78">
        <v>0.99673306730245903</v>
      </c>
      <c r="C78">
        <v>0.91211736795437204</v>
      </c>
      <c r="D78">
        <v>0.91051144526084404</v>
      </c>
      <c r="E78">
        <v>0.95382807331531605</v>
      </c>
      <c r="F78">
        <v>0.68286980835929101</v>
      </c>
      <c r="G78">
        <v>0.54991726982707201</v>
      </c>
      <c r="H78">
        <v>0.37402853855770402</v>
      </c>
      <c r="I78">
        <v>0.47220062268002899</v>
      </c>
      <c r="J78">
        <v>0.49222292259906097</v>
      </c>
      <c r="K78">
        <v>0.30088563725207701</v>
      </c>
      <c r="L78">
        <v>1127.4138942382799</v>
      </c>
      <c r="M78">
        <v>21.114070686177602</v>
      </c>
      <c r="N78">
        <v>57.654270430181199</v>
      </c>
      <c r="O78">
        <v>52.924272412334602</v>
      </c>
      <c r="P78">
        <v>-6.03563150803492E-2</v>
      </c>
      <c r="Q78">
        <v>0.394862279931398</v>
      </c>
      <c r="R78">
        <v>0.93254002656841295</v>
      </c>
      <c r="S78" t="s">
        <v>6530</v>
      </c>
      <c r="T78" t="s">
        <v>12902</v>
      </c>
      <c r="U78" t="s">
        <v>12902</v>
      </c>
      <c r="V78" t="s">
        <v>12902</v>
      </c>
      <c r="W78" t="s">
        <v>12980</v>
      </c>
      <c r="X78">
        <v>14</v>
      </c>
      <c r="Y78" t="s">
        <v>19374</v>
      </c>
      <c r="Z78" t="s">
        <v>25653</v>
      </c>
      <c r="AA78">
        <v>0.6726453862173416</v>
      </c>
      <c r="AB78" t="str">
        <f>HYPERLINK("Melting_Curves/meltCurve_A8MW61_PLRG1.pdf", "Melting_Curves/meltCurve_A8MW61_PLRG1.pdf")</f>
        <v>Melting_Curves/meltCurve_A8MW61_PLRG1.pdf</v>
      </c>
    </row>
    <row r="79" spans="1:28" x14ac:dyDescent="0.25">
      <c r="A79" t="s">
        <v>83</v>
      </c>
      <c r="B79">
        <v>0.99673306730245903</v>
      </c>
      <c r="C79">
        <v>0.87605319788811198</v>
      </c>
      <c r="D79">
        <v>1.07927066259737</v>
      </c>
      <c r="E79">
        <v>0.83031006334218804</v>
      </c>
      <c r="F79">
        <v>0.78856822322036602</v>
      </c>
      <c r="G79">
        <v>0.78670128699096697</v>
      </c>
      <c r="H79">
        <v>0.85536258731977299</v>
      </c>
      <c r="I79">
        <v>1.8204839390609799</v>
      </c>
      <c r="J79">
        <v>2.3674452819891898</v>
      </c>
      <c r="K79">
        <v>2.0364354208437998</v>
      </c>
      <c r="L79">
        <v>6745.3895254839299</v>
      </c>
      <c r="M79">
        <v>108.526812217966</v>
      </c>
      <c r="O79">
        <v>62.133033064049201</v>
      </c>
      <c r="P79">
        <v>0.21833558449527399</v>
      </c>
      <c r="Q79">
        <v>1.5</v>
      </c>
      <c r="R79">
        <v>0.58170403947754201</v>
      </c>
      <c r="S79" t="s">
        <v>6531</v>
      </c>
      <c r="T79" t="s">
        <v>12902</v>
      </c>
      <c r="U79" t="s">
        <v>12902</v>
      </c>
      <c r="V79" t="s">
        <v>12902</v>
      </c>
      <c r="W79" t="s">
        <v>12981</v>
      </c>
      <c r="X79">
        <v>1</v>
      </c>
      <c r="Y79" t="s">
        <v>19375</v>
      </c>
      <c r="Z79" t="s">
        <v>25654</v>
      </c>
      <c r="AA79">
        <v>1.130474885050339</v>
      </c>
      <c r="AB79" t="str">
        <f>HYPERLINK("Melting_Curves/meltCurve_A8MWH4_MT1F.pdf", "Melting_Curves/meltCurve_A8MWH4_MT1F.pdf")</f>
        <v>Melting_Curves/meltCurve_A8MWH4_MT1F.pdf</v>
      </c>
    </row>
    <row r="80" spans="1:28" x14ac:dyDescent="0.25">
      <c r="A80" t="s">
        <v>84</v>
      </c>
      <c r="B80">
        <v>0.99673306730245903</v>
      </c>
      <c r="C80">
        <v>0.89974647735581503</v>
      </c>
      <c r="D80">
        <v>0.82505101916540202</v>
      </c>
      <c r="E80">
        <v>0.62411627574685402</v>
      </c>
      <c r="F80">
        <v>0.25611701183102997</v>
      </c>
      <c r="G80">
        <v>0.154364173212414</v>
      </c>
      <c r="H80">
        <v>8.7218770938370604E-2</v>
      </c>
      <c r="I80">
        <v>7.2624875671606304E-2</v>
      </c>
      <c r="J80">
        <v>6.4087042768251501E-2</v>
      </c>
      <c r="K80">
        <v>4.5649894431303302E-2</v>
      </c>
      <c r="L80">
        <v>882.26394518343398</v>
      </c>
      <c r="M80">
        <v>17.578534169426099</v>
      </c>
      <c r="N80">
        <v>50.451465743775501</v>
      </c>
      <c r="O80">
        <v>49.553830923882899</v>
      </c>
      <c r="P80">
        <v>-8.4825414618183798E-2</v>
      </c>
      <c r="Q80">
        <v>4.3561583240167998E-2</v>
      </c>
      <c r="R80">
        <v>0.99394959582739695</v>
      </c>
      <c r="S80" t="s">
        <v>6532</v>
      </c>
      <c r="T80" t="s">
        <v>12902</v>
      </c>
      <c r="U80" t="s">
        <v>12902</v>
      </c>
      <c r="V80" t="s">
        <v>12902</v>
      </c>
      <c r="W80" t="s">
        <v>12982</v>
      </c>
      <c r="X80">
        <v>5</v>
      </c>
      <c r="Y80" t="s">
        <v>19376</v>
      </c>
      <c r="Z80" t="s">
        <v>25655</v>
      </c>
      <c r="AA80">
        <v>0.3854367148267181</v>
      </c>
      <c r="AB80" t="str">
        <f>HYPERLINK("Melting_Curves/meltCurve_A8MX75_ERCC2.pdf", "Melting_Curves/meltCurve_A8MX75_ERCC2.pdf")</f>
        <v>Melting_Curves/meltCurve_A8MX75_ERCC2.pdf</v>
      </c>
    </row>
    <row r="81" spans="1:28" x14ac:dyDescent="0.25">
      <c r="A81" t="s">
        <v>85</v>
      </c>
      <c r="B81">
        <v>0.99673306730245903</v>
      </c>
      <c r="C81">
        <v>0.96123520947562202</v>
      </c>
      <c r="D81">
        <v>0.90073168243776203</v>
      </c>
      <c r="E81">
        <v>0.78951232128952598</v>
      </c>
      <c r="F81">
        <v>0.76360040019467001</v>
      </c>
      <c r="G81">
        <v>0.55462485474627699</v>
      </c>
      <c r="H81">
        <v>0.48675874729399798</v>
      </c>
      <c r="I81">
        <v>0.612796537891375</v>
      </c>
      <c r="J81">
        <v>0.70573216726354404</v>
      </c>
      <c r="K81">
        <v>0.64807036934552098</v>
      </c>
      <c r="L81">
        <v>908.95950056316701</v>
      </c>
      <c r="M81">
        <v>18.434055713384598</v>
      </c>
      <c r="O81">
        <v>48.7394319290201</v>
      </c>
      <c r="P81">
        <v>-3.7445068652225001E-2</v>
      </c>
      <c r="Q81">
        <v>0.60400050576299502</v>
      </c>
      <c r="R81">
        <v>0.84547394748037397</v>
      </c>
      <c r="S81" t="s">
        <v>6533</v>
      </c>
      <c r="T81" t="s">
        <v>12902</v>
      </c>
      <c r="U81" t="s">
        <v>12902</v>
      </c>
      <c r="V81" t="s">
        <v>12902</v>
      </c>
      <c r="W81" t="s">
        <v>12983</v>
      </c>
      <c r="X81">
        <v>2</v>
      </c>
      <c r="Y81" t="s">
        <v>19377</v>
      </c>
      <c r="Z81" t="s">
        <v>25656</v>
      </c>
      <c r="AA81">
        <v>0.73338421991991465</v>
      </c>
      <c r="AB81" t="str">
        <f>HYPERLINK("Melting_Curves/meltCurve_A8MXN1_REEP6.pdf", "Melting_Curves/meltCurve_A8MXN1_REEP6.pdf")</f>
        <v>Melting_Curves/meltCurve_A8MXN1_REEP6.pdf</v>
      </c>
    </row>
    <row r="82" spans="1:28" x14ac:dyDescent="0.25">
      <c r="A82" t="s">
        <v>86</v>
      </c>
      <c r="B82">
        <v>0.99673306730245903</v>
      </c>
      <c r="C82">
        <v>0.75807547147530496</v>
      </c>
      <c r="D82">
        <v>0.51245079806693306</v>
      </c>
      <c r="E82">
        <v>0.38098715582181297</v>
      </c>
      <c r="F82">
        <v>0.27598229679774999</v>
      </c>
      <c r="G82">
        <v>0.21023823580237699</v>
      </c>
      <c r="H82">
        <v>0.15911196949544701</v>
      </c>
      <c r="I82">
        <v>0.179805487562651</v>
      </c>
      <c r="J82">
        <v>0.26211207717532298</v>
      </c>
      <c r="K82">
        <v>0.28828093548596401</v>
      </c>
      <c r="L82">
        <v>868.98334918791898</v>
      </c>
      <c r="M82">
        <v>19.304389248418602</v>
      </c>
      <c r="N82">
        <v>46.437519646656199</v>
      </c>
      <c r="O82">
        <v>44.540102889188397</v>
      </c>
      <c r="P82">
        <v>-8.4168996691215303E-2</v>
      </c>
      <c r="Q82">
        <v>0.22323253308597901</v>
      </c>
      <c r="R82">
        <v>0.97060232573864103</v>
      </c>
      <c r="S82" t="s">
        <v>6534</v>
      </c>
      <c r="T82" t="s">
        <v>12902</v>
      </c>
      <c r="U82" t="s">
        <v>12902</v>
      </c>
      <c r="V82" t="s">
        <v>12902</v>
      </c>
      <c r="W82" t="s">
        <v>12984</v>
      </c>
      <c r="X82">
        <v>14</v>
      </c>
      <c r="Y82" t="s">
        <v>19378</v>
      </c>
      <c r="Z82" t="s">
        <v>25657</v>
      </c>
      <c r="AA82">
        <v>0.3673290031959654</v>
      </c>
      <c r="AB82" t="str">
        <f>HYPERLINK("Melting_Curves/meltCurve_A8MXP9_MATR3.pdf", "Melting_Curves/meltCurve_A8MXP9_MATR3.pdf")</f>
        <v>Melting_Curves/meltCurve_A8MXP9_MATR3.pdf</v>
      </c>
    </row>
    <row r="83" spans="1:28" x14ac:dyDescent="0.25">
      <c r="A83" t="s">
        <v>87</v>
      </c>
      <c r="B83">
        <v>0.99673306730245903</v>
      </c>
      <c r="C83">
        <v>1.0055720571928299</v>
      </c>
      <c r="D83">
        <v>1.0187395575590601</v>
      </c>
      <c r="E83">
        <v>0.84268329513503504</v>
      </c>
      <c r="F83">
        <v>0.58371421818145297</v>
      </c>
      <c r="G83">
        <v>0.51906491534402099</v>
      </c>
      <c r="H83">
        <v>0.38144867251921799</v>
      </c>
      <c r="I83">
        <v>0.38987864443696102</v>
      </c>
      <c r="J83">
        <v>0.30923569324800698</v>
      </c>
      <c r="K83">
        <v>0.24496891417108299</v>
      </c>
      <c r="L83">
        <v>877.23670657530704</v>
      </c>
      <c r="M83">
        <v>16.474066536926198</v>
      </c>
      <c r="N83">
        <v>56.241397757885601</v>
      </c>
      <c r="O83">
        <v>52.483476250219503</v>
      </c>
      <c r="P83">
        <v>-5.5574072665178102E-2</v>
      </c>
      <c r="Q83">
        <v>0.29185266760964901</v>
      </c>
      <c r="R83">
        <v>0.97926688556361297</v>
      </c>
      <c r="S83" t="s">
        <v>6535</v>
      </c>
      <c r="T83" t="s">
        <v>12902</v>
      </c>
      <c r="U83" t="s">
        <v>12902</v>
      </c>
      <c r="V83" t="s">
        <v>12902</v>
      </c>
      <c r="W83" t="s">
        <v>12985</v>
      </c>
      <c r="X83">
        <v>2</v>
      </c>
      <c r="Y83" t="s">
        <v>19379</v>
      </c>
      <c r="Z83" t="s">
        <v>25658</v>
      </c>
      <c r="AA83">
        <v>0.61781070836885732</v>
      </c>
      <c r="AB83" t="str">
        <f>HYPERLINK("Melting_Curves/meltCurve_A8MXQ1_PTTG1IP.pdf", "Melting_Curves/meltCurve_A8MXQ1_PTTG1IP.pdf")</f>
        <v>Melting_Curves/meltCurve_A8MXQ1_PTTG1IP.pdf</v>
      </c>
    </row>
    <row r="84" spans="1:28" x14ac:dyDescent="0.25">
      <c r="A84" t="s">
        <v>88</v>
      </c>
      <c r="B84">
        <v>0.99673306730245903</v>
      </c>
      <c r="C84">
        <v>1.0428248285941699</v>
      </c>
      <c r="D84">
        <v>0.97302225267499798</v>
      </c>
      <c r="E84">
        <v>0.89652670827129999</v>
      </c>
      <c r="F84">
        <v>0.56164790421418898</v>
      </c>
      <c r="G84">
        <v>0.21845113282673201</v>
      </c>
      <c r="H84">
        <v>8.9929281938781899E-2</v>
      </c>
      <c r="I84">
        <v>6.6366062915552304E-2</v>
      </c>
      <c r="J84">
        <v>5.3067988601501498E-2</v>
      </c>
      <c r="K84">
        <v>3.8874037359076102E-2</v>
      </c>
      <c r="L84">
        <v>1397.8042251173399</v>
      </c>
      <c r="M84">
        <v>26.110805353750798</v>
      </c>
      <c r="N84">
        <v>53.734674512997998</v>
      </c>
      <c r="O84">
        <v>53.222507090864298</v>
      </c>
      <c r="P84">
        <v>-0.116940963811431</v>
      </c>
      <c r="Q84">
        <v>4.65524345055447E-2</v>
      </c>
      <c r="R84">
        <v>0.99868562354124601</v>
      </c>
      <c r="S84" t="s">
        <v>6536</v>
      </c>
      <c r="T84" t="s">
        <v>12902</v>
      </c>
      <c r="U84" t="s">
        <v>12902</v>
      </c>
      <c r="V84" t="s">
        <v>12902</v>
      </c>
      <c r="W84" t="s">
        <v>12986</v>
      </c>
      <c r="X84">
        <v>13</v>
      </c>
      <c r="Y84" t="s">
        <v>19380</v>
      </c>
      <c r="Z84" t="s">
        <v>25659</v>
      </c>
      <c r="AA84">
        <v>0.48479208069151131</v>
      </c>
      <c r="AB84" t="str">
        <f>HYPERLINK("Melting_Curves/meltCurve_A8MXV4_NUDT19.pdf", "Melting_Curves/meltCurve_A8MXV4_NUDT19.pdf")</f>
        <v>Melting_Curves/meltCurve_A8MXV4_NUDT19.pdf</v>
      </c>
    </row>
    <row r="85" spans="1:28" x14ac:dyDescent="0.25">
      <c r="A85" t="s">
        <v>89</v>
      </c>
      <c r="B85">
        <v>0.99673306730245903</v>
      </c>
      <c r="C85">
        <v>0.91804125894370003</v>
      </c>
      <c r="D85">
        <v>0.955833937704614</v>
      </c>
      <c r="E85">
        <v>0.79688353687791702</v>
      </c>
      <c r="F85">
        <v>0.29751948063759698</v>
      </c>
      <c r="G85">
        <v>0.13532762015279901</v>
      </c>
      <c r="H85">
        <v>5.9037744862660203E-2</v>
      </c>
      <c r="I85">
        <v>5.1262500639265102E-2</v>
      </c>
      <c r="J85">
        <v>3.5868289227320799E-2</v>
      </c>
      <c r="K85">
        <v>2.2275604795778201E-2</v>
      </c>
      <c r="L85">
        <v>1531.12238750962</v>
      </c>
      <c r="M85">
        <v>29.675141767968501</v>
      </c>
      <c r="N85">
        <v>51.752815995044699</v>
      </c>
      <c r="O85">
        <v>51.363537801391601</v>
      </c>
      <c r="P85">
        <v>-0.138232382225777</v>
      </c>
      <c r="Q85">
        <v>4.2962797374067503E-2</v>
      </c>
      <c r="R85">
        <v>0.99446327642964105</v>
      </c>
      <c r="S85" t="s">
        <v>6537</v>
      </c>
      <c r="T85" t="s">
        <v>12902</v>
      </c>
      <c r="U85" t="s">
        <v>12902</v>
      </c>
      <c r="V85" t="s">
        <v>12902</v>
      </c>
      <c r="W85" t="s">
        <v>12987</v>
      </c>
      <c r="X85">
        <v>6</v>
      </c>
      <c r="Y85" t="s">
        <v>19381</v>
      </c>
      <c r="Z85" t="s">
        <v>25660</v>
      </c>
      <c r="AA85">
        <v>0.41910258512710052</v>
      </c>
      <c r="AB85" t="str">
        <f>HYPERLINK("Melting_Curves/meltCurve_A8MYT4_PIK3C3.pdf", "Melting_Curves/meltCurve_A8MYT4_PIK3C3.pdf")</f>
        <v>Melting_Curves/meltCurve_A8MYT4_PIK3C3.pdf</v>
      </c>
    </row>
    <row r="86" spans="1:28" x14ac:dyDescent="0.25">
      <c r="A86" t="s">
        <v>90</v>
      </c>
      <c r="B86">
        <v>0.99673306730245903</v>
      </c>
      <c r="C86">
        <v>0.840942899746981</v>
      </c>
      <c r="D86">
        <v>0.65979346352775603</v>
      </c>
      <c r="E86">
        <v>0.49155094615069</v>
      </c>
      <c r="F86">
        <v>0.30349294158200801</v>
      </c>
      <c r="G86">
        <v>0.16558607635782699</v>
      </c>
      <c r="H86">
        <v>9.8962099585173505E-2</v>
      </c>
      <c r="I86">
        <v>0.108475586874287</v>
      </c>
      <c r="J86">
        <v>0.104133946143807</v>
      </c>
      <c r="K86">
        <v>0.10083076131540999</v>
      </c>
      <c r="L86">
        <v>643.916765701435</v>
      </c>
      <c r="M86">
        <v>13.2981809369085</v>
      </c>
      <c r="N86">
        <v>48.986368646316201</v>
      </c>
      <c r="O86">
        <v>47.365735018592503</v>
      </c>
      <c r="P86">
        <v>-6.5209504043399799E-2</v>
      </c>
      <c r="Q86">
        <v>7.1091850461508205E-2</v>
      </c>
      <c r="R86">
        <v>0.99370570482505105</v>
      </c>
      <c r="S86" t="s">
        <v>6538</v>
      </c>
      <c r="T86" t="s">
        <v>12902</v>
      </c>
      <c r="U86" t="s">
        <v>12902</v>
      </c>
      <c r="V86" t="s">
        <v>12902</v>
      </c>
      <c r="W86" t="s">
        <v>12988</v>
      </c>
      <c r="X86">
        <v>2</v>
      </c>
      <c r="Y86" t="s">
        <v>19382</v>
      </c>
      <c r="Z86" t="s">
        <v>25661</v>
      </c>
      <c r="AA86">
        <v>0.36130005875586041</v>
      </c>
      <c r="AB86" t="str">
        <f>HYPERLINK("Melting_Curves/meltCurve_A8MZI9_RUNX1.pdf", "Melting_Curves/meltCurve_A8MZI9_RUNX1.pdf")</f>
        <v>Melting_Curves/meltCurve_A8MZI9_RUNX1.pdf</v>
      </c>
    </row>
    <row r="87" spans="1:28" x14ac:dyDescent="0.25">
      <c r="A87" t="s">
        <v>91</v>
      </c>
      <c r="B87">
        <v>0.99673306730245903</v>
      </c>
      <c r="C87">
        <v>1.08133783021483</v>
      </c>
      <c r="D87">
        <v>0.94533760005517997</v>
      </c>
      <c r="E87">
        <v>0.93838952916100005</v>
      </c>
      <c r="F87">
        <v>0.73564742877941203</v>
      </c>
      <c r="G87">
        <v>0.46524429351067298</v>
      </c>
      <c r="H87">
        <v>0.26345151327703797</v>
      </c>
      <c r="I87">
        <v>0.278378247847553</v>
      </c>
      <c r="J87">
        <v>0.35300751321668</v>
      </c>
      <c r="K87">
        <v>0.28881918058905598</v>
      </c>
      <c r="L87">
        <v>1499.9500314347899</v>
      </c>
      <c r="M87">
        <v>27.672066998684901</v>
      </c>
      <c r="N87">
        <v>55.940723734525399</v>
      </c>
      <c r="O87">
        <v>53.923774854492997</v>
      </c>
      <c r="P87">
        <v>-9.1322338511634807E-2</v>
      </c>
      <c r="Q87">
        <v>0.28817735634725999</v>
      </c>
      <c r="R87">
        <v>0.98309686254373196</v>
      </c>
      <c r="S87" t="s">
        <v>6539</v>
      </c>
      <c r="T87" t="s">
        <v>12902</v>
      </c>
      <c r="U87" t="s">
        <v>12902</v>
      </c>
      <c r="V87" t="s">
        <v>12902</v>
      </c>
      <c r="W87" t="s">
        <v>12989</v>
      </c>
      <c r="X87">
        <v>3</v>
      </c>
      <c r="Y87" t="s">
        <v>19383</v>
      </c>
      <c r="Z87" t="s">
        <v>25662</v>
      </c>
      <c r="AA87">
        <v>0.63067724684517412</v>
      </c>
      <c r="AB87" t="str">
        <f>HYPERLINK("Melting_Curves/meltCurve_A9UHW6_MIF4GD.pdf", "Melting_Curves/meltCurve_A9UHW6_MIF4GD.pdf")</f>
        <v>Melting_Curves/meltCurve_A9UHW6_MIF4GD.pdf</v>
      </c>
    </row>
    <row r="88" spans="1:28" x14ac:dyDescent="0.25">
      <c r="A88" t="s">
        <v>92</v>
      </c>
      <c r="B88">
        <v>0.99673306730245903</v>
      </c>
      <c r="C88">
        <v>0.97357170352578104</v>
      </c>
      <c r="D88">
        <v>1.0340222234580601</v>
      </c>
      <c r="E88">
        <v>0.97030583077389898</v>
      </c>
      <c r="F88">
        <v>0.54770555441132796</v>
      </c>
      <c r="G88">
        <v>0.31117565532584701</v>
      </c>
      <c r="H88">
        <v>0.190002934433085</v>
      </c>
      <c r="I88">
        <v>0.194708981851928</v>
      </c>
      <c r="J88">
        <v>0.245042571598409</v>
      </c>
      <c r="K88">
        <v>0.23743326199738199</v>
      </c>
      <c r="L88">
        <v>2112.77462669956</v>
      </c>
      <c r="M88">
        <v>39.9703445638171</v>
      </c>
      <c r="N88">
        <v>53.654996720361702</v>
      </c>
      <c r="O88">
        <v>52.726761373994499</v>
      </c>
      <c r="P88">
        <v>-0.147112014692446</v>
      </c>
      <c r="Q88">
        <v>0.22375210336242199</v>
      </c>
      <c r="R88">
        <v>0.99423193365431295</v>
      </c>
      <c r="S88" t="s">
        <v>6540</v>
      </c>
      <c r="T88" t="s">
        <v>12902</v>
      </c>
      <c r="U88" t="s">
        <v>12902</v>
      </c>
      <c r="V88" t="s">
        <v>12902</v>
      </c>
      <c r="W88" t="s">
        <v>12990</v>
      </c>
      <c r="X88">
        <v>16</v>
      </c>
      <c r="Y88" t="s">
        <v>19384</v>
      </c>
      <c r="Z88" t="s">
        <v>25663</v>
      </c>
      <c r="AA88">
        <v>0.55930399637039308</v>
      </c>
      <c r="AB88" t="str">
        <f>HYPERLINK("Melting_Curves/meltCurve_A9Z1X7_SRRM1.pdf", "Melting_Curves/meltCurve_A9Z1X7_SRRM1.pdf")</f>
        <v>Melting_Curves/meltCurve_A9Z1X7_SRRM1.pdf</v>
      </c>
    </row>
    <row r="89" spans="1:28" x14ac:dyDescent="0.25">
      <c r="A89" t="s">
        <v>93</v>
      </c>
      <c r="B89">
        <v>0.99673306730245903</v>
      </c>
      <c r="C89">
        <v>0.97840223860630504</v>
      </c>
      <c r="D89">
        <v>1.07685519971049</v>
      </c>
      <c r="E89">
        <v>1.8001770365647201</v>
      </c>
      <c r="F89">
        <v>0.51303997677270297</v>
      </c>
      <c r="G89">
        <v>0.197072332967792</v>
      </c>
      <c r="H89">
        <v>0.117539614097715</v>
      </c>
      <c r="I89">
        <v>9.7189672940596605E-2</v>
      </c>
      <c r="J89">
        <v>9.0638902393025106E-2</v>
      </c>
      <c r="K89">
        <v>7.6486791487794803E-2</v>
      </c>
      <c r="L89">
        <v>13289.168247387101</v>
      </c>
      <c r="M89">
        <v>250</v>
      </c>
      <c r="N89">
        <v>53.212742654409404</v>
      </c>
      <c r="O89">
        <v>53.153269764542102</v>
      </c>
      <c r="P89">
        <v>-1.0396991419291599</v>
      </c>
      <c r="Q89">
        <v>0.115785431792613</v>
      </c>
      <c r="R89">
        <v>0.79227781051967705</v>
      </c>
      <c r="S89" t="s">
        <v>6541</v>
      </c>
      <c r="T89" t="s">
        <v>12902</v>
      </c>
      <c r="U89" t="s">
        <v>12902</v>
      </c>
      <c r="V89" t="s">
        <v>12902</v>
      </c>
      <c r="W89" t="s">
        <v>12991</v>
      </c>
      <c r="X89">
        <v>18</v>
      </c>
      <c r="Y89" t="s">
        <v>19385</v>
      </c>
      <c r="Z89" t="s">
        <v>25664</v>
      </c>
      <c r="AA89">
        <v>0.50364531695374881</v>
      </c>
      <c r="AB89" t="str">
        <f>HYPERLINK("Melting_Curves/meltCurve_B0QY89_EIF3L.pdf", "Melting_Curves/meltCurve_B0QY89_EIF3L.pdf")</f>
        <v>Melting_Curves/meltCurve_B0QY89_EIF3L.pdf</v>
      </c>
    </row>
    <row r="90" spans="1:28" x14ac:dyDescent="0.25">
      <c r="A90" t="s">
        <v>94</v>
      </c>
      <c r="B90">
        <v>0.99673306730245903</v>
      </c>
      <c r="C90">
        <v>0.95851159271943798</v>
      </c>
      <c r="D90">
        <v>0.83517031191392299</v>
      </c>
      <c r="E90">
        <v>0.66035060756640795</v>
      </c>
      <c r="F90">
        <v>0.37165148027039202</v>
      </c>
      <c r="G90">
        <v>0.14098396973576599</v>
      </c>
      <c r="H90">
        <v>8.7756142098366297E-2</v>
      </c>
      <c r="I90">
        <v>8.6152622938107604E-2</v>
      </c>
      <c r="J90">
        <v>9.2396018507044597E-2</v>
      </c>
      <c r="K90">
        <v>9.7743464991309495E-2</v>
      </c>
      <c r="L90">
        <v>922.15602685027102</v>
      </c>
      <c r="M90">
        <v>18.153023019192901</v>
      </c>
      <c r="N90">
        <v>51.193503897077498</v>
      </c>
      <c r="O90">
        <v>50.194589582505998</v>
      </c>
      <c r="P90">
        <v>-8.4516188812893703E-2</v>
      </c>
      <c r="Q90">
        <v>6.5267696705909595E-2</v>
      </c>
      <c r="R90">
        <v>0.99528964215437798</v>
      </c>
      <c r="S90" t="s">
        <v>6542</v>
      </c>
      <c r="T90" t="s">
        <v>12902</v>
      </c>
      <c r="U90" t="s">
        <v>12902</v>
      </c>
      <c r="V90" t="s">
        <v>12902</v>
      </c>
      <c r="W90" t="s">
        <v>12992</v>
      </c>
      <c r="X90">
        <v>5</v>
      </c>
      <c r="Y90" t="s">
        <v>19386</v>
      </c>
      <c r="Z90" t="s">
        <v>25665</v>
      </c>
      <c r="AA90">
        <v>0.4172856358319631</v>
      </c>
      <c r="AB90" t="str">
        <f>HYPERLINK("Melting_Curves/meltCurve_B0QY95_SMCR7L.pdf", "Melting_Curves/meltCurve_B0QY95_SMCR7L.pdf")</f>
        <v>Melting_Curves/meltCurve_B0QY95_SMCR7L.pdf</v>
      </c>
    </row>
    <row r="91" spans="1:28" x14ac:dyDescent="0.25">
      <c r="A91" t="s">
        <v>95</v>
      </c>
      <c r="B91">
        <v>0.99673306730245903</v>
      </c>
      <c r="C91">
        <v>1.0352492600954299</v>
      </c>
      <c r="D91">
        <v>0.981290738121532</v>
      </c>
      <c r="E91">
        <v>0.98851767774021404</v>
      </c>
      <c r="F91">
        <v>0.77107662288648704</v>
      </c>
      <c r="G91">
        <v>0.52264991786174098</v>
      </c>
      <c r="H91">
        <v>0.166723208800231</v>
      </c>
      <c r="I91">
        <v>0.16032975605874</v>
      </c>
      <c r="J91">
        <v>0.16247270551370899</v>
      </c>
      <c r="K91">
        <v>0.15985356470102399</v>
      </c>
      <c r="L91">
        <v>1439.4443249231799</v>
      </c>
      <c r="M91">
        <v>25.784258771002602</v>
      </c>
      <c r="N91">
        <v>56.512636378377699</v>
      </c>
      <c r="O91">
        <v>55.493923029517397</v>
      </c>
      <c r="P91">
        <v>-0.10054786360799201</v>
      </c>
      <c r="Q91">
        <v>0.13439763200655699</v>
      </c>
      <c r="R91">
        <v>0.99273817154725796</v>
      </c>
      <c r="S91" t="s">
        <v>6543</v>
      </c>
      <c r="T91" t="s">
        <v>12902</v>
      </c>
      <c r="U91" t="s">
        <v>12902</v>
      </c>
      <c r="V91" t="s">
        <v>12902</v>
      </c>
      <c r="W91" t="s">
        <v>12993</v>
      </c>
      <c r="X91">
        <v>11</v>
      </c>
      <c r="Y91" t="s">
        <v>19387</v>
      </c>
      <c r="Z91" t="s">
        <v>25666</v>
      </c>
      <c r="AA91">
        <v>0.59860140098112491</v>
      </c>
      <c r="AB91" t="str">
        <f>HYPERLINK("Melting_Curves/meltCurve_B0QYI3_TBC1D22A.pdf", "Melting_Curves/meltCurve_B0QYI3_TBC1D22A.pdf")</f>
        <v>Melting_Curves/meltCurve_B0QYI3_TBC1D22A.pdf</v>
      </c>
    </row>
    <row r="92" spans="1:28" x14ac:dyDescent="0.25">
      <c r="A92" t="s">
        <v>96</v>
      </c>
      <c r="B92">
        <v>0.99673306730245903</v>
      </c>
      <c r="C92">
        <v>0.96507213506789502</v>
      </c>
      <c r="D92">
        <v>0.964267485221731</v>
      </c>
      <c r="E92">
        <v>0.95185208267177102</v>
      </c>
      <c r="F92">
        <v>0.81627298807762105</v>
      </c>
      <c r="G92">
        <v>0.84132900780319897</v>
      </c>
      <c r="H92">
        <v>0.64318471449831405</v>
      </c>
      <c r="I92">
        <v>0.91222513833283403</v>
      </c>
      <c r="J92">
        <v>1.1328472037647199</v>
      </c>
      <c r="K92">
        <v>1.23287041876457</v>
      </c>
      <c r="L92">
        <v>1181.5947958832701</v>
      </c>
      <c r="M92">
        <v>27.082818813904002</v>
      </c>
      <c r="O92">
        <v>43.393160115483099</v>
      </c>
      <c r="P92">
        <v>-1.02907566866655E-2</v>
      </c>
      <c r="Q92">
        <v>0.93404762753644399</v>
      </c>
      <c r="R92">
        <v>1.6563916523846499E-2</v>
      </c>
      <c r="S92" t="s">
        <v>6544</v>
      </c>
      <c r="T92" t="s">
        <v>12902</v>
      </c>
      <c r="U92" t="s">
        <v>12902</v>
      </c>
      <c r="V92" t="s">
        <v>12902</v>
      </c>
      <c r="W92" t="s">
        <v>12994</v>
      </c>
      <c r="X92">
        <v>9</v>
      </c>
      <c r="Y92" t="s">
        <v>19388</v>
      </c>
      <c r="Z92" t="s">
        <v>25667</v>
      </c>
      <c r="AA92">
        <v>0.94269319806360052</v>
      </c>
      <c r="AB92" t="str">
        <f>HYPERLINK("Melting_Curves/meltCurve_B0QYK0_EWSR1.pdf", "Melting_Curves/meltCurve_B0QYK0_EWSR1.pdf")</f>
        <v>Melting_Curves/meltCurve_B0QYK0_EWSR1.pdf</v>
      </c>
    </row>
    <row r="93" spans="1:28" x14ac:dyDescent="0.25">
      <c r="A93" t="s">
        <v>97</v>
      </c>
      <c r="B93">
        <v>0.99673306730245903</v>
      </c>
      <c r="C93">
        <v>0.94943716802438205</v>
      </c>
      <c r="D93">
        <v>0.83522820421612798</v>
      </c>
      <c r="E93">
        <v>0.77929712623536695</v>
      </c>
      <c r="F93">
        <v>0.64733285516943695</v>
      </c>
      <c r="G93">
        <v>0.61455904875921097</v>
      </c>
      <c r="H93">
        <v>0.47965479420235402</v>
      </c>
      <c r="I93">
        <v>0.53380396945777298</v>
      </c>
      <c r="J93">
        <v>0.28100602213445303</v>
      </c>
      <c r="K93">
        <v>8.8138103992909403E-2</v>
      </c>
      <c r="L93">
        <v>423.635276162222</v>
      </c>
      <c r="M93">
        <v>7.1442134986567103</v>
      </c>
      <c r="N93">
        <v>59.297679256539901</v>
      </c>
      <c r="O93">
        <v>55.178780326901602</v>
      </c>
      <c r="P93">
        <v>-3.2424172839791397E-2</v>
      </c>
      <c r="Q93">
        <v>0</v>
      </c>
      <c r="R93">
        <v>0.917690873924773</v>
      </c>
      <c r="S93" t="s">
        <v>6545</v>
      </c>
      <c r="T93" t="s">
        <v>12902</v>
      </c>
      <c r="U93" t="s">
        <v>12902</v>
      </c>
      <c r="V93" t="s">
        <v>12902</v>
      </c>
      <c r="W93" t="s">
        <v>12995</v>
      </c>
      <c r="X93">
        <v>1</v>
      </c>
      <c r="Y93" t="s">
        <v>19389</v>
      </c>
      <c r="Z93" t="s">
        <v>25668</v>
      </c>
      <c r="AA93">
        <v>0.62900063079319934</v>
      </c>
      <c r="AB93" t="str">
        <f>HYPERLINK("Melting_Curves/meltCurve_B0QYW5_SLC25A17.pdf", "Melting_Curves/meltCurve_B0QYW5_SLC25A17.pdf")</f>
        <v>Melting_Curves/meltCurve_B0QYW5_SLC25A17.pdf</v>
      </c>
    </row>
    <row r="94" spans="1:28" x14ac:dyDescent="0.25">
      <c r="A94" t="s">
        <v>98</v>
      </c>
      <c r="B94">
        <v>0.99673306730245903</v>
      </c>
      <c r="C94">
        <v>0.90010962939277095</v>
      </c>
      <c r="D94">
        <v>0.699509471922102</v>
      </c>
      <c r="E94">
        <v>0.42368129940353599</v>
      </c>
      <c r="F94">
        <v>0.24063097754728599</v>
      </c>
      <c r="G94">
        <v>0.15360501124804399</v>
      </c>
      <c r="H94">
        <v>0.102587638933175</v>
      </c>
      <c r="I94">
        <v>0.10440810740850601</v>
      </c>
      <c r="J94">
        <v>0.115597482973871</v>
      </c>
      <c r="K94">
        <v>0.10595070378497499</v>
      </c>
      <c r="L94">
        <v>844.30398283822399</v>
      </c>
      <c r="M94">
        <v>17.611159500577301</v>
      </c>
      <c r="N94">
        <v>48.546911837424801</v>
      </c>
      <c r="O94">
        <v>47.336094895800699</v>
      </c>
      <c r="P94">
        <v>-8.3844678437106399E-2</v>
      </c>
      <c r="Q94">
        <v>9.8601943132376801E-2</v>
      </c>
      <c r="R94">
        <v>0.99895810478064695</v>
      </c>
      <c r="S94" t="s">
        <v>6546</v>
      </c>
      <c r="T94" t="s">
        <v>12902</v>
      </c>
      <c r="U94" t="s">
        <v>12902</v>
      </c>
      <c r="V94" t="s">
        <v>12902</v>
      </c>
      <c r="W94" t="s">
        <v>12996</v>
      </c>
      <c r="X94">
        <v>24</v>
      </c>
      <c r="Y94" t="s">
        <v>19390</v>
      </c>
      <c r="Z94" t="s">
        <v>25669</v>
      </c>
      <c r="AA94">
        <v>0.35398452471455111</v>
      </c>
      <c r="AB94" t="str">
        <f>HYPERLINK("Melting_Curves/meltCurve_B0UX83_BAG6.pdf", "Melting_Curves/meltCurve_B0UX83_BAG6.pdf")</f>
        <v>Melting_Curves/meltCurve_B0UX83_BAG6.pdf</v>
      </c>
    </row>
    <row r="95" spans="1:28" x14ac:dyDescent="0.25">
      <c r="A95" t="s">
        <v>99</v>
      </c>
      <c r="B95">
        <v>0.99673306730245903</v>
      </c>
      <c r="C95">
        <v>0.94990217616578299</v>
      </c>
      <c r="D95">
        <v>0.80822112120301803</v>
      </c>
      <c r="E95">
        <v>0.58709247978670998</v>
      </c>
      <c r="F95">
        <v>0.25084298080272399</v>
      </c>
      <c r="G95">
        <v>0.156731962150372</v>
      </c>
      <c r="H95">
        <v>0.10510477519788899</v>
      </c>
      <c r="I95">
        <v>9.3335844656686304E-2</v>
      </c>
      <c r="J95">
        <v>6.82988074801993E-2</v>
      </c>
      <c r="K95">
        <v>6.08147792608075E-2</v>
      </c>
      <c r="L95">
        <v>916.77586144018403</v>
      </c>
      <c r="M95">
        <v>18.405332315384801</v>
      </c>
      <c r="N95">
        <v>50.185584370665502</v>
      </c>
      <c r="O95">
        <v>49.233495513393898</v>
      </c>
      <c r="P95">
        <v>-8.7455333795718806E-2</v>
      </c>
      <c r="Q95">
        <v>6.4284676226791099E-2</v>
      </c>
      <c r="R95">
        <v>0.99735457599779298</v>
      </c>
      <c r="S95" t="s">
        <v>6547</v>
      </c>
      <c r="T95" t="s">
        <v>12902</v>
      </c>
      <c r="U95" t="s">
        <v>12902</v>
      </c>
      <c r="V95" t="s">
        <v>12902</v>
      </c>
      <c r="W95" t="s">
        <v>12997</v>
      </c>
      <c r="X95">
        <v>11</v>
      </c>
      <c r="Y95" t="s">
        <v>19391</v>
      </c>
      <c r="Z95" t="s">
        <v>25670</v>
      </c>
      <c r="AA95">
        <v>0.3856015907001844</v>
      </c>
      <c r="AB95" t="str">
        <f>HYPERLINK("Melting_Curves/meltCurve_B0UXB6_ABHD16A.pdf", "Melting_Curves/meltCurve_B0UXB6_ABHD16A.pdf")</f>
        <v>Melting_Curves/meltCurve_B0UXB6_ABHD16A.pdf</v>
      </c>
    </row>
    <row r="96" spans="1:28" x14ac:dyDescent="0.25">
      <c r="A96" t="s">
        <v>100</v>
      </c>
      <c r="B96">
        <v>0.99673306730245903</v>
      </c>
      <c r="C96">
        <v>0.962903147097254</v>
      </c>
      <c r="D96">
        <v>0.86697220737740799</v>
      </c>
      <c r="E96">
        <v>0.61744317720678699</v>
      </c>
      <c r="F96">
        <v>0.33656051070509901</v>
      </c>
      <c r="G96">
        <v>0.20649424452957801</v>
      </c>
      <c r="H96">
        <v>0.13931040872593201</v>
      </c>
      <c r="I96">
        <v>0.146130542747442</v>
      </c>
      <c r="J96">
        <v>0.166499545751429</v>
      </c>
      <c r="K96">
        <v>0.14043025205684501</v>
      </c>
      <c r="L96">
        <v>1010.4441690913</v>
      </c>
      <c r="M96">
        <v>20.187299970136898</v>
      </c>
      <c r="N96">
        <v>50.863361684374098</v>
      </c>
      <c r="O96">
        <v>49.5700422786743</v>
      </c>
      <c r="P96">
        <v>-8.7820915286127496E-2</v>
      </c>
      <c r="Q96">
        <v>0.13744756653947399</v>
      </c>
      <c r="R96">
        <v>0.99892567144083499</v>
      </c>
      <c r="S96" t="s">
        <v>6548</v>
      </c>
      <c r="T96" t="s">
        <v>12902</v>
      </c>
      <c r="U96" t="s">
        <v>12902</v>
      </c>
      <c r="V96" t="s">
        <v>12902</v>
      </c>
      <c r="W96" t="s">
        <v>12915</v>
      </c>
      <c r="X96">
        <v>12</v>
      </c>
      <c r="Y96" t="s">
        <v>19310</v>
      </c>
      <c r="Z96" t="s">
        <v>25671</v>
      </c>
      <c r="AA96">
        <v>0.43829143465489401</v>
      </c>
      <c r="AB96" t="str">
        <f>HYPERLINK("Melting_Curves/meltCurve_B0UY12_HLA_C.pdf", "Melting_Curves/meltCurve_B0UY12_HLA_C.pdf")</f>
        <v>Melting_Curves/meltCurve_B0UY12_HLA_C.pdf</v>
      </c>
    </row>
    <row r="97" spans="1:28" x14ac:dyDescent="0.25">
      <c r="A97" t="s">
        <v>101</v>
      </c>
      <c r="B97">
        <v>0.99673306730245903</v>
      </c>
      <c r="C97">
        <v>0.760069141999275</v>
      </c>
      <c r="D97">
        <v>0.63289917850598798</v>
      </c>
      <c r="E97">
        <v>0.43474812783261602</v>
      </c>
      <c r="F97">
        <v>0.34693067953620998</v>
      </c>
      <c r="G97">
        <v>0.23008384284598099</v>
      </c>
      <c r="H97">
        <v>0.13893659758773899</v>
      </c>
      <c r="I97">
        <v>0.12491778935275299</v>
      </c>
      <c r="J97">
        <v>0.117824137165656</v>
      </c>
      <c r="K97">
        <v>0.13653803455025301</v>
      </c>
      <c r="L97">
        <v>557.95497823884898</v>
      </c>
      <c r="M97">
        <v>11.7000564959078</v>
      </c>
      <c r="N97">
        <v>48.585493114335897</v>
      </c>
      <c r="O97">
        <v>46.359037631349501</v>
      </c>
      <c r="P97">
        <v>-5.6979469450700003E-2</v>
      </c>
      <c r="Q97">
        <v>9.7162933880691194E-2</v>
      </c>
      <c r="R97">
        <v>0.98527759799617898</v>
      </c>
      <c r="S97" t="s">
        <v>6549</v>
      </c>
      <c r="T97" t="s">
        <v>12902</v>
      </c>
      <c r="U97" t="s">
        <v>12902</v>
      </c>
      <c r="V97" t="s">
        <v>12902</v>
      </c>
      <c r="W97" t="s">
        <v>12998</v>
      </c>
      <c r="X97">
        <v>9</v>
      </c>
      <c r="Y97" t="s">
        <v>19392</v>
      </c>
      <c r="Z97" t="s">
        <v>25672</v>
      </c>
      <c r="AA97">
        <v>0.36627437408776797</v>
      </c>
      <c r="AB97" t="str">
        <f>HYPERLINK("Melting_Curves/meltCurve_B0UZY3_EHMT2.pdf", "Melting_Curves/meltCurve_B0UZY3_EHMT2.pdf")</f>
        <v>Melting_Curves/meltCurve_B0UZY3_EHMT2.pdf</v>
      </c>
    </row>
    <row r="98" spans="1:28" x14ac:dyDescent="0.25">
      <c r="A98" t="s">
        <v>102</v>
      </c>
      <c r="B98">
        <v>0.99673306730245903</v>
      </c>
      <c r="C98">
        <v>0.89601381690224102</v>
      </c>
      <c r="D98">
        <v>0.89015560098147595</v>
      </c>
      <c r="E98">
        <v>0.80553119818942498</v>
      </c>
      <c r="F98">
        <v>0.19401210666399901</v>
      </c>
      <c r="G98">
        <v>0.12872335350455899</v>
      </c>
      <c r="H98">
        <v>7.7857517974148999E-2</v>
      </c>
      <c r="I98">
        <v>6.4834711214012894E-2</v>
      </c>
      <c r="J98">
        <v>6.4599196692848596E-2</v>
      </c>
      <c r="K98">
        <v>5.8087016464410703E-2</v>
      </c>
      <c r="L98">
        <v>2183.6973620294002</v>
      </c>
      <c r="M98">
        <v>42.794161330578099</v>
      </c>
      <c r="N98">
        <v>51.218714569626002</v>
      </c>
      <c r="O98">
        <v>50.916888203438504</v>
      </c>
      <c r="P98">
        <v>-0.194638462929725</v>
      </c>
      <c r="Q98">
        <v>7.3671114407344904E-2</v>
      </c>
      <c r="R98">
        <v>0.98477829175631404</v>
      </c>
      <c r="S98" t="s">
        <v>6550</v>
      </c>
      <c r="T98" t="s">
        <v>12902</v>
      </c>
      <c r="U98" t="s">
        <v>12902</v>
      </c>
      <c r="V98" t="s">
        <v>12902</v>
      </c>
      <c r="W98" t="s">
        <v>12999</v>
      </c>
      <c r="X98">
        <v>48</v>
      </c>
      <c r="Y98" t="s">
        <v>19393</v>
      </c>
      <c r="Z98" t="s">
        <v>25673</v>
      </c>
      <c r="AA98">
        <v>0.41703907713860461</v>
      </c>
      <c r="AB98" t="str">
        <f>HYPERLINK("Melting_Curves/meltCurve_B0V043_VARS.pdf", "Melting_Curves/meltCurve_B0V043_VARS.pdf")</f>
        <v>Melting_Curves/meltCurve_B0V043_VARS.pdf</v>
      </c>
    </row>
    <row r="99" spans="1:28" x14ac:dyDescent="0.25">
      <c r="A99" t="s">
        <v>103</v>
      </c>
      <c r="B99">
        <v>0.99673306730245903</v>
      </c>
      <c r="C99">
        <v>0.90680388645854704</v>
      </c>
      <c r="D99">
        <v>1.22596074693746</v>
      </c>
      <c r="E99">
        <v>1.2751500827429501</v>
      </c>
      <c r="F99">
        <v>1.49683597455357</v>
      </c>
      <c r="G99">
        <v>1.36428623884631</v>
      </c>
      <c r="H99">
        <v>2.10334584609702</v>
      </c>
      <c r="I99">
        <v>2.33412112868792</v>
      </c>
      <c r="J99">
        <v>2.2455656458286102</v>
      </c>
      <c r="K99">
        <v>1.2312400923066</v>
      </c>
      <c r="L99">
        <v>1253.05904620772</v>
      </c>
      <c r="M99">
        <v>26.191189340673301</v>
      </c>
      <c r="O99">
        <v>47.566475762083499</v>
      </c>
      <c r="P99">
        <v>6.88286278600347E-2</v>
      </c>
      <c r="Q99">
        <v>1.5</v>
      </c>
      <c r="R99">
        <v>0.28564562320027498</v>
      </c>
      <c r="S99" t="s">
        <v>6551</v>
      </c>
      <c r="T99" t="s">
        <v>12902</v>
      </c>
      <c r="U99" t="s">
        <v>12902</v>
      </c>
      <c r="V99" t="s">
        <v>12902</v>
      </c>
      <c r="W99" t="s">
        <v>13000</v>
      </c>
      <c r="X99">
        <v>2</v>
      </c>
      <c r="Y99" t="s">
        <v>19394</v>
      </c>
      <c r="Z99" t="s">
        <v>25674</v>
      </c>
      <c r="AA99">
        <v>1.3652831688066751</v>
      </c>
      <c r="AB99" t="str">
        <f>HYPERLINK("Melting_Curves/meltCurve_B0V0T3_PSMB9.pdf", "Melting_Curves/meltCurve_B0V0T3_PSMB9.pdf")</f>
        <v>Melting_Curves/meltCurve_B0V0T3_PSMB9.pdf</v>
      </c>
    </row>
    <row r="100" spans="1:28" x14ac:dyDescent="0.25">
      <c r="A100" t="s">
        <v>104</v>
      </c>
      <c r="B100">
        <v>0.99673306730245903</v>
      </c>
      <c r="C100">
        <v>1.0829106791091101</v>
      </c>
      <c r="D100">
        <v>1.0392332998603799</v>
      </c>
      <c r="E100">
        <v>1.08944629707814</v>
      </c>
      <c r="F100">
        <v>0.98834119837525902</v>
      </c>
      <c r="G100">
        <v>0.95761387278615795</v>
      </c>
      <c r="H100">
        <v>0.84149038378086505</v>
      </c>
      <c r="I100">
        <v>1.2830984753316499</v>
      </c>
      <c r="J100">
        <v>1.8501663125653101</v>
      </c>
      <c r="K100">
        <v>1.27420838243792</v>
      </c>
      <c r="L100">
        <v>15000</v>
      </c>
      <c r="M100">
        <v>234.641497609661</v>
      </c>
      <c r="O100">
        <v>63.922671532041498</v>
      </c>
      <c r="P100">
        <v>0.458838602500309</v>
      </c>
      <c r="Q100">
        <v>1.5</v>
      </c>
      <c r="R100">
        <v>0.70044206777145401</v>
      </c>
      <c r="S100" t="s">
        <v>6552</v>
      </c>
      <c r="T100" t="s">
        <v>12902</v>
      </c>
      <c r="U100" t="s">
        <v>12902</v>
      </c>
      <c r="V100" t="s">
        <v>12902</v>
      </c>
      <c r="W100" t="s">
        <v>13001</v>
      </c>
      <c r="X100">
        <v>3</v>
      </c>
      <c r="Y100" t="s">
        <v>19395</v>
      </c>
      <c r="Z100" t="s">
        <v>25675</v>
      </c>
      <c r="AA100">
        <v>1.1011478012467031</v>
      </c>
      <c r="AB100" t="str">
        <f>HYPERLINK("Melting_Curves/meltCurve_B0YIW2_APOC3.pdf", "Melting_Curves/meltCurve_B0YIW2_APOC3.pdf")</f>
        <v>Melting_Curves/meltCurve_B0YIW2_APOC3.pdf</v>
      </c>
    </row>
    <row r="101" spans="1:28" x14ac:dyDescent="0.25">
      <c r="A101" t="s">
        <v>105</v>
      </c>
      <c r="B101">
        <v>0.99673306730245903</v>
      </c>
      <c r="C101">
        <v>0.98637878161730697</v>
      </c>
      <c r="D101">
        <v>0.958018947429497</v>
      </c>
      <c r="E101">
        <v>0.93234364365315803</v>
      </c>
      <c r="F101">
        <v>0.87941020393596503</v>
      </c>
      <c r="G101">
        <v>0.75349839978734301</v>
      </c>
      <c r="H101">
        <v>0.56704499762815896</v>
      </c>
      <c r="I101">
        <v>0.64251536473345405</v>
      </c>
      <c r="J101">
        <v>0.77373475950919901</v>
      </c>
      <c r="K101">
        <v>0.724967603333738</v>
      </c>
      <c r="L101">
        <v>1589.1504108045599</v>
      </c>
      <c r="M101">
        <v>29.590699486438002</v>
      </c>
      <c r="O101">
        <v>53.460906254272203</v>
      </c>
      <c r="P101">
        <v>-4.43091868296831E-2</v>
      </c>
      <c r="Q101">
        <v>0.67979223641126196</v>
      </c>
      <c r="R101">
        <v>0.84616855880323505</v>
      </c>
      <c r="S101" t="s">
        <v>6553</v>
      </c>
      <c r="T101" t="s">
        <v>12902</v>
      </c>
      <c r="U101" t="s">
        <v>12902</v>
      </c>
      <c r="V101" t="s">
        <v>12902</v>
      </c>
      <c r="W101" t="s">
        <v>13002</v>
      </c>
      <c r="X101">
        <v>5</v>
      </c>
      <c r="Y101" t="s">
        <v>19396</v>
      </c>
      <c r="Z101" t="s">
        <v>25676</v>
      </c>
      <c r="AA101">
        <v>0.82821972543993472</v>
      </c>
      <c r="AB101" t="str">
        <f>HYPERLINK("Melting_Curves/meltCurve_B0YJC4_VIM.pdf", "Melting_Curves/meltCurve_B0YJC4_VIM.pdf")</f>
        <v>Melting_Curves/meltCurve_B0YJC4_VIM.pdf</v>
      </c>
    </row>
    <row r="102" spans="1:28" x14ac:dyDescent="0.25">
      <c r="A102" t="s">
        <v>106</v>
      </c>
      <c r="B102">
        <v>0.99673306730245903</v>
      </c>
      <c r="C102">
        <v>1.0509123825829201</v>
      </c>
      <c r="D102">
        <v>0.95686645553279803</v>
      </c>
      <c r="E102">
        <v>1.0858503395414401</v>
      </c>
      <c r="F102">
        <v>0.97148543490209105</v>
      </c>
      <c r="G102">
        <v>0.83484715835190304</v>
      </c>
      <c r="H102">
        <v>0.83753904596344397</v>
      </c>
      <c r="I102">
        <v>1.1388448309555601</v>
      </c>
      <c r="J102">
        <v>0.55788894265381705</v>
      </c>
      <c r="K102">
        <v>0.27817923870210298</v>
      </c>
      <c r="L102">
        <v>15000</v>
      </c>
      <c r="M102">
        <v>224.00446686842801</v>
      </c>
      <c r="N102">
        <v>67.206723369365406</v>
      </c>
      <c r="O102">
        <v>66.957605881674695</v>
      </c>
      <c r="P102">
        <v>-0.603748899795019</v>
      </c>
      <c r="Q102">
        <v>0.27812894623586998</v>
      </c>
      <c r="R102">
        <v>0.865292783533679</v>
      </c>
      <c r="S102" t="s">
        <v>6554</v>
      </c>
      <c r="T102" t="s">
        <v>12902</v>
      </c>
      <c r="U102" t="s">
        <v>12902</v>
      </c>
      <c r="V102" t="s">
        <v>12902</v>
      </c>
      <c r="W102" t="s">
        <v>13003</v>
      </c>
      <c r="X102">
        <v>2</v>
      </c>
      <c r="Y102" t="s">
        <v>19397</v>
      </c>
      <c r="Z102" t="s">
        <v>25677</v>
      </c>
      <c r="AA102">
        <v>0.92702658728000387</v>
      </c>
      <c r="AB102" t="str">
        <f>HYPERLINK("Melting_Curves/meltCurve_B1AH87_TSPO.pdf", "Melting_Curves/meltCurve_B1AH87_TSPO.pdf")</f>
        <v>Melting_Curves/meltCurve_B1AH87_TSPO.pdf</v>
      </c>
    </row>
    <row r="103" spans="1:28" x14ac:dyDescent="0.25">
      <c r="A103" t="s">
        <v>107</v>
      </c>
      <c r="B103">
        <v>0.99673306730245903</v>
      </c>
      <c r="C103">
        <v>0.99834033765707997</v>
      </c>
      <c r="D103">
        <v>1.10480148421673</v>
      </c>
      <c r="E103">
        <v>1.0752915599139401</v>
      </c>
      <c r="F103">
        <v>1.0223399026768101</v>
      </c>
      <c r="G103">
        <v>0.76905987541207099</v>
      </c>
      <c r="H103">
        <v>0.37983109248711899</v>
      </c>
      <c r="I103">
        <v>0.31287135849244901</v>
      </c>
      <c r="J103">
        <v>0.26930234038618001</v>
      </c>
      <c r="K103">
        <v>0.22165105088182499</v>
      </c>
      <c r="L103">
        <v>2155.9775997526199</v>
      </c>
      <c r="M103">
        <v>37.082448310283297</v>
      </c>
      <c r="N103">
        <v>59.292546340247398</v>
      </c>
      <c r="O103">
        <v>57.971803841796202</v>
      </c>
      <c r="P103">
        <v>-0.118848759850364</v>
      </c>
      <c r="Q103">
        <v>0.25680661070125399</v>
      </c>
      <c r="R103">
        <v>0.98288179778857998</v>
      </c>
      <c r="S103" t="s">
        <v>6555</v>
      </c>
      <c r="T103" t="s">
        <v>12902</v>
      </c>
      <c r="U103" t="s">
        <v>12902</v>
      </c>
      <c r="V103" t="s">
        <v>12902</v>
      </c>
      <c r="W103" t="s">
        <v>13004</v>
      </c>
      <c r="X103">
        <v>8</v>
      </c>
      <c r="Y103" t="s">
        <v>19398</v>
      </c>
      <c r="Z103" t="s">
        <v>25678</v>
      </c>
      <c r="AA103">
        <v>0.70956221470160785</v>
      </c>
      <c r="AB103" t="str">
        <f>HYPERLINK("Melting_Curves/meltCurve_B1AHD1_NHP2L1.pdf", "Melting_Curves/meltCurve_B1AHD1_NHP2L1.pdf")</f>
        <v>Melting_Curves/meltCurve_B1AHD1_NHP2L1.pdf</v>
      </c>
    </row>
    <row r="104" spans="1:28" x14ac:dyDescent="0.25">
      <c r="A104" t="s">
        <v>108</v>
      </c>
      <c r="B104">
        <v>0.99673306730245903</v>
      </c>
      <c r="C104">
        <v>0.900080986557383</v>
      </c>
      <c r="D104">
        <v>1.1073853964946201</v>
      </c>
      <c r="E104">
        <v>0.91647385804673698</v>
      </c>
      <c r="F104">
        <v>0.73737579009551502</v>
      </c>
      <c r="G104">
        <v>0.40837979950494102</v>
      </c>
      <c r="H104">
        <v>0.19127084461603999</v>
      </c>
      <c r="I104">
        <v>0.19826418455183401</v>
      </c>
      <c r="J104">
        <v>0.26977784441831498</v>
      </c>
      <c r="K104">
        <v>0.28436459708990303</v>
      </c>
      <c r="L104">
        <v>1680.3685350067899</v>
      </c>
      <c r="M104">
        <v>30.951769535023399</v>
      </c>
      <c r="N104">
        <v>55.402218990680602</v>
      </c>
      <c r="O104">
        <v>54.064790745432397</v>
      </c>
      <c r="P104">
        <v>-0.110003831922536</v>
      </c>
      <c r="Q104">
        <v>0.231410688887592</v>
      </c>
      <c r="R104">
        <v>0.97103033616960599</v>
      </c>
      <c r="S104" t="s">
        <v>6556</v>
      </c>
      <c r="T104" t="s">
        <v>12902</v>
      </c>
      <c r="U104" t="s">
        <v>12902</v>
      </c>
      <c r="V104" t="s">
        <v>12902</v>
      </c>
      <c r="W104" t="s">
        <v>13005</v>
      </c>
      <c r="X104">
        <v>1</v>
      </c>
      <c r="Y104" t="s">
        <v>19399</v>
      </c>
      <c r="Z104" t="s">
        <v>25679</v>
      </c>
      <c r="AA104">
        <v>0.60228219752130607</v>
      </c>
      <c r="AB104" t="str">
        <f>HYPERLINK("Melting_Curves/meltCurve_B1AJW0_FGF13.pdf", "Melting_Curves/meltCurve_B1AJW0_FGF13.pdf")</f>
        <v>Melting_Curves/meltCurve_B1AJW0_FGF13.pdf</v>
      </c>
    </row>
    <row r="105" spans="1:28" x14ac:dyDescent="0.25">
      <c r="A105" t="s">
        <v>109</v>
      </c>
      <c r="B105">
        <v>0.99673306730245903</v>
      </c>
      <c r="C105">
        <v>1.02196312010993</v>
      </c>
      <c r="D105">
        <v>1.0241939734015699</v>
      </c>
      <c r="E105">
        <v>1.0437930201847501</v>
      </c>
      <c r="F105">
        <v>0.79657815379497299</v>
      </c>
      <c r="G105">
        <v>0.50636635474151503</v>
      </c>
      <c r="H105">
        <v>0.16146475858769899</v>
      </c>
      <c r="I105">
        <v>9.8728010550396594E-2</v>
      </c>
      <c r="J105">
        <v>8.9535260841102998E-2</v>
      </c>
      <c r="K105">
        <v>7.5221446784186005E-2</v>
      </c>
      <c r="L105">
        <v>1503.70980421993</v>
      </c>
      <c r="M105">
        <v>26.7013411886815</v>
      </c>
      <c r="N105">
        <v>56.621104668590803</v>
      </c>
      <c r="O105">
        <v>56.002881657826499</v>
      </c>
      <c r="P105">
        <v>-0.11120810915997401</v>
      </c>
      <c r="Q105">
        <v>6.7027008245588895E-2</v>
      </c>
      <c r="R105">
        <v>0.99492776483260803</v>
      </c>
      <c r="S105" t="s">
        <v>6557</v>
      </c>
      <c r="T105" t="s">
        <v>12902</v>
      </c>
      <c r="U105" t="s">
        <v>12902</v>
      </c>
      <c r="V105" t="s">
        <v>12902</v>
      </c>
      <c r="W105" t="s">
        <v>13006</v>
      </c>
      <c r="X105">
        <v>21</v>
      </c>
      <c r="Y105" t="s">
        <v>19400</v>
      </c>
      <c r="Z105" t="s">
        <v>25680</v>
      </c>
      <c r="AA105">
        <v>0.58207621525190067</v>
      </c>
      <c r="AB105" t="str">
        <f>HYPERLINK("Melting_Curves/meltCurve_B1AK13_HMGCL.pdf", "Melting_Curves/meltCurve_B1AK13_HMGCL.pdf")</f>
        <v>Melting_Curves/meltCurve_B1AK13_HMGCL.pdf</v>
      </c>
    </row>
    <row r="106" spans="1:28" x14ac:dyDescent="0.25">
      <c r="A106" t="s">
        <v>110</v>
      </c>
      <c r="B106">
        <v>0.99673306730245903</v>
      </c>
      <c r="C106">
        <v>1.0046679025760099</v>
      </c>
      <c r="D106">
        <v>0.99425974414872598</v>
      </c>
      <c r="E106">
        <v>0.94583230886793301</v>
      </c>
      <c r="F106">
        <v>0.92070634570740095</v>
      </c>
      <c r="G106">
        <v>0.79759137754894105</v>
      </c>
      <c r="H106">
        <v>0.68202858365758001</v>
      </c>
      <c r="I106">
        <v>0.98525416671162303</v>
      </c>
      <c r="J106">
        <v>1.73196993843278</v>
      </c>
      <c r="K106">
        <v>1.4569693364207399</v>
      </c>
      <c r="L106">
        <v>15000</v>
      </c>
      <c r="M106">
        <v>230.15417856079</v>
      </c>
      <c r="O106">
        <v>65.168781933210894</v>
      </c>
      <c r="P106">
        <v>0.44145788173595402</v>
      </c>
      <c r="Q106">
        <v>1.5</v>
      </c>
      <c r="R106">
        <v>0.76100336865127105</v>
      </c>
      <c r="S106" t="s">
        <v>6558</v>
      </c>
      <c r="T106" t="s">
        <v>12902</v>
      </c>
      <c r="U106" t="s">
        <v>12902</v>
      </c>
      <c r="V106" t="s">
        <v>12902</v>
      </c>
      <c r="W106" t="s">
        <v>13007</v>
      </c>
      <c r="X106">
        <v>12</v>
      </c>
      <c r="Y106" t="s">
        <v>19401</v>
      </c>
      <c r="Z106" t="s">
        <v>25681</v>
      </c>
      <c r="AA106">
        <v>1.080370809641092</v>
      </c>
      <c r="AB106" t="str">
        <f>HYPERLINK("Melting_Curves/meltCurve_B1AK53_ESPN.pdf", "Melting_Curves/meltCurve_B1AK53_ESPN.pdf")</f>
        <v>Melting_Curves/meltCurve_B1AK53_ESPN.pdf</v>
      </c>
    </row>
    <row r="107" spans="1:28" x14ac:dyDescent="0.25">
      <c r="A107" t="s">
        <v>111</v>
      </c>
      <c r="B107">
        <v>0.99673306730245903</v>
      </c>
      <c r="C107">
        <v>0.97850413259886804</v>
      </c>
      <c r="D107">
        <v>0.54471759838471001</v>
      </c>
      <c r="E107">
        <v>0.64173138872157898</v>
      </c>
      <c r="F107">
        <v>0.17384786564176399</v>
      </c>
      <c r="G107">
        <v>0.113756855106282</v>
      </c>
      <c r="H107">
        <v>7.0064717158001402E-2</v>
      </c>
      <c r="I107">
        <v>6.9225743129811806E-2</v>
      </c>
      <c r="J107">
        <v>7.9744870781515695E-2</v>
      </c>
      <c r="K107">
        <v>7.4104267734980203E-2</v>
      </c>
      <c r="L107">
        <v>734.61354731130098</v>
      </c>
      <c r="M107">
        <v>15.0583751700802</v>
      </c>
      <c r="N107">
        <v>49.066440546023202</v>
      </c>
      <c r="O107">
        <v>47.948289007557896</v>
      </c>
      <c r="P107">
        <v>-7.5265856596555394E-2</v>
      </c>
      <c r="Q107">
        <v>4.1460964781016602E-2</v>
      </c>
      <c r="R107">
        <v>0.93788787694886699</v>
      </c>
      <c r="S107" t="s">
        <v>6559</v>
      </c>
      <c r="T107" t="s">
        <v>12902</v>
      </c>
      <c r="U107" t="s">
        <v>12902</v>
      </c>
      <c r="V107" t="s">
        <v>12902</v>
      </c>
      <c r="W107" t="s">
        <v>13008</v>
      </c>
      <c r="X107">
        <v>13</v>
      </c>
      <c r="Y107" t="s">
        <v>19402</v>
      </c>
      <c r="Z107" t="s">
        <v>25682</v>
      </c>
      <c r="AA107">
        <v>0.34580996671006131</v>
      </c>
      <c r="AB107" t="str">
        <f>HYPERLINK("Melting_Curves/meltCurve_B1AKJ5_NRD1.pdf", "Melting_Curves/meltCurve_B1AKJ5_NRD1.pdf")</f>
        <v>Melting_Curves/meltCurve_B1AKJ5_NRD1.pdf</v>
      </c>
    </row>
    <row r="108" spans="1:28" x14ac:dyDescent="0.25">
      <c r="A108" t="s">
        <v>112</v>
      </c>
      <c r="B108">
        <v>0.99673306730245903</v>
      </c>
      <c r="C108">
        <v>0.85015419090474698</v>
      </c>
      <c r="D108">
        <v>0.36992366051152298</v>
      </c>
      <c r="E108">
        <v>0.18240184291014</v>
      </c>
      <c r="F108">
        <v>0.11468778273046901</v>
      </c>
      <c r="G108">
        <v>7.7301006750651796E-2</v>
      </c>
      <c r="H108">
        <v>5.0738657792777399E-2</v>
      </c>
      <c r="I108">
        <v>4.3957299452922899E-2</v>
      </c>
      <c r="J108">
        <v>4.3979825457031399E-2</v>
      </c>
      <c r="K108">
        <v>2.9366429717081501E-2</v>
      </c>
      <c r="L108">
        <v>1299.7455804271899</v>
      </c>
      <c r="M108">
        <v>28.812172161676902</v>
      </c>
      <c r="N108">
        <v>45.323219860123302</v>
      </c>
      <c r="O108">
        <v>44.895354363473601</v>
      </c>
      <c r="P108">
        <v>-0.15031659543821699</v>
      </c>
      <c r="Q108">
        <v>6.3109163826144205E-2</v>
      </c>
      <c r="R108">
        <v>0.99224786871221204</v>
      </c>
      <c r="S108" t="s">
        <v>6560</v>
      </c>
      <c r="T108" t="s">
        <v>12902</v>
      </c>
      <c r="U108" t="s">
        <v>12902</v>
      </c>
      <c r="V108" t="s">
        <v>12902</v>
      </c>
      <c r="W108" t="s">
        <v>13009</v>
      </c>
      <c r="X108">
        <v>5</v>
      </c>
      <c r="Y108" t="s">
        <v>19403</v>
      </c>
      <c r="Z108" t="s">
        <v>25683</v>
      </c>
      <c r="AA108">
        <v>0.22930079608769649</v>
      </c>
      <c r="AB108" t="str">
        <f>HYPERLINK("Melting_Curves/meltCurve_B1AKJ6_OSBPL9.pdf", "Melting_Curves/meltCurve_B1AKJ6_OSBPL9.pdf")</f>
        <v>Melting_Curves/meltCurve_B1AKJ6_OSBPL9.pdf</v>
      </c>
    </row>
    <row r="109" spans="1:28" x14ac:dyDescent="0.25">
      <c r="A109" t="s">
        <v>113</v>
      </c>
      <c r="B109">
        <v>0.99673306730245903</v>
      </c>
      <c r="C109">
        <v>0.89513158674769699</v>
      </c>
      <c r="D109">
        <v>0.82559512721819295</v>
      </c>
      <c r="E109">
        <v>0.57258099076527302</v>
      </c>
      <c r="F109">
        <v>0.42516952853087903</v>
      </c>
      <c r="G109">
        <v>0.29862955382872203</v>
      </c>
      <c r="H109">
        <v>0.20623261879138199</v>
      </c>
      <c r="I109">
        <v>0.21415817549181099</v>
      </c>
      <c r="J109">
        <v>0.348598060047006</v>
      </c>
      <c r="K109">
        <v>0.46613821175064302</v>
      </c>
      <c r="L109">
        <v>959.08819581426906</v>
      </c>
      <c r="M109">
        <v>19.839268482268501</v>
      </c>
      <c r="N109">
        <v>50.704632425710798</v>
      </c>
      <c r="O109">
        <v>47.8597896814601</v>
      </c>
      <c r="P109">
        <v>-7.2384200769840604E-2</v>
      </c>
      <c r="Q109">
        <v>0.30155162598854801</v>
      </c>
      <c r="R109">
        <v>0.92797094509365896</v>
      </c>
      <c r="S109" t="s">
        <v>6561</v>
      </c>
      <c r="T109" t="s">
        <v>12902</v>
      </c>
      <c r="U109" t="s">
        <v>12902</v>
      </c>
      <c r="V109" t="s">
        <v>12902</v>
      </c>
      <c r="W109" t="s">
        <v>13010</v>
      </c>
      <c r="X109">
        <v>2</v>
      </c>
      <c r="Y109" t="s">
        <v>19404</v>
      </c>
      <c r="Z109" t="s">
        <v>25684</v>
      </c>
      <c r="AA109">
        <v>0.50581988891519059</v>
      </c>
      <c r="AB109" t="str">
        <f>HYPERLINK("Melting_Curves/meltCurve_B1AKL4_EIF4ENIF1.pdf", "Melting_Curves/meltCurve_B1AKL4_EIF4ENIF1.pdf")</f>
        <v>Melting_Curves/meltCurve_B1AKL4_EIF4ENIF1.pdf</v>
      </c>
    </row>
    <row r="110" spans="1:28" x14ac:dyDescent="0.25">
      <c r="A110" t="s">
        <v>114</v>
      </c>
      <c r="B110">
        <v>0.99673306730245903</v>
      </c>
      <c r="C110">
        <v>0.93696267533885502</v>
      </c>
      <c r="D110">
        <v>0.76216589619874098</v>
      </c>
      <c r="E110">
        <v>0.76247227249501004</v>
      </c>
      <c r="F110">
        <v>0.56875656527464102</v>
      </c>
      <c r="G110">
        <v>0.46653497293198798</v>
      </c>
      <c r="H110">
        <v>0.30134052497147501</v>
      </c>
      <c r="I110">
        <v>0.29760759236658202</v>
      </c>
      <c r="J110">
        <v>0.20410689833125101</v>
      </c>
      <c r="K110">
        <v>0.12060059157529</v>
      </c>
      <c r="L110">
        <v>447.36368546490701</v>
      </c>
      <c r="M110">
        <v>8.0707550715399101</v>
      </c>
      <c r="N110">
        <v>55.430214573338702</v>
      </c>
      <c r="O110">
        <v>52.338207588514202</v>
      </c>
      <c r="P110">
        <v>-3.8593172830490602E-2</v>
      </c>
      <c r="Q110">
        <v>0</v>
      </c>
      <c r="R110">
        <v>0.98360006006878098</v>
      </c>
      <c r="S110" t="s">
        <v>6562</v>
      </c>
      <c r="T110" t="s">
        <v>12902</v>
      </c>
      <c r="U110" t="s">
        <v>12902</v>
      </c>
      <c r="V110" t="s">
        <v>12902</v>
      </c>
      <c r="W110" t="s">
        <v>13011</v>
      </c>
      <c r="X110">
        <v>3</v>
      </c>
      <c r="Y110" t="s">
        <v>19405</v>
      </c>
      <c r="Z110" t="s">
        <v>25685</v>
      </c>
      <c r="AA110">
        <v>0.53842952150992041</v>
      </c>
      <c r="AB110" t="str">
        <f>HYPERLINK("Melting_Curves/meltCurve_B1AKN6_NFIA.pdf", "Melting_Curves/meltCurve_B1AKN6_NFIA.pdf")</f>
        <v>Melting_Curves/meltCurve_B1AKN6_NFIA.pdf</v>
      </c>
    </row>
    <row r="111" spans="1:28" x14ac:dyDescent="0.25">
      <c r="A111" t="s">
        <v>115</v>
      </c>
      <c r="B111">
        <v>0.99673306730245903</v>
      </c>
      <c r="C111">
        <v>0.96351399761858203</v>
      </c>
      <c r="D111">
        <v>0.90054859399924203</v>
      </c>
      <c r="E111">
        <v>0.76658145608486905</v>
      </c>
      <c r="F111">
        <v>0.57135288556652797</v>
      </c>
      <c r="G111">
        <v>0.34825735148930398</v>
      </c>
      <c r="H111">
        <v>0.15837744908012599</v>
      </c>
      <c r="I111">
        <v>0.110445097467977</v>
      </c>
      <c r="J111">
        <v>0.10674223724960499</v>
      </c>
      <c r="K111">
        <v>8.6566281370390297E-2</v>
      </c>
      <c r="L111">
        <v>765.81357985219199</v>
      </c>
      <c r="M111">
        <v>14.2665987982905</v>
      </c>
      <c r="N111">
        <v>53.982447230568503</v>
      </c>
      <c r="O111">
        <v>52.6571395046549</v>
      </c>
      <c r="P111">
        <v>-6.5129749691573396E-2</v>
      </c>
      <c r="Q111">
        <v>3.8558343439784502E-2</v>
      </c>
      <c r="R111">
        <v>0.99789179789541804</v>
      </c>
      <c r="S111" t="s">
        <v>6563</v>
      </c>
      <c r="T111" t="s">
        <v>12902</v>
      </c>
      <c r="U111" t="s">
        <v>12902</v>
      </c>
      <c r="V111" t="s">
        <v>12902</v>
      </c>
      <c r="W111" t="s">
        <v>13012</v>
      </c>
      <c r="X111">
        <v>27</v>
      </c>
      <c r="Y111" t="s">
        <v>19406</v>
      </c>
      <c r="Z111" t="s">
        <v>25686</v>
      </c>
      <c r="AA111">
        <v>0.49829797141378368</v>
      </c>
      <c r="AB111" t="str">
        <f>HYPERLINK("Melting_Curves/meltCurve_B1AKY9_ATP1A2.pdf", "Melting_Curves/meltCurve_B1AKY9_ATP1A2.pdf")</f>
        <v>Melting_Curves/meltCurve_B1AKY9_ATP1A2.pdf</v>
      </c>
    </row>
    <row r="112" spans="1:28" x14ac:dyDescent="0.25">
      <c r="A112" t="s">
        <v>116</v>
      </c>
      <c r="B112">
        <v>0.99673306730245903</v>
      </c>
      <c r="C112">
        <v>0.93949073927682603</v>
      </c>
      <c r="D112">
        <v>0.95506012685097197</v>
      </c>
      <c r="E112">
        <v>0.59033872949416499</v>
      </c>
      <c r="F112">
        <v>0.18716624096196099</v>
      </c>
      <c r="G112">
        <v>9.6694491936223606E-2</v>
      </c>
      <c r="H112">
        <v>5.2556775427048702E-2</v>
      </c>
      <c r="I112">
        <v>5.0225933525800598E-2</v>
      </c>
      <c r="J112">
        <v>5.72101267307445E-2</v>
      </c>
      <c r="K112">
        <v>5.3080724989907797E-2</v>
      </c>
      <c r="L112">
        <v>1517.0579704803399</v>
      </c>
      <c r="M112">
        <v>30.306689480076798</v>
      </c>
      <c r="N112">
        <v>50.2499931430239</v>
      </c>
      <c r="O112">
        <v>49.8404414252621</v>
      </c>
      <c r="P112">
        <v>-0.143662283471546</v>
      </c>
      <c r="Q112">
        <v>5.4974711050728903E-2</v>
      </c>
      <c r="R112">
        <v>0.99775069186297405</v>
      </c>
      <c r="S112" t="s">
        <v>6564</v>
      </c>
      <c r="T112" t="s">
        <v>12902</v>
      </c>
      <c r="U112" t="s">
        <v>12902</v>
      </c>
      <c r="V112" t="s">
        <v>12902</v>
      </c>
      <c r="W112" t="s">
        <v>13013</v>
      </c>
      <c r="X112">
        <v>3</v>
      </c>
      <c r="Y112" t="s">
        <v>19407</v>
      </c>
      <c r="Z112" t="s">
        <v>25687</v>
      </c>
      <c r="AA112">
        <v>0.37750594775869151</v>
      </c>
      <c r="AB112" t="str">
        <f>HYPERLINK("Melting_Curves/meltCurve_B1AL69_CDC37L1.pdf", "Melting_Curves/meltCurve_B1AL69_CDC37L1.pdf")</f>
        <v>Melting_Curves/meltCurve_B1AL69_CDC37L1.pdf</v>
      </c>
    </row>
    <row r="113" spans="1:28" x14ac:dyDescent="0.25">
      <c r="A113" t="s">
        <v>117</v>
      </c>
      <c r="B113">
        <v>0.99673306730245903</v>
      </c>
      <c r="C113">
        <v>0.79719707411027596</v>
      </c>
      <c r="D113">
        <v>0.667200014422761</v>
      </c>
      <c r="E113">
        <v>0.408086037394089</v>
      </c>
      <c r="F113">
        <v>0.21985750910086299</v>
      </c>
      <c r="G113">
        <v>0.15107803159531599</v>
      </c>
      <c r="H113">
        <v>0.13702760265399599</v>
      </c>
      <c r="I113">
        <v>0.13594737411482899</v>
      </c>
      <c r="J113">
        <v>0.138355478395223</v>
      </c>
      <c r="K113">
        <v>0.14387587161507701</v>
      </c>
      <c r="L113">
        <v>767.62496755356506</v>
      </c>
      <c r="M113">
        <v>16.296793369084799</v>
      </c>
      <c r="N113">
        <v>47.923955689489702</v>
      </c>
      <c r="O113">
        <v>46.410737018885399</v>
      </c>
      <c r="P113">
        <v>-7.7097775112647801E-2</v>
      </c>
      <c r="Q113">
        <v>0.121814582918781</v>
      </c>
      <c r="R113">
        <v>0.99267448421938098</v>
      </c>
      <c r="S113" t="s">
        <v>6565</v>
      </c>
      <c r="T113" t="s">
        <v>12902</v>
      </c>
      <c r="U113" t="s">
        <v>12902</v>
      </c>
      <c r="V113" t="s">
        <v>12902</v>
      </c>
      <c r="W113" t="s">
        <v>13014</v>
      </c>
      <c r="X113">
        <v>3</v>
      </c>
      <c r="Y113" t="s">
        <v>19408</v>
      </c>
      <c r="Z113" t="s">
        <v>25688</v>
      </c>
      <c r="AA113">
        <v>0.34968290699100979</v>
      </c>
      <c r="AB113" t="str">
        <f>HYPERLINK("Melting_Curves/meltCurve_B1ALB4_SMG7.pdf", "Melting_Curves/meltCurve_B1ALB4_SMG7.pdf")</f>
        <v>Melting_Curves/meltCurve_B1ALB4_SMG7.pdf</v>
      </c>
    </row>
    <row r="114" spans="1:28" x14ac:dyDescent="0.25">
      <c r="A114" t="s">
        <v>118</v>
      </c>
      <c r="B114">
        <v>0.99673306730245903</v>
      </c>
      <c r="C114">
        <v>1.04304375640348</v>
      </c>
      <c r="D114">
        <v>0.92320727223257104</v>
      </c>
      <c r="E114">
        <v>0.68478535515628103</v>
      </c>
      <c r="F114">
        <v>0.306513037556432</v>
      </c>
      <c r="G114">
        <v>0.20276664757326601</v>
      </c>
      <c r="H114">
        <v>0.117450722127904</v>
      </c>
      <c r="I114">
        <v>8.0552009966802396E-2</v>
      </c>
      <c r="J114">
        <v>9.3447986469211097E-2</v>
      </c>
      <c r="K114">
        <v>9.8292904847094603E-2</v>
      </c>
      <c r="L114">
        <v>1218.1837660843901</v>
      </c>
      <c r="M114">
        <v>23.965507512175201</v>
      </c>
      <c r="N114">
        <v>51.287961768363097</v>
      </c>
      <c r="O114">
        <v>50.480756328383798</v>
      </c>
      <c r="P114">
        <v>-0.10727173131939</v>
      </c>
      <c r="Q114">
        <v>9.6189035015107005E-2</v>
      </c>
      <c r="R114">
        <v>0.99634291094322602</v>
      </c>
      <c r="S114" t="s">
        <v>6566</v>
      </c>
      <c r="T114" t="s">
        <v>12902</v>
      </c>
      <c r="U114" t="s">
        <v>12902</v>
      </c>
      <c r="V114" t="s">
        <v>12902</v>
      </c>
      <c r="W114" t="s">
        <v>13015</v>
      </c>
      <c r="X114">
        <v>6</v>
      </c>
      <c r="Y114" t="s">
        <v>19409</v>
      </c>
      <c r="Z114" t="s">
        <v>25689</v>
      </c>
      <c r="AA114">
        <v>0.43134318146783629</v>
      </c>
      <c r="AB114" t="str">
        <f>HYPERLINK("Melting_Curves/meltCurve_B1ALH6_PHYH.pdf", "Melting_Curves/meltCurve_B1ALH6_PHYH.pdf")</f>
        <v>Melting_Curves/meltCurve_B1ALH6_PHYH.pdf</v>
      </c>
    </row>
    <row r="115" spans="1:28" x14ac:dyDescent="0.25">
      <c r="A115" t="s">
        <v>119</v>
      </c>
      <c r="B115">
        <v>0.99673306730245903</v>
      </c>
      <c r="C115">
        <v>0.93175688353484598</v>
      </c>
      <c r="D115">
        <v>1.0023805680737501</v>
      </c>
      <c r="E115">
        <v>0.69243477617472804</v>
      </c>
      <c r="F115">
        <v>0.296791848094551</v>
      </c>
      <c r="G115">
        <v>0.209206048803041</v>
      </c>
      <c r="H115">
        <v>0.14170387746719201</v>
      </c>
      <c r="I115">
        <v>0.122613785466678</v>
      </c>
      <c r="J115">
        <v>0.13190361969443601</v>
      </c>
      <c r="K115">
        <v>0.117508997336737</v>
      </c>
      <c r="L115">
        <v>1498.6481209756</v>
      </c>
      <c r="M115">
        <v>29.575304622269201</v>
      </c>
      <c r="N115">
        <v>51.213125183843403</v>
      </c>
      <c r="O115">
        <v>50.4423070432589</v>
      </c>
      <c r="P115">
        <v>-0.12691970774382699</v>
      </c>
      <c r="Q115">
        <v>0.13413184093799899</v>
      </c>
      <c r="R115">
        <v>0.99403660657270398</v>
      </c>
      <c r="S115" t="s">
        <v>6567</v>
      </c>
      <c r="T115" t="s">
        <v>12902</v>
      </c>
      <c r="U115" t="s">
        <v>12902</v>
      </c>
      <c r="V115" t="s">
        <v>12902</v>
      </c>
      <c r="W115" t="s">
        <v>13016</v>
      </c>
      <c r="X115">
        <v>8</v>
      </c>
      <c r="Y115" t="s">
        <v>19410</v>
      </c>
      <c r="Z115" t="s">
        <v>25690</v>
      </c>
      <c r="AA115">
        <v>0.44773025484711299</v>
      </c>
      <c r="AB115" t="str">
        <f>HYPERLINK("Melting_Curves/meltCurve_B1ALK7_ARHGEF7.pdf", "Melting_Curves/meltCurve_B1ALK7_ARHGEF7.pdf")</f>
        <v>Melting_Curves/meltCurve_B1ALK7_ARHGEF7.pdf</v>
      </c>
    </row>
    <row r="116" spans="1:28" x14ac:dyDescent="0.25">
      <c r="A116" t="s">
        <v>120</v>
      </c>
      <c r="B116">
        <v>0.99673306730245903</v>
      </c>
      <c r="C116">
        <v>0.98801092285827097</v>
      </c>
      <c r="D116">
        <v>0.91071486674098701</v>
      </c>
      <c r="E116">
        <v>0.66760176010310301</v>
      </c>
      <c r="F116">
        <v>0.52342197897778198</v>
      </c>
      <c r="G116">
        <v>0.38346338261017898</v>
      </c>
      <c r="H116">
        <v>0.27055377045151102</v>
      </c>
      <c r="I116">
        <v>0.25491759083773402</v>
      </c>
      <c r="J116">
        <v>0.31131423398334601</v>
      </c>
      <c r="K116">
        <v>0.33923937237610602</v>
      </c>
      <c r="L116">
        <v>921.72270075285905</v>
      </c>
      <c r="M116">
        <v>18.2531991637962</v>
      </c>
      <c r="N116">
        <v>52.965844657906999</v>
      </c>
      <c r="O116">
        <v>49.9021214973125</v>
      </c>
      <c r="P116">
        <v>-6.5248711734889803E-2</v>
      </c>
      <c r="Q116">
        <v>0.28650379998474401</v>
      </c>
      <c r="R116">
        <v>0.98798964417833801</v>
      </c>
      <c r="S116" t="s">
        <v>6568</v>
      </c>
      <c r="T116" t="s">
        <v>12902</v>
      </c>
      <c r="U116" t="s">
        <v>12902</v>
      </c>
      <c r="V116" t="s">
        <v>12902</v>
      </c>
      <c r="W116" t="s">
        <v>13017</v>
      </c>
      <c r="X116">
        <v>3</v>
      </c>
      <c r="Y116" t="s">
        <v>19411</v>
      </c>
      <c r="Z116" t="s">
        <v>25691</v>
      </c>
      <c r="AA116">
        <v>0.54792774079222206</v>
      </c>
      <c r="AB116" t="str">
        <f>HYPERLINK("Melting_Curves/meltCurve_B1ALM5_TMEM9.pdf", "Melting_Curves/meltCurve_B1ALM5_TMEM9.pdf")</f>
        <v>Melting_Curves/meltCurve_B1ALM5_TMEM9.pdf</v>
      </c>
    </row>
    <row r="117" spans="1:28" x14ac:dyDescent="0.25">
      <c r="A117" t="s">
        <v>121</v>
      </c>
      <c r="B117">
        <v>0.99673306730245903</v>
      </c>
      <c r="C117">
        <v>0.93822185952868697</v>
      </c>
      <c r="D117">
        <v>0.85322913196194194</v>
      </c>
      <c r="E117">
        <v>0.57578694014032905</v>
      </c>
      <c r="F117">
        <v>0.24478389005941401</v>
      </c>
      <c r="G117">
        <v>0.16035357238244699</v>
      </c>
      <c r="H117">
        <v>0.120973711543979</v>
      </c>
      <c r="I117">
        <v>0.13994831422131801</v>
      </c>
      <c r="J117">
        <v>0.129593356626414</v>
      </c>
      <c r="K117">
        <v>0.10810440479324999</v>
      </c>
      <c r="L117">
        <v>1103.8966871228599</v>
      </c>
      <c r="M117">
        <v>22.290360261854801</v>
      </c>
      <c r="N117">
        <v>50.112262858052901</v>
      </c>
      <c r="O117">
        <v>49.130081957811001</v>
      </c>
      <c r="P117">
        <v>-0.100360838898471</v>
      </c>
      <c r="Q117">
        <v>0.115199346987962</v>
      </c>
      <c r="R117">
        <v>0.99736576430185198</v>
      </c>
      <c r="S117" t="s">
        <v>6569</v>
      </c>
      <c r="T117" t="s">
        <v>12902</v>
      </c>
      <c r="U117" t="s">
        <v>12902</v>
      </c>
      <c r="V117" t="s">
        <v>12902</v>
      </c>
      <c r="W117" t="s">
        <v>13018</v>
      </c>
      <c r="X117">
        <v>2</v>
      </c>
      <c r="Y117" t="s">
        <v>19412</v>
      </c>
      <c r="Z117" t="s">
        <v>25692</v>
      </c>
      <c r="AA117">
        <v>0.4060126612889674</v>
      </c>
      <c r="AB117" t="str">
        <f>HYPERLINK("Melting_Curves/meltCurve_B1AMF0_UBE2J2.pdf", "Melting_Curves/meltCurve_B1AMF0_UBE2J2.pdf")</f>
        <v>Melting_Curves/meltCurve_B1AMF0_UBE2J2.pdf</v>
      </c>
    </row>
    <row r="118" spans="1:28" x14ac:dyDescent="0.25">
      <c r="A118" t="s">
        <v>122</v>
      </c>
      <c r="B118">
        <v>0.99673306730245903</v>
      </c>
      <c r="C118">
        <v>0.98399626400503004</v>
      </c>
      <c r="D118">
        <v>1.00691379082907</v>
      </c>
      <c r="E118">
        <v>1.01097515941668</v>
      </c>
      <c r="F118">
        <v>0.89210808424806898</v>
      </c>
      <c r="G118">
        <v>0.66718861571435994</v>
      </c>
      <c r="H118">
        <v>0.49314292358193701</v>
      </c>
      <c r="I118">
        <v>0.33721600494777298</v>
      </c>
      <c r="J118">
        <v>0.22751061680087301</v>
      </c>
      <c r="K118">
        <v>0.20413744293939201</v>
      </c>
      <c r="L118">
        <v>995.15410610593995</v>
      </c>
      <c r="M118">
        <v>16.871375025071998</v>
      </c>
      <c r="N118">
        <v>60.223174260176798</v>
      </c>
      <c r="O118">
        <v>58.174776722196398</v>
      </c>
      <c r="P118">
        <v>-6.1879785365482803E-2</v>
      </c>
      <c r="Q118">
        <v>0.146574957737971</v>
      </c>
      <c r="R118">
        <v>0.99504062331321097</v>
      </c>
      <c r="S118" t="s">
        <v>6570</v>
      </c>
      <c r="T118" t="s">
        <v>12902</v>
      </c>
      <c r="U118" t="s">
        <v>12902</v>
      </c>
      <c r="V118" t="s">
        <v>12902</v>
      </c>
      <c r="W118" t="s">
        <v>13019</v>
      </c>
      <c r="X118">
        <v>12</v>
      </c>
      <c r="Y118" t="s">
        <v>19413</v>
      </c>
      <c r="Z118" t="s">
        <v>25693</v>
      </c>
      <c r="AA118">
        <v>0.69582172182919011</v>
      </c>
      <c r="AB118" t="str">
        <f>HYPERLINK("Melting_Curves/meltCurve_B1AMS2_SEPT6.pdf", "Melting_Curves/meltCurve_B1AMS2_SEPT6.pdf")</f>
        <v>Melting_Curves/meltCurve_B1AMS2_SEPT6.pdf</v>
      </c>
    </row>
    <row r="119" spans="1:28" x14ac:dyDescent="0.25">
      <c r="A119" t="s">
        <v>123</v>
      </c>
      <c r="B119">
        <v>0.99673306730245903</v>
      </c>
      <c r="C119">
        <v>1.0105452789690399</v>
      </c>
      <c r="D119">
        <v>0.94425633572270895</v>
      </c>
      <c r="E119">
        <v>0.84108995996818803</v>
      </c>
      <c r="F119">
        <v>0.72354500572318603</v>
      </c>
      <c r="G119">
        <v>0.61117067175100803</v>
      </c>
      <c r="H119">
        <v>0.57942903777891697</v>
      </c>
      <c r="I119">
        <v>0.84920755589638697</v>
      </c>
      <c r="J119">
        <v>0.90099047703129798</v>
      </c>
      <c r="K119">
        <v>0.99201263854215604</v>
      </c>
      <c r="L119">
        <v>1828.97524533146</v>
      </c>
      <c r="M119">
        <v>38.340842766929299</v>
      </c>
      <c r="O119">
        <v>47.573835932007398</v>
      </c>
      <c r="P119">
        <v>-4.4718528549496601E-2</v>
      </c>
      <c r="Q119">
        <v>0.77805112563481404</v>
      </c>
      <c r="R119">
        <v>0.388111731515761</v>
      </c>
      <c r="S119" t="s">
        <v>6571</v>
      </c>
      <c r="T119" t="s">
        <v>12902</v>
      </c>
      <c r="U119" t="s">
        <v>12902</v>
      </c>
      <c r="V119" t="s">
        <v>12902</v>
      </c>
      <c r="W119" t="s">
        <v>13020</v>
      </c>
      <c r="X119">
        <v>4</v>
      </c>
      <c r="Y119" t="s">
        <v>19414</v>
      </c>
      <c r="Z119" t="s">
        <v>25694</v>
      </c>
      <c r="AA119">
        <v>0.83584175390294269</v>
      </c>
      <c r="AB119" t="str">
        <f>HYPERLINK("Melting_Curves/meltCurve_B1AMW1_CD58.pdf", "Melting_Curves/meltCurve_B1AMW1_CD58.pdf")</f>
        <v>Melting_Curves/meltCurve_B1AMW1_CD58.pdf</v>
      </c>
    </row>
    <row r="120" spans="1:28" x14ac:dyDescent="0.25">
      <c r="A120" t="s">
        <v>124</v>
      </c>
      <c r="B120">
        <v>0.99673306730245903</v>
      </c>
      <c r="C120">
        <v>0.93618928198423101</v>
      </c>
      <c r="D120">
        <v>0.53848253340249796</v>
      </c>
      <c r="E120">
        <v>0.44638835264084198</v>
      </c>
      <c r="F120">
        <v>0.34680408895779902</v>
      </c>
      <c r="G120">
        <v>0.28587106939430201</v>
      </c>
      <c r="H120">
        <v>0.22694920052135001</v>
      </c>
      <c r="I120">
        <v>0.29688867306104599</v>
      </c>
      <c r="J120">
        <v>0.43953690298623499</v>
      </c>
      <c r="K120">
        <v>0.48491770287420999</v>
      </c>
      <c r="L120">
        <v>1753.1299228073001</v>
      </c>
      <c r="M120">
        <v>38.9150614978671</v>
      </c>
      <c r="N120">
        <v>46.543928278689897</v>
      </c>
      <c r="O120">
        <v>44.931713988593202</v>
      </c>
      <c r="P120">
        <v>-0.139313098014823</v>
      </c>
      <c r="Q120">
        <v>0.35659267916469101</v>
      </c>
      <c r="R120">
        <v>0.91329527178895697</v>
      </c>
      <c r="S120" t="s">
        <v>6572</v>
      </c>
      <c r="T120" t="s">
        <v>12902</v>
      </c>
      <c r="U120" t="s">
        <v>12902</v>
      </c>
      <c r="V120" t="s">
        <v>12902</v>
      </c>
      <c r="W120" t="s">
        <v>13021</v>
      </c>
      <c r="X120">
        <v>4</v>
      </c>
      <c r="Y120" t="s">
        <v>19415</v>
      </c>
      <c r="Z120" t="s">
        <v>25695</v>
      </c>
      <c r="AA120">
        <v>0.46715874745538249</v>
      </c>
      <c r="AB120" t="str">
        <f>HYPERLINK("Melting_Curves/meltCurve_B1AN89_EIF4G3.pdf", "Melting_Curves/meltCurve_B1AN89_EIF4G3.pdf")</f>
        <v>Melting_Curves/meltCurve_B1AN89_EIF4G3.pdf</v>
      </c>
    </row>
    <row r="121" spans="1:28" x14ac:dyDescent="0.25">
      <c r="A121" t="s">
        <v>125</v>
      </c>
      <c r="B121">
        <v>0.99673306730245903</v>
      </c>
      <c r="C121">
        <v>1.04279585511927</v>
      </c>
      <c r="D121">
        <v>1.1902440669287599</v>
      </c>
      <c r="E121">
        <v>1.4453025539262701</v>
      </c>
      <c r="F121">
        <v>1.78969984289571</v>
      </c>
      <c r="G121">
        <v>1.27165402648869</v>
      </c>
      <c r="H121">
        <v>1.3910868670645999</v>
      </c>
      <c r="I121">
        <v>1.7531842488666001</v>
      </c>
      <c r="J121">
        <v>1.44246164667359</v>
      </c>
      <c r="K121">
        <v>1.3511290333575401</v>
      </c>
      <c r="L121">
        <v>2034.12396310753</v>
      </c>
      <c r="M121">
        <v>43.765306833304599</v>
      </c>
      <c r="O121">
        <v>46.3812758112661</v>
      </c>
      <c r="P121">
        <v>0.117153351506409</v>
      </c>
      <c r="Q121">
        <v>1.4966229571327101</v>
      </c>
      <c r="R121">
        <v>0.61470494380486596</v>
      </c>
      <c r="S121" t="s">
        <v>6573</v>
      </c>
      <c r="T121" t="s">
        <v>12902</v>
      </c>
      <c r="U121" t="s">
        <v>12902</v>
      </c>
      <c r="V121" t="s">
        <v>12902</v>
      </c>
      <c r="W121" t="s">
        <v>13022</v>
      </c>
      <c r="X121">
        <v>1</v>
      </c>
      <c r="Y121" t="s">
        <v>19416</v>
      </c>
      <c r="Z121" t="s">
        <v>25696</v>
      </c>
      <c r="AA121">
        <v>1.3880438384402429</v>
      </c>
      <c r="AB121" t="str">
        <f>HYPERLINK("Melting_Curves/meltCurve_B1AN99_PRSS3.pdf", "Melting_Curves/meltCurve_B1AN99_PRSS3.pdf")</f>
        <v>Melting_Curves/meltCurve_B1AN99_PRSS3.pdf</v>
      </c>
    </row>
    <row r="122" spans="1:28" x14ac:dyDescent="0.25">
      <c r="A122" t="s">
        <v>126</v>
      </c>
      <c r="B122">
        <v>0.99673306730245903</v>
      </c>
      <c r="C122">
        <v>1.01009454169803</v>
      </c>
      <c r="D122">
        <v>0.84303149173291003</v>
      </c>
      <c r="E122">
        <v>0.38909230414002199</v>
      </c>
      <c r="F122">
        <v>0.175632495627324</v>
      </c>
      <c r="G122">
        <v>0.12600830013123701</v>
      </c>
      <c r="H122">
        <v>9.4064989480986794E-2</v>
      </c>
      <c r="I122">
        <v>9.7717058949204599E-2</v>
      </c>
      <c r="J122">
        <v>0.103979817524758</v>
      </c>
      <c r="K122">
        <v>9.8713573367760404E-2</v>
      </c>
      <c r="L122">
        <v>1451.0040556766</v>
      </c>
      <c r="M122">
        <v>29.981852546923299</v>
      </c>
      <c r="N122">
        <v>48.773770381296004</v>
      </c>
      <c r="O122">
        <v>48.182311046028097</v>
      </c>
      <c r="P122">
        <v>-0.13944976702803599</v>
      </c>
      <c r="Q122">
        <v>0.103595406261835</v>
      </c>
      <c r="R122">
        <v>0.99895250044104</v>
      </c>
      <c r="S122" t="s">
        <v>6574</v>
      </c>
      <c r="T122" t="s">
        <v>12902</v>
      </c>
      <c r="U122" t="s">
        <v>12902</v>
      </c>
      <c r="V122" t="s">
        <v>12902</v>
      </c>
      <c r="W122" t="s">
        <v>13023</v>
      </c>
      <c r="X122">
        <v>11</v>
      </c>
      <c r="Y122" t="s">
        <v>19417</v>
      </c>
      <c r="Z122" t="s">
        <v>25697</v>
      </c>
      <c r="AA122">
        <v>0.35989526428231661</v>
      </c>
      <c r="AB122" t="str">
        <f>HYPERLINK("Melting_Curves/meltCurve_B1ANH0_GUK1.pdf", "Melting_Curves/meltCurve_B1ANH0_GUK1.pdf")</f>
        <v>Melting_Curves/meltCurve_B1ANH0_GUK1.pdf</v>
      </c>
    </row>
    <row r="123" spans="1:28" x14ac:dyDescent="0.25">
      <c r="A123" t="s">
        <v>127</v>
      </c>
      <c r="B123">
        <v>0.99673306730245903</v>
      </c>
      <c r="C123">
        <v>0.851287621933284</v>
      </c>
      <c r="D123">
        <v>0.71208847030358302</v>
      </c>
      <c r="E123">
        <v>0.561002390295957</v>
      </c>
      <c r="F123">
        <v>0.39050442955005499</v>
      </c>
      <c r="G123">
        <v>0.25768399301432998</v>
      </c>
      <c r="H123">
        <v>0.21894679039280199</v>
      </c>
      <c r="I123">
        <v>0.37842767331579102</v>
      </c>
      <c r="J123">
        <v>0.60507055197200699</v>
      </c>
      <c r="K123">
        <v>0.74281278240085202</v>
      </c>
      <c r="L123">
        <v>1054.2500882566701</v>
      </c>
      <c r="M123">
        <v>23.1030540726459</v>
      </c>
      <c r="N123">
        <v>50.079823262675099</v>
      </c>
      <c r="O123">
        <v>45.294732711084201</v>
      </c>
      <c r="P123">
        <v>-7.1953107117615003E-2</v>
      </c>
      <c r="Q123">
        <v>0.43573920732685001</v>
      </c>
      <c r="R123">
        <v>0.63972156218265197</v>
      </c>
      <c r="S123" t="s">
        <v>6575</v>
      </c>
      <c r="T123" t="s">
        <v>12902</v>
      </c>
      <c r="U123" t="s">
        <v>12902</v>
      </c>
      <c r="V123" t="s">
        <v>12902</v>
      </c>
      <c r="W123" t="s">
        <v>13024</v>
      </c>
      <c r="X123">
        <v>2</v>
      </c>
      <c r="Y123" t="s">
        <v>19418</v>
      </c>
      <c r="Z123" t="s">
        <v>25698</v>
      </c>
      <c r="AA123">
        <v>0.54809030737489517</v>
      </c>
      <c r="AB123" t="str">
        <f>HYPERLINK("Melting_Curves/meltCurve_B1AQP1_USF1.pdf", "Melting_Curves/meltCurve_B1AQP1_USF1.pdf")</f>
        <v>Melting_Curves/meltCurve_B1AQP1_USF1.pdf</v>
      </c>
    </row>
    <row r="124" spans="1:28" x14ac:dyDescent="0.25">
      <c r="A124" t="s">
        <v>128</v>
      </c>
      <c r="B124">
        <v>0.99673306730245903</v>
      </c>
      <c r="C124">
        <v>0.93981190520305902</v>
      </c>
      <c r="D124">
        <v>1.0271714321951799</v>
      </c>
      <c r="E124">
        <v>0.93940182301227904</v>
      </c>
      <c r="F124">
        <v>0.57067552046373005</v>
      </c>
      <c r="G124">
        <v>0.48291315741757102</v>
      </c>
      <c r="H124">
        <v>0.43379624881323098</v>
      </c>
      <c r="I124">
        <v>0.45232151442888402</v>
      </c>
      <c r="J124">
        <v>0.44260614836661599</v>
      </c>
      <c r="K124">
        <v>0.38858616266014301</v>
      </c>
      <c r="L124">
        <v>2302.4464347715202</v>
      </c>
      <c r="M124">
        <v>44.378905887163597</v>
      </c>
      <c r="N124">
        <v>54.410983342612703</v>
      </c>
      <c r="O124">
        <v>51.776535045893901</v>
      </c>
      <c r="P124">
        <v>-0.12075425421725799</v>
      </c>
      <c r="Q124">
        <v>0.43646845983928501</v>
      </c>
      <c r="R124">
        <v>0.98736234337847895</v>
      </c>
      <c r="S124" t="s">
        <v>6576</v>
      </c>
      <c r="T124" t="s">
        <v>12902</v>
      </c>
      <c r="U124" t="s">
        <v>12902</v>
      </c>
      <c r="V124" t="s">
        <v>12902</v>
      </c>
      <c r="W124" t="s">
        <v>13025</v>
      </c>
      <c r="X124">
        <v>1</v>
      </c>
      <c r="Y124" t="s">
        <v>19419</v>
      </c>
      <c r="Z124" t="s">
        <v>25699</v>
      </c>
      <c r="AA124">
        <v>0.66129519145523907</v>
      </c>
      <c r="AB124" t="str">
        <f>HYPERLINK("Melting_Curves/meltCurve_B1AVQ7_MUC1.pdf", "Melting_Curves/meltCurve_B1AVQ7_MUC1.pdf")</f>
        <v>Melting_Curves/meltCurve_B1AVQ7_MUC1.pdf</v>
      </c>
    </row>
    <row r="125" spans="1:28" x14ac:dyDescent="0.25">
      <c r="A125" t="s">
        <v>129</v>
      </c>
      <c r="B125">
        <v>0.99673306730245903</v>
      </c>
      <c r="C125">
        <v>1.0217880659006799</v>
      </c>
      <c r="D125">
        <v>1.0004876843125601</v>
      </c>
      <c r="E125">
        <v>0.99077450377279797</v>
      </c>
      <c r="F125">
        <v>0.89527198322602997</v>
      </c>
      <c r="G125">
        <v>0.856909215766536</v>
      </c>
      <c r="H125">
        <v>0.75190208787278101</v>
      </c>
      <c r="I125">
        <v>1.2423398159069301</v>
      </c>
      <c r="J125">
        <v>1.7622096165580901</v>
      </c>
      <c r="K125">
        <v>1.6895680581208199</v>
      </c>
      <c r="L125">
        <v>15000</v>
      </c>
      <c r="M125">
        <v>234.31384373913599</v>
      </c>
      <c r="O125">
        <v>64.012040685736807</v>
      </c>
      <c r="P125">
        <v>0.45755814392229799</v>
      </c>
      <c r="Q125">
        <v>1.5</v>
      </c>
      <c r="R125">
        <v>0.81345945440692202</v>
      </c>
      <c r="S125" t="s">
        <v>6577</v>
      </c>
      <c r="T125" t="s">
        <v>12902</v>
      </c>
      <c r="U125" t="s">
        <v>12902</v>
      </c>
      <c r="V125" t="s">
        <v>12902</v>
      </c>
      <c r="W125" t="s">
        <v>13026</v>
      </c>
      <c r="X125">
        <v>24</v>
      </c>
      <c r="Y125" t="s">
        <v>19420</v>
      </c>
      <c r="Z125" t="s">
        <v>25700</v>
      </c>
      <c r="AA125">
        <v>1.0996576493924699</v>
      </c>
      <c r="AB125" t="str">
        <f>HYPERLINK("Melting_Curves/meltCurve_B1AVU8_PSAP.pdf", "Melting_Curves/meltCurve_B1AVU8_PSAP.pdf")</f>
        <v>Melting_Curves/meltCurve_B1AVU8_PSAP.pdf</v>
      </c>
    </row>
    <row r="126" spans="1:28" x14ac:dyDescent="0.25">
      <c r="A126" t="s">
        <v>130</v>
      </c>
      <c r="B126">
        <v>0.99673306730245903</v>
      </c>
      <c r="C126">
        <v>0.88142918417675098</v>
      </c>
      <c r="D126">
        <v>0.79997066453167598</v>
      </c>
      <c r="E126">
        <v>0.362224991669712</v>
      </c>
      <c r="F126">
        <v>0.17287097905543999</v>
      </c>
      <c r="G126">
        <v>0.12770798055358501</v>
      </c>
      <c r="H126">
        <v>7.9619199278036207E-2</v>
      </c>
      <c r="I126">
        <v>6.5223282197333199E-2</v>
      </c>
      <c r="J126">
        <v>8.0260076128482002E-2</v>
      </c>
      <c r="K126">
        <v>7.52309610522921E-2</v>
      </c>
      <c r="L126">
        <v>1090.3307441525201</v>
      </c>
      <c r="M126">
        <v>22.664178202449801</v>
      </c>
      <c r="N126">
        <v>48.459650319972802</v>
      </c>
      <c r="O126">
        <v>47.738271949438698</v>
      </c>
      <c r="P126">
        <v>-0.109694245049824</v>
      </c>
      <c r="Q126">
        <v>7.5808557844703098E-2</v>
      </c>
      <c r="R126">
        <v>0.99445413648803604</v>
      </c>
      <c r="S126" t="s">
        <v>6578</v>
      </c>
      <c r="T126" t="s">
        <v>12902</v>
      </c>
      <c r="U126" t="s">
        <v>12902</v>
      </c>
      <c r="V126" t="s">
        <v>12902</v>
      </c>
      <c r="W126" t="s">
        <v>13027</v>
      </c>
      <c r="X126">
        <v>4</v>
      </c>
      <c r="Y126" t="s">
        <v>19421</v>
      </c>
      <c r="Z126" t="s">
        <v>25701</v>
      </c>
      <c r="AA126">
        <v>0.335645191852187</v>
      </c>
      <c r="AB126" t="str">
        <f>HYPERLINK("Melting_Curves/meltCurve_B1AZV3_TAP1.pdf", "Melting_Curves/meltCurve_B1AZV3_TAP1.pdf")</f>
        <v>Melting_Curves/meltCurve_B1AZV3_TAP1.pdf</v>
      </c>
    </row>
    <row r="127" spans="1:28" x14ac:dyDescent="0.25">
      <c r="A127" t="s">
        <v>131</v>
      </c>
      <c r="B127">
        <v>0.99673306730245903</v>
      </c>
      <c r="C127">
        <v>0.962829662427791</v>
      </c>
      <c r="D127">
        <v>0.76972729465430001</v>
      </c>
      <c r="E127">
        <v>0.37992136743875599</v>
      </c>
      <c r="F127">
        <v>0.157599372849166</v>
      </c>
      <c r="G127">
        <v>0.13720522498371701</v>
      </c>
      <c r="H127">
        <v>0.10007627418517399</v>
      </c>
      <c r="I127">
        <v>0.11763541496636799</v>
      </c>
      <c r="J127">
        <v>0.12275088846304399</v>
      </c>
      <c r="K127">
        <v>0.12510213934411901</v>
      </c>
      <c r="L127">
        <v>1256.5414152937899</v>
      </c>
      <c r="M127">
        <v>26.235477940041601</v>
      </c>
      <c r="N127">
        <v>48.374465276568301</v>
      </c>
      <c r="O127">
        <v>47.619068571252903</v>
      </c>
      <c r="P127">
        <v>-0.12196103991538</v>
      </c>
      <c r="Q127">
        <v>0.114541475730827</v>
      </c>
      <c r="R127">
        <v>0.99920745541137201</v>
      </c>
      <c r="S127" t="s">
        <v>6579</v>
      </c>
      <c r="T127" t="s">
        <v>12902</v>
      </c>
      <c r="U127" t="s">
        <v>12902</v>
      </c>
      <c r="V127" t="s">
        <v>12902</v>
      </c>
      <c r="W127" t="s">
        <v>13028</v>
      </c>
      <c r="X127">
        <v>1</v>
      </c>
      <c r="Y127" t="s">
        <v>19422</v>
      </c>
      <c r="Z127" t="s">
        <v>25702</v>
      </c>
      <c r="AA127">
        <v>0.35462210503374669</v>
      </c>
      <c r="AB127" t="str">
        <f>HYPERLINK("Melting_Curves/meltCurve_B3KMK8_STBD1.pdf", "Melting_Curves/meltCurve_B3KMK8_STBD1.pdf")</f>
        <v>Melting_Curves/meltCurve_B3KMK8_STBD1.pdf</v>
      </c>
    </row>
    <row r="128" spans="1:28" x14ac:dyDescent="0.25">
      <c r="A128" t="s">
        <v>132</v>
      </c>
      <c r="B128">
        <v>0.99673306730245903</v>
      </c>
      <c r="C128">
        <v>0.93653050844904195</v>
      </c>
      <c r="D128">
        <v>0.71281876748290296</v>
      </c>
      <c r="E128">
        <v>0.46617471978675401</v>
      </c>
      <c r="F128">
        <v>0.26807555242428599</v>
      </c>
      <c r="G128">
        <v>0.177222773934298</v>
      </c>
      <c r="H128">
        <v>0.13117448470719201</v>
      </c>
      <c r="I128">
        <v>0.14712759441972201</v>
      </c>
      <c r="J128">
        <v>0.16694280625465499</v>
      </c>
      <c r="K128">
        <v>0.16379502001344901</v>
      </c>
      <c r="L128">
        <v>902.34859268800699</v>
      </c>
      <c r="M128">
        <v>18.789973308938201</v>
      </c>
      <c r="N128">
        <v>48.910825776398703</v>
      </c>
      <c r="O128">
        <v>47.488861494504</v>
      </c>
      <c r="P128">
        <v>-8.4626332509959407E-2</v>
      </c>
      <c r="Q128">
        <v>0.14451378222712599</v>
      </c>
      <c r="R128">
        <v>0.99684998484140996</v>
      </c>
      <c r="S128" t="s">
        <v>6580</v>
      </c>
      <c r="T128" t="s">
        <v>12902</v>
      </c>
      <c r="U128" t="s">
        <v>12902</v>
      </c>
      <c r="V128" t="s">
        <v>12902</v>
      </c>
      <c r="W128" t="s">
        <v>13029</v>
      </c>
      <c r="X128">
        <v>3</v>
      </c>
      <c r="Y128" t="s">
        <v>19423</v>
      </c>
      <c r="Z128" t="s">
        <v>25703</v>
      </c>
      <c r="AA128">
        <v>0.38715887177174968</v>
      </c>
      <c r="AB128" t="str">
        <f>HYPERLINK("Melting_Curves/meltCurve_B3KPJ4_PHC2.pdf", "Melting_Curves/meltCurve_B3KPJ4_PHC2.pdf")</f>
        <v>Melting_Curves/meltCurve_B3KPJ4_PHC2.pdf</v>
      </c>
    </row>
    <row r="129" spans="1:28" x14ac:dyDescent="0.25">
      <c r="A129" t="s">
        <v>133</v>
      </c>
      <c r="B129">
        <v>0.99673306730245903</v>
      </c>
      <c r="C129">
        <v>0.929614648716104</v>
      </c>
      <c r="D129">
        <v>0.88959865237040103</v>
      </c>
      <c r="E129">
        <v>0.79668093176629196</v>
      </c>
      <c r="F129">
        <v>0.470988605864813</v>
      </c>
      <c r="G129">
        <v>0.31076386710279102</v>
      </c>
      <c r="H129">
        <v>0.22251642133593999</v>
      </c>
      <c r="I129">
        <v>0.24817667850729799</v>
      </c>
      <c r="J129">
        <v>0.29366902956616597</v>
      </c>
      <c r="K129">
        <v>0.252714997318913</v>
      </c>
      <c r="L129">
        <v>1140.9126924340001</v>
      </c>
      <c r="M129">
        <v>22.241324692351601</v>
      </c>
      <c r="N129">
        <v>52.880703259552</v>
      </c>
      <c r="O129">
        <v>50.8876981130921</v>
      </c>
      <c r="P129">
        <v>-8.2700511333568094E-2</v>
      </c>
      <c r="Q129">
        <v>0.24314798124725501</v>
      </c>
      <c r="R129">
        <v>0.98656255002540305</v>
      </c>
      <c r="S129" t="s">
        <v>6581</v>
      </c>
      <c r="T129" t="s">
        <v>12902</v>
      </c>
      <c r="U129" t="s">
        <v>12902</v>
      </c>
      <c r="V129" t="s">
        <v>12902</v>
      </c>
      <c r="W129" t="s">
        <v>13030</v>
      </c>
      <c r="X129">
        <v>1</v>
      </c>
      <c r="Y129" t="s">
        <v>19424</v>
      </c>
      <c r="Z129" t="s">
        <v>25704</v>
      </c>
      <c r="AA129">
        <v>0.53675124524586559</v>
      </c>
      <c r="AB129" t="str">
        <f>HYPERLINK("Melting_Curves/meltCurve_B3KR83_WBSCR22.pdf", "Melting_Curves/meltCurve_B3KR83_WBSCR22.pdf")</f>
        <v>Melting_Curves/meltCurve_B3KR83_WBSCR22.pdf</v>
      </c>
    </row>
    <row r="130" spans="1:28" x14ac:dyDescent="0.25">
      <c r="A130" t="s">
        <v>134</v>
      </c>
      <c r="B130">
        <v>0.99673306730245903</v>
      </c>
      <c r="C130">
        <v>0.92758163703473995</v>
      </c>
      <c r="D130">
        <v>0.97513301083722204</v>
      </c>
      <c r="E130">
        <v>0.90239564097068603</v>
      </c>
      <c r="F130">
        <v>0.52891078963395999</v>
      </c>
      <c r="G130">
        <v>0.32576953150627802</v>
      </c>
      <c r="H130">
        <v>0.18266034027640299</v>
      </c>
      <c r="I130">
        <v>0.17047844015927799</v>
      </c>
      <c r="J130">
        <v>0.13667986589617701</v>
      </c>
      <c r="K130">
        <v>0.114909437573814</v>
      </c>
      <c r="L130">
        <v>1224.77094901534</v>
      </c>
      <c r="M130">
        <v>23.0241335498635</v>
      </c>
      <c r="N130">
        <v>53.932129020428803</v>
      </c>
      <c r="O130">
        <v>52.798681608371602</v>
      </c>
      <c r="P130">
        <v>-9.4305419878453603E-2</v>
      </c>
      <c r="Q130">
        <v>0.13497565753655499</v>
      </c>
      <c r="R130">
        <v>0.99287576356052798</v>
      </c>
      <c r="S130" t="s">
        <v>6582</v>
      </c>
      <c r="T130" t="s">
        <v>12902</v>
      </c>
      <c r="U130" t="s">
        <v>12902</v>
      </c>
      <c r="V130" t="s">
        <v>12902</v>
      </c>
      <c r="W130" t="s">
        <v>13031</v>
      </c>
      <c r="X130">
        <v>13</v>
      </c>
      <c r="Y130" t="s">
        <v>19425</v>
      </c>
      <c r="Z130" t="s">
        <v>25705</v>
      </c>
      <c r="AA130">
        <v>0.52472419715379437</v>
      </c>
      <c r="AB130" t="str">
        <f>HYPERLINK("Melting_Curves/meltCurve_B3KS98_EIF3S3.pdf", "Melting_Curves/meltCurve_B3KS98_EIF3S3.pdf")</f>
        <v>Melting_Curves/meltCurve_B3KS98_EIF3S3.pdf</v>
      </c>
    </row>
    <row r="131" spans="1:28" x14ac:dyDescent="0.25">
      <c r="A131" t="s">
        <v>135</v>
      </c>
      <c r="B131">
        <v>0.99673306730245903</v>
      </c>
      <c r="C131">
        <v>0.95940230309848795</v>
      </c>
      <c r="D131">
        <v>0.82832430933296897</v>
      </c>
      <c r="E131">
        <v>0.75560513234527005</v>
      </c>
      <c r="F131">
        <v>0.19137515177400799</v>
      </c>
      <c r="G131">
        <v>0.133884364616907</v>
      </c>
      <c r="H131">
        <v>7.9111823014194393E-2</v>
      </c>
      <c r="I131">
        <v>6.6143759623297396E-2</v>
      </c>
      <c r="J131">
        <v>5.8478421596759901E-2</v>
      </c>
      <c r="K131">
        <v>5.1286400221733197E-2</v>
      </c>
      <c r="L131">
        <v>1597.7072022861</v>
      </c>
      <c r="M131">
        <v>31.457250615479701</v>
      </c>
      <c r="N131">
        <v>51.009772957627298</v>
      </c>
      <c r="O131">
        <v>50.585846918592303</v>
      </c>
      <c r="P131">
        <v>-0.145604620971654</v>
      </c>
      <c r="Q131">
        <v>6.3427950161689797E-2</v>
      </c>
      <c r="R131">
        <v>0.98186418208500204</v>
      </c>
      <c r="S131" t="s">
        <v>6583</v>
      </c>
      <c r="T131" t="s">
        <v>12902</v>
      </c>
      <c r="U131" t="s">
        <v>12902</v>
      </c>
      <c r="V131" t="s">
        <v>12902</v>
      </c>
      <c r="W131" t="s">
        <v>13032</v>
      </c>
      <c r="X131">
        <v>12</v>
      </c>
      <c r="Y131" t="s">
        <v>19426</v>
      </c>
      <c r="Z131" t="s">
        <v>25706</v>
      </c>
      <c r="AA131">
        <v>0.40561011719742951</v>
      </c>
      <c r="AB131" t="str">
        <f>HYPERLINK("Melting_Curves/meltCurve_B3KSH1_EIF3F.pdf", "Melting_Curves/meltCurve_B3KSH1_EIF3F.pdf")</f>
        <v>Melting_Curves/meltCurve_B3KSH1_EIF3F.pdf</v>
      </c>
    </row>
    <row r="132" spans="1:28" x14ac:dyDescent="0.25">
      <c r="A132" t="s">
        <v>136</v>
      </c>
      <c r="B132">
        <v>0.99673306730245903</v>
      </c>
      <c r="C132">
        <v>0.983931869758633</v>
      </c>
      <c r="D132">
        <v>0.94699109943704995</v>
      </c>
      <c r="E132">
        <v>0.89611551783605403</v>
      </c>
      <c r="F132">
        <v>0.46061349658441397</v>
      </c>
      <c r="G132">
        <v>0.14974908773026999</v>
      </c>
      <c r="H132">
        <v>8.9697722503465097E-2</v>
      </c>
      <c r="I132">
        <v>8.3223739599408902E-2</v>
      </c>
      <c r="J132">
        <v>9.9038907864557504E-2</v>
      </c>
      <c r="K132">
        <v>8.9181450167421406E-2</v>
      </c>
      <c r="L132">
        <v>1761.23285054498</v>
      </c>
      <c r="M132">
        <v>33.482581680862303</v>
      </c>
      <c r="N132">
        <v>52.8988936446286</v>
      </c>
      <c r="O132">
        <v>52.414892914155999</v>
      </c>
      <c r="P132">
        <v>-0.145998177529545</v>
      </c>
      <c r="Q132">
        <v>8.5799693167419103E-2</v>
      </c>
      <c r="R132">
        <v>0.99838937107895198</v>
      </c>
      <c r="S132" t="s">
        <v>6584</v>
      </c>
      <c r="T132" t="s">
        <v>12902</v>
      </c>
      <c r="U132" t="s">
        <v>12902</v>
      </c>
      <c r="V132" t="s">
        <v>12902</v>
      </c>
      <c r="W132" t="s">
        <v>13033</v>
      </c>
      <c r="X132">
        <v>17</v>
      </c>
      <c r="Y132" t="s">
        <v>19427</v>
      </c>
      <c r="Z132" t="s">
        <v>25707</v>
      </c>
      <c r="AA132">
        <v>0.47455026875640521</v>
      </c>
      <c r="AB132" t="str">
        <f>HYPERLINK("Melting_Curves/meltCurve_B3KSI9_LZTFL1.pdf", "Melting_Curves/meltCurve_B3KSI9_LZTFL1.pdf")</f>
        <v>Melting_Curves/meltCurve_B3KSI9_LZTFL1.pdf</v>
      </c>
    </row>
    <row r="133" spans="1:28" x14ac:dyDescent="0.25">
      <c r="A133" t="s">
        <v>137</v>
      </c>
      <c r="B133">
        <v>0.99673306730245903</v>
      </c>
      <c r="C133">
        <v>1.02297198833381</v>
      </c>
      <c r="D133">
        <v>0.97206684080560901</v>
      </c>
      <c r="E133">
        <v>0.81175934474094102</v>
      </c>
      <c r="F133">
        <v>0.732958156464523</v>
      </c>
      <c r="G133">
        <v>0.69102331293858699</v>
      </c>
      <c r="H133">
        <v>0.45787561714389802</v>
      </c>
      <c r="I133">
        <v>0.44241379045047502</v>
      </c>
      <c r="J133">
        <v>0.63094604744709604</v>
      </c>
      <c r="K133">
        <v>0.77643017388936397</v>
      </c>
      <c r="L133">
        <v>1092.5699217020699</v>
      </c>
      <c r="M133">
        <v>21.520077591936801</v>
      </c>
      <c r="O133">
        <v>50.337507931904597</v>
      </c>
      <c r="P133">
        <v>-4.3777038742341998E-2</v>
      </c>
      <c r="Q133">
        <v>0.59041544793507095</v>
      </c>
      <c r="R133">
        <v>0.77547509535165204</v>
      </c>
      <c r="S133" t="s">
        <v>6585</v>
      </c>
      <c r="T133" t="s">
        <v>12902</v>
      </c>
      <c r="U133" t="s">
        <v>12902</v>
      </c>
      <c r="V133" t="s">
        <v>12902</v>
      </c>
      <c r="W133" t="s">
        <v>13034</v>
      </c>
      <c r="X133">
        <v>1</v>
      </c>
      <c r="Y133" t="s">
        <v>19428</v>
      </c>
      <c r="Z133" t="s">
        <v>25708</v>
      </c>
      <c r="AA133">
        <v>0.74240017939153347</v>
      </c>
      <c r="AB133" t="str">
        <f>HYPERLINK("Melting_Curves/meltCurve_B3KSJ7_DCLRE1C.pdf", "Melting_Curves/meltCurve_B3KSJ7_DCLRE1C.pdf")</f>
        <v>Melting_Curves/meltCurve_B3KSJ7_DCLRE1C.pdf</v>
      </c>
    </row>
    <row r="134" spans="1:28" x14ac:dyDescent="0.25">
      <c r="A134" t="s">
        <v>138</v>
      </c>
      <c r="B134">
        <v>0.99673306730245903</v>
      </c>
      <c r="C134">
        <v>1.0364459973064599</v>
      </c>
      <c r="D134">
        <v>1.8128466613465199</v>
      </c>
      <c r="E134">
        <v>1.0645355540883901</v>
      </c>
      <c r="F134">
        <v>1.1222118844806099</v>
      </c>
      <c r="G134">
        <v>1.0978830578423999</v>
      </c>
      <c r="H134">
        <v>1.11250140117209</v>
      </c>
      <c r="I134">
        <v>1.30761940610607</v>
      </c>
      <c r="J134">
        <v>6.8792877698597596</v>
      </c>
      <c r="K134">
        <v>1.7894265273555301</v>
      </c>
      <c r="L134">
        <v>10834.095783607499</v>
      </c>
      <c r="M134">
        <v>250</v>
      </c>
      <c r="O134">
        <v>43.333610754785902</v>
      </c>
      <c r="P134">
        <v>0.72114924450900997</v>
      </c>
      <c r="Q134">
        <v>1.5</v>
      </c>
      <c r="R134">
        <v>-1.9443695216722699E-2</v>
      </c>
      <c r="S134" t="s">
        <v>6586</v>
      </c>
      <c r="T134" t="s">
        <v>12902</v>
      </c>
      <c r="U134" t="s">
        <v>12902</v>
      </c>
      <c r="V134" t="s">
        <v>12902</v>
      </c>
      <c r="W134" t="s">
        <v>13035</v>
      </c>
      <c r="X134">
        <v>10</v>
      </c>
      <c r="Y134" t="s">
        <v>19429</v>
      </c>
      <c r="Z134" t="s">
        <v>25709</v>
      </c>
      <c r="AA134">
        <v>1.444355587085056</v>
      </c>
      <c r="AB134" t="str">
        <f>HYPERLINK("Melting_Curves/meltCurve_B3KUK2_SOD2.pdf", "Melting_Curves/meltCurve_B3KUK2_SOD2.pdf")</f>
        <v>Melting_Curves/meltCurve_B3KUK2_SOD2.pdf</v>
      </c>
    </row>
    <row r="135" spans="1:28" x14ac:dyDescent="0.25">
      <c r="A135" t="s">
        <v>139</v>
      </c>
      <c r="B135">
        <v>0.99673306730245903</v>
      </c>
      <c r="C135">
        <v>0.941488816344624</v>
      </c>
      <c r="D135">
        <v>0.89033496464823403</v>
      </c>
      <c r="E135">
        <v>0.68755987727551704</v>
      </c>
      <c r="F135">
        <v>0.53240481276162799</v>
      </c>
      <c r="G135">
        <v>0.35319662955176701</v>
      </c>
      <c r="H135">
        <v>0.220275877988001</v>
      </c>
      <c r="I135">
        <v>0.119751103996421</v>
      </c>
      <c r="J135">
        <v>6.1142796283241103E-2</v>
      </c>
      <c r="K135">
        <v>1.4028112623790201E-2</v>
      </c>
      <c r="L135">
        <v>638.35117676100697</v>
      </c>
      <c r="M135">
        <v>11.914858379579799</v>
      </c>
      <c r="N135">
        <v>53.576059994390803</v>
      </c>
      <c r="O135">
        <v>52.133755761977099</v>
      </c>
      <c r="P135">
        <v>-5.7150165138923001E-2</v>
      </c>
      <c r="Q135">
        <v>0</v>
      </c>
      <c r="R135">
        <v>0.99608892566021701</v>
      </c>
      <c r="S135" t="s">
        <v>6587</v>
      </c>
      <c r="T135" t="s">
        <v>12902</v>
      </c>
      <c r="U135" t="s">
        <v>12902</v>
      </c>
      <c r="V135" t="s">
        <v>12902</v>
      </c>
      <c r="W135" t="s">
        <v>13036</v>
      </c>
      <c r="X135">
        <v>3</v>
      </c>
      <c r="Y135" t="s">
        <v>19430</v>
      </c>
      <c r="Z135" t="s">
        <v>25710</v>
      </c>
      <c r="AA135">
        <v>0.4798784866984297</v>
      </c>
      <c r="AB135" t="str">
        <f>HYPERLINK("Melting_Curves/meltCurve_B3KV61_UXS1.pdf", "Melting_Curves/meltCurve_B3KV61_UXS1.pdf")</f>
        <v>Melting_Curves/meltCurve_B3KV61_UXS1.pdf</v>
      </c>
    </row>
    <row r="136" spans="1:28" x14ac:dyDescent="0.25">
      <c r="A136" t="s">
        <v>140</v>
      </c>
      <c r="B136">
        <v>0.99673306730245903</v>
      </c>
      <c r="C136">
        <v>0.996615796560536</v>
      </c>
      <c r="D136">
        <v>0.88592544568128095</v>
      </c>
      <c r="E136">
        <v>0.72411196067186201</v>
      </c>
      <c r="F136">
        <v>0.49226430300537399</v>
      </c>
      <c r="G136">
        <v>0.39376347605655398</v>
      </c>
      <c r="H136">
        <v>0.25802140704481702</v>
      </c>
      <c r="I136">
        <v>0.26527097742989703</v>
      </c>
      <c r="J136">
        <v>0.29103411554777803</v>
      </c>
      <c r="K136">
        <v>0.261836283364628</v>
      </c>
      <c r="L136">
        <v>882.80255950494598</v>
      </c>
      <c r="M136">
        <v>17.295678375352399</v>
      </c>
      <c r="N136">
        <v>53.2199677522432</v>
      </c>
      <c r="O136">
        <v>50.374120881239101</v>
      </c>
      <c r="P136">
        <v>-6.4067156291451405E-2</v>
      </c>
      <c r="Q136">
        <v>0.25365399039047898</v>
      </c>
      <c r="R136">
        <v>0.995302231282025</v>
      </c>
      <c r="S136" t="s">
        <v>6588</v>
      </c>
      <c r="T136" t="s">
        <v>12902</v>
      </c>
      <c r="U136" t="s">
        <v>12902</v>
      </c>
      <c r="V136" t="s">
        <v>12902</v>
      </c>
      <c r="W136" t="s">
        <v>13037</v>
      </c>
      <c r="X136">
        <v>5</v>
      </c>
      <c r="Y136" t="s">
        <v>19431</v>
      </c>
      <c r="Z136" t="s">
        <v>25711</v>
      </c>
      <c r="AA136">
        <v>0.54185156802577095</v>
      </c>
      <c r="AB136" t="str">
        <f>HYPERLINK("Melting_Curves/meltCurve_B3KVH8_PHF23.pdf", "Melting_Curves/meltCurve_B3KVH8_PHF23.pdf")</f>
        <v>Melting_Curves/meltCurve_B3KVH8_PHF23.pdf</v>
      </c>
    </row>
    <row r="137" spans="1:28" x14ac:dyDescent="0.25">
      <c r="A137" t="s">
        <v>141</v>
      </c>
      <c r="B137">
        <v>0.99673306730245903</v>
      </c>
      <c r="C137">
        <v>0.90259641253706302</v>
      </c>
      <c r="D137">
        <v>0.64747900290000604</v>
      </c>
      <c r="E137">
        <v>0.43164482989688502</v>
      </c>
      <c r="F137">
        <v>0.30619283587816098</v>
      </c>
      <c r="G137">
        <v>0.180647949106855</v>
      </c>
      <c r="H137">
        <v>0.112491145701565</v>
      </c>
      <c r="I137">
        <v>0.108536853668512</v>
      </c>
      <c r="J137">
        <v>0.14193701928588401</v>
      </c>
      <c r="K137">
        <v>0.12023775086508</v>
      </c>
      <c r="L137">
        <v>746.10819188824405</v>
      </c>
      <c r="M137">
        <v>15.6006000558379</v>
      </c>
      <c r="N137">
        <v>48.609743545361702</v>
      </c>
      <c r="O137">
        <v>47.060477461499403</v>
      </c>
      <c r="P137">
        <v>-7.3662235393412795E-2</v>
      </c>
      <c r="Q137">
        <v>0.11124494356138501</v>
      </c>
      <c r="R137">
        <v>0.99281198737546505</v>
      </c>
      <c r="S137" t="s">
        <v>6589</v>
      </c>
      <c r="T137" t="s">
        <v>12902</v>
      </c>
      <c r="U137" t="s">
        <v>12902</v>
      </c>
      <c r="V137" t="s">
        <v>12902</v>
      </c>
      <c r="W137" t="s">
        <v>13038</v>
      </c>
      <c r="X137">
        <v>5</v>
      </c>
      <c r="Y137" t="s">
        <v>19432</v>
      </c>
      <c r="Z137" t="s">
        <v>25712</v>
      </c>
      <c r="AA137">
        <v>0.36439430440396492</v>
      </c>
      <c r="AB137" t="str">
        <f>HYPERLINK("Melting_Curves/meltCurve_B3KVZ3_CENPH.pdf", "Melting_Curves/meltCurve_B3KVZ3_CENPH.pdf")</f>
        <v>Melting_Curves/meltCurve_B3KVZ3_CENPH.pdf</v>
      </c>
    </row>
    <row r="138" spans="1:28" x14ac:dyDescent="0.25">
      <c r="A138" t="s">
        <v>142</v>
      </c>
      <c r="B138">
        <v>0.99673306730245903</v>
      </c>
      <c r="C138">
        <v>0.89728088951025098</v>
      </c>
      <c r="D138">
        <v>0.48208193492419199</v>
      </c>
      <c r="E138">
        <v>0.20665382591082601</v>
      </c>
      <c r="F138">
        <v>0.13494078767666301</v>
      </c>
      <c r="G138">
        <v>9.2912662079997502E-2</v>
      </c>
      <c r="H138">
        <v>5.9296141195778897E-2</v>
      </c>
      <c r="I138">
        <v>6.0204899150855903E-2</v>
      </c>
      <c r="J138">
        <v>6.1076375470547901E-2</v>
      </c>
      <c r="K138">
        <v>6.5063730522439203E-2</v>
      </c>
      <c r="L138">
        <v>1217.3776841357801</v>
      </c>
      <c r="M138">
        <v>26.580349003355099</v>
      </c>
      <c r="N138">
        <v>46.084009183437097</v>
      </c>
      <c r="O138">
        <v>45.543033530418697</v>
      </c>
      <c r="P138">
        <v>-0.1348830529909</v>
      </c>
      <c r="Q138">
        <v>7.5569904427922399E-2</v>
      </c>
      <c r="R138">
        <v>0.99583627232846095</v>
      </c>
      <c r="S138" t="s">
        <v>6590</v>
      </c>
      <c r="T138" t="s">
        <v>12902</v>
      </c>
      <c r="U138" t="s">
        <v>12902</v>
      </c>
      <c r="V138" t="s">
        <v>12902</v>
      </c>
      <c r="W138" t="s">
        <v>13039</v>
      </c>
      <c r="X138">
        <v>4</v>
      </c>
      <c r="Y138" t="s">
        <v>19433</v>
      </c>
      <c r="Z138" t="s">
        <v>25713</v>
      </c>
      <c r="AA138">
        <v>0.26178044863319</v>
      </c>
      <c r="AB138" t="str">
        <f>HYPERLINK("Melting_Curves/meltCurve_B3KWW1_DDX58.pdf", "Melting_Curves/meltCurve_B3KWW1_DDX58.pdf")</f>
        <v>Melting_Curves/meltCurve_B3KWW1_DDX58.pdf</v>
      </c>
    </row>
    <row r="139" spans="1:28" x14ac:dyDescent="0.25">
      <c r="A139" t="s">
        <v>143</v>
      </c>
      <c r="B139">
        <v>0.99673306730245903</v>
      </c>
      <c r="C139">
        <v>0.82198105746058003</v>
      </c>
      <c r="D139">
        <v>0.65749732248700099</v>
      </c>
      <c r="E139">
        <v>0.39044219311989098</v>
      </c>
      <c r="F139">
        <v>0.21999144123696901</v>
      </c>
      <c r="G139">
        <v>0.12554231122265</v>
      </c>
      <c r="H139">
        <v>7.0945291989558804E-2</v>
      </c>
      <c r="I139">
        <v>6.2919632064909803E-2</v>
      </c>
      <c r="J139">
        <v>6.6402979343378202E-2</v>
      </c>
      <c r="K139">
        <v>5.7295655166994197E-2</v>
      </c>
      <c r="L139">
        <v>719.70958390345004</v>
      </c>
      <c r="M139">
        <v>15.0856549149764</v>
      </c>
      <c r="N139">
        <v>48.022632681944998</v>
      </c>
      <c r="O139">
        <v>46.893431820556501</v>
      </c>
      <c r="P139">
        <v>-7.6650722129032095E-2</v>
      </c>
      <c r="Q139">
        <v>4.7025712094429802E-2</v>
      </c>
      <c r="R139">
        <v>0.99709381314158996</v>
      </c>
      <c r="S139" t="s">
        <v>6591</v>
      </c>
      <c r="T139" t="s">
        <v>12902</v>
      </c>
      <c r="U139" t="s">
        <v>12902</v>
      </c>
      <c r="V139" t="s">
        <v>12902</v>
      </c>
      <c r="W139" t="s">
        <v>13040</v>
      </c>
      <c r="X139">
        <v>19</v>
      </c>
      <c r="Y139" t="s">
        <v>19434</v>
      </c>
      <c r="Z139" t="s">
        <v>25714</v>
      </c>
      <c r="AA139">
        <v>0.31647735645281971</v>
      </c>
      <c r="AB139" t="str">
        <f>HYPERLINK("Melting_Curves/meltCurve_B3KXW5_AP1G1.pdf", "Melting_Curves/meltCurve_B3KXW5_AP1G1.pdf")</f>
        <v>Melting_Curves/meltCurve_B3KXW5_AP1G1.pdf</v>
      </c>
    </row>
    <row r="140" spans="1:28" x14ac:dyDescent="0.25">
      <c r="A140" t="s">
        <v>144</v>
      </c>
      <c r="B140">
        <v>0.99673306730245903</v>
      </c>
      <c r="C140">
        <v>0.81029339837533698</v>
      </c>
      <c r="D140">
        <v>0.84301007430973496</v>
      </c>
      <c r="E140">
        <v>0.71992267802882803</v>
      </c>
      <c r="F140">
        <v>0.493935816097822</v>
      </c>
      <c r="G140">
        <v>0.30913648773722702</v>
      </c>
      <c r="H140">
        <v>0.23688681392168001</v>
      </c>
      <c r="I140">
        <v>0.27511428250495701</v>
      </c>
      <c r="J140">
        <v>0.35392696157501802</v>
      </c>
      <c r="K140">
        <v>0.20467660874836799</v>
      </c>
      <c r="L140">
        <v>653.53324437368997</v>
      </c>
      <c r="M140">
        <v>12.939483787431699</v>
      </c>
      <c r="N140">
        <v>52.852879858103599</v>
      </c>
      <c r="O140">
        <v>49.346210000096399</v>
      </c>
      <c r="P140">
        <v>-5.1242491420825202E-2</v>
      </c>
      <c r="Q140">
        <v>0.218464068906285</v>
      </c>
      <c r="R140">
        <v>0.950041000107267</v>
      </c>
      <c r="S140" t="s">
        <v>6592</v>
      </c>
      <c r="T140" t="s">
        <v>12902</v>
      </c>
      <c r="U140" t="s">
        <v>12902</v>
      </c>
      <c r="V140" t="s">
        <v>12902</v>
      </c>
      <c r="W140" t="s">
        <v>13041</v>
      </c>
      <c r="X140">
        <v>3</v>
      </c>
      <c r="Y140" t="s">
        <v>19435</v>
      </c>
      <c r="Z140" t="s">
        <v>25715</v>
      </c>
      <c r="AA140">
        <v>0.51556689390731847</v>
      </c>
      <c r="AB140" t="str">
        <f>HYPERLINK("Melting_Curves/meltCurve_B3KXX3_SLC12A6.pdf", "Melting_Curves/meltCurve_B3KXX3_SLC12A6.pdf")</f>
        <v>Melting_Curves/meltCurve_B3KXX3_SLC12A6.pdf</v>
      </c>
    </row>
    <row r="141" spans="1:28" x14ac:dyDescent="0.25">
      <c r="A141" t="s">
        <v>145</v>
      </c>
      <c r="B141">
        <v>0.99673306730245903</v>
      </c>
      <c r="C141">
        <v>0.96883970695212396</v>
      </c>
      <c r="D141">
        <v>0.85230682124297996</v>
      </c>
      <c r="E141">
        <v>0.77392957091788706</v>
      </c>
      <c r="F141">
        <v>0.67289950507660001</v>
      </c>
      <c r="G141">
        <v>0.45360911892914701</v>
      </c>
      <c r="H141">
        <v>0.34248965058160702</v>
      </c>
      <c r="I141">
        <v>0.16776085303343499</v>
      </c>
      <c r="J141">
        <v>0.12142156473729</v>
      </c>
      <c r="K141">
        <v>0.16287567938806</v>
      </c>
      <c r="L141">
        <v>567.04679179255504</v>
      </c>
      <c r="M141">
        <v>10.128071180844699</v>
      </c>
      <c r="N141">
        <v>55.987629634271698</v>
      </c>
      <c r="O141">
        <v>53.936476883556701</v>
      </c>
      <c r="P141">
        <v>-4.6966199729871101E-2</v>
      </c>
      <c r="Q141">
        <v>0</v>
      </c>
      <c r="R141">
        <v>0.98871922682955404</v>
      </c>
      <c r="S141" t="s">
        <v>6593</v>
      </c>
      <c r="T141" t="s">
        <v>12902</v>
      </c>
      <c r="U141" t="s">
        <v>12902</v>
      </c>
      <c r="V141" t="s">
        <v>12902</v>
      </c>
      <c r="W141" t="s">
        <v>13042</v>
      </c>
      <c r="X141">
        <v>2</v>
      </c>
      <c r="Y141" t="s">
        <v>19436</v>
      </c>
      <c r="Z141" t="s">
        <v>25716</v>
      </c>
      <c r="AA141">
        <v>0.55408085919440131</v>
      </c>
      <c r="AB141" t="str">
        <f>HYPERLINK("Melting_Curves/meltCurve_B3KY94_CDIPT.pdf", "Melting_Curves/meltCurve_B3KY94_CDIPT.pdf")</f>
        <v>Melting_Curves/meltCurve_B3KY94_CDIPT.pdf</v>
      </c>
    </row>
    <row r="142" spans="1:28" x14ac:dyDescent="0.25">
      <c r="A142" t="s">
        <v>146</v>
      </c>
      <c r="B142">
        <v>0.99673306730245903</v>
      </c>
      <c r="C142">
        <v>1.09308016690042</v>
      </c>
      <c r="D142">
        <v>1.09700590175974</v>
      </c>
      <c r="E142">
        <v>0.88497318020297</v>
      </c>
      <c r="F142">
        <v>1.1573579889163099</v>
      </c>
      <c r="G142">
        <v>0.92137409157229999</v>
      </c>
      <c r="H142">
        <v>0.99914736311676799</v>
      </c>
      <c r="I142">
        <v>1.16404590694773</v>
      </c>
      <c r="J142">
        <v>1.70029340104351</v>
      </c>
      <c r="K142">
        <v>1.47801125975934</v>
      </c>
      <c r="L142">
        <v>15000</v>
      </c>
      <c r="M142">
        <v>233.65850638307899</v>
      </c>
      <c r="O142">
        <v>64.191546140179696</v>
      </c>
      <c r="P142">
        <v>0.45500247922543202</v>
      </c>
      <c r="Q142">
        <v>1.5</v>
      </c>
      <c r="R142">
        <v>0.82429436696529201</v>
      </c>
      <c r="S142" t="s">
        <v>6594</v>
      </c>
      <c r="T142" t="s">
        <v>12902</v>
      </c>
      <c r="U142" t="s">
        <v>12902</v>
      </c>
      <c r="V142" t="s">
        <v>12902</v>
      </c>
      <c r="W142" t="s">
        <v>13043</v>
      </c>
      <c r="X142">
        <v>10</v>
      </c>
      <c r="Y142" t="s">
        <v>19437</v>
      </c>
      <c r="Z142" t="s">
        <v>25717</v>
      </c>
      <c r="AA142">
        <v>1.096664670162347</v>
      </c>
      <c r="AB142" t="str">
        <f>HYPERLINK("Melting_Curves/meltCurve_B3V0L1_ARL6IP4.pdf", "Melting_Curves/meltCurve_B3V0L1_ARL6IP4.pdf")</f>
        <v>Melting_Curves/meltCurve_B3V0L1_ARL6IP4.pdf</v>
      </c>
    </row>
    <row r="143" spans="1:28" x14ac:dyDescent="0.25">
      <c r="A143" t="s">
        <v>147</v>
      </c>
      <c r="B143">
        <v>0.99673306730245903</v>
      </c>
      <c r="C143">
        <v>1.0816701801825901</v>
      </c>
      <c r="D143">
        <v>0.63328488618055601</v>
      </c>
      <c r="E143">
        <v>0.415470458761171</v>
      </c>
      <c r="F143">
        <v>0.22319377357107001</v>
      </c>
      <c r="G143">
        <v>0.146602210983694</v>
      </c>
      <c r="H143">
        <v>9.9023097943147703E-2</v>
      </c>
      <c r="I143">
        <v>0.100488571318871</v>
      </c>
      <c r="J143">
        <v>0.12291712175599</v>
      </c>
      <c r="K143">
        <v>0.117331066464784</v>
      </c>
      <c r="L143">
        <v>1056.77171357937</v>
      </c>
      <c r="M143">
        <v>22.157787289178899</v>
      </c>
      <c r="N143">
        <v>48.268027041696001</v>
      </c>
      <c r="O143">
        <v>47.309640510420202</v>
      </c>
      <c r="P143">
        <v>-0.103509179147268</v>
      </c>
      <c r="Q143">
        <v>0.115998995181697</v>
      </c>
      <c r="R143">
        <v>0.97344565522342696</v>
      </c>
      <c r="S143" t="s">
        <v>6595</v>
      </c>
      <c r="T143" t="s">
        <v>12902</v>
      </c>
      <c r="U143" t="s">
        <v>12902</v>
      </c>
      <c r="V143" t="s">
        <v>12902</v>
      </c>
      <c r="W143" t="s">
        <v>13044</v>
      </c>
      <c r="X143">
        <v>18</v>
      </c>
      <c r="Y143" t="s">
        <v>19438</v>
      </c>
      <c r="Z143" t="s">
        <v>25718</v>
      </c>
      <c r="AA143">
        <v>0.35283300532973089</v>
      </c>
      <c r="AB143" t="str">
        <f>HYPERLINK("Melting_Curves/meltCurve_B4DDF4_CNN2.pdf", "Melting_Curves/meltCurve_B4DDF4_CNN2.pdf")</f>
        <v>Melting_Curves/meltCurve_B4DDF4_CNN2.pdf</v>
      </c>
    </row>
    <row r="144" spans="1:28" x14ac:dyDescent="0.25">
      <c r="A144" t="s">
        <v>148</v>
      </c>
      <c r="B144">
        <v>0.99673306730245903</v>
      </c>
      <c r="C144">
        <v>0.91990974413808901</v>
      </c>
      <c r="D144">
        <v>0.741301605895057</v>
      </c>
      <c r="E144">
        <v>0.43054216296134401</v>
      </c>
      <c r="F144">
        <v>0.22241533220418999</v>
      </c>
      <c r="G144">
        <v>0.125073084817441</v>
      </c>
      <c r="H144">
        <v>7.1472165012473304E-2</v>
      </c>
      <c r="I144">
        <v>7.01641556031323E-2</v>
      </c>
      <c r="J144">
        <v>6.4466067640569405E-2</v>
      </c>
      <c r="K144">
        <v>6.3016671591500997E-2</v>
      </c>
      <c r="L144">
        <v>879.17981896051697</v>
      </c>
      <c r="M144">
        <v>18.130846486035999</v>
      </c>
      <c r="N144">
        <v>48.823359230804897</v>
      </c>
      <c r="O144">
        <v>47.912482597613703</v>
      </c>
      <c r="P144">
        <v>-8.91133645305561E-2</v>
      </c>
      <c r="Q144">
        <v>5.80830840551642E-2</v>
      </c>
      <c r="R144">
        <v>0.99963861593724301</v>
      </c>
      <c r="S144" t="s">
        <v>6596</v>
      </c>
      <c r="T144" t="s">
        <v>12902</v>
      </c>
      <c r="U144" t="s">
        <v>12902</v>
      </c>
      <c r="V144" t="s">
        <v>12902</v>
      </c>
      <c r="W144" t="s">
        <v>13045</v>
      </c>
      <c r="X144">
        <v>6</v>
      </c>
      <c r="Y144" t="s">
        <v>19439</v>
      </c>
      <c r="Z144" t="s">
        <v>25719</v>
      </c>
      <c r="AA144">
        <v>0.34092149678863443</v>
      </c>
      <c r="AB144" t="str">
        <f>HYPERLINK("Melting_Curves/meltCurve_B4DDS3_CLPTM1.pdf", "Melting_Curves/meltCurve_B4DDS3_CLPTM1.pdf")</f>
        <v>Melting_Curves/meltCurve_B4DDS3_CLPTM1.pdf</v>
      </c>
    </row>
    <row r="145" spans="1:28" x14ac:dyDescent="0.25">
      <c r="A145" t="s">
        <v>149</v>
      </c>
      <c r="B145">
        <v>0.99673306730245903</v>
      </c>
      <c r="C145">
        <v>0.92538647959937403</v>
      </c>
      <c r="D145">
        <v>0.88057585072145494</v>
      </c>
      <c r="E145">
        <v>0.56507412119620903</v>
      </c>
      <c r="F145">
        <v>0.37125298313507099</v>
      </c>
      <c r="G145">
        <v>0.292537010911055</v>
      </c>
      <c r="H145">
        <v>0.19572217685656901</v>
      </c>
      <c r="I145">
        <v>0.67482388615038202</v>
      </c>
      <c r="J145">
        <v>0.213910320227019</v>
      </c>
      <c r="K145">
        <v>0.124991323905336</v>
      </c>
      <c r="L145">
        <v>1192.4867092080799</v>
      </c>
      <c r="M145">
        <v>24.504992431742199</v>
      </c>
      <c r="N145">
        <v>50.496634052355397</v>
      </c>
      <c r="O145">
        <v>48.342397836463597</v>
      </c>
      <c r="P145">
        <v>-8.9389433611207506E-2</v>
      </c>
      <c r="Q145">
        <v>0.29463551349915801</v>
      </c>
      <c r="R145">
        <v>0.80256871626890502</v>
      </c>
      <c r="S145" t="s">
        <v>6597</v>
      </c>
      <c r="T145" t="s">
        <v>12902</v>
      </c>
      <c r="U145" t="s">
        <v>12902</v>
      </c>
      <c r="V145" t="s">
        <v>12902</v>
      </c>
      <c r="W145" t="s">
        <v>13046</v>
      </c>
      <c r="X145">
        <v>4</v>
      </c>
      <c r="Y145" t="s">
        <v>19440</v>
      </c>
      <c r="Z145" t="s">
        <v>25720</v>
      </c>
      <c r="AA145">
        <v>0.50482589598404992</v>
      </c>
      <c r="AB145" t="str">
        <f>HYPERLINK("Melting_Curves/meltCurve_B4DDV3_SIRT6.pdf", "Melting_Curves/meltCurve_B4DDV3_SIRT6.pdf")</f>
        <v>Melting_Curves/meltCurve_B4DDV3_SIRT6.pdf</v>
      </c>
    </row>
    <row r="146" spans="1:28" x14ac:dyDescent="0.25">
      <c r="A146" t="s">
        <v>150</v>
      </c>
      <c r="B146">
        <v>0.99673306730245903</v>
      </c>
      <c r="C146">
        <v>0.87812930289047597</v>
      </c>
      <c r="D146">
        <v>0.93962218559831201</v>
      </c>
      <c r="E146">
        <v>0.94347589206835203</v>
      </c>
      <c r="F146">
        <v>0.83157506963739203</v>
      </c>
      <c r="G146">
        <v>0.53721980764473298</v>
      </c>
      <c r="H146">
        <v>0.114999071744217</v>
      </c>
      <c r="I146">
        <v>9.7857537812965301E-2</v>
      </c>
      <c r="J146">
        <v>9.0557677362699901E-2</v>
      </c>
      <c r="K146">
        <v>8.7546336692853499E-2</v>
      </c>
      <c r="L146">
        <v>1586.6873941932599</v>
      </c>
      <c r="M146">
        <v>28.0931186827153</v>
      </c>
      <c r="N146">
        <v>56.755783414953697</v>
      </c>
      <c r="O146">
        <v>56.195715449504497</v>
      </c>
      <c r="P146">
        <v>-0.116994725344298</v>
      </c>
      <c r="Q146">
        <v>6.3892229210837106E-2</v>
      </c>
      <c r="R146">
        <v>0.98239484807355304</v>
      </c>
      <c r="S146" t="s">
        <v>6598</v>
      </c>
      <c r="T146" t="s">
        <v>12902</v>
      </c>
      <c r="U146" t="s">
        <v>12902</v>
      </c>
      <c r="V146" t="s">
        <v>12902</v>
      </c>
      <c r="W146" t="s">
        <v>13047</v>
      </c>
      <c r="X146">
        <v>17</v>
      </c>
      <c r="Y146" t="s">
        <v>19441</v>
      </c>
      <c r="Z146" t="s">
        <v>25721</v>
      </c>
      <c r="AA146">
        <v>0.58512843886800836</v>
      </c>
      <c r="AB146" t="str">
        <f>HYPERLINK("Melting_Curves/meltCurve_B4DDY8_HARS2.pdf", "Melting_Curves/meltCurve_B4DDY8_HARS2.pdf")</f>
        <v>Melting_Curves/meltCurve_B4DDY8_HARS2.pdf</v>
      </c>
    </row>
    <row r="147" spans="1:28" x14ac:dyDescent="0.25">
      <c r="A147" t="s">
        <v>151</v>
      </c>
      <c r="B147">
        <v>0.99673306730245903</v>
      </c>
      <c r="C147">
        <v>0.95212279215312001</v>
      </c>
      <c r="D147">
        <v>0.85770600013044596</v>
      </c>
      <c r="E147">
        <v>0.834653149878267</v>
      </c>
      <c r="F147">
        <v>0.460192563158004</v>
      </c>
      <c r="G147">
        <v>0.248988070786482</v>
      </c>
      <c r="H147">
        <v>0.121019792460971</v>
      </c>
      <c r="I147">
        <v>8.8931023797859401E-2</v>
      </c>
      <c r="J147">
        <v>0.109057207084374</v>
      </c>
      <c r="K147">
        <v>0.112491678241614</v>
      </c>
      <c r="L147">
        <v>1048.00000196019</v>
      </c>
      <c r="M147">
        <v>19.985252588248301</v>
      </c>
      <c r="N147">
        <v>52.926374224623302</v>
      </c>
      <c r="O147">
        <v>51.922106974126201</v>
      </c>
      <c r="P147">
        <v>-8.8137388977501799E-2</v>
      </c>
      <c r="Q147">
        <v>8.40987419316193E-2</v>
      </c>
      <c r="R147">
        <v>0.98958548499642196</v>
      </c>
      <c r="S147" t="s">
        <v>6599</v>
      </c>
      <c r="T147" t="s">
        <v>12902</v>
      </c>
      <c r="U147" t="s">
        <v>12902</v>
      </c>
      <c r="V147" t="s">
        <v>12902</v>
      </c>
      <c r="W147" t="s">
        <v>13048</v>
      </c>
      <c r="X147">
        <v>3</v>
      </c>
      <c r="Y147" t="s">
        <v>19442</v>
      </c>
      <c r="Z147" t="s">
        <v>25722</v>
      </c>
      <c r="AA147">
        <v>0.47651564180733258</v>
      </c>
      <c r="AB147" t="str">
        <f>HYPERLINK("Melting_Curves/meltCurve_B4DEX5_PRNPIP.pdf", "Melting_Curves/meltCurve_B4DEX5_PRNPIP.pdf")</f>
        <v>Melting_Curves/meltCurve_B4DEX5_PRNPIP.pdf</v>
      </c>
    </row>
    <row r="148" spans="1:28" x14ac:dyDescent="0.25">
      <c r="A148" t="s">
        <v>152</v>
      </c>
      <c r="B148">
        <v>0.99673306730245903</v>
      </c>
      <c r="C148">
        <v>0.90682102874124404</v>
      </c>
      <c r="D148">
        <v>0.88541450683106704</v>
      </c>
      <c r="E148">
        <v>0.76643033776442104</v>
      </c>
      <c r="F148">
        <v>0.66746085991789905</v>
      </c>
      <c r="G148">
        <v>0.45094805395029602</v>
      </c>
      <c r="H148">
        <v>0.27241521904439397</v>
      </c>
      <c r="I148">
        <v>0.221607183155245</v>
      </c>
      <c r="J148">
        <v>0.274635315636582</v>
      </c>
      <c r="K148">
        <v>9.1330869699246295E-2</v>
      </c>
      <c r="L148">
        <v>543.21934720373201</v>
      </c>
      <c r="M148">
        <v>9.7623932139365106</v>
      </c>
      <c r="N148">
        <v>55.924510613682102</v>
      </c>
      <c r="O148">
        <v>53.459883195791797</v>
      </c>
      <c r="P148">
        <v>-4.45861148651484E-2</v>
      </c>
      <c r="Q148">
        <v>2.3887426153646901E-2</v>
      </c>
      <c r="R148">
        <v>0.98093822079598003</v>
      </c>
      <c r="S148" t="s">
        <v>6600</v>
      </c>
      <c r="T148" t="s">
        <v>12902</v>
      </c>
      <c r="U148" t="s">
        <v>12902</v>
      </c>
      <c r="V148" t="s">
        <v>12902</v>
      </c>
      <c r="W148" t="s">
        <v>13049</v>
      </c>
      <c r="X148">
        <v>1</v>
      </c>
      <c r="Y148" t="s">
        <v>19443</v>
      </c>
      <c r="Z148" t="s">
        <v>25723</v>
      </c>
      <c r="AA148">
        <v>0.55527359149761624</v>
      </c>
      <c r="AB148" t="str">
        <f>HYPERLINK("Melting_Curves/meltCurve_B4DFI9_HUS1.pdf", "Melting_Curves/meltCurve_B4DFI9_HUS1.pdf")</f>
        <v>Melting_Curves/meltCurve_B4DFI9_HUS1.pdf</v>
      </c>
    </row>
    <row r="149" spans="1:28" x14ac:dyDescent="0.25">
      <c r="A149" t="s">
        <v>153</v>
      </c>
      <c r="B149">
        <v>0.99673306730245903</v>
      </c>
      <c r="C149">
        <v>0.95730339830451705</v>
      </c>
      <c r="D149">
        <v>0.94373877303680898</v>
      </c>
      <c r="E149">
        <v>0.83750945690257494</v>
      </c>
      <c r="F149">
        <v>0.67210907169543699</v>
      </c>
      <c r="G149">
        <v>0.41778246672455599</v>
      </c>
      <c r="H149">
        <v>0.250397776216011</v>
      </c>
      <c r="I149">
        <v>0.22216064830975499</v>
      </c>
      <c r="J149">
        <v>0.13167478962346499</v>
      </c>
      <c r="K149">
        <v>0.121211132090442</v>
      </c>
      <c r="L149">
        <v>796.73315322277404</v>
      </c>
      <c r="M149">
        <v>14.4989325359258</v>
      </c>
      <c r="N149">
        <v>55.654107261225299</v>
      </c>
      <c r="O149">
        <v>53.9375543436296</v>
      </c>
      <c r="P149">
        <v>-6.15866600386617E-2</v>
      </c>
      <c r="Q149">
        <v>8.3670328006606495E-2</v>
      </c>
      <c r="R149">
        <v>0.99729850013334298</v>
      </c>
      <c r="S149" t="s">
        <v>6601</v>
      </c>
      <c r="T149" t="s">
        <v>12902</v>
      </c>
      <c r="U149" t="s">
        <v>12902</v>
      </c>
      <c r="V149" t="s">
        <v>12902</v>
      </c>
      <c r="W149" t="s">
        <v>13050</v>
      </c>
      <c r="X149">
        <v>3</v>
      </c>
      <c r="Y149" t="s">
        <v>19444</v>
      </c>
      <c r="Z149" t="s">
        <v>25724</v>
      </c>
      <c r="AA149">
        <v>0.55871435954520909</v>
      </c>
      <c r="AB149" t="str">
        <f>HYPERLINK("Melting_Curves/meltCurve_B4DFQ4_COMMD1.pdf", "Melting_Curves/meltCurve_B4DFQ4_COMMD1.pdf")</f>
        <v>Melting_Curves/meltCurve_B4DFQ4_COMMD1.pdf</v>
      </c>
    </row>
    <row r="150" spans="1:28" x14ac:dyDescent="0.25">
      <c r="A150" t="s">
        <v>154</v>
      </c>
      <c r="B150">
        <v>0.99673306730245903</v>
      </c>
      <c r="C150">
        <v>0.95648137052644999</v>
      </c>
      <c r="D150">
        <v>1.0103819552612501</v>
      </c>
      <c r="E150">
        <v>1.12354559767466</v>
      </c>
      <c r="F150">
        <v>1.3239257597206699</v>
      </c>
      <c r="G150">
        <v>1.36691905465488</v>
      </c>
      <c r="H150">
        <v>0.88567312390818898</v>
      </c>
      <c r="I150">
        <v>1.22851023443617</v>
      </c>
      <c r="J150">
        <v>1.29205837405667</v>
      </c>
      <c r="K150">
        <v>1.0262610788758899</v>
      </c>
      <c r="L150">
        <v>12367.1273167298</v>
      </c>
      <c r="M150">
        <v>250</v>
      </c>
      <c r="O150">
        <v>49.465347635135799</v>
      </c>
      <c r="P150">
        <v>0.23656032368093</v>
      </c>
      <c r="Q150">
        <v>1.18722460292742</v>
      </c>
      <c r="R150">
        <v>0.30221454186831698</v>
      </c>
      <c r="S150" t="s">
        <v>6602</v>
      </c>
      <c r="T150" t="s">
        <v>12902</v>
      </c>
      <c r="U150" t="s">
        <v>12902</v>
      </c>
      <c r="V150" t="s">
        <v>12902</v>
      </c>
      <c r="W150" t="s">
        <v>13051</v>
      </c>
      <c r="X150">
        <v>4</v>
      </c>
      <c r="Y150" t="s">
        <v>19445</v>
      </c>
      <c r="Z150" t="s">
        <v>25725</v>
      </c>
      <c r="AA150">
        <v>1.1281170858223271</v>
      </c>
      <c r="AB150" t="str">
        <f>HYPERLINK("Melting_Curves/meltCurve_B4DFR2_DYNLRB1.pdf", "Melting_Curves/meltCurve_B4DFR2_DYNLRB1.pdf")</f>
        <v>Melting_Curves/meltCurve_B4DFR2_DYNLRB1.pdf</v>
      </c>
    </row>
    <row r="151" spans="1:28" x14ac:dyDescent="0.25">
      <c r="A151" t="s">
        <v>155</v>
      </c>
      <c r="B151">
        <v>0.99673306730245903</v>
      </c>
      <c r="C151">
        <v>0.92724277649086695</v>
      </c>
      <c r="D151">
        <v>0.84260551644844695</v>
      </c>
      <c r="E151">
        <v>0.70760824892628404</v>
      </c>
      <c r="F151">
        <v>0.30100174757457199</v>
      </c>
      <c r="G151">
        <v>0.13692510751623799</v>
      </c>
      <c r="H151">
        <v>6.8210963889782303E-2</v>
      </c>
      <c r="I151">
        <v>5.8405908052987697E-2</v>
      </c>
      <c r="J151">
        <v>5.2026219036023003E-2</v>
      </c>
      <c r="K151">
        <v>4.5683981149846398E-2</v>
      </c>
      <c r="L151">
        <v>997.82643270419601</v>
      </c>
      <c r="M151">
        <v>19.566914676176701</v>
      </c>
      <c r="N151">
        <v>51.180941220876299</v>
      </c>
      <c r="O151">
        <v>50.471908752396097</v>
      </c>
      <c r="P151">
        <v>-9.3608123909411201E-2</v>
      </c>
      <c r="Q151">
        <v>3.4203792113970899E-2</v>
      </c>
      <c r="R151">
        <v>0.99297470249278896</v>
      </c>
      <c r="S151" t="s">
        <v>6603</v>
      </c>
      <c r="T151" t="s">
        <v>12902</v>
      </c>
      <c r="U151" t="s">
        <v>12902</v>
      </c>
      <c r="V151" t="s">
        <v>12902</v>
      </c>
      <c r="W151" t="s">
        <v>13052</v>
      </c>
      <c r="X151">
        <v>32</v>
      </c>
      <c r="Y151" t="s">
        <v>19446</v>
      </c>
      <c r="Z151" t="s">
        <v>25726</v>
      </c>
      <c r="AA151">
        <v>0.40215306223790631</v>
      </c>
      <c r="AB151" t="str">
        <f>HYPERLINK("Melting_Curves/meltCurve_B4DGU4_CTNNB1.pdf", "Melting_Curves/meltCurve_B4DGU4_CTNNB1.pdf")</f>
        <v>Melting_Curves/meltCurve_B4DGU4_CTNNB1.pdf</v>
      </c>
    </row>
    <row r="152" spans="1:28" x14ac:dyDescent="0.25">
      <c r="A152" t="s">
        <v>156</v>
      </c>
      <c r="B152">
        <v>0.99673306730245903</v>
      </c>
      <c r="C152">
        <v>0.97671984358234099</v>
      </c>
      <c r="D152">
        <v>0.91236616145901295</v>
      </c>
      <c r="E152">
        <v>0.66214280642718804</v>
      </c>
      <c r="F152">
        <v>0.32090526462854702</v>
      </c>
      <c r="G152">
        <v>0.21728530809827501</v>
      </c>
      <c r="H152">
        <v>0.120772192891465</v>
      </c>
      <c r="I152">
        <v>9.9790889989501405E-2</v>
      </c>
      <c r="J152">
        <v>5.4759698164412E-2</v>
      </c>
      <c r="K152">
        <v>3.7649526558105502E-2</v>
      </c>
      <c r="L152">
        <v>976.29522350849197</v>
      </c>
      <c r="M152">
        <v>19.134003480758501</v>
      </c>
      <c r="N152">
        <v>51.381769735443697</v>
      </c>
      <c r="O152">
        <v>50.476566053369702</v>
      </c>
      <c r="P152">
        <v>-8.8861283281858203E-2</v>
      </c>
      <c r="Q152">
        <v>6.2352313877775102E-2</v>
      </c>
      <c r="R152">
        <v>0.99672680571901695</v>
      </c>
      <c r="S152" t="s">
        <v>6604</v>
      </c>
      <c r="T152" t="s">
        <v>12902</v>
      </c>
      <c r="U152" t="s">
        <v>12902</v>
      </c>
      <c r="V152" t="s">
        <v>12902</v>
      </c>
      <c r="W152" t="s">
        <v>13053</v>
      </c>
      <c r="X152">
        <v>7</v>
      </c>
      <c r="Y152" t="s">
        <v>19447</v>
      </c>
      <c r="Z152" t="s">
        <v>25727</v>
      </c>
      <c r="AA152">
        <v>0.42103963378793069</v>
      </c>
      <c r="AB152" t="str">
        <f>HYPERLINK("Melting_Curves/meltCurve_B4DGX2_PIP4K2A.pdf", "Melting_Curves/meltCurve_B4DGX2_PIP4K2A.pdf")</f>
        <v>Melting_Curves/meltCurve_B4DGX2_PIP4K2A.pdf</v>
      </c>
    </row>
    <row r="153" spans="1:28" x14ac:dyDescent="0.25">
      <c r="A153" t="s">
        <v>157</v>
      </c>
      <c r="B153">
        <v>0.99673306730245903</v>
      </c>
      <c r="C153">
        <v>0.897864152087264</v>
      </c>
      <c r="D153">
        <v>0.90066254933085499</v>
      </c>
      <c r="E153">
        <v>0.45544352339115601</v>
      </c>
      <c r="F153">
        <v>0.189610322458342</v>
      </c>
      <c r="G153">
        <v>0.1123996559921</v>
      </c>
      <c r="H153">
        <v>7.2546426162078903E-2</v>
      </c>
      <c r="I153">
        <v>6.3097553754071597E-2</v>
      </c>
      <c r="J153">
        <v>7.6095946499842207E-2</v>
      </c>
      <c r="K153">
        <v>7.4119238143431507E-2</v>
      </c>
      <c r="L153">
        <v>1283.5823389048101</v>
      </c>
      <c r="M153">
        <v>26.1557180150924</v>
      </c>
      <c r="N153">
        <v>49.372430101943003</v>
      </c>
      <c r="O153">
        <v>48.790465896655597</v>
      </c>
      <c r="P153">
        <v>-0.124242248355675</v>
      </c>
      <c r="Q153">
        <v>7.2972257097540294E-2</v>
      </c>
      <c r="R153">
        <v>0.99378333433483101</v>
      </c>
      <c r="S153" t="s">
        <v>6605</v>
      </c>
      <c r="T153" t="s">
        <v>12902</v>
      </c>
      <c r="U153" t="s">
        <v>12902</v>
      </c>
      <c r="V153" t="s">
        <v>12902</v>
      </c>
      <c r="W153" t="s">
        <v>13054</v>
      </c>
      <c r="X153">
        <v>2</v>
      </c>
      <c r="Y153" t="s">
        <v>19448</v>
      </c>
      <c r="Z153" t="s">
        <v>25728</v>
      </c>
      <c r="AA153">
        <v>0.36087635792503298</v>
      </c>
      <c r="AB153" t="str">
        <f>HYPERLINK("Melting_Curves/meltCurve_B4DH26_DCUN1D4.pdf", "Melting_Curves/meltCurve_B4DH26_DCUN1D4.pdf")</f>
        <v>Melting_Curves/meltCurve_B4DH26_DCUN1D4.pdf</v>
      </c>
    </row>
    <row r="154" spans="1:28" x14ac:dyDescent="0.25">
      <c r="A154" t="s">
        <v>158</v>
      </c>
      <c r="B154">
        <v>0.99673306730245903</v>
      </c>
      <c r="C154">
        <v>0.97508277729361903</v>
      </c>
      <c r="D154">
        <v>0.882845355861686</v>
      </c>
      <c r="E154">
        <v>0.57330219850562203</v>
      </c>
      <c r="F154">
        <v>0.194753679225317</v>
      </c>
      <c r="G154">
        <v>0.132114922150911</v>
      </c>
      <c r="H154">
        <v>7.8146933842722296E-2</v>
      </c>
      <c r="I154">
        <v>7.2981665703410803E-2</v>
      </c>
      <c r="J154">
        <v>7.3585780507598703E-2</v>
      </c>
      <c r="K154">
        <v>6.3318699241446494E-2</v>
      </c>
      <c r="L154">
        <v>1263.8946333143101</v>
      </c>
      <c r="M154">
        <v>25.391732922475398</v>
      </c>
      <c r="N154">
        <v>50.0733423358447</v>
      </c>
      <c r="O154">
        <v>49.470190550930397</v>
      </c>
      <c r="P154">
        <v>-0.119335362868947</v>
      </c>
      <c r="Q154">
        <v>7.001750905661E-2</v>
      </c>
      <c r="R154">
        <v>0.99870180592436797</v>
      </c>
      <c r="S154" t="s">
        <v>6606</v>
      </c>
      <c r="T154" t="s">
        <v>12902</v>
      </c>
      <c r="U154" t="s">
        <v>12902</v>
      </c>
      <c r="V154" t="s">
        <v>12902</v>
      </c>
      <c r="W154" t="s">
        <v>13055</v>
      </c>
      <c r="X154">
        <v>20</v>
      </c>
      <c r="Y154" t="s">
        <v>19449</v>
      </c>
      <c r="Z154" t="s">
        <v>25729</v>
      </c>
      <c r="AA154">
        <v>0.38109948643094421</v>
      </c>
      <c r="AB154" t="str">
        <f>HYPERLINK("Melting_Curves/meltCurve_B4DH53_MAP1S.pdf", "Melting_Curves/meltCurve_B4DH53_MAP1S.pdf")</f>
        <v>Melting_Curves/meltCurve_B4DH53_MAP1S.pdf</v>
      </c>
    </row>
    <row r="155" spans="1:28" x14ac:dyDescent="0.25">
      <c r="A155" t="s">
        <v>159</v>
      </c>
      <c r="B155">
        <v>0.99673306730245903</v>
      </c>
      <c r="C155">
        <v>0.90623691156484298</v>
      </c>
      <c r="D155">
        <v>0.88385516869325198</v>
      </c>
      <c r="E155">
        <v>0.64355276008053097</v>
      </c>
      <c r="F155">
        <v>0.44202340387471301</v>
      </c>
      <c r="G155">
        <v>0.29926568281140298</v>
      </c>
      <c r="H155">
        <v>0.22692718109464</v>
      </c>
      <c r="I155">
        <v>0.26571381467459498</v>
      </c>
      <c r="J155">
        <v>0.33892826400046899</v>
      </c>
      <c r="K155">
        <v>0.267143224106343</v>
      </c>
      <c r="L155">
        <v>954.27108797040501</v>
      </c>
      <c r="M155">
        <v>19.196992518386701</v>
      </c>
      <c r="N155">
        <v>51.7200758624315</v>
      </c>
      <c r="O155">
        <v>49.179406609960402</v>
      </c>
      <c r="P155">
        <v>-7.1929697171742399E-2</v>
      </c>
      <c r="Q155">
        <v>0.26294180496291603</v>
      </c>
      <c r="R155">
        <v>0.98408491482028104</v>
      </c>
      <c r="S155" t="s">
        <v>6607</v>
      </c>
      <c r="T155" t="s">
        <v>12902</v>
      </c>
      <c r="U155" t="s">
        <v>12902</v>
      </c>
      <c r="V155" t="s">
        <v>12902</v>
      </c>
      <c r="W155" t="s">
        <v>13056</v>
      </c>
      <c r="X155">
        <v>6</v>
      </c>
      <c r="Y155" t="s">
        <v>19450</v>
      </c>
      <c r="Z155" t="s">
        <v>25730</v>
      </c>
      <c r="AA155">
        <v>0.51262419302164564</v>
      </c>
      <c r="AB155" t="str">
        <f>HYPERLINK("Melting_Curves/meltCurve_B4DHE8_MSI2.pdf", "Melting_Curves/meltCurve_B4DHE8_MSI2.pdf")</f>
        <v>Melting_Curves/meltCurve_B4DHE8_MSI2.pdf</v>
      </c>
    </row>
    <row r="156" spans="1:28" x14ac:dyDescent="0.25">
      <c r="A156" t="s">
        <v>160</v>
      </c>
      <c r="B156">
        <v>0.99673306730245903</v>
      </c>
      <c r="C156">
        <v>1.1175228898676699</v>
      </c>
      <c r="D156">
        <v>1.06776626976265</v>
      </c>
      <c r="E156">
        <v>0.89585637136153695</v>
      </c>
      <c r="F156">
        <v>0.96507420307195102</v>
      </c>
      <c r="G156">
        <v>0.90686944457598895</v>
      </c>
      <c r="H156">
        <v>1.09210181554551</v>
      </c>
      <c r="I156">
        <v>1.43917833590267</v>
      </c>
      <c r="J156">
        <v>3.3026528488563498</v>
      </c>
      <c r="K156">
        <v>2.9061033955167499</v>
      </c>
      <c r="L156">
        <v>6105.6324584165504</v>
      </c>
      <c r="M156">
        <v>98.871457060030096</v>
      </c>
      <c r="O156">
        <v>61.727986022606601</v>
      </c>
      <c r="P156">
        <v>0.200216041140375</v>
      </c>
      <c r="Q156">
        <v>1.5</v>
      </c>
      <c r="R156">
        <v>0.244796031216612</v>
      </c>
      <c r="S156" t="s">
        <v>6608</v>
      </c>
      <c r="T156" t="s">
        <v>12902</v>
      </c>
      <c r="U156" t="s">
        <v>12902</v>
      </c>
      <c r="V156" t="s">
        <v>12902</v>
      </c>
      <c r="W156" t="s">
        <v>13057</v>
      </c>
      <c r="X156">
        <v>2</v>
      </c>
      <c r="Y156" t="s">
        <v>19451</v>
      </c>
      <c r="Z156" t="s">
        <v>25731</v>
      </c>
      <c r="AA156">
        <v>1.137099315048665</v>
      </c>
      <c r="AB156" t="str">
        <f>HYPERLINK("Melting_Curves/meltCurve_B4DIG7_PIP5K1B.pdf", "Melting_Curves/meltCurve_B4DIG7_PIP5K1B.pdf")</f>
        <v>Melting_Curves/meltCurve_B4DIG7_PIP5K1B.pdf</v>
      </c>
    </row>
    <row r="157" spans="1:28" x14ac:dyDescent="0.25">
      <c r="A157" t="s">
        <v>161</v>
      </c>
      <c r="B157">
        <v>0.99673306730245903</v>
      </c>
      <c r="C157">
        <v>1.0024939649443001</v>
      </c>
      <c r="D157">
        <v>0.95439614253342198</v>
      </c>
      <c r="E157">
        <v>0.91737005593480503</v>
      </c>
      <c r="F157">
        <v>0.80124816862287995</v>
      </c>
      <c r="G157">
        <v>0.62538978787391497</v>
      </c>
      <c r="H157">
        <v>0.35925338881337698</v>
      </c>
      <c r="I157">
        <v>0.16073989339661501</v>
      </c>
      <c r="J157">
        <v>6.2226621440177703E-2</v>
      </c>
      <c r="K157">
        <v>4.8075616122292997E-2</v>
      </c>
      <c r="L157">
        <v>964.52673485056096</v>
      </c>
      <c r="M157">
        <v>16.573324822923801</v>
      </c>
      <c r="N157">
        <v>58.197540667150697</v>
      </c>
      <c r="O157">
        <v>57.370040610860698</v>
      </c>
      <c r="P157">
        <v>-7.2226098245770101E-2</v>
      </c>
      <c r="Q157">
        <v>0</v>
      </c>
      <c r="R157">
        <v>0.99576867128684299</v>
      </c>
      <c r="S157" t="s">
        <v>6609</v>
      </c>
      <c r="T157" t="s">
        <v>12902</v>
      </c>
      <c r="U157" t="s">
        <v>12902</v>
      </c>
      <c r="V157" t="s">
        <v>12902</v>
      </c>
      <c r="W157" t="s">
        <v>13058</v>
      </c>
      <c r="X157">
        <v>11</v>
      </c>
      <c r="Y157" t="s">
        <v>19452</v>
      </c>
      <c r="Z157" t="s">
        <v>25732</v>
      </c>
      <c r="AA157">
        <v>0.61917122495524635</v>
      </c>
      <c r="AB157" t="str">
        <f>HYPERLINK("Melting_Curves/meltCurve_B4DJA5_RAB5A.pdf", "Melting_Curves/meltCurve_B4DJA5_RAB5A.pdf")</f>
        <v>Melting_Curves/meltCurve_B4DJA5_RAB5A.pdf</v>
      </c>
    </row>
    <row r="158" spans="1:28" x14ac:dyDescent="0.25">
      <c r="A158" t="s">
        <v>162</v>
      </c>
      <c r="B158">
        <v>0.99673306730245903</v>
      </c>
      <c r="C158">
        <v>0.87085831443427397</v>
      </c>
      <c r="D158">
        <v>0.56037848548843106</v>
      </c>
      <c r="E158">
        <v>0.27941547515787002</v>
      </c>
      <c r="F158">
        <v>0.16357993340406701</v>
      </c>
      <c r="G158">
        <v>0.137123024696959</v>
      </c>
      <c r="H158">
        <v>0.10383445991858201</v>
      </c>
      <c r="I158">
        <v>0.104689381532814</v>
      </c>
      <c r="J158">
        <v>9.6932078074134106E-2</v>
      </c>
      <c r="K158">
        <v>8.2554703929655707E-2</v>
      </c>
      <c r="L158">
        <v>1002.20731702081</v>
      </c>
      <c r="M158">
        <v>21.6686435102371</v>
      </c>
      <c r="N158">
        <v>46.745696843916299</v>
      </c>
      <c r="O158">
        <v>45.862982482012001</v>
      </c>
      <c r="P158">
        <v>-0.106027842938285</v>
      </c>
      <c r="Q158">
        <v>0.102364130957104</v>
      </c>
      <c r="R158">
        <v>0.99803123072558797</v>
      </c>
      <c r="S158" t="s">
        <v>6610</v>
      </c>
      <c r="T158" t="s">
        <v>12902</v>
      </c>
      <c r="U158" t="s">
        <v>12902</v>
      </c>
      <c r="V158" t="s">
        <v>12902</v>
      </c>
      <c r="W158" t="s">
        <v>13059</v>
      </c>
      <c r="X158">
        <v>1</v>
      </c>
      <c r="Y158" t="s">
        <v>19453</v>
      </c>
      <c r="Z158" t="s">
        <v>25733</v>
      </c>
      <c r="AA158">
        <v>0.30078392804082221</v>
      </c>
      <c r="AB158" t="str">
        <f>HYPERLINK("Melting_Curves/meltCurve_B4DJC5_DHRS13.pdf", "Melting_Curves/meltCurve_B4DJC5_DHRS13.pdf")</f>
        <v>Melting_Curves/meltCurve_B4DJC5_DHRS13.pdf</v>
      </c>
    </row>
    <row r="159" spans="1:28" x14ac:dyDescent="0.25">
      <c r="A159" t="s">
        <v>163</v>
      </c>
      <c r="B159">
        <v>0.99673306730245903</v>
      </c>
      <c r="C159">
        <v>0.98345935396277495</v>
      </c>
      <c r="D159">
        <v>0.912422415832713</v>
      </c>
      <c r="E159">
        <v>0.91095297214729898</v>
      </c>
      <c r="F159">
        <v>0.83616278692667401</v>
      </c>
      <c r="G159">
        <v>0.71489056176341803</v>
      </c>
      <c r="H159">
        <v>0.664738501037753</v>
      </c>
      <c r="I159">
        <v>0.79765418477066696</v>
      </c>
      <c r="J159">
        <v>1.0132999905464699</v>
      </c>
      <c r="K159">
        <v>0.91292473259540596</v>
      </c>
      <c r="L159">
        <v>1073.1100437830701</v>
      </c>
      <c r="M159">
        <v>22.818216852729499</v>
      </c>
      <c r="O159">
        <v>46.671921856760299</v>
      </c>
      <c r="P159">
        <v>-2.1348853313049702E-2</v>
      </c>
      <c r="Q159">
        <v>0.82533731633698104</v>
      </c>
      <c r="R159">
        <v>0.32963519401486502</v>
      </c>
      <c r="S159" t="s">
        <v>6611</v>
      </c>
      <c r="T159" t="s">
        <v>12902</v>
      </c>
      <c r="U159" t="s">
        <v>12902</v>
      </c>
      <c r="V159" t="s">
        <v>12902</v>
      </c>
      <c r="W159" t="s">
        <v>13060</v>
      </c>
      <c r="X159">
        <v>3</v>
      </c>
      <c r="Y159" t="s">
        <v>19454</v>
      </c>
      <c r="Z159" t="s">
        <v>25734</v>
      </c>
      <c r="AA159">
        <v>0.86816602698722722</v>
      </c>
      <c r="AB159" t="str">
        <f>HYPERLINK("Melting_Curves/meltCurve_B4DJN2_SLC25A14.pdf", "Melting_Curves/meltCurve_B4DJN2_SLC25A14.pdf")</f>
        <v>Melting_Curves/meltCurve_B4DJN2_SLC25A14.pdf</v>
      </c>
    </row>
    <row r="160" spans="1:28" x14ac:dyDescent="0.25">
      <c r="A160" t="s">
        <v>164</v>
      </c>
      <c r="B160">
        <v>0.99673306730245903</v>
      </c>
      <c r="C160">
        <v>0.94838209690333897</v>
      </c>
      <c r="D160">
        <v>1.0427595430426799</v>
      </c>
      <c r="E160">
        <v>1.01247326068198</v>
      </c>
      <c r="F160">
        <v>1.0498808148623999</v>
      </c>
      <c r="G160">
        <v>0.98166248343941798</v>
      </c>
      <c r="H160">
        <v>0.78198608973229899</v>
      </c>
      <c r="I160">
        <v>0.79644207721597704</v>
      </c>
      <c r="J160">
        <v>0.79163385723177704</v>
      </c>
      <c r="K160">
        <v>0.39401826456690098</v>
      </c>
      <c r="L160">
        <v>1082.1631975806999</v>
      </c>
      <c r="M160">
        <v>15.521125065293001</v>
      </c>
      <c r="N160">
        <v>69.721954267307694</v>
      </c>
      <c r="O160">
        <v>68.595338965733305</v>
      </c>
      <c r="P160">
        <v>-5.6572709064684798E-2</v>
      </c>
      <c r="Q160">
        <v>0</v>
      </c>
      <c r="R160">
        <v>0.85388722647279902</v>
      </c>
      <c r="S160" t="s">
        <v>6612</v>
      </c>
      <c r="T160" t="s">
        <v>12902</v>
      </c>
      <c r="U160" t="s">
        <v>12902</v>
      </c>
      <c r="V160" t="s">
        <v>12902</v>
      </c>
      <c r="W160" t="s">
        <v>13061</v>
      </c>
      <c r="X160">
        <v>9</v>
      </c>
      <c r="Y160" t="s">
        <v>19455</v>
      </c>
      <c r="Z160" t="s">
        <v>25735</v>
      </c>
      <c r="AA160">
        <v>0.90470431769711224</v>
      </c>
      <c r="AB160" t="str">
        <f>HYPERLINK("Melting_Curves/meltCurve_B4DJP7_SNRPD3.pdf", "Melting_Curves/meltCurve_B4DJP7_SNRPD3.pdf")</f>
        <v>Melting_Curves/meltCurve_B4DJP7_SNRPD3.pdf</v>
      </c>
    </row>
    <row r="161" spans="1:28" x14ac:dyDescent="0.25">
      <c r="A161" t="s">
        <v>165</v>
      </c>
      <c r="B161">
        <v>0.99673306730245903</v>
      </c>
      <c r="C161">
        <v>1.0918259187392201</v>
      </c>
      <c r="D161">
        <v>0.76390727520710999</v>
      </c>
      <c r="E161">
        <v>0.87806116652050703</v>
      </c>
      <c r="F161">
        <v>0.338421066980722</v>
      </c>
      <c r="G161">
        <v>0.15437164913582299</v>
      </c>
      <c r="H161">
        <v>6.9551002986525307E-2</v>
      </c>
      <c r="I161">
        <v>6.2618576513502694E-2</v>
      </c>
      <c r="J161">
        <v>6.02654115091956E-2</v>
      </c>
      <c r="K161">
        <v>5.6316780218494997E-2</v>
      </c>
      <c r="L161">
        <v>1507.9395891126601</v>
      </c>
      <c r="M161">
        <v>29.0295762974221</v>
      </c>
      <c r="N161">
        <v>52.170317568692603</v>
      </c>
      <c r="O161">
        <v>51.700329242497801</v>
      </c>
      <c r="P161">
        <v>-0.13210282397697401</v>
      </c>
      <c r="Q161">
        <v>5.8931268311347901E-2</v>
      </c>
      <c r="R161">
        <v>0.96379023362792104</v>
      </c>
      <c r="S161" t="s">
        <v>6613</v>
      </c>
      <c r="T161" t="s">
        <v>12902</v>
      </c>
      <c r="U161" t="s">
        <v>12902</v>
      </c>
      <c r="V161" t="s">
        <v>12902</v>
      </c>
      <c r="W161" t="s">
        <v>13062</v>
      </c>
      <c r="X161">
        <v>24</v>
      </c>
      <c r="Y161" t="s">
        <v>19456</v>
      </c>
      <c r="Z161" t="s">
        <v>25736</v>
      </c>
      <c r="AA161">
        <v>0.44004340607339409</v>
      </c>
      <c r="AB161" t="str">
        <f>HYPERLINK("Melting_Curves/meltCurve_B4DJV2_CS.pdf", "Melting_Curves/meltCurve_B4DJV2_CS.pdf")</f>
        <v>Melting_Curves/meltCurve_B4DJV2_CS.pdf</v>
      </c>
    </row>
    <row r="162" spans="1:28" x14ac:dyDescent="0.25">
      <c r="A162" t="s">
        <v>166</v>
      </c>
      <c r="B162">
        <v>0.99673306730245903</v>
      </c>
      <c r="C162">
        <v>0.96747971265140098</v>
      </c>
      <c r="D162">
        <v>0.87432801707230501</v>
      </c>
      <c r="E162">
        <v>0.78689708245301604</v>
      </c>
      <c r="F162">
        <v>0.59071242585879502</v>
      </c>
      <c r="G162">
        <v>0.653394530271313</v>
      </c>
      <c r="H162">
        <v>0.65645947379325897</v>
      </c>
      <c r="I162">
        <v>2.4002402675917298</v>
      </c>
      <c r="J162">
        <v>0.50611826631071799</v>
      </c>
      <c r="K162">
        <v>0.23325501462939099</v>
      </c>
      <c r="L162">
        <v>1983.28461085104</v>
      </c>
      <c r="M162">
        <v>44.569732955480603</v>
      </c>
      <c r="O162">
        <v>44.409159077015197</v>
      </c>
      <c r="P162">
        <v>-4.1840258435979598E-2</v>
      </c>
      <c r="Q162">
        <v>0.83324215176397398</v>
      </c>
      <c r="R162">
        <v>1.13506542900441E-2</v>
      </c>
      <c r="S162" t="s">
        <v>6614</v>
      </c>
      <c r="T162" t="s">
        <v>12902</v>
      </c>
      <c r="U162" t="s">
        <v>12902</v>
      </c>
      <c r="V162" t="s">
        <v>12902</v>
      </c>
      <c r="W162" t="s">
        <v>13063</v>
      </c>
      <c r="X162">
        <v>2</v>
      </c>
      <c r="Y162" t="s">
        <v>19457</v>
      </c>
      <c r="Z162" t="s">
        <v>25737</v>
      </c>
      <c r="AA162">
        <v>0.85868843545192353</v>
      </c>
      <c r="AB162" t="str">
        <f>HYPERLINK("Melting_Curves/meltCurve_B4DJV5_PWP1.pdf", "Melting_Curves/meltCurve_B4DJV5_PWP1.pdf")</f>
        <v>Melting_Curves/meltCurve_B4DJV5_PWP1.pdf</v>
      </c>
    </row>
    <row r="163" spans="1:28" x14ac:dyDescent="0.25">
      <c r="A163" t="s">
        <v>167</v>
      </c>
      <c r="B163">
        <v>0.99673306730245903</v>
      </c>
      <c r="C163">
        <v>0.75271640711412302</v>
      </c>
      <c r="D163">
        <v>0.67873291713242601</v>
      </c>
      <c r="E163">
        <v>0.51532065101116098</v>
      </c>
      <c r="F163">
        <v>0.34633688436118898</v>
      </c>
      <c r="G163">
        <v>0.23881277763520201</v>
      </c>
      <c r="H163">
        <v>0.16253156379384801</v>
      </c>
      <c r="I163">
        <v>0.21760382822806801</v>
      </c>
      <c r="J163">
        <v>0.27972849848876902</v>
      </c>
      <c r="K163">
        <v>0.29667816832651001</v>
      </c>
      <c r="L163">
        <v>658.50492310170102</v>
      </c>
      <c r="M163">
        <v>14.044796354524999</v>
      </c>
      <c r="N163">
        <v>48.910352355389598</v>
      </c>
      <c r="O163">
        <v>45.966216769270098</v>
      </c>
      <c r="P163">
        <v>-5.95578585128652E-2</v>
      </c>
      <c r="Q163">
        <v>0.22041124184139299</v>
      </c>
      <c r="R163">
        <v>0.95678359987365402</v>
      </c>
      <c r="S163" t="s">
        <v>6615</v>
      </c>
      <c r="T163" t="s">
        <v>12902</v>
      </c>
      <c r="U163" t="s">
        <v>12902</v>
      </c>
      <c r="V163" t="s">
        <v>12902</v>
      </c>
      <c r="W163" t="s">
        <v>13064</v>
      </c>
      <c r="X163">
        <v>2</v>
      </c>
      <c r="Y163" t="s">
        <v>19458</v>
      </c>
      <c r="Z163" t="s">
        <v>25738</v>
      </c>
      <c r="AA163">
        <v>0.42374641933082552</v>
      </c>
      <c r="AB163" t="str">
        <f>HYPERLINK("Melting_Curves/meltCurve_B4DKF9_ZNF286A.pdf", "Melting_Curves/meltCurve_B4DKF9_ZNF286A.pdf")</f>
        <v>Melting_Curves/meltCurve_B4DKF9_ZNF286A.pdf</v>
      </c>
    </row>
    <row r="164" spans="1:28" x14ac:dyDescent="0.25">
      <c r="A164" t="s">
        <v>168</v>
      </c>
      <c r="B164">
        <v>0.99673306730245903</v>
      </c>
      <c r="C164">
        <v>0.97411110200752604</v>
      </c>
      <c r="D164">
        <v>0.90126385897215699</v>
      </c>
      <c r="E164">
        <v>0.77019164622948499</v>
      </c>
      <c r="F164">
        <v>0.63612021237767102</v>
      </c>
      <c r="G164">
        <v>0.50241290892101897</v>
      </c>
      <c r="H164">
        <v>0.42724698408851097</v>
      </c>
      <c r="I164">
        <v>0.55998080746838896</v>
      </c>
      <c r="J164">
        <v>0.53674293354282399</v>
      </c>
      <c r="K164">
        <v>0.37408975709518999</v>
      </c>
      <c r="L164">
        <v>855.98883838588097</v>
      </c>
      <c r="M164">
        <v>16.975527795414099</v>
      </c>
      <c r="N164">
        <v>59.088378159002403</v>
      </c>
      <c r="O164">
        <v>49.740720311352497</v>
      </c>
      <c r="P164">
        <v>-4.6203602577713401E-2</v>
      </c>
      <c r="Q164">
        <v>0.45850114922927199</v>
      </c>
      <c r="R164">
        <v>0.94616186690540505</v>
      </c>
      <c r="S164" t="s">
        <v>6616</v>
      </c>
      <c r="T164" t="s">
        <v>12902</v>
      </c>
      <c r="U164" t="s">
        <v>12902</v>
      </c>
      <c r="V164" t="s">
        <v>12902</v>
      </c>
      <c r="W164" t="s">
        <v>13065</v>
      </c>
      <c r="X164">
        <v>17</v>
      </c>
      <c r="Y164" t="s">
        <v>19459</v>
      </c>
      <c r="Z164" t="s">
        <v>25739</v>
      </c>
      <c r="AA164">
        <v>0.65690074487633543</v>
      </c>
      <c r="AB164" t="str">
        <f>HYPERLINK("Melting_Curves/meltCurve_B4DKL4_LSR.pdf", "Melting_Curves/meltCurve_B4DKL4_LSR.pdf")</f>
        <v>Melting_Curves/meltCurve_B4DKL4_LSR.pdf</v>
      </c>
    </row>
    <row r="165" spans="1:28" x14ac:dyDescent="0.25">
      <c r="A165" t="s">
        <v>169</v>
      </c>
      <c r="B165">
        <v>0.99673306730245903</v>
      </c>
      <c r="C165">
        <v>0.94565828010140895</v>
      </c>
      <c r="D165">
        <v>0.887531963750396</v>
      </c>
      <c r="E165">
        <v>0.75777661273202801</v>
      </c>
      <c r="F165">
        <v>0.40640813150627397</v>
      </c>
      <c r="G165">
        <v>0.18050971266393701</v>
      </c>
      <c r="H165">
        <v>7.0292260177346397E-2</v>
      </c>
      <c r="I165">
        <v>7.0156894160249603E-2</v>
      </c>
      <c r="J165">
        <v>6.7822681575756494E-2</v>
      </c>
      <c r="K165">
        <v>5.5280067718826501E-2</v>
      </c>
      <c r="L165">
        <v>1028.5069637904401</v>
      </c>
      <c r="M165">
        <v>19.812582388111299</v>
      </c>
      <c r="N165">
        <v>52.147175178836498</v>
      </c>
      <c r="O165">
        <v>51.3916454226786</v>
      </c>
      <c r="P165">
        <v>-9.2261185598535606E-2</v>
      </c>
      <c r="Q165">
        <v>4.2771351940946098E-2</v>
      </c>
      <c r="R165">
        <v>0.99652791622034598</v>
      </c>
      <c r="S165" t="s">
        <v>6617</v>
      </c>
      <c r="T165" t="s">
        <v>12902</v>
      </c>
      <c r="U165" t="s">
        <v>12902</v>
      </c>
      <c r="V165" t="s">
        <v>12902</v>
      </c>
      <c r="W165" t="s">
        <v>13066</v>
      </c>
      <c r="X165">
        <v>5</v>
      </c>
      <c r="Y165" t="s">
        <v>19460</v>
      </c>
      <c r="Z165" t="s">
        <v>25740</v>
      </c>
      <c r="AA165">
        <v>0.43632633192469539</v>
      </c>
      <c r="AB165" t="str">
        <f>HYPERLINK("Melting_Curves/meltCurve_B4DL54_CHURC1_FNTB.pdf", "Melting_Curves/meltCurve_B4DL54_CHURC1_FNTB.pdf")</f>
        <v>Melting_Curves/meltCurve_B4DL54_CHURC1_FNTB.pdf</v>
      </c>
    </row>
    <row r="166" spans="1:28" x14ac:dyDescent="0.25">
      <c r="A166" t="s">
        <v>170</v>
      </c>
      <c r="B166">
        <v>0.99673306730245903</v>
      </c>
      <c r="C166">
        <v>0.95712618144357997</v>
      </c>
      <c r="D166">
        <v>0.99468155035448602</v>
      </c>
      <c r="E166">
        <v>0.96551183281041097</v>
      </c>
      <c r="F166">
        <v>0.760891352898872</v>
      </c>
      <c r="G166">
        <v>0.63785484552951299</v>
      </c>
      <c r="H166">
        <v>0.53136886601569799</v>
      </c>
      <c r="I166">
        <v>0.680175405393039</v>
      </c>
      <c r="J166">
        <v>0.92958340006036499</v>
      </c>
      <c r="K166">
        <v>0.83871224981973003</v>
      </c>
      <c r="L166">
        <v>3024.1653931617998</v>
      </c>
      <c r="M166">
        <v>58.933291759825003</v>
      </c>
      <c r="O166">
        <v>51.256078728738302</v>
      </c>
      <c r="P166">
        <v>-7.9211932714297703E-2</v>
      </c>
      <c r="Q166">
        <v>0.724428027668508</v>
      </c>
      <c r="R166">
        <v>0.58867336556512895</v>
      </c>
      <c r="S166" t="s">
        <v>6618</v>
      </c>
      <c r="T166" t="s">
        <v>12902</v>
      </c>
      <c r="U166" t="s">
        <v>12902</v>
      </c>
      <c r="V166" t="s">
        <v>12902</v>
      </c>
      <c r="W166" t="s">
        <v>13067</v>
      </c>
      <c r="X166">
        <v>22</v>
      </c>
      <c r="Y166" t="s">
        <v>19461</v>
      </c>
      <c r="Z166" t="s">
        <v>25741</v>
      </c>
      <c r="AA166">
        <v>0.8288134241902072</v>
      </c>
      <c r="AB166" t="str">
        <f>HYPERLINK("Melting_Curves/meltCurve_B4DLN1_SLC25A10.pdf", "Melting_Curves/meltCurve_B4DLN1_SLC25A10.pdf")</f>
        <v>Melting_Curves/meltCurve_B4DLN1_SLC25A10.pdf</v>
      </c>
    </row>
    <row r="167" spans="1:28" x14ac:dyDescent="0.25">
      <c r="A167" t="s">
        <v>171</v>
      </c>
      <c r="B167">
        <v>0.99673306730245903</v>
      </c>
      <c r="C167">
        <v>0.81752698975126303</v>
      </c>
      <c r="D167">
        <v>0.76461559131785395</v>
      </c>
      <c r="E167">
        <v>0.847443864380094</v>
      </c>
      <c r="F167">
        <v>0.27044140260616201</v>
      </c>
      <c r="G167">
        <v>0.101578429035333</v>
      </c>
      <c r="H167">
        <v>5.7527362614131203E-2</v>
      </c>
      <c r="I167">
        <v>4.7875460432944598E-2</v>
      </c>
      <c r="J167">
        <v>5.6515047300818702E-2</v>
      </c>
      <c r="K167">
        <v>4.8878213724527497E-2</v>
      </c>
      <c r="L167">
        <v>1621.66565791941</v>
      </c>
      <c r="M167">
        <v>31.4775789492782</v>
      </c>
      <c r="N167">
        <v>51.682225950821802</v>
      </c>
      <c r="O167">
        <v>51.311547866451697</v>
      </c>
      <c r="P167">
        <v>-0.14607244641599301</v>
      </c>
      <c r="Q167">
        <v>4.7555678334107003E-2</v>
      </c>
      <c r="R167">
        <v>0.94214240434772001</v>
      </c>
      <c r="S167" t="s">
        <v>6619</v>
      </c>
      <c r="T167" t="s">
        <v>12902</v>
      </c>
      <c r="U167" t="s">
        <v>12902</v>
      </c>
      <c r="V167" t="s">
        <v>12902</v>
      </c>
      <c r="W167" t="s">
        <v>13068</v>
      </c>
      <c r="X167">
        <v>6</v>
      </c>
      <c r="Y167" t="s">
        <v>19462</v>
      </c>
      <c r="Z167" t="s">
        <v>25742</v>
      </c>
      <c r="AA167">
        <v>0.41872105032090562</v>
      </c>
      <c r="AB167" t="str">
        <f>HYPERLINK("Melting_Curves/meltCurve_B4DLR8_NQO1.pdf", "Melting_Curves/meltCurve_B4DLR8_NQO1.pdf")</f>
        <v>Melting_Curves/meltCurve_B4DLR8_NQO1.pdf</v>
      </c>
    </row>
    <row r="168" spans="1:28" x14ac:dyDescent="0.25">
      <c r="A168" t="s">
        <v>172</v>
      </c>
      <c r="B168">
        <v>0.99673306730245903</v>
      </c>
      <c r="C168">
        <v>0.91472833835357803</v>
      </c>
      <c r="D168">
        <v>0.66030536642745097</v>
      </c>
      <c r="E168">
        <v>0.43267293667864098</v>
      </c>
      <c r="F168">
        <v>0.142947043199007</v>
      </c>
      <c r="G168">
        <v>7.6913134517882106E-2</v>
      </c>
      <c r="H168">
        <v>4.3277876120865998E-2</v>
      </c>
      <c r="I168">
        <v>3.7809777034292898E-2</v>
      </c>
      <c r="J168">
        <v>2.6170154809899801E-2</v>
      </c>
      <c r="K168">
        <v>2.07967801344815E-2</v>
      </c>
      <c r="L168">
        <v>844.75081771609996</v>
      </c>
      <c r="M168">
        <v>17.536241428039201</v>
      </c>
      <c r="N168">
        <v>48.266247133597503</v>
      </c>
      <c r="O168">
        <v>47.5583841685864</v>
      </c>
      <c r="P168">
        <v>-9.0631489504274104E-2</v>
      </c>
      <c r="Q168">
        <v>1.6881351693508601E-2</v>
      </c>
      <c r="R168">
        <v>0.99584221083207303</v>
      </c>
      <c r="S168" t="s">
        <v>6620</v>
      </c>
      <c r="T168" t="s">
        <v>12902</v>
      </c>
      <c r="U168" t="s">
        <v>12902</v>
      </c>
      <c r="V168" t="s">
        <v>12902</v>
      </c>
      <c r="W168" t="s">
        <v>13069</v>
      </c>
      <c r="X168">
        <v>5</v>
      </c>
      <c r="Y168" t="s">
        <v>19463</v>
      </c>
      <c r="Z168" t="s">
        <v>25743</v>
      </c>
      <c r="AA168">
        <v>0.30299162972979199</v>
      </c>
      <c r="AB168" t="str">
        <f>HYPERLINK("Melting_Curves/meltCurve_B4DLT4_RPS6KB1.pdf", "Melting_Curves/meltCurve_B4DLT4_RPS6KB1.pdf")</f>
        <v>Melting_Curves/meltCurve_B4DLT4_RPS6KB1.pdf</v>
      </c>
    </row>
    <row r="169" spans="1:28" x14ac:dyDescent="0.25">
      <c r="A169" t="s">
        <v>173</v>
      </c>
      <c r="B169">
        <v>0.99673306730245903</v>
      </c>
      <c r="C169">
        <v>1.02172000624839</v>
      </c>
      <c r="D169">
        <v>0.902458851369352</v>
      </c>
      <c r="E169">
        <v>0.70942972563335205</v>
      </c>
      <c r="F169">
        <v>0.29956489796797198</v>
      </c>
      <c r="G169">
        <v>0.143799786836245</v>
      </c>
      <c r="H169">
        <v>0.101605188315659</v>
      </c>
      <c r="I169">
        <v>7.5504771856809802E-2</v>
      </c>
      <c r="J169">
        <v>4.4885468466254498E-2</v>
      </c>
      <c r="K169">
        <v>3.29487171787161E-2</v>
      </c>
      <c r="L169">
        <v>1201.1891917630401</v>
      </c>
      <c r="M169">
        <v>23.5114888566881</v>
      </c>
      <c r="N169">
        <v>51.340048339073597</v>
      </c>
      <c r="O169">
        <v>50.7241559290323</v>
      </c>
      <c r="P169">
        <v>-0.10959959668901</v>
      </c>
      <c r="Q169">
        <v>5.4206526459374002E-2</v>
      </c>
      <c r="R169">
        <v>0.99712659496145095</v>
      </c>
      <c r="S169" t="s">
        <v>6621</v>
      </c>
      <c r="T169" t="s">
        <v>12902</v>
      </c>
      <c r="U169" t="s">
        <v>12902</v>
      </c>
      <c r="V169" t="s">
        <v>12902</v>
      </c>
      <c r="W169" t="s">
        <v>13070</v>
      </c>
      <c r="X169">
        <v>5</v>
      </c>
      <c r="Y169" t="s">
        <v>19464</v>
      </c>
      <c r="Z169" t="s">
        <v>25744</v>
      </c>
      <c r="AA169">
        <v>0.41346010325455018</v>
      </c>
      <c r="AB169" t="str">
        <f>HYPERLINK("Melting_Curves/meltCurve_B4DLU3_PGS1.pdf", "Melting_Curves/meltCurve_B4DLU3_PGS1.pdf")</f>
        <v>Melting_Curves/meltCurve_B4DLU3_PGS1.pdf</v>
      </c>
    </row>
    <row r="170" spans="1:28" x14ac:dyDescent="0.25">
      <c r="A170" t="s">
        <v>174</v>
      </c>
      <c r="B170">
        <v>0.99673306730245903</v>
      </c>
      <c r="C170">
        <v>0.95107878747855801</v>
      </c>
      <c r="D170">
        <v>0.82125556789683696</v>
      </c>
      <c r="E170">
        <v>0.64592570787874604</v>
      </c>
      <c r="F170">
        <v>0.29523246668805297</v>
      </c>
      <c r="G170">
        <v>0.16734046217946</v>
      </c>
      <c r="H170">
        <v>9.9139868141216406E-2</v>
      </c>
      <c r="I170">
        <v>8.2104709614729696E-2</v>
      </c>
      <c r="J170">
        <v>9.1974249521791701E-2</v>
      </c>
      <c r="K170">
        <v>8.6088205551230798E-2</v>
      </c>
      <c r="L170">
        <v>925.89576471984503</v>
      </c>
      <c r="M170">
        <v>18.390508693657001</v>
      </c>
      <c r="N170">
        <v>50.761021692988002</v>
      </c>
      <c r="O170">
        <v>49.7624281298299</v>
      </c>
      <c r="P170">
        <v>-8.5952051663240894E-2</v>
      </c>
      <c r="Q170">
        <v>6.9740002192457004E-2</v>
      </c>
      <c r="R170">
        <v>0.99619405793013405</v>
      </c>
      <c r="S170" t="s">
        <v>6622</v>
      </c>
      <c r="T170" t="s">
        <v>12902</v>
      </c>
      <c r="U170" t="s">
        <v>12902</v>
      </c>
      <c r="V170" t="s">
        <v>12902</v>
      </c>
      <c r="W170" t="s">
        <v>13071</v>
      </c>
      <c r="X170">
        <v>3</v>
      </c>
      <c r="Y170" t="s">
        <v>19465</v>
      </c>
      <c r="Z170" t="s">
        <v>25745</v>
      </c>
      <c r="AA170">
        <v>0.40574096113520552</v>
      </c>
      <c r="AB170" t="str">
        <f>HYPERLINK("Melting_Curves/meltCurve_B4DLZ9_RNF220.pdf", "Melting_Curves/meltCurve_B4DLZ9_RNF220.pdf")</f>
        <v>Melting_Curves/meltCurve_B4DLZ9_RNF220.pdf</v>
      </c>
    </row>
    <row r="171" spans="1:28" x14ac:dyDescent="0.25">
      <c r="A171" t="s">
        <v>175</v>
      </c>
      <c r="B171">
        <v>0.99673306730245903</v>
      </c>
      <c r="C171">
        <v>0.91063185840977701</v>
      </c>
      <c r="D171">
        <v>0.87920430719767395</v>
      </c>
      <c r="E171">
        <v>0.50145275614687301</v>
      </c>
      <c r="F171">
        <v>0.15198606128974601</v>
      </c>
      <c r="G171">
        <v>9.0802590631038405E-2</v>
      </c>
      <c r="H171">
        <v>4.2224787869333799E-2</v>
      </c>
      <c r="I171">
        <v>3.84928766949496E-2</v>
      </c>
      <c r="J171">
        <v>4.49206840742708E-2</v>
      </c>
      <c r="K171">
        <v>4.1702555083415797E-2</v>
      </c>
      <c r="L171">
        <v>1235.1219586698301</v>
      </c>
      <c r="M171">
        <v>25.016348111845598</v>
      </c>
      <c r="N171">
        <v>49.532511786564598</v>
      </c>
      <c r="O171">
        <v>49.060359004381802</v>
      </c>
      <c r="P171">
        <v>-0.122533512973789</v>
      </c>
      <c r="Q171">
        <v>3.87956933834573E-2</v>
      </c>
      <c r="R171">
        <v>0.99623600176334204</v>
      </c>
      <c r="S171" t="s">
        <v>6623</v>
      </c>
      <c r="T171" t="s">
        <v>12902</v>
      </c>
      <c r="U171" t="s">
        <v>12902</v>
      </c>
      <c r="V171" t="s">
        <v>12902</v>
      </c>
      <c r="W171" t="s">
        <v>13072</v>
      </c>
      <c r="X171">
        <v>4</v>
      </c>
      <c r="Y171" t="s">
        <v>19466</v>
      </c>
      <c r="Z171" t="s">
        <v>25746</v>
      </c>
      <c r="AA171">
        <v>0.34762456879746878</v>
      </c>
      <c r="AB171" t="str">
        <f>HYPERLINK("Melting_Curves/meltCurve_B4DMU4_FAM45A.pdf", "Melting_Curves/meltCurve_B4DMU4_FAM45A.pdf")</f>
        <v>Melting_Curves/meltCurve_B4DMU4_FAM45A.pdf</v>
      </c>
    </row>
    <row r="172" spans="1:28" x14ac:dyDescent="0.25">
      <c r="A172" t="s">
        <v>176</v>
      </c>
      <c r="B172">
        <v>0.99673306730245903</v>
      </c>
      <c r="C172">
        <v>1.23826313017366</v>
      </c>
      <c r="D172">
        <v>0.40153851878018099</v>
      </c>
      <c r="E172">
        <v>0.43869380958837401</v>
      </c>
      <c r="F172">
        <v>0.16422485109048501</v>
      </c>
      <c r="G172">
        <v>0.104821626596918</v>
      </c>
      <c r="H172">
        <v>5.9612700749294902E-2</v>
      </c>
      <c r="I172">
        <v>6.1377970491314E-2</v>
      </c>
      <c r="J172">
        <v>5.80005056076505E-2</v>
      </c>
      <c r="K172">
        <v>5.3500927439548297E-2</v>
      </c>
      <c r="L172">
        <v>1105.67692041702</v>
      </c>
      <c r="M172">
        <v>23.5636362279987</v>
      </c>
      <c r="N172">
        <v>47.277026961159798</v>
      </c>
      <c r="O172">
        <v>46.588988595838998</v>
      </c>
      <c r="P172">
        <v>-0.116219786221072</v>
      </c>
      <c r="Q172">
        <v>8.0877007121858802E-2</v>
      </c>
      <c r="R172">
        <v>0.88098526677724098</v>
      </c>
      <c r="S172" t="s">
        <v>6624</v>
      </c>
      <c r="T172" t="s">
        <v>12902</v>
      </c>
      <c r="U172" t="s">
        <v>12902</v>
      </c>
      <c r="V172" t="s">
        <v>12902</v>
      </c>
      <c r="W172" t="s">
        <v>13073</v>
      </c>
      <c r="X172">
        <v>12</v>
      </c>
      <c r="Y172" t="s">
        <v>19467</v>
      </c>
      <c r="Z172" t="s">
        <v>25747</v>
      </c>
      <c r="AA172">
        <v>0.30235280303698908</v>
      </c>
      <c r="AB172" t="str">
        <f>HYPERLINK("Melting_Curves/meltCurve_B4DP21_PTGES3.pdf", "Melting_Curves/meltCurve_B4DP21_PTGES3.pdf")</f>
        <v>Melting_Curves/meltCurve_B4DP21_PTGES3.pdf</v>
      </c>
    </row>
    <row r="173" spans="1:28" x14ac:dyDescent="0.25">
      <c r="A173" t="s">
        <v>177</v>
      </c>
      <c r="B173">
        <v>0.99673306730245903</v>
      </c>
      <c r="C173">
        <v>0.892487393518686</v>
      </c>
      <c r="D173">
        <v>0.72254454000412904</v>
      </c>
      <c r="E173">
        <v>0.52185420939137706</v>
      </c>
      <c r="F173">
        <v>0.314751913385515</v>
      </c>
      <c r="G173">
        <v>0.20596452057259901</v>
      </c>
      <c r="H173">
        <v>0.14488467425785501</v>
      </c>
      <c r="I173">
        <v>0.165476005422105</v>
      </c>
      <c r="J173">
        <v>0.23075254084563401</v>
      </c>
      <c r="K173">
        <v>0.26301921503770498</v>
      </c>
      <c r="L173">
        <v>837.088477890523</v>
      </c>
      <c r="M173">
        <v>17.4305514329941</v>
      </c>
      <c r="N173">
        <v>49.3586917226826</v>
      </c>
      <c r="O173">
        <v>47.405479529035901</v>
      </c>
      <c r="P173">
        <v>-7.4655299093581706E-2</v>
      </c>
      <c r="Q173">
        <v>0.187892115147585</v>
      </c>
      <c r="R173">
        <v>0.98320571463296702</v>
      </c>
      <c r="S173" t="s">
        <v>6625</v>
      </c>
      <c r="T173" t="s">
        <v>12902</v>
      </c>
      <c r="U173" t="s">
        <v>12902</v>
      </c>
      <c r="V173" t="s">
        <v>12902</v>
      </c>
      <c r="W173" t="s">
        <v>13074</v>
      </c>
      <c r="X173">
        <v>7</v>
      </c>
      <c r="Y173" t="s">
        <v>19468</v>
      </c>
      <c r="Z173" t="s">
        <v>25748</v>
      </c>
      <c r="AA173">
        <v>0.42050324423371233</v>
      </c>
      <c r="AB173" t="str">
        <f>HYPERLINK("Melting_Curves/meltCurve_B4DPY8_TOX4.pdf", "Melting_Curves/meltCurve_B4DPY8_TOX4.pdf")</f>
        <v>Melting_Curves/meltCurve_B4DPY8_TOX4.pdf</v>
      </c>
    </row>
    <row r="174" spans="1:28" x14ac:dyDescent="0.25">
      <c r="A174" t="s">
        <v>178</v>
      </c>
      <c r="B174">
        <v>0.99673306730245903</v>
      </c>
      <c r="C174">
        <v>0.83211225290024105</v>
      </c>
      <c r="D174">
        <v>1.13748221883193</v>
      </c>
      <c r="E174">
        <v>1.1208412966166099</v>
      </c>
      <c r="F174">
        <v>0.67179874666861406</v>
      </c>
      <c r="G174">
        <v>0.155353076660803</v>
      </c>
      <c r="H174">
        <v>8.0891539167272306E-2</v>
      </c>
      <c r="I174">
        <v>6.5498823432366904E-2</v>
      </c>
      <c r="J174">
        <v>6.0570072016363601E-2</v>
      </c>
      <c r="K174">
        <v>5.2885598720487002E-2</v>
      </c>
      <c r="L174">
        <v>2826.9071326028002</v>
      </c>
      <c r="M174">
        <v>52.466847001980703</v>
      </c>
      <c r="N174">
        <v>54.034724208766903</v>
      </c>
      <c r="O174">
        <v>53.8017721703361</v>
      </c>
      <c r="P174">
        <v>-0.22678028916641599</v>
      </c>
      <c r="Q174">
        <v>6.9799426482997196E-2</v>
      </c>
      <c r="R174">
        <v>0.96802237363537202</v>
      </c>
      <c r="S174" t="s">
        <v>6626</v>
      </c>
      <c r="T174" t="s">
        <v>12902</v>
      </c>
      <c r="U174" t="s">
        <v>12902</v>
      </c>
      <c r="V174" t="s">
        <v>12902</v>
      </c>
      <c r="W174" t="s">
        <v>13075</v>
      </c>
      <c r="X174">
        <v>38</v>
      </c>
      <c r="Y174" t="s">
        <v>19469</v>
      </c>
      <c r="Z174" t="s">
        <v>25749</v>
      </c>
      <c r="AA174">
        <v>0.50217474932874562</v>
      </c>
      <c r="AB174" t="str">
        <f>HYPERLINK("Melting_Curves/meltCurve_B4DQJ8_PGD.pdf", "Melting_Curves/meltCurve_B4DQJ8_PGD.pdf")</f>
        <v>Melting_Curves/meltCurve_B4DQJ8_PGD.pdf</v>
      </c>
    </row>
    <row r="175" spans="1:28" x14ac:dyDescent="0.25">
      <c r="A175" t="s">
        <v>179</v>
      </c>
      <c r="B175">
        <v>0.99673306730245903</v>
      </c>
      <c r="C175">
        <v>0.87881099478509095</v>
      </c>
      <c r="D175">
        <v>0.91747682179588397</v>
      </c>
      <c r="E175">
        <v>0.84207967661462302</v>
      </c>
      <c r="F175">
        <v>0.30910520070895098</v>
      </c>
      <c r="G175">
        <v>0.222974970009126</v>
      </c>
      <c r="H175">
        <v>0.10566030683852599</v>
      </c>
      <c r="I175">
        <v>9.1896721749487195E-2</v>
      </c>
      <c r="J175">
        <v>0.14388167404671601</v>
      </c>
      <c r="K175">
        <v>0.139683875557402</v>
      </c>
      <c r="L175">
        <v>1833.8554959866001</v>
      </c>
      <c r="M175">
        <v>35.644299904020997</v>
      </c>
      <c r="N175">
        <v>51.888457991213897</v>
      </c>
      <c r="O175">
        <v>51.287640456571303</v>
      </c>
      <c r="P175">
        <v>-0.15109983527140999</v>
      </c>
      <c r="Q175">
        <v>0.13034862668164099</v>
      </c>
      <c r="R175">
        <v>0.97991519947639905</v>
      </c>
      <c r="S175" t="s">
        <v>6627</v>
      </c>
      <c r="T175" t="s">
        <v>12902</v>
      </c>
      <c r="U175" t="s">
        <v>12902</v>
      </c>
      <c r="V175" t="s">
        <v>12902</v>
      </c>
      <c r="W175" t="s">
        <v>13076</v>
      </c>
      <c r="X175">
        <v>1</v>
      </c>
      <c r="Y175" t="s">
        <v>19470</v>
      </c>
      <c r="Z175" t="s">
        <v>25750</v>
      </c>
      <c r="AA175">
        <v>0.46612919986829748</v>
      </c>
      <c r="AB175" t="str">
        <f>HYPERLINK("Melting_Curves/meltCurve_B4DQT1_MAEA.pdf", "Melting_Curves/meltCurve_B4DQT1_MAEA.pdf")</f>
        <v>Melting_Curves/meltCurve_B4DQT1_MAEA.pdf</v>
      </c>
    </row>
    <row r="176" spans="1:28" x14ac:dyDescent="0.25">
      <c r="A176" t="s">
        <v>180</v>
      </c>
      <c r="B176">
        <v>0.99673306730245903</v>
      </c>
      <c r="C176">
        <v>0.97651958256349802</v>
      </c>
      <c r="D176">
        <v>0.91767544632819698</v>
      </c>
      <c r="E176">
        <v>0.78515934678815003</v>
      </c>
      <c r="F176">
        <v>0.72850173481619995</v>
      </c>
      <c r="G176">
        <v>0.73861979861877503</v>
      </c>
      <c r="H176">
        <v>0.82237328414839606</v>
      </c>
      <c r="I176">
        <v>0.76254362643514795</v>
      </c>
      <c r="J176">
        <v>0.86405261912212505</v>
      </c>
      <c r="K176">
        <v>0.73283427168654702</v>
      </c>
      <c r="L176">
        <v>2121.98183964177</v>
      </c>
      <c r="M176">
        <v>45.628517994689297</v>
      </c>
      <c r="O176">
        <v>46.416540767243703</v>
      </c>
      <c r="P176">
        <v>-5.5407031255242899E-2</v>
      </c>
      <c r="Q176">
        <v>0.77454454559279295</v>
      </c>
      <c r="R176">
        <v>0.82714720848410395</v>
      </c>
      <c r="S176" t="s">
        <v>6628</v>
      </c>
      <c r="T176" t="s">
        <v>12902</v>
      </c>
      <c r="U176" t="s">
        <v>12902</v>
      </c>
      <c r="V176" t="s">
        <v>12902</v>
      </c>
      <c r="W176" t="s">
        <v>13077</v>
      </c>
      <c r="X176">
        <v>9</v>
      </c>
      <c r="Y176" t="s">
        <v>19471</v>
      </c>
      <c r="Z176" t="s">
        <v>25751</v>
      </c>
      <c r="AA176">
        <v>0.82399460678115821</v>
      </c>
      <c r="AB176" t="str">
        <f>HYPERLINK("Melting_Curves/meltCurve_B4DR52_HIST2H2BF.pdf", "Melting_Curves/meltCurve_B4DR52_HIST2H2BF.pdf")</f>
        <v>Melting_Curves/meltCurve_B4DR52_HIST2H2BF.pdf</v>
      </c>
    </row>
    <row r="177" spans="1:28" x14ac:dyDescent="0.25">
      <c r="A177" t="s">
        <v>181</v>
      </c>
      <c r="B177">
        <v>0.99673306730245903</v>
      </c>
      <c r="C177">
        <v>0.96929082100775399</v>
      </c>
      <c r="D177">
        <v>0.93736621785743701</v>
      </c>
      <c r="E177">
        <v>0.87576064372108398</v>
      </c>
      <c r="F177">
        <v>0.76094897124330896</v>
      </c>
      <c r="G177">
        <v>0.70017046770160396</v>
      </c>
      <c r="H177">
        <v>0.57528721937404004</v>
      </c>
      <c r="I177">
        <v>0.71554194176709396</v>
      </c>
      <c r="J177">
        <v>0.56515276476267096</v>
      </c>
      <c r="K177">
        <v>0.38437720893511801</v>
      </c>
      <c r="L177">
        <v>341.824375967317</v>
      </c>
      <c r="M177">
        <v>5.0206670067852501</v>
      </c>
      <c r="N177">
        <v>68.083465073408206</v>
      </c>
      <c r="O177">
        <v>59.478594068899099</v>
      </c>
      <c r="P177">
        <v>-2.1230333745240498E-2</v>
      </c>
      <c r="Q177">
        <v>0</v>
      </c>
      <c r="R177">
        <v>0.89918288152179504</v>
      </c>
      <c r="S177" t="s">
        <v>6629</v>
      </c>
      <c r="T177" t="s">
        <v>12902</v>
      </c>
      <c r="U177" t="s">
        <v>12902</v>
      </c>
      <c r="V177" t="s">
        <v>12902</v>
      </c>
      <c r="W177" t="s">
        <v>13078</v>
      </c>
      <c r="X177">
        <v>11</v>
      </c>
      <c r="Y177" t="s">
        <v>19472</v>
      </c>
      <c r="Z177" t="s">
        <v>25752</v>
      </c>
      <c r="AA177">
        <v>0.75039179697839675</v>
      </c>
      <c r="AB177" t="str">
        <f>HYPERLINK("Melting_Curves/meltCurve_B4DR61_SEC61A1.pdf", "Melting_Curves/meltCurve_B4DR61_SEC61A1.pdf")</f>
        <v>Melting_Curves/meltCurve_B4DR61_SEC61A1.pdf</v>
      </c>
    </row>
    <row r="178" spans="1:28" x14ac:dyDescent="0.25">
      <c r="A178" t="s">
        <v>182</v>
      </c>
      <c r="B178">
        <v>0.99673306730245903</v>
      </c>
      <c r="C178">
        <v>1.0156683718894</v>
      </c>
      <c r="D178">
        <v>1.0185905400204001</v>
      </c>
      <c r="E178">
        <v>0.98695945156047404</v>
      </c>
      <c r="F178">
        <v>0.645500125423208</v>
      </c>
      <c r="G178">
        <v>0.212611544059956</v>
      </c>
      <c r="H178">
        <v>9.7818700453606106E-2</v>
      </c>
      <c r="I178">
        <v>8.1133713171585006E-2</v>
      </c>
      <c r="J178">
        <v>7.7044946178794496E-2</v>
      </c>
      <c r="K178">
        <v>6.2396352482156199E-2</v>
      </c>
      <c r="L178">
        <v>1956.2680158517901</v>
      </c>
      <c r="M178">
        <v>36.258690405877402</v>
      </c>
      <c r="N178">
        <v>54.198873091919197</v>
      </c>
      <c r="O178">
        <v>53.789759173802203</v>
      </c>
      <c r="P178">
        <v>-0.155744487882541</v>
      </c>
      <c r="Q178">
        <v>7.5815281731384895E-2</v>
      </c>
      <c r="R178">
        <v>0.99912184510780799</v>
      </c>
      <c r="S178" t="s">
        <v>6630</v>
      </c>
      <c r="T178" t="s">
        <v>12902</v>
      </c>
      <c r="U178" t="s">
        <v>12902</v>
      </c>
      <c r="V178" t="s">
        <v>12902</v>
      </c>
      <c r="W178" t="s">
        <v>13079</v>
      </c>
      <c r="X178">
        <v>5</v>
      </c>
      <c r="Y178" t="s">
        <v>19473</v>
      </c>
      <c r="Z178" t="s">
        <v>25753</v>
      </c>
      <c r="AA178">
        <v>0.50983963971705104</v>
      </c>
      <c r="AB178" t="str">
        <f>HYPERLINK("Melting_Curves/meltCurve_B4DRL9_CHM.pdf", "Melting_Curves/meltCurve_B4DRL9_CHM.pdf")</f>
        <v>Melting_Curves/meltCurve_B4DRL9_CHM.pdf</v>
      </c>
    </row>
    <row r="179" spans="1:28" x14ac:dyDescent="0.25">
      <c r="A179" t="s">
        <v>183</v>
      </c>
      <c r="B179">
        <v>0.99673306730245903</v>
      </c>
      <c r="C179">
        <v>0.90511512541050698</v>
      </c>
      <c r="D179">
        <v>0.818161919443954</v>
      </c>
      <c r="E179">
        <v>0.70159077879769205</v>
      </c>
      <c r="F179">
        <v>0.60874087494432605</v>
      </c>
      <c r="G179">
        <v>0.46844821631303601</v>
      </c>
      <c r="H179">
        <v>0.33531382273104099</v>
      </c>
      <c r="I179">
        <v>0.31559359760372302</v>
      </c>
      <c r="J179">
        <v>0.19775642780351599</v>
      </c>
      <c r="K179">
        <v>0.15119666310013199</v>
      </c>
      <c r="L179">
        <v>428.315204739347</v>
      </c>
      <c r="M179">
        <v>7.6798692696851196</v>
      </c>
      <c r="N179">
        <v>55.771158291643403</v>
      </c>
      <c r="O179">
        <v>52.367449114551299</v>
      </c>
      <c r="P179">
        <v>-3.6711660781247803E-2</v>
      </c>
      <c r="Q179">
        <v>0</v>
      </c>
      <c r="R179">
        <v>0.99291644976941396</v>
      </c>
      <c r="S179" t="s">
        <v>6631</v>
      </c>
      <c r="T179" t="s">
        <v>12902</v>
      </c>
      <c r="U179" t="s">
        <v>12902</v>
      </c>
      <c r="V179" t="s">
        <v>12902</v>
      </c>
      <c r="W179" t="s">
        <v>13080</v>
      </c>
      <c r="X179">
        <v>5</v>
      </c>
      <c r="Y179" t="s">
        <v>19474</v>
      </c>
      <c r="Z179" t="s">
        <v>25754</v>
      </c>
      <c r="AA179">
        <v>0.54686918346249958</v>
      </c>
      <c r="AB179" t="str">
        <f>HYPERLINK("Melting_Curves/meltCurve_B4DRN8_ZDHHC20.pdf", "Melting_Curves/meltCurve_B4DRN8_ZDHHC20.pdf")</f>
        <v>Melting_Curves/meltCurve_B4DRN8_ZDHHC20.pdf</v>
      </c>
    </row>
    <row r="180" spans="1:28" x14ac:dyDescent="0.25">
      <c r="A180" t="s">
        <v>184</v>
      </c>
      <c r="B180">
        <v>0.99673306730245903</v>
      </c>
      <c r="C180">
        <v>0.99111968058343602</v>
      </c>
      <c r="D180">
        <v>1.1293826298486001</v>
      </c>
      <c r="E180">
        <v>0.95005775116526403</v>
      </c>
      <c r="F180">
        <v>0.757141821422749</v>
      </c>
      <c r="G180">
        <v>0.54585328736464001</v>
      </c>
      <c r="H180">
        <v>0.400538311623992</v>
      </c>
      <c r="I180">
        <v>0.351422413461216</v>
      </c>
      <c r="J180">
        <v>0.21383766002955601</v>
      </c>
      <c r="K180">
        <v>0.12180301356437</v>
      </c>
      <c r="L180">
        <v>847.79550627725303</v>
      </c>
      <c r="M180">
        <v>14.7835689119193</v>
      </c>
      <c r="N180">
        <v>58.434719453471502</v>
      </c>
      <c r="O180">
        <v>56.328504338892799</v>
      </c>
      <c r="P180">
        <v>-5.7728042941598598E-2</v>
      </c>
      <c r="Q180">
        <v>0.120270181752308</v>
      </c>
      <c r="R180">
        <v>0.97000832569675899</v>
      </c>
      <c r="S180" t="s">
        <v>6632</v>
      </c>
      <c r="T180" t="s">
        <v>12902</v>
      </c>
      <c r="U180" t="s">
        <v>12902</v>
      </c>
      <c r="V180" t="s">
        <v>12902</v>
      </c>
      <c r="W180" t="s">
        <v>13081</v>
      </c>
      <c r="X180">
        <v>2</v>
      </c>
      <c r="Y180" t="s">
        <v>19475</v>
      </c>
      <c r="Z180" t="s">
        <v>25755</v>
      </c>
      <c r="AA180">
        <v>0.64228495695357879</v>
      </c>
      <c r="AB180" t="str">
        <f>HYPERLINK("Melting_Curves/meltCurve_B4DRS7_SH2D3A.pdf", "Melting_Curves/meltCurve_B4DRS7_SH2D3A.pdf")</f>
        <v>Melting_Curves/meltCurve_B4DRS7_SH2D3A.pdf</v>
      </c>
    </row>
    <row r="181" spans="1:28" x14ac:dyDescent="0.25">
      <c r="A181" t="s">
        <v>185</v>
      </c>
      <c r="B181">
        <v>0.99673306730245903</v>
      </c>
      <c r="C181">
        <v>0.87380475067347796</v>
      </c>
      <c r="D181">
        <v>0.88491578382395097</v>
      </c>
      <c r="E181">
        <v>0.87642110324086198</v>
      </c>
      <c r="F181">
        <v>0.41809843134975899</v>
      </c>
      <c r="G181">
        <v>0.17458566036644199</v>
      </c>
      <c r="H181">
        <v>0.11451028214735</v>
      </c>
      <c r="I181">
        <v>0.113385737464526</v>
      </c>
      <c r="J181">
        <v>9.6888868396728195E-2</v>
      </c>
      <c r="K181">
        <v>0.12849312012209399</v>
      </c>
      <c r="L181">
        <v>1603.18051260528</v>
      </c>
      <c r="M181">
        <v>30.726546339297901</v>
      </c>
      <c r="N181">
        <v>52.594432255077002</v>
      </c>
      <c r="O181">
        <v>51.956239588628399</v>
      </c>
      <c r="P181">
        <v>-0.13180859375540199</v>
      </c>
      <c r="Q181">
        <v>0.108492272218404</v>
      </c>
      <c r="R181">
        <v>0.980262527430661</v>
      </c>
      <c r="S181" t="s">
        <v>6633</v>
      </c>
      <c r="T181" t="s">
        <v>12902</v>
      </c>
      <c r="U181" t="s">
        <v>12902</v>
      </c>
      <c r="V181" t="s">
        <v>12902</v>
      </c>
      <c r="W181" t="s">
        <v>13082</v>
      </c>
      <c r="X181">
        <v>2</v>
      </c>
      <c r="Y181" t="s">
        <v>19476</v>
      </c>
      <c r="Z181" t="s">
        <v>25756</v>
      </c>
      <c r="AA181">
        <v>0.47576518963723502</v>
      </c>
      <c r="AB181" t="str">
        <f>HYPERLINK("Melting_Curves/meltCurve_B4DSD4_C9orf41.pdf", "Melting_Curves/meltCurve_B4DSD4_C9orf41.pdf")</f>
        <v>Melting_Curves/meltCurve_B4DSD4_C9orf41.pdf</v>
      </c>
    </row>
    <row r="182" spans="1:28" x14ac:dyDescent="0.25">
      <c r="A182" t="s">
        <v>186</v>
      </c>
      <c r="B182">
        <v>0.99673306730245903</v>
      </c>
      <c r="C182">
        <v>0.84680193113669999</v>
      </c>
      <c r="D182">
        <v>0.59407626372797895</v>
      </c>
      <c r="E182">
        <v>0.22313833713900399</v>
      </c>
      <c r="F182">
        <v>0.15603339782700901</v>
      </c>
      <c r="G182">
        <v>9.5420220236791795E-2</v>
      </c>
      <c r="H182">
        <v>6.3454215715943701E-2</v>
      </c>
      <c r="I182">
        <v>4.4263176203937202E-2</v>
      </c>
      <c r="J182">
        <v>3.1550260648281203E-2</v>
      </c>
      <c r="K182">
        <v>2.4387326159734001E-2</v>
      </c>
      <c r="L182">
        <v>954.47946007271298</v>
      </c>
      <c r="M182">
        <v>20.506363213502301</v>
      </c>
      <c r="N182">
        <v>46.772997002036</v>
      </c>
      <c r="O182">
        <v>46.109667141836702</v>
      </c>
      <c r="P182">
        <v>-0.105909124234342</v>
      </c>
      <c r="Q182">
        <v>4.7458500444772699E-2</v>
      </c>
      <c r="R182">
        <v>0.99538489175011402</v>
      </c>
      <c r="S182" t="s">
        <v>6634</v>
      </c>
      <c r="T182" t="s">
        <v>12902</v>
      </c>
      <c r="U182" t="s">
        <v>12902</v>
      </c>
      <c r="V182" t="s">
        <v>12902</v>
      </c>
      <c r="W182" t="s">
        <v>13083</v>
      </c>
      <c r="X182">
        <v>7</v>
      </c>
      <c r="Y182" t="s">
        <v>19477</v>
      </c>
      <c r="Z182" t="s">
        <v>25757</v>
      </c>
      <c r="AA182">
        <v>0.26874907388571512</v>
      </c>
      <c r="AB182" t="str">
        <f>HYPERLINK("Melting_Curves/meltCurve_B4DSS8_PTBP2.pdf", "Melting_Curves/meltCurve_B4DSS8_PTBP2.pdf")</f>
        <v>Melting_Curves/meltCurve_B4DSS8_PTBP2.pdf</v>
      </c>
    </row>
    <row r="183" spans="1:28" x14ac:dyDescent="0.25">
      <c r="A183" t="s">
        <v>187</v>
      </c>
      <c r="B183">
        <v>0.99673306730245903</v>
      </c>
      <c r="C183">
        <v>0.99983061991074496</v>
      </c>
      <c r="D183">
        <v>0.84101924673900696</v>
      </c>
      <c r="E183">
        <v>0.84617209175955399</v>
      </c>
      <c r="F183">
        <v>0.22857911026546501</v>
      </c>
      <c r="G183">
        <v>0.148216737296408</v>
      </c>
      <c r="H183">
        <v>8.8183171644430694E-2</v>
      </c>
      <c r="I183">
        <v>8.0875955404856703E-2</v>
      </c>
      <c r="J183">
        <v>9.5461989579570805E-2</v>
      </c>
      <c r="K183">
        <v>7.5973335483919005E-2</v>
      </c>
      <c r="L183">
        <v>2242.93297675555</v>
      </c>
      <c r="M183">
        <v>43.763433892684297</v>
      </c>
      <c r="N183">
        <v>51.492511297848097</v>
      </c>
      <c r="O183">
        <v>51.144642817365003</v>
      </c>
      <c r="P183">
        <v>-0.194093155198173</v>
      </c>
      <c r="Q183">
        <v>9.2684627344989098E-2</v>
      </c>
      <c r="R183">
        <v>0.98340464746332401</v>
      </c>
      <c r="S183" t="s">
        <v>6635</v>
      </c>
      <c r="T183" t="s">
        <v>12902</v>
      </c>
      <c r="U183" t="s">
        <v>12902</v>
      </c>
      <c r="V183" t="s">
        <v>12902</v>
      </c>
      <c r="W183" t="s">
        <v>13084</v>
      </c>
      <c r="X183">
        <v>31</v>
      </c>
      <c r="Y183" t="s">
        <v>19478</v>
      </c>
      <c r="Z183" t="s">
        <v>25758</v>
      </c>
      <c r="AA183">
        <v>0.43564887773885208</v>
      </c>
      <c r="AB183" t="str">
        <f>HYPERLINK("Melting_Curves/meltCurve_B4DT77_ANXA7.pdf", "Melting_Curves/meltCurve_B4DT77_ANXA7.pdf")</f>
        <v>Melting_Curves/meltCurve_B4DT77_ANXA7.pdf</v>
      </c>
    </row>
    <row r="184" spans="1:28" x14ac:dyDescent="0.25">
      <c r="A184" t="s">
        <v>188</v>
      </c>
      <c r="B184">
        <v>0.99673306730245903</v>
      </c>
      <c r="C184">
        <v>0.93109707980241696</v>
      </c>
      <c r="D184">
        <v>0.88872643850830901</v>
      </c>
      <c r="E184">
        <v>0.753977117903598</v>
      </c>
      <c r="F184">
        <v>0.61013599512237904</v>
      </c>
      <c r="G184">
        <v>0.38961422694630299</v>
      </c>
      <c r="H184">
        <v>0.12915655391311701</v>
      </c>
      <c r="I184">
        <v>9.2554552592452502E-2</v>
      </c>
      <c r="J184">
        <v>0.102324782333758</v>
      </c>
      <c r="K184">
        <v>9.59671201754764E-2</v>
      </c>
      <c r="L184">
        <v>712.966470252259</v>
      </c>
      <c r="M184">
        <v>13.155378768839901</v>
      </c>
      <c r="N184">
        <v>54.2710793092388</v>
      </c>
      <c r="O184">
        <v>52.989416274149399</v>
      </c>
      <c r="P184">
        <v>-6.1515419273551697E-2</v>
      </c>
      <c r="Q184">
        <v>9.0393603020938393E-3</v>
      </c>
      <c r="R184">
        <v>0.98955508404340997</v>
      </c>
      <c r="S184" t="s">
        <v>6636</v>
      </c>
      <c r="T184" t="s">
        <v>12902</v>
      </c>
      <c r="U184" t="s">
        <v>12902</v>
      </c>
      <c r="V184" t="s">
        <v>12902</v>
      </c>
      <c r="W184" t="s">
        <v>13085</v>
      </c>
      <c r="X184">
        <v>3</v>
      </c>
      <c r="Y184" t="s">
        <v>19479</v>
      </c>
      <c r="Z184" t="s">
        <v>25759</v>
      </c>
      <c r="AA184">
        <v>0.5012273507405558</v>
      </c>
      <c r="AB184" t="str">
        <f>HYPERLINK("Melting_Curves/meltCurve_B4DTA3_SLC25A46.pdf", "Melting_Curves/meltCurve_B4DTA3_SLC25A46.pdf")</f>
        <v>Melting_Curves/meltCurve_B4DTA3_SLC25A46.pdf</v>
      </c>
    </row>
    <row r="185" spans="1:28" x14ac:dyDescent="0.25">
      <c r="A185" t="s">
        <v>189</v>
      </c>
      <c r="B185">
        <v>0.99673306730245903</v>
      </c>
      <c r="C185">
        <v>0.96369557059593802</v>
      </c>
      <c r="D185">
        <v>0.88627293644532501</v>
      </c>
      <c r="E185">
        <v>0.79901102709592198</v>
      </c>
      <c r="F185">
        <v>0.64901202263524005</v>
      </c>
      <c r="G185">
        <v>0.65575600114676702</v>
      </c>
      <c r="H185">
        <v>0.36502119715975001</v>
      </c>
      <c r="I185">
        <v>0.39498431487410901</v>
      </c>
      <c r="J185">
        <v>0.36868421954749597</v>
      </c>
      <c r="K185">
        <v>0.30645605137416998</v>
      </c>
      <c r="L185">
        <v>522.35602610266699</v>
      </c>
      <c r="M185">
        <v>9.4368505794034796</v>
      </c>
      <c r="N185">
        <v>58.892156453322102</v>
      </c>
      <c r="O185">
        <v>53.037960939021801</v>
      </c>
      <c r="P185">
        <v>-3.4875614148714103E-2</v>
      </c>
      <c r="Q185">
        <v>0.21642928711005499</v>
      </c>
      <c r="R185">
        <v>0.97035645359995404</v>
      </c>
      <c r="S185" t="s">
        <v>6637</v>
      </c>
      <c r="T185" t="s">
        <v>12902</v>
      </c>
      <c r="U185" t="s">
        <v>12902</v>
      </c>
      <c r="V185" t="s">
        <v>12902</v>
      </c>
      <c r="W185" t="s">
        <v>13086</v>
      </c>
      <c r="X185">
        <v>1</v>
      </c>
      <c r="Y185" t="s">
        <v>19480</v>
      </c>
      <c r="Z185" t="s">
        <v>25760</v>
      </c>
      <c r="AA185">
        <v>0.63666059033693734</v>
      </c>
      <c r="AB185" t="str">
        <f>HYPERLINK("Melting_Curves/meltCurve_B4DUB9_SLC35F2.pdf", "Melting_Curves/meltCurve_B4DUB9_SLC35F2.pdf")</f>
        <v>Melting_Curves/meltCurve_B4DUB9_SLC35F2.pdf</v>
      </c>
    </row>
    <row r="186" spans="1:28" x14ac:dyDescent="0.25">
      <c r="A186" t="s">
        <v>190</v>
      </c>
      <c r="B186">
        <v>0.99673306730245903</v>
      </c>
      <c r="C186">
        <v>1.02671113682967</v>
      </c>
      <c r="D186">
        <v>0.90114754542026798</v>
      </c>
      <c r="E186">
        <v>0.72724166014325198</v>
      </c>
      <c r="F186">
        <v>0.56415248089835601</v>
      </c>
      <c r="G186">
        <v>0.12499074836723401</v>
      </c>
      <c r="H186">
        <v>5.6602811402683001E-2</v>
      </c>
      <c r="I186">
        <v>3.9832214722104603E-2</v>
      </c>
      <c r="J186">
        <v>1.81425378694338E-2</v>
      </c>
      <c r="K186">
        <v>1.58696298403995E-2</v>
      </c>
      <c r="L186">
        <v>1023.07235063067</v>
      </c>
      <c r="M186">
        <v>19.368537437329799</v>
      </c>
      <c r="N186">
        <v>52.821362392710199</v>
      </c>
      <c r="O186">
        <v>52.267948145522197</v>
      </c>
      <c r="P186">
        <v>-9.2644035477381495E-2</v>
      </c>
      <c r="Q186">
        <v>0</v>
      </c>
      <c r="R186">
        <v>0.98692868485773599</v>
      </c>
      <c r="S186" t="s">
        <v>6638</v>
      </c>
      <c r="T186" t="s">
        <v>12902</v>
      </c>
      <c r="U186" t="s">
        <v>12902</v>
      </c>
      <c r="V186" t="s">
        <v>12902</v>
      </c>
      <c r="W186" t="s">
        <v>13087</v>
      </c>
      <c r="X186">
        <v>1</v>
      </c>
      <c r="Y186" t="s">
        <v>19481</v>
      </c>
      <c r="Z186" t="s">
        <v>25761</v>
      </c>
      <c r="AA186">
        <v>0.44192786464303868</v>
      </c>
      <c r="AB186" t="str">
        <f>HYPERLINK("Melting_Curves/meltCurve_B4DUE3_MYLK.pdf", "Melting_Curves/meltCurve_B4DUE3_MYLK.pdf")</f>
        <v>Melting_Curves/meltCurve_B4DUE3_MYLK.pdf</v>
      </c>
    </row>
    <row r="187" spans="1:28" x14ac:dyDescent="0.25">
      <c r="A187" t="s">
        <v>191</v>
      </c>
      <c r="B187">
        <v>0.99673306730245903</v>
      </c>
      <c r="C187">
        <v>0.93490301310324098</v>
      </c>
      <c r="D187">
        <v>0.90195720130963397</v>
      </c>
      <c r="E187">
        <v>0.75292143047149196</v>
      </c>
      <c r="F187">
        <v>0.56232815127475899</v>
      </c>
      <c r="G187">
        <v>0.53109535371130501</v>
      </c>
      <c r="H187">
        <v>0.432072606757259</v>
      </c>
      <c r="I187">
        <v>0.52986114186844402</v>
      </c>
      <c r="J187">
        <v>0.46139324951301602</v>
      </c>
      <c r="K187">
        <v>0.466272894312803</v>
      </c>
      <c r="L187">
        <v>909.81852242836703</v>
      </c>
      <c r="M187">
        <v>18.336202990727099</v>
      </c>
      <c r="N187">
        <v>58.116542534436199</v>
      </c>
      <c r="O187">
        <v>49.039800772458598</v>
      </c>
      <c r="P187">
        <v>-4.9941210902341097E-2</v>
      </c>
      <c r="Q187">
        <v>0.46575725753299801</v>
      </c>
      <c r="R187">
        <v>0.980354510552226</v>
      </c>
      <c r="S187" t="s">
        <v>6639</v>
      </c>
      <c r="T187" t="s">
        <v>12902</v>
      </c>
      <c r="U187" t="s">
        <v>12902</v>
      </c>
      <c r="V187" t="s">
        <v>12902</v>
      </c>
      <c r="W187" t="s">
        <v>13088</v>
      </c>
      <c r="X187">
        <v>1</v>
      </c>
      <c r="Y187" t="s">
        <v>19482</v>
      </c>
      <c r="Z187" t="s">
        <v>25762</v>
      </c>
      <c r="AA187">
        <v>0.64588387183391283</v>
      </c>
      <c r="AB187" t="str">
        <f>HYPERLINK("Melting_Curves/meltCurve_B4DUE9_SERINC3.pdf", "Melting_Curves/meltCurve_B4DUE9_SERINC3.pdf")</f>
        <v>Melting_Curves/meltCurve_B4DUE9_SERINC3.pdf</v>
      </c>
    </row>
    <row r="188" spans="1:28" x14ac:dyDescent="0.25">
      <c r="A188" t="s">
        <v>192</v>
      </c>
      <c r="B188">
        <v>0.99673306730245903</v>
      </c>
      <c r="C188">
        <v>1.01557115963935</v>
      </c>
      <c r="D188">
        <v>0.81240370283990304</v>
      </c>
      <c r="E188">
        <v>0.64733271597310704</v>
      </c>
      <c r="F188">
        <v>0.18300000777918099</v>
      </c>
      <c r="G188">
        <v>0.130254377428702</v>
      </c>
      <c r="H188">
        <v>8.2422161516541997E-2</v>
      </c>
      <c r="I188">
        <v>8.4944887346938905E-2</v>
      </c>
      <c r="J188">
        <v>9.24219468613246E-2</v>
      </c>
      <c r="K188">
        <v>8.1012780518111296E-2</v>
      </c>
      <c r="L188">
        <v>1224.38586931025</v>
      </c>
      <c r="M188">
        <v>24.5049173211119</v>
      </c>
      <c r="N188">
        <v>50.3006254735349</v>
      </c>
      <c r="O188">
        <v>49.63572921878</v>
      </c>
      <c r="P188">
        <v>-0.11411452172006301</v>
      </c>
      <c r="Q188">
        <v>7.5438669612406195E-2</v>
      </c>
      <c r="R188">
        <v>0.98809787789988401</v>
      </c>
      <c r="S188" t="s">
        <v>6640</v>
      </c>
      <c r="T188" t="s">
        <v>12902</v>
      </c>
      <c r="U188" t="s">
        <v>12902</v>
      </c>
      <c r="V188" t="s">
        <v>12902</v>
      </c>
      <c r="W188" t="s">
        <v>13084</v>
      </c>
      <c r="X188">
        <v>36</v>
      </c>
      <c r="Y188" t="s">
        <v>19483</v>
      </c>
      <c r="Z188" t="s">
        <v>25763</v>
      </c>
      <c r="AA188">
        <v>0.39114381363815531</v>
      </c>
      <c r="AB188" t="str">
        <f>HYPERLINK("Melting_Curves/meltCurve_B4DVE7_ANXA11.pdf", "Melting_Curves/meltCurve_B4DVE7_ANXA11.pdf")</f>
        <v>Melting_Curves/meltCurve_B4DVE7_ANXA11.pdf</v>
      </c>
    </row>
    <row r="189" spans="1:28" x14ac:dyDescent="0.25">
      <c r="A189" t="s">
        <v>193</v>
      </c>
      <c r="B189">
        <v>0.99673306730245903</v>
      </c>
      <c r="C189">
        <v>0.93304032759042099</v>
      </c>
      <c r="D189">
        <v>0.83650866279317304</v>
      </c>
      <c r="E189">
        <v>0.27062798559003998</v>
      </c>
      <c r="F189">
        <v>0.16392771181773999</v>
      </c>
      <c r="G189">
        <v>9.2017978721007601E-2</v>
      </c>
      <c r="H189">
        <v>6.32936091709254E-2</v>
      </c>
      <c r="I189">
        <v>5.3226220194975603E-2</v>
      </c>
      <c r="J189">
        <v>6.5335535529787797E-2</v>
      </c>
      <c r="K189">
        <v>7.6909927041035497E-2</v>
      </c>
      <c r="L189">
        <v>1621.50659634419</v>
      </c>
      <c r="M189">
        <v>33.866862291618098</v>
      </c>
      <c r="N189">
        <v>48.116527737453801</v>
      </c>
      <c r="O189">
        <v>47.712845821004997</v>
      </c>
      <c r="P189">
        <v>-0.16378463446806199</v>
      </c>
      <c r="Q189">
        <v>7.7021174436852205E-2</v>
      </c>
      <c r="R189">
        <v>0.99459348554520399</v>
      </c>
      <c r="S189" t="s">
        <v>6641</v>
      </c>
      <c r="T189" t="s">
        <v>12902</v>
      </c>
      <c r="U189" t="s">
        <v>12902</v>
      </c>
      <c r="V189" t="s">
        <v>12902</v>
      </c>
      <c r="W189" t="s">
        <v>13089</v>
      </c>
      <c r="X189">
        <v>15</v>
      </c>
      <c r="Y189" t="s">
        <v>19484</v>
      </c>
      <c r="Z189" t="s">
        <v>25764</v>
      </c>
      <c r="AA189">
        <v>0.3237336237279092</v>
      </c>
      <c r="AB189" t="str">
        <f>HYPERLINK("Melting_Curves/meltCurve_B4DVY1_EIF3D.pdf", "Melting_Curves/meltCurve_B4DVY1_EIF3D.pdf")</f>
        <v>Melting_Curves/meltCurve_B4DVY1_EIF3D.pdf</v>
      </c>
    </row>
    <row r="190" spans="1:28" x14ac:dyDescent="0.25">
      <c r="A190" t="s">
        <v>194</v>
      </c>
      <c r="B190">
        <v>0.99673306730245903</v>
      </c>
      <c r="C190">
        <v>0.98473263955802803</v>
      </c>
      <c r="D190">
        <v>1.12557073164879</v>
      </c>
      <c r="E190">
        <v>1.21736267224544</v>
      </c>
      <c r="F190">
        <v>0.615442464532579</v>
      </c>
      <c r="G190">
        <v>0.36109284200143599</v>
      </c>
      <c r="H190">
        <v>0.16051486426741399</v>
      </c>
      <c r="I190">
        <v>0.113877327344744</v>
      </c>
      <c r="J190">
        <v>8.1263345548365298E-2</v>
      </c>
      <c r="K190">
        <v>6.73124210889708E-2</v>
      </c>
      <c r="L190">
        <v>1729.4703302088201</v>
      </c>
      <c r="M190">
        <v>31.725177739378601</v>
      </c>
      <c r="N190">
        <v>54.907432465953598</v>
      </c>
      <c r="O190">
        <v>54.298899717662998</v>
      </c>
      <c r="P190">
        <v>-0.13122173188826899</v>
      </c>
      <c r="Q190">
        <v>0.101639909045296</v>
      </c>
      <c r="R190">
        <v>0.95061727151372</v>
      </c>
      <c r="S190" t="s">
        <v>6642</v>
      </c>
      <c r="T190" t="s">
        <v>12902</v>
      </c>
      <c r="U190" t="s">
        <v>12902</v>
      </c>
      <c r="V190" t="s">
        <v>12902</v>
      </c>
      <c r="W190" t="s">
        <v>13090</v>
      </c>
      <c r="X190">
        <v>15</v>
      </c>
      <c r="Y190" t="s">
        <v>19485</v>
      </c>
      <c r="Z190" t="s">
        <v>25765</v>
      </c>
      <c r="AA190">
        <v>0.54159916743493675</v>
      </c>
      <c r="AB190" t="str">
        <f>HYPERLINK("Melting_Curves/meltCurve_B4DWI1_HACL1.pdf", "Melting_Curves/meltCurve_B4DWI1_HACL1.pdf")</f>
        <v>Melting_Curves/meltCurve_B4DWI1_HACL1.pdf</v>
      </c>
    </row>
    <row r="191" spans="1:28" x14ac:dyDescent="0.25">
      <c r="A191" t="s">
        <v>195</v>
      </c>
      <c r="B191">
        <v>0.99673306730245903</v>
      </c>
      <c r="C191">
        <v>1.0354275548421601</v>
      </c>
      <c r="D191">
        <v>0.73149393250341899</v>
      </c>
      <c r="E191">
        <v>0.49278448541858799</v>
      </c>
      <c r="F191">
        <v>0.16810527655737501</v>
      </c>
      <c r="G191">
        <v>0.114678178054942</v>
      </c>
      <c r="H191">
        <v>7.3305736052733203E-2</v>
      </c>
      <c r="I191">
        <v>5.85563109977272E-2</v>
      </c>
      <c r="J191">
        <v>2.6003131775614901E-2</v>
      </c>
      <c r="K191">
        <v>0</v>
      </c>
      <c r="L191">
        <v>973.920062960123</v>
      </c>
      <c r="M191">
        <v>19.870397175763301</v>
      </c>
      <c r="N191">
        <v>49.176621122640597</v>
      </c>
      <c r="O191">
        <v>48.525295262250403</v>
      </c>
      <c r="P191">
        <v>-9.9112024354296099E-2</v>
      </c>
      <c r="Q191">
        <v>3.1870525415920802E-2</v>
      </c>
      <c r="R191">
        <v>0.98919877859070504</v>
      </c>
      <c r="S191" t="s">
        <v>6643</v>
      </c>
      <c r="T191" t="s">
        <v>12902</v>
      </c>
      <c r="U191" t="s">
        <v>12902</v>
      </c>
      <c r="V191" t="s">
        <v>12902</v>
      </c>
      <c r="W191" t="s">
        <v>13091</v>
      </c>
      <c r="X191">
        <v>1</v>
      </c>
      <c r="Y191" t="s">
        <v>19486</v>
      </c>
      <c r="Z191" t="s">
        <v>25766</v>
      </c>
      <c r="AA191">
        <v>0.33648862014354008</v>
      </c>
      <c r="AB191" t="str">
        <f>HYPERLINK("Melting_Curves/meltCurve_B4DXN4_CNKSR1.pdf", "Melting_Curves/meltCurve_B4DXN4_CNKSR1.pdf")</f>
        <v>Melting_Curves/meltCurve_B4DXN4_CNKSR1.pdf</v>
      </c>
    </row>
    <row r="192" spans="1:28" x14ac:dyDescent="0.25">
      <c r="A192" t="s">
        <v>196</v>
      </c>
      <c r="B192">
        <v>0.99673306730245903</v>
      </c>
      <c r="C192">
        <v>0.90269818807759805</v>
      </c>
      <c r="D192">
        <v>0.56242681639985503</v>
      </c>
      <c r="E192">
        <v>0.236086849508017</v>
      </c>
      <c r="F192">
        <v>0.15891279023807101</v>
      </c>
      <c r="G192">
        <v>0.114648663148248</v>
      </c>
      <c r="H192">
        <v>7.9729551933767295E-2</v>
      </c>
      <c r="I192">
        <v>7.6829166953867503E-2</v>
      </c>
      <c r="J192">
        <v>6.7791965589728803E-2</v>
      </c>
      <c r="K192">
        <v>5.5509385880618899E-2</v>
      </c>
      <c r="L192">
        <v>1109.0440922856601</v>
      </c>
      <c r="M192">
        <v>23.941025355170002</v>
      </c>
      <c r="N192">
        <v>46.671037217565001</v>
      </c>
      <c r="O192">
        <v>46.0044217207735</v>
      </c>
      <c r="P192">
        <v>-0.11949590666643201</v>
      </c>
      <c r="Q192">
        <v>8.1534179730503906E-2</v>
      </c>
      <c r="R192">
        <v>0.99671007480687501</v>
      </c>
      <c r="S192" t="s">
        <v>6644</v>
      </c>
      <c r="T192" t="s">
        <v>12902</v>
      </c>
      <c r="U192" t="s">
        <v>12902</v>
      </c>
      <c r="V192" t="s">
        <v>12902</v>
      </c>
      <c r="W192" t="s">
        <v>13092</v>
      </c>
      <c r="X192">
        <v>16</v>
      </c>
      <c r="Y192" t="s">
        <v>19487</v>
      </c>
      <c r="Z192" t="s">
        <v>25767</v>
      </c>
      <c r="AA192">
        <v>0.28437424435571201</v>
      </c>
      <c r="AB192" t="str">
        <f>HYPERLINK("Melting_Curves/meltCurve_B4DXZ6_FXR1.pdf", "Melting_Curves/meltCurve_B4DXZ6_FXR1.pdf")</f>
        <v>Melting_Curves/meltCurve_B4DXZ6_FXR1.pdf</v>
      </c>
    </row>
    <row r="193" spans="1:28" x14ac:dyDescent="0.25">
      <c r="A193" t="s">
        <v>197</v>
      </c>
      <c r="B193">
        <v>0.99673306730245903</v>
      </c>
      <c r="C193">
        <v>0.98567793034815998</v>
      </c>
      <c r="D193">
        <v>0.85235986069195302</v>
      </c>
      <c r="E193">
        <v>0.81344150359136702</v>
      </c>
      <c r="F193">
        <v>0.72799653213748206</v>
      </c>
      <c r="G193">
        <v>0.33071895940392398</v>
      </c>
      <c r="H193">
        <v>0.151305137404178</v>
      </c>
      <c r="I193">
        <v>0.15626740855156501</v>
      </c>
      <c r="J193">
        <v>0.17912918699279601</v>
      </c>
      <c r="K193">
        <v>0.18780900970290501</v>
      </c>
      <c r="L193">
        <v>1059.1968382411401</v>
      </c>
      <c r="M193">
        <v>19.621591097703298</v>
      </c>
      <c r="N193">
        <v>54.840948624841197</v>
      </c>
      <c r="O193">
        <v>53.4298741771808</v>
      </c>
      <c r="P193">
        <v>-7.9657127861265706E-2</v>
      </c>
      <c r="Q193">
        <v>0.13240038331439</v>
      </c>
      <c r="R193">
        <v>0.969635725066612</v>
      </c>
      <c r="S193" t="s">
        <v>6645</v>
      </c>
      <c r="T193" t="s">
        <v>12902</v>
      </c>
      <c r="U193" t="s">
        <v>12902</v>
      </c>
      <c r="V193" t="s">
        <v>12902</v>
      </c>
      <c r="W193" t="s">
        <v>13093</v>
      </c>
      <c r="X193">
        <v>7</v>
      </c>
      <c r="Y193" t="s">
        <v>19488</v>
      </c>
      <c r="Z193" t="s">
        <v>25768</v>
      </c>
      <c r="AA193">
        <v>0.54889795396834173</v>
      </c>
      <c r="AB193" t="str">
        <f>HYPERLINK("Melting_Curves/meltCurve_B4DYB4_NUP35.pdf", "Melting_Curves/meltCurve_B4DYB4_NUP35.pdf")</f>
        <v>Melting_Curves/meltCurve_B4DYB4_NUP35.pdf</v>
      </c>
    </row>
    <row r="194" spans="1:28" x14ac:dyDescent="0.25">
      <c r="A194" t="s">
        <v>198</v>
      </c>
      <c r="B194">
        <v>0.99673306730245903</v>
      </c>
      <c r="C194">
        <v>0.87447518615840902</v>
      </c>
      <c r="D194">
        <v>0.85992474028934796</v>
      </c>
      <c r="E194">
        <v>0.63984010997465901</v>
      </c>
      <c r="F194">
        <v>0.44552088671901902</v>
      </c>
      <c r="G194">
        <v>0.27985503608668399</v>
      </c>
      <c r="H194">
        <v>0.24331393374523499</v>
      </c>
      <c r="I194">
        <v>0.27341993853871299</v>
      </c>
      <c r="J194">
        <v>0.298018697823076</v>
      </c>
      <c r="K194">
        <v>0.25175179485822602</v>
      </c>
      <c r="L194">
        <v>829.26371953852197</v>
      </c>
      <c r="M194">
        <v>16.704613032683501</v>
      </c>
      <c r="N194">
        <v>51.718388352170301</v>
      </c>
      <c r="O194">
        <v>48.947723190461303</v>
      </c>
      <c r="P194">
        <v>-6.4484016142392298E-2</v>
      </c>
      <c r="Q194">
        <v>0.24424771875527401</v>
      </c>
      <c r="R194">
        <v>0.98520958158145899</v>
      </c>
      <c r="S194" t="s">
        <v>6646</v>
      </c>
      <c r="T194" t="s">
        <v>12902</v>
      </c>
      <c r="U194" t="s">
        <v>12902</v>
      </c>
      <c r="V194" t="s">
        <v>12902</v>
      </c>
      <c r="W194" t="s">
        <v>13094</v>
      </c>
      <c r="X194">
        <v>4</v>
      </c>
      <c r="Y194" t="s">
        <v>19489</v>
      </c>
      <c r="Z194" t="s">
        <v>25769</v>
      </c>
      <c r="AA194">
        <v>0.50210616783737905</v>
      </c>
      <c r="AB194" t="str">
        <f>HYPERLINK("Melting_Curves/meltCurve_B4DYR1_JAG1.pdf", "Melting_Curves/meltCurve_B4DYR1_JAG1.pdf")</f>
        <v>Melting_Curves/meltCurve_B4DYR1_JAG1.pdf</v>
      </c>
    </row>
    <row r="195" spans="1:28" x14ac:dyDescent="0.25">
      <c r="A195" t="s">
        <v>199</v>
      </c>
      <c r="B195">
        <v>0.99673306730245903</v>
      </c>
      <c r="C195">
        <v>0.97578613008238302</v>
      </c>
      <c r="D195">
        <v>0.90855244046486805</v>
      </c>
      <c r="E195">
        <v>0.77664220205687495</v>
      </c>
      <c r="F195">
        <v>0.64889631691550698</v>
      </c>
      <c r="G195">
        <v>0.52093551205477495</v>
      </c>
      <c r="H195">
        <v>0.38674566318735498</v>
      </c>
      <c r="I195">
        <v>0.369883009686505</v>
      </c>
      <c r="J195">
        <v>0.164101521486862</v>
      </c>
      <c r="K195">
        <v>0.10228966632997299</v>
      </c>
      <c r="L195">
        <v>520.41612280388301</v>
      </c>
      <c r="M195">
        <v>9.0838918461017109</v>
      </c>
      <c r="N195">
        <v>57.289997343290402</v>
      </c>
      <c r="O195">
        <v>54.7182425944386</v>
      </c>
      <c r="P195">
        <v>-4.1532131611040801E-2</v>
      </c>
      <c r="Q195">
        <v>0</v>
      </c>
      <c r="R195">
        <v>0.983527148440413</v>
      </c>
      <c r="S195" t="s">
        <v>6647</v>
      </c>
      <c r="T195" t="s">
        <v>12902</v>
      </c>
      <c r="U195" t="s">
        <v>12902</v>
      </c>
      <c r="V195" t="s">
        <v>12902</v>
      </c>
      <c r="W195" t="s">
        <v>13095</v>
      </c>
      <c r="X195">
        <v>3</v>
      </c>
      <c r="Y195" t="s">
        <v>19490</v>
      </c>
      <c r="Z195" t="s">
        <v>25770</v>
      </c>
      <c r="AA195">
        <v>0.58889243365273225</v>
      </c>
      <c r="AB195" t="str">
        <f>HYPERLINK("Melting_Curves/meltCurve_B4DYR7_SYPL2.pdf", "Melting_Curves/meltCurve_B4DYR7_SYPL2.pdf")</f>
        <v>Melting_Curves/meltCurve_B4DYR7_SYPL2.pdf</v>
      </c>
    </row>
    <row r="196" spans="1:28" x14ac:dyDescent="0.25">
      <c r="A196" t="s">
        <v>200</v>
      </c>
      <c r="B196">
        <v>0.99673306730245903</v>
      </c>
      <c r="C196">
        <v>0.93169980836410404</v>
      </c>
      <c r="D196">
        <v>0.88108161836757104</v>
      </c>
      <c r="E196">
        <v>0.694713893573492</v>
      </c>
      <c r="F196">
        <v>0.37663741981186299</v>
      </c>
      <c r="G196">
        <v>0.17273281775304899</v>
      </c>
      <c r="H196">
        <v>8.0730390203711699E-2</v>
      </c>
      <c r="I196">
        <v>7.3088068801177894E-2</v>
      </c>
      <c r="J196">
        <v>7.8506004298881896E-2</v>
      </c>
      <c r="K196">
        <v>9.1324021855197501E-2</v>
      </c>
      <c r="L196">
        <v>968.84815974836897</v>
      </c>
      <c r="M196">
        <v>18.902948062825999</v>
      </c>
      <c r="N196">
        <v>51.595079422136699</v>
      </c>
      <c r="O196">
        <v>50.690536550217303</v>
      </c>
      <c r="P196">
        <v>-8.7752346964569905E-2</v>
      </c>
      <c r="Q196">
        <v>5.8764247413991499E-2</v>
      </c>
      <c r="R196">
        <v>0.99670814303809696</v>
      </c>
      <c r="S196" t="s">
        <v>6648</v>
      </c>
      <c r="T196" t="s">
        <v>12902</v>
      </c>
      <c r="U196" t="s">
        <v>12902</v>
      </c>
      <c r="V196" t="s">
        <v>12902</v>
      </c>
      <c r="W196" t="s">
        <v>13096</v>
      </c>
      <c r="X196">
        <v>8</v>
      </c>
      <c r="Y196" t="s">
        <v>19491</v>
      </c>
      <c r="Z196" t="s">
        <v>25771</v>
      </c>
      <c r="AA196">
        <v>0.42632774757772812</v>
      </c>
      <c r="AB196" t="str">
        <f>HYPERLINK("Melting_Curves/meltCurve_B4DZH6_HDAC6.pdf", "Melting_Curves/meltCurve_B4DZH6_HDAC6.pdf")</f>
        <v>Melting_Curves/meltCurve_B4DZH6_HDAC6.pdf</v>
      </c>
    </row>
    <row r="197" spans="1:28" x14ac:dyDescent="0.25">
      <c r="A197" t="s">
        <v>201</v>
      </c>
      <c r="B197">
        <v>0.99673306730245903</v>
      </c>
      <c r="C197">
        <v>0.96944681286930301</v>
      </c>
      <c r="D197">
        <v>0.85234808053974198</v>
      </c>
      <c r="E197">
        <v>0.74547498441776106</v>
      </c>
      <c r="F197">
        <v>0.62592822016028205</v>
      </c>
      <c r="G197">
        <v>0.49430143977694901</v>
      </c>
      <c r="H197">
        <v>0.388899348995984</v>
      </c>
      <c r="I197">
        <v>0.55749516455256898</v>
      </c>
      <c r="J197">
        <v>0.64200189228745697</v>
      </c>
      <c r="K197">
        <v>0.78390700577853401</v>
      </c>
      <c r="L197">
        <v>1097.9859846239899</v>
      </c>
      <c r="M197">
        <v>22.952347182321699</v>
      </c>
      <c r="O197">
        <v>47.4789398304789</v>
      </c>
      <c r="P197">
        <v>-5.1163050610319699E-2</v>
      </c>
      <c r="Q197">
        <v>0.57666698998752397</v>
      </c>
      <c r="R197">
        <v>0.73684157709990605</v>
      </c>
      <c r="S197" t="s">
        <v>6649</v>
      </c>
      <c r="T197" t="s">
        <v>12902</v>
      </c>
      <c r="U197" t="s">
        <v>12902</v>
      </c>
      <c r="V197" t="s">
        <v>12902</v>
      </c>
      <c r="W197" t="s">
        <v>13097</v>
      </c>
      <c r="X197">
        <v>1</v>
      </c>
      <c r="Y197" t="s">
        <v>19492</v>
      </c>
      <c r="Z197" t="s">
        <v>25772</v>
      </c>
      <c r="AA197">
        <v>0.69175985040914223</v>
      </c>
      <c r="AB197" t="str">
        <f>HYPERLINK("Melting_Curves/meltCurve_B4E0E3_TMEM134.pdf", "Melting_Curves/meltCurve_B4E0E3_TMEM134.pdf")</f>
        <v>Melting_Curves/meltCurve_B4E0E3_TMEM134.pdf</v>
      </c>
    </row>
    <row r="198" spans="1:28" x14ac:dyDescent="0.25">
      <c r="A198" t="s">
        <v>202</v>
      </c>
      <c r="B198">
        <v>0.99673306730245903</v>
      </c>
      <c r="C198">
        <v>0.82961910014895301</v>
      </c>
      <c r="D198">
        <v>0.36047393119253301</v>
      </c>
      <c r="E198">
        <v>0.247874956626844</v>
      </c>
      <c r="F198">
        <v>0.115612786993512</v>
      </c>
      <c r="G198">
        <v>6.8115686450777396E-2</v>
      </c>
      <c r="H198">
        <v>5.7339644631463398E-2</v>
      </c>
      <c r="I198">
        <v>8.2882105784541998E-2</v>
      </c>
      <c r="J198">
        <v>6.9857985616791601E-2</v>
      </c>
      <c r="K198">
        <v>5.6986872697165097E-2</v>
      </c>
      <c r="L198">
        <v>1163.7034302909799</v>
      </c>
      <c r="M198">
        <v>25.843304856768398</v>
      </c>
      <c r="N198">
        <v>45.335735879821002</v>
      </c>
      <c r="O198">
        <v>44.762178937817502</v>
      </c>
      <c r="P198">
        <v>-0.13276823665427401</v>
      </c>
      <c r="Q198">
        <v>8.0160134604217295E-2</v>
      </c>
      <c r="R198">
        <v>0.98605353139523699</v>
      </c>
      <c r="S198" t="s">
        <v>6650</v>
      </c>
      <c r="T198" t="s">
        <v>12902</v>
      </c>
      <c r="U198" t="s">
        <v>12902</v>
      </c>
      <c r="V198" t="s">
        <v>12902</v>
      </c>
      <c r="W198" t="s">
        <v>13098</v>
      </c>
      <c r="X198">
        <v>1</v>
      </c>
      <c r="Y198" t="s">
        <v>19493</v>
      </c>
      <c r="Z198" t="s">
        <v>25773</v>
      </c>
      <c r="AA198">
        <v>0.242799963661195</v>
      </c>
      <c r="AB198" t="str">
        <f>HYPERLINK("Melting_Curves/meltCurve_B4E0T2_PEX5.pdf", "Melting_Curves/meltCurve_B4E0T2_PEX5.pdf")</f>
        <v>Melting_Curves/meltCurve_B4E0T2_PEX5.pdf</v>
      </c>
    </row>
    <row r="199" spans="1:28" x14ac:dyDescent="0.25">
      <c r="A199" t="s">
        <v>203</v>
      </c>
      <c r="B199">
        <v>0.99673306730245903</v>
      </c>
      <c r="C199">
        <v>0.95507786965253805</v>
      </c>
      <c r="D199">
        <v>0.88477993169933</v>
      </c>
      <c r="E199">
        <v>0.66097108274266103</v>
      </c>
      <c r="F199">
        <v>0.493261627876041</v>
      </c>
      <c r="G199">
        <v>0.35983468431494597</v>
      </c>
      <c r="H199">
        <v>0.28672407041249798</v>
      </c>
      <c r="I199">
        <v>0.35855802491115102</v>
      </c>
      <c r="J199">
        <v>0.42868013954212902</v>
      </c>
      <c r="K199">
        <v>0.47023212483003402</v>
      </c>
      <c r="L199">
        <v>1132.28070652721</v>
      </c>
      <c r="M199">
        <v>23.053456959967001</v>
      </c>
      <c r="N199">
        <v>52.321090640283003</v>
      </c>
      <c r="O199">
        <v>48.750332509334399</v>
      </c>
      <c r="P199">
        <v>-7.3508502365859194E-2</v>
      </c>
      <c r="Q199">
        <v>0.37822796789838498</v>
      </c>
      <c r="R199">
        <v>0.96196500404615104</v>
      </c>
      <c r="S199" t="s">
        <v>6651</v>
      </c>
      <c r="T199" t="s">
        <v>12902</v>
      </c>
      <c r="U199" t="s">
        <v>12902</v>
      </c>
      <c r="V199" t="s">
        <v>12902</v>
      </c>
      <c r="W199" t="s">
        <v>13099</v>
      </c>
      <c r="X199">
        <v>11</v>
      </c>
      <c r="Y199" t="s">
        <v>19494</v>
      </c>
      <c r="Z199" t="s">
        <v>25774</v>
      </c>
      <c r="AA199">
        <v>0.57366450718510265</v>
      </c>
      <c r="AB199" t="str">
        <f>HYPERLINK("Melting_Curves/meltCurve_B4E1J0_PBXIP1.pdf", "Melting_Curves/meltCurve_B4E1J0_PBXIP1.pdf")</f>
        <v>Melting_Curves/meltCurve_B4E1J0_PBXIP1.pdf</v>
      </c>
    </row>
    <row r="200" spans="1:28" x14ac:dyDescent="0.25">
      <c r="A200" t="s">
        <v>204</v>
      </c>
      <c r="B200">
        <v>0.99673306730245903</v>
      </c>
      <c r="C200">
        <v>0.49439763160218198</v>
      </c>
      <c r="D200">
        <v>0.244869135951303</v>
      </c>
      <c r="E200">
        <v>0.168022158995805</v>
      </c>
      <c r="F200">
        <v>0.10532555576887299</v>
      </c>
      <c r="G200">
        <v>6.0392879647974199E-2</v>
      </c>
      <c r="H200">
        <v>4.4663570066511303E-2</v>
      </c>
      <c r="I200">
        <v>3.2534268280692398E-2</v>
      </c>
      <c r="J200">
        <v>4.1016167431754097E-2</v>
      </c>
      <c r="K200">
        <v>3.6136426764966E-2</v>
      </c>
      <c r="L200">
        <v>1210.16602608934</v>
      </c>
      <c r="M200">
        <v>28.101467766193299</v>
      </c>
      <c r="N200">
        <v>43.288730539376402</v>
      </c>
      <c r="O200">
        <v>42.847855448342401</v>
      </c>
      <c r="P200">
        <v>-0.152840373015488</v>
      </c>
      <c r="Q200">
        <v>6.78314665956192E-2</v>
      </c>
      <c r="R200">
        <v>0.96991076504572404</v>
      </c>
      <c r="S200" t="s">
        <v>6652</v>
      </c>
      <c r="T200" t="s">
        <v>12902</v>
      </c>
      <c r="U200" t="s">
        <v>12902</v>
      </c>
      <c r="V200" t="s">
        <v>12902</v>
      </c>
      <c r="W200" t="s">
        <v>13100</v>
      </c>
      <c r="X200">
        <v>6</v>
      </c>
      <c r="Y200" t="s">
        <v>19495</v>
      </c>
      <c r="Z200" t="s">
        <v>25775</v>
      </c>
      <c r="AA200">
        <v>0.17295081039763721</v>
      </c>
      <c r="AB200" t="str">
        <f>HYPERLINK("Melting_Curves/meltCurve_B4E1N1_ARMC6.pdf", "Melting_Curves/meltCurve_B4E1N1_ARMC6.pdf")</f>
        <v>Melting_Curves/meltCurve_B4E1N1_ARMC6.pdf</v>
      </c>
    </row>
    <row r="201" spans="1:28" x14ac:dyDescent="0.25">
      <c r="A201" t="s">
        <v>205</v>
      </c>
      <c r="B201">
        <v>0.99673306730245903</v>
      </c>
      <c r="C201">
        <v>0.923811634083468</v>
      </c>
      <c r="D201">
        <v>0.95686843793965703</v>
      </c>
      <c r="E201">
        <v>0.82394011711586701</v>
      </c>
      <c r="F201">
        <v>0.55815888643431499</v>
      </c>
      <c r="G201">
        <v>0.35798199475402498</v>
      </c>
      <c r="H201">
        <v>0.14543662437207</v>
      </c>
      <c r="I201">
        <v>0.13428808566739101</v>
      </c>
      <c r="J201">
        <v>0.17832292925159801</v>
      </c>
      <c r="K201">
        <v>0.19072371784285799</v>
      </c>
      <c r="L201">
        <v>1046.1209881643599</v>
      </c>
      <c r="M201">
        <v>19.723097380011001</v>
      </c>
      <c r="N201">
        <v>53.950005746917697</v>
      </c>
      <c r="O201">
        <v>52.504162555270398</v>
      </c>
      <c r="P201">
        <v>-8.0631299485772204E-2</v>
      </c>
      <c r="Q201">
        <v>0.141446521083086</v>
      </c>
      <c r="R201">
        <v>0.98932400829714795</v>
      </c>
      <c r="S201" t="s">
        <v>6653</v>
      </c>
      <c r="T201" t="s">
        <v>12902</v>
      </c>
      <c r="U201" t="s">
        <v>12902</v>
      </c>
      <c r="V201" t="s">
        <v>12902</v>
      </c>
      <c r="W201" t="s">
        <v>13101</v>
      </c>
      <c r="X201">
        <v>7</v>
      </c>
      <c r="Y201" t="s">
        <v>19496</v>
      </c>
      <c r="Z201" t="s">
        <v>25776</v>
      </c>
      <c r="AA201">
        <v>0.52672933839821545</v>
      </c>
      <c r="AB201" t="str">
        <f>HYPERLINK("Melting_Curves/meltCurve_B4E1Q4_RIOK3.pdf", "Melting_Curves/meltCurve_B4E1Q4_RIOK3.pdf")</f>
        <v>Melting_Curves/meltCurve_B4E1Q4_RIOK3.pdf</v>
      </c>
    </row>
    <row r="202" spans="1:28" x14ac:dyDescent="0.25">
      <c r="A202" t="s">
        <v>206</v>
      </c>
      <c r="B202">
        <v>0.99673306730245903</v>
      </c>
      <c r="C202">
        <v>0.99505238175962196</v>
      </c>
      <c r="D202">
        <v>0.93241508043676002</v>
      </c>
      <c r="E202">
        <v>0.88209291360467401</v>
      </c>
      <c r="F202">
        <v>0.79707122704665301</v>
      </c>
      <c r="G202">
        <v>0.77971568029560301</v>
      </c>
      <c r="H202">
        <v>0.76034745659097203</v>
      </c>
      <c r="I202">
        <v>1.08906659166279</v>
      </c>
      <c r="J202">
        <v>1.41300846507768</v>
      </c>
      <c r="K202">
        <v>1.5791639084432501</v>
      </c>
      <c r="L202">
        <v>4951.5217414425197</v>
      </c>
      <c r="M202">
        <v>75.596006221510805</v>
      </c>
      <c r="O202">
        <v>65.453984481759207</v>
      </c>
      <c r="P202">
        <v>0.14436862854439</v>
      </c>
      <c r="Q202">
        <v>1.5</v>
      </c>
      <c r="R202">
        <v>0.74239574941803599</v>
      </c>
      <c r="S202" t="s">
        <v>6654</v>
      </c>
      <c r="T202" t="s">
        <v>12902</v>
      </c>
      <c r="U202" t="s">
        <v>12902</v>
      </c>
      <c r="V202" t="s">
        <v>12902</v>
      </c>
      <c r="W202" t="s">
        <v>13102</v>
      </c>
      <c r="X202">
        <v>3</v>
      </c>
      <c r="Y202" t="s">
        <v>19497</v>
      </c>
      <c r="Z202" t="s">
        <v>25777</v>
      </c>
      <c r="AA202">
        <v>1.074504808493068</v>
      </c>
      <c r="AB202" t="str">
        <f>HYPERLINK("Melting_Curves/meltCurve_B4E1S6_SDC4.pdf", "Melting_Curves/meltCurve_B4E1S6_SDC4.pdf")</f>
        <v>Melting_Curves/meltCurve_B4E1S6_SDC4.pdf</v>
      </c>
    </row>
    <row r="203" spans="1:28" x14ac:dyDescent="0.25">
      <c r="A203" t="s">
        <v>207</v>
      </c>
      <c r="B203">
        <v>0.99673306730245903</v>
      </c>
      <c r="C203">
        <v>0.94291834311155698</v>
      </c>
      <c r="D203">
        <v>0.98057881671076097</v>
      </c>
      <c r="E203">
        <v>0.901350609664756</v>
      </c>
      <c r="F203">
        <v>0.84665591612523905</v>
      </c>
      <c r="G203">
        <v>0.64335128316129597</v>
      </c>
      <c r="H203">
        <v>0.56576245852979701</v>
      </c>
      <c r="I203">
        <v>0.58288004631506096</v>
      </c>
      <c r="J203">
        <v>0.66906368720401399</v>
      </c>
      <c r="K203">
        <v>0.70855255297907205</v>
      </c>
      <c r="L203">
        <v>1488.8884164660899</v>
      </c>
      <c r="M203">
        <v>28.116918723017001</v>
      </c>
      <c r="O203">
        <v>52.687779220470901</v>
      </c>
      <c r="P203">
        <v>-4.9875861521897297E-2</v>
      </c>
      <c r="Q203">
        <v>0.62615729632163297</v>
      </c>
      <c r="R203">
        <v>0.90336624750958705</v>
      </c>
      <c r="S203" t="s">
        <v>6655</v>
      </c>
      <c r="T203" t="s">
        <v>12902</v>
      </c>
      <c r="U203" t="s">
        <v>12902</v>
      </c>
      <c r="V203" t="s">
        <v>12902</v>
      </c>
      <c r="W203" t="s">
        <v>13103</v>
      </c>
      <c r="X203">
        <v>1</v>
      </c>
      <c r="Y203" t="s">
        <v>19498</v>
      </c>
      <c r="Z203" t="s">
        <v>25778</v>
      </c>
      <c r="AA203">
        <v>0.79032508777612398</v>
      </c>
      <c r="AB203" t="str">
        <f>HYPERLINK("Melting_Curves/meltCurve_B4E1Y1_NET1.pdf", "Melting_Curves/meltCurve_B4E1Y1_NET1.pdf")</f>
        <v>Melting_Curves/meltCurve_B4E1Y1_NET1.pdf</v>
      </c>
    </row>
    <row r="204" spans="1:28" x14ac:dyDescent="0.25">
      <c r="A204" t="s">
        <v>208</v>
      </c>
      <c r="B204">
        <v>0.99673306730245903</v>
      </c>
      <c r="C204">
        <v>0.97886019319404105</v>
      </c>
      <c r="D204">
        <v>1.01284042792619</v>
      </c>
      <c r="E204">
        <v>0.90093233607973799</v>
      </c>
      <c r="F204">
        <v>0.77619255762342898</v>
      </c>
      <c r="G204">
        <v>0.55964794203016199</v>
      </c>
      <c r="H204">
        <v>0.46638684959962901</v>
      </c>
      <c r="I204">
        <v>0.69749750854760595</v>
      </c>
      <c r="J204">
        <v>1.0861317052191199</v>
      </c>
      <c r="K204">
        <v>1.22653541073407</v>
      </c>
      <c r="L204">
        <v>12399.899432006199</v>
      </c>
      <c r="M204">
        <v>250</v>
      </c>
      <c r="O204">
        <v>49.596423696067703</v>
      </c>
      <c r="P204">
        <v>-0.24943163426582299</v>
      </c>
      <c r="Q204">
        <v>0.80206532802512198</v>
      </c>
      <c r="R204">
        <v>0.146559331284772</v>
      </c>
      <c r="S204" t="s">
        <v>6656</v>
      </c>
      <c r="T204" t="s">
        <v>12902</v>
      </c>
      <c r="U204" t="s">
        <v>12902</v>
      </c>
      <c r="V204" t="s">
        <v>12902</v>
      </c>
      <c r="W204" t="s">
        <v>13104</v>
      </c>
      <c r="X204">
        <v>9</v>
      </c>
      <c r="Y204" t="s">
        <v>19499</v>
      </c>
      <c r="Z204" t="s">
        <v>25779</v>
      </c>
      <c r="AA204">
        <v>0.86541899846282577</v>
      </c>
      <c r="AB204" t="str">
        <f>HYPERLINK("Melting_Curves/meltCurve_B4E241_SFRS3.pdf", "Melting_Curves/meltCurve_B4E241_SFRS3.pdf")</f>
        <v>Melting_Curves/meltCurve_B4E241_SFRS3.pdf</v>
      </c>
    </row>
    <row r="205" spans="1:28" x14ac:dyDescent="0.25">
      <c r="A205" t="s">
        <v>209</v>
      </c>
      <c r="B205">
        <v>0.99673306730245903</v>
      </c>
      <c r="C205">
        <v>1.0078385109638699</v>
      </c>
      <c r="D205">
        <v>0.99729286587636101</v>
      </c>
      <c r="E205">
        <v>0.882549047770116</v>
      </c>
      <c r="F205">
        <v>0.69296353944435995</v>
      </c>
      <c r="G205">
        <v>0.650686671300582</v>
      </c>
      <c r="H205">
        <v>0.51444935641365896</v>
      </c>
      <c r="I205">
        <v>0.76839779573845501</v>
      </c>
      <c r="J205">
        <v>0.64651028721750903</v>
      </c>
      <c r="K205">
        <v>0.53636915778779504</v>
      </c>
      <c r="L205">
        <v>1675.47872487988</v>
      </c>
      <c r="M205">
        <v>32.943288444596497</v>
      </c>
      <c r="O205">
        <v>50.673178636491699</v>
      </c>
      <c r="P205">
        <v>-6.1699843470988502E-2</v>
      </c>
      <c r="Q205">
        <v>0.62037634596131297</v>
      </c>
      <c r="R205">
        <v>0.87294395968827199</v>
      </c>
      <c r="S205" t="s">
        <v>6657</v>
      </c>
      <c r="T205" t="s">
        <v>12902</v>
      </c>
      <c r="U205" t="s">
        <v>12902</v>
      </c>
      <c r="V205" t="s">
        <v>12902</v>
      </c>
      <c r="W205" t="s">
        <v>13105</v>
      </c>
      <c r="X205">
        <v>7</v>
      </c>
      <c r="Y205" t="s">
        <v>19500</v>
      </c>
      <c r="Z205" t="s">
        <v>25780</v>
      </c>
      <c r="AA205">
        <v>0.75976670313906369</v>
      </c>
      <c r="AB205" t="str">
        <f>HYPERLINK("Melting_Curves/meltCurve_B4E2S7_LAMP2.pdf", "Melting_Curves/meltCurve_B4E2S7_LAMP2.pdf")</f>
        <v>Melting_Curves/meltCurve_B4E2S7_LAMP2.pdf</v>
      </c>
    </row>
    <row r="206" spans="1:28" x14ac:dyDescent="0.25">
      <c r="A206" t="s">
        <v>210</v>
      </c>
      <c r="B206">
        <v>0.99673306730245903</v>
      </c>
      <c r="C206">
        <v>0.89933525181830798</v>
      </c>
      <c r="D206">
        <v>0.96913308264058995</v>
      </c>
      <c r="E206">
        <v>0.68689123596586499</v>
      </c>
      <c r="F206">
        <v>0.48710139946375203</v>
      </c>
      <c r="G206">
        <v>0.27769100492761001</v>
      </c>
      <c r="H206">
        <v>0.21869042823433099</v>
      </c>
      <c r="I206">
        <v>0.29768132299602601</v>
      </c>
      <c r="J206">
        <v>0.299813125399084</v>
      </c>
      <c r="K206">
        <v>0.30790261023592602</v>
      </c>
      <c r="L206">
        <v>1180.8571458234101</v>
      </c>
      <c r="M206">
        <v>23.3860570391351</v>
      </c>
      <c r="N206">
        <v>52.248733363416697</v>
      </c>
      <c r="O206">
        <v>50.129201667716302</v>
      </c>
      <c r="P206">
        <v>-8.4904572171730502E-2</v>
      </c>
      <c r="Q206">
        <v>0.272023704107622</v>
      </c>
      <c r="R206">
        <v>0.97668076005781002</v>
      </c>
      <c r="S206" t="s">
        <v>6658</v>
      </c>
      <c r="T206" t="s">
        <v>12902</v>
      </c>
      <c r="U206" t="s">
        <v>12902</v>
      </c>
      <c r="V206" t="s">
        <v>12902</v>
      </c>
      <c r="W206" t="s">
        <v>13106</v>
      </c>
      <c r="X206">
        <v>2</v>
      </c>
      <c r="Y206" t="s">
        <v>19501</v>
      </c>
      <c r="Z206" t="s">
        <v>25781</v>
      </c>
      <c r="AA206">
        <v>0.5341362657214006</v>
      </c>
      <c r="AB206" t="str">
        <f>HYPERLINK("Melting_Curves/meltCurve_B4E2V5_STOM.pdf", "Melting_Curves/meltCurve_B4E2V5_STOM.pdf")</f>
        <v>Melting_Curves/meltCurve_B4E2V5_STOM.pdf</v>
      </c>
    </row>
    <row r="207" spans="1:28" x14ac:dyDescent="0.25">
      <c r="A207" t="s">
        <v>211</v>
      </c>
      <c r="B207">
        <v>0.99673306730245903</v>
      </c>
      <c r="C207">
        <v>0.83148066642392704</v>
      </c>
      <c r="D207">
        <v>0.93635879396662702</v>
      </c>
      <c r="E207">
        <v>0.90491084226014395</v>
      </c>
      <c r="F207">
        <v>0.21492037859763899</v>
      </c>
      <c r="G207">
        <v>0.122925431021058</v>
      </c>
      <c r="H207">
        <v>6.9554300977566194E-2</v>
      </c>
      <c r="I207">
        <v>5.7552797819931598E-2</v>
      </c>
      <c r="J207">
        <v>7.1586961697597803E-2</v>
      </c>
      <c r="K207">
        <v>5.8733465775986197E-2</v>
      </c>
      <c r="L207">
        <v>2777.8148952562801</v>
      </c>
      <c r="M207">
        <v>53.891471175642103</v>
      </c>
      <c r="N207">
        <v>51.698170419158998</v>
      </c>
      <c r="O207">
        <v>51.473782128947903</v>
      </c>
      <c r="P207">
        <v>-0.24238433279419899</v>
      </c>
      <c r="Q207">
        <v>7.3958813757875594E-2</v>
      </c>
      <c r="R207">
        <v>0.97885204748404198</v>
      </c>
      <c r="S207" t="s">
        <v>6659</v>
      </c>
      <c r="T207" t="s">
        <v>12902</v>
      </c>
      <c r="U207" t="s">
        <v>12902</v>
      </c>
      <c r="V207" t="s">
        <v>12902</v>
      </c>
      <c r="W207" t="s">
        <v>13107</v>
      </c>
      <c r="X207">
        <v>23</v>
      </c>
      <c r="Y207" t="s">
        <v>19502</v>
      </c>
      <c r="Z207" t="s">
        <v>25782</v>
      </c>
      <c r="AA207">
        <v>0.4321292576838881</v>
      </c>
      <c r="AB207" t="str">
        <f>HYPERLINK("Melting_Curves/meltCurve_B4E2W0_HADHB.pdf", "Melting_Curves/meltCurve_B4E2W0_HADHB.pdf")</f>
        <v>Melting_Curves/meltCurve_B4E2W0_HADHB.pdf</v>
      </c>
    </row>
    <row r="208" spans="1:28" x14ac:dyDescent="0.25">
      <c r="A208" t="s">
        <v>212</v>
      </c>
      <c r="B208">
        <v>0.99673306730245903</v>
      </c>
      <c r="C208">
        <v>0.94024614862786704</v>
      </c>
      <c r="D208">
        <v>0.80013302869444003</v>
      </c>
      <c r="E208">
        <v>0.35311625339523001</v>
      </c>
      <c r="F208">
        <v>0.25628306158747399</v>
      </c>
      <c r="G208">
        <v>0.15178031529547101</v>
      </c>
      <c r="H208">
        <v>0.116479601740424</v>
      </c>
      <c r="I208">
        <v>0.12514633535063599</v>
      </c>
      <c r="J208">
        <v>0.14477965563040801</v>
      </c>
      <c r="K208">
        <v>0.143787445260594</v>
      </c>
      <c r="L208">
        <v>1234.19088240306</v>
      </c>
      <c r="M208">
        <v>25.780718611585201</v>
      </c>
      <c r="N208">
        <v>48.4850082118678</v>
      </c>
      <c r="O208">
        <v>47.587380466928501</v>
      </c>
      <c r="P208">
        <v>-0.11661972433680701</v>
      </c>
      <c r="Q208">
        <v>0.13895942920412799</v>
      </c>
      <c r="R208">
        <v>0.99465031963432904</v>
      </c>
      <c r="S208" t="s">
        <v>6660</v>
      </c>
      <c r="T208" t="s">
        <v>12902</v>
      </c>
      <c r="U208" t="s">
        <v>12902</v>
      </c>
      <c r="V208" t="s">
        <v>12902</v>
      </c>
      <c r="W208" t="s">
        <v>13108</v>
      </c>
      <c r="X208">
        <v>13</v>
      </c>
      <c r="Y208" t="s">
        <v>19503</v>
      </c>
      <c r="Z208" t="s">
        <v>25783</v>
      </c>
      <c r="AA208">
        <v>0.37204525044866782</v>
      </c>
      <c r="AB208" t="str">
        <f>HYPERLINK("Melting_Curves/meltCurve_B4E2X3_METTL13.pdf", "Melting_Curves/meltCurve_B4E2X3_METTL13.pdf")</f>
        <v>Melting_Curves/meltCurve_B4E2X3_METTL13.pdf</v>
      </c>
    </row>
    <row r="209" spans="1:28" x14ac:dyDescent="0.25">
      <c r="A209" t="s">
        <v>213</v>
      </c>
      <c r="B209">
        <v>0.99673306730245903</v>
      </c>
      <c r="C209">
        <v>0.69469651422997902</v>
      </c>
      <c r="D209">
        <v>0.288817266054676</v>
      </c>
      <c r="E209">
        <v>0.186523002566715</v>
      </c>
      <c r="F209">
        <v>0.138183441795664</v>
      </c>
      <c r="G209">
        <v>0.10349762917322999</v>
      </c>
      <c r="H209">
        <v>7.8951297850206506E-2</v>
      </c>
      <c r="I209">
        <v>7.3011215593355799E-2</v>
      </c>
      <c r="J209">
        <v>8.6045342637965705E-2</v>
      </c>
      <c r="K209">
        <v>7.2613897567469499E-2</v>
      </c>
      <c r="L209">
        <v>1249.65695921364</v>
      </c>
      <c r="M209">
        <v>28.400189507530602</v>
      </c>
      <c r="N209">
        <v>44.340086002953598</v>
      </c>
      <c r="O209">
        <v>43.785282810466903</v>
      </c>
      <c r="P209">
        <v>-0.146358434434601</v>
      </c>
      <c r="Q209">
        <v>9.7429478309982095E-2</v>
      </c>
      <c r="R209">
        <v>0.99092795787256105</v>
      </c>
      <c r="S209" t="s">
        <v>6661</v>
      </c>
      <c r="T209" t="s">
        <v>12902</v>
      </c>
      <c r="U209" t="s">
        <v>12902</v>
      </c>
      <c r="V209" t="s">
        <v>12902</v>
      </c>
      <c r="W209" t="s">
        <v>13109</v>
      </c>
      <c r="X209">
        <v>6</v>
      </c>
      <c r="Y209" t="s">
        <v>19504</v>
      </c>
      <c r="Z209" t="s">
        <v>25784</v>
      </c>
      <c r="AA209">
        <v>0.22537121506147931</v>
      </c>
      <c r="AB209" t="str">
        <f>HYPERLINK("Melting_Curves/meltCurve_B4E3L3_USP28.pdf", "Melting_Curves/meltCurve_B4E3L3_USP28.pdf")</f>
        <v>Melting_Curves/meltCurve_B4E3L3_USP28.pdf</v>
      </c>
    </row>
    <row r="210" spans="1:28" x14ac:dyDescent="0.25">
      <c r="A210" t="s">
        <v>214</v>
      </c>
      <c r="B210">
        <v>0.99673306730245903</v>
      </c>
      <c r="C210">
        <v>1.01874790489464</v>
      </c>
      <c r="D210">
        <v>1.0049817029041599</v>
      </c>
      <c r="E210">
        <v>0.87251899307877001</v>
      </c>
      <c r="F210">
        <v>0.73921197211630496</v>
      </c>
      <c r="G210">
        <v>0.68956305339617796</v>
      </c>
      <c r="H210">
        <v>0.52206504276748</v>
      </c>
      <c r="I210">
        <v>0.63893672823040304</v>
      </c>
      <c r="J210">
        <v>1.11483813289846</v>
      </c>
      <c r="K210">
        <v>0.88643331380375101</v>
      </c>
      <c r="L210">
        <v>12391.472463152601</v>
      </c>
      <c r="M210">
        <v>250</v>
      </c>
      <c r="O210">
        <v>49.562716562403203</v>
      </c>
      <c r="P210">
        <v>-0.296121388723464</v>
      </c>
      <c r="Q210">
        <v>0.76517470631172202</v>
      </c>
      <c r="R210">
        <v>0.349004453746112</v>
      </c>
      <c r="S210" t="s">
        <v>6662</v>
      </c>
      <c r="T210" t="s">
        <v>12902</v>
      </c>
      <c r="U210" t="s">
        <v>12902</v>
      </c>
      <c r="V210" t="s">
        <v>12902</v>
      </c>
      <c r="W210" t="s">
        <v>13110</v>
      </c>
      <c r="X210">
        <v>3</v>
      </c>
      <c r="Y210" t="s">
        <v>19505</v>
      </c>
      <c r="Z210" t="s">
        <v>25785</v>
      </c>
      <c r="AA210">
        <v>0.84007222961295125</v>
      </c>
      <c r="AB210" t="str">
        <f>HYPERLINK("Melting_Curves/meltCurve_B5MBW9_CHCHD10.pdf", "Melting_Curves/meltCurve_B5MBW9_CHCHD10.pdf")</f>
        <v>Melting_Curves/meltCurve_B5MBW9_CHCHD10.pdf</v>
      </c>
    </row>
    <row r="211" spans="1:28" x14ac:dyDescent="0.25">
      <c r="A211" t="s">
        <v>215</v>
      </c>
      <c r="B211">
        <v>0.99673306730245903</v>
      </c>
      <c r="C211">
        <v>0.97560144453075703</v>
      </c>
      <c r="D211">
        <v>1.0181381844656501</v>
      </c>
      <c r="E211">
        <v>0.91518836888208499</v>
      </c>
      <c r="F211">
        <v>3.5050529069892602</v>
      </c>
      <c r="G211">
        <v>1.54145766101022</v>
      </c>
      <c r="H211">
        <v>1.9802589708558</v>
      </c>
      <c r="I211">
        <v>0.57555722630345096</v>
      </c>
      <c r="J211">
        <v>0.31292517682059301</v>
      </c>
      <c r="K211">
        <v>0.29350715496853902</v>
      </c>
      <c r="L211">
        <v>15000</v>
      </c>
      <c r="M211">
        <v>234.818512707021</v>
      </c>
      <c r="N211">
        <v>64.133792123355406</v>
      </c>
      <c r="O211">
        <v>63.874486791358201</v>
      </c>
      <c r="P211">
        <v>-0.64039679346033695</v>
      </c>
      <c r="Q211">
        <v>0.30320627656868199</v>
      </c>
      <c r="R211">
        <v>8.5428222032931905E-2</v>
      </c>
      <c r="S211" t="s">
        <v>6663</v>
      </c>
      <c r="T211" t="s">
        <v>12902</v>
      </c>
      <c r="U211" t="s">
        <v>12902</v>
      </c>
      <c r="V211" t="s">
        <v>12902</v>
      </c>
      <c r="W211" t="s">
        <v>13111</v>
      </c>
      <c r="X211">
        <v>18</v>
      </c>
      <c r="Y211" t="s">
        <v>19506</v>
      </c>
      <c r="Z211" t="s">
        <v>25786</v>
      </c>
      <c r="AA211">
        <v>0.85792219104651102</v>
      </c>
      <c r="AB211" t="str">
        <f>HYPERLINK("Melting_Curves/meltCurve_B5MBZ0_EML4.pdf", "Melting_Curves/meltCurve_B5MBZ0_EML4.pdf")</f>
        <v>Melting_Curves/meltCurve_B5MBZ0_EML4.pdf</v>
      </c>
    </row>
    <row r="212" spans="1:28" x14ac:dyDescent="0.25">
      <c r="A212" t="s">
        <v>216</v>
      </c>
      <c r="B212">
        <v>0.99673306730245903</v>
      </c>
      <c r="C212">
        <v>1.01492901271624</v>
      </c>
      <c r="D212">
        <v>0.97403972567650599</v>
      </c>
      <c r="E212">
        <v>0.867039099495583</v>
      </c>
      <c r="F212">
        <v>0.73961880933769297</v>
      </c>
      <c r="G212">
        <v>0.46432317131348699</v>
      </c>
      <c r="H212">
        <v>0.16652568419416999</v>
      </c>
      <c r="I212">
        <v>0.14321244696039601</v>
      </c>
      <c r="J212">
        <v>0.122858864646049</v>
      </c>
      <c r="K212">
        <v>0.104337459074206</v>
      </c>
      <c r="L212">
        <v>1074.7198972711899</v>
      </c>
      <c r="M212">
        <v>19.3648896341805</v>
      </c>
      <c r="N212">
        <v>55.9761509977251</v>
      </c>
      <c r="O212">
        <v>54.916704295019599</v>
      </c>
      <c r="P212">
        <v>-8.1443529457986094E-2</v>
      </c>
      <c r="Q212">
        <v>7.6174487251732606E-2</v>
      </c>
      <c r="R212">
        <v>0.99499256218977705</v>
      </c>
      <c r="S212" t="s">
        <v>6664</v>
      </c>
      <c r="T212" t="s">
        <v>12902</v>
      </c>
      <c r="U212" t="s">
        <v>12902</v>
      </c>
      <c r="V212" t="s">
        <v>12902</v>
      </c>
      <c r="W212" t="s">
        <v>13112</v>
      </c>
      <c r="X212">
        <v>3</v>
      </c>
      <c r="Y212" t="s">
        <v>19507</v>
      </c>
      <c r="Z212" t="s">
        <v>25787</v>
      </c>
      <c r="AA212">
        <v>0.56611962093270718</v>
      </c>
      <c r="AB212" t="str">
        <f>HYPERLINK("Melting_Curves/meltCurve_B5MC53_MPV17.pdf", "Melting_Curves/meltCurve_B5MC53_MPV17.pdf")</f>
        <v>Melting_Curves/meltCurve_B5MC53_MPV17.pdf</v>
      </c>
    </row>
    <row r="213" spans="1:28" x14ac:dyDescent="0.25">
      <c r="A213" t="s">
        <v>217</v>
      </c>
      <c r="B213">
        <v>0.99673306730245903</v>
      </c>
      <c r="C213">
        <v>0.93092560056590701</v>
      </c>
      <c r="D213">
        <v>0.88650721742350302</v>
      </c>
      <c r="E213">
        <v>0.74650831783756899</v>
      </c>
      <c r="F213">
        <v>0.60396818930861895</v>
      </c>
      <c r="G213">
        <v>0.53654058829836904</v>
      </c>
      <c r="H213">
        <v>0.41693408155101003</v>
      </c>
      <c r="I213">
        <v>0.43989791471664103</v>
      </c>
      <c r="J213">
        <v>0.36372922682361303</v>
      </c>
      <c r="K213">
        <v>0.235661292363152</v>
      </c>
      <c r="L213">
        <v>469.28091429980401</v>
      </c>
      <c r="M213">
        <v>8.6179461529443895</v>
      </c>
      <c r="N213">
        <v>57.880605426556798</v>
      </c>
      <c r="O213">
        <v>51.7598553992052</v>
      </c>
      <c r="P213">
        <v>-3.3335966216621798E-2</v>
      </c>
      <c r="Q213">
        <v>0.199813987085978</v>
      </c>
      <c r="R213">
        <v>0.97870975668328997</v>
      </c>
      <c r="S213" t="s">
        <v>6665</v>
      </c>
      <c r="T213" t="s">
        <v>12902</v>
      </c>
      <c r="U213" t="s">
        <v>12902</v>
      </c>
      <c r="V213" t="s">
        <v>12902</v>
      </c>
      <c r="W213" t="s">
        <v>13113</v>
      </c>
      <c r="X213">
        <v>21</v>
      </c>
      <c r="Y213" t="s">
        <v>19508</v>
      </c>
      <c r="Z213" t="s">
        <v>25788</v>
      </c>
      <c r="AA213">
        <v>0.60956969146205986</v>
      </c>
      <c r="AB213" t="str">
        <f>HYPERLINK("Melting_Curves/meltCurve_B5MCA4_EPCAM.pdf", "Melting_Curves/meltCurve_B5MCA4_EPCAM.pdf")</f>
        <v>Melting_Curves/meltCurve_B5MCA4_EPCAM.pdf</v>
      </c>
    </row>
    <row r="214" spans="1:28" x14ac:dyDescent="0.25">
      <c r="A214" t="s">
        <v>218</v>
      </c>
      <c r="B214">
        <v>0.99673306730245903</v>
      </c>
      <c r="C214">
        <v>0.75936907692773303</v>
      </c>
      <c r="D214">
        <v>0.41412573950558301</v>
      </c>
      <c r="E214">
        <v>0.25172404967586798</v>
      </c>
      <c r="F214">
        <v>0.16444833315910801</v>
      </c>
      <c r="G214">
        <v>0.104508724224493</v>
      </c>
      <c r="H214">
        <v>7.3490739489081497E-2</v>
      </c>
      <c r="I214">
        <v>7.3227060794671298E-2</v>
      </c>
      <c r="J214">
        <v>8.1453903799180799E-2</v>
      </c>
      <c r="K214">
        <v>7.9307727095178707E-2</v>
      </c>
      <c r="L214">
        <v>924.44753188981099</v>
      </c>
      <c r="M214">
        <v>20.503351766789699</v>
      </c>
      <c r="N214">
        <v>45.519823032857502</v>
      </c>
      <c r="O214">
        <v>44.665302138439003</v>
      </c>
      <c r="P214">
        <v>-0.104614308614508</v>
      </c>
      <c r="Q214">
        <v>8.8443338856828896E-2</v>
      </c>
      <c r="R214">
        <v>0.99071849699618098</v>
      </c>
      <c r="S214" t="s">
        <v>6666</v>
      </c>
      <c r="T214" t="s">
        <v>12902</v>
      </c>
      <c r="U214" t="s">
        <v>12902</v>
      </c>
      <c r="V214" t="s">
        <v>12902</v>
      </c>
      <c r="W214" t="s">
        <v>13114</v>
      </c>
      <c r="X214">
        <v>9</v>
      </c>
      <c r="Y214" t="s">
        <v>19509</v>
      </c>
      <c r="Z214" t="s">
        <v>25789</v>
      </c>
      <c r="AA214">
        <v>0.25745222096957843</v>
      </c>
      <c r="AB214" t="str">
        <f>HYPERLINK("Melting_Curves/meltCurve_B5MCF9_PES1.pdf", "Melting_Curves/meltCurve_B5MCF9_PES1.pdf")</f>
        <v>Melting_Curves/meltCurve_B5MCF9_PES1.pdf</v>
      </c>
    </row>
    <row r="215" spans="1:28" x14ac:dyDescent="0.25">
      <c r="A215" t="s">
        <v>219</v>
      </c>
      <c r="B215">
        <v>0.99673306730245903</v>
      </c>
      <c r="C215">
        <v>1.0159646193243801</v>
      </c>
      <c r="D215">
        <v>0.914539415545646</v>
      </c>
      <c r="E215">
        <v>0.69108002228449095</v>
      </c>
      <c r="F215">
        <v>0.24189838077206999</v>
      </c>
      <c r="G215">
        <v>0.16331289806183599</v>
      </c>
      <c r="H215">
        <v>0.11348573036030001</v>
      </c>
      <c r="I215">
        <v>0.109149911624549</v>
      </c>
      <c r="J215">
        <v>0.12776084895349701</v>
      </c>
      <c r="K215">
        <v>0.101259396492819</v>
      </c>
      <c r="L215">
        <v>1546.5773911502699</v>
      </c>
      <c r="M215">
        <v>30.6486802445995</v>
      </c>
      <c r="N215">
        <v>50.887266942281798</v>
      </c>
      <c r="O215">
        <v>50.248101104750397</v>
      </c>
      <c r="P215">
        <v>-0.13524062490302</v>
      </c>
      <c r="Q215">
        <v>0.113104541665213</v>
      </c>
      <c r="R215">
        <v>0.99730216807123095</v>
      </c>
      <c r="S215" t="s">
        <v>6667</v>
      </c>
      <c r="T215" t="s">
        <v>12902</v>
      </c>
      <c r="U215" t="s">
        <v>12902</v>
      </c>
      <c r="V215" t="s">
        <v>12902</v>
      </c>
      <c r="W215" t="s">
        <v>13115</v>
      </c>
      <c r="X215">
        <v>8</v>
      </c>
      <c r="Y215" t="s">
        <v>19510</v>
      </c>
      <c r="Z215" t="s">
        <v>25790</v>
      </c>
      <c r="AA215">
        <v>0.42767281666535101</v>
      </c>
      <c r="AB215" t="str">
        <f>HYPERLINK("Melting_Curves/meltCurve_B5MCT7_PPM1F.pdf", "Melting_Curves/meltCurve_B5MCT7_PPM1F.pdf")</f>
        <v>Melting_Curves/meltCurve_B5MCT7_PPM1F.pdf</v>
      </c>
    </row>
    <row r="216" spans="1:28" x14ac:dyDescent="0.25">
      <c r="A216" t="s">
        <v>220</v>
      </c>
      <c r="B216">
        <v>0.99673306730245903</v>
      </c>
      <c r="C216">
        <v>0.89070540262290998</v>
      </c>
      <c r="D216">
        <v>0.87273558256867501</v>
      </c>
      <c r="E216">
        <v>0.74275231149514498</v>
      </c>
      <c r="F216">
        <v>0.66818207808438301</v>
      </c>
      <c r="G216">
        <v>0.57066296463052801</v>
      </c>
      <c r="H216">
        <v>0.481655555604037</v>
      </c>
      <c r="I216">
        <v>0.52365297388685805</v>
      </c>
      <c r="J216">
        <v>0.26751958203780901</v>
      </c>
      <c r="K216">
        <v>9.2955572722408203E-2</v>
      </c>
      <c r="L216">
        <v>411.74511764180801</v>
      </c>
      <c r="M216">
        <v>6.9900551469850498</v>
      </c>
      <c r="N216">
        <v>58.904419812760402</v>
      </c>
      <c r="O216">
        <v>54.651538276288797</v>
      </c>
      <c r="P216">
        <v>-3.2035156281207101E-2</v>
      </c>
      <c r="Q216">
        <v>0</v>
      </c>
      <c r="R216">
        <v>0.92225545164586498</v>
      </c>
      <c r="S216" t="s">
        <v>6668</v>
      </c>
      <c r="T216" t="s">
        <v>12902</v>
      </c>
      <c r="U216" t="s">
        <v>12902</v>
      </c>
      <c r="V216" t="s">
        <v>12902</v>
      </c>
      <c r="W216" t="s">
        <v>13116</v>
      </c>
      <c r="X216">
        <v>2</v>
      </c>
      <c r="Y216" t="s">
        <v>19511</v>
      </c>
      <c r="Z216" t="s">
        <v>25791</v>
      </c>
      <c r="AA216">
        <v>0.61895529291306128</v>
      </c>
      <c r="AB216" t="str">
        <f>HYPERLINK("Melting_Curves/meltCurve_B5MDE0_RFT1.pdf", "Melting_Curves/meltCurve_B5MDE0_RFT1.pdf")</f>
        <v>Melting_Curves/meltCurve_B5MDE0_RFT1.pdf</v>
      </c>
    </row>
    <row r="217" spans="1:28" x14ac:dyDescent="0.25">
      <c r="A217" t="s">
        <v>221</v>
      </c>
      <c r="B217">
        <v>0.99673306730245903</v>
      </c>
      <c r="C217">
        <v>1.0356556873804501</v>
      </c>
      <c r="D217">
        <v>0.93630651253017905</v>
      </c>
      <c r="E217">
        <v>0.71243853164394699</v>
      </c>
      <c r="F217">
        <v>0.31585529763645298</v>
      </c>
      <c r="G217">
        <v>0.18791040526303801</v>
      </c>
      <c r="H217">
        <v>0.106837403081398</v>
      </c>
      <c r="I217">
        <v>9.32780360375704E-2</v>
      </c>
      <c r="J217">
        <v>8.7937030330401303E-2</v>
      </c>
      <c r="K217">
        <v>6.6146619185376607E-2</v>
      </c>
      <c r="L217">
        <v>1260.5941789542701</v>
      </c>
      <c r="M217">
        <v>24.6750302717709</v>
      </c>
      <c r="N217">
        <v>51.481518038593698</v>
      </c>
      <c r="O217">
        <v>50.755845896755503</v>
      </c>
      <c r="P217">
        <v>-0.111090028789566</v>
      </c>
      <c r="Q217">
        <v>8.5976647408621196E-2</v>
      </c>
      <c r="R217">
        <v>0.99751655249218996</v>
      </c>
      <c r="S217" t="s">
        <v>6669</v>
      </c>
      <c r="T217" t="s">
        <v>12902</v>
      </c>
      <c r="U217" t="s">
        <v>12902</v>
      </c>
      <c r="V217" t="s">
        <v>12902</v>
      </c>
      <c r="W217" t="s">
        <v>13117</v>
      </c>
      <c r="X217">
        <v>7</v>
      </c>
      <c r="Y217" t="s">
        <v>19512</v>
      </c>
      <c r="Z217" t="s">
        <v>25792</v>
      </c>
      <c r="AA217">
        <v>0.43227507827081191</v>
      </c>
      <c r="AB217" t="str">
        <f>HYPERLINK("Melting_Curves/meltCurve_B5MDU6_C2orf43.pdf", "Melting_Curves/meltCurve_B5MDU6_C2orf43.pdf")</f>
        <v>Melting_Curves/meltCurve_B5MDU6_C2orf43.pdf</v>
      </c>
    </row>
    <row r="218" spans="1:28" x14ac:dyDescent="0.25">
      <c r="A218" t="s">
        <v>222</v>
      </c>
      <c r="B218">
        <v>0.99673306730245903</v>
      </c>
      <c r="C218">
        <v>0.85862707005636396</v>
      </c>
      <c r="D218">
        <v>0.52753098286334499</v>
      </c>
      <c r="E218">
        <v>0.25089802656861898</v>
      </c>
      <c r="F218">
        <v>0.17959436767991799</v>
      </c>
      <c r="G218">
        <v>9.7498289804728702E-2</v>
      </c>
      <c r="H218">
        <v>6.1096114107308801E-2</v>
      </c>
      <c r="I218">
        <v>5.0590155842781703E-2</v>
      </c>
      <c r="J218">
        <v>6.6355931761506198E-2</v>
      </c>
      <c r="K218">
        <v>8.0219317717075397E-2</v>
      </c>
      <c r="L218">
        <v>959.23602439590695</v>
      </c>
      <c r="M218">
        <v>20.7801375647066</v>
      </c>
      <c r="N218">
        <v>46.515273217779601</v>
      </c>
      <c r="O218">
        <v>45.740077915775103</v>
      </c>
      <c r="P218">
        <v>-0.105271977040579</v>
      </c>
      <c r="Q218">
        <v>7.3150691985142804E-2</v>
      </c>
      <c r="R218">
        <v>0.99490547337452095</v>
      </c>
      <c r="S218" t="s">
        <v>6670</v>
      </c>
      <c r="T218" t="s">
        <v>12902</v>
      </c>
      <c r="U218" t="s">
        <v>12902</v>
      </c>
      <c r="V218" t="s">
        <v>12902</v>
      </c>
      <c r="W218" t="s">
        <v>13118</v>
      </c>
      <c r="X218">
        <v>2</v>
      </c>
      <c r="Y218" t="s">
        <v>19513</v>
      </c>
      <c r="Z218" t="s">
        <v>25793</v>
      </c>
      <c r="AA218">
        <v>0.27648706698887632</v>
      </c>
      <c r="AB218" t="str">
        <f>HYPERLINK("Melting_Curves/meltCurve_B5ME25_METTL8.pdf", "Melting_Curves/meltCurve_B5ME25_METTL8.pdf")</f>
        <v>Melting_Curves/meltCurve_B5ME25_METTL8.pdf</v>
      </c>
    </row>
    <row r="219" spans="1:28" x14ac:dyDescent="0.25">
      <c r="A219" t="s">
        <v>223</v>
      </c>
      <c r="B219">
        <v>0.99673306730245903</v>
      </c>
      <c r="C219">
        <v>0.88917936703508704</v>
      </c>
      <c r="D219">
        <v>0.892021616483192</v>
      </c>
      <c r="E219">
        <v>0.74151088704932799</v>
      </c>
      <c r="F219">
        <v>0.64059658630638505</v>
      </c>
      <c r="G219">
        <v>0.62928566210609804</v>
      </c>
      <c r="H219">
        <v>0.53563012655826103</v>
      </c>
      <c r="I219">
        <v>0.60468842064177797</v>
      </c>
      <c r="J219">
        <v>0.69997652130202903</v>
      </c>
      <c r="K219">
        <v>0.62665640395202704</v>
      </c>
      <c r="L219">
        <v>842.00112903960303</v>
      </c>
      <c r="M219">
        <v>17.761320787451801</v>
      </c>
      <c r="O219">
        <v>46.8177348082937</v>
      </c>
      <c r="P219">
        <v>-3.6859493898934101E-2</v>
      </c>
      <c r="Q219">
        <v>0.61138277451601697</v>
      </c>
      <c r="R219">
        <v>0.90293264824744801</v>
      </c>
      <c r="S219" t="s">
        <v>6671</v>
      </c>
      <c r="T219" t="s">
        <v>12902</v>
      </c>
      <c r="U219" t="s">
        <v>12902</v>
      </c>
      <c r="V219" t="s">
        <v>12902</v>
      </c>
      <c r="W219" t="s">
        <v>13119</v>
      </c>
      <c r="X219">
        <v>4</v>
      </c>
      <c r="Y219" t="s">
        <v>19514</v>
      </c>
      <c r="Z219" t="s">
        <v>25794</v>
      </c>
      <c r="AA219">
        <v>0.71456980749263244</v>
      </c>
      <c r="AB219" t="str">
        <f>HYPERLINK("Melting_Curves/meltCurve_B5MEC7_PPP1R12C.pdf", "Melting_Curves/meltCurve_B5MEC7_PPP1R12C.pdf")</f>
        <v>Melting_Curves/meltCurve_B5MEC7_PPP1R12C.pdf</v>
      </c>
    </row>
    <row r="220" spans="1:28" x14ac:dyDescent="0.25">
      <c r="A220" t="s">
        <v>224</v>
      </c>
      <c r="B220">
        <v>0.99673306730245903</v>
      </c>
      <c r="C220">
        <v>0.82970485669440797</v>
      </c>
      <c r="D220">
        <v>0.53344217708634301</v>
      </c>
      <c r="E220">
        <v>0.25075888189291701</v>
      </c>
      <c r="F220">
        <v>0.229828669172574</v>
      </c>
      <c r="G220">
        <v>0.146178865744825</v>
      </c>
      <c r="H220">
        <v>0.10625010583614999</v>
      </c>
      <c r="I220">
        <v>0.12671733159429699</v>
      </c>
      <c r="J220">
        <v>0.15711399736041501</v>
      </c>
      <c r="K220">
        <v>0.128201598256757</v>
      </c>
      <c r="L220">
        <v>1013.6130697687699</v>
      </c>
      <c r="M220">
        <v>22.186303183764799</v>
      </c>
      <c r="N220">
        <v>46.358829488846403</v>
      </c>
      <c r="O220">
        <v>45.320125266783201</v>
      </c>
      <c r="P220">
        <v>-0.105551408537855</v>
      </c>
      <c r="Q220">
        <v>0.137576051077446</v>
      </c>
      <c r="R220">
        <v>0.99337396789285204</v>
      </c>
      <c r="S220" t="s">
        <v>6672</v>
      </c>
      <c r="T220" t="s">
        <v>12902</v>
      </c>
      <c r="U220" t="s">
        <v>12902</v>
      </c>
      <c r="V220" t="s">
        <v>12902</v>
      </c>
      <c r="W220" t="s">
        <v>13120</v>
      </c>
      <c r="X220">
        <v>8</v>
      </c>
      <c r="Y220" t="s">
        <v>19515</v>
      </c>
      <c r="Z220" t="s">
        <v>25795</v>
      </c>
      <c r="AA220">
        <v>0.3117760414068026</v>
      </c>
      <c r="AB220" t="str">
        <f>HYPERLINK("Melting_Curves/meltCurve_B7WP27_CWC22.pdf", "Melting_Curves/meltCurve_B7WP27_CWC22.pdf")</f>
        <v>Melting_Curves/meltCurve_B7WP27_CWC22.pdf</v>
      </c>
    </row>
    <row r="221" spans="1:28" x14ac:dyDescent="0.25">
      <c r="A221" t="s">
        <v>225</v>
      </c>
      <c r="B221">
        <v>0.99673306730245903</v>
      </c>
      <c r="C221">
        <v>0.91895573056719304</v>
      </c>
      <c r="D221">
        <v>0.91652141389533004</v>
      </c>
      <c r="E221">
        <v>0.82838632251745303</v>
      </c>
      <c r="F221">
        <v>0.42970445406138102</v>
      </c>
      <c r="G221">
        <v>0.22539879202181401</v>
      </c>
      <c r="H221">
        <v>0.13957195681397699</v>
      </c>
      <c r="I221">
        <v>0.12789365161527999</v>
      </c>
      <c r="J221">
        <v>0.14080513850912099</v>
      </c>
      <c r="K221">
        <v>0.11828988540185</v>
      </c>
      <c r="L221">
        <v>1280.3316791290599</v>
      </c>
      <c r="M221">
        <v>24.607910399315902</v>
      </c>
      <c r="N221">
        <v>52.627254117672699</v>
      </c>
      <c r="O221">
        <v>51.689325778418599</v>
      </c>
      <c r="P221">
        <v>-0.104504297780991</v>
      </c>
      <c r="Q221">
        <v>0.121960496075423</v>
      </c>
      <c r="R221">
        <v>0.99255617751644198</v>
      </c>
      <c r="S221" t="s">
        <v>6673</v>
      </c>
      <c r="T221" t="s">
        <v>12902</v>
      </c>
      <c r="U221" t="s">
        <v>12902</v>
      </c>
      <c r="V221" t="s">
        <v>12902</v>
      </c>
      <c r="W221" t="s">
        <v>13121</v>
      </c>
      <c r="X221">
        <v>13</v>
      </c>
      <c r="Y221" t="s">
        <v>19516</v>
      </c>
      <c r="Z221" t="s">
        <v>25796</v>
      </c>
      <c r="AA221">
        <v>0.48229803731597048</v>
      </c>
      <c r="AB221" t="str">
        <f>HYPERLINK("Melting_Curves/meltCurve_B7WPE2_EML3.pdf", "Melting_Curves/meltCurve_B7WPE2_EML3.pdf")</f>
        <v>Melting_Curves/meltCurve_B7WPE2_EML3.pdf</v>
      </c>
    </row>
    <row r="222" spans="1:28" x14ac:dyDescent="0.25">
      <c r="A222" t="s">
        <v>226</v>
      </c>
      <c r="B222">
        <v>0.99673306730245903</v>
      </c>
      <c r="C222">
        <v>0.85325363581658598</v>
      </c>
      <c r="D222">
        <v>0.52188931895313095</v>
      </c>
      <c r="E222">
        <v>0.22311955830992999</v>
      </c>
      <c r="F222">
        <v>0.16037769361485299</v>
      </c>
      <c r="G222">
        <v>0.108864357250701</v>
      </c>
      <c r="H222">
        <v>6.7157889168467599E-2</v>
      </c>
      <c r="I222">
        <v>6.3095379390541495E-2</v>
      </c>
      <c r="J222">
        <v>1.9982983351715701E-2</v>
      </c>
      <c r="K222">
        <v>2.2814211346061201E-2</v>
      </c>
      <c r="L222">
        <v>964.08392149669999</v>
      </c>
      <c r="M222">
        <v>20.899829207035602</v>
      </c>
      <c r="N222">
        <v>46.395596456827498</v>
      </c>
      <c r="O222">
        <v>45.7127049444126</v>
      </c>
      <c r="P222">
        <v>-0.107830963322674</v>
      </c>
      <c r="Q222">
        <v>5.6621854018906598E-2</v>
      </c>
      <c r="R222">
        <v>0.99308484926963403</v>
      </c>
      <c r="S222" t="s">
        <v>6674</v>
      </c>
      <c r="T222" t="s">
        <v>12902</v>
      </c>
      <c r="U222" t="s">
        <v>12902</v>
      </c>
      <c r="V222" t="s">
        <v>12902</v>
      </c>
      <c r="W222" t="s">
        <v>13122</v>
      </c>
      <c r="X222">
        <v>4</v>
      </c>
      <c r="Y222" t="s">
        <v>19517</v>
      </c>
      <c r="Z222" t="s">
        <v>25797</v>
      </c>
      <c r="AA222">
        <v>0.26241913328031458</v>
      </c>
      <c r="AB222" t="str">
        <f>HYPERLINK("Melting_Curves/meltCurve_B7WPL0_RIC8B.pdf", "Melting_Curves/meltCurve_B7WPL0_RIC8B.pdf")</f>
        <v>Melting_Curves/meltCurve_B7WPL0_RIC8B.pdf</v>
      </c>
    </row>
    <row r="223" spans="1:28" x14ac:dyDescent="0.25">
      <c r="A223" t="s">
        <v>227</v>
      </c>
      <c r="B223">
        <v>0.99673306730245903</v>
      </c>
      <c r="C223">
        <v>0.87661084535095901</v>
      </c>
      <c r="D223">
        <v>1.0318468571317201</v>
      </c>
      <c r="E223">
        <v>0.95459157473245104</v>
      </c>
      <c r="F223">
        <v>0.78400907816995902</v>
      </c>
      <c r="G223">
        <v>0.46802666446168301</v>
      </c>
      <c r="H223">
        <v>0.372402062104908</v>
      </c>
      <c r="I223">
        <v>0.30338058457398698</v>
      </c>
      <c r="J223">
        <v>0.20218400206804499</v>
      </c>
      <c r="K223">
        <v>0.27011963430293801</v>
      </c>
      <c r="L223">
        <v>1291.0831297202401</v>
      </c>
      <c r="M223">
        <v>23.433610853570698</v>
      </c>
      <c r="N223">
        <v>56.793768002031896</v>
      </c>
      <c r="O223">
        <v>54.698835083003601</v>
      </c>
      <c r="P223">
        <v>-8.0124958484243697E-2</v>
      </c>
      <c r="Q223">
        <v>0.251900907226209</v>
      </c>
      <c r="R223">
        <v>0.97572782031812499</v>
      </c>
      <c r="S223" t="s">
        <v>6675</v>
      </c>
      <c r="T223" t="s">
        <v>12902</v>
      </c>
      <c r="U223" t="s">
        <v>12902</v>
      </c>
      <c r="V223" t="s">
        <v>12902</v>
      </c>
      <c r="W223" t="s">
        <v>13123</v>
      </c>
      <c r="X223">
        <v>1</v>
      </c>
      <c r="Y223" t="s">
        <v>19518</v>
      </c>
      <c r="Z223" t="s">
        <v>25798</v>
      </c>
      <c r="AA223">
        <v>0.63605708486322143</v>
      </c>
      <c r="AB223" t="str">
        <f>HYPERLINK("Melting_Curves/meltCurve_B7Z1U0_CNNM4.pdf", "Melting_Curves/meltCurve_B7Z1U0_CNNM4.pdf")</f>
        <v>Melting_Curves/meltCurve_B7Z1U0_CNNM4.pdf</v>
      </c>
    </row>
    <row r="224" spans="1:28" x14ac:dyDescent="0.25">
      <c r="A224" t="s">
        <v>228</v>
      </c>
      <c r="B224">
        <v>0.99673306730245903</v>
      </c>
      <c r="C224">
        <v>0.99158122300623597</v>
      </c>
      <c r="D224">
        <v>0.77805010476709202</v>
      </c>
      <c r="E224">
        <v>0.58721693160030797</v>
      </c>
      <c r="F224">
        <v>0.36605262609682498</v>
      </c>
      <c r="G224">
        <v>0.32961250514789098</v>
      </c>
      <c r="H224">
        <v>0.168218172363126</v>
      </c>
      <c r="I224">
        <v>0.19354937180825599</v>
      </c>
      <c r="J224">
        <v>0.199228600025775</v>
      </c>
      <c r="K224">
        <v>0.170398542799964</v>
      </c>
      <c r="L224">
        <v>788.01639253342705</v>
      </c>
      <c r="M224">
        <v>15.8946207418524</v>
      </c>
      <c r="N224">
        <v>50.929589004516401</v>
      </c>
      <c r="O224">
        <v>48.8127012942401</v>
      </c>
      <c r="P224">
        <v>-6.7400113363258199E-2</v>
      </c>
      <c r="Q224">
        <v>0.17211820700584701</v>
      </c>
      <c r="R224">
        <v>0.98927649737466505</v>
      </c>
      <c r="S224" t="s">
        <v>6676</v>
      </c>
      <c r="T224" t="s">
        <v>12902</v>
      </c>
      <c r="U224" t="s">
        <v>12902</v>
      </c>
      <c r="V224" t="s">
        <v>12902</v>
      </c>
      <c r="W224" t="s">
        <v>13124</v>
      </c>
      <c r="X224">
        <v>3</v>
      </c>
      <c r="Y224" t="s">
        <v>19519</v>
      </c>
      <c r="Z224" t="s">
        <v>25799</v>
      </c>
      <c r="AA224">
        <v>0.45441476703723049</v>
      </c>
      <c r="AB224" t="str">
        <f>HYPERLINK("Melting_Curves/meltCurve_B7Z202_DTNB.pdf", "Melting_Curves/meltCurve_B7Z202_DTNB.pdf")</f>
        <v>Melting_Curves/meltCurve_B7Z202_DTNB.pdf</v>
      </c>
    </row>
    <row r="225" spans="1:28" x14ac:dyDescent="0.25">
      <c r="A225" t="s">
        <v>229</v>
      </c>
      <c r="B225">
        <v>0.99673306730245903</v>
      </c>
      <c r="C225">
        <v>0.95964799413425295</v>
      </c>
      <c r="D225">
        <v>0.93958854988373197</v>
      </c>
      <c r="E225">
        <v>0.99227647064081004</v>
      </c>
      <c r="F225">
        <v>0.73305584567436899</v>
      </c>
      <c r="G225">
        <v>0.29344662414094702</v>
      </c>
      <c r="H225">
        <v>0.13604232670878399</v>
      </c>
      <c r="I225">
        <v>0.11178124189609499</v>
      </c>
      <c r="J225">
        <v>9.9442402390802806E-2</v>
      </c>
      <c r="K225">
        <v>7.4734374519470098E-2</v>
      </c>
      <c r="L225">
        <v>1803.5404063303099</v>
      </c>
      <c r="M225">
        <v>33.010353144381398</v>
      </c>
      <c r="N225">
        <v>54.985865372463103</v>
      </c>
      <c r="O225">
        <v>54.436261197291898</v>
      </c>
      <c r="P225">
        <v>-0.13722644093050201</v>
      </c>
      <c r="Q225">
        <v>9.4822028291539406E-2</v>
      </c>
      <c r="R225">
        <v>0.99610662853883103</v>
      </c>
      <c r="S225" t="s">
        <v>6677</v>
      </c>
      <c r="T225" t="s">
        <v>12902</v>
      </c>
      <c r="U225" t="s">
        <v>12902</v>
      </c>
      <c r="V225" t="s">
        <v>12902</v>
      </c>
      <c r="W225" t="s">
        <v>13125</v>
      </c>
      <c r="X225">
        <v>27</v>
      </c>
      <c r="Y225" t="s">
        <v>19520</v>
      </c>
      <c r="Z225" t="s">
        <v>25800</v>
      </c>
      <c r="AA225">
        <v>0.5413946034126077</v>
      </c>
      <c r="AB225" t="str">
        <f>HYPERLINK("Melting_Curves/meltCurve_B7Z254_PDIA6.pdf", "Melting_Curves/meltCurve_B7Z254_PDIA6.pdf")</f>
        <v>Melting_Curves/meltCurve_B7Z254_PDIA6.pdf</v>
      </c>
    </row>
    <row r="226" spans="1:28" x14ac:dyDescent="0.25">
      <c r="A226" t="s">
        <v>230</v>
      </c>
      <c r="B226">
        <v>0.99673306730245903</v>
      </c>
      <c r="C226">
        <v>0.894920601601494</v>
      </c>
      <c r="D226">
        <v>0.67638740256653196</v>
      </c>
      <c r="E226">
        <v>0.33509937752135199</v>
      </c>
      <c r="F226">
        <v>0.1594438813681</v>
      </c>
      <c r="G226">
        <v>0.10881217731314601</v>
      </c>
      <c r="H226">
        <v>7.8965183143027098E-2</v>
      </c>
      <c r="I226">
        <v>7.6842413197607706E-2</v>
      </c>
      <c r="J226">
        <v>7.3601998350027995E-2</v>
      </c>
      <c r="K226">
        <v>5.8056564516290599E-2</v>
      </c>
      <c r="L226">
        <v>965.37813731306596</v>
      </c>
      <c r="M226">
        <v>20.366713907536798</v>
      </c>
      <c r="N226">
        <v>47.7474727541682</v>
      </c>
      <c r="O226">
        <v>46.949924897290401</v>
      </c>
      <c r="P226">
        <v>-0.10097858020950599</v>
      </c>
      <c r="Q226">
        <v>6.8913411229096E-2</v>
      </c>
      <c r="R226">
        <v>0.99949847203711695</v>
      </c>
      <c r="S226" t="s">
        <v>6678</v>
      </c>
      <c r="T226" t="s">
        <v>12902</v>
      </c>
      <c r="U226" t="s">
        <v>12902</v>
      </c>
      <c r="V226" t="s">
        <v>12902</v>
      </c>
      <c r="W226" t="s">
        <v>13126</v>
      </c>
      <c r="X226">
        <v>3</v>
      </c>
      <c r="Y226" t="s">
        <v>19521</v>
      </c>
      <c r="Z226" t="s">
        <v>25801</v>
      </c>
      <c r="AA226">
        <v>0.31149193364700328</v>
      </c>
      <c r="AB226" t="str">
        <f>HYPERLINK("Melting_Curves/meltCurve_B7Z2Y5_RPS6KA5.pdf", "Melting_Curves/meltCurve_B7Z2Y5_RPS6KA5.pdf")</f>
        <v>Melting_Curves/meltCurve_B7Z2Y5_RPS6KA5.pdf</v>
      </c>
    </row>
    <row r="227" spans="1:28" x14ac:dyDescent="0.25">
      <c r="A227" t="s">
        <v>231</v>
      </c>
      <c r="B227">
        <v>0.99673306730245903</v>
      </c>
      <c r="C227">
        <v>0.920635270702169</v>
      </c>
      <c r="D227">
        <v>0.84056219260728104</v>
      </c>
      <c r="E227">
        <v>0.53915981044571804</v>
      </c>
      <c r="F227">
        <v>0.31237887316805302</v>
      </c>
      <c r="G227">
        <v>0.205904926322306</v>
      </c>
      <c r="H227">
        <v>0.140929416916977</v>
      </c>
      <c r="I227">
        <v>0.170289130296472</v>
      </c>
      <c r="J227">
        <v>0.28229395354254</v>
      </c>
      <c r="K227">
        <v>0.241446455684171</v>
      </c>
      <c r="L227">
        <v>1091.52956605695</v>
      </c>
      <c r="M227">
        <v>22.369886411391299</v>
      </c>
      <c r="N227">
        <v>49.938133549885698</v>
      </c>
      <c r="O227">
        <v>48.409694123095299</v>
      </c>
      <c r="P227">
        <v>-9.2371657403961305E-2</v>
      </c>
      <c r="Q227">
        <v>0.20042709737495901</v>
      </c>
      <c r="R227">
        <v>0.98326248035137598</v>
      </c>
      <c r="S227" t="s">
        <v>6679</v>
      </c>
      <c r="T227" t="s">
        <v>12902</v>
      </c>
      <c r="U227" t="s">
        <v>12902</v>
      </c>
      <c r="V227" t="s">
        <v>12902</v>
      </c>
      <c r="W227" t="s">
        <v>13127</v>
      </c>
      <c r="X227">
        <v>4</v>
      </c>
      <c r="Y227" t="s">
        <v>19522</v>
      </c>
      <c r="Z227" t="s">
        <v>25802</v>
      </c>
      <c r="AA227">
        <v>0.44373438706274532</v>
      </c>
      <c r="AB227" t="str">
        <f>HYPERLINK("Melting_Curves/meltCurve_B7Z3D5_MTMR1.pdf", "Melting_Curves/meltCurve_B7Z3D5_MTMR1.pdf")</f>
        <v>Melting_Curves/meltCurve_B7Z3D5_MTMR1.pdf</v>
      </c>
    </row>
    <row r="228" spans="1:28" x14ac:dyDescent="0.25">
      <c r="A228" t="s">
        <v>232</v>
      </c>
      <c r="B228">
        <v>0.99673306730245903</v>
      </c>
      <c r="C228">
        <v>0.93090537739540902</v>
      </c>
      <c r="D228">
        <v>0.96849368512930101</v>
      </c>
      <c r="E228">
        <v>0.97837123688329597</v>
      </c>
      <c r="F228">
        <v>0.81430576114550801</v>
      </c>
      <c r="G228">
        <v>0.73781794313446902</v>
      </c>
      <c r="H228">
        <v>0.65300194782015397</v>
      </c>
      <c r="I228">
        <v>0.84419875768483299</v>
      </c>
      <c r="J228">
        <v>1.1445791934084899</v>
      </c>
      <c r="K228">
        <v>0.96492410249411698</v>
      </c>
      <c r="L228">
        <v>12484.3917728132</v>
      </c>
      <c r="M228">
        <v>250</v>
      </c>
      <c r="O228">
        <v>49.934350528486199</v>
      </c>
      <c r="P228">
        <v>-0.17547455268895701</v>
      </c>
      <c r="Q228">
        <v>0.85980461596598401</v>
      </c>
      <c r="R228">
        <v>0.136467779512985</v>
      </c>
      <c r="S228" t="s">
        <v>6680</v>
      </c>
      <c r="T228" t="s">
        <v>12902</v>
      </c>
      <c r="U228" t="s">
        <v>12902</v>
      </c>
      <c r="V228" t="s">
        <v>12902</v>
      </c>
      <c r="W228" t="s">
        <v>13128</v>
      </c>
      <c r="X228">
        <v>9</v>
      </c>
      <c r="Y228" t="s">
        <v>19523</v>
      </c>
      <c r="Z228" t="s">
        <v>25803</v>
      </c>
      <c r="AA228">
        <v>0.9062569371315321</v>
      </c>
      <c r="AB228" t="str">
        <f>HYPERLINK("Melting_Curves/meltCurve_B7Z3I9_ALAD.pdf", "Melting_Curves/meltCurve_B7Z3I9_ALAD.pdf")</f>
        <v>Melting_Curves/meltCurve_B7Z3I9_ALAD.pdf</v>
      </c>
    </row>
    <row r="229" spans="1:28" x14ac:dyDescent="0.25">
      <c r="A229" t="s">
        <v>233</v>
      </c>
      <c r="B229">
        <v>0.99673306730245903</v>
      </c>
      <c r="C229">
        <v>1.08218826579821</v>
      </c>
      <c r="D229">
        <v>1.16847881434673</v>
      </c>
      <c r="E229">
        <v>0.89768624491426197</v>
      </c>
      <c r="F229">
        <v>0.84096017907874299</v>
      </c>
      <c r="G229">
        <v>0.68720801146547805</v>
      </c>
      <c r="H229">
        <v>0.65173825991739198</v>
      </c>
      <c r="I229">
        <v>0.94934741962248803</v>
      </c>
      <c r="J229">
        <v>1.4621505711087199</v>
      </c>
      <c r="K229">
        <v>1.4320646589917501</v>
      </c>
      <c r="L229">
        <v>15000</v>
      </c>
      <c r="M229">
        <v>228.39624305149999</v>
      </c>
      <c r="O229">
        <v>65.670297620326906</v>
      </c>
      <c r="P229">
        <v>0.39015390494138602</v>
      </c>
      <c r="Q229">
        <v>1.4487205891466699</v>
      </c>
      <c r="R229">
        <v>0.57496775592232696</v>
      </c>
      <c r="S229" t="s">
        <v>6681</v>
      </c>
      <c r="T229" t="s">
        <v>12902</v>
      </c>
      <c r="U229" t="s">
        <v>12902</v>
      </c>
      <c r="V229" t="s">
        <v>12902</v>
      </c>
      <c r="W229" t="s">
        <v>13129</v>
      </c>
      <c r="X229">
        <v>18</v>
      </c>
      <c r="Y229" t="s">
        <v>19524</v>
      </c>
      <c r="Z229" t="s">
        <v>25804</v>
      </c>
      <c r="AA229">
        <v>1.0646235610887771</v>
      </c>
      <c r="AB229" t="str">
        <f>HYPERLINK("Melting_Curves/meltCurve_B7Z3P1_TBCE.pdf", "Melting_Curves/meltCurve_B7Z3P1_TBCE.pdf")</f>
        <v>Melting_Curves/meltCurve_B7Z3P1_TBCE.pdf</v>
      </c>
    </row>
    <row r="230" spans="1:28" x14ac:dyDescent="0.25">
      <c r="A230" t="s">
        <v>234</v>
      </c>
      <c r="B230">
        <v>0.99673306730245903</v>
      </c>
      <c r="C230">
        <v>1.0348410759203599</v>
      </c>
      <c r="D230">
        <v>1.2665355939098399</v>
      </c>
      <c r="E230">
        <v>1.0197451771497199</v>
      </c>
      <c r="F230">
        <v>0.54893723216914603</v>
      </c>
      <c r="G230">
        <v>0.48487415195202999</v>
      </c>
      <c r="H230">
        <v>0.18839284812735599</v>
      </c>
      <c r="I230">
        <v>4.1216066050799499E-2</v>
      </c>
      <c r="J230">
        <v>2.9899619143713502E-2</v>
      </c>
      <c r="K230">
        <v>2.0214917166910401E-2</v>
      </c>
      <c r="L230">
        <v>1095.75782939327</v>
      </c>
      <c r="M230">
        <v>19.698182072407</v>
      </c>
      <c r="N230">
        <v>55.6502025448344</v>
      </c>
      <c r="O230">
        <v>55.063571125715697</v>
      </c>
      <c r="P230">
        <v>-8.9077056727545706E-2</v>
      </c>
      <c r="Q230">
        <v>4.0235987640232498E-3</v>
      </c>
      <c r="R230">
        <v>0.93981926690828699</v>
      </c>
      <c r="S230" t="s">
        <v>6682</v>
      </c>
      <c r="T230" t="s">
        <v>12902</v>
      </c>
      <c r="U230" t="s">
        <v>12902</v>
      </c>
      <c r="V230" t="s">
        <v>12902</v>
      </c>
      <c r="W230" t="s">
        <v>13130</v>
      </c>
      <c r="X230">
        <v>48</v>
      </c>
      <c r="Y230" t="s">
        <v>19525</v>
      </c>
      <c r="Z230" t="s">
        <v>25805</v>
      </c>
      <c r="AA230">
        <v>0.53613169806079219</v>
      </c>
      <c r="AB230" t="str">
        <f>HYPERLINK("Melting_Curves/meltCurve_B7Z463_NPEPPS.pdf", "Melting_Curves/meltCurve_B7Z463_NPEPPS.pdf")</f>
        <v>Melting_Curves/meltCurve_B7Z463_NPEPPS.pdf</v>
      </c>
    </row>
    <row r="231" spans="1:28" x14ac:dyDescent="0.25">
      <c r="A231" t="s">
        <v>235</v>
      </c>
      <c r="B231">
        <v>0.99673306730245903</v>
      </c>
      <c r="C231">
        <v>0.90358961051106801</v>
      </c>
      <c r="D231">
        <v>0.82137758388724702</v>
      </c>
      <c r="E231">
        <v>0.64177777482113796</v>
      </c>
      <c r="F231">
        <v>0.44315173861556101</v>
      </c>
      <c r="G231">
        <v>0.17839023738301499</v>
      </c>
      <c r="H231">
        <v>7.4437765811465606E-2</v>
      </c>
      <c r="I231">
        <v>9.8296692890871201E-2</v>
      </c>
      <c r="J231">
        <v>0.124363391488169</v>
      </c>
      <c r="K231">
        <v>0.11542253693778801</v>
      </c>
      <c r="L231">
        <v>768.54302979791305</v>
      </c>
      <c r="M231">
        <v>15.084240628905899</v>
      </c>
      <c r="N231">
        <v>51.417900889837803</v>
      </c>
      <c r="O231">
        <v>50.079740416843102</v>
      </c>
      <c r="P231">
        <v>-7.0479542324839606E-2</v>
      </c>
      <c r="Q231">
        <v>6.4122614049580098E-2</v>
      </c>
      <c r="R231">
        <v>0.98767608682408103</v>
      </c>
      <c r="S231" t="s">
        <v>6683</v>
      </c>
      <c r="T231" t="s">
        <v>12902</v>
      </c>
      <c r="U231" t="s">
        <v>12902</v>
      </c>
      <c r="V231" t="s">
        <v>12902</v>
      </c>
      <c r="W231" t="s">
        <v>13131</v>
      </c>
      <c r="X231">
        <v>4</v>
      </c>
      <c r="Y231" t="s">
        <v>19526</v>
      </c>
      <c r="Z231" t="s">
        <v>25806</v>
      </c>
      <c r="AA231">
        <v>0.42717658157761917</v>
      </c>
      <c r="AB231" t="str">
        <f>HYPERLINK("Melting_Curves/meltCurve_B7Z493_FGD4.pdf", "Melting_Curves/meltCurve_B7Z493_FGD4.pdf")</f>
        <v>Melting_Curves/meltCurve_B7Z493_FGD4.pdf</v>
      </c>
    </row>
    <row r="232" spans="1:28" x14ac:dyDescent="0.25">
      <c r="A232" t="s">
        <v>236</v>
      </c>
      <c r="B232">
        <v>0.99673306730245903</v>
      </c>
      <c r="C232">
        <v>1.0368166486247199</v>
      </c>
      <c r="D232">
        <v>1.02525797849469</v>
      </c>
      <c r="E232">
        <v>1.03814437162811</v>
      </c>
      <c r="F232">
        <v>0.98798048900000002</v>
      </c>
      <c r="G232">
        <v>0.90428718875102998</v>
      </c>
      <c r="H232">
        <v>0.71950127980837097</v>
      </c>
      <c r="I232">
        <v>1.03771287780059</v>
      </c>
      <c r="J232">
        <v>1.3844536697680301</v>
      </c>
      <c r="K232">
        <v>1.1095166312117899</v>
      </c>
      <c r="L232">
        <v>15000</v>
      </c>
      <c r="M232">
        <v>232.66495837654799</v>
      </c>
      <c r="O232">
        <v>64.465622758823699</v>
      </c>
      <c r="P232">
        <v>0.22284791844761201</v>
      </c>
      <c r="Q232">
        <v>1.2469822739613401</v>
      </c>
      <c r="R232">
        <v>0.47649072207250398</v>
      </c>
      <c r="S232" t="s">
        <v>6684</v>
      </c>
      <c r="T232" t="s">
        <v>12902</v>
      </c>
      <c r="U232" t="s">
        <v>12902</v>
      </c>
      <c r="V232" t="s">
        <v>12902</v>
      </c>
      <c r="W232" t="s">
        <v>13132</v>
      </c>
      <c r="X232">
        <v>9</v>
      </c>
      <c r="Y232" t="s">
        <v>19527</v>
      </c>
      <c r="Z232" t="s">
        <v>25807</v>
      </c>
      <c r="AA232">
        <v>1.0454916114878841</v>
      </c>
      <c r="AB232" t="str">
        <f>HYPERLINK("Melting_Curves/meltCurve_B7Z4K6_DNASE2.pdf", "Melting_Curves/meltCurve_B7Z4K6_DNASE2.pdf")</f>
        <v>Melting_Curves/meltCurve_B7Z4K6_DNASE2.pdf</v>
      </c>
    </row>
    <row r="233" spans="1:28" x14ac:dyDescent="0.25">
      <c r="A233" t="s">
        <v>237</v>
      </c>
      <c r="B233">
        <v>0.99673306730245903</v>
      </c>
      <c r="C233">
        <v>0.88763012256205298</v>
      </c>
      <c r="D233">
        <v>0.89773453867202002</v>
      </c>
      <c r="E233">
        <v>0.74540047314626101</v>
      </c>
      <c r="F233">
        <v>0.70102591873567699</v>
      </c>
      <c r="G233">
        <v>0.53282410169891503</v>
      </c>
      <c r="H233">
        <v>0.39728137552722298</v>
      </c>
      <c r="I233">
        <v>0.35957681089321802</v>
      </c>
      <c r="J233">
        <v>0.29049495759302801</v>
      </c>
      <c r="K233">
        <v>0.143908558981301</v>
      </c>
      <c r="L233">
        <v>444.324352467587</v>
      </c>
      <c r="M233">
        <v>7.6718785448984299</v>
      </c>
      <c r="N233">
        <v>57.915986572172201</v>
      </c>
      <c r="O233">
        <v>54.374719149363102</v>
      </c>
      <c r="P233">
        <v>-3.5319815484200302E-2</v>
      </c>
      <c r="Q233">
        <v>0</v>
      </c>
      <c r="R233">
        <v>0.983021310595526</v>
      </c>
      <c r="S233" t="s">
        <v>6685</v>
      </c>
      <c r="T233" t="s">
        <v>12902</v>
      </c>
      <c r="U233" t="s">
        <v>12902</v>
      </c>
      <c r="V233" t="s">
        <v>12902</v>
      </c>
      <c r="W233" t="s">
        <v>13133</v>
      </c>
      <c r="X233">
        <v>3</v>
      </c>
      <c r="Y233" t="s">
        <v>19528</v>
      </c>
      <c r="Z233" t="s">
        <v>25808</v>
      </c>
      <c r="AA233">
        <v>0.60003831718339073</v>
      </c>
      <c r="AB233" t="str">
        <f>HYPERLINK("Melting_Curves/meltCurve_B7Z4W5_CCBL1.pdf", "Melting_Curves/meltCurve_B7Z4W5_CCBL1.pdf")</f>
        <v>Melting_Curves/meltCurve_B7Z4W5_CCBL1.pdf</v>
      </c>
    </row>
    <row r="234" spans="1:28" x14ac:dyDescent="0.25">
      <c r="A234" t="s">
        <v>238</v>
      </c>
      <c r="B234">
        <v>0.99673306730245903</v>
      </c>
      <c r="C234">
        <v>0.964333780321179</v>
      </c>
      <c r="D234">
        <v>0.93162729937187405</v>
      </c>
      <c r="E234">
        <v>0.79399512343089196</v>
      </c>
      <c r="F234">
        <v>0.73298119139096096</v>
      </c>
      <c r="G234">
        <v>0.68454271580309001</v>
      </c>
      <c r="H234">
        <v>0.56897598313536701</v>
      </c>
      <c r="I234">
        <v>0.44029269590218501</v>
      </c>
      <c r="J234">
        <v>0.27789005623715801</v>
      </c>
      <c r="K234">
        <v>0.20675897684609401</v>
      </c>
      <c r="L234">
        <v>490.00854976152698</v>
      </c>
      <c r="M234">
        <v>8.0398493164692493</v>
      </c>
      <c r="N234">
        <v>60.947478551051702</v>
      </c>
      <c r="O234">
        <v>57.5238840276376</v>
      </c>
      <c r="P234">
        <v>-3.4980143178909399E-2</v>
      </c>
      <c r="Q234">
        <v>0</v>
      </c>
      <c r="R234">
        <v>0.97479030648264797</v>
      </c>
      <c r="S234" t="s">
        <v>6686</v>
      </c>
      <c r="T234" t="s">
        <v>12902</v>
      </c>
      <c r="U234" t="s">
        <v>12902</v>
      </c>
      <c r="V234" t="s">
        <v>12902</v>
      </c>
      <c r="W234" t="s">
        <v>13134</v>
      </c>
      <c r="X234">
        <v>15</v>
      </c>
      <c r="Y234" t="s">
        <v>19529</v>
      </c>
      <c r="Z234" t="s">
        <v>25809</v>
      </c>
      <c r="AA234">
        <v>0.67360084320865488</v>
      </c>
      <c r="AB234" t="str">
        <f>HYPERLINK("Melting_Curves/meltCurve_B7Z5W1_F11R.pdf", "Melting_Curves/meltCurve_B7Z5W1_F11R.pdf")</f>
        <v>Melting_Curves/meltCurve_B7Z5W1_F11R.pdf</v>
      </c>
    </row>
    <row r="235" spans="1:28" x14ac:dyDescent="0.25">
      <c r="A235" t="s">
        <v>239</v>
      </c>
      <c r="B235">
        <v>0.99673306730245903</v>
      </c>
      <c r="C235">
        <v>0.89248745339568203</v>
      </c>
      <c r="D235">
        <v>0.74137063289198701</v>
      </c>
      <c r="E235">
        <v>0.30743905729995402</v>
      </c>
      <c r="F235">
        <v>0.30950515409951401</v>
      </c>
      <c r="G235">
        <v>0.112538861057916</v>
      </c>
      <c r="H235">
        <v>8.4047681689476794E-2</v>
      </c>
      <c r="I235">
        <v>6.8291018808254306E-2</v>
      </c>
      <c r="J235">
        <v>7.7620834860851404E-2</v>
      </c>
      <c r="K235">
        <v>6.3691618525114901E-2</v>
      </c>
      <c r="L235">
        <v>865.03955168658001</v>
      </c>
      <c r="M235">
        <v>18.058497232112199</v>
      </c>
      <c r="N235">
        <v>48.320894219927098</v>
      </c>
      <c r="O235">
        <v>47.326280081762</v>
      </c>
      <c r="P235">
        <v>-8.8487291841532395E-2</v>
      </c>
      <c r="Q235">
        <v>7.2443706314906195E-2</v>
      </c>
      <c r="R235">
        <v>0.98226736377136703</v>
      </c>
      <c r="S235" t="s">
        <v>6687</v>
      </c>
      <c r="T235" t="s">
        <v>12902</v>
      </c>
      <c r="U235" t="s">
        <v>12902</v>
      </c>
      <c r="V235" t="s">
        <v>12902</v>
      </c>
      <c r="W235" t="s">
        <v>13135</v>
      </c>
      <c r="X235">
        <v>2</v>
      </c>
      <c r="Y235" t="s">
        <v>19530</v>
      </c>
      <c r="Z235" t="s">
        <v>25810</v>
      </c>
      <c r="AA235">
        <v>0.33315984510715979</v>
      </c>
      <c r="AB235" t="str">
        <f>HYPERLINK("Melting_Curves/meltCurve_B7Z662_SLC27A1.pdf", "Melting_Curves/meltCurve_B7Z662_SLC27A1.pdf")</f>
        <v>Melting_Curves/meltCurve_B7Z662_SLC27A1.pdf</v>
      </c>
    </row>
    <row r="236" spans="1:28" x14ac:dyDescent="0.25">
      <c r="A236" t="s">
        <v>240</v>
      </c>
      <c r="B236">
        <v>0.99673306730245903</v>
      </c>
      <c r="C236">
        <v>0.93052730635542602</v>
      </c>
      <c r="D236">
        <v>0.62905935331298202</v>
      </c>
      <c r="E236">
        <v>0.36315989284480399</v>
      </c>
      <c r="F236">
        <v>0.20532712178794499</v>
      </c>
      <c r="G236">
        <v>0.13557060253644099</v>
      </c>
      <c r="H236">
        <v>7.7965067688894593E-2</v>
      </c>
      <c r="I236">
        <v>4.5380902796260697E-2</v>
      </c>
      <c r="J236">
        <v>3.9370244958031902E-2</v>
      </c>
      <c r="K236">
        <v>3.2350680764697402E-2</v>
      </c>
      <c r="L236">
        <v>828.33854741759797</v>
      </c>
      <c r="M236">
        <v>17.370543748871299</v>
      </c>
      <c r="N236">
        <v>47.963055825736099</v>
      </c>
      <c r="O236">
        <v>47.067852265263198</v>
      </c>
      <c r="P236">
        <v>-8.7870001610490397E-2</v>
      </c>
      <c r="Q236">
        <v>4.7671166625399899E-2</v>
      </c>
      <c r="R236">
        <v>0.99401082880042702</v>
      </c>
      <c r="S236" t="s">
        <v>6688</v>
      </c>
      <c r="T236" t="s">
        <v>12902</v>
      </c>
      <c r="U236" t="s">
        <v>12902</v>
      </c>
      <c r="V236" t="s">
        <v>12902</v>
      </c>
      <c r="W236" t="s">
        <v>13136</v>
      </c>
      <c r="X236">
        <v>5</v>
      </c>
      <c r="Y236" t="s">
        <v>19531</v>
      </c>
      <c r="Z236" t="s">
        <v>25811</v>
      </c>
      <c r="AA236">
        <v>0.31007282599350289</v>
      </c>
      <c r="AB236" t="str">
        <f>HYPERLINK("Melting_Curves/meltCurve_B7Z683_ABR.pdf", "Melting_Curves/meltCurve_B7Z683_ABR.pdf")</f>
        <v>Melting_Curves/meltCurve_B7Z683_ABR.pdf</v>
      </c>
    </row>
    <row r="237" spans="1:28" x14ac:dyDescent="0.25">
      <c r="A237" t="s">
        <v>241</v>
      </c>
      <c r="B237">
        <v>0.99673306730245903</v>
      </c>
      <c r="C237">
        <v>0.93907627002732097</v>
      </c>
      <c r="D237">
        <v>0.86158717931663398</v>
      </c>
      <c r="E237">
        <v>0.69057146571810801</v>
      </c>
      <c r="F237">
        <v>0.303140076272923</v>
      </c>
      <c r="G237">
        <v>0.165408608103011</v>
      </c>
      <c r="H237">
        <v>9.9780183694800906E-2</v>
      </c>
      <c r="I237">
        <v>0.11241287211279</v>
      </c>
      <c r="J237">
        <v>0.178560053023163</v>
      </c>
      <c r="K237">
        <v>0.174994751114772</v>
      </c>
      <c r="L237">
        <v>1201.7260076049099</v>
      </c>
      <c r="M237">
        <v>23.851727786325199</v>
      </c>
      <c r="N237">
        <v>51.029866974506199</v>
      </c>
      <c r="O237">
        <v>50.033035506452599</v>
      </c>
      <c r="P237">
        <v>-0.103636752726267</v>
      </c>
      <c r="Q237">
        <v>0.13043160863186801</v>
      </c>
      <c r="R237">
        <v>0.98816283552055295</v>
      </c>
      <c r="S237" t="s">
        <v>6689</v>
      </c>
      <c r="T237" t="s">
        <v>12902</v>
      </c>
      <c r="U237" t="s">
        <v>12902</v>
      </c>
      <c r="V237" t="s">
        <v>12902</v>
      </c>
      <c r="W237" t="s">
        <v>13137</v>
      </c>
      <c r="X237">
        <v>1</v>
      </c>
      <c r="Y237" t="s">
        <v>19532</v>
      </c>
      <c r="Z237" t="s">
        <v>25812</v>
      </c>
      <c r="AA237">
        <v>0.43996262033123062</v>
      </c>
      <c r="AB237" t="str">
        <f>HYPERLINK("Melting_Curves/meltCurve_B7Z6B6_ZNF346.pdf", "Melting_Curves/meltCurve_B7Z6B6_ZNF346.pdf")</f>
        <v>Melting_Curves/meltCurve_B7Z6B6_ZNF346.pdf</v>
      </c>
    </row>
    <row r="238" spans="1:28" x14ac:dyDescent="0.25">
      <c r="A238" t="s">
        <v>242</v>
      </c>
      <c r="B238">
        <v>0.99673306730245903</v>
      </c>
      <c r="C238">
        <v>0.93941522906985098</v>
      </c>
      <c r="D238">
        <v>1.0063413993911401</v>
      </c>
      <c r="E238">
        <v>1.20792361359246</v>
      </c>
      <c r="F238">
        <v>0.89781496607000499</v>
      </c>
      <c r="G238">
        <v>0.783546159433401</v>
      </c>
      <c r="H238">
        <v>0.39018052762514399</v>
      </c>
      <c r="I238">
        <v>0.13901059876220301</v>
      </c>
      <c r="J238">
        <v>6.8017444802933605E-2</v>
      </c>
      <c r="K238">
        <v>4.9839821279409599E-2</v>
      </c>
      <c r="L238">
        <v>1562.1768763724599</v>
      </c>
      <c r="M238">
        <v>26.2543282549812</v>
      </c>
      <c r="N238">
        <v>59.604335122364198</v>
      </c>
      <c r="O238">
        <v>59.159685460639203</v>
      </c>
      <c r="P238">
        <v>-0.108495888880423</v>
      </c>
      <c r="Q238">
        <v>2.2102104811613999E-2</v>
      </c>
      <c r="R238">
        <v>0.96952758978407205</v>
      </c>
      <c r="S238" t="s">
        <v>6690</v>
      </c>
      <c r="T238" t="s">
        <v>12902</v>
      </c>
      <c r="U238" t="s">
        <v>12902</v>
      </c>
      <c r="V238" t="s">
        <v>12902</v>
      </c>
      <c r="W238" t="s">
        <v>13138</v>
      </c>
      <c r="X238">
        <v>26</v>
      </c>
      <c r="Y238" t="s">
        <v>19533</v>
      </c>
      <c r="Z238" t="s">
        <v>25813</v>
      </c>
      <c r="AA238">
        <v>0.66506120730751628</v>
      </c>
      <c r="AB238" t="str">
        <f>HYPERLINK("Melting_Curves/meltCurve_B7Z6B8_DECR1.pdf", "Melting_Curves/meltCurve_B7Z6B8_DECR1.pdf")</f>
        <v>Melting_Curves/meltCurve_B7Z6B8_DECR1.pdf</v>
      </c>
    </row>
    <row r="239" spans="1:28" x14ac:dyDescent="0.25">
      <c r="A239" t="s">
        <v>243</v>
      </c>
      <c r="B239">
        <v>0.99673306730245903</v>
      </c>
      <c r="C239">
        <v>0.97503964796478904</v>
      </c>
      <c r="D239">
        <v>0.899256468175469</v>
      </c>
      <c r="E239">
        <v>0.91635175716397299</v>
      </c>
      <c r="F239">
        <v>0.75659557375953801</v>
      </c>
      <c r="G239">
        <v>0.63460076686372502</v>
      </c>
      <c r="H239">
        <v>0.44274654937066799</v>
      </c>
      <c r="I239">
        <v>0.37416733924670098</v>
      </c>
      <c r="J239">
        <v>0.26923809857918801</v>
      </c>
      <c r="K239">
        <v>0.19719833101817499</v>
      </c>
      <c r="L239">
        <v>564.30216774523797</v>
      </c>
      <c r="M239">
        <v>9.4178774102026104</v>
      </c>
      <c r="N239">
        <v>59.918183249061002</v>
      </c>
      <c r="O239">
        <v>57.403031131427603</v>
      </c>
      <c r="P239">
        <v>-4.10415458360835E-2</v>
      </c>
      <c r="Q239">
        <v>0</v>
      </c>
      <c r="R239">
        <v>0.99414752261329098</v>
      </c>
      <c r="S239" t="s">
        <v>6691</v>
      </c>
      <c r="T239" t="s">
        <v>12902</v>
      </c>
      <c r="U239" t="s">
        <v>12902</v>
      </c>
      <c r="V239" t="s">
        <v>12902</v>
      </c>
      <c r="W239" t="s">
        <v>13139</v>
      </c>
      <c r="X239">
        <v>2</v>
      </c>
      <c r="Y239" t="s">
        <v>19534</v>
      </c>
      <c r="Z239" t="s">
        <v>25814</v>
      </c>
      <c r="AA239">
        <v>0.65798806427071699</v>
      </c>
      <c r="AB239" t="str">
        <f>HYPERLINK("Melting_Curves/meltCurve_B7Z6M4_TNFAIP1.pdf", "Melting_Curves/meltCurve_B7Z6M4_TNFAIP1.pdf")</f>
        <v>Melting_Curves/meltCurve_B7Z6M4_TNFAIP1.pdf</v>
      </c>
    </row>
    <row r="240" spans="1:28" x14ac:dyDescent="0.25">
      <c r="A240" t="s">
        <v>244</v>
      </c>
      <c r="B240">
        <v>0.99673306730245903</v>
      </c>
      <c r="C240">
        <v>0.85249535076221095</v>
      </c>
      <c r="D240">
        <v>0.47575725471835001</v>
      </c>
      <c r="E240">
        <v>0.28100259554444501</v>
      </c>
      <c r="F240">
        <v>0.19494547595355699</v>
      </c>
      <c r="G240">
        <v>0.13142385572634399</v>
      </c>
      <c r="H240">
        <v>9.0836152945286006E-2</v>
      </c>
      <c r="I240">
        <v>9.9159822623498595E-2</v>
      </c>
      <c r="J240">
        <v>0.123770314297622</v>
      </c>
      <c r="K240">
        <v>0.12517093823747599</v>
      </c>
      <c r="L240">
        <v>1020.71324781507</v>
      </c>
      <c r="M240">
        <v>22.3776733510539</v>
      </c>
      <c r="N240">
        <v>46.184396216937003</v>
      </c>
      <c r="O240">
        <v>45.253446627253801</v>
      </c>
      <c r="P240">
        <v>-0.108678354906925</v>
      </c>
      <c r="Q240">
        <v>0.120915310654442</v>
      </c>
      <c r="R240">
        <v>0.9919084854004</v>
      </c>
      <c r="S240" t="s">
        <v>6692</v>
      </c>
      <c r="T240" t="s">
        <v>12902</v>
      </c>
      <c r="U240" t="s">
        <v>12902</v>
      </c>
      <c r="V240" t="s">
        <v>12902</v>
      </c>
      <c r="W240" t="s">
        <v>13140</v>
      </c>
      <c r="X240">
        <v>2</v>
      </c>
      <c r="Y240" t="s">
        <v>19535</v>
      </c>
      <c r="Z240" t="s">
        <v>25815</v>
      </c>
      <c r="AA240">
        <v>0.29617273390473908</v>
      </c>
      <c r="AB240" t="str">
        <f>HYPERLINK("Melting_Curves/meltCurve_B7Z7A3_GTPBP4.pdf", "Melting_Curves/meltCurve_B7Z7A3_GTPBP4.pdf")</f>
        <v>Melting_Curves/meltCurve_B7Z7A3_GTPBP4.pdf</v>
      </c>
    </row>
    <row r="241" spans="1:28" x14ac:dyDescent="0.25">
      <c r="A241" t="s">
        <v>245</v>
      </c>
      <c r="B241">
        <v>0.99673306730245903</v>
      </c>
      <c r="C241">
        <v>0.98869132218795996</v>
      </c>
      <c r="D241">
        <v>0.90785545236958398</v>
      </c>
      <c r="E241">
        <v>1.0026200152058</v>
      </c>
      <c r="F241">
        <v>0.81283402998767496</v>
      </c>
      <c r="G241">
        <v>0.58829709294363097</v>
      </c>
      <c r="H241">
        <v>0.27063840967796998</v>
      </c>
      <c r="I241">
        <v>0.22362531310789799</v>
      </c>
      <c r="J241">
        <v>0.19476516921761899</v>
      </c>
      <c r="K241">
        <v>0.16714119128086699</v>
      </c>
      <c r="L241">
        <v>1290.5722337611601</v>
      </c>
      <c r="M241">
        <v>22.815261780576801</v>
      </c>
      <c r="N241">
        <v>57.539180245449998</v>
      </c>
      <c r="O241">
        <v>56.136991116166399</v>
      </c>
      <c r="P241">
        <v>-8.5344983337539301E-2</v>
      </c>
      <c r="Q241">
        <v>0.16005031532547301</v>
      </c>
      <c r="R241">
        <v>0.99024587374746398</v>
      </c>
      <c r="S241" t="s">
        <v>6693</v>
      </c>
      <c r="T241" t="s">
        <v>12902</v>
      </c>
      <c r="U241" t="s">
        <v>12902</v>
      </c>
      <c r="V241" t="s">
        <v>12902</v>
      </c>
      <c r="W241" t="s">
        <v>13141</v>
      </c>
      <c r="X241">
        <v>11</v>
      </c>
      <c r="Y241" t="s">
        <v>19536</v>
      </c>
      <c r="Z241" t="s">
        <v>25816</v>
      </c>
      <c r="AA241">
        <v>0.63267143242640933</v>
      </c>
      <c r="AB241" t="str">
        <f>HYPERLINK("Melting_Curves/meltCurve_B7Z7F3_RANBP3.pdf", "Melting_Curves/meltCurve_B7Z7F3_RANBP3.pdf")</f>
        <v>Melting_Curves/meltCurve_B7Z7F3_RANBP3.pdf</v>
      </c>
    </row>
    <row r="242" spans="1:28" x14ac:dyDescent="0.25">
      <c r="A242" t="s">
        <v>246</v>
      </c>
      <c r="B242">
        <v>0.99673306730245903</v>
      </c>
      <c r="C242">
        <v>0.903144590659408</v>
      </c>
      <c r="D242">
        <v>0.75927074488646495</v>
      </c>
      <c r="E242">
        <v>0.64914613554330602</v>
      </c>
      <c r="F242">
        <v>0.36998313236886599</v>
      </c>
      <c r="G242">
        <v>0.25167755945063303</v>
      </c>
      <c r="H242">
        <v>0.156928724424058</v>
      </c>
      <c r="I242">
        <v>0.181132024916836</v>
      </c>
      <c r="J242">
        <v>0.20044310165957899</v>
      </c>
      <c r="K242">
        <v>0.18349518553573099</v>
      </c>
      <c r="L242">
        <v>730.75531398061798</v>
      </c>
      <c r="M242">
        <v>14.691351830836499</v>
      </c>
      <c r="N242">
        <v>50.9829471997338</v>
      </c>
      <c r="O242">
        <v>48.846184749539802</v>
      </c>
      <c r="P242">
        <v>-6.3884681762072806E-2</v>
      </c>
      <c r="Q242">
        <v>0.15047137599692001</v>
      </c>
      <c r="R242">
        <v>0.98837501874873701</v>
      </c>
      <c r="S242" t="s">
        <v>6694</v>
      </c>
      <c r="T242" t="s">
        <v>12902</v>
      </c>
      <c r="U242" t="s">
        <v>12902</v>
      </c>
      <c r="V242" t="s">
        <v>12902</v>
      </c>
      <c r="W242" t="s">
        <v>13142</v>
      </c>
      <c r="X242">
        <v>3</v>
      </c>
      <c r="Y242" t="s">
        <v>19537</v>
      </c>
      <c r="Z242" t="s">
        <v>25817</v>
      </c>
      <c r="AA242">
        <v>0.44750556581807732</v>
      </c>
      <c r="AB242" t="str">
        <f>HYPERLINK("Melting_Curves/meltCurve_B7Z7H3_ZKSCAN4.pdf", "Melting_Curves/meltCurve_B7Z7H3_ZKSCAN4.pdf")</f>
        <v>Melting_Curves/meltCurve_B7Z7H3_ZKSCAN4.pdf</v>
      </c>
    </row>
    <row r="243" spans="1:28" x14ac:dyDescent="0.25">
      <c r="A243" t="s">
        <v>247</v>
      </c>
      <c r="B243">
        <v>0.99673306730245903</v>
      </c>
      <c r="C243">
        <v>0.86795960803213401</v>
      </c>
      <c r="D243">
        <v>0.63038316329371902</v>
      </c>
      <c r="E243">
        <v>0.277884305531791</v>
      </c>
      <c r="F243">
        <v>0.17294582600630101</v>
      </c>
      <c r="G243">
        <v>0.10660659685087499</v>
      </c>
      <c r="H243">
        <v>7.0854296246825196E-2</v>
      </c>
      <c r="I243">
        <v>6.16629725860861E-2</v>
      </c>
      <c r="J243">
        <v>6.9095981036307194E-2</v>
      </c>
      <c r="K243">
        <v>6.1150924007801997E-2</v>
      </c>
      <c r="L243">
        <v>948.52584586389605</v>
      </c>
      <c r="M243">
        <v>20.2333599152138</v>
      </c>
      <c r="N243">
        <v>47.219166050284599</v>
      </c>
      <c r="O243">
        <v>46.428584643210201</v>
      </c>
      <c r="P243">
        <v>-0.101569469970271</v>
      </c>
      <c r="Q243">
        <v>6.7761331977346295E-2</v>
      </c>
      <c r="R243">
        <v>0.99804910853369799</v>
      </c>
      <c r="S243" t="s">
        <v>6695</v>
      </c>
      <c r="T243" t="s">
        <v>12902</v>
      </c>
      <c r="U243" t="s">
        <v>12902</v>
      </c>
      <c r="V243" t="s">
        <v>12902</v>
      </c>
      <c r="W243" t="s">
        <v>13109</v>
      </c>
      <c r="X243">
        <v>46</v>
      </c>
      <c r="Y243" t="s">
        <v>19538</v>
      </c>
      <c r="Z243" t="s">
        <v>25818</v>
      </c>
      <c r="AA243">
        <v>0.29490046712010398</v>
      </c>
      <c r="AB243" t="str">
        <f>HYPERLINK("Melting_Curves/meltCurve_B7Z815_USP7.pdf", "Melting_Curves/meltCurve_B7Z815_USP7.pdf")</f>
        <v>Melting_Curves/meltCurve_B7Z815_USP7.pdf</v>
      </c>
    </row>
    <row r="244" spans="1:28" x14ac:dyDescent="0.25">
      <c r="A244" t="s">
        <v>248</v>
      </c>
      <c r="B244">
        <v>0.99673306730245903</v>
      </c>
      <c r="C244">
        <v>0.88218920783210197</v>
      </c>
      <c r="D244">
        <v>0.57548318159895595</v>
      </c>
      <c r="E244">
        <v>0.53902859580943596</v>
      </c>
      <c r="F244">
        <v>0.23414233201621601</v>
      </c>
      <c r="G244">
        <v>0.17259186726081699</v>
      </c>
      <c r="H244">
        <v>0.127746106804044</v>
      </c>
      <c r="I244">
        <v>0.13726715697171599</v>
      </c>
      <c r="J244">
        <v>0.133193158822559</v>
      </c>
      <c r="K244">
        <v>0.10526909528045</v>
      </c>
      <c r="L244">
        <v>682.72960094687198</v>
      </c>
      <c r="M244">
        <v>14.2765162246691</v>
      </c>
      <c r="N244">
        <v>48.592995892877802</v>
      </c>
      <c r="O244">
        <v>46.912931945134297</v>
      </c>
      <c r="P244">
        <v>-6.8376465079005799E-2</v>
      </c>
      <c r="Q244">
        <v>0.101364170270175</v>
      </c>
      <c r="R244">
        <v>0.97492155311646</v>
      </c>
      <c r="S244" t="s">
        <v>6696</v>
      </c>
      <c r="T244" t="s">
        <v>12902</v>
      </c>
      <c r="U244" t="s">
        <v>12902</v>
      </c>
      <c r="V244" t="s">
        <v>12902</v>
      </c>
      <c r="W244" t="s">
        <v>13143</v>
      </c>
      <c r="X244">
        <v>12</v>
      </c>
      <c r="Y244" t="s">
        <v>19539</v>
      </c>
      <c r="Z244" t="s">
        <v>25819</v>
      </c>
      <c r="AA244">
        <v>0.36138089914120453</v>
      </c>
      <c r="AB244" t="str">
        <f>HYPERLINK("Melting_Curves/meltCurve_B7Z817_DHCR24.pdf", "Melting_Curves/meltCurve_B7Z817_DHCR24.pdf")</f>
        <v>Melting_Curves/meltCurve_B7Z817_DHCR24.pdf</v>
      </c>
    </row>
    <row r="245" spans="1:28" x14ac:dyDescent="0.25">
      <c r="A245" t="s">
        <v>249</v>
      </c>
      <c r="B245">
        <v>0.99673306730245903</v>
      </c>
      <c r="C245">
        <v>0.94235098311188303</v>
      </c>
      <c r="D245">
        <v>0.80802888450716803</v>
      </c>
      <c r="E245">
        <v>0.53675627383531699</v>
      </c>
      <c r="F245">
        <v>0.24663529269082801</v>
      </c>
      <c r="G245">
        <v>0.124175912859184</v>
      </c>
      <c r="H245">
        <v>8.3479820946505398E-2</v>
      </c>
      <c r="I245">
        <v>7.5989201127484904E-2</v>
      </c>
      <c r="J245">
        <v>9.4879337639042993E-2</v>
      </c>
      <c r="K245">
        <v>5.32342313988367E-2</v>
      </c>
      <c r="L245">
        <v>944.20344238149903</v>
      </c>
      <c r="M245">
        <v>19.090589346923601</v>
      </c>
      <c r="N245">
        <v>49.805355805444201</v>
      </c>
      <c r="O245">
        <v>48.925995373005797</v>
      </c>
      <c r="P245">
        <v>-9.1489766372842493E-2</v>
      </c>
      <c r="Q245">
        <v>6.2144682207640099E-2</v>
      </c>
      <c r="R245">
        <v>0.99872894100572596</v>
      </c>
      <c r="S245" t="s">
        <v>6697</v>
      </c>
      <c r="T245" t="s">
        <v>12902</v>
      </c>
      <c r="U245" t="s">
        <v>12902</v>
      </c>
      <c r="V245" t="s">
        <v>12902</v>
      </c>
      <c r="W245" t="s">
        <v>13144</v>
      </c>
      <c r="X245">
        <v>8</v>
      </c>
      <c r="Y245" t="s">
        <v>19540</v>
      </c>
      <c r="Z245" t="s">
        <v>25820</v>
      </c>
      <c r="AA245">
        <v>0.37221230663884169</v>
      </c>
      <c r="AB245" t="str">
        <f>HYPERLINK("Melting_Curves/meltCurve_B7Z9I3_ATP6AP2.pdf", "Melting_Curves/meltCurve_B7Z9I3_ATP6AP2.pdf")</f>
        <v>Melting_Curves/meltCurve_B7Z9I3_ATP6AP2.pdf</v>
      </c>
    </row>
    <row r="246" spans="1:28" x14ac:dyDescent="0.25">
      <c r="A246" t="s">
        <v>250</v>
      </c>
      <c r="B246">
        <v>0.99673306730245903</v>
      </c>
      <c r="C246">
        <v>0.96283277736685302</v>
      </c>
      <c r="D246">
        <v>0.68141659771889296</v>
      </c>
      <c r="E246">
        <v>0.38851406047262799</v>
      </c>
      <c r="F246">
        <v>0.26247618883207702</v>
      </c>
      <c r="G246">
        <v>0.14789518789537401</v>
      </c>
      <c r="H246">
        <v>9.9648645582621306E-2</v>
      </c>
      <c r="I246">
        <v>0.124227304658482</v>
      </c>
      <c r="J246">
        <v>0.162961867391827</v>
      </c>
      <c r="K246">
        <v>0.13414390421765399</v>
      </c>
      <c r="L246">
        <v>984.85699456698296</v>
      </c>
      <c r="M246">
        <v>20.7074020347894</v>
      </c>
      <c r="N246">
        <v>48.2703753906573</v>
      </c>
      <c r="O246">
        <v>47.123754931247099</v>
      </c>
      <c r="P246">
        <v>-9.5441131122950204E-2</v>
      </c>
      <c r="Q246">
        <v>0.13124494008471899</v>
      </c>
      <c r="R246">
        <v>0.99287978439649405</v>
      </c>
      <c r="S246" t="s">
        <v>6698</v>
      </c>
      <c r="T246" t="s">
        <v>12902</v>
      </c>
      <c r="U246" t="s">
        <v>12902</v>
      </c>
      <c r="V246" t="s">
        <v>12902</v>
      </c>
      <c r="W246" t="s">
        <v>13145</v>
      </c>
      <c r="X246">
        <v>6</v>
      </c>
      <c r="Y246" t="s">
        <v>19541</v>
      </c>
      <c r="Z246" t="s">
        <v>25821</v>
      </c>
      <c r="AA246">
        <v>0.36176400126106822</v>
      </c>
      <c r="AB246" t="str">
        <f>HYPERLINK("Melting_Curves/meltCurve_B7Z9J4_CALB1.pdf", "Melting_Curves/meltCurve_B7Z9J4_CALB1.pdf")</f>
        <v>Melting_Curves/meltCurve_B7Z9J4_CALB1.pdf</v>
      </c>
    </row>
    <row r="247" spans="1:28" x14ac:dyDescent="0.25">
      <c r="A247" t="s">
        <v>251</v>
      </c>
      <c r="B247">
        <v>0.99673306730245903</v>
      </c>
      <c r="C247">
        <v>0.92083809408703599</v>
      </c>
      <c r="D247">
        <v>0.90738897372303595</v>
      </c>
      <c r="E247">
        <v>0.817698066364697</v>
      </c>
      <c r="F247">
        <v>0.653015826550432</v>
      </c>
      <c r="G247">
        <v>0.56034471212638404</v>
      </c>
      <c r="H247">
        <v>0.394796732061578</v>
      </c>
      <c r="I247">
        <v>0.46027707617902103</v>
      </c>
      <c r="J247">
        <v>0.40164063287156898</v>
      </c>
      <c r="K247">
        <v>0.28051570457431402</v>
      </c>
      <c r="L247">
        <v>544.67186608939005</v>
      </c>
      <c r="M247">
        <v>10.024391558189601</v>
      </c>
      <c r="N247">
        <v>58.728594088470302</v>
      </c>
      <c r="O247">
        <v>52.305180538016899</v>
      </c>
      <c r="P247">
        <v>-3.5289747694291801E-2</v>
      </c>
      <c r="Q247">
        <v>0.26381662847257797</v>
      </c>
      <c r="R247">
        <v>0.97587132942368804</v>
      </c>
      <c r="S247" t="s">
        <v>6699</v>
      </c>
      <c r="T247" t="s">
        <v>12902</v>
      </c>
      <c r="U247" t="s">
        <v>12902</v>
      </c>
      <c r="V247" t="s">
        <v>12902</v>
      </c>
      <c r="W247" t="s">
        <v>13146</v>
      </c>
      <c r="X247">
        <v>16</v>
      </c>
      <c r="Y247" t="s">
        <v>19542</v>
      </c>
      <c r="Z247" t="s">
        <v>25822</v>
      </c>
      <c r="AA247">
        <v>0.63675367443000686</v>
      </c>
      <c r="AB247" t="str">
        <f>HYPERLINK("Melting_Curves/meltCurve_B7Z9S8_ATP1B1.pdf", "Melting_Curves/meltCurve_B7Z9S8_ATP1B1.pdf")</f>
        <v>Melting_Curves/meltCurve_B7Z9S8_ATP1B1.pdf</v>
      </c>
    </row>
    <row r="248" spans="1:28" x14ac:dyDescent="0.25">
      <c r="A248" t="s">
        <v>252</v>
      </c>
      <c r="B248">
        <v>0.99673306730245903</v>
      </c>
      <c r="C248">
        <v>0.93917889560395595</v>
      </c>
      <c r="D248">
        <v>1.0563737368417501</v>
      </c>
      <c r="E248">
        <v>0.94550965214354998</v>
      </c>
      <c r="F248">
        <v>0.79799979945990895</v>
      </c>
      <c r="G248">
        <v>0.59704286735009404</v>
      </c>
      <c r="H248">
        <v>0.45110125944412099</v>
      </c>
      <c r="I248">
        <v>0.33995520745463098</v>
      </c>
      <c r="J248">
        <v>0.301473021756127</v>
      </c>
      <c r="K248">
        <v>0.30703858933337103</v>
      </c>
      <c r="L248">
        <v>1020.87634361662</v>
      </c>
      <c r="M248">
        <v>18.167385872569</v>
      </c>
      <c r="N248">
        <v>58.847004266076397</v>
      </c>
      <c r="O248">
        <v>55.525233191101698</v>
      </c>
      <c r="P248">
        <v>-5.89254551382251E-2</v>
      </c>
      <c r="Q248">
        <v>0.27965552946203798</v>
      </c>
      <c r="R248">
        <v>0.98890889773857005</v>
      </c>
      <c r="S248" t="s">
        <v>6700</v>
      </c>
      <c r="T248" t="s">
        <v>12902</v>
      </c>
      <c r="U248" t="s">
        <v>12902</v>
      </c>
      <c r="V248" t="s">
        <v>12902</v>
      </c>
      <c r="W248" t="s">
        <v>13147</v>
      </c>
      <c r="X248">
        <v>4</v>
      </c>
      <c r="Y248" t="s">
        <v>19543</v>
      </c>
      <c r="Z248" t="s">
        <v>25823</v>
      </c>
      <c r="AA248">
        <v>0.67884504260338696</v>
      </c>
      <c r="AB248" t="str">
        <f>HYPERLINK("Melting_Curves/meltCurve_B7ZAA0_PMS1.pdf", "Melting_Curves/meltCurve_B7ZAA0_PMS1.pdf")</f>
        <v>Melting_Curves/meltCurve_B7ZAA0_PMS1.pdf</v>
      </c>
    </row>
    <row r="249" spans="1:28" x14ac:dyDescent="0.25">
      <c r="A249" t="s">
        <v>253</v>
      </c>
      <c r="B249">
        <v>0.99673306730245903</v>
      </c>
      <c r="C249">
        <v>1.0334951687509799</v>
      </c>
      <c r="D249">
        <v>1.0073925237249199</v>
      </c>
      <c r="E249">
        <v>0.98729212158769697</v>
      </c>
      <c r="F249">
        <v>0.88645231134813796</v>
      </c>
      <c r="G249">
        <v>0.56897239030855995</v>
      </c>
      <c r="H249">
        <v>0.10881423183788801</v>
      </c>
      <c r="I249">
        <v>7.1773396433452805E-2</v>
      </c>
      <c r="J249">
        <v>5.7177490325693199E-2</v>
      </c>
      <c r="K249">
        <v>5.0001251163987098E-2</v>
      </c>
      <c r="L249">
        <v>1937.0698079901599</v>
      </c>
      <c r="M249">
        <v>33.997892681046999</v>
      </c>
      <c r="N249">
        <v>57.123814218353502</v>
      </c>
      <c r="O249">
        <v>56.780129140141298</v>
      </c>
      <c r="P249">
        <v>-0.14339617894430301</v>
      </c>
      <c r="Q249">
        <v>4.2055772357707598E-2</v>
      </c>
      <c r="R249">
        <v>0.99767247809458603</v>
      </c>
      <c r="S249" t="s">
        <v>6701</v>
      </c>
      <c r="T249" t="s">
        <v>12902</v>
      </c>
      <c r="U249" t="s">
        <v>12902</v>
      </c>
      <c r="V249" t="s">
        <v>12902</v>
      </c>
      <c r="W249" t="s">
        <v>13148</v>
      </c>
      <c r="X249">
        <v>8</v>
      </c>
      <c r="Y249" t="s">
        <v>19544</v>
      </c>
      <c r="Z249" t="s">
        <v>25824</v>
      </c>
      <c r="AA249">
        <v>0.58921572223372509</v>
      </c>
      <c r="AB249" t="str">
        <f>HYPERLINK("Melting_Curves/meltCurve_B7ZAX5_GALK2.pdf", "Melting_Curves/meltCurve_B7ZAX5_GALK2.pdf")</f>
        <v>Melting_Curves/meltCurve_B7ZAX5_GALK2.pdf</v>
      </c>
    </row>
    <row r="250" spans="1:28" x14ac:dyDescent="0.25">
      <c r="A250" t="s">
        <v>254</v>
      </c>
      <c r="B250">
        <v>0.99673306730245903</v>
      </c>
      <c r="C250">
        <v>0.957388316250251</v>
      </c>
      <c r="D250">
        <v>0.69086515340322896</v>
      </c>
      <c r="E250">
        <v>0.48185162423014399</v>
      </c>
      <c r="F250">
        <v>0.294273551226716</v>
      </c>
      <c r="G250">
        <v>0.22870552040324801</v>
      </c>
      <c r="H250">
        <v>0.164353815696936</v>
      </c>
      <c r="I250">
        <v>0.12048587438222701</v>
      </c>
      <c r="J250">
        <v>0.15352905954239299</v>
      </c>
      <c r="K250">
        <v>0.13694546161697299</v>
      </c>
      <c r="L250">
        <v>805.668093995047</v>
      </c>
      <c r="M250">
        <v>16.687859027370401</v>
      </c>
      <c r="N250">
        <v>49.223048359944102</v>
      </c>
      <c r="O250">
        <v>47.601404475598798</v>
      </c>
      <c r="P250">
        <v>-7.5643044020492503E-2</v>
      </c>
      <c r="Q250">
        <v>0.136983170673945</v>
      </c>
      <c r="R250">
        <v>0.99314730648118199</v>
      </c>
      <c r="S250" t="s">
        <v>6702</v>
      </c>
      <c r="T250" t="s">
        <v>12902</v>
      </c>
      <c r="U250" t="s">
        <v>12902</v>
      </c>
      <c r="V250" t="s">
        <v>12902</v>
      </c>
      <c r="W250" t="s">
        <v>13149</v>
      </c>
      <c r="X250">
        <v>2</v>
      </c>
      <c r="Y250" t="s">
        <v>19545</v>
      </c>
      <c r="Z250" t="s">
        <v>25825</v>
      </c>
      <c r="AA250">
        <v>0.39287261272430107</v>
      </c>
      <c r="AB250" t="str">
        <f>HYPERLINK("Melting_Curves/meltCurve_B7ZBB8_PPP1R3G.pdf", "Melting_Curves/meltCurve_B7ZBB8_PPP1R3G.pdf")</f>
        <v>Melting_Curves/meltCurve_B7ZBB8_PPP1R3G.pdf</v>
      </c>
    </row>
    <row r="251" spans="1:28" x14ac:dyDescent="0.25">
      <c r="A251" t="s">
        <v>255</v>
      </c>
      <c r="B251">
        <v>0.99673306730245903</v>
      </c>
      <c r="C251">
        <v>0.91679644868177201</v>
      </c>
      <c r="D251">
        <v>0.77159543322799395</v>
      </c>
      <c r="E251">
        <v>0.33673336013556299</v>
      </c>
      <c r="F251">
        <v>0.15602723712070199</v>
      </c>
      <c r="G251">
        <v>0.105104018251939</v>
      </c>
      <c r="H251">
        <v>7.4988191850490798E-2</v>
      </c>
      <c r="I251">
        <v>6.9881774912817302E-2</v>
      </c>
      <c r="J251">
        <v>7.2889858992159606E-2</v>
      </c>
      <c r="K251">
        <v>7.0873430066490994E-2</v>
      </c>
      <c r="L251">
        <v>1167.77870386567</v>
      </c>
      <c r="M251">
        <v>24.385754507851502</v>
      </c>
      <c r="N251">
        <v>48.200453004853998</v>
      </c>
      <c r="O251">
        <v>47.569201005469601</v>
      </c>
      <c r="P251">
        <v>-0.118784717698261</v>
      </c>
      <c r="Q251">
        <v>7.3162320330485905E-2</v>
      </c>
      <c r="R251">
        <v>0.998515482386508</v>
      </c>
      <c r="S251" t="s">
        <v>6703</v>
      </c>
      <c r="T251" t="s">
        <v>12902</v>
      </c>
      <c r="U251" t="s">
        <v>12902</v>
      </c>
      <c r="V251" t="s">
        <v>12902</v>
      </c>
      <c r="W251" t="s">
        <v>13150</v>
      </c>
      <c r="X251">
        <v>18</v>
      </c>
      <c r="Y251" t="s">
        <v>19546</v>
      </c>
      <c r="Z251" t="s">
        <v>25826</v>
      </c>
      <c r="AA251">
        <v>0.32549228864208912</v>
      </c>
      <c r="AB251" t="str">
        <f>HYPERLINK("Melting_Curves/meltCurve_B7ZC38_SH3GLB2.pdf", "Melting_Curves/meltCurve_B7ZC38_SH3GLB2.pdf")</f>
        <v>Melting_Curves/meltCurve_B7ZC38_SH3GLB2.pdf</v>
      </c>
    </row>
    <row r="252" spans="1:28" x14ac:dyDescent="0.25">
      <c r="A252" t="s">
        <v>256</v>
      </c>
      <c r="B252">
        <v>0.99673306730245903</v>
      </c>
      <c r="C252">
        <v>0.92034252427746299</v>
      </c>
      <c r="D252">
        <v>0.86729124889876297</v>
      </c>
      <c r="E252">
        <v>0.596205848808257</v>
      </c>
      <c r="F252">
        <v>0.17236063755303499</v>
      </c>
      <c r="G252">
        <v>0.11329960908738999</v>
      </c>
      <c r="H252">
        <v>6.0886177552909801E-2</v>
      </c>
      <c r="I252">
        <v>5.1434101120931698E-2</v>
      </c>
      <c r="J252">
        <v>4.9843415814977102E-2</v>
      </c>
      <c r="K252">
        <v>4.4695420355171302E-2</v>
      </c>
      <c r="L252">
        <v>1197.5511152756301</v>
      </c>
      <c r="M252">
        <v>23.998718982905402</v>
      </c>
      <c r="N252">
        <v>50.096858692794697</v>
      </c>
      <c r="O252">
        <v>49.558016607137702</v>
      </c>
      <c r="P252">
        <v>-0.115634600654273</v>
      </c>
      <c r="Q252">
        <v>4.4860550656997303E-2</v>
      </c>
      <c r="R252">
        <v>0.99434538531055505</v>
      </c>
      <c r="S252" t="s">
        <v>6704</v>
      </c>
      <c r="T252" t="s">
        <v>12902</v>
      </c>
      <c r="U252" t="s">
        <v>12902</v>
      </c>
      <c r="V252" t="s">
        <v>12902</v>
      </c>
      <c r="W252" t="s">
        <v>13151</v>
      </c>
      <c r="X252">
        <v>8</v>
      </c>
      <c r="Y252" t="s">
        <v>19547</v>
      </c>
      <c r="Z252" t="s">
        <v>25827</v>
      </c>
      <c r="AA252">
        <v>0.36933603138201743</v>
      </c>
      <c r="AB252" t="str">
        <f>HYPERLINK("Melting_Curves/meltCurve_B7ZKK9_PPP2R5E.pdf", "Melting_Curves/meltCurve_B7ZKK9_PPP2R5E.pdf")</f>
        <v>Melting_Curves/meltCurve_B7ZKK9_PPP2R5E.pdf</v>
      </c>
    </row>
    <row r="253" spans="1:28" x14ac:dyDescent="0.25">
      <c r="A253" t="s">
        <v>257</v>
      </c>
      <c r="B253">
        <v>0.99673306730245903</v>
      </c>
      <c r="C253">
        <v>0.97871222096760502</v>
      </c>
      <c r="D253">
        <v>0.95818665989864404</v>
      </c>
      <c r="E253">
        <v>0.81174809879688004</v>
      </c>
      <c r="F253">
        <v>0.72617676619996097</v>
      </c>
      <c r="G253">
        <v>0.59834079496082704</v>
      </c>
      <c r="H253">
        <v>0.56082390512267399</v>
      </c>
      <c r="I253">
        <v>0.62708348585820395</v>
      </c>
      <c r="J253">
        <v>0.50436866011215697</v>
      </c>
      <c r="K253">
        <v>0.34598736362124399</v>
      </c>
      <c r="L253">
        <v>476.501907440872</v>
      </c>
      <c r="M253">
        <v>8.4862036990100993</v>
      </c>
      <c r="N253">
        <v>64.657040512489303</v>
      </c>
      <c r="O253">
        <v>53.2924709778734</v>
      </c>
      <c r="P253">
        <v>-2.64459198204221E-2</v>
      </c>
      <c r="Q253">
        <v>0.33629127002507497</v>
      </c>
      <c r="R253">
        <v>0.93016350291417005</v>
      </c>
      <c r="S253" t="s">
        <v>6705</v>
      </c>
      <c r="T253" t="s">
        <v>12902</v>
      </c>
      <c r="U253" t="s">
        <v>12902</v>
      </c>
      <c r="V253" t="s">
        <v>12902</v>
      </c>
      <c r="W253" t="s">
        <v>13152</v>
      </c>
      <c r="X253">
        <v>8</v>
      </c>
      <c r="Y253" t="s">
        <v>19548</v>
      </c>
      <c r="Z253" t="s">
        <v>25828</v>
      </c>
      <c r="AA253">
        <v>0.70643534939396979</v>
      </c>
      <c r="AB253" t="str">
        <f>HYPERLINK("Melting_Curves/meltCurve_B7ZKQ9_SCARB1.pdf", "Melting_Curves/meltCurve_B7ZKQ9_SCARB1.pdf")</f>
        <v>Melting_Curves/meltCurve_B7ZKQ9_SCARB1.pdf</v>
      </c>
    </row>
    <row r="254" spans="1:28" x14ac:dyDescent="0.25">
      <c r="A254" t="s">
        <v>258</v>
      </c>
      <c r="B254">
        <v>0.99673306730245903</v>
      </c>
      <c r="C254">
        <v>0.90498398806482905</v>
      </c>
      <c r="D254">
        <v>0.83137782484936296</v>
      </c>
      <c r="E254">
        <v>0.73185219402809498</v>
      </c>
      <c r="F254">
        <v>0.53703517005192403</v>
      </c>
      <c r="G254">
        <v>0.39754854844514897</v>
      </c>
      <c r="H254">
        <v>0.133784589757804</v>
      </c>
      <c r="I254">
        <v>8.0573463331620396E-2</v>
      </c>
      <c r="J254">
        <v>8.3470096625671106E-2</v>
      </c>
      <c r="K254">
        <v>6.0359254292277301E-2</v>
      </c>
      <c r="L254">
        <v>639.08920248672996</v>
      </c>
      <c r="M254">
        <v>11.936775329363201</v>
      </c>
      <c r="N254">
        <v>53.539517552426297</v>
      </c>
      <c r="O254">
        <v>52.103251840228801</v>
      </c>
      <c r="P254">
        <v>-5.7288710342004702E-2</v>
      </c>
      <c r="Q254">
        <v>0</v>
      </c>
      <c r="R254">
        <v>0.98871708948959602</v>
      </c>
      <c r="S254" t="s">
        <v>6706</v>
      </c>
      <c r="T254" t="s">
        <v>12902</v>
      </c>
      <c r="U254" t="s">
        <v>12902</v>
      </c>
      <c r="V254" t="s">
        <v>12902</v>
      </c>
      <c r="W254" t="s">
        <v>13153</v>
      </c>
      <c r="X254">
        <v>9</v>
      </c>
      <c r="Y254" t="s">
        <v>19549</v>
      </c>
      <c r="Z254" t="s">
        <v>25829</v>
      </c>
      <c r="AA254">
        <v>0.47869807105163698</v>
      </c>
      <c r="AB254" t="str">
        <f>HYPERLINK("Melting_Curves/meltCurve_B7ZL82_SMPD3.pdf", "Melting_Curves/meltCurve_B7ZL82_SMPD3.pdf")</f>
        <v>Melting_Curves/meltCurve_B7ZL82_SMPD3.pdf</v>
      </c>
    </row>
    <row r="255" spans="1:28" x14ac:dyDescent="0.25">
      <c r="A255" t="s">
        <v>259</v>
      </c>
      <c r="B255">
        <v>0.99673306730245903</v>
      </c>
      <c r="C255">
        <v>0.99801053828161201</v>
      </c>
      <c r="D255">
        <v>0.89756365467063104</v>
      </c>
      <c r="E255">
        <v>0.81200531123112696</v>
      </c>
      <c r="F255">
        <v>0.80668235395763999</v>
      </c>
      <c r="G255">
        <v>0.55909686472596298</v>
      </c>
      <c r="H255">
        <v>0.36988189331829502</v>
      </c>
      <c r="I255">
        <v>0.16227966173142799</v>
      </c>
      <c r="J255">
        <v>0.15475223640007099</v>
      </c>
      <c r="K255">
        <v>0.128874158232818</v>
      </c>
      <c r="L255">
        <v>705.07728490168699</v>
      </c>
      <c r="M255">
        <v>12.2123913372898</v>
      </c>
      <c r="N255">
        <v>57.734555502868197</v>
      </c>
      <c r="O255">
        <v>56.251976774387899</v>
      </c>
      <c r="P255">
        <v>-5.4287612096318001E-2</v>
      </c>
      <c r="Q255">
        <v>0</v>
      </c>
      <c r="R255">
        <v>0.98357605669247405</v>
      </c>
      <c r="S255" t="s">
        <v>6707</v>
      </c>
      <c r="T255" t="s">
        <v>12902</v>
      </c>
      <c r="U255" t="s">
        <v>12902</v>
      </c>
      <c r="V255" t="s">
        <v>12902</v>
      </c>
      <c r="W255" t="s">
        <v>13154</v>
      </c>
      <c r="X255">
        <v>3</v>
      </c>
      <c r="Y255" t="s">
        <v>19550</v>
      </c>
      <c r="Z255" t="s">
        <v>25830</v>
      </c>
      <c r="AA255">
        <v>0.6051287407773247</v>
      </c>
      <c r="AB255" t="str">
        <f>HYPERLINK("Melting_Curves/meltCurve_B7ZL88_COX18.pdf", "Melting_Curves/meltCurve_B7ZL88_COX18.pdf")</f>
        <v>Melting_Curves/meltCurve_B7ZL88_COX18.pdf</v>
      </c>
    </row>
    <row r="256" spans="1:28" x14ac:dyDescent="0.25">
      <c r="A256" t="s">
        <v>260</v>
      </c>
      <c r="B256">
        <v>0.99673306730245903</v>
      </c>
      <c r="C256">
        <v>0.935799063896401</v>
      </c>
      <c r="D256">
        <v>0.757684334303517</v>
      </c>
      <c r="E256">
        <v>0.33294154346050903</v>
      </c>
      <c r="F256">
        <v>0.21138999826198401</v>
      </c>
      <c r="G256">
        <v>0.138891753442063</v>
      </c>
      <c r="H256">
        <v>9.4017047860798703E-2</v>
      </c>
      <c r="I256">
        <v>8.8380152941318096E-2</v>
      </c>
      <c r="J256">
        <v>8.3933667460447198E-2</v>
      </c>
      <c r="K256">
        <v>7.7180230101076996E-2</v>
      </c>
      <c r="L256">
        <v>1108.54390309173</v>
      </c>
      <c r="M256">
        <v>23.1896787384402</v>
      </c>
      <c r="N256">
        <v>48.232602553182801</v>
      </c>
      <c r="O256">
        <v>47.452104782477797</v>
      </c>
      <c r="P256">
        <v>-0.110784418745502</v>
      </c>
      <c r="Q256">
        <v>9.3241669244987793E-2</v>
      </c>
      <c r="R256">
        <v>0.996773394326812</v>
      </c>
      <c r="S256" t="s">
        <v>6708</v>
      </c>
      <c r="T256" t="s">
        <v>12902</v>
      </c>
      <c r="U256" t="s">
        <v>12902</v>
      </c>
      <c r="V256" t="s">
        <v>12902</v>
      </c>
      <c r="W256" t="s">
        <v>13155</v>
      </c>
      <c r="X256">
        <v>18</v>
      </c>
      <c r="Y256" t="s">
        <v>19551</v>
      </c>
      <c r="Z256" t="s">
        <v>25831</v>
      </c>
      <c r="AA256">
        <v>0.33852146484003293</v>
      </c>
      <c r="AB256" t="str">
        <f>HYPERLINK("Melting_Curves/meltCurve_B7ZLX3_CLASP1.pdf", "Melting_Curves/meltCurve_B7ZLX3_CLASP1.pdf")</f>
        <v>Melting_Curves/meltCurve_B7ZLX3_CLASP1.pdf</v>
      </c>
    </row>
    <row r="257" spans="1:28" x14ac:dyDescent="0.25">
      <c r="A257" t="s">
        <v>261</v>
      </c>
      <c r="B257">
        <v>0.99673306730245903</v>
      </c>
      <c r="C257">
        <v>0.93041480715511304</v>
      </c>
      <c r="D257">
        <v>0.83210736316730105</v>
      </c>
      <c r="E257">
        <v>0.61747623145055996</v>
      </c>
      <c r="F257">
        <v>0.304465129583326</v>
      </c>
      <c r="G257">
        <v>0.186019668846514</v>
      </c>
      <c r="H257">
        <v>0.14365776095544899</v>
      </c>
      <c r="I257">
        <v>0.137408250516867</v>
      </c>
      <c r="J257">
        <v>0.12482917780773201</v>
      </c>
      <c r="K257">
        <v>9.3308147823917206E-2</v>
      </c>
      <c r="L257">
        <v>906.15853983941702</v>
      </c>
      <c r="M257">
        <v>18.1261419489194</v>
      </c>
      <c r="N257">
        <v>50.647158434160602</v>
      </c>
      <c r="O257">
        <v>49.395246078410601</v>
      </c>
      <c r="P257">
        <v>-8.2154235229855696E-2</v>
      </c>
      <c r="Q257">
        <v>0.104534395949566</v>
      </c>
      <c r="R257">
        <v>0.99714841740029903</v>
      </c>
      <c r="S257" t="s">
        <v>6709</v>
      </c>
      <c r="T257" t="s">
        <v>12902</v>
      </c>
      <c r="U257" t="s">
        <v>12902</v>
      </c>
      <c r="V257" t="s">
        <v>12902</v>
      </c>
      <c r="W257" t="s">
        <v>13156</v>
      </c>
      <c r="X257">
        <v>6</v>
      </c>
      <c r="Y257" t="s">
        <v>19552</v>
      </c>
      <c r="Z257" t="s">
        <v>25832</v>
      </c>
      <c r="AA257">
        <v>0.41784932829615479</v>
      </c>
      <c r="AB257" t="str">
        <f>HYPERLINK("Melting_Curves/meltCurve_B7ZLZ2_EDEM3.pdf", "Melting_Curves/meltCurve_B7ZLZ2_EDEM3.pdf")</f>
        <v>Melting_Curves/meltCurve_B7ZLZ2_EDEM3.pdf</v>
      </c>
    </row>
    <row r="258" spans="1:28" x14ac:dyDescent="0.25">
      <c r="A258" t="s">
        <v>262</v>
      </c>
      <c r="B258">
        <v>0.99673306730245903</v>
      </c>
      <c r="C258">
        <v>0.93079626621383404</v>
      </c>
      <c r="D258">
        <v>0.89692419772773002</v>
      </c>
      <c r="E258">
        <v>0.85564364258630898</v>
      </c>
      <c r="F258">
        <v>0.85379745341143498</v>
      </c>
      <c r="G258">
        <v>0.61440546133134</v>
      </c>
      <c r="H258">
        <v>0.553088234181909</v>
      </c>
      <c r="I258">
        <v>0.56197275918363199</v>
      </c>
      <c r="J258">
        <v>0.65366659223944401</v>
      </c>
      <c r="K258">
        <v>0.69363713690946804</v>
      </c>
      <c r="L258">
        <v>757.06910276541305</v>
      </c>
      <c r="M258">
        <v>14.725340715788899</v>
      </c>
      <c r="O258">
        <v>50.492418434268103</v>
      </c>
      <c r="P258">
        <v>-2.9234241001347298E-2</v>
      </c>
      <c r="Q258">
        <v>0.59907285073410499</v>
      </c>
      <c r="R258">
        <v>0.83992029425639303</v>
      </c>
      <c r="S258" t="s">
        <v>6710</v>
      </c>
      <c r="T258" t="s">
        <v>12902</v>
      </c>
      <c r="U258" t="s">
        <v>12902</v>
      </c>
      <c r="V258" t="s">
        <v>12902</v>
      </c>
      <c r="W258" t="s">
        <v>13157</v>
      </c>
      <c r="X258">
        <v>1</v>
      </c>
      <c r="Y258" t="s">
        <v>19553</v>
      </c>
      <c r="Z258" t="s">
        <v>25833</v>
      </c>
      <c r="AA258">
        <v>0.76100969396697005</v>
      </c>
      <c r="AB258" t="str">
        <f>HYPERLINK("Melting_Curves/meltCurve_B8X2Z3_RLTPR.pdf", "Melting_Curves/meltCurve_B8X2Z3_RLTPR.pdf")</f>
        <v>Melting_Curves/meltCurve_B8X2Z3_RLTPR.pdf</v>
      </c>
    </row>
    <row r="259" spans="1:28" x14ac:dyDescent="0.25">
      <c r="A259" t="s">
        <v>263</v>
      </c>
      <c r="B259">
        <v>0.99673306730245903</v>
      </c>
      <c r="C259">
        <v>0.97282702572440805</v>
      </c>
      <c r="D259">
        <v>0.89514686742368998</v>
      </c>
      <c r="E259">
        <v>0.64388556164034305</v>
      </c>
      <c r="F259">
        <v>0.48406857955729299</v>
      </c>
      <c r="G259">
        <v>0.35935348658696697</v>
      </c>
      <c r="H259">
        <v>0.206765904440673</v>
      </c>
      <c r="I259">
        <v>0.24639434844329</v>
      </c>
      <c r="J259">
        <v>0.267315131471767</v>
      </c>
      <c r="K259">
        <v>0.28629889038457201</v>
      </c>
      <c r="L259">
        <v>892.42641617648701</v>
      </c>
      <c r="M259">
        <v>17.716662836148501</v>
      </c>
      <c r="N259">
        <v>52.351079918527702</v>
      </c>
      <c r="O259">
        <v>49.743538936030298</v>
      </c>
      <c r="P259">
        <v>-6.7311447017553205E-2</v>
      </c>
      <c r="Q259">
        <v>0.244071353762705</v>
      </c>
      <c r="R259">
        <v>0.98947866024575004</v>
      </c>
      <c r="S259" t="s">
        <v>6711</v>
      </c>
      <c r="T259" t="s">
        <v>12902</v>
      </c>
      <c r="U259" t="s">
        <v>12902</v>
      </c>
      <c r="V259" t="s">
        <v>12902</v>
      </c>
      <c r="W259" t="s">
        <v>13158</v>
      </c>
      <c r="X259">
        <v>2</v>
      </c>
      <c r="Y259" t="s">
        <v>19554</v>
      </c>
      <c r="Z259" t="s">
        <v>25834</v>
      </c>
      <c r="AA259">
        <v>0.5186401611192446</v>
      </c>
      <c r="AB259" t="str">
        <f>HYPERLINK("Melting_Curves/meltCurve_B8ZZ99_CCDC115.pdf", "Melting_Curves/meltCurve_B8ZZ99_CCDC115.pdf")</f>
        <v>Melting_Curves/meltCurve_B8ZZ99_CCDC115.pdf</v>
      </c>
    </row>
    <row r="260" spans="1:28" x14ac:dyDescent="0.25">
      <c r="A260" t="s">
        <v>264</v>
      </c>
      <c r="B260">
        <v>0.99673306730245903</v>
      </c>
      <c r="C260">
        <v>0.87996781668812296</v>
      </c>
      <c r="D260">
        <v>0.75084293323638995</v>
      </c>
      <c r="E260">
        <v>0.68908070965217705</v>
      </c>
      <c r="F260">
        <v>0.47258688711385299</v>
      </c>
      <c r="G260">
        <v>0.316233936730899</v>
      </c>
      <c r="H260">
        <v>0.13111661490152701</v>
      </c>
      <c r="I260">
        <v>9.8830296915365004E-2</v>
      </c>
      <c r="J260">
        <v>0.114525335637936</v>
      </c>
      <c r="K260">
        <v>0.104039715679709</v>
      </c>
      <c r="L260">
        <v>549.59535675013296</v>
      </c>
      <c r="M260">
        <v>10.5200632529928</v>
      </c>
      <c r="N260">
        <v>52.292908988920601</v>
      </c>
      <c r="O260">
        <v>50.460796553025403</v>
      </c>
      <c r="P260">
        <v>-5.1878257248946402E-2</v>
      </c>
      <c r="Q260">
        <v>5.0366253269219299E-3</v>
      </c>
      <c r="R260">
        <v>0.98705968118945897</v>
      </c>
      <c r="S260" t="s">
        <v>6712</v>
      </c>
      <c r="T260" t="s">
        <v>12902</v>
      </c>
      <c r="U260" t="s">
        <v>12902</v>
      </c>
      <c r="V260" t="s">
        <v>12902</v>
      </c>
      <c r="W260" t="s">
        <v>13159</v>
      </c>
      <c r="X260">
        <v>2</v>
      </c>
      <c r="Y260" t="s">
        <v>19555</v>
      </c>
      <c r="Z260" t="s">
        <v>25835</v>
      </c>
      <c r="AA260">
        <v>0.4460064607983481</v>
      </c>
      <c r="AB260" t="str">
        <f>HYPERLINK("Melting_Curves/meltCurve_B8ZZC7_PIGQ.pdf", "Melting_Curves/meltCurve_B8ZZC7_PIGQ.pdf")</f>
        <v>Melting_Curves/meltCurve_B8ZZC7_PIGQ.pdf</v>
      </c>
    </row>
    <row r="261" spans="1:28" x14ac:dyDescent="0.25">
      <c r="A261" t="s">
        <v>265</v>
      </c>
      <c r="B261">
        <v>0.99673306730245903</v>
      </c>
      <c r="C261">
        <v>1.0104382190466901</v>
      </c>
      <c r="D261">
        <v>0.81424804304795795</v>
      </c>
      <c r="E261">
        <v>0.81471284626663398</v>
      </c>
      <c r="F261">
        <v>0.95741991334846599</v>
      </c>
      <c r="G261">
        <v>0.96183988575869195</v>
      </c>
      <c r="H261">
        <v>0.67357473466345097</v>
      </c>
      <c r="I261">
        <v>0.90660169823146397</v>
      </c>
      <c r="J261">
        <v>1.0656506400855199</v>
      </c>
      <c r="K261">
        <v>0.91997974165588103</v>
      </c>
      <c r="L261">
        <v>11056.8440485306</v>
      </c>
      <c r="M261">
        <v>250</v>
      </c>
      <c r="O261">
        <v>44.224544688091797</v>
      </c>
      <c r="P261">
        <v>-0.15651133215099799</v>
      </c>
      <c r="Q261">
        <v>0.88925371855845503</v>
      </c>
      <c r="R261">
        <v>0.17264277902575201</v>
      </c>
      <c r="S261" t="s">
        <v>6713</v>
      </c>
      <c r="T261" t="s">
        <v>12902</v>
      </c>
      <c r="U261" t="s">
        <v>12902</v>
      </c>
      <c r="V261" t="s">
        <v>12902</v>
      </c>
      <c r="W261" t="s">
        <v>13160</v>
      </c>
      <c r="X261">
        <v>2</v>
      </c>
      <c r="Y261" t="s">
        <v>19556</v>
      </c>
      <c r="Z261" t="s">
        <v>25836</v>
      </c>
      <c r="AA261">
        <v>0.9048678542946399</v>
      </c>
      <c r="AB261" t="str">
        <f>HYPERLINK("Melting_Curves/meltCurve_B8ZZF8_LSM5.pdf", "Melting_Curves/meltCurve_B8ZZF8_LSM5.pdf")</f>
        <v>Melting_Curves/meltCurve_B8ZZF8_LSM5.pdf</v>
      </c>
    </row>
    <row r="262" spans="1:28" x14ac:dyDescent="0.25">
      <c r="A262" t="s">
        <v>266</v>
      </c>
      <c r="B262">
        <v>0.99673306730245903</v>
      </c>
      <c r="C262">
        <v>0.87582252442972697</v>
      </c>
      <c r="D262">
        <v>0.78439590264654802</v>
      </c>
      <c r="E262">
        <v>0.72328212306488404</v>
      </c>
      <c r="F262">
        <v>0.47442348770728798</v>
      </c>
      <c r="G262">
        <v>0.22230535964801901</v>
      </c>
      <c r="H262">
        <v>0.105361909037181</v>
      </c>
      <c r="I262">
        <v>9.8445983265528794E-2</v>
      </c>
      <c r="J262">
        <v>0.13435786649524101</v>
      </c>
      <c r="K262">
        <v>0.101263640451529</v>
      </c>
      <c r="L262">
        <v>678.15765697227596</v>
      </c>
      <c r="M262">
        <v>13.104355888772201</v>
      </c>
      <c r="N262">
        <v>52.112962735968303</v>
      </c>
      <c r="O262">
        <v>50.589917588080198</v>
      </c>
      <c r="P262">
        <v>-6.1948065397421599E-2</v>
      </c>
      <c r="Q262">
        <v>4.3551334867933097E-2</v>
      </c>
      <c r="R262">
        <v>0.98064042481734004</v>
      </c>
      <c r="S262" t="s">
        <v>6714</v>
      </c>
      <c r="T262" t="s">
        <v>12902</v>
      </c>
      <c r="U262" t="s">
        <v>12902</v>
      </c>
      <c r="V262" t="s">
        <v>12902</v>
      </c>
      <c r="W262" t="s">
        <v>13161</v>
      </c>
      <c r="X262">
        <v>1</v>
      </c>
      <c r="Y262" t="s">
        <v>19557</v>
      </c>
      <c r="Z262" t="s">
        <v>25837</v>
      </c>
      <c r="AA262">
        <v>0.44455382228752971</v>
      </c>
      <c r="AB262" t="str">
        <f>HYPERLINK("Melting_Curves/meltCurve_B8ZZI5_STK16.pdf", "Melting_Curves/meltCurve_B8ZZI5_STK16.pdf")</f>
        <v>Melting_Curves/meltCurve_B8ZZI5_STK16.pdf</v>
      </c>
    </row>
    <row r="263" spans="1:28" x14ac:dyDescent="0.25">
      <c r="A263" t="s">
        <v>267</v>
      </c>
      <c r="B263">
        <v>0.99673306730245903</v>
      </c>
      <c r="C263">
        <v>1.00005857875899</v>
      </c>
      <c r="D263">
        <v>0.83452634861613295</v>
      </c>
      <c r="E263">
        <v>0.57926711127724595</v>
      </c>
      <c r="F263">
        <v>0.48707283679735403</v>
      </c>
      <c r="G263">
        <v>0.371564213129085</v>
      </c>
      <c r="H263">
        <v>0.23266205062852899</v>
      </c>
      <c r="I263">
        <v>0.21498622594233899</v>
      </c>
      <c r="J263">
        <v>0.27837542292897999</v>
      </c>
      <c r="K263">
        <v>0.23534366623800901</v>
      </c>
      <c r="L263">
        <v>769.27960946634005</v>
      </c>
      <c r="M263">
        <v>15.3994417269249</v>
      </c>
      <c r="N263">
        <v>52.006294750331797</v>
      </c>
      <c r="O263">
        <v>49.1353636136744</v>
      </c>
      <c r="P263">
        <v>-6.05234810471421E-2</v>
      </c>
      <c r="Q263">
        <v>0.22761557386397899</v>
      </c>
      <c r="R263">
        <v>0.98401162789033603</v>
      </c>
      <c r="S263" t="s">
        <v>6715</v>
      </c>
      <c r="T263" t="s">
        <v>12902</v>
      </c>
      <c r="U263" t="s">
        <v>12902</v>
      </c>
      <c r="V263" t="s">
        <v>12902</v>
      </c>
      <c r="W263" t="s">
        <v>13162</v>
      </c>
      <c r="X263">
        <v>5</v>
      </c>
      <c r="Y263" t="s">
        <v>19558</v>
      </c>
      <c r="Z263" t="s">
        <v>25838</v>
      </c>
      <c r="AA263">
        <v>0.50151836766070934</v>
      </c>
      <c r="AB263" t="str">
        <f>HYPERLINK("Melting_Curves/meltCurve_B8ZZN6_SUMO1.pdf", "Melting_Curves/meltCurve_B8ZZN6_SUMO1.pdf")</f>
        <v>Melting_Curves/meltCurve_B8ZZN6_SUMO1.pdf</v>
      </c>
    </row>
    <row r="264" spans="1:28" x14ac:dyDescent="0.25">
      <c r="A264" t="s">
        <v>268</v>
      </c>
      <c r="B264">
        <v>0.99673306730245903</v>
      </c>
      <c r="C264">
        <v>0.97107637786901302</v>
      </c>
      <c r="D264">
        <v>1.01759800649821</v>
      </c>
      <c r="E264">
        <v>0.98502463843038801</v>
      </c>
      <c r="F264">
        <v>1.1136100781890199</v>
      </c>
      <c r="G264">
        <v>1.1149971836368999</v>
      </c>
      <c r="H264">
        <v>1.1936243545651499</v>
      </c>
      <c r="I264">
        <v>2.48100742005792</v>
      </c>
      <c r="J264">
        <v>3.0487602653220698</v>
      </c>
      <c r="K264">
        <v>2.9276752990594601</v>
      </c>
      <c r="L264">
        <v>15000</v>
      </c>
      <c r="M264">
        <v>246.251876526047</v>
      </c>
      <c r="O264">
        <v>60.909223863249402</v>
      </c>
      <c r="P264">
        <v>0.50536655503879202</v>
      </c>
      <c r="Q264">
        <v>1.5</v>
      </c>
      <c r="R264">
        <v>0.19595210991835499</v>
      </c>
      <c r="S264" t="s">
        <v>6716</v>
      </c>
      <c r="T264" t="s">
        <v>12902</v>
      </c>
      <c r="U264" t="s">
        <v>12902</v>
      </c>
      <c r="V264" t="s">
        <v>12902</v>
      </c>
      <c r="W264" t="s">
        <v>13163</v>
      </c>
      <c r="X264">
        <v>11</v>
      </c>
      <c r="Y264" t="s">
        <v>19559</v>
      </c>
      <c r="Z264" t="s">
        <v>25839</v>
      </c>
      <c r="AA264">
        <v>1.151390885897829</v>
      </c>
      <c r="AB264" t="str">
        <f>HYPERLINK("Melting_Curves/meltCurve_B8ZZQ6_PTMA.pdf", "Melting_Curves/meltCurve_B8ZZQ6_PTMA.pdf")</f>
        <v>Melting_Curves/meltCurve_B8ZZQ6_PTMA.pdf</v>
      </c>
    </row>
    <row r="265" spans="1:28" x14ac:dyDescent="0.25">
      <c r="A265" t="s">
        <v>269</v>
      </c>
      <c r="B265">
        <v>0.99673306730245903</v>
      </c>
      <c r="C265">
        <v>0.61845288484862704</v>
      </c>
      <c r="D265">
        <v>0.38250101259792202</v>
      </c>
      <c r="E265">
        <v>0.26991713577634502</v>
      </c>
      <c r="F265">
        <v>0.19768559992703799</v>
      </c>
      <c r="G265">
        <v>0.107589896201306</v>
      </c>
      <c r="H265">
        <v>6.2741421095535904E-2</v>
      </c>
      <c r="I265">
        <v>5.9476766259294198E-2</v>
      </c>
      <c r="J265">
        <v>5.9137857340650198E-2</v>
      </c>
      <c r="K265">
        <v>5.4451850218961199E-2</v>
      </c>
      <c r="L265">
        <v>742.32028003840298</v>
      </c>
      <c r="M265">
        <v>16.650919070973099</v>
      </c>
      <c r="N265">
        <v>45.013949716724298</v>
      </c>
      <c r="O265">
        <v>43.953199354829302</v>
      </c>
      <c r="P265">
        <v>-8.7711377618994404E-2</v>
      </c>
      <c r="Q265">
        <v>7.3940005439260797E-2</v>
      </c>
      <c r="R265">
        <v>0.968051092729453</v>
      </c>
      <c r="S265" t="s">
        <v>6717</v>
      </c>
      <c r="T265" t="s">
        <v>12902</v>
      </c>
      <c r="U265" t="s">
        <v>12902</v>
      </c>
      <c r="V265" t="s">
        <v>12902</v>
      </c>
      <c r="W265" t="s">
        <v>13164</v>
      </c>
      <c r="X265">
        <v>2</v>
      </c>
      <c r="Y265" t="s">
        <v>19560</v>
      </c>
      <c r="Z265" t="s">
        <v>25840</v>
      </c>
      <c r="AA265">
        <v>0.2403305992201063</v>
      </c>
      <c r="AB265" t="str">
        <f>HYPERLINK("Melting_Curves/meltCurve_B8ZZS2_NAB1.pdf", "Melting_Curves/meltCurve_B8ZZS2_NAB1.pdf")</f>
        <v>Melting_Curves/meltCurve_B8ZZS2_NAB1.pdf</v>
      </c>
    </row>
    <row r="266" spans="1:28" x14ac:dyDescent="0.25">
      <c r="A266" t="s">
        <v>270</v>
      </c>
      <c r="B266">
        <v>0.99673306730245903</v>
      </c>
      <c r="C266">
        <v>0.95041129461646101</v>
      </c>
      <c r="D266">
        <v>0.94955404140269495</v>
      </c>
      <c r="E266">
        <v>0.86928438184864698</v>
      </c>
      <c r="F266">
        <v>0.856819382695722</v>
      </c>
      <c r="G266">
        <v>0.51187274236945302</v>
      </c>
      <c r="H266">
        <v>0.34738013733578499</v>
      </c>
      <c r="I266">
        <v>0.452143672141403</v>
      </c>
      <c r="J266">
        <v>0.78766643305667305</v>
      </c>
      <c r="K266">
        <v>0.91118751499524397</v>
      </c>
      <c r="L266">
        <v>13330.656529387999</v>
      </c>
      <c r="M266">
        <v>250</v>
      </c>
      <c r="O266">
        <v>53.319204972878197</v>
      </c>
      <c r="P266">
        <v>-0.46647104245633803</v>
      </c>
      <c r="Q266">
        <v>0.60205009221403605</v>
      </c>
      <c r="R266">
        <v>0.50449925148810004</v>
      </c>
      <c r="S266" t="s">
        <v>6718</v>
      </c>
      <c r="T266" t="s">
        <v>12902</v>
      </c>
      <c r="U266" t="s">
        <v>12902</v>
      </c>
      <c r="V266" t="s">
        <v>12902</v>
      </c>
      <c r="W266" t="s">
        <v>13165</v>
      </c>
      <c r="X266">
        <v>6</v>
      </c>
      <c r="Y266" t="s">
        <v>19561</v>
      </c>
      <c r="Z266" t="s">
        <v>25841</v>
      </c>
      <c r="AA266">
        <v>0.77881192701543334</v>
      </c>
      <c r="AB266" t="str">
        <f>HYPERLINK("Melting_Curves/meltCurve_B8ZZU6_ATF2.pdf", "Melting_Curves/meltCurve_B8ZZU6_ATF2.pdf")</f>
        <v>Melting_Curves/meltCurve_B8ZZU6_ATF2.pdf</v>
      </c>
    </row>
    <row r="267" spans="1:28" x14ac:dyDescent="0.25">
      <c r="A267" t="s">
        <v>271</v>
      </c>
      <c r="B267">
        <v>0.99673306730245903</v>
      </c>
      <c r="C267">
        <v>0.95572660533142095</v>
      </c>
      <c r="D267">
        <v>0.81909691197152801</v>
      </c>
      <c r="E267">
        <v>0.49883147110935699</v>
      </c>
      <c r="F267">
        <v>0.244724058266236</v>
      </c>
      <c r="G267">
        <v>0.143729762505168</v>
      </c>
      <c r="H267">
        <v>9.5715477036659197E-2</v>
      </c>
      <c r="I267">
        <v>9.2585147863914696E-2</v>
      </c>
      <c r="J267">
        <v>6.0996536923502598E-2</v>
      </c>
      <c r="K267">
        <v>0.104974157971659</v>
      </c>
      <c r="L267">
        <v>998.69319878873296</v>
      </c>
      <c r="M267">
        <v>20.309845702494801</v>
      </c>
      <c r="N267">
        <v>49.608202012733997</v>
      </c>
      <c r="O267">
        <v>48.703586488986502</v>
      </c>
      <c r="P267">
        <v>-9.5745608803798302E-2</v>
      </c>
      <c r="Q267">
        <v>8.1625380659697599E-2</v>
      </c>
      <c r="R267">
        <v>0.999135236682682</v>
      </c>
      <c r="S267" t="s">
        <v>6719</v>
      </c>
      <c r="T267" t="s">
        <v>12902</v>
      </c>
      <c r="U267" t="s">
        <v>12902</v>
      </c>
      <c r="V267" t="s">
        <v>12902</v>
      </c>
      <c r="W267" t="s">
        <v>13166</v>
      </c>
      <c r="X267">
        <v>2</v>
      </c>
      <c r="Y267" t="s">
        <v>19562</v>
      </c>
      <c r="Z267" t="s">
        <v>25842</v>
      </c>
      <c r="AA267">
        <v>0.37488162997639413</v>
      </c>
      <c r="AB267" t="str">
        <f>HYPERLINK("Melting_Curves/meltCurve_B8ZZV9_COQ10B.pdf", "Melting_Curves/meltCurve_B8ZZV9_COQ10B.pdf")</f>
        <v>Melting_Curves/meltCurve_B8ZZV9_COQ10B.pdf</v>
      </c>
    </row>
    <row r="268" spans="1:28" x14ac:dyDescent="0.25">
      <c r="A268" t="s">
        <v>272</v>
      </c>
      <c r="B268">
        <v>0.99673306730245903</v>
      </c>
      <c r="C268">
        <v>0.87814524172077701</v>
      </c>
      <c r="D268">
        <v>0.83618133840199604</v>
      </c>
      <c r="E268">
        <v>0.61029563467756398</v>
      </c>
      <c r="F268">
        <v>0.26011335957678799</v>
      </c>
      <c r="G268">
        <v>0.14064535136180301</v>
      </c>
      <c r="H268">
        <v>0.110581960437344</v>
      </c>
      <c r="I268">
        <v>9.5124430192392598E-2</v>
      </c>
      <c r="J268">
        <v>9.1231352388219403E-2</v>
      </c>
      <c r="K268">
        <v>0.103041905077793</v>
      </c>
      <c r="L268">
        <v>939.72227356751705</v>
      </c>
      <c r="M268">
        <v>18.849709029390802</v>
      </c>
      <c r="N268">
        <v>50.313343653367703</v>
      </c>
      <c r="O268">
        <v>49.302475513120001</v>
      </c>
      <c r="P268">
        <v>-8.8021042033671101E-2</v>
      </c>
      <c r="Q268">
        <v>7.9141787479370201E-2</v>
      </c>
      <c r="R268">
        <v>0.99130320197342703</v>
      </c>
      <c r="S268" t="s">
        <v>6720</v>
      </c>
      <c r="T268" t="s">
        <v>12902</v>
      </c>
      <c r="U268" t="s">
        <v>12902</v>
      </c>
      <c r="V268" t="s">
        <v>12902</v>
      </c>
      <c r="W268" t="s">
        <v>13167</v>
      </c>
      <c r="X268">
        <v>1</v>
      </c>
      <c r="Y268" t="s">
        <v>19563</v>
      </c>
      <c r="Z268" t="s">
        <v>25843</v>
      </c>
      <c r="AA268">
        <v>0.39599271371399403</v>
      </c>
      <c r="AB268" t="str">
        <f>HYPERLINK("Melting_Curves/meltCurve_B8ZZX4_TXNDC9.pdf", "Melting_Curves/meltCurve_B8ZZX4_TXNDC9.pdf")</f>
        <v>Melting_Curves/meltCurve_B8ZZX4_TXNDC9.pdf</v>
      </c>
    </row>
    <row r="269" spans="1:28" x14ac:dyDescent="0.25">
      <c r="A269" t="s">
        <v>273</v>
      </c>
      <c r="B269">
        <v>0.99673306730245903</v>
      </c>
      <c r="C269">
        <v>0.93248401479756704</v>
      </c>
      <c r="D269">
        <v>0.52534592111007405</v>
      </c>
      <c r="E269">
        <v>0.82261437661099501</v>
      </c>
      <c r="F269">
        <v>0.35558931514269299</v>
      </c>
      <c r="G269">
        <v>0.171680602893266</v>
      </c>
      <c r="H269">
        <v>8.0280006268585502E-2</v>
      </c>
      <c r="I269">
        <v>7.47399033731313E-2</v>
      </c>
      <c r="J269">
        <v>8.3065782619532805E-2</v>
      </c>
      <c r="K269">
        <v>7.9660834475703296E-2</v>
      </c>
      <c r="L269">
        <v>582.52204117786903</v>
      </c>
      <c r="M269">
        <v>11.4375103175311</v>
      </c>
      <c r="N269">
        <v>50.930820011940199</v>
      </c>
      <c r="O269">
        <v>49.448513991591099</v>
      </c>
      <c r="P269">
        <v>-5.7842147401288603E-2</v>
      </c>
      <c r="Q269">
        <v>0</v>
      </c>
      <c r="R269">
        <v>0.89613635718436702</v>
      </c>
      <c r="S269" t="s">
        <v>6721</v>
      </c>
      <c r="T269" t="s">
        <v>12902</v>
      </c>
      <c r="U269" t="s">
        <v>12902</v>
      </c>
      <c r="V269" t="s">
        <v>12902</v>
      </c>
      <c r="W269" t="s">
        <v>13168</v>
      </c>
      <c r="X269">
        <v>9</v>
      </c>
      <c r="Y269" t="s">
        <v>19564</v>
      </c>
      <c r="Z269" t="s">
        <v>25844</v>
      </c>
      <c r="AA269">
        <v>0.39941563309448319</v>
      </c>
      <c r="AB269" t="str">
        <f>HYPERLINK("Melting_Curves/meltCurve_B8ZZY2_AGFG1.pdf", "Melting_Curves/meltCurve_B8ZZY2_AGFG1.pdf")</f>
        <v>Melting_Curves/meltCurve_B8ZZY2_AGFG1.pdf</v>
      </c>
    </row>
    <row r="270" spans="1:28" x14ac:dyDescent="0.25">
      <c r="A270" t="s">
        <v>274</v>
      </c>
      <c r="B270">
        <v>0.99673306730245903</v>
      </c>
      <c r="C270">
        <v>1.05443750171594</v>
      </c>
      <c r="D270">
        <v>1.26515982107601</v>
      </c>
      <c r="E270">
        <v>1.3217073040624201</v>
      </c>
      <c r="F270">
        <v>0.261762318937803</v>
      </c>
      <c r="G270">
        <v>0.130954261431667</v>
      </c>
      <c r="H270">
        <v>7.7887036180825098E-2</v>
      </c>
      <c r="I270">
        <v>6.9270882691479699E-2</v>
      </c>
      <c r="J270">
        <v>6.8677501328365101E-2</v>
      </c>
      <c r="K270">
        <v>6.0587855913655501E-2</v>
      </c>
      <c r="L270">
        <v>13225.003123868601</v>
      </c>
      <c r="M270">
        <v>250</v>
      </c>
      <c r="N270">
        <v>52.937671706391299</v>
      </c>
      <c r="O270">
        <v>52.896614031700402</v>
      </c>
      <c r="P270">
        <v>-1.0852824768454701</v>
      </c>
      <c r="Q270">
        <v>8.1475478038342694E-2</v>
      </c>
      <c r="R270">
        <v>0.93433824594239101</v>
      </c>
      <c r="S270" t="s">
        <v>6722</v>
      </c>
      <c r="T270" t="s">
        <v>12902</v>
      </c>
      <c r="U270" t="s">
        <v>12902</v>
      </c>
      <c r="V270" t="s">
        <v>12902</v>
      </c>
      <c r="W270" t="s">
        <v>13169</v>
      </c>
      <c r="X270">
        <v>14</v>
      </c>
      <c r="Y270" t="s">
        <v>19565</v>
      </c>
      <c r="Z270" t="s">
        <v>25845</v>
      </c>
      <c r="AA270">
        <v>0.47652667968311763</v>
      </c>
      <c r="AB270" t="str">
        <f>HYPERLINK("Melting_Curves/meltCurve_B9A018_USP39.pdf", "Melting_Curves/meltCurve_B9A018_USP39.pdf")</f>
        <v>Melting_Curves/meltCurve_B9A018_USP39.pdf</v>
      </c>
    </row>
    <row r="271" spans="1:28" x14ac:dyDescent="0.25">
      <c r="A271" t="s">
        <v>275</v>
      </c>
      <c r="B271">
        <v>0.99673306730245903</v>
      </c>
      <c r="C271">
        <v>0.966747155593358</v>
      </c>
      <c r="D271">
        <v>0.94840769966125305</v>
      </c>
      <c r="E271">
        <v>0.76525161657232899</v>
      </c>
      <c r="F271">
        <v>0.42185530271629001</v>
      </c>
      <c r="G271">
        <v>0.36615986266211398</v>
      </c>
      <c r="H271">
        <v>0.31249092150431301</v>
      </c>
      <c r="I271">
        <v>0.45221164296705402</v>
      </c>
      <c r="J271">
        <v>0.71672090194354299</v>
      </c>
      <c r="K271">
        <v>0.75557660700222096</v>
      </c>
      <c r="L271">
        <v>12405.2735589246</v>
      </c>
      <c r="M271">
        <v>250</v>
      </c>
      <c r="O271">
        <v>49.617918816301703</v>
      </c>
      <c r="P271">
        <v>-0.62456115653006905</v>
      </c>
      <c r="Q271">
        <v>0.50416920442782998</v>
      </c>
      <c r="R271">
        <v>0.71385096055774899</v>
      </c>
      <c r="S271" t="s">
        <v>6723</v>
      </c>
      <c r="T271" t="s">
        <v>12902</v>
      </c>
      <c r="U271" t="s">
        <v>12902</v>
      </c>
      <c r="V271" t="s">
        <v>12902</v>
      </c>
      <c r="W271" t="s">
        <v>13170</v>
      </c>
      <c r="X271">
        <v>3</v>
      </c>
      <c r="Y271" t="s">
        <v>19566</v>
      </c>
      <c r="Z271" t="s">
        <v>25846</v>
      </c>
      <c r="AA271">
        <v>0.66322687711855355</v>
      </c>
      <c r="AB271" t="str">
        <f>HYPERLINK("Melting_Curves/meltCurve_B9A057_COA5.pdf", "Melting_Curves/meltCurve_B9A057_COA5.pdf")</f>
        <v>Melting_Curves/meltCurve_B9A057_COA5.pdf</v>
      </c>
    </row>
    <row r="272" spans="1:28" x14ac:dyDescent="0.25">
      <c r="A272" t="s">
        <v>276</v>
      </c>
      <c r="B272">
        <v>0.99673306730245903</v>
      </c>
      <c r="C272">
        <v>1.0168442542210501</v>
      </c>
      <c r="D272">
        <v>0.96877035161865099</v>
      </c>
      <c r="E272">
        <v>0.83085401826391803</v>
      </c>
      <c r="F272">
        <v>0.56923780803468105</v>
      </c>
      <c r="G272">
        <v>0.361138493975801</v>
      </c>
      <c r="H272">
        <v>0.26996131348097302</v>
      </c>
      <c r="I272">
        <v>0.26872368576858402</v>
      </c>
      <c r="J272">
        <v>0.27749636519596899</v>
      </c>
      <c r="K272">
        <v>0.24401265576711201</v>
      </c>
      <c r="L272">
        <v>1189.17736560301</v>
      </c>
      <c r="M272">
        <v>22.696507622631302</v>
      </c>
      <c r="N272">
        <v>54.073077255532098</v>
      </c>
      <c r="O272">
        <v>51.993049718305201</v>
      </c>
      <c r="P272">
        <v>-8.1543812892114098E-2</v>
      </c>
      <c r="Q272">
        <v>0.25281374332888701</v>
      </c>
      <c r="R272">
        <v>0.99874806935474703</v>
      </c>
      <c r="S272" t="s">
        <v>6724</v>
      </c>
      <c r="T272" t="s">
        <v>12902</v>
      </c>
      <c r="U272" t="s">
        <v>12902</v>
      </c>
      <c r="V272" t="s">
        <v>12902</v>
      </c>
      <c r="W272" t="s">
        <v>13171</v>
      </c>
      <c r="X272">
        <v>37</v>
      </c>
      <c r="Y272" t="s">
        <v>19567</v>
      </c>
      <c r="Z272" t="s">
        <v>25847</v>
      </c>
      <c r="AA272">
        <v>0.56973057228112722</v>
      </c>
      <c r="AB272" t="str">
        <f>HYPERLINK("Melting_Curves/meltCurve_B9A067_IMMT.pdf", "Melting_Curves/meltCurve_B9A067_IMMT.pdf")</f>
        <v>Melting_Curves/meltCurve_B9A067_IMMT.pdf</v>
      </c>
    </row>
    <row r="273" spans="1:28" x14ac:dyDescent="0.25">
      <c r="A273" t="s">
        <v>277</v>
      </c>
      <c r="B273">
        <v>0.99673306730245903</v>
      </c>
      <c r="C273">
        <v>0.99608865137695202</v>
      </c>
      <c r="D273">
        <v>0.92445167213721302</v>
      </c>
      <c r="E273">
        <v>0.86839669970848699</v>
      </c>
      <c r="F273">
        <v>0.83035770117845498</v>
      </c>
      <c r="G273">
        <v>0.75122345354682396</v>
      </c>
      <c r="H273">
        <v>0.604783846259766</v>
      </c>
      <c r="I273">
        <v>0.92478777494925801</v>
      </c>
      <c r="J273">
        <v>1.0282527126005601</v>
      </c>
      <c r="K273">
        <v>1.2490008159016499</v>
      </c>
      <c r="L273">
        <v>15000</v>
      </c>
      <c r="M273">
        <v>221.49019818758299</v>
      </c>
      <c r="O273">
        <v>67.717566993517906</v>
      </c>
      <c r="P273">
        <v>0.20375893463573699</v>
      </c>
      <c r="Q273">
        <v>1.2491859087885699</v>
      </c>
      <c r="R273">
        <v>-2.00454620146986E-2</v>
      </c>
      <c r="S273" t="s">
        <v>6725</v>
      </c>
      <c r="T273" t="s">
        <v>12902</v>
      </c>
      <c r="U273" t="s">
        <v>12902</v>
      </c>
      <c r="V273" t="s">
        <v>12902</v>
      </c>
      <c r="W273" t="s">
        <v>13172</v>
      </c>
      <c r="X273">
        <v>2</v>
      </c>
      <c r="Y273" t="s">
        <v>19568</v>
      </c>
      <c r="Z273" t="s">
        <v>25848</v>
      </c>
      <c r="AA273">
        <v>1.0188767875998821</v>
      </c>
      <c r="AB273" t="str">
        <f>HYPERLINK("Melting_Curves/meltCurve_C0H5Y7_BAK1.pdf", "Melting_Curves/meltCurve_C0H5Y7_BAK1.pdf")</f>
        <v>Melting_Curves/meltCurve_C0H5Y7_BAK1.pdf</v>
      </c>
    </row>
    <row r="274" spans="1:28" x14ac:dyDescent="0.25">
      <c r="A274" t="s">
        <v>278</v>
      </c>
      <c r="B274">
        <v>0.99673306730245903</v>
      </c>
      <c r="C274">
        <v>0.89789325582872004</v>
      </c>
      <c r="D274">
        <v>0.83162946707304797</v>
      </c>
      <c r="E274">
        <v>0.70749992451174404</v>
      </c>
      <c r="F274">
        <v>0.52166118750288304</v>
      </c>
      <c r="G274">
        <v>0.14004679525213201</v>
      </c>
      <c r="H274">
        <v>0.101532879270909</v>
      </c>
      <c r="I274">
        <v>6.9798861445161994E-2</v>
      </c>
      <c r="J274">
        <v>9.7973171554336894E-2</v>
      </c>
      <c r="K274">
        <v>5.6298045511829001E-2</v>
      </c>
      <c r="L274">
        <v>782.93477856415302</v>
      </c>
      <c r="M274">
        <v>15.0312664813084</v>
      </c>
      <c r="N274">
        <v>52.240414445046198</v>
      </c>
      <c r="O274">
        <v>51.191252430284997</v>
      </c>
      <c r="P274">
        <v>-7.1830455037065102E-2</v>
      </c>
      <c r="Q274">
        <v>2.1580111047247299E-2</v>
      </c>
      <c r="R274">
        <v>0.97979632034235098</v>
      </c>
      <c r="S274" t="s">
        <v>6726</v>
      </c>
      <c r="T274" t="s">
        <v>12902</v>
      </c>
      <c r="U274" t="s">
        <v>12902</v>
      </c>
      <c r="V274" t="s">
        <v>12902</v>
      </c>
      <c r="W274" t="s">
        <v>13173</v>
      </c>
      <c r="X274">
        <v>2</v>
      </c>
      <c r="Y274" t="s">
        <v>19569</v>
      </c>
      <c r="Z274" t="s">
        <v>25849</v>
      </c>
      <c r="AA274">
        <v>0.43752658333330863</v>
      </c>
      <c r="AB274" t="str">
        <f>HYPERLINK("Melting_Curves/meltCurve_C1IDX9_ATG12.pdf", "Melting_Curves/meltCurve_C1IDX9_ATG12.pdf")</f>
        <v>Melting_Curves/meltCurve_C1IDX9_ATG12.pdf</v>
      </c>
    </row>
    <row r="275" spans="1:28" x14ac:dyDescent="0.25">
      <c r="A275" t="s">
        <v>279</v>
      </c>
      <c r="B275">
        <v>0.99673306730245903</v>
      </c>
      <c r="C275">
        <v>0.97605067183865402</v>
      </c>
      <c r="D275">
        <v>0.91145711321640899</v>
      </c>
      <c r="E275">
        <v>0.75791324919366299</v>
      </c>
      <c r="F275">
        <v>0.528251381713847</v>
      </c>
      <c r="G275">
        <v>0.40061783468699902</v>
      </c>
      <c r="H275">
        <v>0.238873814101174</v>
      </c>
      <c r="I275">
        <v>0.23052783527096399</v>
      </c>
      <c r="J275">
        <v>0.26620097465085801</v>
      </c>
      <c r="K275">
        <v>0.21725535873956101</v>
      </c>
      <c r="L275">
        <v>846.554233621359</v>
      </c>
      <c r="M275">
        <v>16.264487114510999</v>
      </c>
      <c r="N275">
        <v>53.846712812719701</v>
      </c>
      <c r="O275">
        <v>51.281484193612997</v>
      </c>
      <c r="P275">
        <v>-6.2685296601077301E-2</v>
      </c>
      <c r="Q275">
        <v>0.209478014589873</v>
      </c>
      <c r="R275">
        <v>0.99568665054220795</v>
      </c>
      <c r="S275" t="s">
        <v>6727</v>
      </c>
      <c r="T275" t="s">
        <v>12902</v>
      </c>
      <c r="U275" t="s">
        <v>12902</v>
      </c>
      <c r="V275" t="s">
        <v>12902</v>
      </c>
      <c r="W275" t="s">
        <v>13174</v>
      </c>
      <c r="X275">
        <v>4</v>
      </c>
      <c r="Y275" t="s">
        <v>19570</v>
      </c>
      <c r="Z275" t="s">
        <v>25850</v>
      </c>
      <c r="AA275">
        <v>0.5425300205822231</v>
      </c>
      <c r="AB275" t="str">
        <f>HYPERLINK("Melting_Curves/meltCurve_C1P671_KREMEN1.pdf", "Melting_Curves/meltCurve_C1P671_KREMEN1.pdf")</f>
        <v>Melting_Curves/meltCurve_C1P671_KREMEN1.pdf</v>
      </c>
    </row>
    <row r="276" spans="1:28" x14ac:dyDescent="0.25">
      <c r="A276" t="s">
        <v>280</v>
      </c>
      <c r="B276">
        <v>0.99673306730245903</v>
      </c>
      <c r="C276">
        <v>0.86307231806822005</v>
      </c>
      <c r="D276">
        <v>0.91074035543702803</v>
      </c>
      <c r="E276">
        <v>0.71688684609047204</v>
      </c>
      <c r="F276">
        <v>0.45015252628630598</v>
      </c>
      <c r="G276">
        <v>0.32961418241499102</v>
      </c>
      <c r="H276">
        <v>0.27619904026620901</v>
      </c>
      <c r="I276">
        <v>0.51331815194754005</v>
      </c>
      <c r="J276">
        <v>0.72814942468015698</v>
      </c>
      <c r="K276">
        <v>0.89242117038249802</v>
      </c>
      <c r="L276">
        <v>1676.0293983571701</v>
      </c>
      <c r="M276">
        <v>34.6662907832035</v>
      </c>
      <c r="O276">
        <v>48.187494192083903</v>
      </c>
      <c r="P276">
        <v>-8.3896772586684501E-2</v>
      </c>
      <c r="Q276">
        <v>0.53352262879587997</v>
      </c>
      <c r="R276">
        <v>0.48991350853582</v>
      </c>
      <c r="S276" t="s">
        <v>6728</v>
      </c>
      <c r="T276" t="s">
        <v>12902</v>
      </c>
      <c r="U276" t="s">
        <v>12902</v>
      </c>
      <c r="V276" t="s">
        <v>12902</v>
      </c>
      <c r="W276" t="s">
        <v>13175</v>
      </c>
      <c r="X276">
        <v>5</v>
      </c>
      <c r="Y276" t="s">
        <v>19571</v>
      </c>
      <c r="Z276" t="s">
        <v>25851</v>
      </c>
      <c r="AA276">
        <v>0.66541180870948291</v>
      </c>
      <c r="AB276" t="str">
        <f>HYPERLINK("Melting_Curves/meltCurve_C4AMC7_WASH3P.pdf", "Melting_Curves/meltCurve_C4AMC7_WASH3P.pdf")</f>
        <v>Melting_Curves/meltCurve_C4AMC7_WASH3P.pdf</v>
      </c>
    </row>
    <row r="277" spans="1:28" x14ac:dyDescent="0.25">
      <c r="A277" t="s">
        <v>281</v>
      </c>
      <c r="B277">
        <v>0.99673306730245903</v>
      </c>
      <c r="C277">
        <v>0.94476605101664102</v>
      </c>
      <c r="D277">
        <v>0.84767830394511401</v>
      </c>
      <c r="E277">
        <v>0.74597690919321202</v>
      </c>
      <c r="F277">
        <v>0.75157816432125402</v>
      </c>
      <c r="G277">
        <v>0.44262629737134801</v>
      </c>
      <c r="H277">
        <v>0.29937453374400302</v>
      </c>
      <c r="I277">
        <v>0.27871353012549099</v>
      </c>
      <c r="J277">
        <v>0.214516226447241</v>
      </c>
      <c r="K277">
        <v>0.19170504920255299</v>
      </c>
      <c r="L277">
        <v>545.49250268794299</v>
      </c>
      <c r="M277">
        <v>9.8093847816134794</v>
      </c>
      <c r="N277">
        <v>56.416088339917899</v>
      </c>
      <c r="O277">
        <v>53.445961951920403</v>
      </c>
      <c r="P277">
        <v>-4.2904030135240599E-2</v>
      </c>
      <c r="Q277">
        <v>6.5446944452248301E-2</v>
      </c>
      <c r="R277">
        <v>0.97593891776590402</v>
      </c>
      <c r="S277" t="s">
        <v>6729</v>
      </c>
      <c r="T277" t="s">
        <v>12902</v>
      </c>
      <c r="U277" t="s">
        <v>12902</v>
      </c>
      <c r="V277" t="s">
        <v>12902</v>
      </c>
      <c r="W277" t="s">
        <v>13176</v>
      </c>
      <c r="X277">
        <v>9</v>
      </c>
      <c r="Y277" t="s">
        <v>19572</v>
      </c>
      <c r="Z277" t="s">
        <v>25852</v>
      </c>
      <c r="AA277">
        <v>0.57327654489034952</v>
      </c>
      <c r="AB277" t="str">
        <f>HYPERLINK("Melting_Curves/meltCurve_C6G496_MAZ.pdf", "Melting_Curves/meltCurve_C6G496_MAZ.pdf")</f>
        <v>Melting_Curves/meltCurve_C6G496_MAZ.pdf</v>
      </c>
    </row>
    <row r="278" spans="1:28" x14ac:dyDescent="0.25">
      <c r="A278" t="s">
        <v>282</v>
      </c>
      <c r="B278">
        <v>0.99673306730245903</v>
      </c>
      <c r="C278">
        <v>0.883786688077561</v>
      </c>
      <c r="D278">
        <v>0.74578675415092199</v>
      </c>
      <c r="E278">
        <v>0.791762502432097</v>
      </c>
      <c r="F278">
        <v>0.77903054978807795</v>
      </c>
      <c r="G278">
        <v>0.75956274357350695</v>
      </c>
      <c r="H278">
        <v>0.43797602529825203</v>
      </c>
      <c r="I278">
        <v>0.59388658996756705</v>
      </c>
      <c r="J278">
        <v>0.73981987426555995</v>
      </c>
      <c r="K278">
        <v>0.47948386176157098</v>
      </c>
      <c r="L278">
        <v>325.368569950341</v>
      </c>
      <c r="M278">
        <v>6.2108480761358198</v>
      </c>
      <c r="O278">
        <v>47.739374988554303</v>
      </c>
      <c r="P278">
        <v>-1.7396666923826E-2</v>
      </c>
      <c r="Q278">
        <v>0.46665185737756398</v>
      </c>
      <c r="R278">
        <v>0.651203634312706</v>
      </c>
      <c r="S278" t="s">
        <v>6730</v>
      </c>
      <c r="T278" t="s">
        <v>12902</v>
      </c>
      <c r="U278" t="s">
        <v>12902</v>
      </c>
      <c r="V278" t="s">
        <v>12902</v>
      </c>
      <c r="W278" t="s">
        <v>13177</v>
      </c>
      <c r="X278">
        <v>2</v>
      </c>
      <c r="Y278" t="s">
        <v>19573</v>
      </c>
      <c r="Z278" t="s">
        <v>25853</v>
      </c>
      <c r="AA278">
        <v>0.71517296422015575</v>
      </c>
      <c r="AB278" t="str">
        <f>HYPERLINK("Melting_Curves/meltCurve_C6GKU9_MED30S.pdf", "Melting_Curves/meltCurve_C6GKU9_MED30S.pdf")</f>
        <v>Melting_Curves/meltCurve_C6GKU9_MED30S.pdf</v>
      </c>
    </row>
    <row r="279" spans="1:28" x14ac:dyDescent="0.25">
      <c r="A279" t="s">
        <v>283</v>
      </c>
      <c r="B279">
        <v>0.99673306730245903</v>
      </c>
      <c r="C279">
        <v>0.85631542296129604</v>
      </c>
      <c r="D279">
        <v>0.677059811123782</v>
      </c>
      <c r="E279">
        <v>0.52718061517834403</v>
      </c>
      <c r="F279">
        <v>0.435037336696037</v>
      </c>
      <c r="G279">
        <v>0.33900613289020498</v>
      </c>
      <c r="H279">
        <v>0.279316924365626</v>
      </c>
      <c r="I279">
        <v>0.32403972608124199</v>
      </c>
      <c r="J279">
        <v>0.42991984749072298</v>
      </c>
      <c r="K279">
        <v>0.41780049122685398</v>
      </c>
      <c r="L279">
        <v>833.44381163412697</v>
      </c>
      <c r="M279">
        <v>18.0440646800416</v>
      </c>
      <c r="N279">
        <v>49.644819160950199</v>
      </c>
      <c r="O279">
        <v>45.633255307363797</v>
      </c>
      <c r="P279">
        <v>-6.35071226466523E-2</v>
      </c>
      <c r="Q279">
        <v>0.35759593631041398</v>
      </c>
      <c r="R279">
        <v>0.95839151316861304</v>
      </c>
      <c r="S279" t="s">
        <v>6731</v>
      </c>
      <c r="T279" t="s">
        <v>12902</v>
      </c>
      <c r="U279" t="s">
        <v>12902</v>
      </c>
      <c r="V279" t="s">
        <v>12902</v>
      </c>
      <c r="W279" t="s">
        <v>13178</v>
      </c>
      <c r="X279">
        <v>1</v>
      </c>
      <c r="Y279" t="s">
        <v>19574</v>
      </c>
      <c r="Z279" t="s">
        <v>25854</v>
      </c>
      <c r="AA279">
        <v>0.50250107814643608</v>
      </c>
      <c r="AB279" t="str">
        <f>HYPERLINK("Melting_Curves/meltCurve_C9IZP5_MKRN1.pdf", "Melting_Curves/meltCurve_C9IZP5_MKRN1.pdf")</f>
        <v>Melting_Curves/meltCurve_C9IZP5_MKRN1.pdf</v>
      </c>
    </row>
    <row r="280" spans="1:28" x14ac:dyDescent="0.25">
      <c r="A280" t="s">
        <v>284</v>
      </c>
      <c r="B280">
        <v>0.99673306730245903</v>
      </c>
      <c r="C280">
        <v>0.98874587507270195</v>
      </c>
      <c r="D280">
        <v>0.98622847473937003</v>
      </c>
      <c r="E280">
        <v>0.78626552121607696</v>
      </c>
      <c r="F280">
        <v>0.59835241631536995</v>
      </c>
      <c r="G280">
        <v>0.44968809961323603</v>
      </c>
      <c r="H280">
        <v>0.489132016125082</v>
      </c>
      <c r="I280">
        <v>0.43038169106792801</v>
      </c>
      <c r="J280">
        <v>0.64177706295637504</v>
      </c>
      <c r="K280">
        <v>0.59032228299080503</v>
      </c>
      <c r="L280">
        <v>1792.07886882408</v>
      </c>
      <c r="M280">
        <v>35.868678270419998</v>
      </c>
      <c r="O280">
        <v>49.807686619654703</v>
      </c>
      <c r="P280">
        <v>-8.5818654682489406E-2</v>
      </c>
      <c r="Q280">
        <v>0.52332617839727502</v>
      </c>
      <c r="R280">
        <v>0.92341603827337004</v>
      </c>
      <c r="S280" t="s">
        <v>6732</v>
      </c>
      <c r="T280" t="s">
        <v>12902</v>
      </c>
      <c r="U280" t="s">
        <v>12902</v>
      </c>
      <c r="V280" t="s">
        <v>12902</v>
      </c>
      <c r="W280" t="s">
        <v>13179</v>
      </c>
      <c r="X280">
        <v>1</v>
      </c>
      <c r="Y280" t="s">
        <v>19575</v>
      </c>
      <c r="Z280" t="s">
        <v>25855</v>
      </c>
      <c r="AA280">
        <v>0.68366966821221964</v>
      </c>
      <c r="AB280" t="str">
        <f>HYPERLINK("Melting_Curves/meltCurve_C9IZW8_NDUFB2.pdf", "Melting_Curves/meltCurve_C9IZW8_NDUFB2.pdf")</f>
        <v>Melting_Curves/meltCurve_C9IZW8_NDUFB2.pdf</v>
      </c>
    </row>
    <row r="281" spans="1:28" x14ac:dyDescent="0.25">
      <c r="A281" t="s">
        <v>285</v>
      </c>
      <c r="B281">
        <v>0.99673306730245903</v>
      </c>
      <c r="C281">
        <v>0.985174588422429</v>
      </c>
      <c r="D281">
        <v>0.81729735024444705</v>
      </c>
      <c r="E281">
        <v>0.28921854112948298</v>
      </c>
      <c r="F281">
        <v>0.1270630734106</v>
      </c>
      <c r="G281">
        <v>7.5812437459299303E-2</v>
      </c>
      <c r="H281">
        <v>4.6750206193838899E-2</v>
      </c>
      <c r="I281">
        <v>4.4663725404318899E-2</v>
      </c>
      <c r="J281">
        <v>4.1144891618734601E-2</v>
      </c>
      <c r="K281">
        <v>3.6135997359055899E-2</v>
      </c>
      <c r="L281">
        <v>1523.6973742843199</v>
      </c>
      <c r="M281">
        <v>31.738099730819801</v>
      </c>
      <c r="N281">
        <v>48.174832887749602</v>
      </c>
      <c r="O281">
        <v>47.819072454412698</v>
      </c>
      <c r="P281">
        <v>-0.157315707652947</v>
      </c>
      <c r="Q281">
        <v>5.1908922888545199E-2</v>
      </c>
      <c r="R281">
        <v>0.99856698453013903</v>
      </c>
      <c r="S281" t="s">
        <v>6733</v>
      </c>
      <c r="T281" t="s">
        <v>12902</v>
      </c>
      <c r="U281" t="s">
        <v>12902</v>
      </c>
      <c r="V281" t="s">
        <v>12902</v>
      </c>
      <c r="W281" t="s">
        <v>13180</v>
      </c>
      <c r="X281">
        <v>3</v>
      </c>
      <c r="Y281" t="s">
        <v>19576</v>
      </c>
      <c r="Z281" t="s">
        <v>25856</v>
      </c>
      <c r="AA281">
        <v>0.31007567967002048</v>
      </c>
      <c r="AB281" t="str">
        <f>HYPERLINK("Melting_Curves/meltCurve_C9J0I9_ZC3HC1.pdf", "Melting_Curves/meltCurve_C9J0I9_ZC3HC1.pdf")</f>
        <v>Melting_Curves/meltCurve_C9J0I9_ZC3HC1.pdf</v>
      </c>
    </row>
    <row r="282" spans="1:28" x14ac:dyDescent="0.25">
      <c r="A282" t="s">
        <v>286</v>
      </c>
      <c r="B282">
        <v>0.99673306730245903</v>
      </c>
      <c r="C282">
        <v>0.98896759589314198</v>
      </c>
      <c r="D282">
        <v>0.88938714381470196</v>
      </c>
      <c r="E282">
        <v>0.80013589563631105</v>
      </c>
      <c r="F282">
        <v>0.73291886956276497</v>
      </c>
      <c r="G282">
        <v>0.77036527520842202</v>
      </c>
      <c r="H282">
        <v>0.81739662859964901</v>
      </c>
      <c r="I282">
        <v>1.21884728378692</v>
      </c>
      <c r="J282">
        <v>1.56961298993578</v>
      </c>
      <c r="K282">
        <v>1.86398174223561</v>
      </c>
      <c r="L282">
        <v>15000</v>
      </c>
      <c r="M282">
        <v>234.124514141616</v>
      </c>
      <c r="O282">
        <v>64.063797779303201</v>
      </c>
      <c r="P282">
        <v>0.45681906687298401</v>
      </c>
      <c r="Q282">
        <v>1.5</v>
      </c>
      <c r="R282">
        <v>0.73023575420428499</v>
      </c>
      <c r="S282" t="s">
        <v>6734</v>
      </c>
      <c r="T282" t="s">
        <v>12902</v>
      </c>
      <c r="U282" t="s">
        <v>12902</v>
      </c>
      <c r="V282" t="s">
        <v>12902</v>
      </c>
      <c r="W282" t="s">
        <v>13181</v>
      </c>
      <c r="X282">
        <v>3</v>
      </c>
      <c r="Y282" t="s">
        <v>19577</v>
      </c>
      <c r="Z282" t="s">
        <v>25857</v>
      </c>
      <c r="AA282">
        <v>1.09879468705645</v>
      </c>
      <c r="AB282" t="str">
        <f>HYPERLINK("Melting_Curves/meltCurve_C9J0J0_CCDC126.pdf", "Melting_Curves/meltCurve_C9J0J0_CCDC126.pdf")</f>
        <v>Melting_Curves/meltCurve_C9J0J0_CCDC126.pdf</v>
      </c>
    </row>
    <row r="283" spans="1:28" x14ac:dyDescent="0.25">
      <c r="A283" t="s">
        <v>287</v>
      </c>
      <c r="B283">
        <v>0.99673306730245903</v>
      </c>
      <c r="C283">
        <v>0.96188561386389804</v>
      </c>
      <c r="D283">
        <v>0.70243514323321798</v>
      </c>
      <c r="E283">
        <v>0.39173613818629699</v>
      </c>
      <c r="F283">
        <v>0.19774909203214999</v>
      </c>
      <c r="G283">
        <v>0.144236545592975</v>
      </c>
      <c r="H283">
        <v>0.11139247041693801</v>
      </c>
      <c r="I283">
        <v>0.113279550008501</v>
      </c>
      <c r="J283">
        <v>0.121369093650459</v>
      </c>
      <c r="K283">
        <v>0.10940690026586999</v>
      </c>
      <c r="L283">
        <v>1043.12213236705</v>
      </c>
      <c r="M283">
        <v>21.869943403653501</v>
      </c>
      <c r="N283">
        <v>48.261265091662999</v>
      </c>
      <c r="O283">
        <v>47.303173102229799</v>
      </c>
      <c r="P283">
        <v>-0.10253888770580399</v>
      </c>
      <c r="Q283">
        <v>0.112881872466488</v>
      </c>
      <c r="R283">
        <v>0.99828606756896898</v>
      </c>
      <c r="S283" t="s">
        <v>6735</v>
      </c>
      <c r="T283" t="s">
        <v>12902</v>
      </c>
      <c r="U283" t="s">
        <v>12902</v>
      </c>
      <c r="V283" t="s">
        <v>12902</v>
      </c>
      <c r="W283" t="s">
        <v>13182</v>
      </c>
      <c r="X283">
        <v>14</v>
      </c>
      <c r="Y283" t="s">
        <v>19578</v>
      </c>
      <c r="Z283" t="s">
        <v>25858</v>
      </c>
      <c r="AA283">
        <v>0.35094788600665539</v>
      </c>
      <c r="AB283" t="str">
        <f>HYPERLINK("Melting_Curves/meltCurve_C9J0J7_PFN2.pdf", "Melting_Curves/meltCurve_C9J0J7_PFN2.pdf")</f>
        <v>Melting_Curves/meltCurve_C9J0J7_PFN2.pdf</v>
      </c>
    </row>
    <row r="284" spans="1:28" x14ac:dyDescent="0.25">
      <c r="A284" t="s">
        <v>288</v>
      </c>
      <c r="B284">
        <v>0.99673306730245903</v>
      </c>
      <c r="C284">
        <v>0.73754022290226595</v>
      </c>
      <c r="D284">
        <v>1.12747191768039</v>
      </c>
      <c r="E284">
        <v>0.94100939318530197</v>
      </c>
      <c r="F284">
        <v>0.54252709291208001</v>
      </c>
      <c r="G284">
        <v>0.27522665537973701</v>
      </c>
      <c r="H284">
        <v>0.13728327027050899</v>
      </c>
      <c r="I284">
        <v>0.11126873047549</v>
      </c>
      <c r="J284">
        <v>0.12384026516123101</v>
      </c>
      <c r="K284">
        <v>0.11911120581100899</v>
      </c>
      <c r="L284">
        <v>1641.9881516181199</v>
      </c>
      <c r="M284">
        <v>30.821531241236599</v>
      </c>
      <c r="N284">
        <v>53.763919845068799</v>
      </c>
      <c r="O284">
        <v>53.051303546365702</v>
      </c>
      <c r="P284">
        <v>-0.12746409105999101</v>
      </c>
      <c r="Q284">
        <v>0.12241912213677</v>
      </c>
      <c r="R284">
        <v>0.94060384196221103</v>
      </c>
      <c r="S284" t="s">
        <v>6736</v>
      </c>
      <c r="T284" t="s">
        <v>12902</v>
      </c>
      <c r="U284" t="s">
        <v>12902</v>
      </c>
      <c r="V284" t="s">
        <v>12902</v>
      </c>
      <c r="W284" t="s">
        <v>13183</v>
      </c>
      <c r="X284">
        <v>12</v>
      </c>
      <c r="Y284" t="s">
        <v>19579</v>
      </c>
      <c r="Z284" t="s">
        <v>25859</v>
      </c>
      <c r="AA284">
        <v>0.51613971794122604</v>
      </c>
      <c r="AB284" t="str">
        <f>HYPERLINK("Melting_Curves/meltCurve_C9J0K6_SRI.pdf", "Melting_Curves/meltCurve_C9J0K6_SRI.pdf")</f>
        <v>Melting_Curves/meltCurve_C9J0K6_SRI.pdf</v>
      </c>
    </row>
    <row r="285" spans="1:28" x14ac:dyDescent="0.25">
      <c r="A285" t="s">
        <v>289</v>
      </c>
      <c r="B285">
        <v>0.99673306730245903</v>
      </c>
      <c r="C285">
        <v>0.67093145430696599</v>
      </c>
      <c r="D285">
        <v>0.33432017609373099</v>
      </c>
      <c r="E285">
        <v>0.12108513821422399</v>
      </c>
      <c r="F285">
        <v>9.3408033599508999E-2</v>
      </c>
      <c r="G285">
        <v>6.1510931230954601E-2</v>
      </c>
      <c r="H285">
        <v>5.7615988750741899E-2</v>
      </c>
      <c r="I285">
        <v>3.3935000568746397E-2</v>
      </c>
      <c r="J285">
        <v>3.3959087604191897E-2</v>
      </c>
      <c r="K285">
        <v>2.0038110167416499E-2</v>
      </c>
      <c r="L285">
        <v>1069.09677440531</v>
      </c>
      <c r="M285">
        <v>24.1280555747846</v>
      </c>
      <c r="N285">
        <v>44.491995613129397</v>
      </c>
      <c r="O285">
        <v>44.008275180982103</v>
      </c>
      <c r="P285">
        <v>-0.13060237278254999</v>
      </c>
      <c r="Q285">
        <v>4.7167942953116E-2</v>
      </c>
      <c r="R285">
        <v>0.99275602352722003</v>
      </c>
      <c r="S285" t="s">
        <v>6737</v>
      </c>
      <c r="T285" t="s">
        <v>12902</v>
      </c>
      <c r="U285" t="s">
        <v>12902</v>
      </c>
      <c r="V285" t="s">
        <v>12902</v>
      </c>
      <c r="W285" t="s">
        <v>13184</v>
      </c>
      <c r="X285">
        <v>2</v>
      </c>
      <c r="Y285" t="s">
        <v>19580</v>
      </c>
      <c r="Z285" t="s">
        <v>25860</v>
      </c>
      <c r="AA285">
        <v>0.19533765392174021</v>
      </c>
      <c r="AB285" t="str">
        <f>HYPERLINK("Melting_Curves/meltCurve_C9J167_PMS2.pdf", "Melting_Curves/meltCurve_C9J167_PMS2.pdf")</f>
        <v>Melting_Curves/meltCurve_C9J167_PMS2.pdf</v>
      </c>
    </row>
    <row r="286" spans="1:28" x14ac:dyDescent="0.25">
      <c r="A286" t="s">
        <v>290</v>
      </c>
      <c r="B286">
        <v>0.99673306730245903</v>
      </c>
      <c r="C286">
        <v>0.90835338497789997</v>
      </c>
      <c r="D286">
        <v>0.83133742394139098</v>
      </c>
      <c r="E286">
        <v>0.73940003444987901</v>
      </c>
      <c r="F286">
        <v>0.40099878591020499</v>
      </c>
      <c r="G286">
        <v>0.24672527304247399</v>
      </c>
      <c r="H286">
        <v>0.196547636877698</v>
      </c>
      <c r="I286">
        <v>0.210307849982831</v>
      </c>
      <c r="J286">
        <v>0.24541023550110699</v>
      </c>
      <c r="K286">
        <v>0.31155985728508101</v>
      </c>
      <c r="L286">
        <v>1015.19214200872</v>
      </c>
      <c r="M286">
        <v>20.179028090062001</v>
      </c>
      <c r="N286">
        <v>51.821674427040797</v>
      </c>
      <c r="O286">
        <v>49.823004439647903</v>
      </c>
      <c r="P286">
        <v>-7.8723360833652903E-2</v>
      </c>
      <c r="Q286">
        <v>0.22253715843110899</v>
      </c>
      <c r="R286">
        <v>0.97043858683393203</v>
      </c>
      <c r="S286" t="s">
        <v>6738</v>
      </c>
      <c r="T286" t="s">
        <v>12902</v>
      </c>
      <c r="U286" t="s">
        <v>12902</v>
      </c>
      <c r="V286" t="s">
        <v>12902</v>
      </c>
      <c r="W286" t="s">
        <v>13185</v>
      </c>
      <c r="X286">
        <v>2</v>
      </c>
      <c r="Y286" t="s">
        <v>19581</v>
      </c>
      <c r="Z286" t="s">
        <v>25861</v>
      </c>
      <c r="AA286">
        <v>0.50033397689211989</v>
      </c>
      <c r="AB286" t="str">
        <f>HYPERLINK("Melting_Curves/meltCurve_C9J1G2_DNAJB2.pdf", "Melting_Curves/meltCurve_C9J1G2_DNAJB2.pdf")</f>
        <v>Melting_Curves/meltCurve_C9J1G2_DNAJB2.pdf</v>
      </c>
    </row>
    <row r="287" spans="1:28" x14ac:dyDescent="0.25">
      <c r="A287" t="s">
        <v>291</v>
      </c>
      <c r="B287">
        <v>0.99673306730245903</v>
      </c>
      <c r="C287">
        <v>1.0100710807798401</v>
      </c>
      <c r="D287">
        <v>1.11193746777944</v>
      </c>
      <c r="E287">
        <v>0.88400407824626703</v>
      </c>
      <c r="F287">
        <v>0.70738913482035604</v>
      </c>
      <c r="G287">
        <v>0.55518557062094198</v>
      </c>
      <c r="H287">
        <v>0.459849813791887</v>
      </c>
      <c r="I287">
        <v>0.70110573444717506</v>
      </c>
      <c r="J287">
        <v>0.76445237208959504</v>
      </c>
      <c r="K287">
        <v>0.83095335061092301</v>
      </c>
      <c r="L287">
        <v>2845.1382722870098</v>
      </c>
      <c r="M287">
        <v>56.644906198391602</v>
      </c>
      <c r="O287">
        <v>50.165124089971101</v>
      </c>
      <c r="P287">
        <v>-9.3982526166067795E-2</v>
      </c>
      <c r="Q287">
        <v>0.66707384461666097</v>
      </c>
      <c r="R287">
        <v>0.72118070124890898</v>
      </c>
      <c r="S287" t="s">
        <v>6739</v>
      </c>
      <c r="T287" t="s">
        <v>12902</v>
      </c>
      <c r="U287" t="s">
        <v>12902</v>
      </c>
      <c r="V287" t="s">
        <v>12902</v>
      </c>
      <c r="W287" t="s">
        <v>13186</v>
      </c>
      <c r="X287">
        <v>3</v>
      </c>
      <c r="Y287" t="s">
        <v>19582</v>
      </c>
      <c r="Z287" t="s">
        <v>25862</v>
      </c>
      <c r="AA287">
        <v>0.78114914259779866</v>
      </c>
      <c r="AB287" t="str">
        <f>HYPERLINK("Melting_Curves/meltCurve_C9J1K8_MEGF9.pdf", "Melting_Curves/meltCurve_C9J1K8_MEGF9.pdf")</f>
        <v>Melting_Curves/meltCurve_C9J1K8_MEGF9.pdf</v>
      </c>
    </row>
    <row r="288" spans="1:28" x14ac:dyDescent="0.25">
      <c r="A288" t="s">
        <v>292</v>
      </c>
      <c r="B288">
        <v>0.99673306730245903</v>
      </c>
      <c r="C288">
        <v>0.96185233828066496</v>
      </c>
      <c r="D288">
        <v>0.94769545081345197</v>
      </c>
      <c r="E288">
        <v>0.87271274341296201</v>
      </c>
      <c r="F288">
        <v>0.52483251376692097</v>
      </c>
      <c r="G288">
        <v>0.20451364248142201</v>
      </c>
      <c r="H288">
        <v>9.1854019163923606E-2</v>
      </c>
      <c r="I288">
        <v>6.07471879991218E-2</v>
      </c>
      <c r="J288">
        <v>6.2271758483698703E-2</v>
      </c>
      <c r="K288">
        <v>6.4103189238280497E-2</v>
      </c>
      <c r="L288">
        <v>1339.07266058144</v>
      </c>
      <c r="M288">
        <v>25.195139387385499</v>
      </c>
      <c r="N288">
        <v>53.392158725723</v>
      </c>
      <c r="O288">
        <v>52.816631389287302</v>
      </c>
      <c r="P288">
        <v>-0.112771289203418</v>
      </c>
      <c r="Q288">
        <v>5.4401427567972803E-2</v>
      </c>
      <c r="R288">
        <v>0.998373993357903</v>
      </c>
      <c r="S288" t="s">
        <v>6740</v>
      </c>
      <c r="T288" t="s">
        <v>12902</v>
      </c>
      <c r="U288" t="s">
        <v>12902</v>
      </c>
      <c r="V288" t="s">
        <v>12902</v>
      </c>
      <c r="W288" t="s">
        <v>13187</v>
      </c>
      <c r="X288">
        <v>4</v>
      </c>
      <c r="Y288" t="s">
        <v>19583</v>
      </c>
      <c r="Z288" t="s">
        <v>25863</v>
      </c>
      <c r="AA288">
        <v>0.47741662420817671</v>
      </c>
      <c r="AB288" t="str">
        <f>HYPERLINK("Melting_Curves/meltCurve_C9J212_UBE2F.pdf", "Melting_Curves/meltCurve_C9J212_UBE2F.pdf")</f>
        <v>Melting_Curves/meltCurve_C9J212_UBE2F.pdf</v>
      </c>
    </row>
    <row r="289" spans="1:28" x14ac:dyDescent="0.25">
      <c r="A289" t="s">
        <v>293</v>
      </c>
      <c r="B289">
        <v>0.99673306730245903</v>
      </c>
      <c r="C289">
        <v>0.96671579555397502</v>
      </c>
      <c r="D289">
        <v>0.96363107247781798</v>
      </c>
      <c r="E289">
        <v>0.80649987802109402</v>
      </c>
      <c r="F289">
        <v>0.565458489679183</v>
      </c>
      <c r="G289">
        <v>0.38369413535776098</v>
      </c>
      <c r="H289">
        <v>0.23976790337796799</v>
      </c>
      <c r="I289">
        <v>0.23929515090032599</v>
      </c>
      <c r="J289">
        <v>0.32108718225353799</v>
      </c>
      <c r="K289">
        <v>0.31470101522788102</v>
      </c>
      <c r="L289">
        <v>1154.8898462756399</v>
      </c>
      <c r="M289">
        <v>22.1830638543281</v>
      </c>
      <c r="N289">
        <v>53.969042134914901</v>
      </c>
      <c r="O289">
        <v>51.644237249245599</v>
      </c>
      <c r="P289">
        <v>-7.8209266352628801E-2</v>
      </c>
      <c r="Q289">
        <v>0.27170192940860599</v>
      </c>
      <c r="R289">
        <v>0.98872811917455905</v>
      </c>
      <c r="S289" t="s">
        <v>6741</v>
      </c>
      <c r="T289" t="s">
        <v>12902</v>
      </c>
      <c r="U289" t="s">
        <v>12902</v>
      </c>
      <c r="V289" t="s">
        <v>12902</v>
      </c>
      <c r="W289" t="s">
        <v>13188</v>
      </c>
      <c r="X289">
        <v>5</v>
      </c>
      <c r="Y289" t="s">
        <v>19584</v>
      </c>
      <c r="Z289" t="s">
        <v>25864</v>
      </c>
      <c r="AA289">
        <v>0.57286213086179327</v>
      </c>
      <c r="AB289" t="str">
        <f>HYPERLINK("Melting_Curves/meltCurve_C9J240_SLC4A10.pdf", "Melting_Curves/meltCurve_C9J240_SLC4A10.pdf")</f>
        <v>Melting_Curves/meltCurve_C9J240_SLC4A10.pdf</v>
      </c>
    </row>
    <row r="290" spans="1:28" x14ac:dyDescent="0.25">
      <c r="A290" t="s">
        <v>294</v>
      </c>
      <c r="B290">
        <v>0.99673306730245903</v>
      </c>
      <c r="C290">
        <v>1.00548568434853</v>
      </c>
      <c r="D290">
        <v>0.82952963312227601</v>
      </c>
      <c r="E290">
        <v>0.36979785431755702</v>
      </c>
      <c r="F290">
        <v>0.166025213934968</v>
      </c>
      <c r="G290">
        <v>0.104321565370509</v>
      </c>
      <c r="H290">
        <v>6.0036696050467402E-2</v>
      </c>
      <c r="I290">
        <v>6.5753462796591902E-2</v>
      </c>
      <c r="J290">
        <v>3.2633415347882201E-2</v>
      </c>
      <c r="K290">
        <v>4.40169952844277E-2</v>
      </c>
      <c r="L290">
        <v>1321.53410183349</v>
      </c>
      <c r="M290">
        <v>27.2622432019025</v>
      </c>
      <c r="N290">
        <v>48.7032561094343</v>
      </c>
      <c r="O290">
        <v>48.216313387061099</v>
      </c>
      <c r="P290">
        <v>-0.132873869595344</v>
      </c>
      <c r="Q290">
        <v>6.0000011193783301E-2</v>
      </c>
      <c r="R290">
        <v>0.99731312364594604</v>
      </c>
      <c r="S290" t="s">
        <v>6742</v>
      </c>
      <c r="T290" t="s">
        <v>12902</v>
      </c>
      <c r="U290" t="s">
        <v>12902</v>
      </c>
      <c r="V290" t="s">
        <v>12902</v>
      </c>
      <c r="W290" t="s">
        <v>13189</v>
      </c>
      <c r="X290">
        <v>6</v>
      </c>
      <c r="Y290" t="s">
        <v>19585</v>
      </c>
      <c r="Z290" t="s">
        <v>25865</v>
      </c>
      <c r="AA290">
        <v>0.33248129714671598</v>
      </c>
      <c r="AB290" t="str">
        <f>HYPERLINK("Melting_Curves/meltCurve_C9J2P0_UBE2E1.pdf", "Melting_Curves/meltCurve_C9J2P0_UBE2E1.pdf")</f>
        <v>Melting_Curves/meltCurve_C9J2P0_UBE2E1.pdf</v>
      </c>
    </row>
    <row r="291" spans="1:28" x14ac:dyDescent="0.25">
      <c r="A291" t="s">
        <v>295</v>
      </c>
      <c r="B291">
        <v>0.99673306730245903</v>
      </c>
      <c r="C291">
        <v>0.87684583117792503</v>
      </c>
      <c r="D291">
        <v>0.91537213231893699</v>
      </c>
      <c r="E291">
        <v>0.49641890766715602</v>
      </c>
      <c r="F291">
        <v>0.290741505933582</v>
      </c>
      <c r="G291">
        <v>0.21603700443499799</v>
      </c>
      <c r="H291">
        <v>0.17145446806352099</v>
      </c>
      <c r="I291">
        <v>0.13968634727693099</v>
      </c>
      <c r="J291">
        <v>0.10969355877839899</v>
      </c>
      <c r="K291">
        <v>9.7404869248489206E-2</v>
      </c>
      <c r="L291">
        <v>1011.6102022779399</v>
      </c>
      <c r="M291">
        <v>20.504043095433602</v>
      </c>
      <c r="N291">
        <v>50.0521045933436</v>
      </c>
      <c r="O291">
        <v>48.875017956336798</v>
      </c>
      <c r="P291">
        <v>-9.1568057402213507E-2</v>
      </c>
      <c r="Q291">
        <v>0.12695123601596001</v>
      </c>
      <c r="R291">
        <v>0.98470471915440305</v>
      </c>
      <c r="S291" t="s">
        <v>6743</v>
      </c>
      <c r="T291" t="s">
        <v>12902</v>
      </c>
      <c r="U291" t="s">
        <v>12902</v>
      </c>
      <c r="V291" t="s">
        <v>12902</v>
      </c>
      <c r="W291" t="s">
        <v>13190</v>
      </c>
      <c r="X291">
        <v>5</v>
      </c>
      <c r="Y291" t="s">
        <v>19586</v>
      </c>
      <c r="Z291" t="s">
        <v>25866</v>
      </c>
      <c r="AA291">
        <v>0.41027770617233361</v>
      </c>
      <c r="AB291" t="str">
        <f>HYPERLINK("Melting_Curves/meltCurve_C9J2P9_CBLL1.pdf", "Melting_Curves/meltCurve_C9J2P9_CBLL1.pdf")</f>
        <v>Melting_Curves/meltCurve_C9J2P9_CBLL1.pdf</v>
      </c>
    </row>
    <row r="292" spans="1:28" x14ac:dyDescent="0.25">
      <c r="A292" t="s">
        <v>296</v>
      </c>
      <c r="B292">
        <v>0.99673306730245903</v>
      </c>
      <c r="C292">
        <v>1.0226282307332299</v>
      </c>
      <c r="D292">
        <v>0.94965700973525702</v>
      </c>
      <c r="E292">
        <v>0.83785888194775004</v>
      </c>
      <c r="F292">
        <v>0.52297689864061903</v>
      </c>
      <c r="G292">
        <v>0.243603586188361</v>
      </c>
      <c r="H292">
        <v>0.143408405496531</v>
      </c>
      <c r="I292">
        <v>0.115332973157095</v>
      </c>
      <c r="J292">
        <v>0.11788154010721</v>
      </c>
      <c r="K292">
        <v>9.5447785418826203E-2</v>
      </c>
      <c r="L292">
        <v>1211.65339568479</v>
      </c>
      <c r="M292">
        <v>22.921232801131499</v>
      </c>
      <c r="N292">
        <v>53.378617121330002</v>
      </c>
      <c r="O292">
        <v>52.464196913462096</v>
      </c>
      <c r="P292">
        <v>-9.83525679092285E-2</v>
      </c>
      <c r="Q292">
        <v>9.9544133430649204E-2</v>
      </c>
      <c r="R292">
        <v>0.998986125832244</v>
      </c>
      <c r="S292" t="s">
        <v>6744</v>
      </c>
      <c r="T292" t="s">
        <v>12902</v>
      </c>
      <c r="U292" t="s">
        <v>12902</v>
      </c>
      <c r="V292" t="s">
        <v>12902</v>
      </c>
      <c r="W292" t="s">
        <v>13191</v>
      </c>
      <c r="X292">
        <v>9</v>
      </c>
      <c r="Y292" t="s">
        <v>19587</v>
      </c>
      <c r="Z292" t="s">
        <v>25867</v>
      </c>
      <c r="AA292">
        <v>0.49531991987012852</v>
      </c>
      <c r="AB292" t="str">
        <f>HYPERLINK("Melting_Curves/meltCurve_C9J2U4_TAMM41.pdf", "Melting_Curves/meltCurve_C9J2U4_TAMM41.pdf")</f>
        <v>Melting_Curves/meltCurve_C9J2U4_TAMM41.pdf</v>
      </c>
    </row>
    <row r="293" spans="1:28" x14ac:dyDescent="0.25">
      <c r="A293" t="s">
        <v>297</v>
      </c>
      <c r="B293">
        <v>0.99673306730245903</v>
      </c>
      <c r="C293">
        <v>0.88992507501850004</v>
      </c>
      <c r="D293">
        <v>0.85058752373666802</v>
      </c>
      <c r="E293">
        <v>0.90138744940236004</v>
      </c>
      <c r="F293">
        <v>0.95885102065093797</v>
      </c>
      <c r="G293">
        <v>0.75796603199272405</v>
      </c>
      <c r="H293">
        <v>0.63334741218470703</v>
      </c>
      <c r="I293">
        <v>0.19018101417507899</v>
      </c>
      <c r="J293">
        <v>0.15536476323005699</v>
      </c>
      <c r="K293">
        <v>0.128528215438522</v>
      </c>
      <c r="L293">
        <v>1180.1035961719999</v>
      </c>
      <c r="M293">
        <v>19.355758814175701</v>
      </c>
      <c r="N293">
        <v>61.069462692132298</v>
      </c>
      <c r="O293">
        <v>60.329518002240597</v>
      </c>
      <c r="P293">
        <v>-7.8956074824562794E-2</v>
      </c>
      <c r="Q293">
        <v>1.56509804104395E-2</v>
      </c>
      <c r="R293">
        <v>0.937639834910311</v>
      </c>
      <c r="S293" t="s">
        <v>6745</v>
      </c>
      <c r="T293" t="s">
        <v>12902</v>
      </c>
      <c r="U293" t="s">
        <v>12902</v>
      </c>
      <c r="V293" t="s">
        <v>12902</v>
      </c>
      <c r="W293" t="s">
        <v>13192</v>
      </c>
      <c r="X293">
        <v>25</v>
      </c>
      <c r="Y293" t="s">
        <v>19588</v>
      </c>
      <c r="Z293" t="s">
        <v>25868</v>
      </c>
      <c r="AA293">
        <v>0.70956415957568209</v>
      </c>
      <c r="AB293" t="str">
        <f>HYPERLINK("Melting_Curves/meltCurve_C9J2Y9_POLR2B.pdf", "Melting_Curves/meltCurve_C9J2Y9_POLR2B.pdf")</f>
        <v>Melting_Curves/meltCurve_C9J2Y9_POLR2B.pdf</v>
      </c>
    </row>
    <row r="294" spans="1:28" x14ac:dyDescent="0.25">
      <c r="A294" t="s">
        <v>298</v>
      </c>
      <c r="B294">
        <v>0.99673306730245903</v>
      </c>
      <c r="C294">
        <v>0.71802173719774598</v>
      </c>
      <c r="D294">
        <v>0.65935179014023904</v>
      </c>
      <c r="E294">
        <v>0.49124944033687901</v>
      </c>
      <c r="F294">
        <v>0.38177288247945801</v>
      </c>
      <c r="G294">
        <v>0.24072314344777801</v>
      </c>
      <c r="H294">
        <v>0.23676364877589201</v>
      </c>
      <c r="I294">
        <v>0.20700100632926</v>
      </c>
      <c r="J294">
        <v>0.37712215265340598</v>
      </c>
      <c r="K294">
        <v>0.15711102593488499</v>
      </c>
      <c r="L294">
        <v>586.59215207051</v>
      </c>
      <c r="M294">
        <v>12.5750960806143</v>
      </c>
      <c r="N294">
        <v>48.868412359665697</v>
      </c>
      <c r="O294">
        <v>45.5146323665533</v>
      </c>
      <c r="P294">
        <v>-5.4046582752847697E-2</v>
      </c>
      <c r="Q294">
        <v>0.217686799593275</v>
      </c>
      <c r="R294">
        <v>0.93061835570006901</v>
      </c>
      <c r="S294" t="s">
        <v>6746</v>
      </c>
      <c r="T294" t="s">
        <v>12902</v>
      </c>
      <c r="U294" t="s">
        <v>12902</v>
      </c>
      <c r="V294" t="s">
        <v>12902</v>
      </c>
      <c r="W294" t="s">
        <v>13193</v>
      </c>
      <c r="X294">
        <v>1</v>
      </c>
      <c r="Y294" t="s">
        <v>19589</v>
      </c>
      <c r="Z294" t="s">
        <v>25869</v>
      </c>
      <c r="AA294">
        <v>0.42193786176124831</v>
      </c>
      <c r="AB294" t="str">
        <f>HYPERLINK("Melting_Curves/meltCurve_C9J3R8_B4GALT4.pdf", "Melting_Curves/meltCurve_C9J3R8_B4GALT4.pdf")</f>
        <v>Melting_Curves/meltCurve_C9J3R8_B4GALT4.pdf</v>
      </c>
    </row>
    <row r="295" spans="1:28" x14ac:dyDescent="0.25">
      <c r="A295" t="s">
        <v>299</v>
      </c>
      <c r="B295">
        <v>0.99673306730245903</v>
      </c>
      <c r="C295">
        <v>0.78121360343665502</v>
      </c>
      <c r="D295">
        <v>0.61209024530490996</v>
      </c>
      <c r="E295">
        <v>0.26544136572119198</v>
      </c>
      <c r="F295">
        <v>0.19383968232292301</v>
      </c>
      <c r="G295">
        <v>0.100145555554516</v>
      </c>
      <c r="H295">
        <v>0.107691081765214</v>
      </c>
      <c r="I295">
        <v>0.12984043204860299</v>
      </c>
      <c r="J295">
        <v>0.14516854532735499</v>
      </c>
      <c r="K295">
        <v>0.152445916447421</v>
      </c>
      <c r="L295">
        <v>921.16660037525799</v>
      </c>
      <c r="M295">
        <v>19.994634130372901</v>
      </c>
      <c r="N295">
        <v>46.724118606249199</v>
      </c>
      <c r="O295">
        <v>45.617277791009002</v>
      </c>
      <c r="P295">
        <v>-9.6216313899863404E-2</v>
      </c>
      <c r="Q295">
        <v>0.121967760111792</v>
      </c>
      <c r="R295">
        <v>0.98854766015511297</v>
      </c>
      <c r="S295" t="s">
        <v>6747</v>
      </c>
      <c r="T295" t="s">
        <v>12902</v>
      </c>
      <c r="U295" t="s">
        <v>12902</v>
      </c>
      <c r="V295" t="s">
        <v>12902</v>
      </c>
      <c r="W295" t="s">
        <v>13194</v>
      </c>
      <c r="X295">
        <v>2</v>
      </c>
      <c r="Y295" t="s">
        <v>19590</v>
      </c>
      <c r="Z295" t="s">
        <v>25870</v>
      </c>
      <c r="AA295">
        <v>0.31315842537539029</v>
      </c>
      <c r="AB295" t="str">
        <f>HYPERLINK("Melting_Curves/meltCurve_C9J494_MKRN2.pdf", "Melting_Curves/meltCurve_C9J494_MKRN2.pdf")</f>
        <v>Melting_Curves/meltCurve_C9J494_MKRN2.pdf</v>
      </c>
    </row>
    <row r="296" spans="1:28" x14ac:dyDescent="0.25">
      <c r="A296" t="s">
        <v>300</v>
      </c>
      <c r="B296">
        <v>0.99673306730245903</v>
      </c>
      <c r="C296">
        <v>0.84720928721678201</v>
      </c>
      <c r="D296">
        <v>0.87501989544965397</v>
      </c>
      <c r="E296">
        <v>0.82413758465293696</v>
      </c>
      <c r="F296">
        <v>0.59109844607421203</v>
      </c>
      <c r="G296">
        <v>0.392824054435781</v>
      </c>
      <c r="H296">
        <v>0.287296349989144</v>
      </c>
      <c r="I296">
        <v>0.232793673173294</v>
      </c>
      <c r="J296">
        <v>0.17502871108415399</v>
      </c>
      <c r="K296">
        <v>0.169088336779772</v>
      </c>
      <c r="L296">
        <v>598.62638562607299</v>
      </c>
      <c r="M296">
        <v>11.0548426826415</v>
      </c>
      <c r="N296">
        <v>55.073970600116297</v>
      </c>
      <c r="O296">
        <v>52.469207994710899</v>
      </c>
      <c r="P296">
        <v>-4.8233268060458301E-2</v>
      </c>
      <c r="Q296">
        <v>8.4591584095446301E-2</v>
      </c>
      <c r="R296">
        <v>0.98153182664952598</v>
      </c>
      <c r="S296" t="s">
        <v>6748</v>
      </c>
      <c r="T296" t="s">
        <v>12902</v>
      </c>
      <c r="U296" t="s">
        <v>12902</v>
      </c>
      <c r="V296" t="s">
        <v>12902</v>
      </c>
      <c r="W296" t="s">
        <v>13195</v>
      </c>
      <c r="X296">
        <v>1</v>
      </c>
      <c r="Y296" t="s">
        <v>19591</v>
      </c>
      <c r="Z296" t="s">
        <v>25871</v>
      </c>
      <c r="AA296">
        <v>0.54160470174952302</v>
      </c>
      <c r="AB296" t="str">
        <f>HYPERLINK("Melting_Curves/meltCurve_C9J4K0_C2orf49.pdf", "Melting_Curves/meltCurve_C9J4K0_C2orf49.pdf")</f>
        <v>Melting_Curves/meltCurve_C9J4K0_C2orf49.pdf</v>
      </c>
    </row>
    <row r="297" spans="1:28" x14ac:dyDescent="0.25">
      <c r="A297" t="s">
        <v>301</v>
      </c>
      <c r="B297">
        <v>0.99673306730245903</v>
      </c>
      <c r="C297">
        <v>1.0239744933022601</v>
      </c>
      <c r="D297">
        <v>1.02932367441843</v>
      </c>
      <c r="E297">
        <v>0.92781284576912304</v>
      </c>
      <c r="F297">
        <v>0.92137371236339605</v>
      </c>
      <c r="G297">
        <v>0.75339156443142996</v>
      </c>
      <c r="H297">
        <v>0.56629943351737899</v>
      </c>
      <c r="I297">
        <v>0.68381213798446205</v>
      </c>
      <c r="J297">
        <v>1.18427388474645</v>
      </c>
      <c r="K297">
        <v>1.05972191239381</v>
      </c>
      <c r="L297">
        <v>1911.6026310418299</v>
      </c>
      <c r="M297">
        <v>38.083194356323702</v>
      </c>
      <c r="O297">
        <v>50.057632796474998</v>
      </c>
      <c r="P297">
        <v>-2.7163604111163201E-2</v>
      </c>
      <c r="Q297">
        <v>0.85718190799822302</v>
      </c>
      <c r="R297">
        <v>0.147283444943201</v>
      </c>
      <c r="S297" t="s">
        <v>6749</v>
      </c>
      <c r="T297" t="s">
        <v>12902</v>
      </c>
      <c r="U297" t="s">
        <v>12902</v>
      </c>
      <c r="V297" t="s">
        <v>12902</v>
      </c>
      <c r="W297" t="s">
        <v>13196</v>
      </c>
      <c r="X297">
        <v>3</v>
      </c>
      <c r="Y297" t="s">
        <v>19592</v>
      </c>
      <c r="Z297" t="s">
        <v>25872</v>
      </c>
      <c r="AA297">
        <v>0.90626562736923799</v>
      </c>
      <c r="AB297" t="str">
        <f>HYPERLINK("Melting_Curves/meltCurve_C9J4T6_IL8.pdf", "Melting_Curves/meltCurve_C9J4T6_IL8.pdf")</f>
        <v>Melting_Curves/meltCurve_C9J4T6_IL8.pdf</v>
      </c>
    </row>
    <row r="298" spans="1:28" x14ac:dyDescent="0.25">
      <c r="A298" t="s">
        <v>302</v>
      </c>
      <c r="B298">
        <v>0.99673306730245903</v>
      </c>
      <c r="C298">
        <v>1.1142538484642099</v>
      </c>
      <c r="D298">
        <v>1.04764551741371</v>
      </c>
      <c r="E298">
        <v>1.1243943265071199</v>
      </c>
      <c r="F298">
        <v>0.85380525422377596</v>
      </c>
      <c r="G298">
        <v>0.83979299976088295</v>
      </c>
      <c r="H298">
        <v>0.253561352769263</v>
      </c>
      <c r="I298">
        <v>0.20649850770457701</v>
      </c>
      <c r="J298">
        <v>0.264800188169176</v>
      </c>
      <c r="K298">
        <v>0.22223759817507499</v>
      </c>
      <c r="L298">
        <v>3772.4994717480999</v>
      </c>
      <c r="M298">
        <v>65.116629360631407</v>
      </c>
      <c r="N298">
        <v>58.481414882705799</v>
      </c>
      <c r="O298">
        <v>57.879934555668498</v>
      </c>
      <c r="P298">
        <v>-0.21711881776438899</v>
      </c>
      <c r="Q298">
        <v>0.22804239987865699</v>
      </c>
      <c r="R298">
        <v>0.96343554709807799</v>
      </c>
      <c r="S298" t="s">
        <v>6750</v>
      </c>
      <c r="T298" t="s">
        <v>12902</v>
      </c>
      <c r="U298" t="s">
        <v>12902</v>
      </c>
      <c r="V298" t="s">
        <v>12902</v>
      </c>
      <c r="W298" t="s">
        <v>13197</v>
      </c>
      <c r="X298">
        <v>2</v>
      </c>
      <c r="Y298" t="s">
        <v>19593</v>
      </c>
      <c r="Z298" t="s">
        <v>25873</v>
      </c>
      <c r="AA298">
        <v>0.69069155115592973</v>
      </c>
      <c r="AB298" t="str">
        <f>HYPERLINK("Melting_Curves/meltCurve_C9J4Z3_RPL37A.pdf", "Melting_Curves/meltCurve_C9J4Z3_RPL37A.pdf")</f>
        <v>Melting_Curves/meltCurve_C9J4Z3_RPL37A.pdf</v>
      </c>
    </row>
    <row r="299" spans="1:28" x14ac:dyDescent="0.25">
      <c r="A299" t="s">
        <v>303</v>
      </c>
      <c r="B299">
        <v>0.99673306730245903</v>
      </c>
      <c r="C299">
        <v>0.98440835601982601</v>
      </c>
      <c r="D299">
        <v>0.93958448004796602</v>
      </c>
      <c r="E299">
        <v>0.89031050513216503</v>
      </c>
      <c r="F299">
        <v>0.54392634607899004</v>
      </c>
      <c r="G299">
        <v>0.28226484044769001</v>
      </c>
      <c r="H299">
        <v>0.15707757161132899</v>
      </c>
      <c r="I299">
        <v>0.12093137746388</v>
      </c>
      <c r="J299">
        <v>0.100642736210943</v>
      </c>
      <c r="K299">
        <v>7.6344742729328105E-2</v>
      </c>
      <c r="L299">
        <v>1190.2141168169401</v>
      </c>
      <c r="M299">
        <v>22.298531216653299</v>
      </c>
      <c r="N299">
        <v>53.856400494435299</v>
      </c>
      <c r="O299">
        <v>52.952621373194702</v>
      </c>
      <c r="P299">
        <v>-9.5789874827415897E-2</v>
      </c>
      <c r="Q299">
        <v>9.0125250128419696E-2</v>
      </c>
      <c r="R299">
        <v>0.99779510565016005</v>
      </c>
      <c r="S299" t="s">
        <v>6751</v>
      </c>
      <c r="T299" t="s">
        <v>12902</v>
      </c>
      <c r="U299" t="s">
        <v>12902</v>
      </c>
      <c r="V299" t="s">
        <v>12902</v>
      </c>
      <c r="W299" t="s">
        <v>13198</v>
      </c>
      <c r="X299">
        <v>14</v>
      </c>
      <c r="Y299" t="s">
        <v>19594</v>
      </c>
      <c r="Z299" t="s">
        <v>25874</v>
      </c>
      <c r="AA299">
        <v>0.50615520484696597</v>
      </c>
      <c r="AB299" t="str">
        <f>HYPERLINK("Melting_Curves/meltCurve_C9J5C3_PDCD10.pdf", "Melting_Curves/meltCurve_C9J5C3_PDCD10.pdf")</f>
        <v>Melting_Curves/meltCurve_C9J5C3_PDCD10.pdf</v>
      </c>
    </row>
    <row r="300" spans="1:28" x14ac:dyDescent="0.25">
      <c r="A300" t="s">
        <v>304</v>
      </c>
      <c r="B300">
        <v>0.99673306730245903</v>
      </c>
      <c r="C300">
        <v>0.90644976660503895</v>
      </c>
      <c r="D300">
        <v>0.82729893232595297</v>
      </c>
      <c r="E300">
        <v>0.39000770707959198</v>
      </c>
      <c r="F300">
        <v>0.26279613726567802</v>
      </c>
      <c r="G300">
        <v>0.17722854289797799</v>
      </c>
      <c r="H300">
        <v>0.14187356405907001</v>
      </c>
      <c r="I300">
        <v>0.123681128525764</v>
      </c>
      <c r="J300">
        <v>0.15489544055913301</v>
      </c>
      <c r="K300">
        <v>0.13346473469311301</v>
      </c>
      <c r="L300">
        <v>1132.1500106081701</v>
      </c>
      <c r="M300">
        <v>23.511563426774099</v>
      </c>
      <c r="N300">
        <v>48.849420129888699</v>
      </c>
      <c r="O300">
        <v>47.808615830867097</v>
      </c>
      <c r="P300">
        <v>-0.10543887208739899</v>
      </c>
      <c r="Q300">
        <v>0.142413506843271</v>
      </c>
      <c r="R300">
        <v>0.99310980179307196</v>
      </c>
      <c r="S300" t="s">
        <v>6752</v>
      </c>
      <c r="T300" t="s">
        <v>12902</v>
      </c>
      <c r="U300" t="s">
        <v>12902</v>
      </c>
      <c r="V300" t="s">
        <v>12902</v>
      </c>
      <c r="W300" t="s">
        <v>13199</v>
      </c>
      <c r="X300">
        <v>7</v>
      </c>
      <c r="Y300" t="s">
        <v>19595</v>
      </c>
      <c r="Z300" t="s">
        <v>25875</v>
      </c>
      <c r="AA300">
        <v>0.38410334544755892</v>
      </c>
      <c r="AB300" t="str">
        <f>HYPERLINK("Melting_Curves/meltCurve_C9J5X1_IGF1R.pdf", "Melting_Curves/meltCurve_C9J5X1_IGF1R.pdf")</f>
        <v>Melting_Curves/meltCurve_C9J5X1_IGF1R.pdf</v>
      </c>
    </row>
    <row r="301" spans="1:28" x14ac:dyDescent="0.25">
      <c r="A301" t="s">
        <v>305</v>
      </c>
      <c r="B301">
        <v>0.99673306730245903</v>
      </c>
      <c r="C301">
        <v>0.88417233163840903</v>
      </c>
      <c r="D301">
        <v>0.79266539145388704</v>
      </c>
      <c r="E301">
        <v>0.71710840060171899</v>
      </c>
      <c r="F301">
        <v>0.59584968602537502</v>
      </c>
      <c r="G301">
        <v>0.28967343636555798</v>
      </c>
      <c r="H301">
        <v>0.124411444350598</v>
      </c>
      <c r="I301">
        <v>0.12237296221029099</v>
      </c>
      <c r="J301">
        <v>0.195384065853033</v>
      </c>
      <c r="K301">
        <v>5.8368689311212002E-2</v>
      </c>
      <c r="L301">
        <v>586.34795110808398</v>
      </c>
      <c r="M301">
        <v>11.0292582125471</v>
      </c>
      <c r="N301">
        <v>53.253149835829099</v>
      </c>
      <c r="O301">
        <v>51.504951724602101</v>
      </c>
      <c r="P301">
        <v>-5.3057255984535E-2</v>
      </c>
      <c r="Q301">
        <v>9.2537170924958303E-3</v>
      </c>
      <c r="R301">
        <v>0.97008748802174305</v>
      </c>
      <c r="S301" t="s">
        <v>6753</v>
      </c>
      <c r="T301" t="s">
        <v>12902</v>
      </c>
      <c r="U301" t="s">
        <v>12902</v>
      </c>
      <c r="V301" t="s">
        <v>12902</v>
      </c>
      <c r="W301" t="s">
        <v>13200</v>
      </c>
      <c r="X301">
        <v>1</v>
      </c>
      <c r="Y301" t="s">
        <v>19596</v>
      </c>
      <c r="Z301" t="s">
        <v>25876</v>
      </c>
      <c r="AA301">
        <v>0.47434393710373918</v>
      </c>
      <c r="AB301" t="str">
        <f>HYPERLINK("Melting_Curves/meltCurve_C9J652_ARHGAP31.pdf", "Melting_Curves/meltCurve_C9J652_ARHGAP31.pdf")</f>
        <v>Melting_Curves/meltCurve_C9J652_ARHGAP31.pdf</v>
      </c>
    </row>
    <row r="302" spans="1:28" x14ac:dyDescent="0.25">
      <c r="A302" t="s">
        <v>306</v>
      </c>
      <c r="B302">
        <v>0.99673306730245903</v>
      </c>
      <c r="C302">
        <v>1.08428457439454</v>
      </c>
      <c r="D302">
        <v>1.0241796220546799</v>
      </c>
      <c r="E302">
        <v>0.85255011108898304</v>
      </c>
      <c r="F302">
        <v>0.54064734785497004</v>
      </c>
      <c r="G302">
        <v>0.202705763979495</v>
      </c>
      <c r="H302">
        <v>8.0183767096631095E-2</v>
      </c>
      <c r="I302">
        <v>4.5842044049458103E-2</v>
      </c>
      <c r="J302">
        <v>6.5679040392484594E-2</v>
      </c>
      <c r="K302">
        <v>4.2251521727901399E-2</v>
      </c>
      <c r="L302">
        <v>1367.8443625677</v>
      </c>
      <c r="M302">
        <v>25.673381335234598</v>
      </c>
      <c r="N302">
        <v>53.470676726180997</v>
      </c>
      <c r="O302">
        <v>52.9585979747309</v>
      </c>
      <c r="P302">
        <v>-0.115860965316175</v>
      </c>
      <c r="Q302">
        <v>4.4027696678320301E-2</v>
      </c>
      <c r="R302">
        <v>0.99453812429508603</v>
      </c>
      <c r="S302" t="s">
        <v>6754</v>
      </c>
      <c r="T302" t="s">
        <v>12902</v>
      </c>
      <c r="U302" t="s">
        <v>12902</v>
      </c>
      <c r="V302" t="s">
        <v>12902</v>
      </c>
      <c r="W302" t="s">
        <v>13201</v>
      </c>
      <c r="X302">
        <v>1</v>
      </c>
      <c r="Y302" t="s">
        <v>19597</v>
      </c>
      <c r="Z302" t="s">
        <v>25877</v>
      </c>
      <c r="AA302">
        <v>0.4755534185144753</v>
      </c>
      <c r="AB302" t="str">
        <f>HYPERLINK("Melting_Curves/meltCurve_C9J695_TANGO2.pdf", "Melting_Curves/meltCurve_C9J695_TANGO2.pdf")</f>
        <v>Melting_Curves/meltCurve_C9J695_TANGO2.pdf</v>
      </c>
    </row>
    <row r="303" spans="1:28" x14ac:dyDescent="0.25">
      <c r="A303" t="s">
        <v>307</v>
      </c>
      <c r="B303">
        <v>0.99673306730245903</v>
      </c>
      <c r="C303">
        <v>0.90534130803599899</v>
      </c>
      <c r="D303">
        <v>0.87909199660885695</v>
      </c>
      <c r="E303">
        <v>0.86950300011658699</v>
      </c>
      <c r="F303">
        <v>0.36262399137470303</v>
      </c>
      <c r="G303">
        <v>0.109349863269602</v>
      </c>
      <c r="H303">
        <v>5.7829962199208398E-2</v>
      </c>
      <c r="I303">
        <v>5.1170457187003901E-2</v>
      </c>
      <c r="J303">
        <v>5.7952453973098901E-2</v>
      </c>
      <c r="K303">
        <v>5.0139366318754097E-2</v>
      </c>
      <c r="L303">
        <v>1697.73468501206</v>
      </c>
      <c r="M303">
        <v>32.5898418315575</v>
      </c>
      <c r="N303">
        <v>52.264457593682003</v>
      </c>
      <c r="O303">
        <v>51.899013494881601</v>
      </c>
      <c r="P303">
        <v>-0.14907181816912399</v>
      </c>
      <c r="Q303">
        <v>5.0422633967104301E-2</v>
      </c>
      <c r="R303">
        <v>0.98683787488294505</v>
      </c>
      <c r="S303" t="s">
        <v>6755</v>
      </c>
      <c r="T303" t="s">
        <v>12902</v>
      </c>
      <c r="U303" t="s">
        <v>12902</v>
      </c>
      <c r="V303" t="s">
        <v>12902</v>
      </c>
      <c r="W303" t="s">
        <v>13182</v>
      </c>
      <c r="X303">
        <v>15</v>
      </c>
      <c r="Y303" t="s">
        <v>19578</v>
      </c>
      <c r="Z303" t="s">
        <v>25878</v>
      </c>
      <c r="AA303">
        <v>0.43838197998040918</v>
      </c>
      <c r="AB303" t="str">
        <f>HYPERLINK("Melting_Curves/meltCurve_C9J712_PFN2.pdf", "Melting_Curves/meltCurve_C9J712_PFN2.pdf")</f>
        <v>Melting_Curves/meltCurve_C9J712_PFN2.pdf</v>
      </c>
    </row>
    <row r="304" spans="1:28" x14ac:dyDescent="0.25">
      <c r="A304" t="s">
        <v>308</v>
      </c>
      <c r="B304">
        <v>0.99673306730245903</v>
      </c>
      <c r="C304">
        <v>0.96178276842959998</v>
      </c>
      <c r="D304">
        <v>1.0013841487669299</v>
      </c>
      <c r="E304">
        <v>1.0986469196095601</v>
      </c>
      <c r="F304">
        <v>0.965092549202207</v>
      </c>
      <c r="G304">
        <v>0.77465371563005703</v>
      </c>
      <c r="H304">
        <v>0.37360846266931003</v>
      </c>
      <c r="I304">
        <v>0.176687111967118</v>
      </c>
      <c r="J304">
        <v>0.15950225079161301</v>
      </c>
      <c r="K304">
        <v>0.135375073881354</v>
      </c>
      <c r="L304">
        <v>1820.4777872331399</v>
      </c>
      <c r="M304">
        <v>30.95297361567</v>
      </c>
      <c r="N304">
        <v>59.390812138426099</v>
      </c>
      <c r="O304">
        <v>58.570456017386597</v>
      </c>
      <c r="P304">
        <v>-0.11497543380696899</v>
      </c>
      <c r="Q304">
        <v>0.12976052812549299</v>
      </c>
      <c r="R304">
        <v>0.99149157329627702</v>
      </c>
      <c r="S304" t="s">
        <v>6756</v>
      </c>
      <c r="T304" t="s">
        <v>12902</v>
      </c>
      <c r="U304" t="s">
        <v>12902</v>
      </c>
      <c r="V304" t="s">
        <v>12902</v>
      </c>
      <c r="W304" t="s">
        <v>13202</v>
      </c>
      <c r="X304">
        <v>7</v>
      </c>
      <c r="Y304" t="s">
        <v>19598</v>
      </c>
      <c r="Z304" t="s">
        <v>25879</v>
      </c>
      <c r="AA304">
        <v>0.68086975406314731</v>
      </c>
      <c r="AB304" t="str">
        <f>HYPERLINK("Melting_Curves/meltCurve_C9J8Q5_ALDH5A1.pdf", "Melting_Curves/meltCurve_C9J8Q5_ALDH5A1.pdf")</f>
        <v>Melting_Curves/meltCurve_C9J8Q5_ALDH5A1.pdf</v>
      </c>
    </row>
    <row r="305" spans="1:28" x14ac:dyDescent="0.25">
      <c r="A305" t="s">
        <v>309</v>
      </c>
      <c r="B305">
        <v>0.99673306730245903</v>
      </c>
      <c r="C305">
        <v>0.91728754730322004</v>
      </c>
      <c r="D305">
        <v>0.83716086194176897</v>
      </c>
      <c r="E305">
        <v>0.68309540108803102</v>
      </c>
      <c r="F305">
        <v>0.60148236381366005</v>
      </c>
      <c r="G305">
        <v>0.42341139107727199</v>
      </c>
      <c r="H305">
        <v>0.34768637226605398</v>
      </c>
      <c r="I305">
        <v>0.46067363636564201</v>
      </c>
      <c r="J305">
        <v>0.62329958373761596</v>
      </c>
      <c r="K305">
        <v>0.71046281215755902</v>
      </c>
      <c r="L305">
        <v>991.61867743594905</v>
      </c>
      <c r="M305">
        <v>20.880079882497199</v>
      </c>
      <c r="O305">
        <v>47.061940340329102</v>
      </c>
      <c r="P305">
        <v>-5.3393655896175798E-2</v>
      </c>
      <c r="Q305">
        <v>0.51863380093907896</v>
      </c>
      <c r="R305">
        <v>0.76382523775632605</v>
      </c>
      <c r="S305" t="s">
        <v>6757</v>
      </c>
      <c r="T305" t="s">
        <v>12902</v>
      </c>
      <c r="U305" t="s">
        <v>12902</v>
      </c>
      <c r="V305" t="s">
        <v>12902</v>
      </c>
      <c r="W305" t="s">
        <v>13203</v>
      </c>
      <c r="X305">
        <v>1</v>
      </c>
      <c r="Y305" t="s">
        <v>19599</v>
      </c>
      <c r="Z305" t="s">
        <v>25880</v>
      </c>
      <c r="AA305">
        <v>0.64514304737088812</v>
      </c>
      <c r="AB305" t="str">
        <f>HYPERLINK("Melting_Curves/meltCurve_C9J976_SYNPR.pdf", "Melting_Curves/meltCurve_C9J976_SYNPR.pdf")</f>
        <v>Melting_Curves/meltCurve_C9J976_SYNPR.pdf</v>
      </c>
    </row>
    <row r="306" spans="1:28" x14ac:dyDescent="0.25">
      <c r="A306" t="s">
        <v>310</v>
      </c>
      <c r="B306">
        <v>0.99673306730245903</v>
      </c>
      <c r="C306">
        <v>1.1854135187104899</v>
      </c>
      <c r="D306">
        <v>1.0355640757209701</v>
      </c>
      <c r="E306">
        <v>1.14171151201062</v>
      </c>
      <c r="F306">
        <v>0.67509672512162899</v>
      </c>
      <c r="G306">
        <v>0.36355444334338699</v>
      </c>
      <c r="H306">
        <v>0.113937286156178</v>
      </c>
      <c r="I306">
        <v>8.1547418342911696E-2</v>
      </c>
      <c r="J306">
        <v>8.64423952489565E-2</v>
      </c>
      <c r="K306">
        <v>7.3849039361547603E-2</v>
      </c>
      <c r="L306">
        <v>1687.6097312866</v>
      </c>
      <c r="M306">
        <v>30.751643934135</v>
      </c>
      <c r="N306">
        <v>55.187134961142803</v>
      </c>
      <c r="O306">
        <v>54.648178851748</v>
      </c>
      <c r="P306">
        <v>-0.12957237073872899</v>
      </c>
      <c r="Q306">
        <v>7.8962762160423694E-2</v>
      </c>
      <c r="R306">
        <v>0.96451997492794606</v>
      </c>
      <c r="S306" t="s">
        <v>6758</v>
      </c>
      <c r="T306" t="s">
        <v>12902</v>
      </c>
      <c r="U306" t="s">
        <v>12902</v>
      </c>
      <c r="V306" t="s">
        <v>12902</v>
      </c>
      <c r="W306" t="s">
        <v>13204</v>
      </c>
      <c r="X306">
        <v>16</v>
      </c>
      <c r="Y306" t="s">
        <v>19600</v>
      </c>
      <c r="Z306" t="s">
        <v>25881</v>
      </c>
      <c r="AA306">
        <v>0.54157998854365241</v>
      </c>
      <c r="AB306" t="str">
        <f>HYPERLINK("Melting_Curves/meltCurve_C9J9K3_RPSA.pdf", "Melting_Curves/meltCurve_C9J9K3_RPSA.pdf")</f>
        <v>Melting_Curves/meltCurve_C9J9K3_RPSA.pdf</v>
      </c>
    </row>
    <row r="307" spans="1:28" x14ac:dyDescent="0.25">
      <c r="A307" t="s">
        <v>311</v>
      </c>
      <c r="B307">
        <v>0.99673306730245903</v>
      </c>
      <c r="C307">
        <v>0.86439501307858402</v>
      </c>
      <c r="D307">
        <v>0.74554610538122001</v>
      </c>
      <c r="E307">
        <v>0.65441405820617704</v>
      </c>
      <c r="F307">
        <v>0.31150935045162598</v>
      </c>
      <c r="G307">
        <v>0.172741481024939</v>
      </c>
      <c r="H307">
        <v>5.6985403332906602E-2</v>
      </c>
      <c r="I307">
        <v>5.4050671005357397E-2</v>
      </c>
      <c r="J307">
        <v>5.3745268919744203E-2</v>
      </c>
      <c r="K307">
        <v>4.7268934057459001E-2</v>
      </c>
      <c r="L307">
        <v>676.95847245824996</v>
      </c>
      <c r="M307">
        <v>13.3852908693838</v>
      </c>
      <c r="N307">
        <v>50.574804022230097</v>
      </c>
      <c r="O307">
        <v>49.4859799015749</v>
      </c>
      <c r="P307">
        <v>-6.7632293258195697E-2</v>
      </c>
      <c r="Q307">
        <v>0</v>
      </c>
      <c r="R307">
        <v>0.987094023678873</v>
      </c>
      <c r="S307" t="s">
        <v>6759</v>
      </c>
      <c r="T307" t="s">
        <v>12902</v>
      </c>
      <c r="U307" t="s">
        <v>12902</v>
      </c>
      <c r="V307" t="s">
        <v>12902</v>
      </c>
      <c r="W307" t="s">
        <v>13205</v>
      </c>
      <c r="X307">
        <v>18</v>
      </c>
      <c r="Y307" t="s">
        <v>19601</v>
      </c>
      <c r="Z307" t="s">
        <v>25882</v>
      </c>
      <c r="AA307">
        <v>0.38075887060288649</v>
      </c>
      <c r="AB307" t="str">
        <f>HYPERLINK("Melting_Curves/meltCurve_C9JA08_NMD3.pdf", "Melting_Curves/meltCurve_C9JA08_NMD3.pdf")</f>
        <v>Melting_Curves/meltCurve_C9JA08_NMD3.pdf</v>
      </c>
    </row>
    <row r="308" spans="1:28" x14ac:dyDescent="0.25">
      <c r="A308" t="s">
        <v>312</v>
      </c>
      <c r="B308">
        <v>0.99673306730245903</v>
      </c>
      <c r="C308">
        <v>1.0128737188494801</v>
      </c>
      <c r="D308">
        <v>0.50114132741648398</v>
      </c>
      <c r="E308">
        <v>0.69104913776670596</v>
      </c>
      <c r="F308">
        <v>0.62886129293557802</v>
      </c>
      <c r="G308">
        <v>0.53085771138069304</v>
      </c>
      <c r="H308">
        <v>0.41712664599279498</v>
      </c>
      <c r="I308">
        <v>0.28670730436863701</v>
      </c>
      <c r="J308">
        <v>0.26816483360995103</v>
      </c>
      <c r="K308">
        <v>0.18864935565493701</v>
      </c>
      <c r="L308">
        <v>336.14145828330402</v>
      </c>
      <c r="M308">
        <v>6.0147568616937503</v>
      </c>
      <c r="N308">
        <v>55.886125737256798</v>
      </c>
      <c r="O308">
        <v>50.648368380258702</v>
      </c>
      <c r="P308">
        <v>-2.9784102216650999E-2</v>
      </c>
      <c r="Q308">
        <v>0</v>
      </c>
      <c r="R308">
        <v>0.83779667927439105</v>
      </c>
      <c r="S308" t="s">
        <v>6760</v>
      </c>
      <c r="T308" t="s">
        <v>12902</v>
      </c>
      <c r="U308" t="s">
        <v>12902</v>
      </c>
      <c r="V308" t="s">
        <v>12902</v>
      </c>
      <c r="W308" t="s">
        <v>13206</v>
      </c>
      <c r="X308">
        <v>6</v>
      </c>
      <c r="Y308" t="s">
        <v>19602</v>
      </c>
      <c r="Z308" t="s">
        <v>25883</v>
      </c>
      <c r="AA308">
        <v>0.54583740133281577</v>
      </c>
      <c r="AB308" t="str">
        <f>HYPERLINK("Melting_Curves/meltCurve_C9JA28_SSR3.pdf", "Melting_Curves/meltCurve_C9JA28_SSR3.pdf")</f>
        <v>Melting_Curves/meltCurve_C9JA28_SSR3.pdf</v>
      </c>
    </row>
    <row r="309" spans="1:28" x14ac:dyDescent="0.25">
      <c r="A309" t="s">
        <v>313</v>
      </c>
      <c r="B309">
        <v>0.99673306730245903</v>
      </c>
      <c r="C309">
        <v>0.64032667101093199</v>
      </c>
      <c r="D309">
        <v>0.52755298213288404</v>
      </c>
      <c r="E309">
        <v>0.307708766657183</v>
      </c>
      <c r="F309">
        <v>0.20444276616300999</v>
      </c>
      <c r="G309">
        <v>9.8274719062074398E-2</v>
      </c>
      <c r="H309">
        <v>5.5657916719380703E-2</v>
      </c>
      <c r="I309">
        <v>5.3634225645901402E-2</v>
      </c>
      <c r="J309">
        <v>8.8247574459335704E-2</v>
      </c>
      <c r="K309">
        <v>8.9741274312724204E-2</v>
      </c>
      <c r="L309">
        <v>650.311071444444</v>
      </c>
      <c r="M309">
        <v>14.2250789911169</v>
      </c>
      <c r="N309">
        <v>46.139896927170703</v>
      </c>
      <c r="O309">
        <v>44.8408202300106</v>
      </c>
      <c r="P309">
        <v>-7.4458004149430004E-2</v>
      </c>
      <c r="Q309">
        <v>6.1279704164968897E-2</v>
      </c>
      <c r="R309">
        <v>0.97336290438942596</v>
      </c>
      <c r="S309" t="s">
        <v>6761</v>
      </c>
      <c r="T309" t="s">
        <v>12902</v>
      </c>
      <c r="U309" t="s">
        <v>12902</v>
      </c>
      <c r="V309" t="s">
        <v>12902</v>
      </c>
      <c r="W309" t="s">
        <v>13207</v>
      </c>
      <c r="X309">
        <v>2</v>
      </c>
      <c r="Y309" t="s">
        <v>19603</v>
      </c>
      <c r="Z309" t="s">
        <v>25884</v>
      </c>
      <c r="AA309">
        <v>0.27150850950574879</v>
      </c>
      <c r="AB309" t="str">
        <f>HYPERLINK("Melting_Curves/meltCurve_C9JA69_BBX.pdf", "Melting_Curves/meltCurve_C9JA69_BBX.pdf")</f>
        <v>Melting_Curves/meltCurve_C9JA69_BBX.pdf</v>
      </c>
    </row>
    <row r="310" spans="1:28" x14ac:dyDescent="0.25">
      <c r="A310" t="s">
        <v>314</v>
      </c>
      <c r="B310">
        <v>0.99673306730245903</v>
      </c>
      <c r="C310">
        <v>1.0085816193635799</v>
      </c>
      <c r="D310">
        <v>0.92501760810134503</v>
      </c>
      <c r="E310">
        <v>0.77558383362716898</v>
      </c>
      <c r="F310">
        <v>0.51160119200774701</v>
      </c>
      <c r="G310">
        <v>0.37449770786131598</v>
      </c>
      <c r="H310">
        <v>0.33198153846232198</v>
      </c>
      <c r="I310">
        <v>0.68456768074907004</v>
      </c>
      <c r="J310">
        <v>1.68608180554249</v>
      </c>
      <c r="K310">
        <v>1.8768693190274299</v>
      </c>
      <c r="L310">
        <v>10917.0486167827</v>
      </c>
      <c r="M310">
        <v>238.13564574753099</v>
      </c>
      <c r="O310">
        <v>45.840608090116099</v>
      </c>
      <c r="P310">
        <v>-0.140782885323368</v>
      </c>
      <c r="Q310">
        <v>0.89159841060595602</v>
      </c>
      <c r="R310">
        <v>8.0086151081383301E-3</v>
      </c>
      <c r="S310" t="s">
        <v>6762</v>
      </c>
      <c r="T310" t="s">
        <v>12902</v>
      </c>
      <c r="U310" t="s">
        <v>12902</v>
      </c>
      <c r="V310" t="s">
        <v>12902</v>
      </c>
      <c r="W310" t="s">
        <v>13208</v>
      </c>
      <c r="X310">
        <v>15</v>
      </c>
      <c r="Y310" t="s">
        <v>19604</v>
      </c>
      <c r="Z310" t="s">
        <v>25885</v>
      </c>
      <c r="AA310">
        <v>0.91272401641283663</v>
      </c>
      <c r="AB310" t="str">
        <f>HYPERLINK("Melting_Curves/meltCurve_C9JAB2_SRSF7.pdf", "Melting_Curves/meltCurve_C9JAB2_SRSF7.pdf")</f>
        <v>Melting_Curves/meltCurve_C9JAB2_SRSF7.pdf</v>
      </c>
    </row>
    <row r="311" spans="1:28" x14ac:dyDescent="0.25">
      <c r="A311" t="s">
        <v>315</v>
      </c>
      <c r="B311">
        <v>0.99673306730245903</v>
      </c>
      <c r="C311">
        <v>1.0216298921857601</v>
      </c>
      <c r="D311">
        <v>0.901652857159293</v>
      </c>
      <c r="E311">
        <v>1.0051421293640499</v>
      </c>
      <c r="F311">
        <v>0.76678622237363303</v>
      </c>
      <c r="G311">
        <v>0.74933935787787298</v>
      </c>
      <c r="H311">
        <v>0.46116501509265501</v>
      </c>
      <c r="I311">
        <v>0.62768404589322802</v>
      </c>
      <c r="J311">
        <v>0.72650260520307597</v>
      </c>
      <c r="K311">
        <v>0.68890223636014802</v>
      </c>
      <c r="L311">
        <v>1890.93850630926</v>
      </c>
      <c r="M311">
        <v>35.841686985966298</v>
      </c>
      <c r="O311">
        <v>52.594662536826696</v>
      </c>
      <c r="P311">
        <v>-6.1106925093427703E-2</v>
      </c>
      <c r="Q311">
        <v>0.64132413473513095</v>
      </c>
      <c r="R311">
        <v>0.79721320173616295</v>
      </c>
      <c r="S311" t="s">
        <v>6763</v>
      </c>
      <c r="T311" t="s">
        <v>12902</v>
      </c>
      <c r="U311" t="s">
        <v>12902</v>
      </c>
      <c r="V311" t="s">
        <v>12902</v>
      </c>
      <c r="W311" t="s">
        <v>13209</v>
      </c>
      <c r="X311">
        <v>7</v>
      </c>
      <c r="Y311" t="s">
        <v>19605</v>
      </c>
      <c r="Z311" t="s">
        <v>25886</v>
      </c>
      <c r="AA311">
        <v>0.79548632405236974</v>
      </c>
      <c r="AB311" t="str">
        <f>HYPERLINK("Melting_Curves/meltCurve_C9JAX1_FXN.pdf", "Melting_Curves/meltCurve_C9JAX1_FXN.pdf")</f>
        <v>Melting_Curves/meltCurve_C9JAX1_FXN.pdf</v>
      </c>
    </row>
    <row r="312" spans="1:28" x14ac:dyDescent="0.25">
      <c r="A312" t="s">
        <v>316</v>
      </c>
      <c r="B312">
        <v>0.99673306730245903</v>
      </c>
      <c r="C312">
        <v>1.0144270505346</v>
      </c>
      <c r="D312">
        <v>0.91468256180277396</v>
      </c>
      <c r="E312">
        <v>0.77369784103871098</v>
      </c>
      <c r="F312">
        <v>0.53336069679793696</v>
      </c>
      <c r="G312">
        <v>0.28672132443181497</v>
      </c>
      <c r="H312">
        <v>0.17585296639410999</v>
      </c>
      <c r="I312">
        <v>0.19642428056931199</v>
      </c>
      <c r="J312">
        <v>0.24459781397845201</v>
      </c>
      <c r="K312">
        <v>0.246635504450858</v>
      </c>
      <c r="L312">
        <v>1118.03897481698</v>
      </c>
      <c r="M312">
        <v>21.554378113987401</v>
      </c>
      <c r="N312">
        <v>53.152268940163196</v>
      </c>
      <c r="O312">
        <v>51.430341974716796</v>
      </c>
      <c r="P312">
        <v>-8.3542713329702104E-2</v>
      </c>
      <c r="Q312">
        <v>0.202663034708642</v>
      </c>
      <c r="R312">
        <v>0.99038347278079297</v>
      </c>
      <c r="S312" t="s">
        <v>6764</v>
      </c>
      <c r="T312" t="s">
        <v>12902</v>
      </c>
      <c r="U312" t="s">
        <v>12902</v>
      </c>
      <c r="V312" t="s">
        <v>12902</v>
      </c>
      <c r="W312" t="s">
        <v>13210</v>
      </c>
      <c r="X312">
        <v>10</v>
      </c>
      <c r="Y312" t="s">
        <v>19606</v>
      </c>
      <c r="Z312" t="s">
        <v>25887</v>
      </c>
      <c r="AA312">
        <v>0.52778689861526973</v>
      </c>
      <c r="AB312" t="str">
        <f>HYPERLINK("Melting_Curves/meltCurve_C9JB13_BSDC1.pdf", "Melting_Curves/meltCurve_C9JB13_BSDC1.pdf")</f>
        <v>Melting_Curves/meltCurve_C9JB13_BSDC1.pdf</v>
      </c>
    </row>
    <row r="313" spans="1:28" x14ac:dyDescent="0.25">
      <c r="A313" t="s">
        <v>317</v>
      </c>
      <c r="B313">
        <v>0.99673306730245903</v>
      </c>
      <c r="C313">
        <v>1.1370692594596501</v>
      </c>
      <c r="D313">
        <v>0.98164133683388399</v>
      </c>
      <c r="E313">
        <v>0.89028902128199106</v>
      </c>
      <c r="F313">
        <v>0.85338599691567996</v>
      </c>
      <c r="G313">
        <v>0.47051190337758297</v>
      </c>
      <c r="H313">
        <v>0.24317945984651501</v>
      </c>
      <c r="I313">
        <v>0.239826653909475</v>
      </c>
      <c r="J313">
        <v>0.247296048798751</v>
      </c>
      <c r="K313">
        <v>0.192756228168421</v>
      </c>
      <c r="L313">
        <v>1652.31204794207</v>
      </c>
      <c r="M313">
        <v>29.787003916383998</v>
      </c>
      <c r="N313">
        <v>56.521422221252699</v>
      </c>
      <c r="O313">
        <v>55.222691580721097</v>
      </c>
      <c r="P313">
        <v>-0.10618559358350201</v>
      </c>
      <c r="Q313">
        <v>0.212567333051699</v>
      </c>
      <c r="R313">
        <v>0.97728666518253104</v>
      </c>
      <c r="S313" t="s">
        <v>6765</v>
      </c>
      <c r="T313" t="s">
        <v>12902</v>
      </c>
      <c r="U313" t="s">
        <v>12902</v>
      </c>
      <c r="V313" t="s">
        <v>12902</v>
      </c>
      <c r="W313" t="s">
        <v>13211</v>
      </c>
      <c r="X313">
        <v>1</v>
      </c>
      <c r="Y313" t="s">
        <v>19607</v>
      </c>
      <c r="Z313" t="s">
        <v>25888</v>
      </c>
      <c r="AA313">
        <v>0.62395364220350669</v>
      </c>
      <c r="AB313" t="str">
        <f>HYPERLINK("Melting_Curves/meltCurve_C9JBA4_LYG2.pdf", "Melting_Curves/meltCurve_C9JBA4_LYG2.pdf")</f>
        <v>Melting_Curves/meltCurve_C9JBA4_LYG2.pdf</v>
      </c>
    </row>
    <row r="314" spans="1:28" x14ac:dyDescent="0.25">
      <c r="A314" t="s">
        <v>318</v>
      </c>
      <c r="B314">
        <v>0.99673306730245903</v>
      </c>
      <c r="C314">
        <v>0.925521809090042</v>
      </c>
      <c r="D314">
        <v>0.85503094124952195</v>
      </c>
      <c r="E314">
        <v>0.75299717757011697</v>
      </c>
      <c r="F314">
        <v>0.73519125289198195</v>
      </c>
      <c r="G314">
        <v>0.73201192745529897</v>
      </c>
      <c r="H314">
        <v>0.56732133390836403</v>
      </c>
      <c r="I314">
        <v>0.82358626658086997</v>
      </c>
      <c r="J314">
        <v>0.75836154561604696</v>
      </c>
      <c r="K314">
        <v>0.77890429078110401</v>
      </c>
      <c r="L314">
        <v>1056.2717822449199</v>
      </c>
      <c r="M314">
        <v>23.338492399816602</v>
      </c>
      <c r="O314">
        <v>44.930442559713399</v>
      </c>
      <c r="P314">
        <v>-3.5007322349716298E-2</v>
      </c>
      <c r="Q314">
        <v>0.73042539469558798</v>
      </c>
      <c r="R314">
        <v>0.68597546712556901</v>
      </c>
      <c r="S314" t="s">
        <v>6766</v>
      </c>
      <c r="T314" t="s">
        <v>12902</v>
      </c>
      <c r="U314" t="s">
        <v>12902</v>
      </c>
      <c r="V314" t="s">
        <v>12902</v>
      </c>
      <c r="W314" t="s">
        <v>13212</v>
      </c>
      <c r="X314">
        <v>1</v>
      </c>
      <c r="Y314" t="s">
        <v>19608</v>
      </c>
      <c r="Z314" t="s">
        <v>25889</v>
      </c>
      <c r="AA314">
        <v>0.78076581784848598</v>
      </c>
      <c r="AB314" t="str">
        <f>HYPERLINK("Melting_Curves/meltCurve_C9JBL1_SPCS1.pdf", "Melting_Curves/meltCurve_C9JBL1_SPCS1.pdf")</f>
        <v>Melting_Curves/meltCurve_C9JBL1_SPCS1.pdf</v>
      </c>
    </row>
    <row r="315" spans="1:28" x14ac:dyDescent="0.25">
      <c r="A315" t="s">
        <v>319</v>
      </c>
      <c r="B315">
        <v>0.99673306730245903</v>
      </c>
      <c r="C315">
        <v>1.0085748215691901</v>
      </c>
      <c r="D315">
        <v>0.92002744538710202</v>
      </c>
      <c r="E315">
        <v>0.96078125618539201</v>
      </c>
      <c r="F315">
        <v>0.85487386452395997</v>
      </c>
      <c r="G315">
        <v>0.60346354157178705</v>
      </c>
      <c r="H315">
        <v>0.43531791854817298</v>
      </c>
      <c r="I315">
        <v>0.51194673335996399</v>
      </c>
      <c r="J315">
        <v>0.53397032315019399</v>
      </c>
      <c r="K315">
        <v>0.60360741652017302</v>
      </c>
      <c r="L315">
        <v>2182.8751570115601</v>
      </c>
      <c r="M315">
        <v>40.218049456706702</v>
      </c>
      <c r="O315">
        <v>54.142334473101698</v>
      </c>
      <c r="P315">
        <v>-8.8715824221540895E-2</v>
      </c>
      <c r="Q315">
        <v>0.52227696263800605</v>
      </c>
      <c r="R315">
        <v>0.94971048294176696</v>
      </c>
      <c r="S315" t="s">
        <v>6767</v>
      </c>
      <c r="T315" t="s">
        <v>12902</v>
      </c>
      <c r="U315" t="s">
        <v>12902</v>
      </c>
      <c r="V315" t="s">
        <v>12902</v>
      </c>
      <c r="W315" t="s">
        <v>13213</v>
      </c>
      <c r="X315">
        <v>5</v>
      </c>
      <c r="Y315" t="s">
        <v>19609</v>
      </c>
      <c r="Z315" t="s">
        <v>25890</v>
      </c>
      <c r="AA315">
        <v>0.75137823082003574</v>
      </c>
      <c r="AB315" t="str">
        <f>HYPERLINK("Melting_Curves/meltCurve_C9JCC6_DRAP1.pdf", "Melting_Curves/meltCurve_C9JCC6_DRAP1.pdf")</f>
        <v>Melting_Curves/meltCurve_C9JCC6_DRAP1.pdf</v>
      </c>
    </row>
    <row r="316" spans="1:28" x14ac:dyDescent="0.25">
      <c r="A316" t="s">
        <v>320</v>
      </c>
      <c r="B316">
        <v>0.99673306730245903</v>
      </c>
      <c r="C316">
        <v>0.883984447369346</v>
      </c>
      <c r="D316">
        <v>1.1932467456693201</v>
      </c>
      <c r="E316">
        <v>1.2349176064479099</v>
      </c>
      <c r="F316">
        <v>1.68529917515744</v>
      </c>
      <c r="G316">
        <v>1.9335949594847199</v>
      </c>
      <c r="H316">
        <v>1.6411408339392899</v>
      </c>
      <c r="I316">
        <v>0.41894128539884501</v>
      </c>
      <c r="J316">
        <v>0.38296720231113801</v>
      </c>
      <c r="K316">
        <v>0.290354642927238</v>
      </c>
      <c r="L316">
        <v>15000</v>
      </c>
      <c r="M316">
        <v>236.32631750828801</v>
      </c>
      <c r="N316">
        <v>63.773353482488197</v>
      </c>
      <c r="O316">
        <v>63.467015088354003</v>
      </c>
      <c r="P316">
        <v>-0.61757009686778996</v>
      </c>
      <c r="Q316">
        <v>0.33658966719106498</v>
      </c>
      <c r="R316">
        <v>0.38659990116291998</v>
      </c>
      <c r="S316" t="s">
        <v>6768</v>
      </c>
      <c r="T316" t="s">
        <v>12902</v>
      </c>
      <c r="U316" t="s">
        <v>12902</v>
      </c>
      <c r="V316" t="s">
        <v>12902</v>
      </c>
      <c r="W316" t="s">
        <v>13214</v>
      </c>
      <c r="X316">
        <v>8</v>
      </c>
      <c r="Y316" t="s">
        <v>19372</v>
      </c>
      <c r="Z316" t="s">
        <v>25891</v>
      </c>
      <c r="AA316">
        <v>0.85571487701869298</v>
      </c>
      <c r="AB316" t="str">
        <f>HYPERLINK("Melting_Curves/meltCurve_C9JDS9_TUBA4A.pdf", "Melting_Curves/meltCurve_C9JDS9_TUBA4A.pdf")</f>
        <v>Melting_Curves/meltCurve_C9JDS9_TUBA4A.pdf</v>
      </c>
    </row>
    <row r="317" spans="1:28" x14ac:dyDescent="0.25">
      <c r="A317" t="s">
        <v>321</v>
      </c>
      <c r="B317">
        <v>0.99673306730245903</v>
      </c>
      <c r="C317">
        <v>0.99159042813557696</v>
      </c>
      <c r="D317">
        <v>0.821754531370394</v>
      </c>
      <c r="E317">
        <v>0.63201852200675201</v>
      </c>
      <c r="F317">
        <v>0.464728850520093</v>
      </c>
      <c r="G317">
        <v>0.35625705300734001</v>
      </c>
      <c r="H317">
        <v>0.25215816566454502</v>
      </c>
      <c r="I317">
        <v>0.241756704258969</v>
      </c>
      <c r="J317">
        <v>0.29835571445717801</v>
      </c>
      <c r="K317">
        <v>0.382331810282804</v>
      </c>
      <c r="L317">
        <v>898.87312711991399</v>
      </c>
      <c r="M317">
        <v>18.2063440753764</v>
      </c>
      <c r="N317">
        <v>51.831334400032297</v>
      </c>
      <c r="O317">
        <v>48.787349635646798</v>
      </c>
      <c r="P317">
        <v>-6.6309441290787904E-2</v>
      </c>
      <c r="Q317">
        <v>0.289278663853548</v>
      </c>
      <c r="R317">
        <v>0.97758316224512898</v>
      </c>
      <c r="S317" t="s">
        <v>6769</v>
      </c>
      <c r="T317" t="s">
        <v>12902</v>
      </c>
      <c r="U317" t="s">
        <v>12902</v>
      </c>
      <c r="V317" t="s">
        <v>12902</v>
      </c>
      <c r="W317" t="s">
        <v>13215</v>
      </c>
      <c r="X317">
        <v>3</v>
      </c>
      <c r="Y317" t="s">
        <v>19610</v>
      </c>
      <c r="Z317" t="s">
        <v>25892</v>
      </c>
      <c r="AA317">
        <v>0.52325479777369066</v>
      </c>
      <c r="AB317" t="str">
        <f>HYPERLINK("Melting_Curves/meltCurve_C9JE12_TMUB1.pdf", "Melting_Curves/meltCurve_C9JE12_TMUB1.pdf")</f>
        <v>Melting_Curves/meltCurve_C9JE12_TMUB1.pdf</v>
      </c>
    </row>
    <row r="318" spans="1:28" x14ac:dyDescent="0.25">
      <c r="A318" t="s">
        <v>322</v>
      </c>
      <c r="B318">
        <v>0.99673306730245903</v>
      </c>
      <c r="C318">
        <v>0.85158024661969201</v>
      </c>
      <c r="D318">
        <v>0.78917654079871502</v>
      </c>
      <c r="E318">
        <v>0.66591798378688405</v>
      </c>
      <c r="F318">
        <v>0.46022684726414598</v>
      </c>
      <c r="G318">
        <v>0.231291616155617</v>
      </c>
      <c r="H318">
        <v>0.15522800486482299</v>
      </c>
      <c r="I318">
        <v>0.17257416031960501</v>
      </c>
      <c r="J318">
        <v>0.31100893283998399</v>
      </c>
      <c r="K318">
        <v>0.45752489193238699</v>
      </c>
      <c r="L318">
        <v>810.59977758296304</v>
      </c>
      <c r="M318">
        <v>16.503148303219302</v>
      </c>
      <c r="N318">
        <v>51.314904526693901</v>
      </c>
      <c r="O318">
        <v>48.413677180735803</v>
      </c>
      <c r="P318">
        <v>-6.3635023283843503E-2</v>
      </c>
      <c r="Q318">
        <v>0.25333237797444103</v>
      </c>
      <c r="R318">
        <v>0.88821417598616903</v>
      </c>
      <c r="S318" t="s">
        <v>6770</v>
      </c>
      <c r="T318" t="s">
        <v>12902</v>
      </c>
      <c r="U318" t="s">
        <v>12902</v>
      </c>
      <c r="V318" t="s">
        <v>12902</v>
      </c>
      <c r="W318" t="s">
        <v>13216</v>
      </c>
      <c r="X318">
        <v>14</v>
      </c>
      <c r="Y318" t="s">
        <v>19611</v>
      </c>
      <c r="Z318" t="s">
        <v>25893</v>
      </c>
      <c r="AA318">
        <v>0.49556567977379401</v>
      </c>
      <c r="AB318" t="str">
        <f>HYPERLINK("Melting_Curves/meltCurve_C9JE98_NCOR2.pdf", "Melting_Curves/meltCurve_C9JE98_NCOR2.pdf")</f>
        <v>Melting_Curves/meltCurve_C9JE98_NCOR2.pdf</v>
      </c>
    </row>
    <row r="319" spans="1:28" x14ac:dyDescent="0.25">
      <c r="A319" t="s">
        <v>323</v>
      </c>
      <c r="B319">
        <v>0.99673306730245903</v>
      </c>
      <c r="C319">
        <v>0.95227420670289997</v>
      </c>
      <c r="D319">
        <v>0.87575138807598096</v>
      </c>
      <c r="E319">
        <v>0.74101626816432897</v>
      </c>
      <c r="F319">
        <v>0.51169934689622798</v>
      </c>
      <c r="G319">
        <v>0.37079312113791402</v>
      </c>
      <c r="H319">
        <v>0.24234438219485399</v>
      </c>
      <c r="I319">
        <v>0.28168040565215702</v>
      </c>
      <c r="J319">
        <v>0.56113227669045196</v>
      </c>
      <c r="K319">
        <v>0.801128196042732</v>
      </c>
      <c r="L319">
        <v>1338.1207915966399</v>
      </c>
      <c r="M319">
        <v>27.176542653152801</v>
      </c>
      <c r="N319">
        <v>53.839043221455697</v>
      </c>
      <c r="O319">
        <v>48.973802873667402</v>
      </c>
      <c r="P319">
        <v>-7.6165843092401195E-2</v>
      </c>
      <c r="Q319">
        <v>0.45098325038157899</v>
      </c>
      <c r="R319">
        <v>0.67973315602510298</v>
      </c>
      <c r="S319" t="s">
        <v>6771</v>
      </c>
      <c r="T319" t="s">
        <v>12902</v>
      </c>
      <c r="U319" t="s">
        <v>12902</v>
      </c>
      <c r="V319" t="s">
        <v>12902</v>
      </c>
      <c r="W319" t="s">
        <v>13217</v>
      </c>
      <c r="X319">
        <v>4</v>
      </c>
      <c r="Y319" t="s">
        <v>19612</v>
      </c>
      <c r="Z319" t="s">
        <v>25894</v>
      </c>
      <c r="AA319">
        <v>0.62415264351994948</v>
      </c>
      <c r="AB319" t="str">
        <f>HYPERLINK("Melting_Curves/meltCurve_C9JEZ4_CDC42EP3.pdf", "Melting_Curves/meltCurve_C9JEZ4_CDC42EP3.pdf")</f>
        <v>Melting_Curves/meltCurve_C9JEZ4_CDC42EP3.pdf</v>
      </c>
    </row>
    <row r="320" spans="1:28" x14ac:dyDescent="0.25">
      <c r="A320" t="s">
        <v>324</v>
      </c>
      <c r="B320">
        <v>0.99673306730245903</v>
      </c>
      <c r="C320">
        <v>0.88086709277487596</v>
      </c>
      <c r="D320">
        <v>0.78530028139899899</v>
      </c>
      <c r="E320">
        <v>0.50203627226564096</v>
      </c>
      <c r="F320">
        <v>0.48698001886773601</v>
      </c>
      <c r="G320">
        <v>0.31154509234977501</v>
      </c>
      <c r="H320">
        <v>0.19362217347806701</v>
      </c>
      <c r="I320">
        <v>0.166457078470437</v>
      </c>
      <c r="J320">
        <v>0.17872371631833101</v>
      </c>
      <c r="K320">
        <v>0.242527585389057</v>
      </c>
      <c r="L320">
        <v>625.50791189802806</v>
      </c>
      <c r="M320">
        <v>12.655090786497</v>
      </c>
      <c r="N320">
        <v>51.036646968723701</v>
      </c>
      <c r="O320">
        <v>48.241890993493797</v>
      </c>
      <c r="P320">
        <v>-5.4802928363378002E-2</v>
      </c>
      <c r="Q320">
        <v>0.164516751052973</v>
      </c>
      <c r="R320">
        <v>0.97629936151480701</v>
      </c>
      <c r="S320" t="s">
        <v>6772</v>
      </c>
      <c r="T320" t="s">
        <v>12902</v>
      </c>
      <c r="U320" t="s">
        <v>12902</v>
      </c>
      <c r="V320" t="s">
        <v>12902</v>
      </c>
      <c r="W320" t="s">
        <v>13218</v>
      </c>
      <c r="X320">
        <v>1</v>
      </c>
      <c r="Y320" t="s">
        <v>19613</v>
      </c>
      <c r="Z320" t="s">
        <v>25895</v>
      </c>
      <c r="AA320">
        <v>0.45446044633403038</v>
      </c>
      <c r="AB320" t="str">
        <f>HYPERLINK("Melting_Curves/meltCurve_C9JFW7_C19orf55.pdf", "Melting_Curves/meltCurve_C9JFW7_C19orf55.pdf")</f>
        <v>Melting_Curves/meltCurve_C9JFW7_C19orf55.pdf</v>
      </c>
    </row>
    <row r="321" spans="1:28" x14ac:dyDescent="0.25">
      <c r="A321" t="s">
        <v>325</v>
      </c>
      <c r="B321">
        <v>0.99673306730245903</v>
      </c>
      <c r="C321">
        <v>0.96130359985305902</v>
      </c>
      <c r="D321">
        <v>0.89821673653161405</v>
      </c>
      <c r="E321">
        <v>0.70520614444044505</v>
      </c>
      <c r="F321">
        <v>0.52579024425073195</v>
      </c>
      <c r="G321">
        <v>0.28824694422226899</v>
      </c>
      <c r="H321">
        <v>0.17699392183202001</v>
      </c>
      <c r="I321">
        <v>0.17142575142364899</v>
      </c>
      <c r="J321">
        <v>0.12807565784375899</v>
      </c>
      <c r="K321">
        <v>0.123434274770279</v>
      </c>
      <c r="L321">
        <v>783.99083899683797</v>
      </c>
      <c r="M321">
        <v>14.9935733413908</v>
      </c>
      <c r="N321">
        <v>53.065977808233001</v>
      </c>
      <c r="O321">
        <v>51.384782753061003</v>
      </c>
      <c r="P321">
        <v>-6.5760562968400604E-2</v>
      </c>
      <c r="Q321">
        <v>9.8613950527588104E-2</v>
      </c>
      <c r="R321">
        <v>0.99771886197984505</v>
      </c>
      <c r="S321" t="s">
        <v>6773</v>
      </c>
      <c r="T321" t="s">
        <v>12902</v>
      </c>
      <c r="U321" t="s">
        <v>12902</v>
      </c>
      <c r="V321" t="s">
        <v>12902</v>
      </c>
      <c r="W321" t="s">
        <v>13219</v>
      </c>
      <c r="X321">
        <v>3</v>
      </c>
      <c r="Y321" t="s">
        <v>19614</v>
      </c>
      <c r="Z321" t="s">
        <v>25896</v>
      </c>
      <c r="AA321">
        <v>0.48779357422925229</v>
      </c>
      <c r="AB321" t="str">
        <f>HYPERLINK("Melting_Curves/meltCurve_C9JG41_ITM2C.pdf", "Melting_Curves/meltCurve_C9JG41_ITM2C.pdf")</f>
        <v>Melting_Curves/meltCurve_C9JG41_ITM2C.pdf</v>
      </c>
    </row>
    <row r="322" spans="1:28" x14ac:dyDescent="0.25">
      <c r="A322" t="s">
        <v>326</v>
      </c>
      <c r="B322">
        <v>0.99673306730245903</v>
      </c>
      <c r="C322">
        <v>0.99729210376484301</v>
      </c>
      <c r="D322">
        <v>0.96614749620538598</v>
      </c>
      <c r="E322">
        <v>0.91986389437985105</v>
      </c>
      <c r="F322">
        <v>0.79874443114508298</v>
      </c>
      <c r="G322">
        <v>0.63222165278718501</v>
      </c>
      <c r="H322">
        <v>0.31462518033060999</v>
      </c>
      <c r="I322">
        <v>0.16964551574285</v>
      </c>
      <c r="J322">
        <v>0.10534779080121</v>
      </c>
      <c r="K322">
        <v>8.2917424894033906E-2</v>
      </c>
      <c r="L322">
        <v>933.56375303713105</v>
      </c>
      <c r="M322">
        <v>16.069262368800501</v>
      </c>
      <c r="N322">
        <v>58.126714783521003</v>
      </c>
      <c r="O322">
        <v>57.218860711467102</v>
      </c>
      <c r="P322">
        <v>-6.9920543491283002E-2</v>
      </c>
      <c r="Q322">
        <v>4.1943948357749698E-3</v>
      </c>
      <c r="R322">
        <v>0.99735553467825</v>
      </c>
      <c r="S322" t="s">
        <v>6774</v>
      </c>
      <c r="T322" t="s">
        <v>12902</v>
      </c>
      <c r="U322" t="s">
        <v>12902</v>
      </c>
      <c r="V322" t="s">
        <v>12902</v>
      </c>
      <c r="W322" t="s">
        <v>13220</v>
      </c>
      <c r="X322">
        <v>11</v>
      </c>
      <c r="Y322" t="s">
        <v>19615</v>
      </c>
      <c r="Z322" t="s">
        <v>25897</v>
      </c>
      <c r="AA322">
        <v>0.6177737529840146</v>
      </c>
      <c r="AB322" t="str">
        <f>HYPERLINK("Melting_Curves/meltCurve_C9JG97_AAMP.pdf", "Melting_Curves/meltCurve_C9JG97_AAMP.pdf")</f>
        <v>Melting_Curves/meltCurve_C9JG97_AAMP.pdf</v>
      </c>
    </row>
    <row r="323" spans="1:28" x14ac:dyDescent="0.25">
      <c r="A323" t="s">
        <v>327</v>
      </c>
      <c r="B323">
        <v>0.99673306730245903</v>
      </c>
      <c r="C323">
        <v>1.17875807311224</v>
      </c>
      <c r="D323">
        <v>0.92506318961112</v>
      </c>
      <c r="E323">
        <v>0.99094936528451305</v>
      </c>
      <c r="F323">
        <v>0.78504736895448801</v>
      </c>
      <c r="G323">
        <v>0.70824931667881796</v>
      </c>
      <c r="H323">
        <v>0.32292923037261201</v>
      </c>
      <c r="I323">
        <v>0.21816998954046599</v>
      </c>
      <c r="J323">
        <v>0.17999085108888799</v>
      </c>
      <c r="K323">
        <v>0.14220705315567</v>
      </c>
      <c r="L323">
        <v>1087.1432970324199</v>
      </c>
      <c r="M323">
        <v>18.760644389928501</v>
      </c>
      <c r="N323">
        <v>58.650027807129803</v>
      </c>
      <c r="O323">
        <v>57.301714617692902</v>
      </c>
      <c r="P323">
        <v>-7.3622809421598698E-2</v>
      </c>
      <c r="Q323">
        <v>0.10055617876254699</v>
      </c>
      <c r="R323">
        <v>0.96338623285367397</v>
      </c>
      <c r="S323" t="s">
        <v>6775</v>
      </c>
      <c r="T323" t="s">
        <v>12902</v>
      </c>
      <c r="U323" t="s">
        <v>12902</v>
      </c>
      <c r="V323" t="s">
        <v>12902</v>
      </c>
      <c r="W323" t="s">
        <v>13221</v>
      </c>
      <c r="X323">
        <v>4</v>
      </c>
      <c r="Y323" t="s">
        <v>19616</v>
      </c>
      <c r="Z323" t="s">
        <v>25898</v>
      </c>
      <c r="AA323">
        <v>0.64951128004562519</v>
      </c>
      <c r="AB323" t="str">
        <f>HYPERLINK("Melting_Curves/meltCurve_C9JGI3_TYMP.pdf", "Melting_Curves/meltCurve_C9JGI3_TYMP.pdf")</f>
        <v>Melting_Curves/meltCurve_C9JGI3_TYMP.pdf</v>
      </c>
    </row>
    <row r="324" spans="1:28" x14ac:dyDescent="0.25">
      <c r="A324" t="s">
        <v>328</v>
      </c>
      <c r="B324">
        <v>0.99673306730245903</v>
      </c>
      <c r="C324">
        <v>0.84997951368326996</v>
      </c>
      <c r="D324">
        <v>0.72127710211844598</v>
      </c>
      <c r="E324">
        <v>0.36770776571515201</v>
      </c>
      <c r="F324">
        <v>0.34699782850122501</v>
      </c>
      <c r="G324">
        <v>0.240919996579021</v>
      </c>
      <c r="H324">
        <v>0.11427585291041201</v>
      </c>
      <c r="I324">
        <v>0.11568065301960601</v>
      </c>
      <c r="J324">
        <v>0.16518522309283901</v>
      </c>
      <c r="K324">
        <v>0.109051122945839</v>
      </c>
      <c r="L324">
        <v>714.12459109889403</v>
      </c>
      <c r="M324">
        <v>14.925331446067201</v>
      </c>
      <c r="N324">
        <v>48.755169684120197</v>
      </c>
      <c r="O324">
        <v>47.012206632190001</v>
      </c>
      <c r="P324">
        <v>-6.9739688710345804E-2</v>
      </c>
      <c r="Q324">
        <v>0.121418895586329</v>
      </c>
      <c r="R324">
        <v>0.98042964785431597</v>
      </c>
      <c r="S324" t="s">
        <v>6776</v>
      </c>
      <c r="T324" t="s">
        <v>12902</v>
      </c>
      <c r="U324" t="s">
        <v>12902</v>
      </c>
      <c r="V324" t="s">
        <v>12902</v>
      </c>
      <c r="W324" t="s">
        <v>13222</v>
      </c>
      <c r="X324">
        <v>1</v>
      </c>
      <c r="Y324" t="s">
        <v>19617</v>
      </c>
      <c r="Z324" t="s">
        <v>25899</v>
      </c>
      <c r="AA324">
        <v>0.37421520477555142</v>
      </c>
      <c r="AB324" t="str">
        <f>HYPERLINK("Melting_Curves/meltCurve_C9JH62_ZNF277.pdf", "Melting_Curves/meltCurve_C9JH62_ZNF277.pdf")</f>
        <v>Melting_Curves/meltCurve_C9JH62_ZNF277.pdf</v>
      </c>
    </row>
    <row r="325" spans="1:28" x14ac:dyDescent="0.25">
      <c r="A325" t="s">
        <v>329</v>
      </c>
      <c r="B325">
        <v>0.99673306730245903</v>
      </c>
      <c r="C325">
        <v>0.92935049527469404</v>
      </c>
      <c r="D325">
        <v>1.0582398644705899</v>
      </c>
      <c r="E325">
        <v>1.2028394180120601</v>
      </c>
      <c r="F325">
        <v>1.22428838225245</v>
      </c>
      <c r="G325">
        <v>1.01727427938951</v>
      </c>
      <c r="H325">
        <v>0.77588039446316803</v>
      </c>
      <c r="I325">
        <v>0.429443610998126</v>
      </c>
      <c r="J325">
        <v>0.158331219663567</v>
      </c>
      <c r="K325">
        <v>0.126185311956657</v>
      </c>
      <c r="L325">
        <v>2285.9325428489601</v>
      </c>
      <c r="M325">
        <v>36.343488916485001</v>
      </c>
      <c r="N325">
        <v>63.261233380310898</v>
      </c>
      <c r="O325">
        <v>62.708481533953503</v>
      </c>
      <c r="P325">
        <v>-0.131246380669853</v>
      </c>
      <c r="Q325">
        <v>9.4172267100665896E-2</v>
      </c>
      <c r="R325">
        <v>0.93195288869901205</v>
      </c>
      <c r="S325" t="s">
        <v>6777</v>
      </c>
      <c r="T325" t="s">
        <v>12902</v>
      </c>
      <c r="U325" t="s">
        <v>12902</v>
      </c>
      <c r="V325" t="s">
        <v>12902</v>
      </c>
      <c r="W325" t="s">
        <v>13223</v>
      </c>
      <c r="X325">
        <v>34</v>
      </c>
      <c r="Y325" t="s">
        <v>19618</v>
      </c>
      <c r="Z325" t="s">
        <v>25900</v>
      </c>
      <c r="AA325">
        <v>0.7886314699896223</v>
      </c>
      <c r="AB325" t="str">
        <f>HYPERLINK("Melting_Curves/meltCurve_C9JIF9_APEH.pdf", "Melting_Curves/meltCurve_C9JIF9_APEH.pdf")</f>
        <v>Melting_Curves/meltCurve_C9JIF9_APEH.pdf</v>
      </c>
    </row>
    <row r="326" spans="1:28" x14ac:dyDescent="0.25">
      <c r="A326" t="s">
        <v>330</v>
      </c>
      <c r="B326">
        <v>0.99673306730245903</v>
      </c>
      <c r="C326">
        <v>0.89505013984637904</v>
      </c>
      <c r="D326">
        <v>0.93034673704221205</v>
      </c>
      <c r="E326">
        <v>0.88563849092937896</v>
      </c>
      <c r="F326">
        <v>0.646781234137071</v>
      </c>
      <c r="G326">
        <v>0.55763438036928104</v>
      </c>
      <c r="H326">
        <v>0.45001626104921399</v>
      </c>
      <c r="I326">
        <v>0.33603848434079903</v>
      </c>
      <c r="J326">
        <v>0.240321589184189</v>
      </c>
      <c r="K326">
        <v>0.20087045076969801</v>
      </c>
      <c r="L326">
        <v>496.85615434102698</v>
      </c>
      <c r="M326">
        <v>8.4793596219432601</v>
      </c>
      <c r="N326">
        <v>58.595952582410199</v>
      </c>
      <c r="O326">
        <v>55.6093443947669</v>
      </c>
      <c r="P326">
        <v>-3.8154873190994601E-2</v>
      </c>
      <c r="Q326">
        <v>0</v>
      </c>
      <c r="R326">
        <v>0.98468066656717101</v>
      </c>
      <c r="S326" t="s">
        <v>6778</v>
      </c>
      <c r="T326" t="s">
        <v>12902</v>
      </c>
      <c r="U326" t="s">
        <v>12902</v>
      </c>
      <c r="V326" t="s">
        <v>12902</v>
      </c>
      <c r="W326" t="s">
        <v>13224</v>
      </c>
      <c r="X326">
        <v>2</v>
      </c>
      <c r="Y326" t="s">
        <v>19619</v>
      </c>
      <c r="Z326" t="s">
        <v>25901</v>
      </c>
      <c r="AA326">
        <v>0.62050486290001283</v>
      </c>
      <c r="AB326" t="str">
        <f>HYPERLINK("Melting_Curves/meltCurve_C9JJU1_SLC38A5.pdf", "Melting_Curves/meltCurve_C9JJU1_SLC38A5.pdf")</f>
        <v>Melting_Curves/meltCurve_C9JJU1_SLC38A5.pdf</v>
      </c>
    </row>
    <row r="327" spans="1:28" x14ac:dyDescent="0.25">
      <c r="A327" t="s">
        <v>331</v>
      </c>
      <c r="B327">
        <v>0.99673306730245903</v>
      </c>
      <c r="C327">
        <v>0.93469491982429997</v>
      </c>
      <c r="D327">
        <v>0.84456153692690705</v>
      </c>
      <c r="E327">
        <v>0.69507451583338198</v>
      </c>
      <c r="F327">
        <v>0.47753155129734198</v>
      </c>
      <c r="G327">
        <v>0.35395891977896099</v>
      </c>
      <c r="H327">
        <v>0.27799620646428402</v>
      </c>
      <c r="I327">
        <v>0.261518644294434</v>
      </c>
      <c r="J327">
        <v>0.19767959338364899</v>
      </c>
      <c r="K327">
        <v>0.137000909375317</v>
      </c>
      <c r="L327">
        <v>629.196080699258</v>
      </c>
      <c r="M327">
        <v>12.160726869143501</v>
      </c>
      <c r="N327">
        <v>53.227186287286997</v>
      </c>
      <c r="O327">
        <v>50.400500286220598</v>
      </c>
      <c r="P327">
        <v>-5.1644094864810898E-2</v>
      </c>
      <c r="Q327">
        <v>0.144033779596342</v>
      </c>
      <c r="R327">
        <v>0.99484994442657704</v>
      </c>
      <c r="S327" t="s">
        <v>6779</v>
      </c>
      <c r="T327" t="s">
        <v>12902</v>
      </c>
      <c r="U327" t="s">
        <v>12902</v>
      </c>
      <c r="V327" t="s">
        <v>12902</v>
      </c>
      <c r="W327" t="s">
        <v>13225</v>
      </c>
      <c r="X327">
        <v>19</v>
      </c>
      <c r="Y327" t="s">
        <v>19620</v>
      </c>
      <c r="Z327" t="s">
        <v>25902</v>
      </c>
      <c r="AA327">
        <v>0.50518371956349906</v>
      </c>
      <c r="AB327" t="str">
        <f>HYPERLINK("Melting_Curves/meltCurve_C9JK10_ITGA6.pdf", "Melting_Curves/meltCurve_C9JK10_ITGA6.pdf")</f>
        <v>Melting_Curves/meltCurve_C9JK10_ITGA6.pdf</v>
      </c>
    </row>
    <row r="328" spans="1:28" x14ac:dyDescent="0.25">
      <c r="A328" t="s">
        <v>332</v>
      </c>
      <c r="B328">
        <v>0.99673306730245903</v>
      </c>
      <c r="C328">
        <v>0.98472218877595197</v>
      </c>
      <c r="D328">
        <v>0.88911488087727097</v>
      </c>
      <c r="E328">
        <v>0.66656012703234002</v>
      </c>
      <c r="F328">
        <v>0.47063679945936199</v>
      </c>
      <c r="G328">
        <v>0.31742672267940703</v>
      </c>
      <c r="H328">
        <v>0.19589532135718099</v>
      </c>
      <c r="I328">
        <v>0.192942581980905</v>
      </c>
      <c r="J328">
        <v>0.16780257763044901</v>
      </c>
      <c r="K328">
        <v>0.17675700686347001</v>
      </c>
      <c r="L328">
        <v>818.69022465977696</v>
      </c>
      <c r="M328">
        <v>15.9681462292617</v>
      </c>
      <c r="N328">
        <v>52.4907469339065</v>
      </c>
      <c r="O328">
        <v>50.4863301635664</v>
      </c>
      <c r="P328">
        <v>-6.6814425851095802E-2</v>
      </c>
      <c r="Q328">
        <v>0.155080756388361</v>
      </c>
      <c r="R328">
        <v>0.998139727855201</v>
      </c>
      <c r="S328" t="s">
        <v>6780</v>
      </c>
      <c r="T328" t="s">
        <v>12902</v>
      </c>
      <c r="U328" t="s">
        <v>12902</v>
      </c>
      <c r="V328" t="s">
        <v>12902</v>
      </c>
      <c r="W328" t="s">
        <v>13226</v>
      </c>
      <c r="X328">
        <v>4</v>
      </c>
      <c r="Y328" t="s">
        <v>19621</v>
      </c>
      <c r="Z328" t="s">
        <v>25903</v>
      </c>
      <c r="AA328">
        <v>0.48995176530934192</v>
      </c>
      <c r="AB328" t="str">
        <f>HYPERLINK("Melting_Curves/meltCurve_C9JLU1_POLR2H.pdf", "Melting_Curves/meltCurve_C9JLU1_POLR2H.pdf")</f>
        <v>Melting_Curves/meltCurve_C9JLU1_POLR2H.pdf</v>
      </c>
    </row>
    <row r="329" spans="1:28" x14ac:dyDescent="0.25">
      <c r="A329" t="s">
        <v>333</v>
      </c>
      <c r="B329">
        <v>0.99673306730245903</v>
      </c>
      <c r="C329">
        <v>0.99150111754838699</v>
      </c>
      <c r="D329">
        <v>1.0346209265003701</v>
      </c>
      <c r="E329">
        <v>0.90551831786287895</v>
      </c>
      <c r="F329">
        <v>0.88109016358927805</v>
      </c>
      <c r="G329">
        <v>0.31777753850148799</v>
      </c>
      <c r="H329">
        <v>0.24804029045974199</v>
      </c>
      <c r="I329">
        <v>0.28669072050957201</v>
      </c>
      <c r="J329">
        <v>0.508912798388233</v>
      </c>
      <c r="K329">
        <v>0.32813603362446497</v>
      </c>
      <c r="L329">
        <v>13380.8146411445</v>
      </c>
      <c r="M329">
        <v>250</v>
      </c>
      <c r="N329">
        <v>53.765524863719001</v>
      </c>
      <c r="O329">
        <v>53.519833416728197</v>
      </c>
      <c r="P329">
        <v>-0.77318134865493604</v>
      </c>
      <c r="Q329">
        <v>0.33791140890405003</v>
      </c>
      <c r="R329">
        <v>0.95086764654533096</v>
      </c>
      <c r="S329" t="s">
        <v>6781</v>
      </c>
      <c r="T329" t="s">
        <v>12902</v>
      </c>
      <c r="U329" t="s">
        <v>12902</v>
      </c>
      <c r="V329" t="s">
        <v>12902</v>
      </c>
      <c r="W329" t="s">
        <v>13227</v>
      </c>
      <c r="X329">
        <v>4</v>
      </c>
      <c r="Y329" t="s">
        <v>19622</v>
      </c>
      <c r="Z329" t="s">
        <v>25904</v>
      </c>
      <c r="AA329">
        <v>0.63642677419947091</v>
      </c>
      <c r="AB329" t="str">
        <f>HYPERLINK("Melting_Curves/meltCurve_C9JM82_SEPT5.pdf", "Melting_Curves/meltCurve_C9JM82_SEPT5.pdf")</f>
        <v>Melting_Curves/meltCurve_C9JM82_SEPT5.pdf</v>
      </c>
    </row>
    <row r="330" spans="1:28" x14ac:dyDescent="0.25">
      <c r="A330" t="s">
        <v>334</v>
      </c>
      <c r="B330">
        <v>0.99673306730245903</v>
      </c>
      <c r="C330">
        <v>0.91045210496149898</v>
      </c>
      <c r="D330">
        <v>0.67491034541164496</v>
      </c>
      <c r="E330">
        <v>0.45568196341141198</v>
      </c>
      <c r="F330">
        <v>0.18563787576135299</v>
      </c>
      <c r="G330">
        <v>0.114858713087771</v>
      </c>
      <c r="H330">
        <v>9.0014965048847498E-2</v>
      </c>
      <c r="I330">
        <v>6.9824813037539193E-2</v>
      </c>
      <c r="J330">
        <v>9.5506108289899805E-2</v>
      </c>
      <c r="K330">
        <v>5.5098176226994602E-2</v>
      </c>
      <c r="L330">
        <v>836.76608294279299</v>
      </c>
      <c r="M330">
        <v>17.384099382783301</v>
      </c>
      <c r="N330">
        <v>48.504616647901798</v>
      </c>
      <c r="O330">
        <v>47.510600406115799</v>
      </c>
      <c r="P330">
        <v>-8.5790854940430497E-2</v>
      </c>
      <c r="Q330">
        <v>6.2190327525392497E-2</v>
      </c>
      <c r="R330">
        <v>0.995594997934385</v>
      </c>
      <c r="S330" t="s">
        <v>6782</v>
      </c>
      <c r="T330" t="s">
        <v>12902</v>
      </c>
      <c r="U330" t="s">
        <v>12902</v>
      </c>
      <c r="V330" t="s">
        <v>12902</v>
      </c>
      <c r="W330" t="s">
        <v>13228</v>
      </c>
      <c r="X330">
        <v>3</v>
      </c>
      <c r="Y330" t="s">
        <v>19623</v>
      </c>
      <c r="Z330" t="s">
        <v>25905</v>
      </c>
      <c r="AA330">
        <v>0.3342728043192611</v>
      </c>
      <c r="AB330" t="str">
        <f>HYPERLINK("Melting_Curves/meltCurve_C9JME2_FARP1.pdf", "Melting_Curves/meltCurve_C9JME2_FARP1.pdf")</f>
        <v>Melting_Curves/meltCurve_C9JME2_FARP1.pdf</v>
      </c>
    </row>
    <row r="331" spans="1:28" x14ac:dyDescent="0.25">
      <c r="A331" t="s">
        <v>335</v>
      </c>
      <c r="B331">
        <v>0.99673306730245903</v>
      </c>
      <c r="C331">
        <v>0.87506170136832195</v>
      </c>
      <c r="D331">
        <v>0.66638888590719803</v>
      </c>
      <c r="E331">
        <v>0.38287810787389498</v>
      </c>
      <c r="F331">
        <v>0.15742549482397</v>
      </c>
      <c r="G331">
        <v>0.101458904069461</v>
      </c>
      <c r="H331">
        <v>7.3617176775735899E-2</v>
      </c>
      <c r="I331">
        <v>7.2352226955785304E-2</v>
      </c>
      <c r="J331">
        <v>8.3857405903914897E-2</v>
      </c>
      <c r="K331">
        <v>7.9002312973317806E-2</v>
      </c>
      <c r="L331">
        <v>887.211625324789</v>
      </c>
      <c r="M331">
        <v>18.669313436361598</v>
      </c>
      <c r="N331">
        <v>47.889084467846502</v>
      </c>
      <c r="O331">
        <v>46.987304129239298</v>
      </c>
      <c r="P331">
        <v>-9.2721018013954701E-2</v>
      </c>
      <c r="Q331">
        <v>6.6591867540112107E-2</v>
      </c>
      <c r="R331">
        <v>0.99812902898665601</v>
      </c>
      <c r="S331" t="s">
        <v>6783</v>
      </c>
      <c r="T331" t="s">
        <v>12902</v>
      </c>
      <c r="U331" t="s">
        <v>12902</v>
      </c>
      <c r="V331" t="s">
        <v>12902</v>
      </c>
      <c r="W331" t="s">
        <v>13229</v>
      </c>
      <c r="X331">
        <v>8</v>
      </c>
      <c r="Y331" t="s">
        <v>19624</v>
      </c>
      <c r="Z331" t="s">
        <v>25906</v>
      </c>
      <c r="AA331">
        <v>0.3162115912513207</v>
      </c>
      <c r="AB331" t="str">
        <f>HYPERLINK("Melting_Curves/meltCurve_C9JNE2_OARD1.pdf", "Melting_Curves/meltCurve_C9JNE2_OARD1.pdf")</f>
        <v>Melting_Curves/meltCurve_C9JNE2_OARD1.pdf</v>
      </c>
    </row>
    <row r="332" spans="1:28" x14ac:dyDescent="0.25">
      <c r="A332" t="s">
        <v>336</v>
      </c>
      <c r="B332">
        <v>0.99673306730245903</v>
      </c>
      <c r="C332">
        <v>0.98862086718143205</v>
      </c>
      <c r="D332">
        <v>0.98336804676896605</v>
      </c>
      <c r="E332">
        <v>0.73812299145165206</v>
      </c>
      <c r="F332">
        <v>0.38056541328897198</v>
      </c>
      <c r="G332">
        <v>0.20336452717318801</v>
      </c>
      <c r="H332">
        <v>0.10430724286845</v>
      </c>
      <c r="I332">
        <v>7.6955808891509506E-2</v>
      </c>
      <c r="J332">
        <v>8.79322299430009E-2</v>
      </c>
      <c r="K332">
        <v>9.0534657828170606E-2</v>
      </c>
      <c r="L332">
        <v>1220.7069714567499</v>
      </c>
      <c r="M332">
        <v>23.644983637240301</v>
      </c>
      <c r="N332">
        <v>52.030538910087003</v>
      </c>
      <c r="O332">
        <v>51.261446882144597</v>
      </c>
      <c r="P332">
        <v>-0.105644577513146</v>
      </c>
      <c r="Q332">
        <v>8.3881254305959593E-2</v>
      </c>
      <c r="R332">
        <v>0.99866551935137804</v>
      </c>
      <c r="S332" t="s">
        <v>6784</v>
      </c>
      <c r="T332" t="s">
        <v>12902</v>
      </c>
      <c r="U332" t="s">
        <v>12902</v>
      </c>
      <c r="V332" t="s">
        <v>12902</v>
      </c>
      <c r="W332" t="s">
        <v>13230</v>
      </c>
      <c r="X332">
        <v>14</v>
      </c>
      <c r="Y332" t="s">
        <v>19625</v>
      </c>
      <c r="Z332" t="s">
        <v>25907</v>
      </c>
      <c r="AA332">
        <v>0.44819979158283457</v>
      </c>
      <c r="AB332" t="str">
        <f>HYPERLINK("Melting_Curves/meltCurve_C9JP00_MBNL1.pdf", "Melting_Curves/meltCurve_C9JP00_MBNL1.pdf")</f>
        <v>Melting_Curves/meltCurve_C9JP00_MBNL1.pdf</v>
      </c>
    </row>
    <row r="333" spans="1:28" x14ac:dyDescent="0.25">
      <c r="A333" t="s">
        <v>337</v>
      </c>
      <c r="B333">
        <v>0.99673306730245903</v>
      </c>
      <c r="C333">
        <v>0.91633370076996001</v>
      </c>
      <c r="D333">
        <v>0.70524336880309602</v>
      </c>
      <c r="E333">
        <v>0.56821088857976998</v>
      </c>
      <c r="F333">
        <v>0.23602593340795</v>
      </c>
      <c r="G333">
        <v>0.156708933070179</v>
      </c>
      <c r="H333">
        <v>0.102355707626978</v>
      </c>
      <c r="I333">
        <v>0.109184554260702</v>
      </c>
      <c r="J333">
        <v>0.12276061043450701</v>
      </c>
      <c r="K333">
        <v>0.113715139054336</v>
      </c>
      <c r="L333">
        <v>801.73482534345601</v>
      </c>
      <c r="M333">
        <v>16.4021989891164</v>
      </c>
      <c r="N333">
        <v>49.474219247657402</v>
      </c>
      <c r="O333">
        <v>48.170476505897497</v>
      </c>
      <c r="P333">
        <v>-7.7517309672227405E-2</v>
      </c>
      <c r="Q333">
        <v>8.9444010208237501E-2</v>
      </c>
      <c r="R333">
        <v>0.98890198583627198</v>
      </c>
      <c r="S333" t="s">
        <v>6785</v>
      </c>
      <c r="T333" t="s">
        <v>12902</v>
      </c>
      <c r="U333" t="s">
        <v>12902</v>
      </c>
      <c r="V333" t="s">
        <v>12902</v>
      </c>
      <c r="W333" t="s">
        <v>13231</v>
      </c>
      <c r="X333">
        <v>2</v>
      </c>
      <c r="Y333" t="s">
        <v>19626</v>
      </c>
      <c r="Z333" t="s">
        <v>25908</v>
      </c>
      <c r="AA333">
        <v>0.37796607199280702</v>
      </c>
      <c r="AB333" t="str">
        <f>HYPERLINK("Melting_Curves/meltCurve_C9JPP2_NKIRAS2.pdf", "Melting_Curves/meltCurve_C9JPP2_NKIRAS2.pdf")</f>
        <v>Melting_Curves/meltCurve_C9JPP2_NKIRAS2.pdf</v>
      </c>
    </row>
    <row r="334" spans="1:28" x14ac:dyDescent="0.25">
      <c r="A334" t="s">
        <v>338</v>
      </c>
      <c r="B334">
        <v>0.99673306730245903</v>
      </c>
      <c r="C334">
        <v>1.03773046153869</v>
      </c>
      <c r="D334">
        <v>1.0419421576749199</v>
      </c>
      <c r="E334">
        <v>0.94487052130535898</v>
      </c>
      <c r="F334">
        <v>0.89745756718167402</v>
      </c>
      <c r="G334">
        <v>0.671929404116276</v>
      </c>
      <c r="H334">
        <v>0.49869657218205699</v>
      </c>
      <c r="I334">
        <v>0.57702699485636899</v>
      </c>
      <c r="J334">
        <v>0.65077133162023304</v>
      </c>
      <c r="K334">
        <v>0.43613637572661501</v>
      </c>
      <c r="L334">
        <v>1848.01590120725</v>
      </c>
      <c r="M334">
        <v>33.529114311526001</v>
      </c>
      <c r="O334">
        <v>54.921798053968701</v>
      </c>
      <c r="P334">
        <v>-7.0719209244208894E-2</v>
      </c>
      <c r="Q334">
        <v>0.53664032649305005</v>
      </c>
      <c r="R334">
        <v>0.93294116446463105</v>
      </c>
      <c r="S334" t="s">
        <v>6786</v>
      </c>
      <c r="T334" t="s">
        <v>12902</v>
      </c>
      <c r="U334" t="s">
        <v>12902</v>
      </c>
      <c r="V334" t="s">
        <v>12902</v>
      </c>
      <c r="W334" t="s">
        <v>13232</v>
      </c>
      <c r="X334">
        <v>13</v>
      </c>
      <c r="Y334" t="s">
        <v>19627</v>
      </c>
      <c r="Z334" t="s">
        <v>25909</v>
      </c>
      <c r="AA334">
        <v>0.77261060140930682</v>
      </c>
      <c r="AB334" t="str">
        <f>HYPERLINK("Melting_Curves/meltCurve_C9JQ41_CCDC58.pdf", "Melting_Curves/meltCurve_C9JQ41_CCDC58.pdf")</f>
        <v>Melting_Curves/meltCurve_C9JQ41_CCDC58.pdf</v>
      </c>
    </row>
    <row r="335" spans="1:28" x14ac:dyDescent="0.25">
      <c r="A335" t="s">
        <v>339</v>
      </c>
      <c r="B335">
        <v>0.99673306730245903</v>
      </c>
      <c r="C335">
        <v>1.03884253378924</v>
      </c>
      <c r="D335">
        <v>0.99779669585838904</v>
      </c>
      <c r="E335">
        <v>1.0246608674597899</v>
      </c>
      <c r="F335">
        <v>0.95480243806033205</v>
      </c>
      <c r="G335">
        <v>0.82493094024015201</v>
      </c>
      <c r="H335">
        <v>0.69247416361961001</v>
      </c>
      <c r="I335">
        <v>0.83677869533231297</v>
      </c>
      <c r="J335">
        <v>0.39565176334879598</v>
      </c>
      <c r="K335">
        <v>0.13456362386331699</v>
      </c>
      <c r="L335">
        <v>1264.7006063461399</v>
      </c>
      <c r="M335">
        <v>19.219438330706499</v>
      </c>
      <c r="N335">
        <v>65.803199373950406</v>
      </c>
      <c r="O335">
        <v>65.103238717916298</v>
      </c>
      <c r="P335">
        <v>-7.3806510833902203E-2</v>
      </c>
      <c r="Q335">
        <v>0</v>
      </c>
      <c r="R335">
        <v>0.88869290575188198</v>
      </c>
      <c r="S335" t="s">
        <v>6787</v>
      </c>
      <c r="T335" t="s">
        <v>12902</v>
      </c>
      <c r="U335" t="s">
        <v>12902</v>
      </c>
      <c r="V335" t="s">
        <v>12902</v>
      </c>
      <c r="W335" t="s">
        <v>13233</v>
      </c>
      <c r="X335">
        <v>4</v>
      </c>
      <c r="Y335" t="s">
        <v>19628</v>
      </c>
      <c r="Z335" t="s">
        <v>25910</v>
      </c>
      <c r="AA335">
        <v>0.83983241679122334</v>
      </c>
      <c r="AB335" t="str">
        <f>HYPERLINK("Melting_Curves/meltCurve_C9JQB1_NME6.pdf", "Melting_Curves/meltCurve_C9JQB1_NME6.pdf")</f>
        <v>Melting_Curves/meltCurve_C9JQB1_NME6.pdf</v>
      </c>
    </row>
    <row r="336" spans="1:28" x14ac:dyDescent="0.25">
      <c r="A336" t="s">
        <v>340</v>
      </c>
      <c r="B336">
        <v>0.99673306730245903</v>
      </c>
      <c r="C336">
        <v>0.96284804601165097</v>
      </c>
      <c r="D336">
        <v>0.99556298544083799</v>
      </c>
      <c r="E336">
        <v>0.72354507873118701</v>
      </c>
      <c r="F336">
        <v>0.309536528291595</v>
      </c>
      <c r="G336">
        <v>0.17824198919721801</v>
      </c>
      <c r="H336">
        <v>9.7317609020871498E-2</v>
      </c>
      <c r="I336">
        <v>9.1773148913606398E-2</v>
      </c>
      <c r="J336">
        <v>9.7258518590707499E-2</v>
      </c>
      <c r="K336">
        <v>8.1879359932212001E-2</v>
      </c>
      <c r="L336">
        <v>1436.88397531032</v>
      </c>
      <c r="M336">
        <v>28.118787068581302</v>
      </c>
      <c r="N336">
        <v>51.483341431359499</v>
      </c>
      <c r="O336">
        <v>50.844136548465897</v>
      </c>
      <c r="P336">
        <v>-0.12521698264053399</v>
      </c>
      <c r="Q336">
        <v>9.4342772039182302E-2</v>
      </c>
      <c r="R336">
        <v>0.99759271873323896</v>
      </c>
      <c r="S336" t="s">
        <v>6788</v>
      </c>
      <c r="T336" t="s">
        <v>12902</v>
      </c>
      <c r="U336" t="s">
        <v>12902</v>
      </c>
      <c r="V336" t="s">
        <v>12902</v>
      </c>
      <c r="W336" t="s">
        <v>13234</v>
      </c>
      <c r="X336">
        <v>7</v>
      </c>
      <c r="Y336" t="s">
        <v>19629</v>
      </c>
      <c r="Z336" t="s">
        <v>25911</v>
      </c>
      <c r="AA336">
        <v>0.43594177699212239</v>
      </c>
      <c r="AB336" t="str">
        <f>HYPERLINK("Melting_Curves/meltCurve_C9JQD4_PPIH.pdf", "Melting_Curves/meltCurve_C9JQD4_PPIH.pdf")</f>
        <v>Melting_Curves/meltCurve_C9JQD4_PPIH.pdf</v>
      </c>
    </row>
    <row r="337" spans="1:28" x14ac:dyDescent="0.25">
      <c r="A337" t="s">
        <v>341</v>
      </c>
      <c r="B337">
        <v>0.99673306730245903</v>
      </c>
      <c r="C337">
        <v>1.0628729814078399</v>
      </c>
      <c r="D337">
        <v>0.737066835999448</v>
      </c>
      <c r="E337">
        <v>3.7806715203975099</v>
      </c>
      <c r="F337">
        <v>0.27939201459471102</v>
      </c>
      <c r="G337">
        <v>0.241369362325281</v>
      </c>
      <c r="H337">
        <v>0.202577961018714</v>
      </c>
      <c r="I337">
        <v>0.292682183593238</v>
      </c>
      <c r="J337">
        <v>0.47609515134802</v>
      </c>
      <c r="K337">
        <v>0.51336266132233499</v>
      </c>
      <c r="L337">
        <v>12936.570754133199</v>
      </c>
      <c r="M337">
        <v>250</v>
      </c>
      <c r="N337">
        <v>51.975703998691003</v>
      </c>
      <c r="O337">
        <v>51.742973759122599</v>
      </c>
      <c r="P337">
        <v>-0.80428055067122906</v>
      </c>
      <c r="Q337">
        <v>0.334146149723762</v>
      </c>
      <c r="R337">
        <v>0.23760066011153599</v>
      </c>
      <c r="S337" t="s">
        <v>6789</v>
      </c>
      <c r="T337" t="s">
        <v>12902</v>
      </c>
      <c r="U337" t="s">
        <v>12902</v>
      </c>
      <c r="V337" t="s">
        <v>12902</v>
      </c>
      <c r="W337" t="s">
        <v>13235</v>
      </c>
      <c r="X337">
        <v>5</v>
      </c>
      <c r="Y337" t="s">
        <v>19630</v>
      </c>
      <c r="Z337" t="s">
        <v>25912</v>
      </c>
      <c r="AA337">
        <v>0.5949168776227064</v>
      </c>
      <c r="AB337" t="str">
        <f>HYPERLINK("Melting_Curves/meltCurve_C9JQV3_STK11IP.pdf", "Melting_Curves/meltCurve_C9JQV3_STK11IP.pdf")</f>
        <v>Melting_Curves/meltCurve_C9JQV3_STK11IP.pdf</v>
      </c>
    </row>
    <row r="338" spans="1:28" x14ac:dyDescent="0.25">
      <c r="A338" t="s">
        <v>342</v>
      </c>
      <c r="B338">
        <v>0.99673306730245903</v>
      </c>
      <c r="C338">
        <v>0.84581317458503102</v>
      </c>
      <c r="D338">
        <v>0.68933095893357799</v>
      </c>
      <c r="E338">
        <v>0.417516921765758</v>
      </c>
      <c r="F338">
        <v>0.37214347002161502</v>
      </c>
      <c r="G338">
        <v>0.184903384316978</v>
      </c>
      <c r="H338">
        <v>9.8296872070286104E-2</v>
      </c>
      <c r="I338">
        <v>7.0291457825430295E-2</v>
      </c>
      <c r="J338">
        <v>8.8399088264044995E-2</v>
      </c>
      <c r="K338">
        <v>2.9596750044964999E-2</v>
      </c>
      <c r="L338">
        <v>583.05698981483295</v>
      </c>
      <c r="M338">
        <v>11.8927533479168</v>
      </c>
      <c r="N338">
        <v>49.235735441478703</v>
      </c>
      <c r="O338">
        <v>47.7017271172584</v>
      </c>
      <c r="P338">
        <v>-6.0805990673806397E-2</v>
      </c>
      <c r="Q338">
        <v>2.4674298855001098E-2</v>
      </c>
      <c r="R338">
        <v>0.98746944402869796</v>
      </c>
      <c r="S338" t="s">
        <v>6790</v>
      </c>
      <c r="T338" t="s">
        <v>12902</v>
      </c>
      <c r="U338" t="s">
        <v>12902</v>
      </c>
      <c r="V338" t="s">
        <v>12902</v>
      </c>
      <c r="W338" t="s">
        <v>13236</v>
      </c>
      <c r="X338">
        <v>1</v>
      </c>
      <c r="Y338" t="s">
        <v>19631</v>
      </c>
      <c r="Z338" t="s">
        <v>25913</v>
      </c>
      <c r="AA338">
        <v>0.35443884210446541</v>
      </c>
      <c r="AB338" t="str">
        <f>HYPERLINK("Melting_Curves/meltCurve_C9JR56_SATB2.pdf", "Melting_Curves/meltCurve_C9JR56_SATB2.pdf")</f>
        <v>Melting_Curves/meltCurve_C9JR56_SATB2.pdf</v>
      </c>
    </row>
    <row r="339" spans="1:28" x14ac:dyDescent="0.25">
      <c r="A339" t="s">
        <v>343</v>
      </c>
      <c r="B339">
        <v>0.99673306730245903</v>
      </c>
      <c r="C339">
        <v>0.91242704635751304</v>
      </c>
      <c r="D339">
        <v>0.80694694389855504</v>
      </c>
      <c r="E339">
        <v>0.62225502956583501</v>
      </c>
      <c r="F339">
        <v>0.23597176358541799</v>
      </c>
      <c r="G339">
        <v>0.125288502801566</v>
      </c>
      <c r="H339">
        <v>7.0533979088148999E-2</v>
      </c>
      <c r="I339">
        <v>6.0325304248475202E-2</v>
      </c>
      <c r="J339">
        <v>4.6830505792933602E-2</v>
      </c>
      <c r="K339">
        <v>3.3691615768838397E-2</v>
      </c>
      <c r="L339">
        <v>901.20767116229695</v>
      </c>
      <c r="M339">
        <v>17.9819406048701</v>
      </c>
      <c r="N339">
        <v>50.284334093702903</v>
      </c>
      <c r="O339">
        <v>49.509888918648102</v>
      </c>
      <c r="P339">
        <v>-8.8172838373261606E-2</v>
      </c>
      <c r="Q339">
        <v>2.8978911104026402E-2</v>
      </c>
      <c r="R339">
        <v>0.99355279031018595</v>
      </c>
      <c r="S339" t="s">
        <v>6791</v>
      </c>
      <c r="T339" t="s">
        <v>12902</v>
      </c>
      <c r="U339" t="s">
        <v>12902</v>
      </c>
      <c r="V339" t="s">
        <v>12902</v>
      </c>
      <c r="W339" t="s">
        <v>13237</v>
      </c>
      <c r="X339">
        <v>2</v>
      </c>
      <c r="Y339" t="s">
        <v>19632</v>
      </c>
      <c r="Z339" t="s">
        <v>25914</v>
      </c>
      <c r="AA339">
        <v>0.37301744003953963</v>
      </c>
      <c r="AB339" t="str">
        <f>HYPERLINK("Melting_Curves/meltCurve_C9JRY4_SEC22A.pdf", "Melting_Curves/meltCurve_C9JRY4_SEC22A.pdf")</f>
        <v>Melting_Curves/meltCurve_C9JRY4_SEC22A.pdf</v>
      </c>
    </row>
    <row r="340" spans="1:28" x14ac:dyDescent="0.25">
      <c r="A340" t="s">
        <v>344</v>
      </c>
      <c r="B340">
        <v>0.99673306730245903</v>
      </c>
      <c r="C340">
        <v>1.00752469241649</v>
      </c>
      <c r="D340">
        <v>1.0048397146282499</v>
      </c>
      <c r="E340">
        <v>0.92452838357994305</v>
      </c>
      <c r="F340">
        <v>0.65548271293893801</v>
      </c>
      <c r="G340">
        <v>0.52561314627731803</v>
      </c>
      <c r="H340">
        <v>0.50298190035114099</v>
      </c>
      <c r="I340">
        <v>0.86478293704254405</v>
      </c>
      <c r="J340">
        <v>1.3530186201627199</v>
      </c>
      <c r="K340">
        <v>1.6310489534319901</v>
      </c>
      <c r="L340">
        <v>15000</v>
      </c>
      <c r="M340">
        <v>224.423101465249</v>
      </c>
      <c r="O340">
        <v>66.832731454054894</v>
      </c>
      <c r="P340">
        <v>0.41974773637832902</v>
      </c>
      <c r="Q340">
        <v>1.5</v>
      </c>
      <c r="R340">
        <v>0.43021461473287198</v>
      </c>
      <c r="S340" t="s">
        <v>6792</v>
      </c>
      <c r="T340" t="s">
        <v>12902</v>
      </c>
      <c r="U340" t="s">
        <v>12902</v>
      </c>
      <c r="V340" t="s">
        <v>12902</v>
      </c>
      <c r="W340" t="s">
        <v>13238</v>
      </c>
      <c r="X340">
        <v>9</v>
      </c>
      <c r="Y340" t="s">
        <v>19633</v>
      </c>
      <c r="Z340" t="s">
        <v>25915</v>
      </c>
      <c r="AA340">
        <v>1.0526267842450621</v>
      </c>
      <c r="AB340" t="str">
        <f>HYPERLINK("Melting_Curves/meltCurve_C9JRZ6_CHCHD3.pdf", "Melting_Curves/meltCurve_C9JRZ6_CHCHD3.pdf")</f>
        <v>Melting_Curves/meltCurve_C9JRZ6_CHCHD3.pdf</v>
      </c>
    </row>
    <row r="341" spans="1:28" x14ac:dyDescent="0.25">
      <c r="A341" t="s">
        <v>345</v>
      </c>
      <c r="B341">
        <v>0.99673306730245903</v>
      </c>
      <c r="C341">
        <v>0.90448808973303996</v>
      </c>
      <c r="D341">
        <v>1.1011508475078999</v>
      </c>
      <c r="E341">
        <v>0.81887251523131499</v>
      </c>
      <c r="F341">
        <v>0.69431526247217601</v>
      </c>
      <c r="G341">
        <v>0.56873100901640505</v>
      </c>
      <c r="H341">
        <v>0.51178402681439095</v>
      </c>
      <c r="I341">
        <v>0.48808602686431901</v>
      </c>
      <c r="J341">
        <v>0.268156728095724</v>
      </c>
      <c r="K341">
        <v>0.26843244001538002</v>
      </c>
      <c r="L341">
        <v>550.041607901406</v>
      </c>
      <c r="M341">
        <v>9.5025358526897108</v>
      </c>
      <c r="N341">
        <v>60.071702283235602</v>
      </c>
      <c r="O341">
        <v>55.494098981130399</v>
      </c>
      <c r="P341">
        <v>-3.6568061363073799E-2</v>
      </c>
      <c r="Q341">
        <v>0.146285493271363</v>
      </c>
      <c r="R341">
        <v>0.93083191428692302</v>
      </c>
      <c r="S341" t="s">
        <v>6793</v>
      </c>
      <c r="T341" t="s">
        <v>12902</v>
      </c>
      <c r="U341" t="s">
        <v>12902</v>
      </c>
      <c r="V341" t="s">
        <v>12902</v>
      </c>
      <c r="W341" t="s">
        <v>13239</v>
      </c>
      <c r="X341">
        <v>1</v>
      </c>
      <c r="Y341" t="s">
        <v>19634</v>
      </c>
      <c r="Z341" t="s">
        <v>25916</v>
      </c>
      <c r="AA341">
        <v>0.66333770197647213</v>
      </c>
      <c r="AB341" t="str">
        <f>HYPERLINK("Melting_Curves/meltCurve_C9JSZ2_SLC46A1.pdf", "Melting_Curves/meltCurve_C9JSZ2_SLC46A1.pdf")</f>
        <v>Melting_Curves/meltCurve_C9JSZ2_SLC46A1.pdf</v>
      </c>
    </row>
    <row r="342" spans="1:28" x14ac:dyDescent="0.25">
      <c r="A342" t="s">
        <v>346</v>
      </c>
      <c r="B342">
        <v>0.99673306730245903</v>
      </c>
      <c r="C342">
        <v>0.95171014139487597</v>
      </c>
      <c r="D342">
        <v>0.79727644157078703</v>
      </c>
      <c r="E342">
        <v>0.61844909072443899</v>
      </c>
      <c r="F342">
        <v>0.59938239668208604</v>
      </c>
      <c r="G342">
        <v>0.50124478240923798</v>
      </c>
      <c r="H342">
        <v>0.24349218364280101</v>
      </c>
      <c r="I342">
        <v>0.244959351842615</v>
      </c>
      <c r="J342">
        <v>0.269841319127261</v>
      </c>
      <c r="K342">
        <v>0.249575985521444</v>
      </c>
      <c r="L342">
        <v>516.20587684375801</v>
      </c>
      <c r="M342">
        <v>9.8811939243250002</v>
      </c>
      <c r="N342">
        <v>54.410742868187299</v>
      </c>
      <c r="O342">
        <v>50.236572576999201</v>
      </c>
      <c r="P342">
        <v>-4.1187917645296897E-2</v>
      </c>
      <c r="Q342">
        <v>0.162819047096153</v>
      </c>
      <c r="R342">
        <v>0.96519734166336502</v>
      </c>
      <c r="S342" t="s">
        <v>6794</v>
      </c>
      <c r="T342" t="s">
        <v>12902</v>
      </c>
      <c r="U342" t="s">
        <v>12902</v>
      </c>
      <c r="V342" t="s">
        <v>12902</v>
      </c>
      <c r="W342" t="s">
        <v>13240</v>
      </c>
      <c r="X342">
        <v>2</v>
      </c>
      <c r="Y342" t="s">
        <v>19635</v>
      </c>
      <c r="Z342" t="s">
        <v>25917</v>
      </c>
      <c r="AA342">
        <v>0.5358499016199475</v>
      </c>
      <c r="AB342" t="str">
        <f>HYPERLINK("Melting_Curves/meltCurve_C9JVP0_FOXJ3.pdf", "Melting_Curves/meltCurve_C9JVP0_FOXJ3.pdf")</f>
        <v>Melting_Curves/meltCurve_C9JVP0_FOXJ3.pdf</v>
      </c>
    </row>
    <row r="343" spans="1:28" x14ac:dyDescent="0.25">
      <c r="A343" t="s">
        <v>347</v>
      </c>
      <c r="B343">
        <v>0.99673306730245903</v>
      </c>
      <c r="C343">
        <v>1.0207730542945901</v>
      </c>
      <c r="D343">
        <v>0.93060659942146196</v>
      </c>
      <c r="E343">
        <v>0.887567775403172</v>
      </c>
      <c r="F343">
        <v>0.63549039868782498</v>
      </c>
      <c r="G343">
        <v>0.45820547927578797</v>
      </c>
      <c r="H343">
        <v>0.23791065044988499</v>
      </c>
      <c r="I343">
        <v>0.13183279219827501</v>
      </c>
      <c r="J343">
        <v>0.119004392604282</v>
      </c>
      <c r="K343">
        <v>6.9814544316626606E-2</v>
      </c>
      <c r="L343">
        <v>826.40317465393298</v>
      </c>
      <c r="M343">
        <v>14.889780434055201</v>
      </c>
      <c r="N343">
        <v>55.753725455811903</v>
      </c>
      <c r="O343">
        <v>54.5291194201153</v>
      </c>
      <c r="P343">
        <v>-6.6047511444217902E-2</v>
      </c>
      <c r="Q343">
        <v>3.2587975842952699E-2</v>
      </c>
      <c r="R343">
        <v>0.99652482505243101</v>
      </c>
      <c r="S343" t="s">
        <v>6795</v>
      </c>
      <c r="T343" t="s">
        <v>12902</v>
      </c>
      <c r="U343" t="s">
        <v>12902</v>
      </c>
      <c r="V343" t="s">
        <v>12902</v>
      </c>
      <c r="W343" t="s">
        <v>13241</v>
      </c>
      <c r="X343">
        <v>4</v>
      </c>
      <c r="Y343" t="s">
        <v>19636</v>
      </c>
      <c r="Z343" t="s">
        <v>25918</v>
      </c>
      <c r="AA343">
        <v>0.55053691192052234</v>
      </c>
      <c r="AB343" t="str">
        <f>HYPERLINK("Melting_Curves/meltCurve_C9JWU9_MEST.pdf", "Melting_Curves/meltCurve_C9JWU9_MEST.pdf")</f>
        <v>Melting_Curves/meltCurve_C9JWU9_MEST.pdf</v>
      </c>
    </row>
    <row r="344" spans="1:28" x14ac:dyDescent="0.25">
      <c r="A344" t="s">
        <v>348</v>
      </c>
      <c r="B344">
        <v>0.99673306730245903</v>
      </c>
      <c r="C344">
        <v>0.92682094002198301</v>
      </c>
      <c r="D344">
        <v>0.960761580484227</v>
      </c>
      <c r="E344">
        <v>0.96883181274692898</v>
      </c>
      <c r="F344">
        <v>1.37281470151812</v>
      </c>
      <c r="G344">
        <v>0.74163052797699502</v>
      </c>
      <c r="H344">
        <v>0.31898130654265</v>
      </c>
      <c r="I344">
        <v>0.210924913657527</v>
      </c>
      <c r="J344">
        <v>0.13679164880165101</v>
      </c>
      <c r="K344">
        <v>8.0785207960170399E-2</v>
      </c>
      <c r="L344">
        <v>2402.1148012334602</v>
      </c>
      <c r="M344">
        <v>41.037625556350903</v>
      </c>
      <c r="N344">
        <v>58.994784337013201</v>
      </c>
      <c r="O344">
        <v>58.395970957419301</v>
      </c>
      <c r="P344">
        <v>-0.15161749435126301</v>
      </c>
      <c r="Q344">
        <v>0.137003315802492</v>
      </c>
      <c r="R344">
        <v>0.90708167449183597</v>
      </c>
      <c r="S344" t="s">
        <v>6796</v>
      </c>
      <c r="T344" t="s">
        <v>12902</v>
      </c>
      <c r="U344" t="s">
        <v>12902</v>
      </c>
      <c r="V344" t="s">
        <v>12902</v>
      </c>
      <c r="W344" t="s">
        <v>13242</v>
      </c>
      <c r="X344">
        <v>4</v>
      </c>
      <c r="Y344" t="s">
        <v>19637</v>
      </c>
      <c r="Z344" t="s">
        <v>25919</v>
      </c>
      <c r="AA344">
        <v>0.67341730174934245</v>
      </c>
      <c r="AB344" t="str">
        <f>HYPERLINK("Melting_Curves/meltCurve_C9JYM0_POP7.pdf", "Melting_Curves/meltCurve_C9JYM0_POP7.pdf")</f>
        <v>Melting_Curves/meltCurve_C9JYM0_POP7.pdf</v>
      </c>
    </row>
    <row r="345" spans="1:28" x14ac:dyDescent="0.25">
      <c r="A345" t="s">
        <v>349</v>
      </c>
      <c r="B345">
        <v>0.99673306730245903</v>
      </c>
      <c r="C345">
        <v>1.00348658931943</v>
      </c>
      <c r="D345">
        <v>0.91002468834546602</v>
      </c>
      <c r="E345">
        <v>0.88546442329307995</v>
      </c>
      <c r="F345">
        <v>0.54784683190949601</v>
      </c>
      <c r="G345">
        <v>0.59630993432449797</v>
      </c>
      <c r="H345">
        <v>0.38844193410468703</v>
      </c>
      <c r="I345">
        <v>0.85299228172324904</v>
      </c>
      <c r="J345">
        <v>0.74759549638992795</v>
      </c>
      <c r="K345">
        <v>0.95146097509763905</v>
      </c>
      <c r="L345">
        <v>12428.7982476016</v>
      </c>
      <c r="M345">
        <v>250</v>
      </c>
      <c r="O345">
        <v>49.712011837109102</v>
      </c>
      <c r="P345">
        <v>-0.40134342627657499</v>
      </c>
      <c r="Q345">
        <v>0.68077457570684696</v>
      </c>
      <c r="R345">
        <v>0.43701630300824701</v>
      </c>
      <c r="S345" t="s">
        <v>6797</v>
      </c>
      <c r="T345" t="s">
        <v>12902</v>
      </c>
      <c r="U345" t="s">
        <v>12902</v>
      </c>
      <c r="V345" t="s">
        <v>12902</v>
      </c>
      <c r="W345" t="s">
        <v>13243</v>
      </c>
      <c r="X345">
        <v>1</v>
      </c>
      <c r="Y345" t="s">
        <v>19638</v>
      </c>
      <c r="Z345" t="s">
        <v>25920</v>
      </c>
      <c r="AA345">
        <v>0.78418031474545402</v>
      </c>
      <c r="AB345" t="str">
        <f>HYPERLINK("Melting_Curves/meltCurve_C9JYN0_SYPL1.pdf", "Melting_Curves/meltCurve_C9JYN0_SYPL1.pdf")</f>
        <v>Melting_Curves/meltCurve_C9JYN0_SYPL1.pdf</v>
      </c>
    </row>
    <row r="346" spans="1:28" x14ac:dyDescent="0.25">
      <c r="A346" t="s">
        <v>350</v>
      </c>
      <c r="B346">
        <v>0.99673306730245903</v>
      </c>
      <c r="C346">
        <v>1.01016994562406</v>
      </c>
      <c r="D346">
        <v>0.96903866898884505</v>
      </c>
      <c r="E346">
        <v>0.86289915845826204</v>
      </c>
      <c r="F346">
        <v>0.56135755373564</v>
      </c>
      <c r="G346">
        <v>0.39909144231375099</v>
      </c>
      <c r="H346">
        <v>0.30636000618416398</v>
      </c>
      <c r="I346">
        <v>0.29350420899476998</v>
      </c>
      <c r="J346">
        <v>0.29314260529754199</v>
      </c>
      <c r="K346">
        <v>0.216343499271822</v>
      </c>
      <c r="L346">
        <v>1162.7214071866699</v>
      </c>
      <c r="M346">
        <v>22.1135849803977</v>
      </c>
      <c r="N346">
        <v>54.423214412624603</v>
      </c>
      <c r="O346">
        <v>52.155191352458999</v>
      </c>
      <c r="P346">
        <v>-7.8057745435862594E-2</v>
      </c>
      <c r="Q346">
        <v>0.263615082685902</v>
      </c>
      <c r="R346">
        <v>0.99525374636630004</v>
      </c>
      <c r="S346" t="s">
        <v>6798</v>
      </c>
      <c r="T346" t="s">
        <v>12902</v>
      </c>
      <c r="U346" t="s">
        <v>12902</v>
      </c>
      <c r="V346" t="s">
        <v>12902</v>
      </c>
      <c r="W346" t="s">
        <v>13244</v>
      </c>
      <c r="X346">
        <v>12</v>
      </c>
      <c r="Y346" t="s">
        <v>19639</v>
      </c>
      <c r="Z346" t="s">
        <v>25921</v>
      </c>
      <c r="AA346">
        <v>0.5808863729787177</v>
      </c>
      <c r="AB346" t="str">
        <f>HYPERLINK("Melting_Curves/meltCurve_C9JYY6_NRCAM.pdf", "Melting_Curves/meltCurve_C9JYY6_NRCAM.pdf")</f>
        <v>Melting_Curves/meltCurve_C9JYY6_NRCAM.pdf</v>
      </c>
    </row>
    <row r="347" spans="1:28" x14ac:dyDescent="0.25">
      <c r="A347" t="s">
        <v>351</v>
      </c>
      <c r="B347">
        <v>0.99673306730245903</v>
      </c>
      <c r="C347">
        <v>0.89985576558795299</v>
      </c>
      <c r="D347">
        <v>0.89342833172627401</v>
      </c>
      <c r="E347">
        <v>0.69543057051300805</v>
      </c>
      <c r="F347">
        <v>0.35836247194895399</v>
      </c>
      <c r="G347">
        <v>0.28853762260068</v>
      </c>
      <c r="H347">
        <v>0.20689063980835701</v>
      </c>
      <c r="I347">
        <v>0.18213457887312701</v>
      </c>
      <c r="J347">
        <v>0.138585467410239</v>
      </c>
      <c r="K347">
        <v>0.11040622831336699</v>
      </c>
      <c r="L347">
        <v>846.43932564587794</v>
      </c>
      <c r="M347">
        <v>16.622614768537499</v>
      </c>
      <c r="N347">
        <v>51.870828434805503</v>
      </c>
      <c r="O347">
        <v>50.201113907287301</v>
      </c>
      <c r="P347">
        <v>-7.1922862253315303E-2</v>
      </c>
      <c r="Q347">
        <v>0.13121653933790001</v>
      </c>
      <c r="R347">
        <v>0.98968819627600402</v>
      </c>
      <c r="S347" t="s">
        <v>6799</v>
      </c>
      <c r="T347" t="s">
        <v>12902</v>
      </c>
      <c r="U347" t="s">
        <v>12902</v>
      </c>
      <c r="V347" t="s">
        <v>12902</v>
      </c>
      <c r="W347" t="s">
        <v>13245</v>
      </c>
      <c r="X347">
        <v>2</v>
      </c>
      <c r="Y347" t="s">
        <v>19640</v>
      </c>
      <c r="Z347" t="s">
        <v>25922</v>
      </c>
      <c r="AA347">
        <v>0.46436616421390409</v>
      </c>
      <c r="AB347" t="str">
        <f>HYPERLINK("Melting_Curves/meltCurve_C9JZB0_INPP5K.pdf", "Melting_Curves/meltCurve_C9JZB0_INPP5K.pdf")</f>
        <v>Melting_Curves/meltCurve_C9JZB0_INPP5K.pdf</v>
      </c>
    </row>
    <row r="348" spans="1:28" x14ac:dyDescent="0.25">
      <c r="A348" t="s">
        <v>352</v>
      </c>
      <c r="B348">
        <v>0.99673306730245903</v>
      </c>
      <c r="C348">
        <v>0.91176895049633899</v>
      </c>
      <c r="D348">
        <v>0.963119548041101</v>
      </c>
      <c r="E348">
        <v>0.91322894820760003</v>
      </c>
      <c r="F348">
        <v>0.3308073351802</v>
      </c>
      <c r="G348">
        <v>0.19497618107228801</v>
      </c>
      <c r="H348">
        <v>9.3967275312900098E-2</v>
      </c>
      <c r="I348">
        <v>6.8775266998899395E-2</v>
      </c>
      <c r="J348">
        <v>6.54604775589544E-2</v>
      </c>
      <c r="K348">
        <v>6.4829204307744706E-2</v>
      </c>
      <c r="L348">
        <v>2103.55109387323</v>
      </c>
      <c r="M348">
        <v>40.4273988643886</v>
      </c>
      <c r="N348">
        <v>52.282452555375102</v>
      </c>
      <c r="O348">
        <v>51.905990105015199</v>
      </c>
      <c r="P348">
        <v>-0.17762394684667501</v>
      </c>
      <c r="Q348">
        <v>8.7774445431790998E-2</v>
      </c>
      <c r="R348">
        <v>0.98940487338234595</v>
      </c>
      <c r="S348" t="s">
        <v>6800</v>
      </c>
      <c r="T348" t="s">
        <v>12902</v>
      </c>
      <c r="U348" t="s">
        <v>12902</v>
      </c>
      <c r="V348" t="s">
        <v>12902</v>
      </c>
      <c r="W348" t="s">
        <v>13246</v>
      </c>
      <c r="X348">
        <v>16</v>
      </c>
      <c r="Y348" t="s">
        <v>19641</v>
      </c>
      <c r="Z348" t="s">
        <v>25923</v>
      </c>
      <c r="AA348">
        <v>0.45687231192483491</v>
      </c>
      <c r="AB348" t="str">
        <f>HYPERLINK("Melting_Curves/meltCurve_C9JZI1_RFC4.pdf", "Melting_Curves/meltCurve_C9JZI1_RFC4.pdf")</f>
        <v>Melting_Curves/meltCurve_C9JZI1_RFC4.pdf</v>
      </c>
    </row>
    <row r="349" spans="1:28" x14ac:dyDescent="0.25">
      <c r="A349" t="s">
        <v>353</v>
      </c>
      <c r="B349">
        <v>0.99673306730245903</v>
      </c>
      <c r="C349">
        <v>1.0259626581549099</v>
      </c>
      <c r="D349">
        <v>1.0239115682166999</v>
      </c>
      <c r="E349">
        <v>0.84420236900621903</v>
      </c>
      <c r="F349">
        <v>0.64574646191511198</v>
      </c>
      <c r="G349">
        <v>0.32304801758078999</v>
      </c>
      <c r="H349">
        <v>0.25588352672477199</v>
      </c>
      <c r="I349">
        <v>0.25324531843966502</v>
      </c>
      <c r="J349">
        <v>0.25912345732199799</v>
      </c>
      <c r="K349">
        <v>0.20148829636759599</v>
      </c>
      <c r="L349">
        <v>1322.2921661799401</v>
      </c>
      <c r="M349">
        <v>24.874608731166699</v>
      </c>
      <c r="N349">
        <v>54.476278541628297</v>
      </c>
      <c r="O349">
        <v>52.818302209048497</v>
      </c>
      <c r="P349">
        <v>-9.1119033250488105E-2</v>
      </c>
      <c r="Q349">
        <v>0.22608827432529999</v>
      </c>
      <c r="R349">
        <v>0.99263658704183699</v>
      </c>
      <c r="S349" t="s">
        <v>6801</v>
      </c>
      <c r="T349" t="s">
        <v>12902</v>
      </c>
      <c r="U349" t="s">
        <v>12902</v>
      </c>
      <c r="V349" t="s">
        <v>12902</v>
      </c>
      <c r="W349" t="s">
        <v>13247</v>
      </c>
      <c r="X349">
        <v>15</v>
      </c>
      <c r="Y349" t="s">
        <v>19642</v>
      </c>
      <c r="Z349" t="s">
        <v>25924</v>
      </c>
      <c r="AA349">
        <v>0.57273445897342823</v>
      </c>
      <c r="AB349" t="str">
        <f>HYPERLINK("Melting_Curves/meltCurve_C9JZI7_NAP1L4.pdf", "Melting_Curves/meltCurve_C9JZI7_NAP1L4.pdf")</f>
        <v>Melting_Curves/meltCurve_C9JZI7_NAP1L4.pdf</v>
      </c>
    </row>
    <row r="350" spans="1:28" x14ac:dyDescent="0.25">
      <c r="A350" t="s">
        <v>354</v>
      </c>
      <c r="B350">
        <v>0.99673306730245903</v>
      </c>
      <c r="C350">
        <v>0.98602652361004395</v>
      </c>
      <c r="D350">
        <v>1.0103521914723901</v>
      </c>
      <c r="E350">
        <v>0.99388825018423099</v>
      </c>
      <c r="F350">
        <v>0.68881518910216499</v>
      </c>
      <c r="G350">
        <v>0.358306125443489</v>
      </c>
      <c r="H350">
        <v>0.13552781628062499</v>
      </c>
      <c r="I350">
        <v>6.2765343497190595E-2</v>
      </c>
      <c r="J350">
        <v>5.1848754450940102E-2</v>
      </c>
      <c r="K350">
        <v>3.5236375834522403E-2</v>
      </c>
      <c r="L350">
        <v>1367.7929462029099</v>
      </c>
      <c r="M350">
        <v>24.8297241796005</v>
      </c>
      <c r="N350">
        <v>55.267849763676502</v>
      </c>
      <c r="O350">
        <v>54.733322274889197</v>
      </c>
      <c r="P350">
        <v>-0.108986716930774</v>
      </c>
      <c r="Q350">
        <v>3.90351487614852E-2</v>
      </c>
      <c r="R350">
        <v>0.99751810609939295</v>
      </c>
      <c r="S350" t="s">
        <v>6802</v>
      </c>
      <c r="T350" t="s">
        <v>12902</v>
      </c>
      <c r="U350" t="s">
        <v>12902</v>
      </c>
      <c r="V350" t="s">
        <v>12902</v>
      </c>
      <c r="W350" t="s">
        <v>13248</v>
      </c>
      <c r="X350">
        <v>2</v>
      </c>
      <c r="Y350" t="s">
        <v>19643</v>
      </c>
      <c r="Z350" t="s">
        <v>25925</v>
      </c>
      <c r="AA350">
        <v>0.53129567307607606</v>
      </c>
      <c r="AB350" t="str">
        <f>HYPERLINK("Melting_Curves/meltCurve_C9JZP6_DHRS2.pdf", "Melting_Curves/meltCurve_C9JZP6_DHRS2.pdf")</f>
        <v>Melting_Curves/meltCurve_C9JZP6_DHRS2.pdf</v>
      </c>
    </row>
    <row r="351" spans="1:28" x14ac:dyDescent="0.25">
      <c r="A351" t="s">
        <v>355</v>
      </c>
      <c r="B351">
        <v>0.99673306730245903</v>
      </c>
      <c r="C351">
        <v>1.0912227527962399</v>
      </c>
      <c r="D351">
        <v>0.45193277737298998</v>
      </c>
      <c r="E351">
        <v>0.71342599306309495</v>
      </c>
      <c r="F351">
        <v>0.230225485648752</v>
      </c>
      <c r="G351">
        <v>8.8919328816159701E-2</v>
      </c>
      <c r="H351">
        <v>5.9516097488765601E-2</v>
      </c>
      <c r="I351">
        <v>4.51031519686503E-2</v>
      </c>
      <c r="J351">
        <v>5.4326916558805102E-2</v>
      </c>
      <c r="K351">
        <v>5.2263678818667399E-2</v>
      </c>
      <c r="L351">
        <v>705.10172434697097</v>
      </c>
      <c r="M351">
        <v>14.2512016827565</v>
      </c>
      <c r="N351">
        <v>49.551224711589597</v>
      </c>
      <c r="O351">
        <v>48.533028104749597</v>
      </c>
      <c r="P351">
        <v>-7.2639909322909493E-2</v>
      </c>
      <c r="Q351">
        <v>1.0609838539910999E-2</v>
      </c>
      <c r="R351">
        <v>0.88331182394535801</v>
      </c>
      <c r="S351" t="s">
        <v>6803</v>
      </c>
      <c r="T351" t="s">
        <v>12902</v>
      </c>
      <c r="U351" t="s">
        <v>12902</v>
      </c>
      <c r="V351" t="s">
        <v>12902</v>
      </c>
      <c r="W351" t="s">
        <v>13249</v>
      </c>
      <c r="X351">
        <v>21</v>
      </c>
      <c r="Y351" t="s">
        <v>19644</v>
      </c>
      <c r="Z351" t="s">
        <v>25926</v>
      </c>
      <c r="AA351">
        <v>0.349483310173963</v>
      </c>
      <c r="AB351" t="str">
        <f>HYPERLINK("Melting_Curves/meltCurve_C9JZR4_ARFGAP3.pdf", "Melting_Curves/meltCurve_C9JZR4_ARFGAP3.pdf")</f>
        <v>Melting_Curves/meltCurve_C9JZR4_ARFGAP3.pdf</v>
      </c>
    </row>
    <row r="352" spans="1:28" x14ac:dyDescent="0.25">
      <c r="A352" t="s">
        <v>356</v>
      </c>
      <c r="B352">
        <v>0.99673306730245903</v>
      </c>
      <c r="C352">
        <v>0.66072914105561498</v>
      </c>
      <c r="D352">
        <v>0.18913923083902201</v>
      </c>
      <c r="E352">
        <v>0.138656066143721</v>
      </c>
      <c r="F352">
        <v>9.9069065726729494E-2</v>
      </c>
      <c r="G352">
        <v>7.0368289539195397E-2</v>
      </c>
      <c r="H352">
        <v>3.8042861253659403E-2</v>
      </c>
      <c r="I352">
        <v>3.1461267344204201E-2</v>
      </c>
      <c r="J352">
        <v>2.7591368145806101E-2</v>
      </c>
      <c r="K352">
        <v>2.07526865086217E-2</v>
      </c>
      <c r="L352">
        <v>1508.3084515154301</v>
      </c>
      <c r="M352">
        <v>34.549097284566699</v>
      </c>
      <c r="N352">
        <v>43.811269396815803</v>
      </c>
      <c r="O352">
        <v>43.511475123089397</v>
      </c>
      <c r="P352">
        <v>-0.18713497494988199</v>
      </c>
      <c r="Q352">
        <v>5.7285046958005001E-2</v>
      </c>
      <c r="R352">
        <v>0.98908239965932898</v>
      </c>
      <c r="S352" t="s">
        <v>6804</v>
      </c>
      <c r="T352" t="s">
        <v>12902</v>
      </c>
      <c r="U352" t="s">
        <v>12902</v>
      </c>
      <c r="V352" t="s">
        <v>12902</v>
      </c>
      <c r="W352" t="s">
        <v>13250</v>
      </c>
      <c r="X352">
        <v>3</v>
      </c>
      <c r="Y352" t="s">
        <v>19645</v>
      </c>
      <c r="Z352" t="s">
        <v>25927</v>
      </c>
      <c r="AA352">
        <v>0.17734444255468559</v>
      </c>
      <c r="AB352" t="str">
        <f>HYPERLINK("Melting_Curves/meltCurve_C9JZY3_PCBP4.pdf", "Melting_Curves/meltCurve_C9JZY3_PCBP4.pdf")</f>
        <v>Melting_Curves/meltCurve_C9JZY3_PCBP4.pdf</v>
      </c>
    </row>
    <row r="353" spans="1:28" x14ac:dyDescent="0.25">
      <c r="A353" t="s">
        <v>357</v>
      </c>
      <c r="B353">
        <v>0.99673306730245903</v>
      </c>
      <c r="C353">
        <v>1.05763774094856</v>
      </c>
      <c r="D353">
        <v>1.0079943846218999</v>
      </c>
      <c r="E353">
        <v>0.98805671081716495</v>
      </c>
      <c r="F353">
        <v>0.33009826985567903</v>
      </c>
      <c r="G353">
        <v>0.146486718046971</v>
      </c>
      <c r="H353">
        <v>6.2806407530767702E-2</v>
      </c>
      <c r="I353">
        <v>6.9521568327836597E-2</v>
      </c>
      <c r="J353">
        <v>6.7368266917847697E-2</v>
      </c>
      <c r="K353">
        <v>6.2542196642233594E-2</v>
      </c>
      <c r="L353">
        <v>3305.2691574537198</v>
      </c>
      <c r="M353">
        <v>63.091184571209098</v>
      </c>
      <c r="N353">
        <v>52.533450028828099</v>
      </c>
      <c r="O353">
        <v>52.3362062261887</v>
      </c>
      <c r="P353">
        <v>-0.277339051570754</v>
      </c>
      <c r="Q353">
        <v>7.9752962622697293E-2</v>
      </c>
      <c r="R353">
        <v>0.99589189716174698</v>
      </c>
      <c r="S353" t="s">
        <v>6805</v>
      </c>
      <c r="T353" t="s">
        <v>12902</v>
      </c>
      <c r="U353" t="s">
        <v>12902</v>
      </c>
      <c r="V353" t="s">
        <v>12902</v>
      </c>
      <c r="W353" t="s">
        <v>13251</v>
      </c>
      <c r="X353">
        <v>3</v>
      </c>
      <c r="Y353" t="s">
        <v>19646</v>
      </c>
      <c r="Z353" t="s">
        <v>25928</v>
      </c>
      <c r="AA353">
        <v>0.46110990249140638</v>
      </c>
      <c r="AB353" t="str">
        <f>HYPERLINK("Melting_Curves/meltCurve_C9JZY6_UBE2H.pdf", "Melting_Curves/meltCurve_C9JZY6_UBE2H.pdf")</f>
        <v>Melting_Curves/meltCurve_C9JZY6_UBE2H.pdf</v>
      </c>
    </row>
    <row r="354" spans="1:28" x14ac:dyDescent="0.25">
      <c r="A354" t="s">
        <v>358</v>
      </c>
      <c r="B354">
        <v>0.99673306730245903</v>
      </c>
      <c r="C354">
        <v>0.94850377692590604</v>
      </c>
      <c r="D354">
        <v>0.88244167661566597</v>
      </c>
      <c r="E354">
        <v>0.76574406177409404</v>
      </c>
      <c r="F354">
        <v>0.52906943941727402</v>
      </c>
      <c r="G354">
        <v>0.26097457140164199</v>
      </c>
      <c r="H354">
        <v>0.120752939688619</v>
      </c>
      <c r="I354">
        <v>0.13617253743705199</v>
      </c>
      <c r="J354">
        <v>0.21576590032409601</v>
      </c>
      <c r="K354">
        <v>0.20102031071312901</v>
      </c>
      <c r="L354">
        <v>1008.57608474098</v>
      </c>
      <c r="M354">
        <v>19.3919184959197</v>
      </c>
      <c r="N354">
        <v>52.971309306381499</v>
      </c>
      <c r="O354">
        <v>51.466505073554302</v>
      </c>
      <c r="P354">
        <v>-8.0228884131086101E-2</v>
      </c>
      <c r="Q354">
        <v>0.14831563972370301</v>
      </c>
      <c r="R354">
        <v>0.983186614426665</v>
      </c>
      <c r="S354" t="s">
        <v>6806</v>
      </c>
      <c r="T354" t="s">
        <v>12902</v>
      </c>
      <c r="U354" t="s">
        <v>12902</v>
      </c>
      <c r="V354" t="s">
        <v>12902</v>
      </c>
      <c r="W354" t="s">
        <v>13252</v>
      </c>
      <c r="X354">
        <v>4</v>
      </c>
      <c r="Y354" t="s">
        <v>19647</v>
      </c>
      <c r="Z354" t="s">
        <v>25929</v>
      </c>
      <c r="AA354">
        <v>0.50172818397284991</v>
      </c>
      <c r="AB354" t="str">
        <f>HYPERLINK("Melting_Curves/meltCurve_C9K0J5_RAPH1.pdf", "Melting_Curves/meltCurve_C9K0J5_RAPH1.pdf")</f>
        <v>Melting_Curves/meltCurve_C9K0J5_RAPH1.pdf</v>
      </c>
    </row>
    <row r="355" spans="1:28" x14ac:dyDescent="0.25">
      <c r="A355" t="s">
        <v>359</v>
      </c>
      <c r="B355">
        <v>0.99673306730245903</v>
      </c>
      <c r="C355">
        <v>0.895720876588466</v>
      </c>
      <c r="D355">
        <v>0.51384677973864901</v>
      </c>
      <c r="E355">
        <v>0.191738701875979</v>
      </c>
      <c r="F355">
        <v>0.12557778648559101</v>
      </c>
      <c r="G355">
        <v>8.0724213110204501E-2</v>
      </c>
      <c r="H355">
        <v>4.8121084076779397E-2</v>
      </c>
      <c r="I355">
        <v>4.6971328890010398E-2</v>
      </c>
      <c r="J355">
        <v>4.3864406676858501E-2</v>
      </c>
      <c r="K355">
        <v>3.6017881744545198E-2</v>
      </c>
      <c r="L355">
        <v>1179.26783977893</v>
      </c>
      <c r="M355">
        <v>25.616255442854399</v>
      </c>
      <c r="N355">
        <v>46.252724415592198</v>
      </c>
      <c r="O355">
        <v>45.758111928288699</v>
      </c>
      <c r="P355">
        <v>-0.132039089329931</v>
      </c>
      <c r="Q355">
        <v>5.6570048269711702E-2</v>
      </c>
      <c r="R355">
        <v>0.99692255558514398</v>
      </c>
      <c r="S355" t="s">
        <v>6807</v>
      </c>
      <c r="T355" t="s">
        <v>12902</v>
      </c>
      <c r="U355" t="s">
        <v>12902</v>
      </c>
      <c r="V355" t="s">
        <v>12902</v>
      </c>
      <c r="W355" t="s">
        <v>13253</v>
      </c>
      <c r="X355">
        <v>32</v>
      </c>
      <c r="Y355" t="s">
        <v>19648</v>
      </c>
      <c r="Z355" t="s">
        <v>25930</v>
      </c>
      <c r="AA355">
        <v>0.25461129572906183</v>
      </c>
      <c r="AB355" t="str">
        <f>HYPERLINK("Melting_Curves/meltCurve_D3DQV9_EIF4G2.pdf", "Melting_Curves/meltCurve_D3DQV9_EIF4G2.pdf")</f>
        <v>Melting_Curves/meltCurve_D3DQV9_EIF4G2.pdf</v>
      </c>
    </row>
    <row r="356" spans="1:28" x14ac:dyDescent="0.25">
      <c r="A356" t="s">
        <v>360</v>
      </c>
      <c r="B356">
        <v>0.99673306730245903</v>
      </c>
      <c r="C356">
        <v>0.88290299551937101</v>
      </c>
      <c r="D356">
        <v>0.79060366813264504</v>
      </c>
      <c r="E356">
        <v>0.58437558574188797</v>
      </c>
      <c r="F356">
        <v>0.33043173033198098</v>
      </c>
      <c r="G356">
        <v>0.29348154900739998</v>
      </c>
      <c r="H356">
        <v>4.1380736967581197E-2</v>
      </c>
      <c r="I356">
        <v>3.6880500993517099E-2</v>
      </c>
      <c r="J356">
        <v>6.3181994764171898E-2</v>
      </c>
      <c r="K356">
        <v>0</v>
      </c>
      <c r="L356">
        <v>651.63442046475404</v>
      </c>
      <c r="M356">
        <v>12.830321934712</v>
      </c>
      <c r="N356">
        <v>50.788625391112902</v>
      </c>
      <c r="O356">
        <v>49.602279937659901</v>
      </c>
      <c r="P356">
        <v>-6.4678011432187404E-2</v>
      </c>
      <c r="Q356">
        <v>0</v>
      </c>
      <c r="R356">
        <v>0.98719313957648203</v>
      </c>
      <c r="S356" t="s">
        <v>6808</v>
      </c>
      <c r="T356" t="s">
        <v>12902</v>
      </c>
      <c r="U356" t="s">
        <v>12902</v>
      </c>
      <c r="V356" t="s">
        <v>12902</v>
      </c>
      <c r="W356" t="s">
        <v>13254</v>
      </c>
      <c r="X356">
        <v>1</v>
      </c>
      <c r="Y356" t="s">
        <v>19649</v>
      </c>
      <c r="Z356" t="s">
        <v>25931</v>
      </c>
      <c r="AA356">
        <v>0.38951184491079782</v>
      </c>
      <c r="AB356" t="str">
        <f>HYPERLINK("Melting_Curves/meltCurve_D3DWK9_NRBP2.pdf", "Melting_Curves/meltCurve_D3DWK9_NRBP2.pdf")</f>
        <v>Melting_Curves/meltCurve_D3DWK9_NRBP2.pdf</v>
      </c>
    </row>
    <row r="357" spans="1:28" x14ac:dyDescent="0.25">
      <c r="A357" t="s">
        <v>361</v>
      </c>
      <c r="B357">
        <v>0.99673306730245903</v>
      </c>
      <c r="C357">
        <v>0.90765774838394397</v>
      </c>
      <c r="D357">
        <v>0.910962533456391</v>
      </c>
      <c r="E357">
        <v>0.82798745129781004</v>
      </c>
      <c r="F357">
        <v>0.55628054001790805</v>
      </c>
      <c r="G357">
        <v>0.26400660833034301</v>
      </c>
      <c r="H357">
        <v>0.154533623198193</v>
      </c>
      <c r="I357">
        <v>0.14231138977395</v>
      </c>
      <c r="J357">
        <v>0.164356024497541</v>
      </c>
      <c r="K357">
        <v>0.14548894930417799</v>
      </c>
      <c r="L357">
        <v>1097.3757441442799</v>
      </c>
      <c r="M357">
        <v>20.784760563720099</v>
      </c>
      <c r="N357">
        <v>53.553167348899699</v>
      </c>
      <c r="O357">
        <v>52.31568727618</v>
      </c>
      <c r="P357">
        <v>-8.6697436520647403E-2</v>
      </c>
      <c r="Q357">
        <v>0.12714715796651799</v>
      </c>
      <c r="R357">
        <v>0.98949969505593005</v>
      </c>
      <c r="S357" t="s">
        <v>6809</v>
      </c>
      <c r="T357" t="s">
        <v>12902</v>
      </c>
      <c r="U357" t="s">
        <v>12902</v>
      </c>
      <c r="V357" t="s">
        <v>12902</v>
      </c>
      <c r="W357" t="s">
        <v>13255</v>
      </c>
      <c r="X357">
        <v>12</v>
      </c>
      <c r="Y357" t="s">
        <v>19650</v>
      </c>
      <c r="Z357" t="s">
        <v>25932</v>
      </c>
      <c r="AA357">
        <v>0.51072590940391271</v>
      </c>
      <c r="AB357" t="str">
        <f>HYPERLINK("Melting_Curves/meltCurve_D3K174_SLC4A7.pdf", "Melting_Curves/meltCurve_D3K174_SLC4A7.pdf")</f>
        <v>Melting_Curves/meltCurve_D3K174_SLC4A7.pdf</v>
      </c>
    </row>
    <row r="358" spans="1:28" x14ac:dyDescent="0.25">
      <c r="A358" t="s">
        <v>362</v>
      </c>
      <c r="B358">
        <v>0.99673306730245903</v>
      </c>
      <c r="C358">
        <v>1.0838410723006999</v>
      </c>
      <c r="D358">
        <v>1.06450272125532</v>
      </c>
      <c r="E358">
        <v>1.3503182901778901</v>
      </c>
      <c r="F358">
        <v>0.963279226925843</v>
      </c>
      <c r="G358">
        <v>0.48046495384277199</v>
      </c>
      <c r="H358">
        <v>0.171145350618853</v>
      </c>
      <c r="I358">
        <v>0.15406229496461199</v>
      </c>
      <c r="J358">
        <v>0.17775150244012999</v>
      </c>
      <c r="K358">
        <v>0.172748040046212</v>
      </c>
      <c r="L358">
        <v>3331.2511748984298</v>
      </c>
      <c r="M358">
        <v>59.1582130378264</v>
      </c>
      <c r="N358">
        <v>56.698406495435798</v>
      </c>
      <c r="O358">
        <v>56.246644622842503</v>
      </c>
      <c r="P358">
        <v>-0.21921686546090499</v>
      </c>
      <c r="Q358">
        <v>0.16628938209306299</v>
      </c>
      <c r="R358">
        <v>0.93343384369684401</v>
      </c>
      <c r="S358" t="s">
        <v>6810</v>
      </c>
      <c r="T358" t="s">
        <v>12902</v>
      </c>
      <c r="U358" t="s">
        <v>12902</v>
      </c>
      <c r="V358" t="s">
        <v>12902</v>
      </c>
      <c r="W358" t="s">
        <v>13256</v>
      </c>
      <c r="X358">
        <v>6</v>
      </c>
      <c r="Y358" t="s">
        <v>19651</v>
      </c>
      <c r="Z358" t="s">
        <v>25933</v>
      </c>
      <c r="AA358">
        <v>0.62105110758980731</v>
      </c>
      <c r="AB358" t="str">
        <f>HYPERLINK("Melting_Curves/meltCurve_D3YTB1_RPL32.pdf", "Melting_Curves/meltCurve_D3YTB1_RPL32.pdf")</f>
        <v>Melting_Curves/meltCurve_D3YTB1_RPL32.pdf</v>
      </c>
    </row>
    <row r="359" spans="1:28" x14ac:dyDescent="0.25">
      <c r="A359" t="s">
        <v>363</v>
      </c>
      <c r="B359">
        <v>0.99673306730245903</v>
      </c>
      <c r="C359">
        <v>0.96809277429438401</v>
      </c>
      <c r="D359">
        <v>0.783969965088956</v>
      </c>
      <c r="E359">
        <v>0.60348096623088698</v>
      </c>
      <c r="F359">
        <v>0.348356622805501</v>
      </c>
      <c r="G359">
        <v>0.189028714723637</v>
      </c>
      <c r="H359">
        <v>9.7066099896501501E-2</v>
      </c>
      <c r="I359">
        <v>7.5285563555695795E-2</v>
      </c>
      <c r="J359">
        <v>6.5576917680234603E-2</v>
      </c>
      <c r="K359">
        <v>2.1601078637763199E-2</v>
      </c>
      <c r="L359">
        <v>738.98032723895403</v>
      </c>
      <c r="M359">
        <v>14.5781861892635</v>
      </c>
      <c r="N359">
        <v>50.851900811771401</v>
      </c>
      <c r="O359">
        <v>49.765640299059797</v>
      </c>
      <c r="P359">
        <v>-7.1590078067140697E-2</v>
      </c>
      <c r="Q359">
        <v>2.2560528930345401E-2</v>
      </c>
      <c r="R359">
        <v>0.99743138492713501</v>
      </c>
      <c r="S359" t="s">
        <v>6811</v>
      </c>
      <c r="T359" t="s">
        <v>12902</v>
      </c>
      <c r="U359" t="s">
        <v>12902</v>
      </c>
      <c r="V359" t="s">
        <v>12902</v>
      </c>
      <c r="W359" t="s">
        <v>13257</v>
      </c>
      <c r="X359">
        <v>1</v>
      </c>
      <c r="Y359" t="s">
        <v>19652</v>
      </c>
      <c r="Z359" t="s">
        <v>25934</v>
      </c>
      <c r="AA359">
        <v>0.39480402510829932</v>
      </c>
      <c r="AB359" t="str">
        <f>HYPERLINK("Melting_Curves/meltCurve_D3YTG6_NDOR1.pdf", "Melting_Curves/meltCurve_D3YTG6_NDOR1.pdf")</f>
        <v>Melting_Curves/meltCurve_D3YTG6_NDOR1.pdf</v>
      </c>
    </row>
    <row r="360" spans="1:28" x14ac:dyDescent="0.25">
      <c r="A360" t="s">
        <v>364</v>
      </c>
      <c r="B360">
        <v>0.99673306730245903</v>
      </c>
      <c r="C360">
        <v>0.98573821300523401</v>
      </c>
      <c r="D360">
        <v>0.92208636441139902</v>
      </c>
      <c r="E360">
        <v>0.66081863589676704</v>
      </c>
      <c r="F360">
        <v>0.234463740974685</v>
      </c>
      <c r="G360">
        <v>0.139492149568264</v>
      </c>
      <c r="H360">
        <v>9.27654768567025E-2</v>
      </c>
      <c r="I360">
        <v>9.8778802236379401E-2</v>
      </c>
      <c r="J360">
        <v>0.12711732689112701</v>
      </c>
      <c r="K360">
        <v>9.7538368836866493E-2</v>
      </c>
      <c r="L360">
        <v>1508.46924005645</v>
      </c>
      <c r="M360">
        <v>29.980881733870099</v>
      </c>
      <c r="N360">
        <v>50.701154540845103</v>
      </c>
      <c r="O360">
        <v>50.092133840872997</v>
      </c>
      <c r="P360">
        <v>-0.134333396442091</v>
      </c>
      <c r="Q360">
        <v>0.102227890381807</v>
      </c>
      <c r="R360">
        <v>0.99850959676829698</v>
      </c>
      <c r="S360" t="s">
        <v>6812</v>
      </c>
      <c r="T360" t="s">
        <v>12902</v>
      </c>
      <c r="U360" t="s">
        <v>12902</v>
      </c>
      <c r="V360" t="s">
        <v>12902</v>
      </c>
      <c r="W360" t="s">
        <v>13258</v>
      </c>
      <c r="X360">
        <v>4</v>
      </c>
      <c r="Y360" t="s">
        <v>19653</v>
      </c>
      <c r="Z360" t="s">
        <v>25935</v>
      </c>
      <c r="AA360">
        <v>0.41648165308109808</v>
      </c>
      <c r="AB360" t="str">
        <f>HYPERLINK("Melting_Curves/meltCurve_D3YTI9_TAPBP.pdf", "Melting_Curves/meltCurve_D3YTI9_TAPBP.pdf")</f>
        <v>Melting_Curves/meltCurve_D3YTI9_TAPBP.pdf</v>
      </c>
    </row>
    <row r="361" spans="1:28" x14ac:dyDescent="0.25">
      <c r="A361" t="s">
        <v>365</v>
      </c>
      <c r="B361">
        <v>0.99673306730245903</v>
      </c>
      <c r="C361">
        <v>0.92213219907973698</v>
      </c>
      <c r="D361">
        <v>1.01449755672321</v>
      </c>
      <c r="E361">
        <v>0.97527875563643796</v>
      </c>
      <c r="F361">
        <v>0.286606108622463</v>
      </c>
      <c r="G361">
        <v>0.142379583864991</v>
      </c>
      <c r="H361">
        <v>8.2486105161734699E-2</v>
      </c>
      <c r="I361">
        <v>7.8664898914886094E-2</v>
      </c>
      <c r="J361">
        <v>7.7628160757112805E-2</v>
      </c>
      <c r="K361">
        <v>7.9758011067175699E-2</v>
      </c>
      <c r="L361">
        <v>3396.6626836307501</v>
      </c>
      <c r="M361">
        <v>65.124433575578905</v>
      </c>
      <c r="N361">
        <v>52.317678428423399</v>
      </c>
      <c r="O361">
        <v>52.107385987672998</v>
      </c>
      <c r="P361">
        <v>-0.28405356636366402</v>
      </c>
      <c r="Q361">
        <v>9.0892031336326395E-2</v>
      </c>
      <c r="R361">
        <v>0.99491733537858995</v>
      </c>
      <c r="S361" t="s">
        <v>6813</v>
      </c>
      <c r="T361" t="s">
        <v>12902</v>
      </c>
      <c r="U361" t="s">
        <v>12902</v>
      </c>
      <c r="V361" t="s">
        <v>12902</v>
      </c>
      <c r="W361" t="s">
        <v>13259</v>
      </c>
      <c r="X361">
        <v>8</v>
      </c>
      <c r="Y361" t="s">
        <v>19654</v>
      </c>
      <c r="Z361" t="s">
        <v>25936</v>
      </c>
      <c r="AA361">
        <v>0.46050783736004502</v>
      </c>
      <c r="AB361" t="str">
        <f>HYPERLINK("Melting_Curves/meltCurve_D6R938_CAMK2D.pdf", "Melting_Curves/meltCurve_D6R938_CAMK2D.pdf")</f>
        <v>Melting_Curves/meltCurve_D6R938_CAMK2D.pdf</v>
      </c>
    </row>
    <row r="362" spans="1:28" x14ac:dyDescent="0.25">
      <c r="A362" t="s">
        <v>366</v>
      </c>
      <c r="B362">
        <v>0.99673306730245903</v>
      </c>
      <c r="C362">
        <v>0.94499764685203702</v>
      </c>
      <c r="D362">
        <v>0.88671511570167605</v>
      </c>
      <c r="E362">
        <v>1.0191946877248099</v>
      </c>
      <c r="F362">
        <v>0.91376700542724598</v>
      </c>
      <c r="G362">
        <v>0.63283894020061804</v>
      </c>
      <c r="H362">
        <v>0.36800481971094601</v>
      </c>
      <c r="I362">
        <v>0.57922612579503296</v>
      </c>
      <c r="J362">
        <v>0.96722679193643502</v>
      </c>
      <c r="K362">
        <v>1.27792143298883</v>
      </c>
      <c r="L362">
        <v>13328.995759141901</v>
      </c>
      <c r="M362">
        <v>250</v>
      </c>
      <c r="O362">
        <v>53.312571171405303</v>
      </c>
      <c r="P362">
        <v>-0.27544672955947203</v>
      </c>
      <c r="Q362">
        <v>0.76504362631641198</v>
      </c>
      <c r="R362">
        <v>0.13642331482103701</v>
      </c>
      <c r="S362" t="s">
        <v>6814</v>
      </c>
      <c r="T362" t="s">
        <v>12902</v>
      </c>
      <c r="U362" t="s">
        <v>12902</v>
      </c>
      <c r="V362" t="s">
        <v>12902</v>
      </c>
      <c r="W362" t="s">
        <v>13260</v>
      </c>
      <c r="X362">
        <v>4</v>
      </c>
      <c r="Y362" t="s">
        <v>19655</v>
      </c>
      <c r="Z362" t="s">
        <v>25937</v>
      </c>
      <c r="AA362">
        <v>0.86935478042712855</v>
      </c>
      <c r="AB362" t="str">
        <f>HYPERLINK("Melting_Curves/meltCurve_D6R9U7_POLR3G.pdf", "Melting_Curves/meltCurve_D6R9U7_POLR3G.pdf")</f>
        <v>Melting_Curves/meltCurve_D6R9U7_POLR3G.pdf</v>
      </c>
    </row>
    <row r="363" spans="1:28" x14ac:dyDescent="0.25">
      <c r="A363" t="s">
        <v>367</v>
      </c>
      <c r="B363">
        <v>0.99673306730245903</v>
      </c>
      <c r="C363">
        <v>0.91621435392113604</v>
      </c>
      <c r="D363">
        <v>0.93935550915622101</v>
      </c>
      <c r="E363">
        <v>1.26228816045999</v>
      </c>
      <c r="F363">
        <v>1.1477487235667401</v>
      </c>
      <c r="G363">
        <v>0.68688337706862901</v>
      </c>
      <c r="H363">
        <v>0.15899242816126399</v>
      </c>
      <c r="I363">
        <v>0.13514876875765</v>
      </c>
      <c r="J363">
        <v>0.117205098540376</v>
      </c>
      <c r="K363">
        <v>9.4383414709390406E-2</v>
      </c>
      <c r="L363">
        <v>11380.295719572799</v>
      </c>
      <c r="M363">
        <v>199.77514726032399</v>
      </c>
      <c r="N363">
        <v>57.048772451425499</v>
      </c>
      <c r="O363">
        <v>56.959821056210501</v>
      </c>
      <c r="P363">
        <v>-0.765966565643871</v>
      </c>
      <c r="Q363">
        <v>0.12643161268132599</v>
      </c>
      <c r="R363">
        <v>0.94814096301720296</v>
      </c>
      <c r="S363" t="s">
        <v>6815</v>
      </c>
      <c r="T363" t="s">
        <v>12902</v>
      </c>
      <c r="U363" t="s">
        <v>12902</v>
      </c>
      <c r="V363" t="s">
        <v>12902</v>
      </c>
      <c r="W363" t="s">
        <v>13261</v>
      </c>
      <c r="X363">
        <v>1</v>
      </c>
      <c r="Y363" t="s">
        <v>19656</v>
      </c>
      <c r="Z363" t="s">
        <v>25938</v>
      </c>
      <c r="AA363">
        <v>0.6205865445709724</v>
      </c>
      <c r="AB363" t="str">
        <f>HYPERLINK("Melting_Curves/meltCurve_D6RAC5_SSBP2.pdf", "Melting_Curves/meltCurve_D6RAC5_SSBP2.pdf")</f>
        <v>Melting_Curves/meltCurve_D6RAC5_SSBP2.pdf</v>
      </c>
    </row>
    <row r="364" spans="1:28" x14ac:dyDescent="0.25">
      <c r="A364" t="s">
        <v>368</v>
      </c>
      <c r="B364">
        <v>0.99673306730245903</v>
      </c>
      <c r="C364">
        <v>0.91677710955483405</v>
      </c>
      <c r="D364">
        <v>0.85656647050641099</v>
      </c>
      <c r="E364">
        <v>0.73117721286881499</v>
      </c>
      <c r="F364">
        <v>0.41049986315620501</v>
      </c>
      <c r="G364">
        <v>0.16628603701564601</v>
      </c>
      <c r="H364">
        <v>6.1700689562571999E-2</v>
      </c>
      <c r="I364">
        <v>4.2571738963705898E-2</v>
      </c>
      <c r="J364">
        <v>5.0979625682641798E-2</v>
      </c>
      <c r="K364">
        <v>5.2202501922300602E-2</v>
      </c>
      <c r="L364">
        <v>902.31765443329198</v>
      </c>
      <c r="M364">
        <v>17.406502861809699</v>
      </c>
      <c r="N364">
        <v>51.937460055005999</v>
      </c>
      <c r="O364">
        <v>51.168289263579098</v>
      </c>
      <c r="P364">
        <v>-8.3655504112046794E-2</v>
      </c>
      <c r="Q364">
        <v>1.6397940986615699E-2</v>
      </c>
      <c r="R364">
        <v>0.99361987083302605</v>
      </c>
      <c r="S364" t="s">
        <v>6816</v>
      </c>
      <c r="T364" t="s">
        <v>12902</v>
      </c>
      <c r="U364" t="s">
        <v>12902</v>
      </c>
      <c r="V364" t="s">
        <v>12902</v>
      </c>
      <c r="W364" t="s">
        <v>13262</v>
      </c>
      <c r="X364">
        <v>2</v>
      </c>
      <c r="Y364" t="s">
        <v>19657</v>
      </c>
      <c r="Z364" t="s">
        <v>25939</v>
      </c>
      <c r="AA364">
        <v>0.42189637039084471</v>
      </c>
      <c r="AB364" t="str">
        <f>HYPERLINK("Melting_Curves/meltCurve_D6RAR3_TMEM161B.pdf", "Melting_Curves/meltCurve_D6RAR3_TMEM161B.pdf")</f>
        <v>Melting_Curves/meltCurve_D6RAR3_TMEM161B.pdf</v>
      </c>
    </row>
    <row r="365" spans="1:28" x14ac:dyDescent="0.25">
      <c r="A365" t="s">
        <v>369</v>
      </c>
      <c r="B365">
        <v>0.99673306730245903</v>
      </c>
      <c r="C365">
        <v>0.96777562032345799</v>
      </c>
      <c r="D365">
        <v>0.84846471373664101</v>
      </c>
      <c r="E365">
        <v>0.67224012589123705</v>
      </c>
      <c r="F365">
        <v>0.43036739214668202</v>
      </c>
      <c r="G365">
        <v>0.22945410957669701</v>
      </c>
      <c r="H365">
        <v>0.149744633729473</v>
      </c>
      <c r="I365">
        <v>0.186337446745482</v>
      </c>
      <c r="J365">
        <v>0.25664727623028899</v>
      </c>
      <c r="K365">
        <v>0.23119291883741699</v>
      </c>
      <c r="L365">
        <v>977.56081069363404</v>
      </c>
      <c r="M365">
        <v>19.423505819082099</v>
      </c>
      <c r="N365">
        <v>51.606394948210998</v>
      </c>
      <c r="O365">
        <v>49.8043877515031</v>
      </c>
      <c r="P365">
        <v>-7.8891311681175899E-2</v>
      </c>
      <c r="Q365">
        <v>0.190879357959542</v>
      </c>
      <c r="R365">
        <v>0.98620338342090297</v>
      </c>
      <c r="S365" t="s">
        <v>6817</v>
      </c>
      <c r="T365" t="s">
        <v>12902</v>
      </c>
      <c r="U365" t="s">
        <v>12902</v>
      </c>
      <c r="V365" t="s">
        <v>12902</v>
      </c>
      <c r="W365" t="s">
        <v>13263</v>
      </c>
      <c r="X365">
        <v>4</v>
      </c>
      <c r="Y365" t="s">
        <v>19658</v>
      </c>
      <c r="Z365" t="s">
        <v>25940</v>
      </c>
      <c r="AA365">
        <v>0.4813534874987736</v>
      </c>
      <c r="AB365" t="str">
        <f>HYPERLINK("Melting_Curves/meltCurve_D6RB34_IRF2.pdf", "Melting_Curves/meltCurve_D6RB34_IRF2.pdf")</f>
        <v>Melting_Curves/meltCurve_D6RB34_IRF2.pdf</v>
      </c>
    </row>
    <row r="366" spans="1:28" x14ac:dyDescent="0.25">
      <c r="A366" t="s">
        <v>370</v>
      </c>
      <c r="B366">
        <v>0.99673306730245903</v>
      </c>
      <c r="C366">
        <v>1.0683510289385201</v>
      </c>
      <c r="D366">
        <v>0.99746641514637302</v>
      </c>
      <c r="E366">
        <v>0.82652841326585202</v>
      </c>
      <c r="F366">
        <v>0.56784546564499505</v>
      </c>
      <c r="G366">
        <v>0.31062984750331102</v>
      </c>
      <c r="H366">
        <v>0.15389775172917999</v>
      </c>
      <c r="I366">
        <v>8.7418646138232706E-2</v>
      </c>
      <c r="J366">
        <v>4.97204790776919E-2</v>
      </c>
      <c r="K366">
        <v>5.2095064437019299E-2</v>
      </c>
      <c r="L366">
        <v>1015.72625825138</v>
      </c>
      <c r="M366">
        <v>18.856184001858001</v>
      </c>
      <c r="N366">
        <v>54.108592946483199</v>
      </c>
      <c r="O366">
        <v>53.272130108903802</v>
      </c>
      <c r="P366">
        <v>-8.4921032461859405E-2</v>
      </c>
      <c r="Q366">
        <v>4.03703308528695E-2</v>
      </c>
      <c r="R366">
        <v>0.99536854038722999</v>
      </c>
      <c r="S366" t="s">
        <v>6818</v>
      </c>
      <c r="T366" t="s">
        <v>12902</v>
      </c>
      <c r="U366" t="s">
        <v>12902</v>
      </c>
      <c r="V366" t="s">
        <v>12902</v>
      </c>
      <c r="W366" t="s">
        <v>13264</v>
      </c>
      <c r="X366">
        <v>3</v>
      </c>
      <c r="Y366" t="s">
        <v>19659</v>
      </c>
      <c r="Z366" t="s">
        <v>25941</v>
      </c>
      <c r="AA366">
        <v>0.49829592993223648</v>
      </c>
      <c r="AB366" t="str">
        <f>HYPERLINK("Melting_Curves/meltCurve_D6RBE3_FAM173B.pdf", "Melting_Curves/meltCurve_D6RBE3_FAM173B.pdf")</f>
        <v>Melting_Curves/meltCurve_D6RBE3_FAM173B.pdf</v>
      </c>
    </row>
    <row r="367" spans="1:28" x14ac:dyDescent="0.25">
      <c r="A367" t="s">
        <v>371</v>
      </c>
      <c r="B367">
        <v>0.99673306730245903</v>
      </c>
      <c r="C367">
        <v>1.0440273123833299</v>
      </c>
      <c r="D367">
        <v>1.01335959744061</v>
      </c>
      <c r="E367">
        <v>0.97427166268701104</v>
      </c>
      <c r="F367">
        <v>0.72228781863288405</v>
      </c>
      <c r="G367">
        <v>0.35703705207783398</v>
      </c>
      <c r="H367">
        <v>0.10123370053773401</v>
      </c>
      <c r="I367">
        <v>8.5507041057328495E-2</v>
      </c>
      <c r="J367">
        <v>9.5089636579423695E-2</v>
      </c>
      <c r="K367">
        <v>8.8341962894333104E-2</v>
      </c>
      <c r="L367">
        <v>1568.6063227549701</v>
      </c>
      <c r="M367">
        <v>28.555830059950399</v>
      </c>
      <c r="N367">
        <v>55.251585320121798</v>
      </c>
      <c r="O367">
        <v>54.6639441331074</v>
      </c>
      <c r="P367">
        <v>-0.120633761694249</v>
      </c>
      <c r="Q367">
        <v>7.6298749873896204E-2</v>
      </c>
      <c r="R367">
        <v>0.99744348959698004</v>
      </c>
      <c r="S367" t="s">
        <v>6819</v>
      </c>
      <c r="T367" t="s">
        <v>12902</v>
      </c>
      <c r="U367" t="s">
        <v>12902</v>
      </c>
      <c r="V367" t="s">
        <v>12902</v>
      </c>
      <c r="W367" t="s">
        <v>13265</v>
      </c>
      <c r="X367">
        <v>11</v>
      </c>
      <c r="Y367" t="s">
        <v>19660</v>
      </c>
      <c r="Z367" t="s">
        <v>25942</v>
      </c>
      <c r="AA367">
        <v>0.54274917952464585</v>
      </c>
      <c r="AB367" t="str">
        <f>HYPERLINK("Melting_Curves/meltCurve_D6RBW1_EIF4E.pdf", "Melting_Curves/meltCurve_D6RBW1_EIF4E.pdf")</f>
        <v>Melting_Curves/meltCurve_D6RBW1_EIF4E.pdf</v>
      </c>
    </row>
    <row r="368" spans="1:28" x14ac:dyDescent="0.25">
      <c r="A368" t="s">
        <v>372</v>
      </c>
      <c r="B368">
        <v>0.99673306730245903</v>
      </c>
      <c r="C368">
        <v>0.90542126386206201</v>
      </c>
      <c r="D368">
        <v>0.67555613033254103</v>
      </c>
      <c r="E368">
        <v>0.36612742732383102</v>
      </c>
      <c r="F368">
        <v>0.30504442205204202</v>
      </c>
      <c r="G368">
        <v>0.24491922319734699</v>
      </c>
      <c r="H368">
        <v>0.174724047255857</v>
      </c>
      <c r="I368">
        <v>0.14327671526132199</v>
      </c>
      <c r="J368">
        <v>2.95727682230362E-2</v>
      </c>
      <c r="K368">
        <v>0</v>
      </c>
      <c r="L368">
        <v>648.05503344736599</v>
      </c>
      <c r="M368">
        <v>13.4046916979824</v>
      </c>
      <c r="N368">
        <v>48.846214602298701</v>
      </c>
      <c r="O368">
        <v>47.307478872112597</v>
      </c>
      <c r="P368">
        <v>-6.6300358035849494E-2</v>
      </c>
      <c r="Q368">
        <v>6.4205188274669797E-2</v>
      </c>
      <c r="R368">
        <v>0.97121707944323399</v>
      </c>
      <c r="S368" t="s">
        <v>6820</v>
      </c>
      <c r="T368" t="s">
        <v>12902</v>
      </c>
      <c r="U368" t="s">
        <v>12902</v>
      </c>
      <c r="V368" t="s">
        <v>12902</v>
      </c>
      <c r="W368" t="s">
        <v>13266</v>
      </c>
      <c r="X368">
        <v>1</v>
      </c>
      <c r="Y368" t="s">
        <v>19661</v>
      </c>
      <c r="Z368" t="s">
        <v>25943</v>
      </c>
      <c r="AA368">
        <v>0.3538804851345479</v>
      </c>
      <c r="AB368" t="str">
        <f>HYPERLINK("Melting_Curves/meltCurve_D6RCC7_FAM135A.pdf", "Melting_Curves/meltCurve_D6RCC7_FAM135A.pdf")</f>
        <v>Melting_Curves/meltCurve_D6RCC7_FAM135A.pdf</v>
      </c>
    </row>
    <row r="369" spans="1:28" x14ac:dyDescent="0.25">
      <c r="A369" t="s">
        <v>373</v>
      </c>
      <c r="B369">
        <v>0.99673306730245903</v>
      </c>
      <c r="C369">
        <v>0.95781612234906</v>
      </c>
      <c r="D369">
        <v>0.87428233314008197</v>
      </c>
      <c r="E369">
        <v>0.72149368980860096</v>
      </c>
      <c r="F369">
        <v>0.48507789855053601</v>
      </c>
      <c r="G369">
        <v>0.23524314396565499</v>
      </c>
      <c r="H369">
        <v>0.119783074000912</v>
      </c>
      <c r="I369">
        <v>0.100498040524616</v>
      </c>
      <c r="J369">
        <v>0.158425815386217</v>
      </c>
      <c r="K369">
        <v>6.7747888260816805E-2</v>
      </c>
      <c r="L369">
        <v>852.62702916187902</v>
      </c>
      <c r="M369">
        <v>16.3802593136528</v>
      </c>
      <c r="N369">
        <v>52.548705530812903</v>
      </c>
      <c r="O369">
        <v>51.294862243847099</v>
      </c>
      <c r="P369">
        <v>-7.4114599416875898E-2</v>
      </c>
      <c r="Q369">
        <v>7.1705466521347405E-2</v>
      </c>
      <c r="R369">
        <v>0.99372312008791097</v>
      </c>
      <c r="S369" t="s">
        <v>6821</v>
      </c>
      <c r="T369" t="s">
        <v>12902</v>
      </c>
      <c r="U369" t="s">
        <v>12902</v>
      </c>
      <c r="V369" t="s">
        <v>12902</v>
      </c>
      <c r="W369" t="s">
        <v>13267</v>
      </c>
      <c r="X369">
        <v>6</v>
      </c>
      <c r="Y369" t="s">
        <v>19662</v>
      </c>
      <c r="Z369" t="s">
        <v>25944</v>
      </c>
      <c r="AA369">
        <v>0.46268228487830648</v>
      </c>
      <c r="AB369" t="str">
        <f>HYPERLINK("Melting_Curves/meltCurve_D6RCD0_HSD17B11.pdf", "Melting_Curves/meltCurve_D6RCD0_HSD17B11.pdf")</f>
        <v>Melting_Curves/meltCurve_D6RCD0_HSD17B11.pdf</v>
      </c>
    </row>
    <row r="370" spans="1:28" x14ac:dyDescent="0.25">
      <c r="A370" t="s">
        <v>374</v>
      </c>
      <c r="B370">
        <v>0.99673306730245903</v>
      </c>
      <c r="C370">
        <v>0.90395040979814301</v>
      </c>
      <c r="D370">
        <v>0.81186794123621198</v>
      </c>
      <c r="E370">
        <v>0.40007810190739501</v>
      </c>
      <c r="F370">
        <v>0.22095428073177301</v>
      </c>
      <c r="G370">
        <v>0.15404406280330099</v>
      </c>
      <c r="H370">
        <v>0.10221856654932</v>
      </c>
      <c r="I370">
        <v>0.11218631192195699</v>
      </c>
      <c r="J370">
        <v>0.12767011494001501</v>
      </c>
      <c r="K370">
        <v>0.12570932236150101</v>
      </c>
      <c r="L370">
        <v>1109.92463017162</v>
      </c>
      <c r="M370">
        <v>23.022747618632401</v>
      </c>
      <c r="N370">
        <v>48.775396752833601</v>
      </c>
      <c r="O370">
        <v>47.850610723571201</v>
      </c>
      <c r="P370">
        <v>-0.10619733119356201</v>
      </c>
      <c r="Q370">
        <v>0.117131976433884</v>
      </c>
      <c r="R370">
        <v>0.996064392937558</v>
      </c>
      <c r="S370" t="s">
        <v>6822</v>
      </c>
      <c r="T370" t="s">
        <v>12902</v>
      </c>
      <c r="U370" t="s">
        <v>12902</v>
      </c>
      <c r="V370" t="s">
        <v>12902</v>
      </c>
      <c r="W370" t="s">
        <v>13268</v>
      </c>
      <c r="X370">
        <v>11</v>
      </c>
      <c r="Y370" t="s">
        <v>19663</v>
      </c>
      <c r="Z370" t="s">
        <v>25945</v>
      </c>
      <c r="AA370">
        <v>0.36802553845111352</v>
      </c>
      <c r="AB370" t="str">
        <f>HYPERLINK("Melting_Curves/meltCurve_D6REA0_PET112.pdf", "Melting_Curves/meltCurve_D6REA0_PET112.pdf")</f>
        <v>Melting_Curves/meltCurve_D6REA0_PET112.pdf</v>
      </c>
    </row>
    <row r="371" spans="1:28" x14ac:dyDescent="0.25">
      <c r="A371" t="s">
        <v>375</v>
      </c>
      <c r="B371">
        <v>0.99673306730245903</v>
      </c>
      <c r="C371">
        <v>0.91523292578459003</v>
      </c>
      <c r="D371">
        <v>0.741981888091512</v>
      </c>
      <c r="E371">
        <v>0.38678184681161198</v>
      </c>
      <c r="F371">
        <v>0.18091137200597199</v>
      </c>
      <c r="G371">
        <v>9.6704747261690704E-2</v>
      </c>
      <c r="H371">
        <v>3.90682097119774E-2</v>
      </c>
      <c r="I371">
        <v>3.1049671984222E-2</v>
      </c>
      <c r="J371">
        <v>3.7348664338529597E-2</v>
      </c>
      <c r="K371">
        <v>2.1125155421433402E-2</v>
      </c>
      <c r="L371">
        <v>919.63189609792505</v>
      </c>
      <c r="M371">
        <v>19.016188235315401</v>
      </c>
      <c r="N371">
        <v>48.501315083614003</v>
      </c>
      <c r="O371">
        <v>47.835197461918803</v>
      </c>
      <c r="P371">
        <v>-9.6718118598978206E-2</v>
      </c>
      <c r="Q371">
        <v>2.68615117136328E-2</v>
      </c>
      <c r="R371">
        <v>0.99930751268826501</v>
      </c>
      <c r="S371" t="s">
        <v>6823</v>
      </c>
      <c r="T371" t="s">
        <v>12902</v>
      </c>
      <c r="U371" t="s">
        <v>12902</v>
      </c>
      <c r="V371" t="s">
        <v>12902</v>
      </c>
      <c r="W371" t="s">
        <v>13269</v>
      </c>
      <c r="X371">
        <v>1</v>
      </c>
      <c r="Y371" t="s">
        <v>19664</v>
      </c>
      <c r="Z371" t="s">
        <v>25946</v>
      </c>
      <c r="AA371">
        <v>0.31331899496847659</v>
      </c>
      <c r="AB371" t="str">
        <f>HYPERLINK("Melting_Curves/meltCurve_D6REE2_DTWD2.pdf", "Melting_Curves/meltCurve_D6REE2_DTWD2.pdf")</f>
        <v>Melting_Curves/meltCurve_D6REE2_DTWD2.pdf</v>
      </c>
    </row>
    <row r="372" spans="1:28" x14ac:dyDescent="0.25">
      <c r="A372" t="s">
        <v>376</v>
      </c>
      <c r="B372">
        <v>0.99673306730245903</v>
      </c>
      <c r="C372">
        <v>0.98179105556603596</v>
      </c>
      <c r="D372">
        <v>0.89991862623107599</v>
      </c>
      <c r="E372">
        <v>0.86301887095667795</v>
      </c>
      <c r="F372">
        <v>0.64881482398962098</v>
      </c>
      <c r="G372">
        <v>0.59518759606192295</v>
      </c>
      <c r="H372">
        <v>0.680543460707697</v>
      </c>
      <c r="I372">
        <v>1.2739520480672699</v>
      </c>
      <c r="J372">
        <v>1.5065308706118199</v>
      </c>
      <c r="K372">
        <v>1.89033849682759</v>
      </c>
      <c r="L372">
        <v>15000</v>
      </c>
      <c r="M372">
        <v>234.56715400541901</v>
      </c>
      <c r="O372">
        <v>63.942935366841802</v>
      </c>
      <c r="P372">
        <v>0.458547913470853</v>
      </c>
      <c r="Q372">
        <v>1.5</v>
      </c>
      <c r="R372">
        <v>0.62726743148223896</v>
      </c>
      <c r="S372" t="s">
        <v>6824</v>
      </c>
      <c r="T372" t="s">
        <v>12902</v>
      </c>
      <c r="U372" t="s">
        <v>12902</v>
      </c>
      <c r="V372" t="s">
        <v>12902</v>
      </c>
      <c r="W372" t="s">
        <v>13270</v>
      </c>
      <c r="X372">
        <v>1</v>
      </c>
      <c r="Y372" t="s">
        <v>19665</v>
      </c>
      <c r="Z372" t="s">
        <v>25947</v>
      </c>
      <c r="AA372">
        <v>1.100810055800036</v>
      </c>
      <c r="AB372" t="str">
        <f>HYPERLINK("Melting_Curves/meltCurve_D6REL0_CDC42SE2.pdf", "Melting_Curves/meltCurve_D6REL0_CDC42SE2.pdf")</f>
        <v>Melting_Curves/meltCurve_D6REL0_CDC42SE2.pdf</v>
      </c>
    </row>
    <row r="373" spans="1:28" x14ac:dyDescent="0.25">
      <c r="A373" t="s">
        <v>377</v>
      </c>
      <c r="B373">
        <v>0.99673306730245903</v>
      </c>
      <c r="C373">
        <v>0.86382361468413504</v>
      </c>
      <c r="D373">
        <v>0.86024885354937697</v>
      </c>
      <c r="E373">
        <v>0.82925878023576804</v>
      </c>
      <c r="F373">
        <v>1.0677975844565999</v>
      </c>
      <c r="G373">
        <v>0.97199730354497105</v>
      </c>
      <c r="H373">
        <v>0.49190935033150301</v>
      </c>
      <c r="I373">
        <v>0.16854216425306101</v>
      </c>
      <c r="J373">
        <v>0.198431350303824</v>
      </c>
      <c r="K373">
        <v>0.18230265912670801</v>
      </c>
      <c r="L373">
        <v>15000</v>
      </c>
      <c r="M373">
        <v>247.20843506662399</v>
      </c>
      <c r="N373">
        <v>60.789659459661202</v>
      </c>
      <c r="O373">
        <v>60.673582558706798</v>
      </c>
      <c r="P373">
        <v>-0.83210326098923304</v>
      </c>
      <c r="Q373">
        <v>0.18309137880006299</v>
      </c>
      <c r="R373">
        <v>0.93902285947119002</v>
      </c>
      <c r="S373" t="s">
        <v>6825</v>
      </c>
      <c r="T373" t="s">
        <v>12902</v>
      </c>
      <c r="U373" t="s">
        <v>12902</v>
      </c>
      <c r="V373" t="s">
        <v>12902</v>
      </c>
      <c r="W373" t="s">
        <v>13271</v>
      </c>
      <c r="X373">
        <v>2</v>
      </c>
      <c r="Y373" t="s">
        <v>19666</v>
      </c>
      <c r="Z373" t="s">
        <v>25948</v>
      </c>
      <c r="AA373">
        <v>0.74623573472559424</v>
      </c>
      <c r="AB373" t="str">
        <f>HYPERLINK("Melting_Curves/meltCurve_D6REL5_FAM175A.pdf", "Melting_Curves/meltCurve_D6REL5_FAM175A.pdf")</f>
        <v>Melting_Curves/meltCurve_D6REL5_FAM175A.pdf</v>
      </c>
    </row>
    <row r="374" spans="1:28" x14ac:dyDescent="0.25">
      <c r="A374" t="s">
        <v>378</v>
      </c>
      <c r="B374">
        <v>0.99673306730245903</v>
      </c>
      <c r="C374">
        <v>0.892998005114368</v>
      </c>
      <c r="D374">
        <v>0.85082254072588304</v>
      </c>
      <c r="E374">
        <v>0.47895948102571601</v>
      </c>
      <c r="F374">
        <v>0.24924672484820401</v>
      </c>
      <c r="G374">
        <v>0.16913572197969701</v>
      </c>
      <c r="H374">
        <v>0.107308630691649</v>
      </c>
      <c r="I374">
        <v>9.4248010140674895E-2</v>
      </c>
      <c r="J374">
        <v>9.3806931177633196E-2</v>
      </c>
      <c r="K374">
        <v>6.2502065810803697E-2</v>
      </c>
      <c r="L374">
        <v>947.23726940181905</v>
      </c>
      <c r="M374">
        <v>19.274229178261798</v>
      </c>
      <c r="N374">
        <v>49.608328902845798</v>
      </c>
      <c r="O374">
        <v>48.625420415652599</v>
      </c>
      <c r="P374">
        <v>-9.0940622295103496E-2</v>
      </c>
      <c r="Q374">
        <v>8.2327172290091802E-2</v>
      </c>
      <c r="R374">
        <v>0.99477470942452695</v>
      </c>
      <c r="S374" t="s">
        <v>6826</v>
      </c>
      <c r="T374" t="s">
        <v>12902</v>
      </c>
      <c r="U374" t="s">
        <v>12902</v>
      </c>
      <c r="V374" t="s">
        <v>12902</v>
      </c>
      <c r="W374" t="s">
        <v>13272</v>
      </c>
      <c r="X374">
        <v>21</v>
      </c>
      <c r="Y374" t="s">
        <v>19667</v>
      </c>
      <c r="Z374" t="s">
        <v>25949</v>
      </c>
      <c r="AA374">
        <v>0.37590351425351981</v>
      </c>
      <c r="AB374" t="str">
        <f>HYPERLINK("Melting_Curves/meltCurve_D6REX3_SEC31A.pdf", "Melting_Curves/meltCurve_D6REX3_SEC31A.pdf")</f>
        <v>Melting_Curves/meltCurve_D6REX3_SEC31A.pdf</v>
      </c>
    </row>
    <row r="375" spans="1:28" x14ac:dyDescent="0.25">
      <c r="A375" t="s">
        <v>379</v>
      </c>
      <c r="B375">
        <v>0.99673306730245903</v>
      </c>
      <c r="C375">
        <v>0.97284289360626597</v>
      </c>
      <c r="D375">
        <v>0.860978548337751</v>
      </c>
      <c r="E375">
        <v>0.53226707317192201</v>
      </c>
      <c r="F375">
        <v>0.27827239770543</v>
      </c>
      <c r="G375">
        <v>0.143680218832545</v>
      </c>
      <c r="H375">
        <v>9.0746360735753304E-2</v>
      </c>
      <c r="I375">
        <v>8.4692579600020204E-2</v>
      </c>
      <c r="J375">
        <v>9.9230039245351898E-2</v>
      </c>
      <c r="K375">
        <v>9.8284119279480997E-2</v>
      </c>
      <c r="L375">
        <v>1052.74440677399</v>
      </c>
      <c r="M375">
        <v>21.221393424610401</v>
      </c>
      <c r="N375">
        <v>50.058963794256897</v>
      </c>
      <c r="O375">
        <v>49.173487326781697</v>
      </c>
      <c r="P375">
        <v>-9.8500062970255001E-2</v>
      </c>
      <c r="Q375">
        <v>8.7059521822455105E-2</v>
      </c>
      <c r="R375">
        <v>0.99933088826154204</v>
      </c>
      <c r="S375" t="s">
        <v>6827</v>
      </c>
      <c r="T375" t="s">
        <v>12902</v>
      </c>
      <c r="U375" t="s">
        <v>12902</v>
      </c>
      <c r="V375" t="s">
        <v>12902</v>
      </c>
      <c r="W375" t="s">
        <v>13273</v>
      </c>
      <c r="X375">
        <v>4</v>
      </c>
      <c r="Y375" t="s">
        <v>19668</v>
      </c>
      <c r="Z375" t="s">
        <v>25950</v>
      </c>
      <c r="AA375">
        <v>0.39074868435483412</v>
      </c>
      <c r="AB375" t="str">
        <f>HYPERLINK("Melting_Curves/meltCurve_D6RF48_STX18.pdf", "Melting_Curves/meltCurve_D6RF48_STX18.pdf")</f>
        <v>Melting_Curves/meltCurve_D6RF48_STX18.pdf</v>
      </c>
    </row>
    <row r="376" spans="1:28" x14ac:dyDescent="0.25">
      <c r="A376" t="s">
        <v>380</v>
      </c>
      <c r="B376">
        <v>0.99673306730245903</v>
      </c>
      <c r="C376">
        <v>1.0505810659605901</v>
      </c>
      <c r="D376">
        <v>1.0184536474881101</v>
      </c>
      <c r="E376">
        <v>1.0222218590471299</v>
      </c>
      <c r="F376">
        <v>0.79782435837474397</v>
      </c>
      <c r="G376">
        <v>0.39557159972626799</v>
      </c>
      <c r="H376">
        <v>0.12770139523280999</v>
      </c>
      <c r="I376">
        <v>8.8550365896558403E-2</v>
      </c>
      <c r="J376">
        <v>7.9651749952105E-2</v>
      </c>
      <c r="K376">
        <v>7.4681383048441602E-2</v>
      </c>
      <c r="L376">
        <v>1722.24446171981</v>
      </c>
      <c r="M376">
        <v>30.9904464316174</v>
      </c>
      <c r="N376">
        <v>55.858476291951398</v>
      </c>
      <c r="O376">
        <v>55.343536004755698</v>
      </c>
      <c r="P376">
        <v>-0.12975248546718199</v>
      </c>
      <c r="Q376">
        <v>7.3144009009550204E-2</v>
      </c>
      <c r="R376">
        <v>0.99709101991932003</v>
      </c>
      <c r="S376" t="s">
        <v>6828</v>
      </c>
      <c r="T376" t="s">
        <v>12902</v>
      </c>
      <c r="U376" t="s">
        <v>12902</v>
      </c>
      <c r="V376" t="s">
        <v>12902</v>
      </c>
      <c r="W376" t="s">
        <v>13274</v>
      </c>
      <c r="X376">
        <v>9</v>
      </c>
      <c r="Y376" t="s">
        <v>19669</v>
      </c>
      <c r="Z376" t="s">
        <v>25951</v>
      </c>
      <c r="AA376">
        <v>0.56009476479257136</v>
      </c>
      <c r="AB376" t="str">
        <f>HYPERLINK("Melting_Curves/meltCurve_D6RFG8_DCK.pdf", "Melting_Curves/meltCurve_D6RFG8_DCK.pdf")</f>
        <v>Melting_Curves/meltCurve_D6RFG8_DCK.pdf</v>
      </c>
    </row>
    <row r="377" spans="1:28" x14ac:dyDescent="0.25">
      <c r="A377" t="s">
        <v>381</v>
      </c>
      <c r="B377">
        <v>0.99673306730245903</v>
      </c>
      <c r="C377">
        <v>1.0025133524919601</v>
      </c>
      <c r="D377">
        <v>0.89371189933925199</v>
      </c>
      <c r="E377">
        <v>0.74913500771027397</v>
      </c>
      <c r="F377">
        <v>0.72209580911843196</v>
      </c>
      <c r="G377">
        <v>0.42196644538636602</v>
      </c>
      <c r="H377">
        <v>0.32741760072773102</v>
      </c>
      <c r="I377">
        <v>0.29056045483682802</v>
      </c>
      <c r="J377">
        <v>0.27021845573759401</v>
      </c>
      <c r="K377">
        <v>0.27296107739416198</v>
      </c>
      <c r="L377">
        <v>717.78136490028601</v>
      </c>
      <c r="M377">
        <v>13.399164040414901</v>
      </c>
      <c r="N377">
        <v>55.959636019183499</v>
      </c>
      <c r="O377">
        <v>52.418130586222198</v>
      </c>
      <c r="P377">
        <v>-4.9987163973801402E-2</v>
      </c>
      <c r="Q377">
        <v>0.21791473214676099</v>
      </c>
      <c r="R377">
        <v>0.98085444889687101</v>
      </c>
      <c r="S377" t="s">
        <v>6829</v>
      </c>
      <c r="T377" t="s">
        <v>12902</v>
      </c>
      <c r="U377" t="s">
        <v>12902</v>
      </c>
      <c r="V377" t="s">
        <v>12902</v>
      </c>
      <c r="W377" t="s">
        <v>13275</v>
      </c>
      <c r="X377">
        <v>2</v>
      </c>
      <c r="Y377" t="s">
        <v>19670</v>
      </c>
      <c r="Z377" t="s">
        <v>25952</v>
      </c>
      <c r="AA377">
        <v>0.59050642900033212</v>
      </c>
      <c r="AB377" t="str">
        <f>HYPERLINK("Melting_Curves/meltCurve_D6RFL4_CD14.pdf", "Melting_Curves/meltCurve_D6RFL4_CD14.pdf")</f>
        <v>Melting_Curves/meltCurve_D6RFL4_CD14.pdf</v>
      </c>
    </row>
    <row r="378" spans="1:28" x14ac:dyDescent="0.25">
      <c r="A378" t="s">
        <v>382</v>
      </c>
      <c r="B378">
        <v>0.99673306730245903</v>
      </c>
      <c r="C378">
        <v>0.94912754715960301</v>
      </c>
      <c r="D378">
        <v>0.99765918476775295</v>
      </c>
      <c r="E378">
        <v>1.0492046924698299</v>
      </c>
      <c r="F378">
        <v>0.98831467402258399</v>
      </c>
      <c r="G378">
        <v>0.78517023341701198</v>
      </c>
      <c r="H378">
        <v>0.61608984688519897</v>
      </c>
      <c r="I378">
        <v>0.48600951803077602</v>
      </c>
      <c r="J378">
        <v>0.13192998098325601</v>
      </c>
      <c r="K378">
        <v>8.9611561367847398E-2</v>
      </c>
      <c r="L378">
        <v>1162.59105067768</v>
      </c>
      <c r="M378">
        <v>18.639698712678001</v>
      </c>
      <c r="N378">
        <v>62.371774742811901</v>
      </c>
      <c r="O378">
        <v>61.667178104098497</v>
      </c>
      <c r="P378">
        <v>-7.5568968536140604E-2</v>
      </c>
      <c r="Q378">
        <v>0</v>
      </c>
      <c r="R378">
        <v>0.97495356931209198</v>
      </c>
      <c r="S378" t="s">
        <v>6830</v>
      </c>
      <c r="T378" t="s">
        <v>12902</v>
      </c>
      <c r="U378" t="s">
        <v>12902</v>
      </c>
      <c r="V378" t="s">
        <v>12902</v>
      </c>
      <c r="W378" t="s">
        <v>13276</v>
      </c>
      <c r="X378">
        <v>18</v>
      </c>
      <c r="Y378" t="s">
        <v>19671</v>
      </c>
      <c r="Z378" t="s">
        <v>25953</v>
      </c>
      <c r="AA378">
        <v>0.74627757902452108</v>
      </c>
      <c r="AB378" t="str">
        <f>HYPERLINK("Melting_Curves/meltCurve_D6RGI3_SEPT11.pdf", "Melting_Curves/meltCurve_D6RGI3_SEPT11.pdf")</f>
        <v>Melting_Curves/meltCurve_D6RGI3_SEPT11.pdf</v>
      </c>
    </row>
    <row r="379" spans="1:28" x14ac:dyDescent="0.25">
      <c r="A379" t="s">
        <v>383</v>
      </c>
      <c r="B379">
        <v>0.99673306730245903</v>
      </c>
      <c r="C379">
        <v>0.98983335977390796</v>
      </c>
      <c r="D379">
        <v>0.82957956424281598</v>
      </c>
      <c r="E379">
        <v>0.59894119720557304</v>
      </c>
      <c r="F379">
        <v>0.48023907065694099</v>
      </c>
      <c r="G379">
        <v>0.34514908152166002</v>
      </c>
      <c r="H379">
        <v>0.311456950888157</v>
      </c>
      <c r="I379">
        <v>0.31964107360424998</v>
      </c>
      <c r="J379">
        <v>0.49370247092981201</v>
      </c>
      <c r="K379">
        <v>0.40355076971243498</v>
      </c>
      <c r="L379">
        <v>1099.26269709807</v>
      </c>
      <c r="M379">
        <v>22.7681073386862</v>
      </c>
      <c r="N379">
        <v>51.422425646889202</v>
      </c>
      <c r="O379">
        <v>47.912986217870703</v>
      </c>
      <c r="P379">
        <v>-7.4181258694735797E-2</v>
      </c>
      <c r="Q379">
        <v>0.375586859245926</v>
      </c>
      <c r="R379">
        <v>0.95752492068014705</v>
      </c>
      <c r="S379" t="s">
        <v>6831</v>
      </c>
      <c r="T379" t="s">
        <v>12902</v>
      </c>
      <c r="U379" t="s">
        <v>12902</v>
      </c>
      <c r="V379" t="s">
        <v>12902</v>
      </c>
      <c r="W379" t="s">
        <v>13277</v>
      </c>
      <c r="X379">
        <v>2</v>
      </c>
      <c r="Y379" t="s">
        <v>19672</v>
      </c>
      <c r="Z379" t="s">
        <v>25954</v>
      </c>
      <c r="AA379">
        <v>0.55466158833319767</v>
      </c>
      <c r="AB379" t="str">
        <f>HYPERLINK("Melting_Curves/meltCurve_D6RHD3_CENPK.pdf", "Melting_Curves/meltCurve_D6RHD3_CENPK.pdf")</f>
        <v>Melting_Curves/meltCurve_D6RHD3_CENPK.pdf</v>
      </c>
    </row>
    <row r="380" spans="1:28" x14ac:dyDescent="0.25">
      <c r="A380" t="s">
        <v>384</v>
      </c>
      <c r="B380">
        <v>0.99673306730245903</v>
      </c>
      <c r="C380">
        <v>1.01826715728543</v>
      </c>
      <c r="D380">
        <v>0.99690443475232804</v>
      </c>
      <c r="E380">
        <v>0.94185286141695101</v>
      </c>
      <c r="F380">
        <v>0.94606547282960396</v>
      </c>
      <c r="G380">
        <v>0.71015157709255605</v>
      </c>
      <c r="H380">
        <v>0.49128179731953697</v>
      </c>
      <c r="I380">
        <v>0.51288900053714104</v>
      </c>
      <c r="J380">
        <v>0.53398841009084197</v>
      </c>
      <c r="K380">
        <v>0.52476553079464205</v>
      </c>
      <c r="L380">
        <v>2374.2789363378602</v>
      </c>
      <c r="M380">
        <v>42.273837522861498</v>
      </c>
      <c r="O380">
        <v>56.0390430560402</v>
      </c>
      <c r="P380">
        <v>-9.2040327823015397E-2</v>
      </c>
      <c r="Q380">
        <v>0.51195904260057601</v>
      </c>
      <c r="R380">
        <v>0.98779314177490196</v>
      </c>
      <c r="S380" t="s">
        <v>6832</v>
      </c>
      <c r="T380" t="s">
        <v>12902</v>
      </c>
      <c r="U380" t="s">
        <v>12902</v>
      </c>
      <c r="V380" t="s">
        <v>12902</v>
      </c>
      <c r="W380" t="s">
        <v>13278</v>
      </c>
      <c r="X380">
        <v>8</v>
      </c>
      <c r="Y380" t="s">
        <v>19673</v>
      </c>
      <c r="Z380" t="s">
        <v>25955</v>
      </c>
      <c r="AA380">
        <v>0.77660664463555207</v>
      </c>
      <c r="AB380" t="str">
        <f>HYPERLINK("Melting_Curves/meltCurve_D6RHI9_RNASET2.pdf", "Melting_Curves/meltCurve_D6RHI9_RNASET2.pdf")</f>
        <v>Melting_Curves/meltCurve_D6RHI9_RNASET2.pdf</v>
      </c>
    </row>
    <row r="381" spans="1:28" x14ac:dyDescent="0.25">
      <c r="A381" t="s">
        <v>385</v>
      </c>
      <c r="B381">
        <v>0.99673306730245903</v>
      </c>
      <c r="C381">
        <v>1.15356406794962</v>
      </c>
      <c r="D381">
        <v>1.0639705175183001</v>
      </c>
      <c r="E381">
        <v>1.0355168311296801</v>
      </c>
      <c r="F381">
        <v>1.06640946724835</v>
      </c>
      <c r="G381">
        <v>1.2378748098725201</v>
      </c>
      <c r="H381">
        <v>0.85213107387509102</v>
      </c>
      <c r="I381">
        <v>0.96564097126652204</v>
      </c>
      <c r="J381">
        <v>0.88145692892340499</v>
      </c>
      <c r="K381">
        <v>0.63048993486983995</v>
      </c>
      <c r="L381">
        <v>2043.03834411916</v>
      </c>
      <c r="M381">
        <v>28.6212473919248</v>
      </c>
      <c r="Q381">
        <v>0</v>
      </c>
      <c r="R381">
        <v>0.57819754706696203</v>
      </c>
      <c r="S381" t="s">
        <v>6833</v>
      </c>
      <c r="T381" t="s">
        <v>12902</v>
      </c>
      <c r="U381" t="s">
        <v>12902</v>
      </c>
      <c r="V381" t="s">
        <v>12902</v>
      </c>
      <c r="W381" t="s">
        <v>13279</v>
      </c>
      <c r="X381">
        <v>4</v>
      </c>
      <c r="Y381" t="s">
        <v>19674</v>
      </c>
      <c r="Z381" t="s">
        <v>25956</v>
      </c>
      <c r="AA381">
        <v>0.9665146450120109</v>
      </c>
      <c r="AB381" t="str">
        <f>HYPERLINK("Melting_Curves/meltCurve_D6RIE3_COX7A2.pdf", "Melting_Curves/meltCurve_D6RIE3_COX7A2.pdf")</f>
        <v>Melting_Curves/meltCurve_D6RIE3_COX7A2.pdf</v>
      </c>
    </row>
    <row r="382" spans="1:28" x14ac:dyDescent="0.25">
      <c r="A382" t="s">
        <v>386</v>
      </c>
      <c r="B382">
        <v>0.99673306730245903</v>
      </c>
      <c r="C382">
        <v>1.06872548068939</v>
      </c>
      <c r="D382">
        <v>0.89499768487102804</v>
      </c>
      <c r="E382">
        <v>0.81128549173184605</v>
      </c>
      <c r="F382">
        <v>0.74329093826567205</v>
      </c>
      <c r="G382">
        <v>0.53646045367112505</v>
      </c>
      <c r="H382">
        <v>0.28362626303885302</v>
      </c>
      <c r="I382">
        <v>0.13996855699058</v>
      </c>
      <c r="J382">
        <v>0.13638181792248799</v>
      </c>
      <c r="K382">
        <v>0.120668633286766</v>
      </c>
      <c r="L382">
        <v>734.85094650125097</v>
      </c>
      <c r="M382">
        <v>12.9540958419473</v>
      </c>
      <c r="N382">
        <v>56.815131289120202</v>
      </c>
      <c r="O382">
        <v>55.426476969665103</v>
      </c>
      <c r="P382">
        <v>-5.7860326652294299E-2</v>
      </c>
      <c r="Q382">
        <v>9.9129943066981804E-3</v>
      </c>
      <c r="R382">
        <v>0.98380714154045801</v>
      </c>
      <c r="S382" t="s">
        <v>6834</v>
      </c>
      <c r="T382" t="s">
        <v>12902</v>
      </c>
      <c r="U382" t="s">
        <v>12902</v>
      </c>
      <c r="V382" t="s">
        <v>12902</v>
      </c>
      <c r="W382" t="s">
        <v>13280</v>
      </c>
      <c r="X382">
        <v>3</v>
      </c>
      <c r="Y382" t="s">
        <v>19675</v>
      </c>
      <c r="Z382" t="s">
        <v>25957</v>
      </c>
      <c r="AA382">
        <v>0.5793709936980973</v>
      </c>
      <c r="AB382" t="str">
        <f>HYPERLINK("Melting_Curves/meltCurve_D6RIZ4_MFSD10.pdf", "Melting_Curves/meltCurve_D6RIZ4_MFSD10.pdf")</f>
        <v>Melting_Curves/meltCurve_D6RIZ4_MFSD10.pdf</v>
      </c>
    </row>
    <row r="383" spans="1:28" x14ac:dyDescent="0.25">
      <c r="A383" t="s">
        <v>387</v>
      </c>
      <c r="B383">
        <v>0.99673306730245903</v>
      </c>
      <c r="C383">
        <v>0.911521112825326</v>
      </c>
      <c r="D383">
        <v>0.85467322444335803</v>
      </c>
      <c r="E383">
        <v>0.75166536415054896</v>
      </c>
      <c r="F383">
        <v>0.325186188704778</v>
      </c>
      <c r="G383">
        <v>0.20220686909973401</v>
      </c>
      <c r="H383">
        <v>0.118829912965117</v>
      </c>
      <c r="I383">
        <v>9.0968457563627994E-2</v>
      </c>
      <c r="J383">
        <v>8.5094495784484095E-2</v>
      </c>
      <c r="K383">
        <v>8.4563241794070501E-2</v>
      </c>
      <c r="L383">
        <v>996.18756260745499</v>
      </c>
      <c r="M383">
        <v>19.449549311857201</v>
      </c>
      <c r="N383">
        <v>51.645258800871197</v>
      </c>
      <c r="O383">
        <v>50.686818538114203</v>
      </c>
      <c r="P383">
        <v>-8.8820759235938004E-2</v>
      </c>
      <c r="Q383">
        <v>7.4142427243067396E-2</v>
      </c>
      <c r="R383">
        <v>0.98855655359750205</v>
      </c>
      <c r="S383" t="s">
        <v>6835</v>
      </c>
      <c r="T383" t="s">
        <v>12902</v>
      </c>
      <c r="U383" t="s">
        <v>12902</v>
      </c>
      <c r="V383" t="s">
        <v>12902</v>
      </c>
      <c r="W383" t="s">
        <v>13281</v>
      </c>
      <c r="X383">
        <v>21</v>
      </c>
      <c r="Y383" t="s">
        <v>19676</v>
      </c>
      <c r="Z383" t="s">
        <v>25958</v>
      </c>
      <c r="AA383">
        <v>0.43390835288574298</v>
      </c>
      <c r="AB383" t="str">
        <f>HYPERLINK("Melting_Curves/meltCurve_E2QRD0_VWA8.pdf", "Melting_Curves/meltCurve_E2QRD0_VWA8.pdf")</f>
        <v>Melting_Curves/meltCurve_E2QRD0_VWA8.pdf</v>
      </c>
    </row>
    <row r="384" spans="1:28" x14ac:dyDescent="0.25">
      <c r="A384" t="s">
        <v>388</v>
      </c>
      <c r="B384">
        <v>0.99673306730245903</v>
      </c>
      <c r="C384">
        <v>1.08713993267495</v>
      </c>
      <c r="D384">
        <v>0.46944805954464702</v>
      </c>
      <c r="E384">
        <v>0.79049511265959904</v>
      </c>
      <c r="F384">
        <v>0.31450714321215401</v>
      </c>
      <c r="G384">
        <v>0.179369874383811</v>
      </c>
      <c r="H384">
        <v>9.3158540419822702E-2</v>
      </c>
      <c r="I384">
        <v>0.110851826773427</v>
      </c>
      <c r="J384">
        <v>0.13703290692533801</v>
      </c>
      <c r="K384">
        <v>0.139979378852991</v>
      </c>
      <c r="L384">
        <v>679.50010240194501</v>
      </c>
      <c r="M384">
        <v>13.6114299850028</v>
      </c>
      <c r="N384">
        <v>50.541304972293901</v>
      </c>
      <c r="O384">
        <v>48.8807299105734</v>
      </c>
      <c r="P384">
        <v>-6.4272188872423294E-2</v>
      </c>
      <c r="Q384">
        <v>7.6891241432785098E-2</v>
      </c>
      <c r="R384">
        <v>0.85704253062797497</v>
      </c>
      <c r="S384" t="s">
        <v>6836</v>
      </c>
      <c r="T384" t="s">
        <v>12902</v>
      </c>
      <c r="U384" t="s">
        <v>12902</v>
      </c>
      <c r="V384" t="s">
        <v>12902</v>
      </c>
      <c r="W384" t="s">
        <v>13282</v>
      </c>
      <c r="X384">
        <v>8</v>
      </c>
      <c r="Y384" t="s">
        <v>19677</v>
      </c>
      <c r="Z384" t="s">
        <v>25959</v>
      </c>
      <c r="AA384">
        <v>0.40830134298686271</v>
      </c>
      <c r="AB384" t="str">
        <f>HYPERLINK("Melting_Curves/meltCurve_E2QRD5_C15orf38_AP3S2.pdf", "Melting_Curves/meltCurve_E2QRD5_C15orf38_AP3S2.pdf")</f>
        <v>Melting_Curves/meltCurve_E2QRD5_C15orf38_AP3S2.pdf</v>
      </c>
    </row>
    <row r="385" spans="1:28" x14ac:dyDescent="0.25">
      <c r="A385" t="s">
        <v>389</v>
      </c>
      <c r="B385">
        <v>0.99673306730245903</v>
      </c>
      <c r="C385">
        <v>1.0181670571627399</v>
      </c>
      <c r="D385">
        <v>1.02675480410339</v>
      </c>
      <c r="E385">
        <v>0.97903050616675902</v>
      </c>
      <c r="F385">
        <v>0.95310098840134505</v>
      </c>
      <c r="G385">
        <v>0.80502748873544905</v>
      </c>
      <c r="H385">
        <v>0.72596849064035895</v>
      </c>
      <c r="I385">
        <v>0.965350066216348</v>
      </c>
      <c r="J385">
        <v>1.5090202793673699</v>
      </c>
      <c r="K385">
        <v>1.37493115279348</v>
      </c>
      <c r="L385">
        <v>15000</v>
      </c>
      <c r="M385">
        <v>229.26397078973201</v>
      </c>
      <c r="O385">
        <v>65.421806912380106</v>
      </c>
      <c r="P385">
        <v>0.38765466447522401</v>
      </c>
      <c r="Q385">
        <v>1.4424779128643299</v>
      </c>
      <c r="R385">
        <v>0.74783224150045402</v>
      </c>
      <c r="S385" t="s">
        <v>6837</v>
      </c>
      <c r="T385" t="s">
        <v>12902</v>
      </c>
      <c r="U385" t="s">
        <v>12902</v>
      </c>
      <c r="V385" t="s">
        <v>12902</v>
      </c>
      <c r="W385" t="s">
        <v>13283</v>
      </c>
      <c r="X385">
        <v>11</v>
      </c>
      <c r="Y385" t="s">
        <v>19678</v>
      </c>
      <c r="Z385" t="s">
        <v>25960</v>
      </c>
      <c r="AA385">
        <v>1.06739143161825</v>
      </c>
      <c r="AB385" t="str">
        <f>HYPERLINK("Melting_Curves/meltCurve_E2QRF9_GMNN.pdf", "Melting_Curves/meltCurve_E2QRF9_GMNN.pdf")</f>
        <v>Melting_Curves/meltCurve_E2QRF9_GMNN.pdf</v>
      </c>
    </row>
    <row r="386" spans="1:28" x14ac:dyDescent="0.25">
      <c r="A386" t="s">
        <v>390</v>
      </c>
      <c r="B386">
        <v>0.99673306730245903</v>
      </c>
      <c r="C386">
        <v>1.05445287791219</v>
      </c>
      <c r="D386">
        <v>1.02554056231246</v>
      </c>
      <c r="E386">
        <v>0.96245423795890905</v>
      </c>
      <c r="F386">
        <v>0.87087825682022102</v>
      </c>
      <c r="G386">
        <v>0.63177394063036796</v>
      </c>
      <c r="H386">
        <v>0.42277526420253098</v>
      </c>
      <c r="I386">
        <v>0.27913982676586402</v>
      </c>
      <c r="J386">
        <v>0.16164814772820399</v>
      </c>
      <c r="K386">
        <v>0.114359683619219</v>
      </c>
      <c r="L386">
        <v>941.31515243390595</v>
      </c>
      <c r="M386">
        <v>15.972251893130499</v>
      </c>
      <c r="N386">
        <v>59.334200037977503</v>
      </c>
      <c r="O386">
        <v>58.033795298929299</v>
      </c>
      <c r="P386">
        <v>-6.53007712908725E-2</v>
      </c>
      <c r="Q386">
        <v>5.1016130752564302E-2</v>
      </c>
      <c r="R386">
        <v>0.99498782814209996</v>
      </c>
      <c r="S386" t="s">
        <v>6838</v>
      </c>
      <c r="T386" t="s">
        <v>12902</v>
      </c>
      <c r="U386" t="s">
        <v>12902</v>
      </c>
      <c r="V386" t="s">
        <v>12902</v>
      </c>
      <c r="W386" t="s">
        <v>13284</v>
      </c>
      <c r="X386">
        <v>1</v>
      </c>
      <c r="Y386" t="s">
        <v>19679</v>
      </c>
      <c r="Z386" t="s">
        <v>25961</v>
      </c>
      <c r="AA386">
        <v>0.66028240613997624</v>
      </c>
      <c r="AB386" t="str">
        <f>HYPERLINK("Melting_Curves/meltCurve_E5RFI2_MRPL13.pdf", "Melting_Curves/meltCurve_E5RFI2_MRPL13.pdf")</f>
        <v>Melting_Curves/meltCurve_E5RFI2_MRPL13.pdf</v>
      </c>
    </row>
    <row r="387" spans="1:28" x14ac:dyDescent="0.25">
      <c r="A387" t="s">
        <v>391</v>
      </c>
      <c r="B387">
        <v>0.99673306730245903</v>
      </c>
      <c r="C387">
        <v>0.88701885772331901</v>
      </c>
      <c r="D387">
        <v>0.86397688985297205</v>
      </c>
      <c r="E387">
        <v>0.73883306110149305</v>
      </c>
      <c r="F387">
        <v>0.51475168140803196</v>
      </c>
      <c r="G387">
        <v>0.37604901828293702</v>
      </c>
      <c r="H387">
        <v>0.320004291145014</v>
      </c>
      <c r="I387">
        <v>0.378046752635123</v>
      </c>
      <c r="J387">
        <v>0.418721318812806</v>
      </c>
      <c r="K387">
        <v>0.358583400190779</v>
      </c>
      <c r="L387">
        <v>851.21583951556102</v>
      </c>
      <c r="M387">
        <v>17.0604737806825</v>
      </c>
      <c r="N387">
        <v>53.653214633899402</v>
      </c>
      <c r="O387">
        <v>49.2236475372695</v>
      </c>
      <c r="P387">
        <v>-5.6437305114264202E-2</v>
      </c>
      <c r="Q387">
        <v>0.34869787029285498</v>
      </c>
      <c r="R387">
        <v>0.97083177247028896</v>
      </c>
      <c r="S387" t="s">
        <v>6839</v>
      </c>
      <c r="T387" t="s">
        <v>12902</v>
      </c>
      <c r="U387" t="s">
        <v>12902</v>
      </c>
      <c r="V387" t="s">
        <v>12902</v>
      </c>
      <c r="W387" t="s">
        <v>13285</v>
      </c>
      <c r="X387">
        <v>2</v>
      </c>
      <c r="Y387" t="s">
        <v>19680</v>
      </c>
      <c r="Z387" t="s">
        <v>25962</v>
      </c>
      <c r="AA387">
        <v>0.57580880265642376</v>
      </c>
      <c r="AB387" t="str">
        <f>HYPERLINK("Melting_Curves/meltCurve_E5RFJ1_NSMCE2.pdf", "Melting_Curves/meltCurve_E5RFJ1_NSMCE2.pdf")</f>
        <v>Melting_Curves/meltCurve_E5RFJ1_NSMCE2.pdf</v>
      </c>
    </row>
    <row r="388" spans="1:28" x14ac:dyDescent="0.25">
      <c r="A388" t="s">
        <v>392</v>
      </c>
      <c r="B388">
        <v>0.99673306730245903</v>
      </c>
      <c r="C388">
        <v>1.0287267074252699</v>
      </c>
      <c r="D388">
        <v>1.0006536840949001</v>
      </c>
      <c r="E388">
        <v>0.94608656929560597</v>
      </c>
      <c r="F388">
        <v>0.82952789257634896</v>
      </c>
      <c r="G388">
        <v>0.73903345412773802</v>
      </c>
      <c r="H388">
        <v>0.52505397594957104</v>
      </c>
      <c r="I388">
        <v>0.31876012161392298</v>
      </c>
      <c r="J388">
        <v>0.10884318317703801</v>
      </c>
      <c r="K388">
        <v>9.1819073427477305E-2</v>
      </c>
      <c r="L388">
        <v>941.54786663037805</v>
      </c>
      <c r="M388">
        <v>15.5744656893986</v>
      </c>
      <c r="N388">
        <v>60.454585482339297</v>
      </c>
      <c r="O388">
        <v>59.484221010179098</v>
      </c>
      <c r="P388">
        <v>-6.5461998134783303E-2</v>
      </c>
      <c r="Q388">
        <v>0</v>
      </c>
      <c r="R388">
        <v>0.98950011377242697</v>
      </c>
      <c r="S388" t="s">
        <v>6840</v>
      </c>
      <c r="T388" t="s">
        <v>12902</v>
      </c>
      <c r="U388" t="s">
        <v>12902</v>
      </c>
      <c r="V388" t="s">
        <v>12902</v>
      </c>
      <c r="W388" t="s">
        <v>13286</v>
      </c>
      <c r="X388">
        <v>17</v>
      </c>
      <c r="Y388" t="s">
        <v>19681</v>
      </c>
      <c r="Z388" t="s">
        <v>25963</v>
      </c>
      <c r="AA388">
        <v>0.68737556099250097</v>
      </c>
      <c r="AB388" t="str">
        <f>HYPERLINK("Melting_Curves/meltCurve_E5RG17_TATDN1.pdf", "Melting_Curves/meltCurve_E5RG17_TATDN1.pdf")</f>
        <v>Melting_Curves/meltCurve_E5RG17_TATDN1.pdf</v>
      </c>
    </row>
    <row r="389" spans="1:28" x14ac:dyDescent="0.25">
      <c r="A389" t="s">
        <v>393</v>
      </c>
      <c r="B389">
        <v>0.99673306730245903</v>
      </c>
      <c r="C389">
        <v>0.98149527802969905</v>
      </c>
      <c r="D389">
        <v>0.83304364047536805</v>
      </c>
      <c r="E389">
        <v>0.697052914762196</v>
      </c>
      <c r="F389">
        <v>0.548786117968731</v>
      </c>
      <c r="G389">
        <v>0.50862949202027696</v>
      </c>
      <c r="H389">
        <v>0.37553401999774799</v>
      </c>
      <c r="I389">
        <v>0.46964404199447102</v>
      </c>
      <c r="J389">
        <v>0.44235249107748298</v>
      </c>
      <c r="K389">
        <v>0.41737001290050901</v>
      </c>
      <c r="L389">
        <v>811.70333830768902</v>
      </c>
      <c r="M389">
        <v>16.5110766765496</v>
      </c>
      <c r="N389">
        <v>55.3758938018374</v>
      </c>
      <c r="O389">
        <v>48.4569704952048</v>
      </c>
      <c r="P389">
        <v>-4.9272433808421202E-2</v>
      </c>
      <c r="Q389">
        <v>0.42161799387078402</v>
      </c>
      <c r="R389">
        <v>0.98186493927138496</v>
      </c>
      <c r="S389" t="s">
        <v>6841</v>
      </c>
      <c r="T389" t="s">
        <v>12902</v>
      </c>
      <c r="U389" t="s">
        <v>12902</v>
      </c>
      <c r="V389" t="s">
        <v>12902</v>
      </c>
      <c r="W389" t="s">
        <v>13287</v>
      </c>
      <c r="X389">
        <v>1</v>
      </c>
      <c r="Y389" t="s">
        <v>19682</v>
      </c>
      <c r="Z389" t="s">
        <v>25964</v>
      </c>
      <c r="AA389">
        <v>0.61006562786478014</v>
      </c>
      <c r="AB389" t="str">
        <f>HYPERLINK("Melting_Curves/meltCurve_E5RG44_TRIQK.pdf", "Melting_Curves/meltCurve_E5RG44_TRIQK.pdf")</f>
        <v>Melting_Curves/meltCurve_E5RG44_TRIQK.pdf</v>
      </c>
    </row>
    <row r="390" spans="1:28" x14ac:dyDescent="0.25">
      <c r="A390" t="s">
        <v>394</v>
      </c>
      <c r="B390">
        <v>0.99673306730245903</v>
      </c>
      <c r="C390">
        <v>1.25708862914234</v>
      </c>
      <c r="D390">
        <v>0.36429683547184599</v>
      </c>
      <c r="E390">
        <v>0.61719952675123402</v>
      </c>
      <c r="F390">
        <v>0.45702777249059401</v>
      </c>
      <c r="G390">
        <v>0.40509850824216398</v>
      </c>
      <c r="H390">
        <v>0.45187446382956398</v>
      </c>
      <c r="I390">
        <v>0.72635873347135904</v>
      </c>
      <c r="J390">
        <v>1.15484038145206</v>
      </c>
      <c r="K390">
        <v>1.10485530353075</v>
      </c>
      <c r="L390">
        <v>11097.420561569899</v>
      </c>
      <c r="M390">
        <v>250</v>
      </c>
      <c r="O390">
        <v>44.386841682376001</v>
      </c>
      <c r="P390">
        <v>-0.47847273385169098</v>
      </c>
      <c r="Q390">
        <v>0.66019370523197396</v>
      </c>
      <c r="R390">
        <v>0.29601574654252399</v>
      </c>
      <c r="S390" t="s">
        <v>6842</v>
      </c>
      <c r="T390" t="s">
        <v>12902</v>
      </c>
      <c r="U390" t="s">
        <v>12902</v>
      </c>
      <c r="V390" t="s">
        <v>12902</v>
      </c>
      <c r="W390" t="s">
        <v>13288</v>
      </c>
      <c r="X390">
        <v>5</v>
      </c>
      <c r="Y390" t="s">
        <v>19683</v>
      </c>
      <c r="Z390" t="s">
        <v>25965</v>
      </c>
      <c r="AA390">
        <v>0.70994156587413204</v>
      </c>
      <c r="AB390" t="str">
        <f>HYPERLINK("Melting_Curves/meltCurve_E5RGX5_STMN2.pdf", "Melting_Curves/meltCurve_E5RGX5_STMN2.pdf")</f>
        <v>Melting_Curves/meltCurve_E5RGX5_STMN2.pdf</v>
      </c>
    </row>
    <row r="391" spans="1:28" x14ac:dyDescent="0.25">
      <c r="A391" t="s">
        <v>395</v>
      </c>
      <c r="B391">
        <v>0.99673306730245903</v>
      </c>
      <c r="C391">
        <v>0.97135501369302701</v>
      </c>
      <c r="D391">
        <v>0.92473404567151096</v>
      </c>
      <c r="E391">
        <v>0.858910007801723</v>
      </c>
      <c r="F391">
        <v>0.70885636719622103</v>
      </c>
      <c r="G391">
        <v>0.51885387619383805</v>
      </c>
      <c r="H391">
        <v>0.23452212855482499</v>
      </c>
      <c r="I391">
        <v>0.184270617933387</v>
      </c>
      <c r="J391">
        <v>9.5049576688205697E-2</v>
      </c>
      <c r="K391">
        <v>4.3341168986818002E-2</v>
      </c>
      <c r="L391">
        <v>783.37443078582396</v>
      </c>
      <c r="M391">
        <v>13.8609174815175</v>
      </c>
      <c r="N391">
        <v>56.516775384350801</v>
      </c>
      <c r="O391">
        <v>55.379378422247598</v>
      </c>
      <c r="P391">
        <v>-6.2581167616097194E-2</v>
      </c>
      <c r="Q391">
        <v>0</v>
      </c>
      <c r="R391">
        <v>0.995936670468902</v>
      </c>
      <c r="S391" t="s">
        <v>6843</v>
      </c>
      <c r="T391" t="s">
        <v>12902</v>
      </c>
      <c r="U391" t="s">
        <v>12902</v>
      </c>
      <c r="V391" t="s">
        <v>12902</v>
      </c>
      <c r="W391" t="s">
        <v>13289</v>
      </c>
      <c r="X391">
        <v>3</v>
      </c>
      <c r="Y391" t="s">
        <v>19684</v>
      </c>
      <c r="Z391" t="s">
        <v>25966</v>
      </c>
      <c r="AA391">
        <v>0.56821397898555281</v>
      </c>
      <c r="AB391" t="str">
        <f>HYPERLINK("Melting_Curves/meltCurve_E5RGY0_DERL1.pdf", "Melting_Curves/meltCurve_E5RGY0_DERL1.pdf")</f>
        <v>Melting_Curves/meltCurve_E5RGY0_DERL1.pdf</v>
      </c>
    </row>
    <row r="392" spans="1:28" x14ac:dyDescent="0.25">
      <c r="A392" t="s">
        <v>396</v>
      </c>
      <c r="B392">
        <v>0.99673306730245903</v>
      </c>
      <c r="C392">
        <v>0.88168652615921905</v>
      </c>
      <c r="D392">
        <v>0.83262474636414696</v>
      </c>
      <c r="E392">
        <v>0.82874001848447798</v>
      </c>
      <c r="F392">
        <v>0.22392397091743699</v>
      </c>
      <c r="G392">
        <v>0.130556604477783</v>
      </c>
      <c r="H392">
        <v>6.9093042553826006E-2</v>
      </c>
      <c r="I392">
        <v>7.4880263193825305E-2</v>
      </c>
      <c r="J392">
        <v>9.0409281669888902E-2</v>
      </c>
      <c r="K392">
        <v>7.3496582804049096E-2</v>
      </c>
      <c r="L392">
        <v>2089.6871574962502</v>
      </c>
      <c r="M392">
        <v>40.818277238136098</v>
      </c>
      <c r="N392">
        <v>51.418772715782801</v>
      </c>
      <c r="O392">
        <v>51.072471081627199</v>
      </c>
      <c r="P392">
        <v>-0.18353945106394601</v>
      </c>
      <c r="Q392">
        <v>8.1411953895804107E-2</v>
      </c>
      <c r="R392">
        <v>0.97194668743992496</v>
      </c>
      <c r="S392" t="s">
        <v>6844</v>
      </c>
      <c r="T392" t="s">
        <v>12902</v>
      </c>
      <c r="U392" t="s">
        <v>12902</v>
      </c>
      <c r="V392" t="s">
        <v>12902</v>
      </c>
      <c r="W392" t="s">
        <v>13290</v>
      </c>
      <c r="X392">
        <v>1</v>
      </c>
      <c r="Y392" t="s">
        <v>19685</v>
      </c>
      <c r="Z392" t="s">
        <v>25967</v>
      </c>
      <c r="AA392">
        <v>0.42731531057599459</v>
      </c>
      <c r="AB392" t="str">
        <f>HYPERLINK("Melting_Curves/meltCurve_E5RHB1_EFCAB3.pdf", "Melting_Curves/meltCurve_E5RHB1_EFCAB3.pdf")</f>
        <v>Melting_Curves/meltCurve_E5RHB1_EFCAB3.pdf</v>
      </c>
    </row>
    <row r="393" spans="1:28" x14ac:dyDescent="0.25">
      <c r="A393" t="s">
        <v>397</v>
      </c>
      <c r="B393">
        <v>0.99673306730245903</v>
      </c>
      <c r="C393">
        <v>1.00946453015649</v>
      </c>
      <c r="D393">
        <v>0.95384156575623402</v>
      </c>
      <c r="E393">
        <v>0.87302673394298902</v>
      </c>
      <c r="F393">
        <v>0.31440751533669897</v>
      </c>
      <c r="G393">
        <v>0.12952793539103499</v>
      </c>
      <c r="H393">
        <v>7.7746225211657E-2</v>
      </c>
      <c r="I393">
        <v>6.26345586935695E-2</v>
      </c>
      <c r="J393">
        <v>7.7283943347593295E-2</v>
      </c>
      <c r="K393">
        <v>6.0111867866968698E-2</v>
      </c>
      <c r="L393">
        <v>2010.09550510143</v>
      </c>
      <c r="M393">
        <v>38.777330975732802</v>
      </c>
      <c r="N393">
        <v>52.049866291988799</v>
      </c>
      <c r="O393">
        <v>51.6995863216899</v>
      </c>
      <c r="P393">
        <v>-0.17375606911727801</v>
      </c>
      <c r="Q393">
        <v>7.3366261286134701E-2</v>
      </c>
      <c r="R393">
        <v>0.99836819038878</v>
      </c>
      <c r="S393" t="s">
        <v>6845</v>
      </c>
      <c r="T393" t="s">
        <v>12902</v>
      </c>
      <c r="U393" t="s">
        <v>12902</v>
      </c>
      <c r="V393" t="s">
        <v>12902</v>
      </c>
      <c r="W393" t="s">
        <v>13291</v>
      </c>
      <c r="X393">
        <v>7</v>
      </c>
      <c r="Y393" t="s">
        <v>19686</v>
      </c>
      <c r="Z393" t="s">
        <v>25968</v>
      </c>
      <c r="AA393">
        <v>0.44251379515327899</v>
      </c>
      <c r="AB393" t="str">
        <f>HYPERLINK("Melting_Curves/meltCurve_E5RHG8_TCEB1.pdf", "Melting_Curves/meltCurve_E5RHG8_TCEB1.pdf")</f>
        <v>Melting_Curves/meltCurve_E5RHG8_TCEB1.pdf</v>
      </c>
    </row>
    <row r="394" spans="1:28" x14ac:dyDescent="0.25">
      <c r="A394" t="s">
        <v>398</v>
      </c>
      <c r="B394">
        <v>0.99673306730245903</v>
      </c>
      <c r="C394">
        <v>0.98827192365819305</v>
      </c>
      <c r="D394">
        <v>1.72068619786626</v>
      </c>
      <c r="E394">
        <v>0.55454487527728902</v>
      </c>
      <c r="F394">
        <v>0.30300374064345498</v>
      </c>
      <c r="G394">
        <v>0.14230146109126501</v>
      </c>
      <c r="H394">
        <v>9.9189795162762495E-2</v>
      </c>
      <c r="I394">
        <v>0.11368204327036401</v>
      </c>
      <c r="J394">
        <v>0.139988906949295</v>
      </c>
      <c r="K394">
        <v>0.120201109107031</v>
      </c>
      <c r="L394">
        <v>12387.913730525999</v>
      </c>
      <c r="M394">
        <v>249.860262748905</v>
      </c>
      <c r="N394">
        <v>49.651990318463803</v>
      </c>
      <c r="O394">
        <v>49.576175781734598</v>
      </c>
      <c r="P394">
        <v>-1.06712882885843</v>
      </c>
      <c r="Q394">
        <v>0.15305968173213999</v>
      </c>
      <c r="R394">
        <v>0.79899617181626803</v>
      </c>
      <c r="S394" t="s">
        <v>6846</v>
      </c>
      <c r="T394" t="s">
        <v>12902</v>
      </c>
      <c r="U394" t="s">
        <v>12902</v>
      </c>
      <c r="V394" t="s">
        <v>12902</v>
      </c>
      <c r="W394" t="s">
        <v>13292</v>
      </c>
      <c r="X394">
        <v>11</v>
      </c>
      <c r="Y394" t="s">
        <v>19687</v>
      </c>
      <c r="Z394" t="s">
        <v>25969</v>
      </c>
      <c r="AA394">
        <v>0.42357186920847589</v>
      </c>
      <c r="AB394" t="str">
        <f>HYPERLINK("Melting_Curves/meltCurve_E5RHK8_DNM3.pdf", "Melting_Curves/meltCurve_E5RHK8_DNM3.pdf")</f>
        <v>Melting_Curves/meltCurve_E5RHK8_DNM3.pdf</v>
      </c>
    </row>
    <row r="395" spans="1:28" x14ac:dyDescent="0.25">
      <c r="A395" t="s">
        <v>399</v>
      </c>
      <c r="B395">
        <v>0.99673306730245903</v>
      </c>
      <c r="C395">
        <v>0.92375216200660204</v>
      </c>
      <c r="D395">
        <v>0.83433807579307295</v>
      </c>
      <c r="E395">
        <v>0.49181100070040801</v>
      </c>
      <c r="F395">
        <v>0.285872681742945</v>
      </c>
      <c r="G395">
        <v>0.18421132584857</v>
      </c>
      <c r="H395">
        <v>0.12921345938348899</v>
      </c>
      <c r="I395">
        <v>0.154165865110753</v>
      </c>
      <c r="J395">
        <v>0.15863674595768601</v>
      </c>
      <c r="K395">
        <v>0.12432920214705701</v>
      </c>
      <c r="L395">
        <v>998.80435829000101</v>
      </c>
      <c r="M395">
        <v>20.4267784819843</v>
      </c>
      <c r="N395">
        <v>49.668442263172402</v>
      </c>
      <c r="O395">
        <v>48.435418646516801</v>
      </c>
      <c r="P395">
        <v>-9.1101208976399603E-2</v>
      </c>
      <c r="Q395">
        <v>0.135959112415654</v>
      </c>
      <c r="R395">
        <v>0.99752185434290996</v>
      </c>
      <c r="S395" t="s">
        <v>6847</v>
      </c>
      <c r="T395" t="s">
        <v>12902</v>
      </c>
      <c r="U395" t="s">
        <v>12902</v>
      </c>
      <c r="V395" t="s">
        <v>12902</v>
      </c>
      <c r="W395" t="s">
        <v>13293</v>
      </c>
      <c r="X395">
        <v>2</v>
      </c>
      <c r="Y395" t="s">
        <v>19688</v>
      </c>
      <c r="Z395" t="s">
        <v>25970</v>
      </c>
      <c r="AA395">
        <v>0.40380303397462131</v>
      </c>
      <c r="AB395" t="str">
        <f>HYPERLINK("Melting_Curves/meltCurve_E5RHW0_TMEM66.pdf", "Melting_Curves/meltCurve_E5RHW0_TMEM66.pdf")</f>
        <v>Melting_Curves/meltCurve_E5RHW0_TMEM66.pdf</v>
      </c>
    </row>
    <row r="396" spans="1:28" x14ac:dyDescent="0.25">
      <c r="A396" t="s">
        <v>400</v>
      </c>
      <c r="B396">
        <v>0.99673306730245903</v>
      </c>
      <c r="C396">
        <v>1.1061888357135901</v>
      </c>
      <c r="D396">
        <v>0.82719720247099504</v>
      </c>
      <c r="E396">
        <v>0.624664185515446</v>
      </c>
      <c r="F396">
        <v>0.20987303348768799</v>
      </c>
      <c r="G396">
        <v>0.11506716509317499</v>
      </c>
      <c r="H396">
        <v>6.9783544091239602E-2</v>
      </c>
      <c r="I396">
        <v>6.28963360778651E-2</v>
      </c>
      <c r="J396">
        <v>8.0474255099278594E-2</v>
      </c>
      <c r="K396">
        <v>6.6845378792097093E-2</v>
      </c>
      <c r="L396">
        <v>1247.9807694201099</v>
      </c>
      <c r="M396">
        <v>24.928064832658201</v>
      </c>
      <c r="N396">
        <v>50.3382369123226</v>
      </c>
      <c r="O396">
        <v>49.744440951196601</v>
      </c>
      <c r="P396">
        <v>-0.117308325893483</v>
      </c>
      <c r="Q396">
        <v>6.3648491339606303E-2</v>
      </c>
      <c r="R396">
        <v>0.98565771219409903</v>
      </c>
      <c r="S396" t="s">
        <v>6848</v>
      </c>
      <c r="T396" t="s">
        <v>12902</v>
      </c>
      <c r="U396" t="s">
        <v>12902</v>
      </c>
      <c r="V396" t="s">
        <v>12902</v>
      </c>
      <c r="W396" t="s">
        <v>13294</v>
      </c>
      <c r="X396">
        <v>4</v>
      </c>
      <c r="Y396" t="s">
        <v>19689</v>
      </c>
      <c r="Z396" t="s">
        <v>25971</v>
      </c>
      <c r="AA396">
        <v>0.3861636956980572</v>
      </c>
      <c r="AB396" t="str">
        <f>HYPERLINK("Melting_Curves/meltCurve_E5RHW4_ERLIN2.pdf", "Melting_Curves/meltCurve_E5RHW4_ERLIN2.pdf")</f>
        <v>Melting_Curves/meltCurve_E5RHW4_ERLIN2.pdf</v>
      </c>
    </row>
    <row r="397" spans="1:28" x14ac:dyDescent="0.25">
      <c r="A397" t="s">
        <v>401</v>
      </c>
      <c r="B397">
        <v>0.99673306730245903</v>
      </c>
      <c r="C397">
        <v>1.03015434253605</v>
      </c>
      <c r="D397">
        <v>1.0261348349763699</v>
      </c>
      <c r="E397">
        <v>0.99631638264515299</v>
      </c>
      <c r="F397">
        <v>0.88100684380612604</v>
      </c>
      <c r="G397">
        <v>0.79966349632538003</v>
      </c>
      <c r="H397">
        <v>0.55973179698111197</v>
      </c>
      <c r="I397">
        <v>0.30070448316299198</v>
      </c>
      <c r="J397">
        <v>0.25523720969741198</v>
      </c>
      <c r="K397">
        <v>0.213447554084992</v>
      </c>
      <c r="L397">
        <v>1133.64551825074</v>
      </c>
      <c r="M397">
        <v>18.858745420466999</v>
      </c>
      <c r="N397">
        <v>61.208422201369103</v>
      </c>
      <c r="O397">
        <v>59.448792190712503</v>
      </c>
      <c r="P397">
        <v>-6.7946104977176694E-2</v>
      </c>
      <c r="Q397">
        <v>0.14328398724406499</v>
      </c>
      <c r="R397">
        <v>0.99187937083567901</v>
      </c>
      <c r="S397" t="s">
        <v>6849</v>
      </c>
      <c r="T397" t="s">
        <v>12902</v>
      </c>
      <c r="U397" t="s">
        <v>12902</v>
      </c>
      <c r="V397" t="s">
        <v>12902</v>
      </c>
      <c r="W397" t="s">
        <v>13295</v>
      </c>
      <c r="X397">
        <v>6</v>
      </c>
      <c r="Y397" t="s">
        <v>19690</v>
      </c>
      <c r="Z397" t="s">
        <v>25972</v>
      </c>
      <c r="AA397">
        <v>0.72457668434315237</v>
      </c>
      <c r="AB397" t="str">
        <f>HYPERLINK("Melting_Curves/meltCurve_E5RI99_RPL30.pdf", "Melting_Curves/meltCurve_E5RI99_RPL30.pdf")</f>
        <v>Melting_Curves/meltCurve_E5RI99_RPL30.pdf</v>
      </c>
    </row>
    <row r="398" spans="1:28" x14ac:dyDescent="0.25">
      <c r="A398" t="s">
        <v>402</v>
      </c>
      <c r="B398">
        <v>0.99673306730245903</v>
      </c>
      <c r="C398">
        <v>0.93195069727799396</v>
      </c>
      <c r="D398">
        <v>0.91883224354832604</v>
      </c>
      <c r="E398">
        <v>0.685984417509508</v>
      </c>
      <c r="F398">
        <v>0.54534808834954296</v>
      </c>
      <c r="G398">
        <v>0.45980978866872502</v>
      </c>
      <c r="H398">
        <v>0.51825804353343496</v>
      </c>
      <c r="I398">
        <v>0.52638245367689596</v>
      </c>
      <c r="J398">
        <v>0.35912303828487502</v>
      </c>
      <c r="K398">
        <v>0.29264608182864199</v>
      </c>
      <c r="L398">
        <v>724.88688447183995</v>
      </c>
      <c r="M398">
        <v>14.482947241593299</v>
      </c>
      <c r="N398">
        <v>55.849988885088599</v>
      </c>
      <c r="O398">
        <v>49.125875730675801</v>
      </c>
      <c r="P398">
        <v>-4.50486214445181E-2</v>
      </c>
      <c r="Q398">
        <v>0.38885477314773498</v>
      </c>
      <c r="R398">
        <v>0.93129212134536798</v>
      </c>
      <c r="S398" t="s">
        <v>6850</v>
      </c>
      <c r="T398" t="s">
        <v>12902</v>
      </c>
      <c r="U398" t="s">
        <v>12902</v>
      </c>
      <c r="V398" t="s">
        <v>12902</v>
      </c>
      <c r="W398" t="s">
        <v>13296</v>
      </c>
      <c r="X398">
        <v>5</v>
      </c>
      <c r="Y398" t="s">
        <v>19691</v>
      </c>
      <c r="Z398" t="s">
        <v>25973</v>
      </c>
      <c r="AA398">
        <v>0.60908115021437603</v>
      </c>
      <c r="AB398" t="str">
        <f>HYPERLINK("Melting_Curves/meltCurve_E5RIH5_TTI2.pdf", "Melting_Curves/meltCurve_E5RIH5_TTI2.pdf")</f>
        <v>Melting_Curves/meltCurve_E5RIH5_TTI2.pdf</v>
      </c>
    </row>
    <row r="399" spans="1:28" x14ac:dyDescent="0.25">
      <c r="A399" t="s">
        <v>403</v>
      </c>
      <c r="B399">
        <v>0.99673306730245903</v>
      </c>
      <c r="C399">
        <v>0.87927285580960102</v>
      </c>
      <c r="D399">
        <v>0.76551252742857101</v>
      </c>
      <c r="E399">
        <v>0.48902177682834502</v>
      </c>
      <c r="F399">
        <v>0.357256229047826</v>
      </c>
      <c r="G399">
        <v>0.24802832229771299</v>
      </c>
      <c r="H399">
        <v>0.14711392248821301</v>
      </c>
      <c r="I399">
        <v>0.14180023289020899</v>
      </c>
      <c r="J399">
        <v>0.20362299263018899</v>
      </c>
      <c r="K399">
        <v>0.19489764993904299</v>
      </c>
      <c r="L399">
        <v>760.07966549025195</v>
      </c>
      <c r="M399">
        <v>15.665876783630299</v>
      </c>
      <c r="N399">
        <v>49.746553121351702</v>
      </c>
      <c r="O399">
        <v>47.748221304359603</v>
      </c>
      <c r="P399">
        <v>-6.8872807666980299E-2</v>
      </c>
      <c r="Q399">
        <v>0.160398381610629</v>
      </c>
      <c r="R399">
        <v>0.991277430732729</v>
      </c>
      <c r="S399" t="s">
        <v>6851</v>
      </c>
      <c r="T399" t="s">
        <v>12902</v>
      </c>
      <c r="U399" t="s">
        <v>12902</v>
      </c>
      <c r="V399" t="s">
        <v>12902</v>
      </c>
      <c r="W399" t="s">
        <v>13297</v>
      </c>
      <c r="X399">
        <v>2</v>
      </c>
      <c r="Y399" t="s">
        <v>19692</v>
      </c>
      <c r="Z399" t="s">
        <v>25974</v>
      </c>
      <c r="AA399">
        <v>0.41819945958302329</v>
      </c>
      <c r="AB399" t="str">
        <f>HYPERLINK("Melting_Curves/meltCurve_E5RIK9_MTERFD1.pdf", "Melting_Curves/meltCurve_E5RIK9_MTERFD1.pdf")</f>
        <v>Melting_Curves/meltCurve_E5RIK9_MTERFD1.pdf</v>
      </c>
    </row>
    <row r="400" spans="1:28" x14ac:dyDescent="0.25">
      <c r="A400" t="s">
        <v>404</v>
      </c>
      <c r="B400">
        <v>0.99673306730245903</v>
      </c>
      <c r="C400">
        <v>0.86094652590499399</v>
      </c>
      <c r="D400">
        <v>0.60371250744643001</v>
      </c>
      <c r="E400">
        <v>0.72670317801777995</v>
      </c>
      <c r="F400">
        <v>0.53839731735627205</v>
      </c>
      <c r="G400">
        <v>0.37166016855124301</v>
      </c>
      <c r="H400">
        <v>0.20569518488917499</v>
      </c>
      <c r="I400">
        <v>0.185757539377467</v>
      </c>
      <c r="J400">
        <v>0.15044926569414999</v>
      </c>
      <c r="K400">
        <v>0.133637789928294</v>
      </c>
      <c r="L400">
        <v>421.61885696230303</v>
      </c>
      <c r="M400">
        <v>7.9767370999516496</v>
      </c>
      <c r="N400">
        <v>52.856054502348599</v>
      </c>
      <c r="O400">
        <v>49.844163269185103</v>
      </c>
      <c r="P400">
        <v>-4.0054123938086099E-2</v>
      </c>
      <c r="Q400">
        <v>0</v>
      </c>
      <c r="R400">
        <v>0.94748987697674503</v>
      </c>
      <c r="S400" t="s">
        <v>6852</v>
      </c>
      <c r="T400" t="s">
        <v>12902</v>
      </c>
      <c r="U400" t="s">
        <v>12902</v>
      </c>
      <c r="V400" t="s">
        <v>12902</v>
      </c>
      <c r="W400" t="s">
        <v>13298</v>
      </c>
      <c r="X400">
        <v>13</v>
      </c>
      <c r="Y400" t="s">
        <v>19693</v>
      </c>
      <c r="Z400" t="s">
        <v>25975</v>
      </c>
      <c r="AA400">
        <v>0.47027267794895411</v>
      </c>
      <c r="AB400" t="str">
        <f>HYPERLINK("Melting_Curves/meltCurve_E5RIP7_IMPA1.pdf", "Melting_Curves/meltCurve_E5RIP7_IMPA1.pdf")</f>
        <v>Melting_Curves/meltCurve_E5RIP7_IMPA1.pdf</v>
      </c>
    </row>
    <row r="401" spans="1:28" x14ac:dyDescent="0.25">
      <c r="A401" t="s">
        <v>405</v>
      </c>
      <c r="B401">
        <v>0.99673306730245903</v>
      </c>
      <c r="C401">
        <v>0.94829668759984498</v>
      </c>
      <c r="D401">
        <v>0.95212525127513303</v>
      </c>
      <c r="E401">
        <v>0.72497290617745702</v>
      </c>
      <c r="F401">
        <v>0.54102999425381604</v>
      </c>
      <c r="G401">
        <v>0.470011903958791</v>
      </c>
      <c r="H401">
        <v>0.44953570331037401</v>
      </c>
      <c r="I401">
        <v>0.59887193604451405</v>
      </c>
      <c r="J401">
        <v>0.81211743331210895</v>
      </c>
      <c r="K401">
        <v>0.89234488198594297</v>
      </c>
      <c r="L401">
        <v>2212.0741484363998</v>
      </c>
      <c r="M401">
        <v>45.868480591140496</v>
      </c>
      <c r="O401">
        <v>48.135067312833101</v>
      </c>
      <c r="P401">
        <v>-8.8525470499746198E-2</v>
      </c>
      <c r="Q401">
        <v>0.62840075354233804</v>
      </c>
      <c r="R401">
        <v>0.567279268888781</v>
      </c>
      <c r="S401" t="s">
        <v>6853</v>
      </c>
      <c r="T401" t="s">
        <v>12902</v>
      </c>
      <c r="U401" t="s">
        <v>12902</v>
      </c>
      <c r="V401" t="s">
        <v>12902</v>
      </c>
      <c r="W401" t="s">
        <v>13299</v>
      </c>
      <c r="X401">
        <v>2</v>
      </c>
      <c r="Y401" t="s">
        <v>19694</v>
      </c>
      <c r="Z401" t="s">
        <v>25976</v>
      </c>
      <c r="AA401">
        <v>0.73123987644337096</v>
      </c>
      <c r="AB401" t="str">
        <f>HYPERLINK("Melting_Curves/meltCurve_E5RIQ9_SERF1A.pdf", "Melting_Curves/meltCurve_E5RIQ9_SERF1A.pdf")</f>
        <v>Melting_Curves/meltCurve_E5RIQ9_SERF1A.pdf</v>
      </c>
    </row>
    <row r="402" spans="1:28" x14ac:dyDescent="0.25">
      <c r="A402" t="s">
        <v>406</v>
      </c>
      <c r="B402">
        <v>0.99673306730245903</v>
      </c>
      <c r="C402">
        <v>1.1684203593551601</v>
      </c>
      <c r="D402">
        <v>0.88114639592819899</v>
      </c>
      <c r="E402">
        <v>0.54233760915725704</v>
      </c>
      <c r="F402">
        <v>4.5544542577061602</v>
      </c>
      <c r="G402">
        <v>0.76343560367430197</v>
      </c>
      <c r="H402">
        <v>0.431973193232146</v>
      </c>
      <c r="I402">
        <v>0.256696237724931</v>
      </c>
      <c r="J402">
        <v>0.366853372115159</v>
      </c>
      <c r="K402">
        <v>0.28213241064137701</v>
      </c>
      <c r="L402">
        <v>14233.812488154599</v>
      </c>
      <c r="M402">
        <v>250</v>
      </c>
      <c r="N402">
        <v>57.1880492378165</v>
      </c>
      <c r="O402">
        <v>56.931610754261598</v>
      </c>
      <c r="P402">
        <v>-0.73068621499785102</v>
      </c>
      <c r="Q402">
        <v>0.33441375994683398</v>
      </c>
      <c r="R402">
        <v>0.123715788150126</v>
      </c>
      <c r="S402" t="s">
        <v>6854</v>
      </c>
      <c r="T402" t="s">
        <v>12902</v>
      </c>
      <c r="U402" t="s">
        <v>12902</v>
      </c>
      <c r="V402" t="s">
        <v>12902</v>
      </c>
      <c r="W402" t="s">
        <v>13300</v>
      </c>
      <c r="X402">
        <v>1</v>
      </c>
      <c r="Y402" t="s">
        <v>19695</v>
      </c>
      <c r="Z402" t="s">
        <v>25977</v>
      </c>
      <c r="AA402">
        <v>0.71020924365259119</v>
      </c>
      <c r="AB402" t="str">
        <f>HYPERLINK("Melting_Curves/meltCurve_E5RIX2_IDO1.pdf", "Melting_Curves/meltCurve_E5RIX2_IDO1.pdf")</f>
        <v>Melting_Curves/meltCurve_E5RIX2_IDO1.pdf</v>
      </c>
    </row>
    <row r="403" spans="1:28" x14ac:dyDescent="0.25">
      <c r="A403" t="s">
        <v>407</v>
      </c>
      <c r="B403">
        <v>0.99673306730245903</v>
      </c>
      <c r="C403">
        <v>0.89539861562849798</v>
      </c>
      <c r="D403">
        <v>0.86143255809490205</v>
      </c>
      <c r="E403">
        <v>0.72913390083166996</v>
      </c>
      <c r="F403">
        <v>0.68738478295773298</v>
      </c>
      <c r="G403">
        <v>0.50811996386744995</v>
      </c>
      <c r="H403">
        <v>0.47873832061527999</v>
      </c>
      <c r="I403">
        <v>0.56322930948782102</v>
      </c>
      <c r="J403">
        <v>0.60996792172227798</v>
      </c>
      <c r="K403">
        <v>0.59465285955390801</v>
      </c>
      <c r="L403">
        <v>745.44075686763199</v>
      </c>
      <c r="M403">
        <v>15.496966985320499</v>
      </c>
      <c r="O403">
        <v>47.3227327450562</v>
      </c>
      <c r="P403">
        <v>-3.7042447475657603E-2</v>
      </c>
      <c r="Q403">
        <v>0.54757753988484603</v>
      </c>
      <c r="R403">
        <v>0.91241375689503601</v>
      </c>
      <c r="S403" t="s">
        <v>6855</v>
      </c>
      <c r="T403" t="s">
        <v>12902</v>
      </c>
      <c r="U403" t="s">
        <v>12902</v>
      </c>
      <c r="V403" t="s">
        <v>12902</v>
      </c>
      <c r="W403" t="s">
        <v>13301</v>
      </c>
      <c r="X403">
        <v>2</v>
      </c>
      <c r="Y403" t="s">
        <v>19696</v>
      </c>
      <c r="Z403" t="s">
        <v>25978</v>
      </c>
      <c r="AA403">
        <v>0.68062941607511296</v>
      </c>
      <c r="AB403" t="str">
        <f>HYPERLINK("Melting_Curves/meltCurve_E5RJ26_PSEN2.pdf", "Melting_Curves/meltCurve_E5RJ26_PSEN2.pdf")</f>
        <v>Melting_Curves/meltCurve_E5RJ26_PSEN2.pdf</v>
      </c>
    </row>
    <row r="404" spans="1:28" x14ac:dyDescent="0.25">
      <c r="A404" t="s">
        <v>408</v>
      </c>
      <c r="B404">
        <v>0.99673306730245903</v>
      </c>
      <c r="C404">
        <v>0.95357164055559696</v>
      </c>
      <c r="D404">
        <v>0.89934615135611096</v>
      </c>
      <c r="E404">
        <v>0.55211290586988604</v>
      </c>
      <c r="F404">
        <v>0.47215847516805398</v>
      </c>
      <c r="G404">
        <v>0.32682611265251599</v>
      </c>
      <c r="H404">
        <v>0.23080890978922999</v>
      </c>
      <c r="I404">
        <v>0.25012869091335199</v>
      </c>
      <c r="J404">
        <v>0.282090555308114</v>
      </c>
      <c r="K404">
        <v>0.24489260061731999</v>
      </c>
      <c r="L404">
        <v>906.88412570137905</v>
      </c>
      <c r="M404">
        <v>18.308195274149298</v>
      </c>
      <c r="N404">
        <v>51.467163635114296</v>
      </c>
      <c r="O404">
        <v>48.954687187313397</v>
      </c>
      <c r="P404">
        <v>-7.0255899508727807E-2</v>
      </c>
      <c r="Q404">
        <v>0.24859926009838401</v>
      </c>
      <c r="R404">
        <v>0.985333951175973</v>
      </c>
      <c r="S404" t="s">
        <v>6856</v>
      </c>
      <c r="T404" t="s">
        <v>12902</v>
      </c>
      <c r="U404" t="s">
        <v>12902</v>
      </c>
      <c r="V404" t="s">
        <v>12902</v>
      </c>
      <c r="W404" t="s">
        <v>13302</v>
      </c>
      <c r="X404">
        <v>4</v>
      </c>
      <c r="Y404" t="s">
        <v>19697</v>
      </c>
      <c r="Z404" t="s">
        <v>25979</v>
      </c>
      <c r="AA404">
        <v>0.49988118484658611</v>
      </c>
      <c r="AB404" t="str">
        <f>HYPERLINK("Melting_Curves/meltCurve_E5RJ99_ZFAND1.pdf", "Melting_Curves/meltCurve_E5RJ99_ZFAND1.pdf")</f>
        <v>Melting_Curves/meltCurve_E5RJ99_ZFAND1.pdf</v>
      </c>
    </row>
    <row r="405" spans="1:28" x14ac:dyDescent="0.25">
      <c r="A405" t="s">
        <v>409</v>
      </c>
      <c r="B405">
        <v>0.99673306730245903</v>
      </c>
      <c r="C405">
        <v>0.77537237926234104</v>
      </c>
      <c r="D405">
        <v>0.81939851269623698</v>
      </c>
      <c r="E405">
        <v>0.81036913428102197</v>
      </c>
      <c r="F405">
        <v>0.94260933761867305</v>
      </c>
      <c r="G405">
        <v>0.53736728778471099</v>
      </c>
      <c r="H405">
        <v>0.42251627048495999</v>
      </c>
      <c r="I405">
        <v>0.17934096264726401</v>
      </c>
      <c r="J405">
        <v>0.13103975537839699</v>
      </c>
      <c r="K405">
        <v>0.16476458368191299</v>
      </c>
      <c r="L405">
        <v>701.450087317981</v>
      </c>
      <c r="M405">
        <v>12.0214633353959</v>
      </c>
      <c r="N405">
        <v>58.349808829216997</v>
      </c>
      <c r="O405">
        <v>56.805522985001097</v>
      </c>
      <c r="P405">
        <v>-5.29188945177387E-2</v>
      </c>
      <c r="Q405">
        <v>0</v>
      </c>
      <c r="R405">
        <v>0.883730689332904</v>
      </c>
      <c r="S405" t="s">
        <v>6857</v>
      </c>
      <c r="T405" t="s">
        <v>12902</v>
      </c>
      <c r="U405" t="s">
        <v>12902</v>
      </c>
      <c r="V405" t="s">
        <v>12902</v>
      </c>
      <c r="W405" t="s">
        <v>13303</v>
      </c>
      <c r="X405">
        <v>9</v>
      </c>
      <c r="Y405" t="s">
        <v>19533</v>
      </c>
      <c r="Z405" t="s">
        <v>25980</v>
      </c>
      <c r="AA405">
        <v>0.62279064239307369</v>
      </c>
      <c r="AB405" t="str">
        <f>HYPERLINK("Melting_Curves/meltCurve_E5RJD2_DECR1.pdf", "Melting_Curves/meltCurve_E5RJD2_DECR1.pdf")</f>
        <v>Melting_Curves/meltCurve_E5RJD2_DECR1.pdf</v>
      </c>
    </row>
    <row r="406" spans="1:28" x14ac:dyDescent="0.25">
      <c r="A406" t="s">
        <v>410</v>
      </c>
      <c r="B406">
        <v>0.99673306730245903</v>
      </c>
      <c r="C406">
        <v>0.85147349182371102</v>
      </c>
      <c r="D406">
        <v>0.85529995925928604</v>
      </c>
      <c r="E406">
        <v>0.77766217135466098</v>
      </c>
      <c r="F406">
        <v>0.78612662824787305</v>
      </c>
      <c r="G406">
        <v>0.38993235339127802</v>
      </c>
      <c r="H406">
        <v>0.18734571747679399</v>
      </c>
      <c r="I406">
        <v>5.24807265456824E-2</v>
      </c>
      <c r="J406">
        <v>0</v>
      </c>
      <c r="K406">
        <v>0</v>
      </c>
      <c r="L406">
        <v>929.96599311123202</v>
      </c>
      <c r="M406">
        <v>16.767335977875799</v>
      </c>
      <c r="N406">
        <v>55.462969321975699</v>
      </c>
      <c r="O406">
        <v>54.692064590503897</v>
      </c>
      <c r="P406">
        <v>-7.6649282032585794E-2</v>
      </c>
      <c r="Q406">
        <v>0</v>
      </c>
      <c r="R406">
        <v>0.95762396668435901</v>
      </c>
      <c r="S406" t="s">
        <v>6858</v>
      </c>
      <c r="T406" t="s">
        <v>12902</v>
      </c>
      <c r="U406" t="s">
        <v>12902</v>
      </c>
      <c r="V406" t="s">
        <v>12902</v>
      </c>
      <c r="W406" t="s">
        <v>13304</v>
      </c>
      <c r="X406">
        <v>1</v>
      </c>
      <c r="Y406" t="s">
        <v>19698</v>
      </c>
      <c r="Z406" t="s">
        <v>25981</v>
      </c>
      <c r="AA406">
        <v>0.53195939177825291</v>
      </c>
      <c r="AB406" t="str">
        <f>HYPERLINK("Melting_Curves/meltCurve_E5RJJ3_NUDT18.pdf", "Melting_Curves/meltCurve_E5RJJ3_NUDT18.pdf")</f>
        <v>Melting_Curves/meltCurve_E5RJJ3_NUDT18.pdf</v>
      </c>
    </row>
    <row r="407" spans="1:28" x14ac:dyDescent="0.25">
      <c r="A407" t="s">
        <v>411</v>
      </c>
      <c r="B407">
        <v>0.99673306730245903</v>
      </c>
      <c r="C407">
        <v>1.0125275359396899</v>
      </c>
      <c r="D407">
        <v>1.0430313357666801</v>
      </c>
      <c r="E407">
        <v>1.07453317851095</v>
      </c>
      <c r="F407">
        <v>1.08186818727109</v>
      </c>
      <c r="G407">
        <v>0.69511746121427398</v>
      </c>
      <c r="H407">
        <v>0.32632343780171902</v>
      </c>
      <c r="I407">
        <v>0.32995785750253398</v>
      </c>
      <c r="J407">
        <v>0.33050169329599499</v>
      </c>
      <c r="K407">
        <v>0.26728287176117299</v>
      </c>
      <c r="L407">
        <v>14212.7487094964</v>
      </c>
      <c r="M407">
        <v>250</v>
      </c>
      <c r="N407">
        <v>57.076176526419502</v>
      </c>
      <c r="O407">
        <v>56.847348393044904</v>
      </c>
      <c r="P407">
        <v>-0.75474436283066304</v>
      </c>
      <c r="Q407">
        <v>0.313516447773042</v>
      </c>
      <c r="R407">
        <v>0.98556693231200498</v>
      </c>
      <c r="S407" t="s">
        <v>6859</v>
      </c>
      <c r="T407" t="s">
        <v>12902</v>
      </c>
      <c r="U407" t="s">
        <v>12902</v>
      </c>
      <c r="V407" t="s">
        <v>12902</v>
      </c>
      <c r="W407" t="s">
        <v>13305</v>
      </c>
      <c r="X407">
        <v>15</v>
      </c>
      <c r="Y407" t="s">
        <v>19699</v>
      </c>
      <c r="Z407" t="s">
        <v>25982</v>
      </c>
      <c r="AA407">
        <v>0.69918263319417107</v>
      </c>
      <c r="AB407" t="str">
        <f>HYPERLINK("Melting_Curves/meltCurve_E5RJR5_SKP1.pdf", "Melting_Curves/meltCurve_E5RJR5_SKP1.pdf")</f>
        <v>Melting_Curves/meltCurve_E5RJR5_SKP1.pdf</v>
      </c>
    </row>
    <row r="408" spans="1:28" x14ac:dyDescent="0.25">
      <c r="A408" t="s">
        <v>412</v>
      </c>
      <c r="B408">
        <v>0.99673306730245903</v>
      </c>
      <c r="C408">
        <v>0.94632408298412496</v>
      </c>
      <c r="D408">
        <v>0.82538463978328003</v>
      </c>
      <c r="E408">
        <v>0.61954987239270198</v>
      </c>
      <c r="F408">
        <v>0.33481986750221399</v>
      </c>
      <c r="G408">
        <v>0.18454349293573799</v>
      </c>
      <c r="H408">
        <v>0.100795312618296</v>
      </c>
      <c r="I408">
        <v>0.110779602234855</v>
      </c>
      <c r="J408">
        <v>0.186562028600637</v>
      </c>
      <c r="K408">
        <v>0.27783646816594298</v>
      </c>
      <c r="L408">
        <v>1019.2038876960301</v>
      </c>
      <c r="M408">
        <v>20.5216221740158</v>
      </c>
      <c r="N408">
        <v>50.596321708572198</v>
      </c>
      <c r="O408">
        <v>49.200484139298403</v>
      </c>
      <c r="P408">
        <v>-8.7874547547471205E-2</v>
      </c>
      <c r="Q408">
        <v>0.157309541030655</v>
      </c>
      <c r="R408">
        <v>0.97568500204309605</v>
      </c>
      <c r="S408" t="s">
        <v>6860</v>
      </c>
      <c r="T408" t="s">
        <v>12902</v>
      </c>
      <c r="U408" t="s">
        <v>12902</v>
      </c>
      <c r="V408" t="s">
        <v>12902</v>
      </c>
      <c r="W408" t="s">
        <v>13306</v>
      </c>
      <c r="X408">
        <v>7</v>
      </c>
      <c r="Y408" t="s">
        <v>19700</v>
      </c>
      <c r="Z408" t="s">
        <v>25983</v>
      </c>
      <c r="AA408">
        <v>0.4399572443224436</v>
      </c>
      <c r="AB408" t="str">
        <f>HYPERLINK("Melting_Curves/meltCurve_E5RJS5_MTFR1.pdf", "Melting_Curves/meltCurve_E5RJS5_MTFR1.pdf")</f>
        <v>Melting_Curves/meltCurve_E5RJS5_MTFR1.pdf</v>
      </c>
    </row>
    <row r="409" spans="1:28" x14ac:dyDescent="0.25">
      <c r="A409" t="s">
        <v>413</v>
      </c>
      <c r="B409">
        <v>0.99673306730245903</v>
      </c>
      <c r="C409">
        <v>0.88342657656620405</v>
      </c>
      <c r="D409">
        <v>0.67969309322205296</v>
      </c>
      <c r="E409">
        <v>0.59786906843844301</v>
      </c>
      <c r="F409">
        <v>0.44156942485294198</v>
      </c>
      <c r="G409">
        <v>0.19421845882767</v>
      </c>
      <c r="H409">
        <v>8.4932990630106994E-2</v>
      </c>
      <c r="I409">
        <v>5.6707532279210902E-2</v>
      </c>
      <c r="J409">
        <v>5.8775063161227201E-2</v>
      </c>
      <c r="K409">
        <v>1.92172408830634E-2</v>
      </c>
      <c r="L409">
        <v>586.82741944391398</v>
      </c>
      <c r="M409">
        <v>11.581032815034201</v>
      </c>
      <c r="N409">
        <v>50.671423517756999</v>
      </c>
      <c r="O409">
        <v>49.231244062920098</v>
      </c>
      <c r="P409">
        <v>-5.8825607586712299E-2</v>
      </c>
      <c r="Q409">
        <v>0</v>
      </c>
      <c r="R409">
        <v>0.98416122362270098</v>
      </c>
      <c r="S409" t="s">
        <v>6861</v>
      </c>
      <c r="T409" t="s">
        <v>12902</v>
      </c>
      <c r="U409" t="s">
        <v>12902</v>
      </c>
      <c r="V409" t="s">
        <v>12902</v>
      </c>
      <c r="W409" t="s">
        <v>13307</v>
      </c>
      <c r="X409">
        <v>1</v>
      </c>
      <c r="Y409" t="s">
        <v>19701</v>
      </c>
      <c r="Z409" t="s">
        <v>25984</v>
      </c>
      <c r="AA409">
        <v>0.3907493314775749</v>
      </c>
      <c r="AB409" t="str">
        <f>HYPERLINK("Melting_Curves/meltCurve_E7EM50_PIGG.pdf", "Melting_Curves/meltCurve_E7EM50_PIGG.pdf")</f>
        <v>Melting_Curves/meltCurve_E7EM50_PIGG.pdf</v>
      </c>
    </row>
    <row r="410" spans="1:28" x14ac:dyDescent="0.25">
      <c r="A410" t="s">
        <v>414</v>
      </c>
      <c r="B410">
        <v>0.99673306730245903</v>
      </c>
      <c r="C410">
        <v>0.96267761272303598</v>
      </c>
      <c r="D410">
        <v>1.04160182071244</v>
      </c>
      <c r="E410">
        <v>1.2920503011095901</v>
      </c>
      <c r="F410">
        <v>0.85394098828091203</v>
      </c>
      <c r="G410">
        <v>0.24298926245493199</v>
      </c>
      <c r="H410">
        <v>0.104297559570159</v>
      </c>
      <c r="I410">
        <v>6.2712948928420595E-2</v>
      </c>
      <c r="J410">
        <v>6.3149923743737096E-2</v>
      </c>
      <c r="K410">
        <v>5.9278415915377497E-2</v>
      </c>
      <c r="L410">
        <v>2806.2797763490398</v>
      </c>
      <c r="M410">
        <v>50.926197911456399</v>
      </c>
      <c r="N410">
        <v>55.270791738869498</v>
      </c>
      <c r="O410">
        <v>55.020063046379903</v>
      </c>
      <c r="P410">
        <v>-0.21499344712669299</v>
      </c>
      <c r="Q410">
        <v>7.0895192061828594E-2</v>
      </c>
      <c r="R410">
        <v>0.95946680973237497</v>
      </c>
      <c r="S410" t="s">
        <v>6862</v>
      </c>
      <c r="T410" t="s">
        <v>12902</v>
      </c>
      <c r="U410" t="s">
        <v>12902</v>
      </c>
      <c r="V410" t="s">
        <v>12902</v>
      </c>
      <c r="W410" t="s">
        <v>13308</v>
      </c>
      <c r="X410">
        <v>9</v>
      </c>
      <c r="Y410" t="s">
        <v>19702</v>
      </c>
      <c r="Z410" t="s">
        <v>25985</v>
      </c>
      <c r="AA410">
        <v>0.54086979059812268</v>
      </c>
      <c r="AB410" t="str">
        <f>HYPERLINK("Melting_Curves/meltCurve_E7EM64_COPS6.pdf", "Melting_Curves/meltCurve_E7EM64_COPS6.pdf")</f>
        <v>Melting_Curves/meltCurve_E7EM64_COPS6.pdf</v>
      </c>
    </row>
    <row r="411" spans="1:28" x14ac:dyDescent="0.25">
      <c r="A411" t="s">
        <v>415</v>
      </c>
      <c r="B411">
        <v>0.99673306730245903</v>
      </c>
      <c r="C411">
        <v>0.86658094867150703</v>
      </c>
      <c r="D411">
        <v>0.75556046794126497</v>
      </c>
      <c r="E411">
        <v>0.48777952239765199</v>
      </c>
      <c r="F411">
        <v>0.30126806959610303</v>
      </c>
      <c r="G411">
        <v>0.19842510944175301</v>
      </c>
      <c r="H411">
        <v>0.137027326919924</v>
      </c>
      <c r="I411">
        <v>0.12770666364761801</v>
      </c>
      <c r="J411">
        <v>0.100030951898075</v>
      </c>
      <c r="K411">
        <v>8.7282489890160103E-2</v>
      </c>
      <c r="L411">
        <v>711.07822069988299</v>
      </c>
      <c r="M411">
        <v>14.540737318224</v>
      </c>
      <c r="N411">
        <v>49.549694213608902</v>
      </c>
      <c r="O411">
        <v>48.005470848590697</v>
      </c>
      <c r="P411">
        <v>-6.9182817012059999E-2</v>
      </c>
      <c r="Q411">
        <v>8.6490584648397706E-2</v>
      </c>
      <c r="R411">
        <v>0.99778948426831005</v>
      </c>
      <c r="S411" t="s">
        <v>6863</v>
      </c>
      <c r="T411" t="s">
        <v>12902</v>
      </c>
      <c r="U411" t="s">
        <v>12902</v>
      </c>
      <c r="V411" t="s">
        <v>12902</v>
      </c>
      <c r="W411" t="s">
        <v>13309</v>
      </c>
      <c r="X411">
        <v>2</v>
      </c>
      <c r="Y411" t="s">
        <v>19703</v>
      </c>
      <c r="Z411" t="s">
        <v>25986</v>
      </c>
      <c r="AA411">
        <v>0.38156431161139021</v>
      </c>
      <c r="AB411" t="str">
        <f>HYPERLINK("Melting_Curves/meltCurve_E7EM95_RNF5.pdf", "Melting_Curves/meltCurve_E7EM95_RNF5.pdf")</f>
        <v>Melting_Curves/meltCurve_E7EM95_RNF5.pdf</v>
      </c>
    </row>
    <row r="412" spans="1:28" x14ac:dyDescent="0.25">
      <c r="A412" t="s">
        <v>416</v>
      </c>
      <c r="B412">
        <v>0.99673306730245903</v>
      </c>
      <c r="C412">
        <v>0.94458710645662602</v>
      </c>
      <c r="D412">
        <v>1.21118343916421</v>
      </c>
      <c r="E412">
        <v>0.58841926095400299</v>
      </c>
      <c r="F412">
        <v>0.78984520963150096</v>
      </c>
      <c r="G412">
        <v>0.46232059769420802</v>
      </c>
      <c r="H412">
        <v>0.52007760289645</v>
      </c>
      <c r="I412">
        <v>0.94985206661714305</v>
      </c>
      <c r="J412">
        <v>1.6692017299300099</v>
      </c>
      <c r="K412">
        <v>0.70244036950166</v>
      </c>
      <c r="L412">
        <v>11935.1554501846</v>
      </c>
      <c r="M412">
        <v>250</v>
      </c>
      <c r="O412">
        <v>47.737566901391801</v>
      </c>
      <c r="P412">
        <v>-0.246478490664611</v>
      </c>
      <c r="Q412">
        <v>0.811739465939745</v>
      </c>
      <c r="R412">
        <v>9.4856314282021695E-2</v>
      </c>
      <c r="S412" t="s">
        <v>6864</v>
      </c>
      <c r="T412" t="s">
        <v>12902</v>
      </c>
      <c r="U412" t="s">
        <v>12902</v>
      </c>
      <c r="V412" t="s">
        <v>12902</v>
      </c>
      <c r="W412" t="s">
        <v>13310</v>
      </c>
      <c r="X412">
        <v>3</v>
      </c>
      <c r="Y412" t="s">
        <v>19704</v>
      </c>
      <c r="Z412" t="s">
        <v>25987</v>
      </c>
      <c r="AA412">
        <v>0.86033035897492705</v>
      </c>
      <c r="AB412" t="str">
        <f>HYPERLINK("Melting_Curves/meltCurve_E7EMB8_PTPN18.pdf", "Melting_Curves/meltCurve_E7EMB8_PTPN18.pdf")</f>
        <v>Melting_Curves/meltCurve_E7EMB8_PTPN18.pdf</v>
      </c>
    </row>
    <row r="413" spans="1:28" x14ac:dyDescent="0.25">
      <c r="A413" t="s">
        <v>417</v>
      </c>
      <c r="B413">
        <v>0.99673306730245903</v>
      </c>
      <c r="C413">
        <v>1.0809589475100201</v>
      </c>
      <c r="D413">
        <v>0.94711996461113401</v>
      </c>
      <c r="E413">
        <v>0.72681818261352804</v>
      </c>
      <c r="F413">
        <v>0.58121195966244699</v>
      </c>
      <c r="G413">
        <v>0.46503998828174298</v>
      </c>
      <c r="H413">
        <v>0.322154587567338</v>
      </c>
      <c r="I413">
        <v>0.24193401446461801</v>
      </c>
      <c r="J413">
        <v>0.297968356854455</v>
      </c>
      <c r="K413">
        <v>0.27415745186755103</v>
      </c>
      <c r="L413">
        <v>839.53561360609501</v>
      </c>
      <c r="M413">
        <v>16.050594063697901</v>
      </c>
      <c r="N413">
        <v>54.7487701377053</v>
      </c>
      <c r="O413">
        <v>51.513856562990902</v>
      </c>
      <c r="P413">
        <v>-5.7980358693237498E-2</v>
      </c>
      <c r="Q413">
        <v>0.255713387726973</v>
      </c>
      <c r="R413">
        <v>0.97973022854258596</v>
      </c>
      <c r="S413" t="s">
        <v>6865</v>
      </c>
      <c r="T413" t="s">
        <v>12902</v>
      </c>
      <c r="U413" t="s">
        <v>12902</v>
      </c>
      <c r="V413" t="s">
        <v>12902</v>
      </c>
      <c r="W413" t="s">
        <v>13084</v>
      </c>
      <c r="X413">
        <v>2</v>
      </c>
      <c r="Y413" t="s">
        <v>19705</v>
      </c>
      <c r="Z413" t="s">
        <v>25988</v>
      </c>
      <c r="AA413">
        <v>0.57585438934342181</v>
      </c>
      <c r="AB413" t="str">
        <f>HYPERLINK("Melting_Curves/meltCurve_E7EMC6_ANXA6.pdf", "Melting_Curves/meltCurve_E7EMC6_ANXA6.pdf")</f>
        <v>Melting_Curves/meltCurve_E7EMC6_ANXA6.pdf</v>
      </c>
    </row>
    <row r="414" spans="1:28" x14ac:dyDescent="0.25">
      <c r="A414" t="s">
        <v>418</v>
      </c>
      <c r="B414">
        <v>0.99673306730245903</v>
      </c>
      <c r="C414">
        <v>1.0122873457050601</v>
      </c>
      <c r="D414">
        <v>0.989781520022599</v>
      </c>
      <c r="E414">
        <v>0.94912543829815899</v>
      </c>
      <c r="F414">
        <v>0.82109557429079205</v>
      </c>
      <c r="G414">
        <v>0.75620112784162796</v>
      </c>
      <c r="H414">
        <v>0.58408990013709905</v>
      </c>
      <c r="I414">
        <v>0.76702998409190204</v>
      </c>
      <c r="J414">
        <v>0.78898680784466702</v>
      </c>
      <c r="K414">
        <v>0.65957178573181896</v>
      </c>
      <c r="L414">
        <v>1555.8433817729399</v>
      </c>
      <c r="M414">
        <v>29.6845644940319</v>
      </c>
      <c r="O414">
        <v>52.176422088971897</v>
      </c>
      <c r="P414">
        <v>-4.2069115833954999E-2</v>
      </c>
      <c r="Q414">
        <v>0.70422336299161903</v>
      </c>
      <c r="R414">
        <v>0.85422717063463804</v>
      </c>
      <c r="S414" t="s">
        <v>6866</v>
      </c>
      <c r="T414" t="s">
        <v>12902</v>
      </c>
      <c r="U414" t="s">
        <v>12902</v>
      </c>
      <c r="V414" t="s">
        <v>12902</v>
      </c>
      <c r="W414" t="s">
        <v>13311</v>
      </c>
      <c r="X414">
        <v>14</v>
      </c>
      <c r="Y414" t="s">
        <v>19706</v>
      </c>
      <c r="Z414" t="s">
        <v>25989</v>
      </c>
      <c r="AA414">
        <v>0.82854319020988709</v>
      </c>
      <c r="AB414" t="str">
        <f>HYPERLINK("Melting_Curves/meltCurve_E7EMM4_ASAH1.pdf", "Melting_Curves/meltCurve_E7EMM4_ASAH1.pdf")</f>
        <v>Melting_Curves/meltCurve_E7EMM4_ASAH1.pdf</v>
      </c>
    </row>
    <row r="415" spans="1:28" x14ac:dyDescent="0.25">
      <c r="A415" t="s">
        <v>419</v>
      </c>
      <c r="B415">
        <v>0.99673306730245903</v>
      </c>
      <c r="C415">
        <v>1.0062948893093699</v>
      </c>
      <c r="D415">
        <v>1.0763386414198799</v>
      </c>
      <c r="E415">
        <v>0.98825368968006899</v>
      </c>
      <c r="F415">
        <v>0.95843081036826905</v>
      </c>
      <c r="G415">
        <v>0.89326563298012895</v>
      </c>
      <c r="H415">
        <v>0.90183110329835603</v>
      </c>
      <c r="I415">
        <v>1.3519570513342101</v>
      </c>
      <c r="J415">
        <v>2.1657815952708201</v>
      </c>
      <c r="K415">
        <v>2.0520732316661401</v>
      </c>
      <c r="L415">
        <v>15000</v>
      </c>
      <c r="M415">
        <v>235.24121525538499</v>
      </c>
      <c r="O415">
        <v>63.759729469377099</v>
      </c>
      <c r="P415">
        <v>0.46118691048367799</v>
      </c>
      <c r="Q415">
        <v>1.5</v>
      </c>
      <c r="R415">
        <v>0.62048158212161297</v>
      </c>
      <c r="S415" t="s">
        <v>6867</v>
      </c>
      <c r="T415" t="s">
        <v>12902</v>
      </c>
      <c r="U415" t="s">
        <v>12902</v>
      </c>
      <c r="V415" t="s">
        <v>12902</v>
      </c>
      <c r="W415" t="s">
        <v>13312</v>
      </c>
      <c r="X415">
        <v>13</v>
      </c>
      <c r="Y415" t="s">
        <v>19707</v>
      </c>
      <c r="Z415" t="s">
        <v>25990</v>
      </c>
      <c r="AA415">
        <v>1.103864530000592</v>
      </c>
      <c r="AB415" t="str">
        <f>HYPERLINK("Melting_Curves/meltCurve_E7EMN6_PPP1R2.pdf", "Melting_Curves/meltCurve_E7EMN6_PPP1R2.pdf")</f>
        <v>Melting_Curves/meltCurve_E7EMN6_PPP1R2.pdf</v>
      </c>
    </row>
    <row r="416" spans="1:28" x14ac:dyDescent="0.25">
      <c r="A416" t="s">
        <v>420</v>
      </c>
      <c r="B416">
        <v>0.99673306730245903</v>
      </c>
      <c r="C416">
        <v>0.83965400524410805</v>
      </c>
      <c r="D416">
        <v>0.479592989112335</v>
      </c>
      <c r="E416">
        <v>0.45652902078350499</v>
      </c>
      <c r="F416">
        <v>0.21351337177888099</v>
      </c>
      <c r="G416">
        <v>0.15649672576359999</v>
      </c>
      <c r="H416">
        <v>0.104303638960205</v>
      </c>
      <c r="I416">
        <v>0.109889527129073</v>
      </c>
      <c r="J416">
        <v>0.14227204888209</v>
      </c>
      <c r="K416">
        <v>0.121317672555065</v>
      </c>
      <c r="L416">
        <v>717.01984258667301</v>
      </c>
      <c r="M416">
        <v>15.4278498507776</v>
      </c>
      <c r="N416">
        <v>47.254907280471798</v>
      </c>
      <c r="O416">
        <v>45.715832838423502</v>
      </c>
      <c r="P416">
        <v>-7.4899564297378707E-2</v>
      </c>
      <c r="Q416">
        <v>0.112310218690285</v>
      </c>
      <c r="R416">
        <v>0.96898984509501096</v>
      </c>
      <c r="S416" t="s">
        <v>6868</v>
      </c>
      <c r="T416" t="s">
        <v>12902</v>
      </c>
      <c r="U416" t="s">
        <v>12902</v>
      </c>
      <c r="V416" t="s">
        <v>12902</v>
      </c>
      <c r="W416" t="s">
        <v>13313</v>
      </c>
      <c r="X416">
        <v>13</v>
      </c>
      <c r="Y416" t="s">
        <v>19708</v>
      </c>
      <c r="Z416" t="s">
        <v>25991</v>
      </c>
      <c r="AA416">
        <v>0.32747608298176462</v>
      </c>
      <c r="AB416" t="str">
        <f>HYPERLINK("Melting_Curves/meltCurve_E7EMX7_RAI14.pdf", "Melting_Curves/meltCurve_E7EMX7_RAI14.pdf")</f>
        <v>Melting_Curves/meltCurve_E7EMX7_RAI14.pdf</v>
      </c>
    </row>
    <row r="417" spans="1:28" x14ac:dyDescent="0.25">
      <c r="A417" t="s">
        <v>421</v>
      </c>
      <c r="B417">
        <v>0.99673306730245903</v>
      </c>
      <c r="C417">
        <v>1.0139142742773299</v>
      </c>
      <c r="D417">
        <v>1.01427741598321</v>
      </c>
      <c r="E417">
        <v>0.90452622707084895</v>
      </c>
      <c r="F417">
        <v>0.53025191315702402</v>
      </c>
      <c r="G417">
        <v>0.323332228280657</v>
      </c>
      <c r="H417">
        <v>0.20244990406218</v>
      </c>
      <c r="I417">
        <v>0.307955880090513</v>
      </c>
      <c r="J417">
        <v>0.51744086542912004</v>
      </c>
      <c r="K417">
        <v>0.53869048371433004</v>
      </c>
      <c r="L417">
        <v>2312.8961983889899</v>
      </c>
      <c r="M417">
        <v>44.750816580092298</v>
      </c>
      <c r="N417">
        <v>53.3672304724819</v>
      </c>
      <c r="O417">
        <v>51.580998797394102</v>
      </c>
      <c r="P417">
        <v>-0.134883710172365</v>
      </c>
      <c r="Q417">
        <v>0.37811840688658399</v>
      </c>
      <c r="R417">
        <v>0.90560198001907499</v>
      </c>
      <c r="S417" t="s">
        <v>6869</v>
      </c>
      <c r="T417" t="s">
        <v>12902</v>
      </c>
      <c r="U417" t="s">
        <v>12902</v>
      </c>
      <c r="V417" t="s">
        <v>12902</v>
      </c>
      <c r="W417" t="s">
        <v>13314</v>
      </c>
      <c r="X417">
        <v>8</v>
      </c>
      <c r="Y417" t="s">
        <v>19709</v>
      </c>
      <c r="Z417" t="s">
        <v>25992</v>
      </c>
      <c r="AA417">
        <v>0.62209024432842541</v>
      </c>
      <c r="AB417" t="str">
        <f>HYPERLINK("Melting_Curves/meltCurve_E7EMZ9_TACC2.pdf", "Melting_Curves/meltCurve_E7EMZ9_TACC2.pdf")</f>
        <v>Melting_Curves/meltCurve_E7EMZ9_TACC2.pdf</v>
      </c>
    </row>
    <row r="418" spans="1:28" x14ac:dyDescent="0.25">
      <c r="A418" t="s">
        <v>422</v>
      </c>
      <c r="B418">
        <v>0.99673306730245903</v>
      </c>
      <c r="C418">
        <v>0.97546018792830202</v>
      </c>
      <c r="D418">
        <v>0.92090602258857901</v>
      </c>
      <c r="E418">
        <v>0.82358583731063495</v>
      </c>
      <c r="F418">
        <v>0.65574621783699205</v>
      </c>
      <c r="G418">
        <v>0.45882800470235602</v>
      </c>
      <c r="H418">
        <v>0.32946805778027699</v>
      </c>
      <c r="I418">
        <v>0.30751053639933401</v>
      </c>
      <c r="J418">
        <v>0.239844683082542</v>
      </c>
      <c r="K418">
        <v>0.18238042431717899</v>
      </c>
      <c r="L418">
        <v>693.10986288379002</v>
      </c>
      <c r="M418">
        <v>12.6991867105853</v>
      </c>
      <c r="N418">
        <v>56.279312069698598</v>
      </c>
      <c r="O418">
        <v>53.2787633944967</v>
      </c>
      <c r="P418">
        <v>-5.01047448467336E-2</v>
      </c>
      <c r="Q418">
        <v>0.15931549578116699</v>
      </c>
      <c r="R418">
        <v>0.99719415736021999</v>
      </c>
      <c r="S418" t="s">
        <v>6870</v>
      </c>
      <c r="T418" t="s">
        <v>12902</v>
      </c>
      <c r="U418" t="s">
        <v>12902</v>
      </c>
      <c r="V418" t="s">
        <v>12902</v>
      </c>
      <c r="W418" t="s">
        <v>13315</v>
      </c>
      <c r="X418">
        <v>9</v>
      </c>
      <c r="Y418" t="s">
        <v>19710</v>
      </c>
      <c r="Z418" t="s">
        <v>25993</v>
      </c>
      <c r="AA418">
        <v>0.58759820769531546</v>
      </c>
      <c r="AB418" t="str">
        <f>HYPERLINK("Melting_Curves/meltCurve_E7EN73_KIAA0319L.pdf", "Melting_Curves/meltCurve_E7EN73_KIAA0319L.pdf")</f>
        <v>Melting_Curves/meltCurve_E7EN73_KIAA0319L.pdf</v>
      </c>
    </row>
    <row r="419" spans="1:28" x14ac:dyDescent="0.25">
      <c r="A419" t="s">
        <v>423</v>
      </c>
      <c r="B419">
        <v>0.99673306730245903</v>
      </c>
      <c r="C419">
        <v>0.74899814494164296</v>
      </c>
      <c r="D419">
        <v>0.93397402950886899</v>
      </c>
      <c r="E419">
        <v>0.65972762966693399</v>
      </c>
      <c r="F419">
        <v>0.418076807414342</v>
      </c>
      <c r="G419">
        <v>0.21990074763752701</v>
      </c>
      <c r="H419">
        <v>0.16029665079531599</v>
      </c>
      <c r="I419">
        <v>0.272783772030602</v>
      </c>
      <c r="J419">
        <v>0.34242311206091097</v>
      </c>
      <c r="K419">
        <v>0.292234489323491</v>
      </c>
      <c r="L419">
        <v>1069.58225834276</v>
      </c>
      <c r="M419">
        <v>21.4776215902356</v>
      </c>
      <c r="N419">
        <v>51.4435006512767</v>
      </c>
      <c r="O419">
        <v>49.374152594338298</v>
      </c>
      <c r="P419">
        <v>-8.1752864847731394E-2</v>
      </c>
      <c r="Q419">
        <v>0.248263258165729</v>
      </c>
      <c r="R419">
        <v>0.90304600599741602</v>
      </c>
      <c r="S419" t="s">
        <v>6871</v>
      </c>
      <c r="T419" t="s">
        <v>12902</v>
      </c>
      <c r="U419" t="s">
        <v>12902</v>
      </c>
      <c r="V419" t="s">
        <v>12902</v>
      </c>
      <c r="W419" t="s">
        <v>13316</v>
      </c>
      <c r="X419">
        <v>2</v>
      </c>
      <c r="Y419" t="s">
        <v>19711</v>
      </c>
      <c r="Z419" t="s">
        <v>25994</v>
      </c>
      <c r="AA419">
        <v>0.50292249839590975</v>
      </c>
      <c r="AB419" t="str">
        <f>HYPERLINK("Melting_Curves/meltCurve_E7EN86_ZNF143.pdf", "Melting_Curves/meltCurve_E7EN86_ZNF143.pdf")</f>
        <v>Melting_Curves/meltCurve_E7EN86_ZNF143.pdf</v>
      </c>
    </row>
    <row r="420" spans="1:28" x14ac:dyDescent="0.25">
      <c r="A420" t="s">
        <v>424</v>
      </c>
      <c r="B420">
        <v>0.99673306730245903</v>
      </c>
      <c r="C420">
        <v>0.97021761157746</v>
      </c>
      <c r="D420">
        <v>0.91665914074797505</v>
      </c>
      <c r="E420">
        <v>0.89878313125332698</v>
      </c>
      <c r="F420">
        <v>0.65061594803016098</v>
      </c>
      <c r="G420">
        <v>0.51248591015553902</v>
      </c>
      <c r="H420">
        <v>0.37238173602444102</v>
      </c>
      <c r="I420">
        <v>0.46287946469822899</v>
      </c>
      <c r="J420">
        <v>0.41744296414363802</v>
      </c>
      <c r="K420">
        <v>0.37978553665199599</v>
      </c>
      <c r="L420">
        <v>1115.98667470788</v>
      </c>
      <c r="M420">
        <v>21.225289019070399</v>
      </c>
      <c r="N420">
        <v>56.804515349566699</v>
      </c>
      <c r="O420">
        <v>52.118124661122998</v>
      </c>
      <c r="P420">
        <v>-6.1402108808559903E-2</v>
      </c>
      <c r="Q420">
        <v>0.39693062868262402</v>
      </c>
      <c r="R420">
        <v>0.98117768376454595</v>
      </c>
      <c r="S420" t="s">
        <v>6872</v>
      </c>
      <c r="T420" t="s">
        <v>12902</v>
      </c>
      <c r="U420" t="s">
        <v>12902</v>
      </c>
      <c r="V420" t="s">
        <v>12902</v>
      </c>
      <c r="W420" t="s">
        <v>13317</v>
      </c>
      <c r="X420">
        <v>4</v>
      </c>
      <c r="Y420" t="s">
        <v>19712</v>
      </c>
      <c r="Z420" t="s">
        <v>25995</v>
      </c>
      <c r="AA420">
        <v>0.65727088405027467</v>
      </c>
      <c r="AB420" t="str">
        <f>HYPERLINK("Melting_Curves/meltCurve_E7ENA9_NCSTN.pdf", "Melting_Curves/meltCurve_E7ENA9_NCSTN.pdf")</f>
        <v>Melting_Curves/meltCurve_E7ENA9_NCSTN.pdf</v>
      </c>
    </row>
    <row r="421" spans="1:28" x14ac:dyDescent="0.25">
      <c r="A421" t="s">
        <v>425</v>
      </c>
      <c r="B421">
        <v>0.99673306730245903</v>
      </c>
      <c r="C421">
        <v>0.88829436340616696</v>
      </c>
      <c r="D421">
        <v>0.78458490184293594</v>
      </c>
      <c r="E421">
        <v>0.59837723277375998</v>
      </c>
      <c r="F421">
        <v>0.38837488293438499</v>
      </c>
      <c r="G421">
        <v>0.26446158839113898</v>
      </c>
      <c r="H421">
        <v>0.180274439366853</v>
      </c>
      <c r="I421">
        <v>0.17666948548970299</v>
      </c>
      <c r="J421">
        <v>0.23702812698204401</v>
      </c>
      <c r="K421">
        <v>0.223629902243205</v>
      </c>
      <c r="L421">
        <v>749.31692182265294</v>
      </c>
      <c r="M421">
        <v>15.2047986847536</v>
      </c>
      <c r="N421">
        <v>50.797563136250197</v>
      </c>
      <c r="O421">
        <v>48.452730704270301</v>
      </c>
      <c r="P421">
        <v>-6.4149728384646207E-2</v>
      </c>
      <c r="Q421">
        <v>0.182381316776867</v>
      </c>
      <c r="R421">
        <v>0.99081755421666995</v>
      </c>
      <c r="S421" t="s">
        <v>6873</v>
      </c>
      <c r="T421" t="s">
        <v>12902</v>
      </c>
      <c r="U421" t="s">
        <v>12902</v>
      </c>
      <c r="V421" t="s">
        <v>12902</v>
      </c>
      <c r="W421" t="s">
        <v>13318</v>
      </c>
      <c r="X421">
        <v>9</v>
      </c>
      <c r="Y421" t="s">
        <v>19713</v>
      </c>
      <c r="Z421" t="s">
        <v>25996</v>
      </c>
      <c r="AA421">
        <v>0.45481933708933908</v>
      </c>
      <c r="AB421" t="str">
        <f>HYPERLINK("Melting_Curves/meltCurve_E7ENU4_ADAR.pdf", "Melting_Curves/meltCurve_E7ENU4_ADAR.pdf")</f>
        <v>Melting_Curves/meltCurve_E7ENU4_ADAR.pdf</v>
      </c>
    </row>
    <row r="422" spans="1:28" x14ac:dyDescent="0.25">
      <c r="A422" t="s">
        <v>426</v>
      </c>
      <c r="B422">
        <v>0.99673306730245903</v>
      </c>
      <c r="C422">
        <v>0.97204285045549599</v>
      </c>
      <c r="D422">
        <v>1.01544762281556</v>
      </c>
      <c r="E422">
        <v>0.927430774445277</v>
      </c>
      <c r="F422">
        <v>0.720928954810652</v>
      </c>
      <c r="G422">
        <v>0.44926333196386797</v>
      </c>
      <c r="H422">
        <v>0.17534543364912</v>
      </c>
      <c r="I422">
        <v>0.109169446077888</v>
      </c>
      <c r="J422">
        <v>0.157527529677604</v>
      </c>
      <c r="K422">
        <v>0.11485236213800901</v>
      </c>
      <c r="L422">
        <v>1243.2822151088101</v>
      </c>
      <c r="M422">
        <v>22.497691168309601</v>
      </c>
      <c r="N422">
        <v>55.831171041643202</v>
      </c>
      <c r="O422">
        <v>54.8315912784388</v>
      </c>
      <c r="P422">
        <v>-9.2077463373038307E-2</v>
      </c>
      <c r="Q422">
        <v>0.10236998143909599</v>
      </c>
      <c r="R422">
        <v>0.99584918508426801</v>
      </c>
      <c r="S422" t="s">
        <v>6874</v>
      </c>
      <c r="T422" t="s">
        <v>12902</v>
      </c>
      <c r="U422" t="s">
        <v>12902</v>
      </c>
      <c r="V422" t="s">
        <v>12902</v>
      </c>
      <c r="W422" t="s">
        <v>13319</v>
      </c>
      <c r="X422">
        <v>1</v>
      </c>
      <c r="Y422" t="s">
        <v>19714</v>
      </c>
      <c r="Z422" t="s">
        <v>25997</v>
      </c>
      <c r="AA422">
        <v>0.56894052252479499</v>
      </c>
      <c r="AB422" t="str">
        <f>HYPERLINK("Melting_Curves/meltCurve_E7ENX6_LRFN4.pdf", "Melting_Curves/meltCurve_E7ENX6_LRFN4.pdf")</f>
        <v>Melting_Curves/meltCurve_E7ENX6_LRFN4.pdf</v>
      </c>
    </row>
    <row r="423" spans="1:28" x14ac:dyDescent="0.25">
      <c r="A423" t="s">
        <v>427</v>
      </c>
      <c r="B423">
        <v>0.99673306730245903</v>
      </c>
      <c r="C423">
        <v>0.79689984531609603</v>
      </c>
      <c r="D423">
        <v>0.58723598377775299</v>
      </c>
      <c r="E423">
        <v>0.46501965985235799</v>
      </c>
      <c r="F423">
        <v>0.35704457482176</v>
      </c>
      <c r="G423">
        <v>0.26903837651936402</v>
      </c>
      <c r="H423">
        <v>0.18261181930510301</v>
      </c>
      <c r="I423">
        <v>0.19601419929528599</v>
      </c>
      <c r="J423">
        <v>0.262010155395906</v>
      </c>
      <c r="K423">
        <v>0.25499386783790301</v>
      </c>
      <c r="L423">
        <v>681.98628099101404</v>
      </c>
      <c r="M423">
        <v>14.7289709350646</v>
      </c>
      <c r="N423">
        <v>48.211700291341003</v>
      </c>
      <c r="O423">
        <v>45.473985780101103</v>
      </c>
      <c r="P423">
        <v>-6.3088047996134794E-2</v>
      </c>
      <c r="Q423">
        <v>0.22097647078167601</v>
      </c>
      <c r="R423">
        <v>0.97696118632408602</v>
      </c>
      <c r="S423" t="s">
        <v>6875</v>
      </c>
      <c r="T423" t="s">
        <v>12902</v>
      </c>
      <c r="U423" t="s">
        <v>12902</v>
      </c>
      <c r="V423" t="s">
        <v>12902</v>
      </c>
      <c r="W423" t="s">
        <v>13320</v>
      </c>
      <c r="X423">
        <v>3</v>
      </c>
      <c r="Y423" t="s">
        <v>19715</v>
      </c>
      <c r="Z423" t="s">
        <v>25998</v>
      </c>
      <c r="AA423">
        <v>0.40770474252049621</v>
      </c>
      <c r="AB423" t="str">
        <f>HYPERLINK("Melting_Curves/meltCurve_E7EP70_BRCA1.pdf", "Melting_Curves/meltCurve_E7EP70_BRCA1.pdf")</f>
        <v>Melting_Curves/meltCurve_E7EP70_BRCA1.pdf</v>
      </c>
    </row>
    <row r="424" spans="1:28" x14ac:dyDescent="0.25">
      <c r="A424" t="s">
        <v>428</v>
      </c>
      <c r="B424">
        <v>0.99673306730245903</v>
      </c>
      <c r="C424">
        <v>0.962233302338387</v>
      </c>
      <c r="D424">
        <v>0.94411531442358398</v>
      </c>
      <c r="E424">
        <v>0.811781781981055</v>
      </c>
      <c r="F424">
        <v>0.56435158336784197</v>
      </c>
      <c r="G424">
        <v>0.32998384948981002</v>
      </c>
      <c r="H424">
        <v>0.17404952190626699</v>
      </c>
      <c r="I424">
        <v>0.153292911144398</v>
      </c>
      <c r="J424">
        <v>0.107285817875213</v>
      </c>
      <c r="K424">
        <v>8.9683502552252006E-2</v>
      </c>
      <c r="L424">
        <v>900.59908543453105</v>
      </c>
      <c r="M424">
        <v>16.826647886950099</v>
      </c>
      <c r="N424">
        <v>54.071852661483199</v>
      </c>
      <c r="O424">
        <v>52.783396095337302</v>
      </c>
      <c r="P424">
        <v>-7.3436471713928295E-2</v>
      </c>
      <c r="Q424">
        <v>7.8609885403926605E-2</v>
      </c>
      <c r="R424">
        <v>0.99911761729358195</v>
      </c>
      <c r="S424" t="s">
        <v>6876</v>
      </c>
      <c r="T424" t="s">
        <v>12902</v>
      </c>
      <c r="U424" t="s">
        <v>12902</v>
      </c>
      <c r="V424" t="s">
        <v>12902</v>
      </c>
      <c r="W424" t="s">
        <v>13321</v>
      </c>
      <c r="X424">
        <v>15</v>
      </c>
      <c r="Y424" t="s">
        <v>19716</v>
      </c>
      <c r="Z424" t="s">
        <v>25999</v>
      </c>
      <c r="AA424">
        <v>0.51042871332724693</v>
      </c>
      <c r="AB424" t="str">
        <f>HYPERLINK("Melting_Curves/meltCurve_E7EP87_NARF.pdf", "Melting_Curves/meltCurve_E7EP87_NARF.pdf")</f>
        <v>Melting_Curves/meltCurve_E7EP87_NARF.pdf</v>
      </c>
    </row>
    <row r="425" spans="1:28" x14ac:dyDescent="0.25">
      <c r="A425" t="s">
        <v>429</v>
      </c>
      <c r="B425">
        <v>0.99673306730245903</v>
      </c>
      <c r="C425">
        <v>1.1293050546121299</v>
      </c>
      <c r="D425">
        <v>0.97261213720700501</v>
      </c>
      <c r="E425">
        <v>1.1393159815929801</v>
      </c>
      <c r="F425">
        <v>1.1532090039987399</v>
      </c>
      <c r="G425">
        <v>0.91654287453569605</v>
      </c>
      <c r="H425">
        <v>0.29101228134351498</v>
      </c>
      <c r="I425">
        <v>0.183081121857324</v>
      </c>
      <c r="J425">
        <v>0.22591099358351399</v>
      </c>
      <c r="K425">
        <v>0.17085939046699</v>
      </c>
      <c r="L425">
        <v>3665.8503101946499</v>
      </c>
      <c r="M425">
        <v>62.303796336909699</v>
      </c>
      <c r="N425">
        <v>59.3003565217683</v>
      </c>
      <c r="O425">
        <v>58.777785920891198</v>
      </c>
      <c r="P425">
        <v>-0.21404313559749699</v>
      </c>
      <c r="Q425">
        <v>0.192281809825601</v>
      </c>
      <c r="R425">
        <v>0.96382083532224605</v>
      </c>
      <c r="S425" t="s">
        <v>6877</v>
      </c>
      <c r="T425" t="s">
        <v>12902</v>
      </c>
      <c r="U425" t="s">
        <v>12902</v>
      </c>
      <c r="V425" t="s">
        <v>12902</v>
      </c>
      <c r="W425" t="s">
        <v>13322</v>
      </c>
      <c r="X425">
        <v>4</v>
      </c>
      <c r="Y425" t="s">
        <v>19717</v>
      </c>
      <c r="Z425" t="s">
        <v>26000</v>
      </c>
      <c r="AA425">
        <v>0.70082903802036711</v>
      </c>
      <c r="AB425" t="str">
        <f>HYPERLINK("Melting_Curves/meltCurve_E7EPB3_RPL14.pdf", "Melting_Curves/meltCurve_E7EPB3_RPL14.pdf")</f>
        <v>Melting_Curves/meltCurve_E7EPB3_RPL14.pdf</v>
      </c>
    </row>
    <row r="426" spans="1:28" x14ac:dyDescent="0.25">
      <c r="A426" t="s">
        <v>430</v>
      </c>
      <c r="B426">
        <v>0.99673306730245903</v>
      </c>
      <c r="C426">
        <v>0.94856735800404401</v>
      </c>
      <c r="D426">
        <v>0.944571440058256</v>
      </c>
      <c r="E426">
        <v>0.85997707627685605</v>
      </c>
      <c r="F426">
        <v>0.68828775543561505</v>
      </c>
      <c r="G426">
        <v>0.57268649877732702</v>
      </c>
      <c r="H426">
        <v>0.55227652097619995</v>
      </c>
      <c r="I426">
        <v>0.70672277308953502</v>
      </c>
      <c r="J426">
        <v>0.74977555280093799</v>
      </c>
      <c r="K426">
        <v>0.80170589135237402</v>
      </c>
      <c r="L426">
        <v>2074.7224570977801</v>
      </c>
      <c r="M426">
        <v>41.682931191851402</v>
      </c>
      <c r="O426">
        <v>49.659766640496798</v>
      </c>
      <c r="P426">
        <v>-6.8089215494352207E-2</v>
      </c>
      <c r="Q426">
        <v>0.67552300939441401</v>
      </c>
      <c r="R426">
        <v>0.75586899366964699</v>
      </c>
      <c r="S426" t="s">
        <v>6878</v>
      </c>
      <c r="T426" t="s">
        <v>12902</v>
      </c>
      <c r="U426" t="s">
        <v>12902</v>
      </c>
      <c r="V426" t="s">
        <v>12902</v>
      </c>
      <c r="W426" t="s">
        <v>13323</v>
      </c>
      <c r="X426">
        <v>10</v>
      </c>
      <c r="Y426" t="s">
        <v>19718</v>
      </c>
      <c r="Z426" t="s">
        <v>26001</v>
      </c>
      <c r="AA426">
        <v>0.782264393415528</v>
      </c>
      <c r="AB426" t="str">
        <f>HYPERLINK("Melting_Curves/meltCurve_E7EPC6_CD44.pdf", "Melting_Curves/meltCurve_E7EPC6_CD44.pdf")</f>
        <v>Melting_Curves/meltCurve_E7EPC6_CD44.pdf</v>
      </c>
    </row>
    <row r="427" spans="1:28" x14ac:dyDescent="0.25">
      <c r="A427" t="s">
        <v>431</v>
      </c>
      <c r="B427">
        <v>0.99673306730245903</v>
      </c>
      <c r="C427">
        <v>0.94818204750706303</v>
      </c>
      <c r="D427">
        <v>0.86527034588450003</v>
      </c>
      <c r="E427">
        <v>0.54306918620724698</v>
      </c>
      <c r="F427">
        <v>0.363864345456065</v>
      </c>
      <c r="G427">
        <v>0.22073690904064699</v>
      </c>
      <c r="H427">
        <v>0.147987817913911</v>
      </c>
      <c r="I427">
        <v>0.165805307871119</v>
      </c>
      <c r="J427">
        <v>0.16125092211237199</v>
      </c>
      <c r="K427">
        <v>0.119073228134189</v>
      </c>
      <c r="L427">
        <v>906.09967992286704</v>
      </c>
      <c r="M427">
        <v>18.230317671378199</v>
      </c>
      <c r="N427">
        <v>50.594791927121797</v>
      </c>
      <c r="O427">
        <v>49.1164210160455</v>
      </c>
      <c r="P427">
        <v>-8.0043696817468396E-2</v>
      </c>
      <c r="Q427">
        <v>0.13742031334302299</v>
      </c>
      <c r="R427">
        <v>0.99651919417331403</v>
      </c>
      <c r="S427" t="s">
        <v>6879</v>
      </c>
      <c r="T427" t="s">
        <v>12902</v>
      </c>
      <c r="U427" t="s">
        <v>12902</v>
      </c>
      <c r="V427" t="s">
        <v>12902</v>
      </c>
      <c r="W427" t="s">
        <v>13324</v>
      </c>
      <c r="X427">
        <v>7</v>
      </c>
      <c r="Y427" t="s">
        <v>19719</v>
      </c>
      <c r="Z427" t="s">
        <v>26002</v>
      </c>
      <c r="AA427">
        <v>0.43081620066955378</v>
      </c>
      <c r="AB427" t="str">
        <f>HYPERLINK("Melting_Curves/meltCurve_E7EPD0_TOM1.pdf", "Melting_Curves/meltCurve_E7EPD0_TOM1.pdf")</f>
        <v>Melting_Curves/meltCurve_E7EPD0_TOM1.pdf</v>
      </c>
    </row>
    <row r="428" spans="1:28" x14ac:dyDescent="0.25">
      <c r="A428" t="s">
        <v>432</v>
      </c>
      <c r="B428">
        <v>0.99673306730245903</v>
      </c>
      <c r="C428">
        <v>0.93514404542540197</v>
      </c>
      <c r="D428">
        <v>0.57795327763386395</v>
      </c>
      <c r="E428">
        <v>0.22227215939999601</v>
      </c>
      <c r="F428">
        <v>0.187232365459234</v>
      </c>
      <c r="G428">
        <v>0.117591968449277</v>
      </c>
      <c r="H428">
        <v>7.4616997664337506E-2</v>
      </c>
      <c r="I428">
        <v>6.1822005806282998E-2</v>
      </c>
      <c r="J428">
        <v>6.5082283203083902E-2</v>
      </c>
      <c r="K428">
        <v>5.24759336043083E-2</v>
      </c>
      <c r="L428">
        <v>1187.85349750044</v>
      </c>
      <c r="M428">
        <v>25.578395558417199</v>
      </c>
      <c r="N428">
        <v>46.770325184370897</v>
      </c>
      <c r="O428">
        <v>46.158629416903501</v>
      </c>
      <c r="P428">
        <v>-0.12708012592015</v>
      </c>
      <c r="Q428">
        <v>8.2698443887047501E-2</v>
      </c>
      <c r="R428">
        <v>0.99250321406171704</v>
      </c>
      <c r="S428" t="s">
        <v>6880</v>
      </c>
      <c r="T428" t="s">
        <v>12902</v>
      </c>
      <c r="U428" t="s">
        <v>12902</v>
      </c>
      <c r="V428" t="s">
        <v>12902</v>
      </c>
      <c r="W428" t="s">
        <v>13325</v>
      </c>
      <c r="X428">
        <v>18</v>
      </c>
      <c r="Y428" t="s">
        <v>19720</v>
      </c>
      <c r="Z428" t="s">
        <v>26003</v>
      </c>
      <c r="AA428">
        <v>0.28750058284879348</v>
      </c>
      <c r="AB428" t="str">
        <f>HYPERLINK("Melting_Curves/meltCurve_E7EPL4_PDXDC1.pdf", "Melting_Curves/meltCurve_E7EPL4_PDXDC1.pdf")</f>
        <v>Melting_Curves/meltCurve_E7EPL4_PDXDC1.pdf</v>
      </c>
    </row>
    <row r="429" spans="1:28" x14ac:dyDescent="0.25">
      <c r="A429" t="s">
        <v>433</v>
      </c>
      <c r="B429">
        <v>0.99673306730245903</v>
      </c>
      <c r="C429">
        <v>0.88956475931391799</v>
      </c>
      <c r="D429">
        <v>0.88803210719912695</v>
      </c>
      <c r="E429">
        <v>0.83444891312878</v>
      </c>
      <c r="F429">
        <v>0.442931744008491</v>
      </c>
      <c r="G429">
        <v>0.23222758157062201</v>
      </c>
      <c r="H429">
        <v>9.7507495062255894E-2</v>
      </c>
      <c r="I429">
        <v>8.5298523578470897E-2</v>
      </c>
      <c r="J429">
        <v>3.2672546587206898E-2</v>
      </c>
      <c r="K429">
        <v>2.6585496416310202E-2</v>
      </c>
      <c r="L429">
        <v>964.84340964124306</v>
      </c>
      <c r="M429">
        <v>18.282496337635099</v>
      </c>
      <c r="N429">
        <v>52.903085677362199</v>
      </c>
      <c r="O429">
        <v>52.1549214467992</v>
      </c>
      <c r="P429">
        <v>-8.5730220843057897E-2</v>
      </c>
      <c r="Q429">
        <v>2.1786657207935899E-2</v>
      </c>
      <c r="R429">
        <v>0.98797378844634398</v>
      </c>
      <c r="S429" t="s">
        <v>6881</v>
      </c>
      <c r="T429" t="s">
        <v>12902</v>
      </c>
      <c r="U429" t="s">
        <v>12902</v>
      </c>
      <c r="V429" t="s">
        <v>12902</v>
      </c>
      <c r="W429" t="s">
        <v>13326</v>
      </c>
      <c r="X429">
        <v>1</v>
      </c>
      <c r="Y429" t="s">
        <v>19721</v>
      </c>
      <c r="Z429" t="s">
        <v>26004</v>
      </c>
      <c r="AA429">
        <v>0.45399485414685442</v>
      </c>
      <c r="AB429" t="str">
        <f>HYPERLINK("Melting_Curves/meltCurve_E7EPM7_COQ2.pdf", "Melting_Curves/meltCurve_E7EPM7_COQ2.pdf")</f>
        <v>Melting_Curves/meltCurve_E7EPM7_COQ2.pdf</v>
      </c>
    </row>
    <row r="430" spans="1:28" x14ac:dyDescent="0.25">
      <c r="A430" t="s">
        <v>434</v>
      </c>
      <c r="B430">
        <v>0.99673306730245903</v>
      </c>
      <c r="C430">
        <v>1.12620285750621</v>
      </c>
      <c r="D430">
        <v>0.996876389671847</v>
      </c>
      <c r="E430">
        <v>0.927845756532514</v>
      </c>
      <c r="F430">
        <v>0.76480199162796403</v>
      </c>
      <c r="G430">
        <v>0.70290212038169597</v>
      </c>
      <c r="H430">
        <v>0.48224962969183</v>
      </c>
      <c r="I430">
        <v>0.70252789588560705</v>
      </c>
      <c r="J430">
        <v>1.1973737146493599</v>
      </c>
      <c r="K430">
        <v>1.49963429260467</v>
      </c>
      <c r="L430">
        <v>15000</v>
      </c>
      <c r="M430">
        <v>223.120370385857</v>
      </c>
      <c r="O430">
        <v>67.222905022978495</v>
      </c>
      <c r="P430">
        <v>0.41464815694912399</v>
      </c>
      <c r="Q430">
        <v>1.4997095541227701</v>
      </c>
      <c r="R430">
        <v>0.32608947561689999</v>
      </c>
      <c r="S430" t="s">
        <v>6882</v>
      </c>
      <c r="T430" t="s">
        <v>12902</v>
      </c>
      <c r="U430" t="s">
        <v>12902</v>
      </c>
      <c r="V430" t="s">
        <v>12902</v>
      </c>
      <c r="W430" t="s">
        <v>13327</v>
      </c>
      <c r="X430">
        <v>65</v>
      </c>
      <c r="Y430" t="s">
        <v>19722</v>
      </c>
      <c r="Z430" t="s">
        <v>26005</v>
      </c>
      <c r="AA430">
        <v>1.0460951806092851</v>
      </c>
      <c r="AB430" t="str">
        <f>HYPERLINK("Melting_Curves/meltCurve_E7EPN9_PRRC2C.pdf", "Melting_Curves/meltCurve_E7EPN9_PRRC2C.pdf")</f>
        <v>Melting_Curves/meltCurve_E7EPN9_PRRC2C.pdf</v>
      </c>
    </row>
    <row r="431" spans="1:28" x14ac:dyDescent="0.25">
      <c r="A431" t="s">
        <v>435</v>
      </c>
      <c r="B431">
        <v>0.99673306730245903</v>
      </c>
      <c r="C431">
        <v>1.0412626672265299</v>
      </c>
      <c r="D431">
        <v>1.0134674806591699</v>
      </c>
      <c r="E431">
        <v>1.2390875182240699</v>
      </c>
      <c r="F431">
        <v>1.3808074579393601</v>
      </c>
      <c r="G431">
        <v>0.79563477893213297</v>
      </c>
      <c r="H431">
        <v>0.342330332087249</v>
      </c>
      <c r="I431">
        <v>0.26782610629030201</v>
      </c>
      <c r="J431">
        <v>0.25848905563254698</v>
      </c>
      <c r="K431">
        <v>0.193761701484125</v>
      </c>
      <c r="L431">
        <v>3174.9491014451801</v>
      </c>
      <c r="M431">
        <v>54.700429893307899</v>
      </c>
      <c r="N431">
        <v>58.7788212533193</v>
      </c>
      <c r="O431">
        <v>57.965070277143397</v>
      </c>
      <c r="P431">
        <v>-0.17740825940878299</v>
      </c>
      <c r="Q431">
        <v>0.24801499715059999</v>
      </c>
      <c r="R431">
        <v>0.88162901126890003</v>
      </c>
      <c r="S431" t="s">
        <v>6883</v>
      </c>
      <c r="T431" t="s">
        <v>12902</v>
      </c>
      <c r="U431" t="s">
        <v>12902</v>
      </c>
      <c r="V431" t="s">
        <v>12902</v>
      </c>
      <c r="W431" t="s">
        <v>13328</v>
      </c>
      <c r="X431">
        <v>12</v>
      </c>
      <c r="Y431" t="s">
        <v>19723</v>
      </c>
      <c r="Z431" t="s">
        <v>26006</v>
      </c>
      <c r="AA431">
        <v>0.70187462909233922</v>
      </c>
      <c r="AB431" t="str">
        <f>HYPERLINK("Melting_Curves/meltCurve_E7EPT4_NDUFV2.pdf", "Melting_Curves/meltCurve_E7EPT4_NDUFV2.pdf")</f>
        <v>Melting_Curves/meltCurve_E7EPT4_NDUFV2.pdf</v>
      </c>
    </row>
    <row r="432" spans="1:28" x14ac:dyDescent="0.25">
      <c r="A432" t="s">
        <v>436</v>
      </c>
      <c r="B432">
        <v>0.99673306730245903</v>
      </c>
      <c r="C432">
        <v>1.0149343978399901</v>
      </c>
      <c r="D432">
        <v>1.1143526095571701</v>
      </c>
      <c r="E432">
        <v>0.59804231219512405</v>
      </c>
      <c r="F432">
        <v>0.306362931679104</v>
      </c>
      <c r="G432">
        <v>0.23964991869743299</v>
      </c>
      <c r="H432">
        <v>0.26553696614677802</v>
      </c>
      <c r="I432">
        <v>0.22332149931680501</v>
      </c>
      <c r="J432">
        <v>0.33104737009676599</v>
      </c>
      <c r="K432">
        <v>0.343270492810063</v>
      </c>
      <c r="L432">
        <v>10857.687589913799</v>
      </c>
      <c r="M432">
        <v>219.15456821618901</v>
      </c>
      <c r="N432">
        <v>49.734907634895599</v>
      </c>
      <c r="O432">
        <v>49.539378009689401</v>
      </c>
      <c r="P432">
        <v>-0.79091175441824901</v>
      </c>
      <c r="Q432">
        <v>0.28486482439706501</v>
      </c>
      <c r="R432">
        <v>0.97818787837501697</v>
      </c>
      <c r="S432" t="s">
        <v>6884</v>
      </c>
      <c r="T432" t="s">
        <v>12902</v>
      </c>
      <c r="U432" t="s">
        <v>12902</v>
      </c>
      <c r="V432" t="s">
        <v>12902</v>
      </c>
      <c r="W432" t="s">
        <v>13329</v>
      </c>
      <c r="X432">
        <v>1</v>
      </c>
      <c r="Y432" t="s">
        <v>19724</v>
      </c>
      <c r="Z432" t="s">
        <v>26007</v>
      </c>
      <c r="AA432">
        <v>0.51244251509130112</v>
      </c>
      <c r="AB432" t="str">
        <f>HYPERLINK("Melting_Curves/meltCurve_E7EPT6_TGFA.pdf", "Melting_Curves/meltCurve_E7EPT6_TGFA.pdf")</f>
        <v>Melting_Curves/meltCurve_E7EPT6_TGFA.pdf</v>
      </c>
    </row>
    <row r="433" spans="1:28" x14ac:dyDescent="0.25">
      <c r="A433" t="s">
        <v>437</v>
      </c>
      <c r="B433">
        <v>0.99673306730245903</v>
      </c>
      <c r="C433">
        <v>0.96505019354902</v>
      </c>
      <c r="D433">
        <v>0.65624634326960196</v>
      </c>
      <c r="E433">
        <v>0.39068395009819201</v>
      </c>
      <c r="F433">
        <v>0.169721716948351</v>
      </c>
      <c r="G433">
        <v>0.13114495915871199</v>
      </c>
      <c r="H433">
        <v>8.5811836939341898E-2</v>
      </c>
      <c r="I433">
        <v>0.118958775504426</v>
      </c>
      <c r="J433">
        <v>0.16205631003218801</v>
      </c>
      <c r="K433">
        <v>0.196657043888465</v>
      </c>
      <c r="L433">
        <v>1101.4971462292999</v>
      </c>
      <c r="M433">
        <v>23.326274661473501</v>
      </c>
      <c r="N433">
        <v>47.862705516527797</v>
      </c>
      <c r="O433">
        <v>46.878358072039099</v>
      </c>
      <c r="P433">
        <v>-0.107702435669457</v>
      </c>
      <c r="Q433">
        <v>0.134225414890497</v>
      </c>
      <c r="R433">
        <v>0.98783714238591702</v>
      </c>
      <c r="S433" t="s">
        <v>6885</v>
      </c>
      <c r="T433" t="s">
        <v>12902</v>
      </c>
      <c r="U433" t="s">
        <v>12902</v>
      </c>
      <c r="V433" t="s">
        <v>12902</v>
      </c>
      <c r="W433" t="s">
        <v>13330</v>
      </c>
      <c r="X433">
        <v>2</v>
      </c>
      <c r="Y433" t="s">
        <v>19725</v>
      </c>
      <c r="Z433" t="s">
        <v>26008</v>
      </c>
      <c r="AA433">
        <v>0.35158974420627781</v>
      </c>
      <c r="AB433" t="str">
        <f>HYPERLINK("Melting_Curves/meltCurve_E7EPY1_TNIP1.pdf", "Melting_Curves/meltCurve_E7EPY1_TNIP1.pdf")</f>
        <v>Melting_Curves/meltCurve_E7EPY1_TNIP1.pdf</v>
      </c>
    </row>
    <row r="434" spans="1:28" x14ac:dyDescent="0.25">
      <c r="A434" t="s">
        <v>438</v>
      </c>
      <c r="B434">
        <v>0.99673306730245903</v>
      </c>
      <c r="C434">
        <v>0.57260335560170705</v>
      </c>
      <c r="D434">
        <v>1.3491268008238499</v>
      </c>
      <c r="E434">
        <v>0.818557680606536</v>
      </c>
      <c r="F434">
        <v>0.42642060104775897</v>
      </c>
      <c r="G434">
        <v>0.121145979028106</v>
      </c>
      <c r="H434">
        <v>5.99991529738911E-2</v>
      </c>
      <c r="I434">
        <v>4.0133060851797103E-2</v>
      </c>
      <c r="J434">
        <v>4.5121792877923499E-2</v>
      </c>
      <c r="K434">
        <v>3.6627581184066303E-2</v>
      </c>
      <c r="L434">
        <v>1715.8500841783</v>
      </c>
      <c r="M434">
        <v>32.7073745348656</v>
      </c>
      <c r="N434">
        <v>52.6078621650597</v>
      </c>
      <c r="O434">
        <v>52.265703830400099</v>
      </c>
      <c r="P434">
        <v>-0.149606656089215</v>
      </c>
      <c r="Q434">
        <v>4.3731084190458201E-2</v>
      </c>
      <c r="R434">
        <v>0.84461010121222002</v>
      </c>
      <c r="S434" t="s">
        <v>6886</v>
      </c>
      <c r="T434" t="s">
        <v>12902</v>
      </c>
      <c r="U434" t="s">
        <v>12902</v>
      </c>
      <c r="V434" t="s">
        <v>12902</v>
      </c>
      <c r="W434" t="s">
        <v>13331</v>
      </c>
      <c r="X434">
        <v>16</v>
      </c>
      <c r="Y434" t="s">
        <v>19726</v>
      </c>
      <c r="Z434" t="s">
        <v>26009</v>
      </c>
      <c r="AA434">
        <v>0.44610675162769031</v>
      </c>
      <c r="AB434" t="str">
        <f>HYPERLINK("Melting_Curves/meltCurve_E7EQ69_NAA50.pdf", "Melting_Curves/meltCurve_E7EQ69_NAA50.pdf")</f>
        <v>Melting_Curves/meltCurve_E7EQ69_NAA50.pdf</v>
      </c>
    </row>
    <row r="435" spans="1:28" x14ac:dyDescent="0.25">
      <c r="A435" t="s">
        <v>439</v>
      </c>
      <c r="B435">
        <v>0.99673306730245903</v>
      </c>
      <c r="C435">
        <v>1.0245220623381699</v>
      </c>
      <c r="D435">
        <v>0.88189008191914597</v>
      </c>
      <c r="E435">
        <v>0.53061056343146695</v>
      </c>
      <c r="F435">
        <v>0.40189317967705901</v>
      </c>
      <c r="G435">
        <v>0.24037219887184499</v>
      </c>
      <c r="H435">
        <v>0.14404690448577001</v>
      </c>
      <c r="I435">
        <v>0.17877178983290001</v>
      </c>
      <c r="J435">
        <v>0.215567494308156</v>
      </c>
      <c r="K435">
        <v>0.18081117158038501</v>
      </c>
      <c r="L435">
        <v>1034.0696111616501</v>
      </c>
      <c r="M435">
        <v>20.872280923218401</v>
      </c>
      <c r="N435">
        <v>50.634600648981497</v>
      </c>
      <c r="O435">
        <v>49.0946616703947</v>
      </c>
      <c r="P435">
        <v>-8.70275179009284E-2</v>
      </c>
      <c r="Q435">
        <v>0.18121634765485001</v>
      </c>
      <c r="R435">
        <v>0.98745973379302399</v>
      </c>
      <c r="S435" t="s">
        <v>6887</v>
      </c>
      <c r="T435" t="s">
        <v>12902</v>
      </c>
      <c r="U435" t="s">
        <v>12902</v>
      </c>
      <c r="V435" t="s">
        <v>12902</v>
      </c>
      <c r="W435" t="s">
        <v>13332</v>
      </c>
      <c r="X435">
        <v>2</v>
      </c>
      <c r="Y435" t="s">
        <v>19727</v>
      </c>
      <c r="Z435" t="s">
        <v>26010</v>
      </c>
      <c r="AA435">
        <v>0.45215458648266987</v>
      </c>
      <c r="AB435" t="str">
        <f>HYPERLINK("Melting_Curves/meltCurve_E7EQL6_PRODH.pdf", "Melting_Curves/meltCurve_E7EQL6_PRODH.pdf")</f>
        <v>Melting_Curves/meltCurve_E7EQL6_PRODH.pdf</v>
      </c>
    </row>
    <row r="436" spans="1:28" x14ac:dyDescent="0.25">
      <c r="A436" t="s">
        <v>440</v>
      </c>
      <c r="B436">
        <v>0.99673306730245903</v>
      </c>
      <c r="C436">
        <v>0.84693985169821695</v>
      </c>
      <c r="D436">
        <v>0.46853630824699</v>
      </c>
      <c r="E436">
        <v>0.27658166473068801</v>
      </c>
      <c r="F436">
        <v>0.21143910573192801</v>
      </c>
      <c r="G436">
        <v>0.14560586282937901</v>
      </c>
      <c r="H436">
        <v>0.110393350445816</v>
      </c>
      <c r="I436">
        <v>0.10080092380163599</v>
      </c>
      <c r="J436">
        <v>0.11962336836149499</v>
      </c>
      <c r="K436">
        <v>9.9019856913188306E-2</v>
      </c>
      <c r="L436">
        <v>1005.46506986314</v>
      </c>
      <c r="M436">
        <v>22.074437773941899</v>
      </c>
      <c r="N436">
        <v>46.140131715535702</v>
      </c>
      <c r="O436">
        <v>45.179975705884097</v>
      </c>
      <c r="P436">
        <v>-0.10710141587472199</v>
      </c>
      <c r="Q436">
        <v>0.123197098222037</v>
      </c>
      <c r="R436">
        <v>0.99050037395394697</v>
      </c>
      <c r="S436" t="s">
        <v>6888</v>
      </c>
      <c r="T436" t="s">
        <v>12902</v>
      </c>
      <c r="U436" t="s">
        <v>12902</v>
      </c>
      <c r="V436" t="s">
        <v>12902</v>
      </c>
      <c r="W436" t="s">
        <v>13333</v>
      </c>
      <c r="X436">
        <v>14</v>
      </c>
      <c r="Y436" t="s">
        <v>19728</v>
      </c>
      <c r="Z436" t="s">
        <v>26011</v>
      </c>
      <c r="AA436">
        <v>0.29653105970520272</v>
      </c>
      <c r="AB436" t="str">
        <f>HYPERLINK("Melting_Curves/meltCurve_E7EQN5_ARHGAP4.pdf", "Melting_Curves/meltCurve_E7EQN5_ARHGAP4.pdf")</f>
        <v>Melting_Curves/meltCurve_E7EQN5_ARHGAP4.pdf</v>
      </c>
    </row>
    <row r="437" spans="1:28" x14ac:dyDescent="0.25">
      <c r="A437" t="s">
        <v>441</v>
      </c>
      <c r="B437">
        <v>0.99673306730245903</v>
      </c>
      <c r="C437">
        <v>0.91414955172782097</v>
      </c>
      <c r="D437">
        <v>0.86781360415481401</v>
      </c>
      <c r="E437">
        <v>0.65631884212568303</v>
      </c>
      <c r="F437">
        <v>0.46485145233578801</v>
      </c>
      <c r="G437">
        <v>0.21628211484936299</v>
      </c>
      <c r="H437">
        <v>0.14468314720025999</v>
      </c>
      <c r="I437">
        <v>0.15123947116384301</v>
      </c>
      <c r="J437">
        <v>0.21718612388952499</v>
      </c>
      <c r="K437">
        <v>0.18529732444659699</v>
      </c>
      <c r="L437">
        <v>868.10583182191499</v>
      </c>
      <c r="M437">
        <v>17.116440919816998</v>
      </c>
      <c r="N437">
        <v>51.7939842380421</v>
      </c>
      <c r="O437">
        <v>50.040559745806902</v>
      </c>
      <c r="P437">
        <v>-7.2719759149277904E-2</v>
      </c>
      <c r="Q437">
        <v>0.14965534840285499</v>
      </c>
      <c r="R437">
        <v>0.98639932949547604</v>
      </c>
      <c r="S437" t="s">
        <v>6889</v>
      </c>
      <c r="T437" t="s">
        <v>12902</v>
      </c>
      <c r="U437" t="s">
        <v>12902</v>
      </c>
      <c r="V437" t="s">
        <v>12902</v>
      </c>
      <c r="W437" t="s">
        <v>13334</v>
      </c>
      <c r="X437">
        <v>3</v>
      </c>
      <c r="Y437" t="s">
        <v>19729</v>
      </c>
      <c r="Z437" t="s">
        <v>26012</v>
      </c>
      <c r="AA437">
        <v>0.46919405595940661</v>
      </c>
      <c r="AB437" t="str">
        <f>HYPERLINK("Melting_Curves/meltCurve_E7EQN6_SENP6.pdf", "Melting_Curves/meltCurve_E7EQN6_SENP6.pdf")</f>
        <v>Melting_Curves/meltCurve_E7EQN6_SENP6.pdf</v>
      </c>
    </row>
    <row r="438" spans="1:28" x14ac:dyDescent="0.25">
      <c r="A438" t="s">
        <v>442</v>
      </c>
      <c r="B438">
        <v>0.99673306730245903</v>
      </c>
      <c r="C438">
        <v>0.90577510688926999</v>
      </c>
      <c r="D438">
        <v>0.878905702198297</v>
      </c>
      <c r="E438">
        <v>0.79669846382327503</v>
      </c>
      <c r="F438">
        <v>0.68223225862747905</v>
      </c>
      <c r="G438">
        <v>0.51480372478345804</v>
      </c>
      <c r="H438">
        <v>0.36611327458594001</v>
      </c>
      <c r="I438">
        <v>0.38729077084063002</v>
      </c>
      <c r="J438">
        <v>0.37336737431927203</v>
      </c>
      <c r="K438">
        <v>0.33817483895162598</v>
      </c>
      <c r="L438">
        <v>593.716362337855</v>
      </c>
      <c r="M438">
        <v>11.1477878727801</v>
      </c>
      <c r="N438">
        <v>57.595208419166802</v>
      </c>
      <c r="O438">
        <v>51.631040366710202</v>
      </c>
      <c r="P438">
        <v>-3.8660424732289797E-2</v>
      </c>
      <c r="Q438">
        <v>0.284005382219923</v>
      </c>
      <c r="R438">
        <v>0.98480298672100597</v>
      </c>
      <c r="S438" t="s">
        <v>6890</v>
      </c>
      <c r="T438" t="s">
        <v>12902</v>
      </c>
      <c r="U438" t="s">
        <v>12902</v>
      </c>
      <c r="V438" t="s">
        <v>12902</v>
      </c>
      <c r="W438" t="s">
        <v>13335</v>
      </c>
      <c r="X438">
        <v>5</v>
      </c>
      <c r="Y438" t="s">
        <v>19730</v>
      </c>
      <c r="Z438" t="s">
        <v>26013</v>
      </c>
      <c r="AA438">
        <v>0.62197386209405936</v>
      </c>
      <c r="AB438" t="str">
        <f>HYPERLINK("Melting_Curves/meltCurve_E7EQR8_YIPF3.pdf", "Melting_Curves/meltCurve_E7EQR8_YIPF3.pdf")</f>
        <v>Melting_Curves/meltCurve_E7EQR8_YIPF3.pdf</v>
      </c>
    </row>
    <row r="439" spans="1:28" x14ac:dyDescent="0.25">
      <c r="A439" t="s">
        <v>443</v>
      </c>
      <c r="B439">
        <v>0.99673306730245903</v>
      </c>
      <c r="C439">
        <v>0.99929823525824502</v>
      </c>
      <c r="D439">
        <v>1.03892530812539</v>
      </c>
      <c r="E439">
        <v>0.981525579000183</v>
      </c>
      <c r="F439">
        <v>0.54492321964159696</v>
      </c>
      <c r="G439">
        <v>0.37893990965596802</v>
      </c>
      <c r="H439">
        <v>0.29086423210544299</v>
      </c>
      <c r="I439">
        <v>0.35174473375802701</v>
      </c>
      <c r="J439">
        <v>0.53688534891115802</v>
      </c>
      <c r="K439">
        <v>0.53975259339557002</v>
      </c>
      <c r="L439">
        <v>3759.6492015600802</v>
      </c>
      <c r="M439">
        <v>71.974836107688802</v>
      </c>
      <c r="N439">
        <v>53.5957875942511</v>
      </c>
      <c r="O439">
        <v>52.195324716615701</v>
      </c>
      <c r="P439">
        <v>-0.20011311177373201</v>
      </c>
      <c r="Q439">
        <v>0.41952119190522702</v>
      </c>
      <c r="R439">
        <v>0.93631807491266195</v>
      </c>
      <c r="S439" t="s">
        <v>6891</v>
      </c>
      <c r="T439" t="s">
        <v>12902</v>
      </c>
      <c r="U439" t="s">
        <v>12902</v>
      </c>
      <c r="V439" t="s">
        <v>12902</v>
      </c>
      <c r="W439" t="s">
        <v>13336</v>
      </c>
      <c r="X439">
        <v>31</v>
      </c>
      <c r="Y439" t="s">
        <v>19731</v>
      </c>
      <c r="Z439" t="s">
        <v>26014</v>
      </c>
      <c r="AA439">
        <v>0.65691512521459139</v>
      </c>
      <c r="AB439" t="str">
        <f>HYPERLINK("Melting_Curves/meltCurve_E7EQT4_ACIN1.pdf", "Melting_Curves/meltCurve_E7EQT4_ACIN1.pdf")</f>
        <v>Melting_Curves/meltCurve_E7EQT4_ACIN1.pdf</v>
      </c>
    </row>
    <row r="440" spans="1:28" x14ac:dyDescent="0.25">
      <c r="A440" t="s">
        <v>444</v>
      </c>
      <c r="B440">
        <v>0.99673306730245903</v>
      </c>
      <c r="C440">
        <v>1.0260608111704399</v>
      </c>
      <c r="D440">
        <v>0.92903897047677098</v>
      </c>
      <c r="E440">
        <v>1.0154837659807301</v>
      </c>
      <c r="F440">
        <v>1.06011498938608</v>
      </c>
      <c r="G440">
        <v>0.89363239273809303</v>
      </c>
      <c r="H440">
        <v>0.50165256141333603</v>
      </c>
      <c r="I440">
        <v>0.323639129023779</v>
      </c>
      <c r="J440">
        <v>0.43830106028412003</v>
      </c>
      <c r="K440">
        <v>0.37267340805996602</v>
      </c>
      <c r="L440">
        <v>2831.4390982209202</v>
      </c>
      <c r="M440">
        <v>48.130217011004298</v>
      </c>
      <c r="N440">
        <v>60.6018834678015</v>
      </c>
      <c r="O440">
        <v>58.727442397944003</v>
      </c>
      <c r="P440">
        <v>-0.127499032219658</v>
      </c>
      <c r="Q440">
        <v>0.37771457063208702</v>
      </c>
      <c r="R440">
        <v>0.97809866480352203</v>
      </c>
      <c r="S440" t="s">
        <v>6892</v>
      </c>
      <c r="T440" t="s">
        <v>12902</v>
      </c>
      <c r="U440" t="s">
        <v>12902</v>
      </c>
      <c r="V440" t="s">
        <v>12902</v>
      </c>
      <c r="W440" t="s">
        <v>13337</v>
      </c>
      <c r="X440">
        <v>3</v>
      </c>
      <c r="Y440" t="s">
        <v>19732</v>
      </c>
      <c r="Z440" t="s">
        <v>26015</v>
      </c>
      <c r="AA440">
        <v>0.77000189722272683</v>
      </c>
      <c r="AB440" t="str">
        <f>HYPERLINK("Melting_Curves/meltCurve_E7EQV9_RPL15.pdf", "Melting_Curves/meltCurve_E7EQV9_RPL15.pdf")</f>
        <v>Melting_Curves/meltCurve_E7EQV9_RPL15.pdf</v>
      </c>
    </row>
    <row r="441" spans="1:28" x14ac:dyDescent="0.25">
      <c r="A441" t="s">
        <v>445</v>
      </c>
      <c r="B441">
        <v>0.99673306730245903</v>
      </c>
      <c r="C441">
        <v>0.88415287898172501</v>
      </c>
      <c r="D441">
        <v>1.15239867112391</v>
      </c>
      <c r="E441">
        <v>0.77557288787648404</v>
      </c>
      <c r="F441">
        <v>0.78716218241557201</v>
      </c>
      <c r="G441">
        <v>0.60579001921110598</v>
      </c>
      <c r="H441">
        <v>0.37839466413157902</v>
      </c>
      <c r="I441">
        <v>0.477840268820235</v>
      </c>
      <c r="J441">
        <v>0.73716180126633601</v>
      </c>
      <c r="K441">
        <v>0.94113796186774901</v>
      </c>
      <c r="L441">
        <v>7174.0564867629701</v>
      </c>
      <c r="M441">
        <v>145.25556557251701</v>
      </c>
      <c r="O441">
        <v>49.379843272162702</v>
      </c>
      <c r="P441">
        <v>-0.25402489845684401</v>
      </c>
      <c r="Q441">
        <v>0.65457546203329098</v>
      </c>
      <c r="R441">
        <v>0.50076364549974695</v>
      </c>
      <c r="S441" t="s">
        <v>6893</v>
      </c>
      <c r="T441" t="s">
        <v>12902</v>
      </c>
      <c r="U441" t="s">
        <v>12902</v>
      </c>
      <c r="V441" t="s">
        <v>12902</v>
      </c>
      <c r="W441" t="s">
        <v>13338</v>
      </c>
      <c r="X441">
        <v>1</v>
      </c>
      <c r="Y441" t="s">
        <v>19733</v>
      </c>
      <c r="Z441" t="s">
        <v>26016</v>
      </c>
      <c r="AA441">
        <v>0.76277288366492657</v>
      </c>
      <c r="AB441" t="str">
        <f>HYPERLINK("Melting_Curves/meltCurve_E7ER26_PRDM15.pdf", "Melting_Curves/meltCurve_E7ER26_PRDM15.pdf")</f>
        <v>Melting_Curves/meltCurve_E7ER26_PRDM15.pdf</v>
      </c>
    </row>
    <row r="442" spans="1:28" x14ac:dyDescent="0.25">
      <c r="A442" t="s">
        <v>446</v>
      </c>
      <c r="B442">
        <v>0.99673306730245903</v>
      </c>
      <c r="C442">
        <v>0.92163717130496403</v>
      </c>
      <c r="D442">
        <v>1.0068760189913499</v>
      </c>
      <c r="E442">
        <v>0.70128373648750397</v>
      </c>
      <c r="F442">
        <v>0.59538708162282705</v>
      </c>
      <c r="G442">
        <v>0.49336063094683102</v>
      </c>
      <c r="H442">
        <v>0.45830806946475799</v>
      </c>
      <c r="I442">
        <v>0.431426349130827</v>
      </c>
      <c r="J442">
        <v>0.63436479043953398</v>
      </c>
      <c r="K442">
        <v>0.372444465267256</v>
      </c>
      <c r="L442">
        <v>1325.44544867439</v>
      </c>
      <c r="M442">
        <v>26.702965089098701</v>
      </c>
      <c r="N442">
        <v>56.198103521703302</v>
      </c>
      <c r="O442">
        <v>49.360767514387703</v>
      </c>
      <c r="P442">
        <v>-7.0615444404662997E-2</v>
      </c>
      <c r="Q442">
        <v>0.47787124860899399</v>
      </c>
      <c r="R442">
        <v>0.90086496011115602</v>
      </c>
      <c r="S442" t="s">
        <v>6894</v>
      </c>
      <c r="T442" t="s">
        <v>12902</v>
      </c>
      <c r="U442" t="s">
        <v>12902</v>
      </c>
      <c r="V442" t="s">
        <v>12902</v>
      </c>
      <c r="W442" t="s">
        <v>13339</v>
      </c>
      <c r="X442">
        <v>17</v>
      </c>
      <c r="Y442" t="s">
        <v>19734</v>
      </c>
      <c r="Z442" t="s">
        <v>26017</v>
      </c>
      <c r="AA442">
        <v>0.64965807795200026</v>
      </c>
      <c r="AB442" t="str">
        <f>HYPERLINK("Melting_Curves/meltCurve_E7ER77_ERMP1.pdf", "Melting_Curves/meltCurve_E7ER77_ERMP1.pdf")</f>
        <v>Melting_Curves/meltCurve_E7ER77_ERMP1.pdf</v>
      </c>
    </row>
    <row r="443" spans="1:28" x14ac:dyDescent="0.25">
      <c r="A443" t="s">
        <v>447</v>
      </c>
      <c r="B443">
        <v>0.99673306730245903</v>
      </c>
      <c r="C443">
        <v>0.91303521556549405</v>
      </c>
      <c r="D443">
        <v>0.63694361486135598</v>
      </c>
      <c r="E443">
        <v>0.290266126368948</v>
      </c>
      <c r="F443">
        <v>0.17176482591988301</v>
      </c>
      <c r="G443">
        <v>0.112909689700226</v>
      </c>
      <c r="H443">
        <v>7.4631215725354194E-2</v>
      </c>
      <c r="I443">
        <v>6.2216697957346398E-2</v>
      </c>
      <c r="J443">
        <v>6.6383296015682602E-2</v>
      </c>
      <c r="K443">
        <v>5.6476759502536299E-2</v>
      </c>
      <c r="L443">
        <v>1007.54293509757</v>
      </c>
      <c r="M443">
        <v>21.414723206496401</v>
      </c>
      <c r="N443">
        <v>47.385709556748999</v>
      </c>
      <c r="O443">
        <v>46.644563379013498</v>
      </c>
      <c r="P443">
        <v>-0.106679811996079</v>
      </c>
      <c r="Q443">
        <v>7.0562880284145799E-2</v>
      </c>
      <c r="R443">
        <v>0.99800146503294995</v>
      </c>
      <c r="S443" t="s">
        <v>6895</v>
      </c>
      <c r="T443" t="s">
        <v>12902</v>
      </c>
      <c r="U443" t="s">
        <v>12902</v>
      </c>
      <c r="V443" t="s">
        <v>12902</v>
      </c>
      <c r="W443" t="s">
        <v>13340</v>
      </c>
      <c r="X443">
        <v>8</v>
      </c>
      <c r="Y443" t="s">
        <v>19735</v>
      </c>
      <c r="Z443" t="s">
        <v>26018</v>
      </c>
      <c r="AA443">
        <v>0.30062704008994212</v>
      </c>
      <c r="AB443" t="str">
        <f>HYPERLINK("Melting_Curves/meltCurve_E7ERB7_GMIP.pdf", "Melting_Curves/meltCurve_E7ERB7_GMIP.pdf")</f>
        <v>Melting_Curves/meltCurve_E7ERB7_GMIP.pdf</v>
      </c>
    </row>
    <row r="444" spans="1:28" x14ac:dyDescent="0.25">
      <c r="A444" t="s">
        <v>448</v>
      </c>
      <c r="B444">
        <v>0.99673306730245903</v>
      </c>
      <c r="C444">
        <v>0.58352052559079803</v>
      </c>
      <c r="D444">
        <v>0.242826508570059</v>
      </c>
      <c r="E444">
        <v>0.13938338868149799</v>
      </c>
      <c r="F444">
        <v>9.42763202522027E-2</v>
      </c>
      <c r="G444">
        <v>6.1602950022043301E-2</v>
      </c>
      <c r="H444">
        <v>4.3786706412885699E-2</v>
      </c>
      <c r="I444">
        <v>4.2139265966764997E-2</v>
      </c>
      <c r="J444">
        <v>5.3537051340161998E-2</v>
      </c>
      <c r="K444">
        <v>4.7508191810630103E-2</v>
      </c>
      <c r="L444">
        <v>1237.77726639816</v>
      </c>
      <c r="M444">
        <v>28.472540359705501</v>
      </c>
      <c r="N444">
        <v>43.684467614132402</v>
      </c>
      <c r="O444">
        <v>43.259923333431402</v>
      </c>
      <c r="P444">
        <v>-0.15393725266372901</v>
      </c>
      <c r="Q444">
        <v>6.4465742061811895E-2</v>
      </c>
      <c r="R444">
        <v>0.98811573852307899</v>
      </c>
      <c r="S444" t="s">
        <v>6896</v>
      </c>
      <c r="T444" t="s">
        <v>12902</v>
      </c>
      <c r="U444" t="s">
        <v>12902</v>
      </c>
      <c r="V444" t="s">
        <v>12902</v>
      </c>
      <c r="W444" t="s">
        <v>13341</v>
      </c>
      <c r="X444">
        <v>6</v>
      </c>
      <c r="Y444" t="s">
        <v>19736</v>
      </c>
      <c r="Z444" t="s">
        <v>26019</v>
      </c>
      <c r="AA444">
        <v>0.18142570902160271</v>
      </c>
      <c r="AB444" t="str">
        <f>HYPERLINK("Melting_Curves/meltCurve_E7ERH3_TNS3.pdf", "Melting_Curves/meltCurve_E7ERH3_TNS3.pdf")</f>
        <v>Melting_Curves/meltCurve_E7ERH3_TNS3.pdf</v>
      </c>
    </row>
    <row r="445" spans="1:28" x14ac:dyDescent="0.25">
      <c r="A445" t="s">
        <v>449</v>
      </c>
      <c r="B445">
        <v>0.99673306730245903</v>
      </c>
      <c r="C445">
        <v>0.87791305501424099</v>
      </c>
      <c r="D445">
        <v>0.80409006773302505</v>
      </c>
      <c r="E445">
        <v>0.82653894448518095</v>
      </c>
      <c r="F445">
        <v>0.63372478995090997</v>
      </c>
      <c r="G445">
        <v>0.43637344977475401</v>
      </c>
      <c r="H445">
        <v>0.34014256772187401</v>
      </c>
      <c r="I445">
        <v>0.49243865083458999</v>
      </c>
      <c r="J445">
        <v>0.72198205646307101</v>
      </c>
      <c r="K445">
        <v>1.22696196445641</v>
      </c>
      <c r="L445">
        <v>895.277298443929</v>
      </c>
      <c r="M445">
        <v>19.658172380289098</v>
      </c>
      <c r="O445">
        <v>45.078820928238102</v>
      </c>
      <c r="P445">
        <v>-3.7893166054473099E-2</v>
      </c>
      <c r="Q445">
        <v>0.652435705679422</v>
      </c>
      <c r="R445">
        <v>0.20072883642212</v>
      </c>
      <c r="S445" t="s">
        <v>6897</v>
      </c>
      <c r="T445" t="s">
        <v>12902</v>
      </c>
      <c r="U445" t="s">
        <v>12902</v>
      </c>
      <c r="V445" t="s">
        <v>12902</v>
      </c>
      <c r="W445" t="s">
        <v>13342</v>
      </c>
      <c r="X445">
        <v>7</v>
      </c>
      <c r="Y445" t="s">
        <v>19737</v>
      </c>
      <c r="Z445" t="s">
        <v>26020</v>
      </c>
      <c r="AA445">
        <v>0.72244360001674179</v>
      </c>
      <c r="AB445" t="str">
        <f>HYPERLINK("Melting_Curves/meltCurve_E7ERS3_ZC3H18.pdf", "Melting_Curves/meltCurve_E7ERS3_ZC3H18.pdf")</f>
        <v>Melting_Curves/meltCurve_E7ERS3_ZC3H18.pdf</v>
      </c>
    </row>
    <row r="446" spans="1:28" x14ac:dyDescent="0.25">
      <c r="A446" t="s">
        <v>450</v>
      </c>
      <c r="B446">
        <v>0.99673306730245903</v>
      </c>
      <c r="C446">
        <v>0.97300117781763895</v>
      </c>
      <c r="D446">
        <v>0.95858779762221102</v>
      </c>
      <c r="E446">
        <v>0.88959181815780697</v>
      </c>
      <c r="F446">
        <v>0.718995616812105</v>
      </c>
      <c r="G446">
        <v>0.60134043514019198</v>
      </c>
      <c r="H446">
        <v>0.45083622735339501</v>
      </c>
      <c r="I446">
        <v>0.49537798801339</v>
      </c>
      <c r="J446">
        <v>0.59585704643378701</v>
      </c>
      <c r="K446">
        <v>0.58297301318021</v>
      </c>
      <c r="L446">
        <v>1278.70005528406</v>
      </c>
      <c r="M446">
        <v>24.5505779755382</v>
      </c>
      <c r="O446">
        <v>51.7424532068842</v>
      </c>
      <c r="P446">
        <v>-5.5564123981391302E-2</v>
      </c>
      <c r="Q446">
        <v>0.53158226214161197</v>
      </c>
      <c r="R446">
        <v>0.95315592160107798</v>
      </c>
      <c r="S446" t="s">
        <v>6898</v>
      </c>
      <c r="T446" t="s">
        <v>12902</v>
      </c>
      <c r="U446" t="s">
        <v>12902</v>
      </c>
      <c r="V446" t="s">
        <v>12902</v>
      </c>
      <c r="W446" t="s">
        <v>13343</v>
      </c>
      <c r="X446">
        <v>22</v>
      </c>
      <c r="Y446" t="s">
        <v>19738</v>
      </c>
      <c r="Z446" t="s">
        <v>26021</v>
      </c>
      <c r="AA446">
        <v>0.72469696999716082</v>
      </c>
      <c r="AB446" t="str">
        <f>HYPERLINK("Melting_Curves/meltCurve_E7ES08_HMGB3.pdf", "Melting_Curves/meltCurve_E7ES08_HMGB3.pdf")</f>
        <v>Melting_Curves/meltCurve_E7ES08_HMGB3.pdf</v>
      </c>
    </row>
    <row r="447" spans="1:28" x14ac:dyDescent="0.25">
      <c r="A447" t="s">
        <v>451</v>
      </c>
      <c r="B447">
        <v>0.99673306730245903</v>
      </c>
      <c r="C447">
        <v>1.02603728780019</v>
      </c>
      <c r="D447">
        <v>0.77977484127894003</v>
      </c>
      <c r="E447">
        <v>0.59581243114980098</v>
      </c>
      <c r="F447">
        <v>0.34601995725380402</v>
      </c>
      <c r="G447">
        <v>0.17009380600340501</v>
      </c>
      <c r="H447">
        <v>0.10360963291278601</v>
      </c>
      <c r="I447">
        <v>6.3091677420422598E-2</v>
      </c>
      <c r="J447">
        <v>7.7726791556995398E-2</v>
      </c>
      <c r="K447">
        <v>0.20841609818474699</v>
      </c>
      <c r="L447">
        <v>908.68135945687402</v>
      </c>
      <c r="M447">
        <v>18.195303153821602</v>
      </c>
      <c r="N447">
        <v>50.550360328998998</v>
      </c>
      <c r="O447">
        <v>49.348920816644799</v>
      </c>
      <c r="P447">
        <v>-8.30962121425219E-2</v>
      </c>
      <c r="Q447">
        <v>9.8555283296792903E-2</v>
      </c>
      <c r="R447">
        <v>0.98055660683718604</v>
      </c>
      <c r="S447" t="s">
        <v>6899</v>
      </c>
      <c r="T447" t="s">
        <v>12902</v>
      </c>
      <c r="U447" t="s">
        <v>12902</v>
      </c>
      <c r="V447" t="s">
        <v>12902</v>
      </c>
      <c r="W447" t="s">
        <v>13344</v>
      </c>
      <c r="X447">
        <v>4</v>
      </c>
      <c r="Y447" t="s">
        <v>19739</v>
      </c>
      <c r="Z447" t="s">
        <v>26022</v>
      </c>
      <c r="AA447">
        <v>0.4123184831571956</v>
      </c>
      <c r="AB447" t="str">
        <f>HYPERLINK("Melting_Curves/meltCurve_E7ES35_TTC38.pdf", "Melting_Curves/meltCurve_E7ES35_TTC38.pdf")</f>
        <v>Melting_Curves/meltCurve_E7ES35_TTC38.pdf</v>
      </c>
    </row>
    <row r="448" spans="1:28" x14ac:dyDescent="0.25">
      <c r="A448" t="s">
        <v>452</v>
      </c>
      <c r="B448">
        <v>0.99673306730245903</v>
      </c>
      <c r="C448">
        <v>0.90820039586375201</v>
      </c>
      <c r="D448">
        <v>0.898691568880014</v>
      </c>
      <c r="E448">
        <v>0.91274164282772896</v>
      </c>
      <c r="F448">
        <v>0.22036055658978199</v>
      </c>
      <c r="G448">
        <v>0.12621315596010299</v>
      </c>
      <c r="H448">
        <v>7.0401074012342704E-2</v>
      </c>
      <c r="I448">
        <v>6.9711978179950507E-2</v>
      </c>
      <c r="J448">
        <v>7.9257463663249497E-2</v>
      </c>
      <c r="K448">
        <v>7.0687659275467898E-2</v>
      </c>
      <c r="L448">
        <v>2839.9704058604102</v>
      </c>
      <c r="M448">
        <v>55.069170120946197</v>
      </c>
      <c r="N448">
        <v>51.737753410828297</v>
      </c>
      <c r="O448">
        <v>51.5030949290732</v>
      </c>
      <c r="P448">
        <v>-0.24557008572228101</v>
      </c>
      <c r="Q448">
        <v>8.1329013668441003E-2</v>
      </c>
      <c r="R448">
        <v>0.987620767584656</v>
      </c>
      <c r="S448" t="s">
        <v>6900</v>
      </c>
      <c r="T448" t="s">
        <v>12902</v>
      </c>
      <c r="U448" t="s">
        <v>12902</v>
      </c>
      <c r="V448" t="s">
        <v>12902</v>
      </c>
      <c r="W448" t="s">
        <v>13345</v>
      </c>
      <c r="X448">
        <v>69</v>
      </c>
      <c r="Y448" t="s">
        <v>19740</v>
      </c>
      <c r="Z448" t="s">
        <v>26023</v>
      </c>
      <c r="AA448">
        <v>0.43738048211884212</v>
      </c>
      <c r="AB448" t="str">
        <f>HYPERLINK("Melting_Curves/meltCurve_E7ES43_HSPA4L.pdf", "Melting_Curves/meltCurve_E7ES43_HSPA4L.pdf")</f>
        <v>Melting_Curves/meltCurve_E7ES43_HSPA4L.pdf</v>
      </c>
    </row>
    <row r="449" spans="1:28" x14ac:dyDescent="0.25">
      <c r="A449" t="s">
        <v>453</v>
      </c>
      <c r="B449">
        <v>0.99673306730245903</v>
      </c>
      <c r="C449">
        <v>0.78265538059366502</v>
      </c>
      <c r="D449">
        <v>0.51130646089041099</v>
      </c>
      <c r="E449">
        <v>0.24393636880849101</v>
      </c>
      <c r="F449">
        <v>0.162420005603436</v>
      </c>
      <c r="G449">
        <v>8.3775667273896404E-2</v>
      </c>
      <c r="H449">
        <v>6.3663527408581805E-2</v>
      </c>
      <c r="I449">
        <v>5.2685251904789197E-2</v>
      </c>
      <c r="J449">
        <v>6.32633800149449E-2</v>
      </c>
      <c r="K449">
        <v>5.3465367830837801E-2</v>
      </c>
      <c r="L449">
        <v>857.83485845530299</v>
      </c>
      <c r="M449">
        <v>18.693449702502399</v>
      </c>
      <c r="N449">
        <v>46.205744350579401</v>
      </c>
      <c r="O449">
        <v>45.374117598452102</v>
      </c>
      <c r="P449">
        <v>-9.6817342504795803E-2</v>
      </c>
      <c r="Q449">
        <v>6.0031236822960098E-2</v>
      </c>
      <c r="R449">
        <v>0.99562009725507705</v>
      </c>
      <c r="S449" t="s">
        <v>6901</v>
      </c>
      <c r="T449" t="s">
        <v>12902</v>
      </c>
      <c r="U449" t="s">
        <v>12902</v>
      </c>
      <c r="V449" t="s">
        <v>12902</v>
      </c>
      <c r="W449" t="s">
        <v>13346</v>
      </c>
      <c r="X449">
        <v>4</v>
      </c>
      <c r="Y449" t="s">
        <v>19741</v>
      </c>
      <c r="Z449" t="s">
        <v>26024</v>
      </c>
      <c r="AA449">
        <v>0.2616570080805895</v>
      </c>
      <c r="AB449" t="str">
        <f>HYPERLINK("Melting_Curves/meltCurve_E7ESA8_PRPF31.pdf", "Melting_Curves/meltCurve_E7ESA8_PRPF31.pdf")</f>
        <v>Melting_Curves/meltCurve_E7ESA8_PRPF31.pdf</v>
      </c>
    </row>
    <row r="450" spans="1:28" x14ac:dyDescent="0.25">
      <c r="A450" t="s">
        <v>454</v>
      </c>
      <c r="B450">
        <v>0.99673306730245903</v>
      </c>
      <c r="C450">
        <v>1.03671727625259</v>
      </c>
      <c r="D450">
        <v>0.96050699551976804</v>
      </c>
      <c r="E450">
        <v>0.94813155928975601</v>
      </c>
      <c r="F450">
        <v>0.89326880029948597</v>
      </c>
      <c r="G450">
        <v>0.65622930483174102</v>
      </c>
      <c r="H450">
        <v>0.45740741995892797</v>
      </c>
      <c r="I450">
        <v>0.36071746410801497</v>
      </c>
      <c r="J450">
        <v>0.25405295816908802</v>
      </c>
      <c r="K450">
        <v>0.18874831601609801</v>
      </c>
      <c r="L450">
        <v>889.87336424748798</v>
      </c>
      <c r="M450">
        <v>15.1025606285611</v>
      </c>
      <c r="N450">
        <v>60.1363749283191</v>
      </c>
      <c r="O450">
        <v>57.917918486784998</v>
      </c>
      <c r="P450">
        <v>-5.6627359427304298E-2</v>
      </c>
      <c r="Q450">
        <v>0.131427803118456</v>
      </c>
      <c r="R450">
        <v>0.99438429119015903</v>
      </c>
      <c r="S450" t="s">
        <v>6902</v>
      </c>
      <c r="T450" t="s">
        <v>12902</v>
      </c>
      <c r="U450" t="s">
        <v>12902</v>
      </c>
      <c r="V450" t="s">
        <v>12902</v>
      </c>
      <c r="W450" t="s">
        <v>13347</v>
      </c>
      <c r="X450">
        <v>19</v>
      </c>
      <c r="Y450" t="s">
        <v>19742</v>
      </c>
      <c r="Z450" t="s">
        <v>26025</v>
      </c>
      <c r="AA450">
        <v>0.68861519287562911</v>
      </c>
      <c r="AB450" t="str">
        <f>HYPERLINK("Melting_Curves/meltCurve_E7ESP4_ITGA2.pdf", "Melting_Curves/meltCurve_E7ESP4_ITGA2.pdf")</f>
        <v>Melting_Curves/meltCurve_E7ESP4_ITGA2.pdf</v>
      </c>
    </row>
    <row r="451" spans="1:28" x14ac:dyDescent="0.25">
      <c r="A451" t="s">
        <v>455</v>
      </c>
      <c r="B451">
        <v>0.99673306730245903</v>
      </c>
      <c r="C451">
        <v>0.800958910116496</v>
      </c>
      <c r="D451">
        <v>0.82577835779265996</v>
      </c>
      <c r="E451">
        <v>0.27618754804135498</v>
      </c>
      <c r="F451">
        <v>0.217377731840664</v>
      </c>
      <c r="G451">
        <v>0.16060207909744501</v>
      </c>
      <c r="H451">
        <v>0.104408557765934</v>
      </c>
      <c r="I451">
        <v>7.5872092395605106E-2</v>
      </c>
      <c r="J451">
        <v>5.8636877920031603E-2</v>
      </c>
      <c r="K451">
        <v>4.8153098638111402E-2</v>
      </c>
      <c r="L451">
        <v>985.06385377312097</v>
      </c>
      <c r="M451">
        <v>20.6213545288037</v>
      </c>
      <c r="N451">
        <v>48.163292528543302</v>
      </c>
      <c r="O451">
        <v>47.326718025043597</v>
      </c>
      <c r="P451">
        <v>-0.10047550001057499</v>
      </c>
      <c r="Q451">
        <v>7.7648098696551496E-2</v>
      </c>
      <c r="R451">
        <v>0.96579277444096001</v>
      </c>
      <c r="S451" t="s">
        <v>6903</v>
      </c>
      <c r="T451" t="s">
        <v>12902</v>
      </c>
      <c r="U451" t="s">
        <v>12902</v>
      </c>
      <c r="V451" t="s">
        <v>12902</v>
      </c>
      <c r="W451" t="s">
        <v>13348</v>
      </c>
      <c r="X451">
        <v>19</v>
      </c>
      <c r="Y451" t="s">
        <v>19743</v>
      </c>
      <c r="Z451" t="s">
        <v>26026</v>
      </c>
      <c r="AA451">
        <v>0.32884961640965471</v>
      </c>
      <c r="AB451" t="str">
        <f>HYPERLINK("Melting_Curves/meltCurve_E7ESU4_NAT10.pdf", "Melting_Curves/meltCurve_E7ESU4_NAT10.pdf")</f>
        <v>Melting_Curves/meltCurve_E7ESU4_NAT10.pdf</v>
      </c>
    </row>
    <row r="452" spans="1:28" x14ac:dyDescent="0.25">
      <c r="A452" t="s">
        <v>456</v>
      </c>
      <c r="B452">
        <v>0.99673306730245903</v>
      </c>
      <c r="C452">
        <v>0.93505795359881905</v>
      </c>
      <c r="D452">
        <v>0.90001876067522601</v>
      </c>
      <c r="E452">
        <v>0.634482454646214</v>
      </c>
      <c r="F452">
        <v>0.27261179610155001</v>
      </c>
      <c r="G452">
        <v>0.15354738312275401</v>
      </c>
      <c r="H452">
        <v>0.13825755912167001</v>
      </c>
      <c r="I452">
        <v>0.12833310192633399</v>
      </c>
      <c r="J452">
        <v>0.128140105859336</v>
      </c>
      <c r="K452">
        <v>0.107093904968537</v>
      </c>
      <c r="L452">
        <v>1227.26884758696</v>
      </c>
      <c r="M452">
        <v>24.484763721823199</v>
      </c>
      <c r="N452">
        <v>50.673375764566003</v>
      </c>
      <c r="O452">
        <v>49.793013173758602</v>
      </c>
      <c r="P452">
        <v>-0.108599413973178</v>
      </c>
      <c r="Q452">
        <v>0.11660765740972499</v>
      </c>
      <c r="R452">
        <v>0.99708190198964797</v>
      </c>
      <c r="S452" t="s">
        <v>6904</v>
      </c>
      <c r="T452" t="s">
        <v>12902</v>
      </c>
      <c r="U452" t="s">
        <v>12902</v>
      </c>
      <c r="V452" t="s">
        <v>12902</v>
      </c>
      <c r="W452" t="s">
        <v>13349</v>
      </c>
      <c r="X452">
        <v>4</v>
      </c>
      <c r="Y452" t="s">
        <v>19744</v>
      </c>
      <c r="Z452" t="s">
        <v>26027</v>
      </c>
      <c r="AA452">
        <v>0.42295894491721903</v>
      </c>
      <c r="AB452" t="str">
        <f>HYPERLINK("Melting_Curves/meltCurve_E7ESX1_CHRD.pdf", "Melting_Curves/meltCurve_E7ESX1_CHRD.pdf")</f>
        <v>Melting_Curves/meltCurve_E7ESX1_CHRD.pdf</v>
      </c>
    </row>
    <row r="453" spans="1:28" x14ac:dyDescent="0.25">
      <c r="A453" t="s">
        <v>457</v>
      </c>
      <c r="B453">
        <v>0.99673306730245903</v>
      </c>
      <c r="C453">
        <v>1.10218915568015</v>
      </c>
      <c r="D453">
        <v>0.43053399190257602</v>
      </c>
      <c r="E453">
        <v>0.58314222205838495</v>
      </c>
      <c r="F453">
        <v>0.27642151685643801</v>
      </c>
      <c r="G453">
        <v>0.17216299535465901</v>
      </c>
      <c r="H453">
        <v>0.121520675042556</v>
      </c>
      <c r="I453">
        <v>0.102544296854182</v>
      </c>
      <c r="J453">
        <v>9.7502387960848105E-2</v>
      </c>
      <c r="K453">
        <v>8.0716607783571107E-2</v>
      </c>
      <c r="L453">
        <v>709.48525648933696</v>
      </c>
      <c r="M453">
        <v>14.692458884411099</v>
      </c>
      <c r="N453">
        <v>48.898718211947397</v>
      </c>
      <c r="O453">
        <v>47.420964551229702</v>
      </c>
      <c r="P453">
        <v>-7.0982992092553404E-2</v>
      </c>
      <c r="Q453">
        <v>8.3689416086140694E-2</v>
      </c>
      <c r="R453">
        <v>0.89022453627466402</v>
      </c>
      <c r="S453" t="s">
        <v>6905</v>
      </c>
      <c r="T453" t="s">
        <v>12902</v>
      </c>
      <c r="U453" t="s">
        <v>12902</v>
      </c>
      <c r="V453" t="s">
        <v>12902</v>
      </c>
      <c r="W453" t="s">
        <v>13350</v>
      </c>
      <c r="X453">
        <v>8</v>
      </c>
      <c r="Y453" t="s">
        <v>19745</v>
      </c>
      <c r="Z453" t="s">
        <v>26028</v>
      </c>
      <c r="AA453">
        <v>0.3610970348042542</v>
      </c>
      <c r="AB453" t="str">
        <f>HYPERLINK("Melting_Curves/meltCurve_E7ESZ7_NDUFA10.pdf", "Melting_Curves/meltCurve_E7ESZ7_NDUFA10.pdf")</f>
        <v>Melting_Curves/meltCurve_E7ESZ7_NDUFA10.pdf</v>
      </c>
    </row>
    <row r="454" spans="1:28" x14ac:dyDescent="0.25">
      <c r="A454" t="s">
        <v>458</v>
      </c>
      <c r="B454">
        <v>0.99673306730245903</v>
      </c>
      <c r="C454">
        <v>0.80545194954871002</v>
      </c>
      <c r="D454">
        <v>0.66023279704916005</v>
      </c>
      <c r="E454">
        <v>0.43615270506345899</v>
      </c>
      <c r="F454">
        <v>0.29883115608493599</v>
      </c>
      <c r="G454">
        <v>0.23216917838398099</v>
      </c>
      <c r="H454">
        <v>0.182302121145414</v>
      </c>
      <c r="I454">
        <v>0.20672512601974299</v>
      </c>
      <c r="J454">
        <v>0.25750424420394002</v>
      </c>
      <c r="K454">
        <v>0.259604879750233</v>
      </c>
      <c r="L454">
        <v>787.49563026769795</v>
      </c>
      <c r="M454">
        <v>16.921806631772998</v>
      </c>
      <c r="N454">
        <v>48.157267985710902</v>
      </c>
      <c r="O454">
        <v>45.9019924111712</v>
      </c>
      <c r="P454">
        <v>-7.2166357503745296E-2</v>
      </c>
      <c r="Q454">
        <v>0.21701727205305099</v>
      </c>
      <c r="R454">
        <v>0.98618160789651899</v>
      </c>
      <c r="S454" t="s">
        <v>6906</v>
      </c>
      <c r="T454" t="s">
        <v>12902</v>
      </c>
      <c r="U454" t="s">
        <v>12902</v>
      </c>
      <c r="V454" t="s">
        <v>12902</v>
      </c>
      <c r="W454" t="s">
        <v>13351</v>
      </c>
      <c r="X454">
        <v>13</v>
      </c>
      <c r="Y454" t="s">
        <v>19746</v>
      </c>
      <c r="Z454" t="s">
        <v>26029</v>
      </c>
      <c r="AA454">
        <v>0.4046046394315953</v>
      </c>
      <c r="AB454" t="str">
        <f>HYPERLINK("Melting_Curves/meltCurve_E7ET15_U2SURP.pdf", "Melting_Curves/meltCurve_E7ET15_U2SURP.pdf")</f>
        <v>Melting_Curves/meltCurve_E7ET15_U2SURP.pdf</v>
      </c>
    </row>
    <row r="455" spans="1:28" x14ac:dyDescent="0.25">
      <c r="A455" t="s">
        <v>459</v>
      </c>
      <c r="B455">
        <v>0.99673306730245903</v>
      </c>
      <c r="C455">
        <v>0.66149246230389602</v>
      </c>
      <c r="D455">
        <v>0.45289814223856101</v>
      </c>
      <c r="E455">
        <v>0.39957915453958798</v>
      </c>
      <c r="F455">
        <v>0.32624616273797602</v>
      </c>
      <c r="G455">
        <v>0.20333904885118401</v>
      </c>
      <c r="H455">
        <v>0.143333733921302</v>
      </c>
      <c r="I455">
        <v>0.15314161686539901</v>
      </c>
      <c r="J455">
        <v>0.27014126934322003</v>
      </c>
      <c r="K455">
        <v>0.21576942036556601</v>
      </c>
      <c r="L455">
        <v>737.27937462540297</v>
      </c>
      <c r="M455">
        <v>16.578698385085499</v>
      </c>
      <c r="N455">
        <v>45.958685718239302</v>
      </c>
      <c r="O455">
        <v>43.8395558660253</v>
      </c>
      <c r="P455">
        <v>-7.4920318850805495E-2</v>
      </c>
      <c r="Q455">
        <v>0.20759774411717599</v>
      </c>
      <c r="R455">
        <v>0.93906318958250601</v>
      </c>
      <c r="S455" t="s">
        <v>6907</v>
      </c>
      <c r="T455" t="s">
        <v>12902</v>
      </c>
      <c r="U455" t="s">
        <v>12902</v>
      </c>
      <c r="V455" t="s">
        <v>12902</v>
      </c>
      <c r="W455" t="s">
        <v>13352</v>
      </c>
      <c r="X455">
        <v>1</v>
      </c>
      <c r="Y455" t="s">
        <v>19747</v>
      </c>
      <c r="Z455" t="s">
        <v>26030</v>
      </c>
      <c r="AA455">
        <v>0.34757871916836253</v>
      </c>
      <c r="AB455" t="str">
        <f>HYPERLINK("Melting_Curves/meltCurve_E7ET89_DTX2.pdf", "Melting_Curves/meltCurve_E7ET89_DTX2.pdf")</f>
        <v>Melting_Curves/meltCurve_E7ET89_DTX2.pdf</v>
      </c>
    </row>
    <row r="456" spans="1:28" x14ac:dyDescent="0.25">
      <c r="A456" t="s">
        <v>460</v>
      </c>
      <c r="B456">
        <v>0.99673306730245903</v>
      </c>
      <c r="C456">
        <v>0.93746479794221005</v>
      </c>
      <c r="D456">
        <v>0.950262239338729</v>
      </c>
      <c r="E456">
        <v>1.12199794685268</v>
      </c>
      <c r="F456">
        <v>1.2120833957160799</v>
      </c>
      <c r="G456">
        <v>1.20446268047617</v>
      </c>
      <c r="H456">
        <v>1.2857008655203599</v>
      </c>
      <c r="I456">
        <v>1.23226001171335</v>
      </c>
      <c r="J456">
        <v>1.11847235782327</v>
      </c>
      <c r="K456">
        <v>0.50410152710799805</v>
      </c>
      <c r="L456">
        <v>15000</v>
      </c>
      <c r="M456">
        <v>214.26913048339</v>
      </c>
      <c r="O456">
        <v>69.999322762986097</v>
      </c>
      <c r="P456">
        <v>-0.76525433601331705</v>
      </c>
      <c r="Q456">
        <v>0</v>
      </c>
      <c r="R456">
        <v>0.45384417301784602</v>
      </c>
      <c r="S456" t="s">
        <v>6908</v>
      </c>
      <c r="T456" t="s">
        <v>12902</v>
      </c>
      <c r="U456" t="s">
        <v>12902</v>
      </c>
      <c r="V456" t="s">
        <v>12902</v>
      </c>
      <c r="W456" t="s">
        <v>13353</v>
      </c>
      <c r="X456">
        <v>13</v>
      </c>
      <c r="Y456" t="s">
        <v>19748</v>
      </c>
      <c r="Z456" t="s">
        <v>26031</v>
      </c>
      <c r="AA456">
        <v>0.99262349910503278</v>
      </c>
      <c r="AB456" t="str">
        <f>HYPERLINK("Melting_Curves/meltCurve_E7ETB3_DNPEP.pdf", "Melting_Curves/meltCurve_E7ETB3_DNPEP.pdf")</f>
        <v>Melting_Curves/meltCurve_E7ETB3_DNPEP.pdf</v>
      </c>
    </row>
    <row r="457" spans="1:28" x14ac:dyDescent="0.25">
      <c r="A457" t="s">
        <v>461</v>
      </c>
      <c r="B457">
        <v>0.99673306730245903</v>
      </c>
      <c r="C457">
        <v>1.05265204013852</v>
      </c>
      <c r="D457">
        <v>0.95187167250483895</v>
      </c>
      <c r="E457">
        <v>0.83925459954609904</v>
      </c>
      <c r="F457">
        <v>0.55404994878786096</v>
      </c>
      <c r="G457">
        <v>0.348688037033061</v>
      </c>
      <c r="H457">
        <v>0.11155214761872601</v>
      </c>
      <c r="I457">
        <v>9.6410774032302499E-2</v>
      </c>
      <c r="J457">
        <v>0.119251318465621</v>
      </c>
      <c r="K457">
        <v>9.3861690525682703E-2</v>
      </c>
      <c r="L457">
        <v>1041.8016307114101</v>
      </c>
      <c r="M457">
        <v>19.4422720164313</v>
      </c>
      <c r="N457">
        <v>54.037806516229203</v>
      </c>
      <c r="O457">
        <v>53.027139805751503</v>
      </c>
      <c r="P457">
        <v>-8.4766194135884002E-2</v>
      </c>
      <c r="Q457">
        <v>7.5263543620693096E-2</v>
      </c>
      <c r="R457">
        <v>0.99402129162653496</v>
      </c>
      <c r="S457" t="s">
        <v>6909</v>
      </c>
      <c r="T457" t="s">
        <v>12902</v>
      </c>
      <c r="U457" t="s">
        <v>12902</v>
      </c>
      <c r="V457" t="s">
        <v>12902</v>
      </c>
      <c r="W457" t="s">
        <v>13354</v>
      </c>
      <c r="X457">
        <v>4</v>
      </c>
      <c r="Y457" t="s">
        <v>19749</v>
      </c>
      <c r="Z457" t="s">
        <v>26032</v>
      </c>
      <c r="AA457">
        <v>0.5072359738140767</v>
      </c>
      <c r="AB457" t="str">
        <f>HYPERLINK("Melting_Curves/meltCurve_E7ETK0_RPS24.pdf", "Melting_Curves/meltCurve_E7ETK0_RPS24.pdf")</f>
        <v>Melting_Curves/meltCurve_E7ETK0_RPS24.pdf</v>
      </c>
    </row>
    <row r="458" spans="1:28" x14ac:dyDescent="0.25">
      <c r="A458" t="s">
        <v>462</v>
      </c>
      <c r="B458">
        <v>0.99673306730245903</v>
      </c>
      <c r="C458">
        <v>0.85869988005032405</v>
      </c>
      <c r="D458">
        <v>0.97724582848806496</v>
      </c>
      <c r="E458">
        <v>0.857160030804345</v>
      </c>
      <c r="F458">
        <v>0.19557293204723999</v>
      </c>
      <c r="G458">
        <v>0.12619178541691101</v>
      </c>
      <c r="H458">
        <v>6.3802600219790798E-2</v>
      </c>
      <c r="I458">
        <v>5.4538605199987503E-2</v>
      </c>
      <c r="J458">
        <v>6.2593936702985895E-2</v>
      </c>
      <c r="K458">
        <v>5.1170502187923302E-2</v>
      </c>
      <c r="L458">
        <v>2539.47294335168</v>
      </c>
      <c r="M458">
        <v>49.522618211033603</v>
      </c>
      <c r="N458">
        <v>51.433124966488997</v>
      </c>
      <c r="O458">
        <v>51.195651876743</v>
      </c>
      <c r="P458">
        <v>-0.22516016987583801</v>
      </c>
      <c r="Q458">
        <v>6.89337534603741E-2</v>
      </c>
      <c r="R458">
        <v>0.98608768666096902</v>
      </c>
      <c r="S458" t="s">
        <v>6910</v>
      </c>
      <c r="T458" t="s">
        <v>12902</v>
      </c>
      <c r="U458" t="s">
        <v>12902</v>
      </c>
      <c r="V458" t="s">
        <v>12902</v>
      </c>
      <c r="W458" t="s">
        <v>13355</v>
      </c>
      <c r="X458">
        <v>23</v>
      </c>
      <c r="Y458" t="s">
        <v>19750</v>
      </c>
      <c r="Z458" t="s">
        <v>26033</v>
      </c>
      <c r="AA458">
        <v>0.42113221325394951</v>
      </c>
      <c r="AB458" t="str">
        <f>HYPERLINK("Melting_Curves/meltCurve_E7ETZ4_BZW2.pdf", "Melting_Curves/meltCurve_E7ETZ4_BZW2.pdf")</f>
        <v>Melting_Curves/meltCurve_E7ETZ4_BZW2.pdf</v>
      </c>
    </row>
    <row r="459" spans="1:28" x14ac:dyDescent="0.25">
      <c r="A459" t="s">
        <v>463</v>
      </c>
      <c r="B459">
        <v>0.99673306730245903</v>
      </c>
      <c r="C459">
        <v>0.78009551580428105</v>
      </c>
      <c r="D459">
        <v>0.36065215957936603</v>
      </c>
      <c r="E459">
        <v>0.23424087668420299</v>
      </c>
      <c r="F459">
        <v>0.141214792832002</v>
      </c>
      <c r="G459">
        <v>8.1369334040338206E-2</v>
      </c>
      <c r="H459">
        <v>4.7161591361626502E-2</v>
      </c>
      <c r="I459">
        <v>7.0790271983794506E-2</v>
      </c>
      <c r="J459">
        <v>0.11063824917567799</v>
      </c>
      <c r="K459">
        <v>8.8687433879088506E-2</v>
      </c>
      <c r="L459">
        <v>1111.6747905173099</v>
      </c>
      <c r="M459">
        <v>24.827542114766899</v>
      </c>
      <c r="N459">
        <v>45.147360585277703</v>
      </c>
      <c r="O459">
        <v>44.488412995243998</v>
      </c>
      <c r="P459">
        <v>-0.12662903378867099</v>
      </c>
      <c r="Q459">
        <v>9.2387498433520704E-2</v>
      </c>
      <c r="R459">
        <v>0.98769426450943998</v>
      </c>
      <c r="S459" t="s">
        <v>6911</v>
      </c>
      <c r="T459" t="s">
        <v>12902</v>
      </c>
      <c r="U459" t="s">
        <v>12902</v>
      </c>
      <c r="V459" t="s">
        <v>12902</v>
      </c>
      <c r="W459" t="s">
        <v>13356</v>
      </c>
      <c r="X459">
        <v>3</v>
      </c>
      <c r="Y459" t="s">
        <v>19751</v>
      </c>
      <c r="Z459" t="s">
        <v>26034</v>
      </c>
      <c r="AA459">
        <v>0.24630261335982589</v>
      </c>
      <c r="AB459" t="str">
        <f>HYPERLINK("Melting_Curves/meltCurve_E7EU19_RAD54L2.pdf", "Melting_Curves/meltCurve_E7EU19_RAD54L2.pdf")</f>
        <v>Melting_Curves/meltCurve_E7EU19_RAD54L2.pdf</v>
      </c>
    </row>
    <row r="460" spans="1:28" x14ac:dyDescent="0.25">
      <c r="A460" t="s">
        <v>464</v>
      </c>
      <c r="B460">
        <v>0.99673306730245903</v>
      </c>
      <c r="C460">
        <v>1.0000854833397099</v>
      </c>
      <c r="D460">
        <v>1.03020716250496</v>
      </c>
      <c r="E460">
        <v>1.03166939847622</v>
      </c>
      <c r="F460">
        <v>0.74902748349695303</v>
      </c>
      <c r="G460">
        <v>0.34193071993433999</v>
      </c>
      <c r="H460">
        <v>8.7939095625073405E-2</v>
      </c>
      <c r="I460">
        <v>7.7064213274852494E-2</v>
      </c>
      <c r="J460">
        <v>7.3219194402662599E-2</v>
      </c>
      <c r="K460">
        <v>6.3020014433392696E-2</v>
      </c>
      <c r="L460">
        <v>1754.9999730500599</v>
      </c>
      <c r="M460">
        <v>31.847666834626001</v>
      </c>
      <c r="N460">
        <v>55.338506433308098</v>
      </c>
      <c r="O460">
        <v>54.890172319652699</v>
      </c>
      <c r="P460">
        <v>-0.13597193271990299</v>
      </c>
      <c r="Q460">
        <v>6.2602041493970403E-2</v>
      </c>
      <c r="R460">
        <v>0.99687614118560897</v>
      </c>
      <c r="S460" t="s">
        <v>6912</v>
      </c>
      <c r="T460" t="s">
        <v>12902</v>
      </c>
      <c r="U460" t="s">
        <v>12902</v>
      </c>
      <c r="V460" t="s">
        <v>12902</v>
      </c>
      <c r="W460" t="s">
        <v>13357</v>
      </c>
      <c r="X460">
        <v>49</v>
      </c>
      <c r="Y460" t="s">
        <v>19752</v>
      </c>
      <c r="Z460" t="s">
        <v>26035</v>
      </c>
      <c r="AA460">
        <v>0.54017079836181581</v>
      </c>
      <c r="AB460" t="str">
        <f>HYPERLINK("Melting_Curves/meltCurve_E7EU23_GDI2.pdf", "Melting_Curves/meltCurve_E7EU23_GDI2.pdf")</f>
        <v>Melting_Curves/meltCurve_E7EU23_GDI2.pdf</v>
      </c>
    </row>
    <row r="461" spans="1:28" x14ac:dyDescent="0.25">
      <c r="A461" t="s">
        <v>465</v>
      </c>
      <c r="B461">
        <v>0.99673306730245903</v>
      </c>
      <c r="C461">
        <v>0.94878629554888805</v>
      </c>
      <c r="D461">
        <v>0.97411568720202302</v>
      </c>
      <c r="E461">
        <v>0.99376343422458002</v>
      </c>
      <c r="F461">
        <v>0.72570412592728994</v>
      </c>
      <c r="G461">
        <v>0.40606295724851099</v>
      </c>
      <c r="H461">
        <v>0.14589511581541301</v>
      </c>
      <c r="I461">
        <v>0.121239262405998</v>
      </c>
      <c r="J461">
        <v>0.115421864047657</v>
      </c>
      <c r="K461">
        <v>8.4850209473899194E-2</v>
      </c>
      <c r="L461">
        <v>1427.5554624111101</v>
      </c>
      <c r="M461">
        <v>25.865027302781801</v>
      </c>
      <c r="N461">
        <v>55.623248484593702</v>
      </c>
      <c r="O461">
        <v>54.865770898278903</v>
      </c>
      <c r="P461">
        <v>-0.10716093838625999</v>
      </c>
      <c r="Q461">
        <v>9.0757416694249901E-2</v>
      </c>
      <c r="R461">
        <v>0.99580777981575397</v>
      </c>
      <c r="S461" t="s">
        <v>6913</v>
      </c>
      <c r="T461" t="s">
        <v>12902</v>
      </c>
      <c r="U461" t="s">
        <v>12902</v>
      </c>
      <c r="V461" t="s">
        <v>12902</v>
      </c>
      <c r="W461" t="s">
        <v>13358</v>
      </c>
      <c r="X461">
        <v>16</v>
      </c>
      <c r="Y461" t="s">
        <v>19753</v>
      </c>
      <c r="Z461" t="s">
        <v>26036</v>
      </c>
      <c r="AA461">
        <v>0.5591319249277753</v>
      </c>
      <c r="AB461" t="str">
        <f>HYPERLINK("Melting_Curves/meltCurve_E7EU96_CSNK2A1.pdf", "Melting_Curves/meltCurve_E7EU96_CSNK2A1.pdf")</f>
        <v>Melting_Curves/meltCurve_E7EU96_CSNK2A1.pdf</v>
      </c>
    </row>
    <row r="462" spans="1:28" x14ac:dyDescent="0.25">
      <c r="A462" t="s">
        <v>466</v>
      </c>
      <c r="B462">
        <v>0.99673306730245903</v>
      </c>
      <c r="C462">
        <v>0.99162006502774303</v>
      </c>
      <c r="D462">
        <v>0.84955801604176895</v>
      </c>
      <c r="E462">
        <v>0.75764177661405097</v>
      </c>
      <c r="F462">
        <v>0.62482643437482999</v>
      </c>
      <c r="G462">
        <v>0.54178971893858396</v>
      </c>
      <c r="H462">
        <v>0.47081600523206102</v>
      </c>
      <c r="I462">
        <v>0.62791086309035105</v>
      </c>
      <c r="J462">
        <v>0.58692942175949903</v>
      </c>
      <c r="K462">
        <v>0.85768533146441395</v>
      </c>
      <c r="L462">
        <v>1177.0486189941901</v>
      </c>
      <c r="M462">
        <v>24.812265911434</v>
      </c>
      <c r="O462">
        <v>47.133264338887301</v>
      </c>
      <c r="P462">
        <v>-5.0366323114165702E-2</v>
      </c>
      <c r="Q462">
        <v>0.61730284383145595</v>
      </c>
      <c r="R462">
        <v>0.71233906733877905</v>
      </c>
      <c r="S462" t="s">
        <v>6914</v>
      </c>
      <c r="T462" t="s">
        <v>12902</v>
      </c>
      <c r="U462" t="s">
        <v>12902</v>
      </c>
      <c r="V462" t="s">
        <v>12902</v>
      </c>
      <c r="W462" t="s">
        <v>13359</v>
      </c>
      <c r="X462">
        <v>7</v>
      </c>
      <c r="Y462" t="s">
        <v>19754</v>
      </c>
      <c r="Z462" t="s">
        <v>26037</v>
      </c>
      <c r="AA462">
        <v>0.71563882216578645</v>
      </c>
      <c r="AB462" t="str">
        <f>HYPERLINK("Melting_Curves/meltCurve_E7EUE1_ABCD3.pdf", "Melting_Curves/meltCurve_E7EUE1_ABCD3.pdf")</f>
        <v>Melting_Curves/meltCurve_E7EUE1_ABCD3.pdf</v>
      </c>
    </row>
    <row r="463" spans="1:28" x14ac:dyDescent="0.25">
      <c r="A463" t="s">
        <v>467</v>
      </c>
      <c r="B463">
        <v>0.99673306730245903</v>
      </c>
      <c r="C463">
        <v>0.93661670108755801</v>
      </c>
      <c r="D463">
        <v>0.78300890886867802</v>
      </c>
      <c r="E463">
        <v>0.520253537627831</v>
      </c>
      <c r="F463">
        <v>0.33206721364202302</v>
      </c>
      <c r="G463">
        <v>0.24955732220266</v>
      </c>
      <c r="H463">
        <v>0.199840402618602</v>
      </c>
      <c r="I463">
        <v>0.245577964301566</v>
      </c>
      <c r="J463">
        <v>0.32561392878051298</v>
      </c>
      <c r="K463">
        <v>0.314476007357475</v>
      </c>
      <c r="L463">
        <v>1061.4795809249299</v>
      </c>
      <c r="M463">
        <v>22.142388636721801</v>
      </c>
      <c r="N463">
        <v>49.600276459267</v>
      </c>
      <c r="O463">
        <v>47.5529286687186</v>
      </c>
      <c r="P463">
        <v>-8.5929251600430606E-2</v>
      </c>
      <c r="Q463">
        <v>0.26185043164817501</v>
      </c>
      <c r="R463">
        <v>0.98356947242516801</v>
      </c>
      <c r="S463" t="s">
        <v>6915</v>
      </c>
      <c r="T463" t="s">
        <v>12902</v>
      </c>
      <c r="U463" t="s">
        <v>12902</v>
      </c>
      <c r="V463" t="s">
        <v>12902</v>
      </c>
      <c r="W463" t="s">
        <v>13360</v>
      </c>
      <c r="X463">
        <v>1</v>
      </c>
      <c r="Y463" t="s">
        <v>19755</v>
      </c>
      <c r="Z463" t="s">
        <v>26038</v>
      </c>
      <c r="AA463">
        <v>0.46563901006114222</v>
      </c>
      <c r="AB463" t="str">
        <f>HYPERLINK("Melting_Curves/meltCurve_E7EUL7_SSFA2.pdf", "Melting_Curves/meltCurve_E7EUL7_SSFA2.pdf")</f>
        <v>Melting_Curves/meltCurve_E7EUL7_SSFA2.pdf</v>
      </c>
    </row>
    <row r="464" spans="1:28" x14ac:dyDescent="0.25">
      <c r="A464" t="s">
        <v>468</v>
      </c>
      <c r="B464">
        <v>0.99673306730245903</v>
      </c>
      <c r="C464">
        <v>0.92704811014452004</v>
      </c>
      <c r="D464">
        <v>1.0143529133040901</v>
      </c>
      <c r="E464">
        <v>0.65117755106625896</v>
      </c>
      <c r="F464">
        <v>0.26394420243815297</v>
      </c>
      <c r="G464">
        <v>0.155747959200182</v>
      </c>
      <c r="H464">
        <v>9.2080746487675003E-2</v>
      </c>
      <c r="I464">
        <v>8.1238035302879194E-2</v>
      </c>
      <c r="J464">
        <v>9.1442840434303604E-2</v>
      </c>
      <c r="K464">
        <v>7.5015847132819405E-2</v>
      </c>
      <c r="L464">
        <v>1493.8981619470701</v>
      </c>
      <c r="M464">
        <v>29.555665106459799</v>
      </c>
      <c r="N464">
        <v>50.887927163108102</v>
      </c>
      <c r="O464">
        <v>50.315542403883804</v>
      </c>
      <c r="P464">
        <v>-0.133600886420398</v>
      </c>
      <c r="Q464">
        <v>9.0238144254221594E-2</v>
      </c>
      <c r="R464">
        <v>0.99341202762658698</v>
      </c>
      <c r="S464" t="s">
        <v>6916</v>
      </c>
      <c r="T464" t="s">
        <v>12902</v>
      </c>
      <c r="U464" t="s">
        <v>12902</v>
      </c>
      <c r="V464" t="s">
        <v>12902</v>
      </c>
      <c r="W464" t="s">
        <v>13361</v>
      </c>
      <c r="X464">
        <v>13</v>
      </c>
      <c r="Y464" t="s">
        <v>19756</v>
      </c>
      <c r="Z464" t="s">
        <v>26039</v>
      </c>
      <c r="AA464">
        <v>0.41587711913251463</v>
      </c>
      <c r="AB464" t="str">
        <f>HYPERLINK("Melting_Curves/meltCurve_E7EUM5_NUP54.pdf", "Melting_Curves/meltCurve_E7EUM5_NUP54.pdf")</f>
        <v>Melting_Curves/meltCurve_E7EUM5_NUP54.pdf</v>
      </c>
    </row>
    <row r="465" spans="1:28" x14ac:dyDescent="0.25">
      <c r="A465" t="s">
        <v>469</v>
      </c>
      <c r="B465">
        <v>0.99673306730245903</v>
      </c>
      <c r="C465">
        <v>1.0217410576839701</v>
      </c>
      <c r="D465">
        <v>0.77362889426576897</v>
      </c>
      <c r="E465">
        <v>0.65370471016894405</v>
      </c>
      <c r="F465">
        <v>0.52323908514880701</v>
      </c>
      <c r="G465">
        <v>0.43663025696678198</v>
      </c>
      <c r="H465">
        <v>0.279297942508412</v>
      </c>
      <c r="I465">
        <v>0.35302348235112102</v>
      </c>
      <c r="J465">
        <v>0.51397226460397605</v>
      </c>
      <c r="K465">
        <v>0.44896515920315599</v>
      </c>
      <c r="L465">
        <v>923.83420450374297</v>
      </c>
      <c r="M465">
        <v>19.104819434890899</v>
      </c>
      <c r="N465">
        <v>52.862724224529202</v>
      </c>
      <c r="O465">
        <v>47.835626421981701</v>
      </c>
      <c r="P465">
        <v>-5.9719359364080599E-2</v>
      </c>
      <c r="Q465">
        <v>0.401909791066693</v>
      </c>
      <c r="R465">
        <v>0.92350893897445796</v>
      </c>
      <c r="S465" t="s">
        <v>6917</v>
      </c>
      <c r="T465" t="s">
        <v>12902</v>
      </c>
      <c r="U465" t="s">
        <v>12902</v>
      </c>
      <c r="V465" t="s">
        <v>12902</v>
      </c>
      <c r="W465" t="s">
        <v>13362</v>
      </c>
      <c r="X465">
        <v>2</v>
      </c>
      <c r="Y465" t="s">
        <v>19757</v>
      </c>
      <c r="Z465" t="s">
        <v>26040</v>
      </c>
      <c r="AA465">
        <v>0.57778948629569749</v>
      </c>
      <c r="AB465" t="str">
        <f>HYPERLINK("Melting_Curves/meltCurve_E7EV46_PGBD3.pdf", "Melting_Curves/meltCurve_E7EV46_PGBD3.pdf")</f>
        <v>Melting_Curves/meltCurve_E7EV46_PGBD3.pdf</v>
      </c>
    </row>
    <row r="466" spans="1:28" x14ac:dyDescent="0.25">
      <c r="A466" t="s">
        <v>470</v>
      </c>
      <c r="B466">
        <v>0.99673306730245903</v>
      </c>
      <c r="C466">
        <v>0.93123585491489902</v>
      </c>
      <c r="D466">
        <v>0.88125488090446502</v>
      </c>
      <c r="E466">
        <v>0.51844859832254198</v>
      </c>
      <c r="F466">
        <v>0.39489669913415198</v>
      </c>
      <c r="G466">
        <v>0.27730741359875699</v>
      </c>
      <c r="H466">
        <v>0.25199660944414598</v>
      </c>
      <c r="I466">
        <v>0.23798567188566599</v>
      </c>
      <c r="J466">
        <v>0.30166887793074598</v>
      </c>
      <c r="K466">
        <v>0.26388586588618901</v>
      </c>
      <c r="L466">
        <v>1125.9413153954799</v>
      </c>
      <c r="M466">
        <v>23.140474757738101</v>
      </c>
      <c r="N466">
        <v>50.2838198087602</v>
      </c>
      <c r="O466">
        <v>48.297803175938597</v>
      </c>
      <c r="P466">
        <v>-8.8216955089473401E-2</v>
      </c>
      <c r="Q466">
        <v>0.263523077282459</v>
      </c>
      <c r="R466">
        <v>0.99062183443140595</v>
      </c>
      <c r="S466" t="s">
        <v>6918</v>
      </c>
      <c r="T466" t="s">
        <v>12902</v>
      </c>
      <c r="U466" t="s">
        <v>12902</v>
      </c>
      <c r="V466" t="s">
        <v>12902</v>
      </c>
      <c r="W466" t="s">
        <v>13363</v>
      </c>
      <c r="X466">
        <v>5</v>
      </c>
      <c r="Y466" t="s">
        <v>19758</v>
      </c>
      <c r="Z466" t="s">
        <v>26041</v>
      </c>
      <c r="AA466">
        <v>0.48369207569692912</v>
      </c>
      <c r="AB466" t="str">
        <f>HYPERLINK("Melting_Curves/meltCurve_E7EV56_PCM1.pdf", "Melting_Curves/meltCurve_E7EV56_PCM1.pdf")</f>
        <v>Melting_Curves/meltCurve_E7EV56_PCM1.pdf</v>
      </c>
    </row>
    <row r="467" spans="1:28" x14ac:dyDescent="0.25">
      <c r="A467" t="s">
        <v>471</v>
      </c>
      <c r="B467">
        <v>0.99673306730245903</v>
      </c>
      <c r="C467">
        <v>1.01355514735969</v>
      </c>
      <c r="D467">
        <v>1.0120828251504299</v>
      </c>
      <c r="E467">
        <v>0.97577928478148501</v>
      </c>
      <c r="F467">
        <v>0.90680006659952594</v>
      </c>
      <c r="G467">
        <v>0.82154307647161895</v>
      </c>
      <c r="H467">
        <v>0.725323374385487</v>
      </c>
      <c r="I467">
        <v>1.12163078318516</v>
      </c>
      <c r="J467">
        <v>1.60766522503482</v>
      </c>
      <c r="K467">
        <v>1.5491750176069199</v>
      </c>
      <c r="L467">
        <v>15000</v>
      </c>
      <c r="M467">
        <v>233.24048861461901</v>
      </c>
      <c r="O467">
        <v>64.306575340671898</v>
      </c>
      <c r="P467">
        <v>0.453376045258918</v>
      </c>
      <c r="Q467">
        <v>1.5</v>
      </c>
      <c r="R467">
        <v>0.82525228979828102</v>
      </c>
      <c r="S467" t="s">
        <v>6919</v>
      </c>
      <c r="T467" t="s">
        <v>12902</v>
      </c>
      <c r="U467" t="s">
        <v>12902</v>
      </c>
      <c r="V467" t="s">
        <v>12902</v>
      </c>
      <c r="W467" t="s">
        <v>13364</v>
      </c>
      <c r="X467">
        <v>96</v>
      </c>
      <c r="Y467" t="s">
        <v>19759</v>
      </c>
      <c r="Z467" t="s">
        <v>26042</v>
      </c>
      <c r="AA467">
        <v>1.09474676165278</v>
      </c>
      <c r="AB467" t="str">
        <f>HYPERLINK("Melting_Curves/meltCurve_E7EVA0_MAP4.pdf", "Melting_Curves/meltCurve_E7EVA0_MAP4.pdf")</f>
        <v>Melting_Curves/meltCurve_E7EVA0_MAP4.pdf</v>
      </c>
    </row>
    <row r="468" spans="1:28" x14ac:dyDescent="0.25">
      <c r="A468" t="s">
        <v>472</v>
      </c>
      <c r="B468">
        <v>0.99673306730245903</v>
      </c>
      <c r="C468">
        <v>0.96828139062954299</v>
      </c>
      <c r="D468">
        <v>0.99085243960003999</v>
      </c>
      <c r="E468">
        <v>0.93287321856102701</v>
      </c>
      <c r="F468">
        <v>0.81097632425496102</v>
      </c>
      <c r="G468">
        <v>0.318178941640887</v>
      </c>
      <c r="H468">
        <v>0.201168045237412</v>
      </c>
      <c r="I468">
        <v>0.19031012080013099</v>
      </c>
      <c r="J468">
        <v>0.15957392308666499</v>
      </c>
      <c r="K468">
        <v>0.10602425219254</v>
      </c>
      <c r="L468">
        <v>2064.1147224818001</v>
      </c>
      <c r="M468">
        <v>37.657766381578</v>
      </c>
      <c r="N468">
        <v>55.359747191219</v>
      </c>
      <c r="O468">
        <v>54.658574059950297</v>
      </c>
      <c r="P468">
        <v>-0.14547056876508499</v>
      </c>
      <c r="Q468">
        <v>0.15542598073178601</v>
      </c>
      <c r="R468">
        <v>0.99421905729232396</v>
      </c>
      <c r="S468" t="s">
        <v>6920</v>
      </c>
      <c r="T468" t="s">
        <v>12902</v>
      </c>
      <c r="U468" t="s">
        <v>12902</v>
      </c>
      <c r="V468" t="s">
        <v>12902</v>
      </c>
      <c r="W468" t="s">
        <v>13365</v>
      </c>
      <c r="X468">
        <v>10</v>
      </c>
      <c r="Y468" t="s">
        <v>19760</v>
      </c>
      <c r="Z468" t="s">
        <v>26043</v>
      </c>
      <c r="AA468">
        <v>0.57602842258685705</v>
      </c>
      <c r="AB468" t="str">
        <f>HYPERLINK("Melting_Curves/meltCurve_E7EVC7_ATG16L1.pdf", "Melting_Curves/meltCurve_E7EVC7_ATG16L1.pdf")</f>
        <v>Melting_Curves/meltCurve_E7EVC7_ATG16L1.pdf</v>
      </c>
    </row>
    <row r="469" spans="1:28" x14ac:dyDescent="0.25">
      <c r="A469" t="s">
        <v>473</v>
      </c>
      <c r="B469">
        <v>0.99673306730245903</v>
      </c>
      <c r="C469">
        <v>0.93112738704631604</v>
      </c>
      <c r="D469">
        <v>0.90260224076082096</v>
      </c>
      <c r="E469">
        <v>0.93825714823796202</v>
      </c>
      <c r="F469">
        <v>0.60056350535247804</v>
      </c>
      <c r="G469">
        <v>0.368246507708479</v>
      </c>
      <c r="H469">
        <v>0.25048110199895501</v>
      </c>
      <c r="I469">
        <v>0.27847922617620102</v>
      </c>
      <c r="J469">
        <v>0.31895591745872498</v>
      </c>
      <c r="K469">
        <v>0.15139880551513499</v>
      </c>
      <c r="L469">
        <v>1387.5866630251201</v>
      </c>
      <c r="M469">
        <v>26.101402985837201</v>
      </c>
      <c r="N469">
        <v>54.528335162752398</v>
      </c>
      <c r="O469">
        <v>52.852296826376701</v>
      </c>
      <c r="P469">
        <v>-9.3820798808796194E-2</v>
      </c>
      <c r="Q469">
        <v>0.24010418608227099</v>
      </c>
      <c r="R469">
        <v>0.972162317499636</v>
      </c>
      <c r="S469" t="s">
        <v>6921</v>
      </c>
      <c r="T469" t="s">
        <v>12902</v>
      </c>
      <c r="U469" t="s">
        <v>12902</v>
      </c>
      <c r="V469" t="s">
        <v>12902</v>
      </c>
      <c r="W469" t="s">
        <v>13366</v>
      </c>
      <c r="X469">
        <v>10</v>
      </c>
      <c r="Y469" t="s">
        <v>19761</v>
      </c>
      <c r="Z469" t="s">
        <v>26044</v>
      </c>
      <c r="AA469">
        <v>0.57993849799080799</v>
      </c>
      <c r="AB469" t="str">
        <f>HYPERLINK("Melting_Curves/meltCurve_E7EVJ5_CYFIP2.pdf", "Melting_Curves/meltCurve_E7EVJ5_CYFIP2.pdf")</f>
        <v>Melting_Curves/meltCurve_E7EVJ5_CYFIP2.pdf</v>
      </c>
    </row>
    <row r="470" spans="1:28" x14ac:dyDescent="0.25">
      <c r="A470" t="s">
        <v>474</v>
      </c>
      <c r="B470">
        <v>0.99673306730245903</v>
      </c>
      <c r="C470">
        <v>0.89675004153434801</v>
      </c>
      <c r="D470">
        <v>1.0035550298513101</v>
      </c>
      <c r="E470">
        <v>0.82172427613460197</v>
      </c>
      <c r="F470">
        <v>0.492137006245709</v>
      </c>
      <c r="G470">
        <v>0.523497624754242</v>
      </c>
      <c r="H470">
        <v>0.31615335655398003</v>
      </c>
      <c r="I470">
        <v>0.49835055576831999</v>
      </c>
      <c r="J470">
        <v>0.83042157200126498</v>
      </c>
      <c r="K470">
        <v>0.91918951744069999</v>
      </c>
      <c r="L470">
        <v>12411.567227154101</v>
      </c>
      <c r="M470">
        <v>250</v>
      </c>
      <c r="O470">
        <v>49.643074981614802</v>
      </c>
      <c r="P470">
        <v>-0.50784389975697597</v>
      </c>
      <c r="Q470">
        <v>0.59662493774733505</v>
      </c>
      <c r="R470">
        <v>0.50386345952992895</v>
      </c>
      <c r="S470" t="s">
        <v>6922</v>
      </c>
      <c r="T470" t="s">
        <v>12902</v>
      </c>
      <c r="U470" t="s">
        <v>12902</v>
      </c>
      <c r="V470" t="s">
        <v>12902</v>
      </c>
      <c r="W470" t="s">
        <v>13367</v>
      </c>
      <c r="X470">
        <v>4</v>
      </c>
      <c r="Y470" t="s">
        <v>19762</v>
      </c>
      <c r="Z470" t="s">
        <v>26045</v>
      </c>
      <c r="AA470">
        <v>0.72636222723355148</v>
      </c>
      <c r="AB470" t="str">
        <f>HYPERLINK("Melting_Curves/meltCurve_E7EVZ3_RAI1.pdf", "Melting_Curves/meltCurve_E7EVZ3_RAI1.pdf")</f>
        <v>Melting_Curves/meltCurve_E7EVZ3_RAI1.pdf</v>
      </c>
    </row>
    <row r="471" spans="1:28" x14ac:dyDescent="0.25">
      <c r="A471" t="s">
        <v>475</v>
      </c>
      <c r="B471">
        <v>0.99673306730245903</v>
      </c>
      <c r="C471">
        <v>0.95031475600502202</v>
      </c>
      <c r="D471">
        <v>0.78476394083573098</v>
      </c>
      <c r="E471">
        <v>0.37842114125203002</v>
      </c>
      <c r="F471">
        <v>0.27194000332568902</v>
      </c>
      <c r="G471">
        <v>0.18984282058914401</v>
      </c>
      <c r="H471">
        <v>0.112058690258576</v>
      </c>
      <c r="I471">
        <v>0.10008435732356701</v>
      </c>
      <c r="J471">
        <v>9.1727977440850095E-2</v>
      </c>
      <c r="K471">
        <v>9.2357199950090299E-2</v>
      </c>
      <c r="L471">
        <v>990.08012939358605</v>
      </c>
      <c r="M471">
        <v>20.5156630427071</v>
      </c>
      <c r="N471">
        <v>48.8362396435611</v>
      </c>
      <c r="O471">
        <v>47.808211234792203</v>
      </c>
      <c r="P471">
        <v>-9.5746215515127797E-2</v>
      </c>
      <c r="Q471">
        <v>0.10754615402260299</v>
      </c>
      <c r="R471">
        <v>0.99272248351651504</v>
      </c>
      <c r="S471" t="s">
        <v>6923</v>
      </c>
      <c r="T471" t="s">
        <v>12902</v>
      </c>
      <c r="U471" t="s">
        <v>12902</v>
      </c>
      <c r="V471" t="s">
        <v>12902</v>
      </c>
      <c r="W471" t="s">
        <v>13368</v>
      </c>
      <c r="X471">
        <v>8</v>
      </c>
      <c r="Y471" t="s">
        <v>19763</v>
      </c>
      <c r="Z471" t="s">
        <v>26046</v>
      </c>
      <c r="AA471">
        <v>0.36522429921015331</v>
      </c>
      <c r="AB471" t="str">
        <f>HYPERLINK("Melting_Curves/meltCurve_E7EW05_SDAD1.pdf", "Melting_Curves/meltCurve_E7EW05_SDAD1.pdf")</f>
        <v>Melting_Curves/meltCurve_E7EW05_SDAD1.pdf</v>
      </c>
    </row>
    <row r="472" spans="1:28" x14ac:dyDescent="0.25">
      <c r="A472" t="s">
        <v>476</v>
      </c>
      <c r="B472">
        <v>0.99673306730245903</v>
      </c>
      <c r="C472">
        <v>0.92558789310070899</v>
      </c>
      <c r="D472">
        <v>0.69067279769731404</v>
      </c>
      <c r="E472">
        <v>0.319095878806961</v>
      </c>
      <c r="F472">
        <v>0.220356643407079</v>
      </c>
      <c r="G472">
        <v>0.15029551023454199</v>
      </c>
      <c r="H472">
        <v>0.106397773141976</v>
      </c>
      <c r="I472">
        <v>0.104888049297668</v>
      </c>
      <c r="J472">
        <v>0.109795939247428</v>
      </c>
      <c r="K472">
        <v>0.12385678589263099</v>
      </c>
      <c r="L472">
        <v>1069.2870993935601</v>
      </c>
      <c r="M472">
        <v>22.641103529032801</v>
      </c>
      <c r="N472">
        <v>47.793351811897097</v>
      </c>
      <c r="O472">
        <v>46.863878083638397</v>
      </c>
      <c r="P472">
        <v>-0.106587379012827</v>
      </c>
      <c r="Q472">
        <v>0.11753413736039101</v>
      </c>
      <c r="R472">
        <v>0.99743869218297498</v>
      </c>
      <c r="S472" t="s">
        <v>6924</v>
      </c>
      <c r="T472" t="s">
        <v>12902</v>
      </c>
      <c r="U472" t="s">
        <v>12902</v>
      </c>
      <c r="V472" t="s">
        <v>12902</v>
      </c>
      <c r="W472" t="s">
        <v>13369</v>
      </c>
      <c r="X472">
        <v>5</v>
      </c>
      <c r="Y472" t="s">
        <v>19764</v>
      </c>
      <c r="Z472" t="s">
        <v>26047</v>
      </c>
      <c r="AA472">
        <v>0.3398941970964261</v>
      </c>
      <c r="AB472" t="str">
        <f>HYPERLINK("Melting_Curves/meltCurve_E7EW18_POLB.pdf", "Melting_Curves/meltCurve_E7EW18_POLB.pdf")</f>
        <v>Melting_Curves/meltCurve_E7EW18_POLB.pdf</v>
      </c>
    </row>
    <row r="473" spans="1:28" x14ac:dyDescent="0.25">
      <c r="A473" t="s">
        <v>477</v>
      </c>
      <c r="B473">
        <v>0.99673306730245903</v>
      </c>
      <c r="C473">
        <v>0.97956907470699195</v>
      </c>
      <c r="D473">
        <v>0.93204634612961801</v>
      </c>
      <c r="E473">
        <v>0.919072193403768</v>
      </c>
      <c r="F473">
        <v>0.24092883358631001</v>
      </c>
      <c r="G473">
        <v>0.15907651711655599</v>
      </c>
      <c r="H473">
        <v>0.102906656768357</v>
      </c>
      <c r="I473">
        <v>9.3786542011611504E-2</v>
      </c>
      <c r="J473">
        <v>8.8070589902926502E-2</v>
      </c>
      <c r="K473">
        <v>7.8497602481178097E-2</v>
      </c>
      <c r="L473">
        <v>2860.3593542517501</v>
      </c>
      <c r="M473">
        <v>55.424740644613003</v>
      </c>
      <c r="N473">
        <v>51.822396797300001</v>
      </c>
      <c r="O473">
        <v>51.540941264917898</v>
      </c>
      <c r="P473">
        <v>-0.24129336973080601</v>
      </c>
      <c r="Q473">
        <v>0.10246013802326</v>
      </c>
      <c r="R473">
        <v>0.99497852903329898</v>
      </c>
      <c r="S473" t="s">
        <v>6925</v>
      </c>
      <c r="T473" t="s">
        <v>12902</v>
      </c>
      <c r="U473" t="s">
        <v>12902</v>
      </c>
      <c r="V473" t="s">
        <v>12902</v>
      </c>
      <c r="W473" t="s">
        <v>13370</v>
      </c>
      <c r="X473">
        <v>39</v>
      </c>
      <c r="Y473" t="s">
        <v>19765</v>
      </c>
      <c r="Z473" t="s">
        <v>26048</v>
      </c>
      <c r="AA473">
        <v>0.45140892506475799</v>
      </c>
      <c r="AB473" t="str">
        <f>HYPERLINK("Melting_Curves/meltCurve_E7EW20_MYO6.pdf", "Melting_Curves/meltCurve_E7EW20_MYO6.pdf")</f>
        <v>Melting_Curves/meltCurve_E7EW20_MYO6.pdf</v>
      </c>
    </row>
    <row r="474" spans="1:28" x14ac:dyDescent="0.25">
      <c r="A474" t="s">
        <v>478</v>
      </c>
      <c r="B474">
        <v>0.99673306730245903</v>
      </c>
      <c r="C474">
        <v>0.98627407817199697</v>
      </c>
      <c r="D474">
        <v>1.07441308024561</v>
      </c>
      <c r="E474">
        <v>0.85643847886930202</v>
      </c>
      <c r="F474">
        <v>0.62577164666148</v>
      </c>
      <c r="G474">
        <v>0.39237675691689</v>
      </c>
      <c r="H474">
        <v>0.15306302128620899</v>
      </c>
      <c r="I474">
        <v>0.10333434714739401</v>
      </c>
      <c r="J474">
        <v>0.121981032513255</v>
      </c>
      <c r="K474">
        <v>9.6681340342610597E-2</v>
      </c>
      <c r="L474">
        <v>1096.8137014950901</v>
      </c>
      <c r="M474">
        <v>20.1669160235028</v>
      </c>
      <c r="N474">
        <v>54.872013732216303</v>
      </c>
      <c r="O474">
        <v>53.860489784999501</v>
      </c>
      <c r="P474">
        <v>-8.5965301829286897E-2</v>
      </c>
      <c r="Q474">
        <v>8.1666783800425705E-2</v>
      </c>
      <c r="R474">
        <v>0.991152182697007</v>
      </c>
      <c r="S474" t="s">
        <v>6926</v>
      </c>
      <c r="T474" t="s">
        <v>12902</v>
      </c>
      <c r="U474" t="s">
        <v>12902</v>
      </c>
      <c r="V474" t="s">
        <v>12902</v>
      </c>
      <c r="W474" t="s">
        <v>13371</v>
      </c>
      <c r="X474">
        <v>8</v>
      </c>
      <c r="Y474" t="s">
        <v>19766</v>
      </c>
      <c r="Z474" t="s">
        <v>26049</v>
      </c>
      <c r="AA474">
        <v>0.53429859538097235</v>
      </c>
      <c r="AB474" t="str">
        <f>HYPERLINK("Melting_Curves/meltCurve_E7EW32_MON1B.pdf", "Melting_Curves/meltCurve_E7EW32_MON1B.pdf")</f>
        <v>Melting_Curves/meltCurve_E7EW32_MON1B.pdf</v>
      </c>
    </row>
    <row r="475" spans="1:28" x14ac:dyDescent="0.25">
      <c r="A475" t="s">
        <v>479</v>
      </c>
      <c r="B475">
        <v>0.99673306730245903</v>
      </c>
      <c r="C475">
        <v>0.95052891723658295</v>
      </c>
      <c r="D475">
        <v>0.98870148460515594</v>
      </c>
      <c r="E475">
        <v>1.02940411333833</v>
      </c>
      <c r="F475">
        <v>0.57341119933560902</v>
      </c>
      <c r="G475">
        <v>0.23719342964943699</v>
      </c>
      <c r="H475">
        <v>9.3330963562244504E-2</v>
      </c>
      <c r="I475">
        <v>6.2618298176469495E-2</v>
      </c>
      <c r="J475">
        <v>7.5896409485953803E-2</v>
      </c>
      <c r="K475">
        <v>7.1981565428635902E-2</v>
      </c>
      <c r="L475">
        <v>1875.2583430612301</v>
      </c>
      <c r="M475">
        <v>34.943336044330202</v>
      </c>
      <c r="N475">
        <v>53.926276580883297</v>
      </c>
      <c r="O475">
        <v>53.490843300145897</v>
      </c>
      <c r="P475">
        <v>-0.150627934718533</v>
      </c>
      <c r="Q475">
        <v>7.7685471270331596E-2</v>
      </c>
      <c r="R475">
        <v>0.99306817278367399</v>
      </c>
      <c r="S475" t="s">
        <v>6927</v>
      </c>
      <c r="T475" t="s">
        <v>12902</v>
      </c>
      <c r="U475" t="s">
        <v>12902</v>
      </c>
      <c r="V475" t="s">
        <v>12902</v>
      </c>
      <c r="W475" t="s">
        <v>13372</v>
      </c>
      <c r="X475">
        <v>13</v>
      </c>
      <c r="Y475" t="s">
        <v>19767</v>
      </c>
      <c r="Z475" t="s">
        <v>26050</v>
      </c>
      <c r="AA475">
        <v>0.50229314136357339</v>
      </c>
      <c r="AB475" t="str">
        <f>HYPERLINK("Melting_Curves/meltCurve_E7EW69_SEPT10.pdf", "Melting_Curves/meltCurve_E7EW69_SEPT10.pdf")</f>
        <v>Melting_Curves/meltCurve_E7EW69_SEPT10.pdf</v>
      </c>
    </row>
    <row r="476" spans="1:28" x14ac:dyDescent="0.25">
      <c r="A476" t="s">
        <v>480</v>
      </c>
      <c r="B476">
        <v>0.99673306730245903</v>
      </c>
      <c r="C476">
        <v>0.94527680948951298</v>
      </c>
      <c r="D476">
        <v>1.03397615577254</v>
      </c>
      <c r="E476">
        <v>0.85718892895749099</v>
      </c>
      <c r="F476">
        <v>0.83370463094135505</v>
      </c>
      <c r="G476">
        <v>0.78350563433933496</v>
      </c>
      <c r="H476">
        <v>0.48586419465168901</v>
      </c>
      <c r="I476">
        <v>0.34061509262481898</v>
      </c>
      <c r="J476">
        <v>0.35570516650058898</v>
      </c>
      <c r="K476">
        <v>0.36733572021496602</v>
      </c>
      <c r="L476">
        <v>902.56240340672298</v>
      </c>
      <c r="M476">
        <v>15.575006924838</v>
      </c>
      <c r="N476">
        <v>61.0810242217308</v>
      </c>
      <c r="O476">
        <v>57.019314672525198</v>
      </c>
      <c r="P476">
        <v>-4.9512997670130697E-2</v>
      </c>
      <c r="Q476">
        <v>0.27500485430931398</v>
      </c>
      <c r="R476">
        <v>0.95844228058618697</v>
      </c>
      <c r="S476" t="s">
        <v>6928</v>
      </c>
      <c r="T476" t="s">
        <v>12902</v>
      </c>
      <c r="U476" t="s">
        <v>12902</v>
      </c>
      <c r="V476" t="s">
        <v>12902</v>
      </c>
      <c r="W476" t="s">
        <v>13373</v>
      </c>
      <c r="X476">
        <v>5</v>
      </c>
      <c r="Y476" t="s">
        <v>19768</v>
      </c>
      <c r="Z476" t="s">
        <v>26051</v>
      </c>
      <c r="AA476">
        <v>0.71851789768437624</v>
      </c>
      <c r="AB476" t="str">
        <f>HYPERLINK("Melting_Curves/meltCurve_E7EW77_ABI2.pdf", "Melting_Curves/meltCurve_E7EW77_ABI2.pdf")</f>
        <v>Melting_Curves/meltCurve_E7EW77_ABI2.pdf</v>
      </c>
    </row>
    <row r="477" spans="1:28" x14ac:dyDescent="0.25">
      <c r="A477" t="s">
        <v>481</v>
      </c>
      <c r="B477">
        <v>0.99673306730245903</v>
      </c>
      <c r="C477">
        <v>0.85738755756416696</v>
      </c>
      <c r="D477">
        <v>0.72508691277429105</v>
      </c>
      <c r="E477">
        <v>0.28298954213984001</v>
      </c>
      <c r="F477">
        <v>0.197890865168354</v>
      </c>
      <c r="G477">
        <v>0.134523390344715</v>
      </c>
      <c r="H477">
        <v>0.107054024401648</v>
      </c>
      <c r="I477">
        <v>9.8445592797335293E-2</v>
      </c>
      <c r="J477">
        <v>0.112301573827503</v>
      </c>
      <c r="K477">
        <v>0.13346849458256299</v>
      </c>
      <c r="L477">
        <v>1090.25478124817</v>
      </c>
      <c r="M477">
        <v>23.1392762246955</v>
      </c>
      <c r="N477">
        <v>47.644508504821097</v>
      </c>
      <c r="O477">
        <v>46.769389813490399</v>
      </c>
      <c r="P477">
        <v>-0.109714481167255</v>
      </c>
      <c r="Q477">
        <v>0.11299118818537</v>
      </c>
      <c r="R477">
        <v>0.991749661315245</v>
      </c>
      <c r="S477" t="s">
        <v>6929</v>
      </c>
      <c r="T477" t="s">
        <v>12902</v>
      </c>
      <c r="U477" t="s">
        <v>12902</v>
      </c>
      <c r="V477" t="s">
        <v>12902</v>
      </c>
      <c r="W477" t="s">
        <v>13374</v>
      </c>
      <c r="X477">
        <v>6</v>
      </c>
      <c r="Y477" t="s">
        <v>19769</v>
      </c>
      <c r="Z477" t="s">
        <v>26052</v>
      </c>
      <c r="AA477">
        <v>0.33279082688111811</v>
      </c>
      <c r="AB477" t="str">
        <f>HYPERLINK("Melting_Curves/meltCurve_E7EW84_EXOC6.pdf", "Melting_Curves/meltCurve_E7EW84_EXOC6.pdf")</f>
        <v>Melting_Curves/meltCurve_E7EW84_EXOC6.pdf</v>
      </c>
    </row>
    <row r="478" spans="1:28" x14ac:dyDescent="0.25">
      <c r="A478" t="s">
        <v>482</v>
      </c>
      <c r="B478">
        <v>0.99673306730245903</v>
      </c>
      <c r="C478">
        <v>1.02256804235155</v>
      </c>
      <c r="D478">
        <v>0.99271496907864398</v>
      </c>
      <c r="E478">
        <v>0.90520084007636503</v>
      </c>
      <c r="F478">
        <v>0.75989281898796701</v>
      </c>
      <c r="G478">
        <v>0.48350857790872498</v>
      </c>
      <c r="H478">
        <v>0.13253888775353201</v>
      </c>
      <c r="I478">
        <v>6.7579736691166306E-2</v>
      </c>
      <c r="J478">
        <v>5.5590951672651802E-2</v>
      </c>
      <c r="K478">
        <v>4.1743558810116599E-2</v>
      </c>
      <c r="L478">
        <v>1187.8061702917901</v>
      </c>
      <c r="M478">
        <v>21.152730906021102</v>
      </c>
      <c r="N478">
        <v>56.212707061655401</v>
      </c>
      <c r="O478">
        <v>55.659148784506698</v>
      </c>
      <c r="P478">
        <v>-9.3971093721638796E-2</v>
      </c>
      <c r="Q478">
        <v>1.0961816334495E-2</v>
      </c>
      <c r="R478">
        <v>0.99656731549045596</v>
      </c>
      <c r="S478" t="s">
        <v>6930</v>
      </c>
      <c r="T478" t="s">
        <v>12902</v>
      </c>
      <c r="U478" t="s">
        <v>12902</v>
      </c>
      <c r="V478" t="s">
        <v>12902</v>
      </c>
      <c r="W478" t="s">
        <v>13375</v>
      </c>
      <c r="X478">
        <v>6</v>
      </c>
      <c r="Y478" t="s">
        <v>19770</v>
      </c>
      <c r="Z478" t="s">
        <v>26053</v>
      </c>
      <c r="AA478">
        <v>0.55523562405161253</v>
      </c>
      <c r="AB478" t="str">
        <f>HYPERLINK("Melting_Curves/meltCurve_E7EWM3_ZMIZ2.pdf", "Melting_Curves/meltCurve_E7EWM3_ZMIZ2.pdf")</f>
        <v>Melting_Curves/meltCurve_E7EWM3_ZMIZ2.pdf</v>
      </c>
    </row>
    <row r="479" spans="1:28" x14ac:dyDescent="0.25">
      <c r="A479" t="s">
        <v>483</v>
      </c>
      <c r="B479">
        <v>0.99673306730245903</v>
      </c>
      <c r="C479">
        <v>1.02778673231949</v>
      </c>
      <c r="D479">
        <v>0.91108291420823395</v>
      </c>
      <c r="E479">
        <v>0.77801581710599799</v>
      </c>
      <c r="F479">
        <v>0.50234885223159298</v>
      </c>
      <c r="G479">
        <v>0.34311558444681201</v>
      </c>
      <c r="H479">
        <v>0.23550899197769101</v>
      </c>
      <c r="I479">
        <v>0.18837022414952201</v>
      </c>
      <c r="J479">
        <v>0.153496985147793</v>
      </c>
      <c r="K479">
        <v>0.118096828884433</v>
      </c>
      <c r="L479">
        <v>851.45813625327105</v>
      </c>
      <c r="M479">
        <v>16.169733160704901</v>
      </c>
      <c r="N479">
        <v>53.639358805353503</v>
      </c>
      <c r="O479">
        <v>51.8718908369977</v>
      </c>
      <c r="P479">
        <v>-6.7953473921896504E-2</v>
      </c>
      <c r="Q479">
        <v>0.128096951241708</v>
      </c>
      <c r="R479">
        <v>0.99618261870275304</v>
      </c>
      <c r="S479" t="s">
        <v>6931</v>
      </c>
      <c r="T479" t="s">
        <v>12902</v>
      </c>
      <c r="U479" t="s">
        <v>12902</v>
      </c>
      <c r="V479" t="s">
        <v>12902</v>
      </c>
      <c r="W479" t="s">
        <v>13376</v>
      </c>
      <c r="X479">
        <v>5</v>
      </c>
      <c r="Y479" t="s">
        <v>19771</v>
      </c>
      <c r="Z479" t="s">
        <v>26054</v>
      </c>
      <c r="AA479">
        <v>0.51298890454118362</v>
      </c>
      <c r="AB479" t="str">
        <f>HYPERLINK("Melting_Curves/meltCurve_E7EWP0_NDUFB5.pdf", "Melting_Curves/meltCurve_E7EWP0_NDUFB5.pdf")</f>
        <v>Melting_Curves/meltCurve_E7EWP0_NDUFB5.pdf</v>
      </c>
    </row>
    <row r="480" spans="1:28" x14ac:dyDescent="0.25">
      <c r="A480" t="s">
        <v>484</v>
      </c>
      <c r="B480">
        <v>0.99673306730245903</v>
      </c>
      <c r="C480">
        <v>0.963569729354814</v>
      </c>
      <c r="D480">
        <v>0.91810602942177</v>
      </c>
      <c r="E480">
        <v>0.78163844968876495</v>
      </c>
      <c r="F480">
        <v>0.28878115482342698</v>
      </c>
      <c r="G480">
        <v>0.15927425608793</v>
      </c>
      <c r="H480">
        <v>0.139946009970779</v>
      </c>
      <c r="I480">
        <v>0.181504696442358</v>
      </c>
      <c r="J480">
        <v>0.218316265605669</v>
      </c>
      <c r="K480">
        <v>0.16934805971341799</v>
      </c>
      <c r="L480">
        <v>1995.8072444649299</v>
      </c>
      <c r="M480">
        <v>39.270875971635199</v>
      </c>
      <c r="N480">
        <v>51.366979111168099</v>
      </c>
      <c r="O480">
        <v>50.690326510643899</v>
      </c>
      <c r="P480">
        <v>-0.16066178293262401</v>
      </c>
      <c r="Q480">
        <v>0.170481663988718</v>
      </c>
      <c r="R480">
        <v>0.99217164232664801</v>
      </c>
      <c r="S480" t="s">
        <v>6932</v>
      </c>
      <c r="T480" t="s">
        <v>12902</v>
      </c>
      <c r="U480" t="s">
        <v>12902</v>
      </c>
      <c r="V480" t="s">
        <v>12902</v>
      </c>
      <c r="W480" t="s">
        <v>13377</v>
      </c>
      <c r="X480">
        <v>5</v>
      </c>
      <c r="Y480" t="s">
        <v>19772</v>
      </c>
      <c r="Z480" t="s">
        <v>26055</v>
      </c>
      <c r="AA480">
        <v>0.4727285567714547</v>
      </c>
      <c r="AB480" t="str">
        <f>HYPERLINK("Melting_Curves/meltCurve_E7EWX6_SIRT2.pdf", "Melting_Curves/meltCurve_E7EWX6_SIRT2.pdf")</f>
        <v>Melting_Curves/meltCurve_E7EWX6_SIRT2.pdf</v>
      </c>
    </row>
    <row r="481" spans="1:28" x14ac:dyDescent="0.25">
      <c r="A481" t="s">
        <v>485</v>
      </c>
      <c r="B481">
        <v>0.99673306730245903</v>
      </c>
      <c r="C481">
        <v>1.0528612338976899</v>
      </c>
      <c r="D481">
        <v>0.81174277448686905</v>
      </c>
      <c r="E481">
        <v>0.87785883914391005</v>
      </c>
      <c r="F481">
        <v>0.53687925300291806</v>
      </c>
      <c r="G481">
        <v>9.9657110869093596E-2</v>
      </c>
      <c r="H481">
        <v>5.3318995458697303E-2</v>
      </c>
      <c r="I481">
        <v>5.4509968460041601E-2</v>
      </c>
      <c r="J481">
        <v>4.7268837526691199E-2</v>
      </c>
      <c r="K481">
        <v>3.4428059322391701E-2</v>
      </c>
      <c r="L481">
        <v>1549.17717410103</v>
      </c>
      <c r="M481">
        <v>29.184043706272199</v>
      </c>
      <c r="N481">
        <v>53.199082160644203</v>
      </c>
      <c r="O481">
        <v>52.835655283764801</v>
      </c>
      <c r="P481">
        <v>-0.13383073143964799</v>
      </c>
      <c r="Q481">
        <v>3.0842649955959499E-2</v>
      </c>
      <c r="R481">
        <v>0.97743861525887099</v>
      </c>
      <c r="S481" t="s">
        <v>6933</v>
      </c>
      <c r="T481" t="s">
        <v>12902</v>
      </c>
      <c r="U481" t="s">
        <v>12902</v>
      </c>
      <c r="V481" t="s">
        <v>12902</v>
      </c>
      <c r="W481" t="s">
        <v>13378</v>
      </c>
      <c r="X481">
        <v>6</v>
      </c>
      <c r="Y481" t="s">
        <v>19773</v>
      </c>
      <c r="Z481" t="s">
        <v>26056</v>
      </c>
      <c r="AA481">
        <v>0.46013306092005701</v>
      </c>
      <c r="AB481" t="str">
        <f>HYPERLINK("Melting_Curves/meltCurve_E7EX01_MPP2.pdf", "Melting_Curves/meltCurve_E7EX01_MPP2.pdf")</f>
        <v>Melting_Curves/meltCurve_E7EX01_MPP2.pdf</v>
      </c>
    </row>
    <row r="482" spans="1:28" x14ac:dyDescent="0.25">
      <c r="A482" t="s">
        <v>486</v>
      </c>
      <c r="B482">
        <v>0.99673306730245903</v>
      </c>
      <c r="C482">
        <v>0.964873064644161</v>
      </c>
      <c r="D482">
        <v>1.02473929181535</v>
      </c>
      <c r="E482">
        <v>0.95082687907792196</v>
      </c>
      <c r="F482">
        <v>0.92349564654850402</v>
      </c>
      <c r="G482">
        <v>0.83208563646205103</v>
      </c>
      <c r="H482">
        <v>0.80012067180518998</v>
      </c>
      <c r="I482">
        <v>1.2667444663980101</v>
      </c>
      <c r="J482">
        <v>1.72006610038803</v>
      </c>
      <c r="K482">
        <v>1.6669257482111099</v>
      </c>
      <c r="L482">
        <v>15000</v>
      </c>
      <c r="M482">
        <v>234.50924740024101</v>
      </c>
      <c r="O482">
        <v>63.958710381653702</v>
      </c>
      <c r="P482">
        <v>0.45832155849362899</v>
      </c>
      <c r="Q482">
        <v>1.5</v>
      </c>
      <c r="R482">
        <v>0.84247227197901797</v>
      </c>
      <c r="S482" t="s">
        <v>6934</v>
      </c>
      <c r="T482" t="s">
        <v>12902</v>
      </c>
      <c r="U482" t="s">
        <v>12902</v>
      </c>
      <c r="V482" t="s">
        <v>12902</v>
      </c>
      <c r="W482" t="s">
        <v>13379</v>
      </c>
      <c r="X482">
        <v>60</v>
      </c>
      <c r="Y482" t="s">
        <v>19774</v>
      </c>
      <c r="Z482" t="s">
        <v>26057</v>
      </c>
      <c r="AA482">
        <v>1.100546835797968</v>
      </c>
      <c r="AB482" t="str">
        <f>HYPERLINK("Melting_Curves/meltCurve_E7EX17_EIF4B.pdf", "Melting_Curves/meltCurve_E7EX17_EIF4B.pdf")</f>
        <v>Melting_Curves/meltCurve_E7EX17_EIF4B.pdf</v>
      </c>
    </row>
    <row r="483" spans="1:28" x14ac:dyDescent="0.25">
      <c r="A483" t="s">
        <v>487</v>
      </c>
      <c r="B483">
        <v>0.99673306730245903</v>
      </c>
      <c r="C483">
        <v>0.96187052387343297</v>
      </c>
      <c r="D483">
        <v>1.11198238619609</v>
      </c>
      <c r="E483">
        <v>1.47617264039826</v>
      </c>
      <c r="F483">
        <v>2.00126317325382</v>
      </c>
      <c r="G483">
        <v>1.8340999694723701</v>
      </c>
      <c r="H483">
        <v>0.50898731362358096</v>
      </c>
      <c r="I483">
        <v>0.27759633712281001</v>
      </c>
      <c r="J483">
        <v>0.205598551494835</v>
      </c>
      <c r="K483">
        <v>0.159277075216717</v>
      </c>
      <c r="L483">
        <v>11760.656893511999</v>
      </c>
      <c r="M483">
        <v>193.94177701764201</v>
      </c>
      <c r="N483">
        <v>60.815470047654799</v>
      </c>
      <c r="O483">
        <v>60.633694256471998</v>
      </c>
      <c r="P483">
        <v>-0.62840670279510802</v>
      </c>
      <c r="Q483">
        <v>0.21414312313200901</v>
      </c>
      <c r="R483">
        <v>0.51566439673486297</v>
      </c>
      <c r="S483" t="s">
        <v>6935</v>
      </c>
      <c r="T483" t="s">
        <v>12902</v>
      </c>
      <c r="U483" t="s">
        <v>12902</v>
      </c>
      <c r="V483" t="s">
        <v>12902</v>
      </c>
      <c r="W483" t="s">
        <v>13380</v>
      </c>
      <c r="X483">
        <v>21</v>
      </c>
      <c r="Y483" t="s">
        <v>19775</v>
      </c>
      <c r="Z483" t="s">
        <v>26058</v>
      </c>
      <c r="AA483">
        <v>0.7549553616823439</v>
      </c>
      <c r="AB483" t="str">
        <f>HYPERLINK("Melting_Curves/meltCurve_E7EX59_PCCB.pdf", "Melting_Curves/meltCurve_E7EX59_PCCB.pdf")</f>
        <v>Melting_Curves/meltCurve_E7EX59_PCCB.pdf</v>
      </c>
    </row>
    <row r="484" spans="1:28" x14ac:dyDescent="0.25">
      <c r="A484" t="s">
        <v>488</v>
      </c>
      <c r="B484">
        <v>0.99673306730245903</v>
      </c>
      <c r="C484">
        <v>0.88085402750368602</v>
      </c>
      <c r="D484">
        <v>0.78626061652812795</v>
      </c>
      <c r="E484">
        <v>0.42043148499704702</v>
      </c>
      <c r="F484">
        <v>0.21487213325339599</v>
      </c>
      <c r="G484">
        <v>0.148276466261407</v>
      </c>
      <c r="H484">
        <v>0.103987366345068</v>
      </c>
      <c r="I484">
        <v>9.8740255616999298E-2</v>
      </c>
      <c r="J484">
        <v>0.13557106078945899</v>
      </c>
      <c r="K484">
        <v>0.115340902428472</v>
      </c>
      <c r="L484">
        <v>987.11462892780298</v>
      </c>
      <c r="M484">
        <v>20.479961217977898</v>
      </c>
      <c r="N484">
        <v>48.773150680065598</v>
      </c>
      <c r="O484">
        <v>47.746558780320001</v>
      </c>
      <c r="P484">
        <v>-9.5750632322352494E-2</v>
      </c>
      <c r="Q484">
        <v>0.107102268320888</v>
      </c>
      <c r="R484">
        <v>0.99562544294437705</v>
      </c>
      <c r="S484" t="s">
        <v>6936</v>
      </c>
      <c r="T484" t="s">
        <v>12902</v>
      </c>
      <c r="U484" t="s">
        <v>12902</v>
      </c>
      <c r="V484" t="s">
        <v>12902</v>
      </c>
      <c r="W484" t="s">
        <v>13381</v>
      </c>
      <c r="X484">
        <v>36</v>
      </c>
      <c r="Y484" t="s">
        <v>19776</v>
      </c>
      <c r="Z484" t="s">
        <v>26059</v>
      </c>
      <c r="AA484">
        <v>0.36315791027835581</v>
      </c>
      <c r="AB484" t="str">
        <f>HYPERLINK("Melting_Curves/meltCurve_E7EX90_DCTN1.pdf", "Melting_Curves/meltCurve_E7EX90_DCTN1.pdf")</f>
        <v>Melting_Curves/meltCurve_E7EX90_DCTN1.pdf</v>
      </c>
    </row>
    <row r="485" spans="1:28" x14ac:dyDescent="0.25">
      <c r="A485" t="s">
        <v>489</v>
      </c>
      <c r="B485">
        <v>0.99673306730245903</v>
      </c>
      <c r="C485">
        <v>0.97055147234587302</v>
      </c>
      <c r="D485">
        <v>0.98549833558776301</v>
      </c>
      <c r="E485">
        <v>0.99366609303153297</v>
      </c>
      <c r="F485">
        <v>0.86635558126726597</v>
      </c>
      <c r="G485">
        <v>0.65328531048919902</v>
      </c>
      <c r="H485">
        <v>0.26404501558343202</v>
      </c>
      <c r="I485">
        <v>0.114968923279868</v>
      </c>
      <c r="J485">
        <v>8.8860208598945806E-2</v>
      </c>
      <c r="K485">
        <v>7.1096023756283405E-2</v>
      </c>
      <c r="L485">
        <v>1407.8945782876301</v>
      </c>
      <c r="M485">
        <v>24.333815403239502</v>
      </c>
      <c r="N485">
        <v>58.100827868202401</v>
      </c>
      <c r="O485">
        <v>57.471038589169801</v>
      </c>
      <c r="P485">
        <v>-0.100726647949305</v>
      </c>
      <c r="Q485">
        <v>4.8438834762072003E-2</v>
      </c>
      <c r="R485">
        <v>0.99792146785316904</v>
      </c>
      <c r="S485" t="s">
        <v>6937</v>
      </c>
      <c r="T485" t="s">
        <v>12902</v>
      </c>
      <c r="U485" t="s">
        <v>12902</v>
      </c>
      <c r="V485" t="s">
        <v>12902</v>
      </c>
      <c r="W485" t="s">
        <v>13382</v>
      </c>
      <c r="X485">
        <v>17</v>
      </c>
      <c r="Y485" t="s">
        <v>19777</v>
      </c>
      <c r="Z485" t="s">
        <v>26060</v>
      </c>
      <c r="AA485">
        <v>0.62350508533430682</v>
      </c>
      <c r="AB485" t="str">
        <f>HYPERLINK("Melting_Curves/meltCurve_E9PAL9_NT5DC2.pdf", "Melting_Curves/meltCurve_E9PAL9_NT5DC2.pdf")</f>
        <v>Melting_Curves/meltCurve_E9PAL9_NT5DC2.pdf</v>
      </c>
    </row>
    <row r="486" spans="1:28" x14ac:dyDescent="0.25">
      <c r="A486" t="s">
        <v>490</v>
      </c>
      <c r="B486">
        <v>0.99673306730245903</v>
      </c>
      <c r="C486">
        <v>0.825129262977773</v>
      </c>
      <c r="D486">
        <v>0.432433547937144</v>
      </c>
      <c r="E486">
        <v>0.18085980570762999</v>
      </c>
      <c r="F486">
        <v>0.118636668731017</v>
      </c>
      <c r="G486">
        <v>7.3831810713043594E-2</v>
      </c>
      <c r="H486">
        <v>4.7649270870397602E-2</v>
      </c>
      <c r="I486">
        <v>3.5986181892119599E-2</v>
      </c>
      <c r="J486">
        <v>4.2653688360076603E-2</v>
      </c>
      <c r="K486">
        <v>3.77721175572324E-2</v>
      </c>
      <c r="L486">
        <v>1095.7565492246699</v>
      </c>
      <c r="M486">
        <v>24.126118629606498</v>
      </c>
      <c r="N486">
        <v>45.633281736891199</v>
      </c>
      <c r="O486">
        <v>45.109259775849203</v>
      </c>
      <c r="P486">
        <v>-0.126514460731805</v>
      </c>
      <c r="Q486">
        <v>5.3824333619124198E-2</v>
      </c>
      <c r="R486">
        <v>0.99621053685945304</v>
      </c>
      <c r="S486" t="s">
        <v>6938</v>
      </c>
      <c r="T486" t="s">
        <v>12902</v>
      </c>
      <c r="U486" t="s">
        <v>12902</v>
      </c>
      <c r="V486" t="s">
        <v>12902</v>
      </c>
      <c r="W486" t="s">
        <v>13383</v>
      </c>
      <c r="X486">
        <v>15</v>
      </c>
      <c r="Y486" t="s">
        <v>19778</v>
      </c>
      <c r="Z486" t="s">
        <v>26061</v>
      </c>
      <c r="AA486">
        <v>0.23457164010913359</v>
      </c>
      <c r="AB486" t="str">
        <f>HYPERLINK("Melting_Curves/meltCurve_E9PAU2_RAVER1.pdf", "Melting_Curves/meltCurve_E9PAU2_RAVER1.pdf")</f>
        <v>Melting_Curves/meltCurve_E9PAU2_RAVER1.pdf</v>
      </c>
    </row>
    <row r="487" spans="1:28" x14ac:dyDescent="0.25">
      <c r="A487" t="s">
        <v>491</v>
      </c>
      <c r="B487">
        <v>0.99673306730245903</v>
      </c>
      <c r="C487">
        <v>0.78413982869606802</v>
      </c>
      <c r="D487">
        <v>0.61300183814501796</v>
      </c>
      <c r="E487">
        <v>0.441689337227403</v>
      </c>
      <c r="F487">
        <v>0.26935714909108599</v>
      </c>
      <c r="G487">
        <v>0.14869204026899499</v>
      </c>
      <c r="H487">
        <v>7.57966196289762E-2</v>
      </c>
      <c r="I487">
        <v>6.4729464467955397E-2</v>
      </c>
      <c r="J487">
        <v>9.36823307038359E-2</v>
      </c>
      <c r="K487">
        <v>9.3359169520924906E-2</v>
      </c>
      <c r="L487">
        <v>618.81597645493605</v>
      </c>
      <c r="M487">
        <v>12.969023692724599</v>
      </c>
      <c r="N487">
        <v>48.138595747035502</v>
      </c>
      <c r="O487">
        <v>46.623194255637799</v>
      </c>
      <c r="P487">
        <v>-6.5802958899215599E-2</v>
      </c>
      <c r="Q487">
        <v>5.3931200317206003E-2</v>
      </c>
      <c r="R487">
        <v>0.98964355187235298</v>
      </c>
      <c r="S487" t="s">
        <v>6939</v>
      </c>
      <c r="T487" t="s">
        <v>12902</v>
      </c>
      <c r="U487" t="s">
        <v>12902</v>
      </c>
      <c r="V487" t="s">
        <v>12902</v>
      </c>
      <c r="W487" t="s">
        <v>13384</v>
      </c>
      <c r="X487">
        <v>3</v>
      </c>
      <c r="Y487" t="s">
        <v>19779</v>
      </c>
      <c r="Z487" t="s">
        <v>26062</v>
      </c>
      <c r="AA487">
        <v>0.32996623613485287</v>
      </c>
      <c r="AB487" t="str">
        <f>HYPERLINK("Melting_Curves/meltCurve_E9PAV9_GPATCH4.pdf", "Melting_Curves/meltCurve_E9PAV9_GPATCH4.pdf")</f>
        <v>Melting_Curves/meltCurve_E9PAV9_GPATCH4.pdf</v>
      </c>
    </row>
    <row r="488" spans="1:28" x14ac:dyDescent="0.25">
      <c r="A488" t="s">
        <v>492</v>
      </c>
      <c r="B488">
        <v>0.99673306730245903</v>
      </c>
      <c r="C488">
        <v>0.94788095458411603</v>
      </c>
      <c r="D488">
        <v>0.83517400216018201</v>
      </c>
      <c r="E488">
        <v>0.710271404567691</v>
      </c>
      <c r="F488">
        <v>0.66301871318816596</v>
      </c>
      <c r="G488">
        <v>0.63879743648958398</v>
      </c>
      <c r="H488">
        <v>0.54667490658295104</v>
      </c>
      <c r="I488">
        <v>0.87971260497129</v>
      </c>
      <c r="J488">
        <v>1.24631483071011</v>
      </c>
      <c r="K488">
        <v>1.30675561988237</v>
      </c>
      <c r="L488">
        <v>15000</v>
      </c>
      <c r="M488">
        <v>224.94985865902899</v>
      </c>
      <c r="O488">
        <v>66.676279927705295</v>
      </c>
      <c r="P488">
        <v>0.258769496868335</v>
      </c>
      <c r="Q488">
        <v>1.30680226080287</v>
      </c>
      <c r="R488">
        <v>6.5365331479467796E-3</v>
      </c>
      <c r="S488" t="s">
        <v>6940</v>
      </c>
      <c r="T488" t="s">
        <v>12902</v>
      </c>
      <c r="U488" t="s">
        <v>12902</v>
      </c>
      <c r="V488" t="s">
        <v>12902</v>
      </c>
      <c r="W488" t="s">
        <v>13385</v>
      </c>
      <c r="X488">
        <v>1</v>
      </c>
      <c r="Y488" t="s">
        <v>19780</v>
      </c>
      <c r="Z488" t="s">
        <v>26063</v>
      </c>
      <c r="AA488">
        <v>1.033892902017405</v>
      </c>
      <c r="AB488" t="str">
        <f>HYPERLINK("Melting_Curves/meltCurve_E9PB28_HES4.pdf", "Melting_Curves/meltCurve_E9PB28_HES4.pdf")</f>
        <v>Melting_Curves/meltCurve_E9PB28_HES4.pdf</v>
      </c>
    </row>
    <row r="489" spans="1:28" x14ac:dyDescent="0.25">
      <c r="A489" t="s">
        <v>493</v>
      </c>
      <c r="B489">
        <v>0.99673306730245903</v>
      </c>
      <c r="C489">
        <v>0.93891184227775704</v>
      </c>
      <c r="D489">
        <v>0.94323325388731205</v>
      </c>
      <c r="E489">
        <v>0.92749297241988804</v>
      </c>
      <c r="F489">
        <v>0.76552770673609405</v>
      </c>
      <c r="G489">
        <v>0.51034907843666499</v>
      </c>
      <c r="H489">
        <v>0.28454930345493801</v>
      </c>
      <c r="I489">
        <v>0.33614066870604298</v>
      </c>
      <c r="J489">
        <v>0.43849067978499001</v>
      </c>
      <c r="K489">
        <v>0.49639719677045202</v>
      </c>
      <c r="L489">
        <v>1743.8427893506901</v>
      </c>
      <c r="M489">
        <v>32.370082593481598</v>
      </c>
      <c r="N489">
        <v>56.515283826653302</v>
      </c>
      <c r="O489">
        <v>53.667688643083203</v>
      </c>
      <c r="P489">
        <v>-9.1984886400751795E-2</v>
      </c>
      <c r="Q489">
        <v>0.38998075378827601</v>
      </c>
      <c r="R489">
        <v>0.94272343914405099</v>
      </c>
      <c r="S489" t="s">
        <v>6941</v>
      </c>
      <c r="T489" t="s">
        <v>12902</v>
      </c>
      <c r="U489" t="s">
        <v>12902</v>
      </c>
      <c r="V489" t="s">
        <v>12902</v>
      </c>
      <c r="W489" t="s">
        <v>13386</v>
      </c>
      <c r="X489">
        <v>9</v>
      </c>
      <c r="Y489" t="s">
        <v>19781</v>
      </c>
      <c r="Z489" t="s">
        <v>26064</v>
      </c>
      <c r="AA489">
        <v>0.67550512250187633</v>
      </c>
      <c r="AB489" t="str">
        <f>HYPERLINK("Melting_Curves/meltCurve_E9PB61_ALYREF.pdf", "Melting_Curves/meltCurve_E9PB61_ALYREF.pdf")</f>
        <v>Melting_Curves/meltCurve_E9PB61_ALYREF.pdf</v>
      </c>
    </row>
    <row r="490" spans="1:28" x14ac:dyDescent="0.25">
      <c r="A490" t="s">
        <v>494</v>
      </c>
      <c r="B490">
        <v>0.99673306730245903</v>
      </c>
      <c r="C490">
        <v>0.89200417817510003</v>
      </c>
      <c r="D490">
        <v>0.82436911330317098</v>
      </c>
      <c r="E490">
        <v>0.60955277211067604</v>
      </c>
      <c r="F490">
        <v>0.44135523274954402</v>
      </c>
      <c r="G490">
        <v>0.288905991667471</v>
      </c>
      <c r="H490">
        <v>0.17140386617602399</v>
      </c>
      <c r="I490">
        <v>7.8631824926243696E-2</v>
      </c>
      <c r="J490">
        <v>6.6696864514567106E-2</v>
      </c>
      <c r="K490">
        <v>4.3169552959237599E-2</v>
      </c>
      <c r="L490">
        <v>589.75673691607597</v>
      </c>
      <c r="M490">
        <v>11.3588439892241</v>
      </c>
      <c r="N490">
        <v>51.920472422699497</v>
      </c>
      <c r="O490">
        <v>50.389376390058501</v>
      </c>
      <c r="P490">
        <v>-5.6372170825897003E-2</v>
      </c>
      <c r="Q490">
        <v>0</v>
      </c>
      <c r="R490">
        <v>0.99734400506878096</v>
      </c>
      <c r="S490" t="s">
        <v>6942</v>
      </c>
      <c r="T490" t="s">
        <v>12902</v>
      </c>
      <c r="U490" t="s">
        <v>12902</v>
      </c>
      <c r="V490" t="s">
        <v>12902</v>
      </c>
      <c r="W490" t="s">
        <v>13387</v>
      </c>
      <c r="X490">
        <v>3</v>
      </c>
      <c r="Y490" t="s">
        <v>19782</v>
      </c>
      <c r="Z490" t="s">
        <v>26065</v>
      </c>
      <c r="AA490">
        <v>0.43032996865758683</v>
      </c>
      <c r="AB490" t="str">
        <f>HYPERLINK("Melting_Curves/meltCurve_E9PBR6_TMEM201.pdf", "Melting_Curves/meltCurve_E9PBR6_TMEM201.pdf")</f>
        <v>Melting_Curves/meltCurve_E9PBR6_TMEM201.pdf</v>
      </c>
    </row>
    <row r="491" spans="1:28" x14ac:dyDescent="0.25">
      <c r="A491" t="s">
        <v>495</v>
      </c>
      <c r="B491">
        <v>0.99673306730245903</v>
      </c>
      <c r="C491">
        <v>0.943255908462451</v>
      </c>
      <c r="D491">
        <v>0.74796193870526195</v>
      </c>
      <c r="E491">
        <v>0.42698505154299599</v>
      </c>
      <c r="F491">
        <v>0.20460453115423</v>
      </c>
      <c r="G491">
        <v>0.12394884060199</v>
      </c>
      <c r="H491">
        <v>8.9556553947447798E-2</v>
      </c>
      <c r="I491">
        <v>7.8252129127789893E-2</v>
      </c>
      <c r="J491">
        <v>0.128264700011123</v>
      </c>
      <c r="K491">
        <v>0.100110003130414</v>
      </c>
      <c r="L491">
        <v>1010.36525558274</v>
      </c>
      <c r="M491">
        <v>20.952484276427199</v>
      </c>
      <c r="N491">
        <v>48.701344695623398</v>
      </c>
      <c r="O491">
        <v>47.788926099328101</v>
      </c>
      <c r="P491">
        <v>-9.93945229480038E-2</v>
      </c>
      <c r="Q491">
        <v>9.32189496375114E-2</v>
      </c>
      <c r="R491">
        <v>0.99834618466595904</v>
      </c>
      <c r="S491" t="s">
        <v>6943</v>
      </c>
      <c r="T491" t="s">
        <v>12902</v>
      </c>
      <c r="U491" t="s">
        <v>12902</v>
      </c>
      <c r="V491" t="s">
        <v>12902</v>
      </c>
      <c r="W491" t="s">
        <v>13388</v>
      </c>
      <c r="X491">
        <v>15</v>
      </c>
      <c r="Y491" t="s">
        <v>19783</v>
      </c>
      <c r="Z491" t="s">
        <v>26066</v>
      </c>
      <c r="AA491">
        <v>0.35336466837909108</v>
      </c>
      <c r="AB491" t="str">
        <f>HYPERLINK("Melting_Curves/meltCurve_E9PC62_CELF2.pdf", "Melting_Curves/meltCurve_E9PC62_CELF2.pdf")</f>
        <v>Melting_Curves/meltCurve_E9PC62_CELF2.pdf</v>
      </c>
    </row>
    <row r="492" spans="1:28" x14ac:dyDescent="0.25">
      <c r="A492" t="s">
        <v>496</v>
      </c>
      <c r="B492">
        <v>0.99673306730245903</v>
      </c>
      <c r="C492">
        <v>0.97516056229081305</v>
      </c>
      <c r="D492">
        <v>0.86046250780300604</v>
      </c>
      <c r="E492">
        <v>0.55684975683681304</v>
      </c>
      <c r="F492">
        <v>0.40016776580246899</v>
      </c>
      <c r="G492">
        <v>0.29099860229542501</v>
      </c>
      <c r="H492">
        <v>0.23464445933494599</v>
      </c>
      <c r="I492">
        <v>0.27868797699919101</v>
      </c>
      <c r="J492">
        <v>0.324178162996069</v>
      </c>
      <c r="K492">
        <v>0.34938913338294803</v>
      </c>
      <c r="L492">
        <v>1184.0108077346799</v>
      </c>
      <c r="M492">
        <v>24.346874265751101</v>
      </c>
      <c r="N492">
        <v>50.470035425784502</v>
      </c>
      <c r="O492">
        <v>48.306382328277699</v>
      </c>
      <c r="P492">
        <v>-8.8946869404481294E-2</v>
      </c>
      <c r="Q492">
        <v>0.294096022197054</v>
      </c>
      <c r="R492">
        <v>0.98811547810010703</v>
      </c>
      <c r="S492" t="s">
        <v>6944</v>
      </c>
      <c r="T492" t="s">
        <v>12902</v>
      </c>
      <c r="U492" t="s">
        <v>12902</v>
      </c>
      <c r="V492" t="s">
        <v>12902</v>
      </c>
      <c r="W492" t="s">
        <v>13389</v>
      </c>
      <c r="X492">
        <v>6</v>
      </c>
      <c r="Y492" t="s">
        <v>19784</v>
      </c>
      <c r="Z492" t="s">
        <v>26067</v>
      </c>
      <c r="AA492">
        <v>0.50377975577273804</v>
      </c>
      <c r="AB492" t="str">
        <f>HYPERLINK("Melting_Curves/meltCurve_E9PC69_MARK2.pdf", "Melting_Curves/meltCurve_E9PC69_MARK2.pdf")</f>
        <v>Melting_Curves/meltCurve_E9PC69_MARK2.pdf</v>
      </c>
    </row>
    <row r="493" spans="1:28" x14ac:dyDescent="0.25">
      <c r="A493" t="s">
        <v>497</v>
      </c>
      <c r="B493">
        <v>0.99673306730245903</v>
      </c>
      <c r="C493">
        <v>0.87418030941864899</v>
      </c>
      <c r="D493">
        <v>0.85453734605003995</v>
      </c>
      <c r="E493">
        <v>0.81274281804622595</v>
      </c>
      <c r="F493">
        <v>0.28891890841760498</v>
      </c>
      <c r="G493">
        <v>0.172789342619113</v>
      </c>
      <c r="H493">
        <v>0.11494373608422299</v>
      </c>
      <c r="I493">
        <v>0.10634243327866801</v>
      </c>
      <c r="J493">
        <v>0.12241663790825701</v>
      </c>
      <c r="K493">
        <v>0.127448450515698</v>
      </c>
      <c r="L493">
        <v>1668.49601661616</v>
      </c>
      <c r="M493">
        <v>32.580642244577497</v>
      </c>
      <c r="N493">
        <v>51.634471223083899</v>
      </c>
      <c r="O493">
        <v>51.019495443804402</v>
      </c>
      <c r="P493">
        <v>-0.14094136647910299</v>
      </c>
      <c r="Q493">
        <v>0.117178418016967</v>
      </c>
      <c r="R493">
        <v>0.97414360467185401</v>
      </c>
      <c r="S493" t="s">
        <v>6945</v>
      </c>
      <c r="T493" t="s">
        <v>12902</v>
      </c>
      <c r="U493" t="s">
        <v>12902</v>
      </c>
      <c r="V493" t="s">
        <v>12902</v>
      </c>
      <c r="W493" t="s">
        <v>13390</v>
      </c>
      <c r="X493">
        <v>11</v>
      </c>
      <c r="Y493" t="s">
        <v>19785</v>
      </c>
      <c r="Z493" t="s">
        <v>26068</v>
      </c>
      <c r="AA493">
        <v>0.4518178958391682</v>
      </c>
      <c r="AB493" t="str">
        <f>HYPERLINK("Melting_Curves/meltCurve_E9PC74_EIF2B5.pdf", "Melting_Curves/meltCurve_E9PC74_EIF2B5.pdf")</f>
        <v>Melting_Curves/meltCurve_E9PC74_EIF2B5.pdf</v>
      </c>
    </row>
    <row r="494" spans="1:28" x14ac:dyDescent="0.25">
      <c r="A494" t="s">
        <v>498</v>
      </c>
      <c r="B494">
        <v>0.99673306730245903</v>
      </c>
      <c r="C494">
        <v>0.98811305504036095</v>
      </c>
      <c r="D494">
        <v>0.98887634443583805</v>
      </c>
      <c r="E494">
        <v>0.98648670848019404</v>
      </c>
      <c r="F494">
        <v>0.86061590710828895</v>
      </c>
      <c r="G494">
        <v>0.74061387792240096</v>
      </c>
      <c r="H494">
        <v>0.433590192755542</v>
      </c>
      <c r="I494">
        <v>0.25580928465424002</v>
      </c>
      <c r="J494">
        <v>0.173734677934726</v>
      </c>
      <c r="K494">
        <v>0.123663119416022</v>
      </c>
      <c r="L494">
        <v>1052.45437724467</v>
      </c>
      <c r="M494">
        <v>17.7002279473882</v>
      </c>
      <c r="N494">
        <v>59.881848189348403</v>
      </c>
      <c r="O494">
        <v>58.716550918369798</v>
      </c>
      <c r="P494">
        <v>-7.0948692941352101E-2</v>
      </c>
      <c r="Q494">
        <v>5.8623852668989201E-2</v>
      </c>
      <c r="R494">
        <v>0.99796686183878403</v>
      </c>
      <c r="S494" t="s">
        <v>6946</v>
      </c>
      <c r="T494" t="s">
        <v>12902</v>
      </c>
      <c r="U494" t="s">
        <v>12902</v>
      </c>
      <c r="V494" t="s">
        <v>12902</v>
      </c>
      <c r="W494" t="s">
        <v>13391</v>
      </c>
      <c r="X494">
        <v>8</v>
      </c>
      <c r="Y494" t="s">
        <v>19786</v>
      </c>
      <c r="Z494" t="s">
        <v>26069</v>
      </c>
      <c r="AA494">
        <v>0.67829421243616539</v>
      </c>
      <c r="AB494" t="str">
        <f>HYPERLINK("Melting_Curves/meltCurve_E9PCD7_MAN2B2.pdf", "Melting_Curves/meltCurve_E9PCD7_MAN2B2.pdf")</f>
        <v>Melting_Curves/meltCurve_E9PCD7_MAN2B2.pdf</v>
      </c>
    </row>
    <row r="495" spans="1:28" x14ac:dyDescent="0.25">
      <c r="A495" t="s">
        <v>499</v>
      </c>
      <c r="B495">
        <v>0.99673306730245903</v>
      </c>
      <c r="C495">
        <v>0.73471989727085896</v>
      </c>
      <c r="D495">
        <v>0.64940109013158198</v>
      </c>
      <c r="E495">
        <v>0.356455863096868</v>
      </c>
      <c r="F495">
        <v>0.25994966171206602</v>
      </c>
      <c r="G495">
        <v>0.179125692954619</v>
      </c>
      <c r="H495">
        <v>0.14833105513074499</v>
      </c>
      <c r="I495">
        <v>0.13882630219043099</v>
      </c>
      <c r="J495">
        <v>0.11629989037241401</v>
      </c>
      <c r="K495">
        <v>0.13407267923441801</v>
      </c>
      <c r="L495">
        <v>681.36499232332505</v>
      </c>
      <c r="M495">
        <v>14.603605846775</v>
      </c>
      <c r="N495">
        <v>47.549808768921402</v>
      </c>
      <c r="O495">
        <v>45.808593437956702</v>
      </c>
      <c r="P495">
        <v>-7.0153022441128393E-2</v>
      </c>
      <c r="Q495">
        <v>0.119874275988427</v>
      </c>
      <c r="R495">
        <v>0.98515325755392902</v>
      </c>
      <c r="S495" t="s">
        <v>6947</v>
      </c>
      <c r="T495" t="s">
        <v>12902</v>
      </c>
      <c r="U495" t="s">
        <v>12902</v>
      </c>
      <c r="V495" t="s">
        <v>12902</v>
      </c>
      <c r="W495" t="s">
        <v>13392</v>
      </c>
      <c r="X495">
        <v>3</v>
      </c>
      <c r="Y495" t="s">
        <v>19787</v>
      </c>
      <c r="Z495" t="s">
        <v>26070</v>
      </c>
      <c r="AA495">
        <v>0.34103062500820269</v>
      </c>
      <c r="AB495" t="str">
        <f>HYPERLINK("Melting_Curves/meltCurve_E9PCH4_FNIP1.pdf", "Melting_Curves/meltCurve_E9PCH4_FNIP1.pdf")</f>
        <v>Melting_Curves/meltCurve_E9PCH4_FNIP1.pdf</v>
      </c>
    </row>
    <row r="496" spans="1:28" x14ac:dyDescent="0.25">
      <c r="A496" t="s">
        <v>500</v>
      </c>
      <c r="B496">
        <v>0.99673306730245903</v>
      </c>
      <c r="C496">
        <v>0.99823511879750204</v>
      </c>
      <c r="D496">
        <v>0.95309817926449902</v>
      </c>
      <c r="E496">
        <v>0.78857218598021595</v>
      </c>
      <c r="F496">
        <v>0.73615297019140002</v>
      </c>
      <c r="G496">
        <v>0.514310021580903</v>
      </c>
      <c r="H496">
        <v>0.347980994521565</v>
      </c>
      <c r="I496">
        <v>0.26938351800444699</v>
      </c>
      <c r="J496">
        <v>0.20640568035340301</v>
      </c>
      <c r="K496">
        <v>0.18504409262004001</v>
      </c>
      <c r="L496">
        <v>663.87435281894705</v>
      </c>
      <c r="M496">
        <v>11.8155566110945</v>
      </c>
      <c r="N496">
        <v>57.224292712592501</v>
      </c>
      <c r="O496">
        <v>54.649506917415898</v>
      </c>
      <c r="P496">
        <v>-4.8851175270831097E-2</v>
      </c>
      <c r="Q496">
        <v>9.6442317912700207E-2</v>
      </c>
      <c r="R496">
        <v>0.99412575166371597</v>
      </c>
      <c r="S496" t="s">
        <v>6948</v>
      </c>
      <c r="T496" t="s">
        <v>12902</v>
      </c>
      <c r="U496" t="s">
        <v>12902</v>
      </c>
      <c r="V496" t="s">
        <v>12902</v>
      </c>
      <c r="W496" t="s">
        <v>13393</v>
      </c>
      <c r="X496">
        <v>15</v>
      </c>
      <c r="Y496" t="s">
        <v>19788</v>
      </c>
      <c r="Z496" t="s">
        <v>26071</v>
      </c>
      <c r="AA496">
        <v>0.60189565178146864</v>
      </c>
      <c r="AB496" t="str">
        <f>HYPERLINK("Melting_Curves/meltCurve_E9PCW1_GOSR1.pdf", "Melting_Curves/meltCurve_E9PCW1_GOSR1.pdf")</f>
        <v>Melting_Curves/meltCurve_E9PCW1_GOSR1.pdf</v>
      </c>
    </row>
    <row r="497" spans="1:28" x14ac:dyDescent="0.25">
      <c r="A497" t="s">
        <v>501</v>
      </c>
      <c r="B497">
        <v>0.99673306730245903</v>
      </c>
      <c r="C497">
        <v>1.15756667685964</v>
      </c>
      <c r="D497">
        <v>0.78227069498023905</v>
      </c>
      <c r="E497">
        <v>0.44009759596723402</v>
      </c>
      <c r="F497">
        <v>0.12802841477607901</v>
      </c>
      <c r="G497">
        <v>7.4385242851105093E-2</v>
      </c>
      <c r="H497">
        <v>3.2866154455835003E-2</v>
      </c>
      <c r="I497">
        <v>3.1379401760482803E-2</v>
      </c>
      <c r="J497">
        <v>3.5570473311961899E-2</v>
      </c>
      <c r="K497">
        <v>1.9344474872892502E-2</v>
      </c>
      <c r="L497">
        <v>1294.38097021884</v>
      </c>
      <c r="M497">
        <v>26.4862250960817</v>
      </c>
      <c r="N497">
        <v>48.993765287071199</v>
      </c>
      <c r="O497">
        <v>48.593958431521699</v>
      </c>
      <c r="P497">
        <v>-0.131853946928707</v>
      </c>
      <c r="Q497">
        <v>3.23674032857411E-2</v>
      </c>
      <c r="R497">
        <v>0.97908344234147804</v>
      </c>
      <c r="S497" t="s">
        <v>6949</v>
      </c>
      <c r="T497" t="s">
        <v>12902</v>
      </c>
      <c r="U497" t="s">
        <v>12902</v>
      </c>
      <c r="V497" t="s">
        <v>12902</v>
      </c>
      <c r="W497" t="s">
        <v>13394</v>
      </c>
      <c r="X497">
        <v>1</v>
      </c>
      <c r="Y497" t="s">
        <v>19789</v>
      </c>
      <c r="Z497" t="s">
        <v>26072</v>
      </c>
      <c r="AA497">
        <v>0.32606700211769341</v>
      </c>
      <c r="AB497" t="str">
        <f>HYPERLINK("Melting_Curves/meltCurve_E9PD25_TLL1.pdf", "Melting_Curves/meltCurve_E9PD25_TLL1.pdf")</f>
        <v>Melting_Curves/meltCurve_E9PD25_TLL1.pdf</v>
      </c>
    </row>
    <row r="498" spans="1:28" x14ac:dyDescent="0.25">
      <c r="A498" t="s">
        <v>502</v>
      </c>
      <c r="B498">
        <v>0.99673306730245903</v>
      </c>
      <c r="C498">
        <v>0.78570726514582301</v>
      </c>
      <c r="D498">
        <v>0.47714861423343102</v>
      </c>
      <c r="E498">
        <v>0.28398669450516201</v>
      </c>
      <c r="F498">
        <v>0.18538387286005301</v>
      </c>
      <c r="G498">
        <v>0.117159995401611</v>
      </c>
      <c r="H498">
        <v>7.35700999007559E-2</v>
      </c>
      <c r="I498">
        <v>9.0063229867458197E-2</v>
      </c>
      <c r="J498">
        <v>0.10642833964177</v>
      </c>
      <c r="K498">
        <v>0.10386526919094199</v>
      </c>
      <c r="L498">
        <v>871.15898468221496</v>
      </c>
      <c r="M498">
        <v>19.115625226068399</v>
      </c>
      <c r="N498">
        <v>46.104899573199901</v>
      </c>
      <c r="O498">
        <v>45.083175578028303</v>
      </c>
      <c r="P498">
        <v>-9.5518582071746294E-2</v>
      </c>
      <c r="Q498">
        <v>9.8933289287460299E-2</v>
      </c>
      <c r="R498">
        <v>0.99254560153462401</v>
      </c>
      <c r="S498" t="s">
        <v>6950</v>
      </c>
      <c r="T498" t="s">
        <v>12902</v>
      </c>
      <c r="U498" t="s">
        <v>12902</v>
      </c>
      <c r="V498" t="s">
        <v>12902</v>
      </c>
      <c r="W498" t="s">
        <v>13395</v>
      </c>
      <c r="X498">
        <v>4</v>
      </c>
      <c r="Y498" t="s">
        <v>19790</v>
      </c>
      <c r="Z498" t="s">
        <v>26073</v>
      </c>
      <c r="AA498">
        <v>0.28231353788191282</v>
      </c>
      <c r="AB498" t="str">
        <f>HYPERLINK("Melting_Curves/meltCurve_E9PD90_CKAP2.pdf", "Melting_Curves/meltCurve_E9PD90_CKAP2.pdf")</f>
        <v>Melting_Curves/meltCurve_E9PD90_CKAP2.pdf</v>
      </c>
    </row>
    <row r="499" spans="1:28" x14ac:dyDescent="0.25">
      <c r="A499" t="s">
        <v>503</v>
      </c>
      <c r="B499">
        <v>0.99673306730245903</v>
      </c>
      <c r="C499">
        <v>0.93255599880114104</v>
      </c>
      <c r="D499">
        <v>0.78616999391771303</v>
      </c>
      <c r="E499">
        <v>0.70392178806329997</v>
      </c>
      <c r="F499">
        <v>0.51197922232591098</v>
      </c>
      <c r="G499">
        <v>0.32135287526401601</v>
      </c>
      <c r="H499">
        <v>0.21896302739168799</v>
      </c>
      <c r="I499">
        <v>0.26547532120338702</v>
      </c>
      <c r="J499">
        <v>0.37878632420047098</v>
      </c>
      <c r="K499">
        <v>0.34459913205861997</v>
      </c>
      <c r="L499">
        <v>783.03929445623305</v>
      </c>
      <c r="M499">
        <v>15.729982596538999</v>
      </c>
      <c r="N499">
        <v>52.554734549094903</v>
      </c>
      <c r="O499">
        <v>48.996322474856697</v>
      </c>
      <c r="P499">
        <v>-5.7625788063559502E-2</v>
      </c>
      <c r="Q499">
        <v>0.282080426783265</v>
      </c>
      <c r="R499">
        <v>0.95585526258974896</v>
      </c>
      <c r="S499" t="s">
        <v>6951</v>
      </c>
      <c r="T499" t="s">
        <v>12902</v>
      </c>
      <c r="U499" t="s">
        <v>12902</v>
      </c>
      <c r="V499" t="s">
        <v>12902</v>
      </c>
      <c r="W499" t="s">
        <v>13396</v>
      </c>
      <c r="X499">
        <v>8</v>
      </c>
      <c r="Y499" t="s">
        <v>19791</v>
      </c>
      <c r="Z499" t="s">
        <v>26074</v>
      </c>
      <c r="AA499">
        <v>0.53194164310255654</v>
      </c>
      <c r="AB499" t="str">
        <f>HYPERLINK("Melting_Curves/meltCurve_E9PDC3_ARVCF.pdf", "Melting_Curves/meltCurve_E9PDC3_ARVCF.pdf")</f>
        <v>Melting_Curves/meltCurve_E9PDC3_ARVCF.pdf</v>
      </c>
    </row>
    <row r="500" spans="1:28" x14ac:dyDescent="0.25">
      <c r="A500" t="s">
        <v>504</v>
      </c>
      <c r="B500">
        <v>0.99673306730245903</v>
      </c>
      <c r="C500">
        <v>0.95046144782921205</v>
      </c>
      <c r="D500">
        <v>0.778890643174876</v>
      </c>
      <c r="E500">
        <v>0.51571844585536597</v>
      </c>
      <c r="F500">
        <v>0.29902419715439998</v>
      </c>
      <c r="G500">
        <v>0.176675952264403</v>
      </c>
      <c r="H500">
        <v>0.11611289455278601</v>
      </c>
      <c r="I500">
        <v>0.10844736730771801</v>
      </c>
      <c r="J500">
        <v>0.142466742339524</v>
      </c>
      <c r="K500">
        <v>0.12385002568869299</v>
      </c>
      <c r="L500">
        <v>881.88063446352305</v>
      </c>
      <c r="M500">
        <v>17.973930637224999</v>
      </c>
      <c r="N500">
        <v>49.7600363657833</v>
      </c>
      <c r="O500">
        <v>48.469186833350697</v>
      </c>
      <c r="P500">
        <v>-8.2413133317730203E-2</v>
      </c>
      <c r="Q500">
        <v>0.111090607885174</v>
      </c>
      <c r="R500">
        <v>0.99822600324114197</v>
      </c>
      <c r="S500" t="s">
        <v>6952</v>
      </c>
      <c r="T500" t="s">
        <v>12902</v>
      </c>
      <c r="U500" t="s">
        <v>12902</v>
      </c>
      <c r="V500" t="s">
        <v>12902</v>
      </c>
      <c r="W500" t="s">
        <v>13397</v>
      </c>
      <c r="X500">
        <v>11</v>
      </c>
      <c r="Y500" t="s">
        <v>19792</v>
      </c>
      <c r="Z500" t="s">
        <v>26075</v>
      </c>
      <c r="AA500">
        <v>0.39509501740847758</v>
      </c>
      <c r="AB500" t="str">
        <f>HYPERLINK("Melting_Curves/meltCurve_E9PDF6_MYO1B.pdf", "Melting_Curves/meltCurve_E9PDF6_MYO1B.pdf")</f>
        <v>Melting_Curves/meltCurve_E9PDF6_MYO1B.pdf</v>
      </c>
    </row>
    <row r="501" spans="1:28" x14ac:dyDescent="0.25">
      <c r="A501" t="s">
        <v>505</v>
      </c>
      <c r="B501">
        <v>0.99673306730245903</v>
      </c>
      <c r="C501">
        <v>0.95815316160722797</v>
      </c>
      <c r="D501">
        <v>0.96304477180358605</v>
      </c>
      <c r="E501">
        <v>0.78884508367317996</v>
      </c>
      <c r="F501">
        <v>0.66824888942381</v>
      </c>
      <c r="G501">
        <v>0.71721170803096201</v>
      </c>
      <c r="H501">
        <v>0.63014222577141499</v>
      </c>
      <c r="I501">
        <v>0.71401201468541498</v>
      </c>
      <c r="J501">
        <v>1.43067217703795</v>
      </c>
      <c r="K501">
        <v>1.31990768839065</v>
      </c>
      <c r="L501">
        <v>11527.6892742483</v>
      </c>
      <c r="M501">
        <v>250</v>
      </c>
      <c r="O501">
        <v>46.107807028375298</v>
      </c>
      <c r="P501">
        <v>-0.141547190532159</v>
      </c>
      <c r="Q501">
        <v>0.89557711299558296</v>
      </c>
      <c r="R501">
        <v>1.7097741059643699E-2</v>
      </c>
      <c r="S501" t="s">
        <v>6953</v>
      </c>
      <c r="T501" t="s">
        <v>12902</v>
      </c>
      <c r="U501" t="s">
        <v>12902</v>
      </c>
      <c r="V501" t="s">
        <v>12902</v>
      </c>
      <c r="W501" t="s">
        <v>13398</v>
      </c>
      <c r="X501">
        <v>1</v>
      </c>
      <c r="Y501" t="s">
        <v>19793</v>
      </c>
      <c r="Z501" t="s">
        <v>26076</v>
      </c>
      <c r="AA501">
        <v>0.9168556598729235</v>
      </c>
      <c r="AB501" t="str">
        <f>HYPERLINK("Melting_Curves/meltCurve_E9PDG2_IFT122.pdf", "Melting_Curves/meltCurve_E9PDG2_IFT122.pdf")</f>
        <v>Melting_Curves/meltCurve_E9PDG2_IFT122.pdf</v>
      </c>
    </row>
    <row r="502" spans="1:28" x14ac:dyDescent="0.25">
      <c r="A502" t="s">
        <v>506</v>
      </c>
      <c r="B502">
        <v>0.99673306730245903</v>
      </c>
      <c r="C502">
        <v>0.97411109514112204</v>
      </c>
      <c r="D502">
        <v>0.78644571630095705</v>
      </c>
      <c r="E502">
        <v>0.41691538284839302</v>
      </c>
      <c r="F502">
        <v>0.20009199672726199</v>
      </c>
      <c r="G502">
        <v>0.120234537253259</v>
      </c>
      <c r="H502">
        <v>5.7134656146942402E-2</v>
      </c>
      <c r="I502">
        <v>4.6899764647341399E-2</v>
      </c>
      <c r="J502">
        <v>3.6417159122171402E-2</v>
      </c>
      <c r="K502">
        <v>3.2940546061846897E-2</v>
      </c>
      <c r="L502">
        <v>1013.3350061791</v>
      </c>
      <c r="M502">
        <v>20.7916164190976</v>
      </c>
      <c r="N502">
        <v>48.954677166706297</v>
      </c>
      <c r="O502">
        <v>48.293544472859899</v>
      </c>
      <c r="P502">
        <v>-0.102896161706828</v>
      </c>
      <c r="Q502">
        <v>4.4022232424846798E-2</v>
      </c>
      <c r="R502">
        <v>0.99827692132072898</v>
      </c>
      <c r="S502" t="s">
        <v>6954</v>
      </c>
      <c r="T502" t="s">
        <v>12902</v>
      </c>
      <c r="U502" t="s">
        <v>12902</v>
      </c>
      <c r="V502" t="s">
        <v>12902</v>
      </c>
      <c r="W502" t="s">
        <v>13399</v>
      </c>
      <c r="X502">
        <v>1</v>
      </c>
      <c r="Y502" t="s">
        <v>19794</v>
      </c>
      <c r="Z502" t="s">
        <v>26077</v>
      </c>
      <c r="AA502">
        <v>0.33485230605717098</v>
      </c>
      <c r="AB502" t="str">
        <f>HYPERLINK("Melting_Curves/meltCurve_E9PDG9_RPAIN.pdf", "Melting_Curves/meltCurve_E9PDG9_RPAIN.pdf")</f>
        <v>Melting_Curves/meltCurve_E9PDG9_RPAIN.pdf</v>
      </c>
    </row>
    <row r="503" spans="1:28" x14ac:dyDescent="0.25">
      <c r="A503" t="s">
        <v>507</v>
      </c>
      <c r="B503">
        <v>0.99673306730245903</v>
      </c>
      <c r="C503">
        <v>0.99118405911639096</v>
      </c>
      <c r="D503">
        <v>0.995348753162135</v>
      </c>
      <c r="E503">
        <v>0.81561495440355603</v>
      </c>
      <c r="F503">
        <v>0.59464077454368403</v>
      </c>
      <c r="G503">
        <v>0.47078850768937203</v>
      </c>
      <c r="H503">
        <v>0.40090068554839597</v>
      </c>
      <c r="I503">
        <v>0.443152178586737</v>
      </c>
      <c r="J503">
        <v>0.539646841351479</v>
      </c>
      <c r="K503">
        <v>0.44825809360965702</v>
      </c>
      <c r="L503">
        <v>1482.8631231454799</v>
      </c>
      <c r="M503">
        <v>29.123558128502999</v>
      </c>
      <c r="N503">
        <v>55.568513987096601</v>
      </c>
      <c r="O503">
        <v>50.678028684082904</v>
      </c>
      <c r="P503">
        <v>-7.8107526142773706E-2</v>
      </c>
      <c r="Q503">
        <v>0.456343038596697</v>
      </c>
      <c r="R503">
        <v>0.97950054996598102</v>
      </c>
      <c r="S503" t="s">
        <v>6955</v>
      </c>
      <c r="T503" t="s">
        <v>12902</v>
      </c>
      <c r="U503" t="s">
        <v>12902</v>
      </c>
      <c r="V503" t="s">
        <v>12902</v>
      </c>
      <c r="W503" t="s">
        <v>13400</v>
      </c>
      <c r="X503">
        <v>6</v>
      </c>
      <c r="Y503" t="s">
        <v>19795</v>
      </c>
      <c r="Z503" t="s">
        <v>26078</v>
      </c>
      <c r="AA503">
        <v>0.65778906003758053</v>
      </c>
      <c r="AB503" t="str">
        <f>HYPERLINK("Melting_Curves/meltCurve_E9PEE8_ITGB6.pdf", "Melting_Curves/meltCurve_E9PEE8_ITGB6.pdf")</f>
        <v>Melting_Curves/meltCurve_E9PEE8_ITGB6.pdf</v>
      </c>
    </row>
    <row r="504" spans="1:28" x14ac:dyDescent="0.25">
      <c r="A504" t="s">
        <v>508</v>
      </c>
      <c r="B504">
        <v>0.99673306730245903</v>
      </c>
      <c r="C504">
        <v>0.80449468410948999</v>
      </c>
      <c r="D504">
        <v>0.75141533371305502</v>
      </c>
      <c r="E504">
        <v>0.67630979581159401</v>
      </c>
      <c r="F504">
        <v>0.40651574079248598</v>
      </c>
      <c r="G504">
        <v>0.20965965114894</v>
      </c>
      <c r="H504">
        <v>0.16429537185248</v>
      </c>
      <c r="I504">
        <v>0.168318276266996</v>
      </c>
      <c r="J504">
        <v>0.165277420268134</v>
      </c>
      <c r="K504">
        <v>0.239520863662124</v>
      </c>
      <c r="L504">
        <v>633.40660390197695</v>
      </c>
      <c r="M504">
        <v>12.722943109683801</v>
      </c>
      <c r="N504">
        <v>51.039723501345499</v>
      </c>
      <c r="O504">
        <v>48.602776152634398</v>
      </c>
      <c r="P504">
        <v>-5.6663497669029603E-2</v>
      </c>
      <c r="Q504">
        <v>0.13432808705493701</v>
      </c>
      <c r="R504">
        <v>0.96080810527571203</v>
      </c>
      <c r="S504" t="s">
        <v>6956</v>
      </c>
      <c r="T504" t="s">
        <v>12902</v>
      </c>
      <c r="U504" t="s">
        <v>12902</v>
      </c>
      <c r="V504" t="s">
        <v>12902</v>
      </c>
      <c r="W504" t="s">
        <v>13401</v>
      </c>
      <c r="X504">
        <v>1</v>
      </c>
      <c r="Y504" t="s">
        <v>19796</v>
      </c>
      <c r="Z504" t="s">
        <v>26079</v>
      </c>
      <c r="AA504">
        <v>0.44427958771073778</v>
      </c>
      <c r="AB504" t="str">
        <f>HYPERLINK("Melting_Curves/meltCurve_E9PEI0_CDCA2.pdf", "Melting_Curves/meltCurve_E9PEI0_CDCA2.pdf")</f>
        <v>Melting_Curves/meltCurve_E9PEI0_CDCA2.pdf</v>
      </c>
    </row>
    <row r="505" spans="1:28" x14ac:dyDescent="0.25">
      <c r="A505" t="s">
        <v>509</v>
      </c>
      <c r="B505">
        <v>0.99673306730245903</v>
      </c>
      <c r="C505">
        <v>0.882908560305662</v>
      </c>
      <c r="D505">
        <v>0.73076948848121703</v>
      </c>
      <c r="E505">
        <v>0.58582681656898195</v>
      </c>
      <c r="F505">
        <v>0.47120458548771799</v>
      </c>
      <c r="G505">
        <v>0.32875690950306402</v>
      </c>
      <c r="H505">
        <v>9.2623727816412094E-2</v>
      </c>
      <c r="I505">
        <v>4.9079881452212003E-2</v>
      </c>
      <c r="J505">
        <v>1.9624353983614701E-2</v>
      </c>
      <c r="K505">
        <v>2.2603416362320401E-2</v>
      </c>
      <c r="L505">
        <v>576.05802473548101</v>
      </c>
      <c r="M505">
        <v>11.2074038874786</v>
      </c>
      <c r="N505">
        <v>51.399773820021402</v>
      </c>
      <c r="O505">
        <v>49.844807067956999</v>
      </c>
      <c r="P505">
        <v>-5.6229140195127099E-2</v>
      </c>
      <c r="Q505">
        <v>0</v>
      </c>
      <c r="R505">
        <v>0.98113527534015998</v>
      </c>
      <c r="S505" t="s">
        <v>6957</v>
      </c>
      <c r="T505" t="s">
        <v>12902</v>
      </c>
      <c r="U505" t="s">
        <v>12902</v>
      </c>
      <c r="V505" t="s">
        <v>12902</v>
      </c>
      <c r="W505" t="s">
        <v>13402</v>
      </c>
      <c r="X505">
        <v>3</v>
      </c>
      <c r="Y505" t="s">
        <v>19797</v>
      </c>
      <c r="Z505" t="s">
        <v>26080</v>
      </c>
      <c r="AA505">
        <v>0.41485525184306671</v>
      </c>
      <c r="AB505" t="str">
        <f>HYPERLINK("Melting_Curves/meltCurve_E9PEJ6_ATP11A.pdf", "Melting_Curves/meltCurve_E9PEJ6_ATP11A.pdf")</f>
        <v>Melting_Curves/meltCurve_E9PEJ6_ATP11A.pdf</v>
      </c>
    </row>
    <row r="506" spans="1:28" x14ac:dyDescent="0.25">
      <c r="A506" t="s">
        <v>510</v>
      </c>
      <c r="B506">
        <v>0.99673306730245903</v>
      </c>
      <c r="C506">
        <v>0.99637545507706105</v>
      </c>
      <c r="D506">
        <v>0.95034901226822499</v>
      </c>
      <c r="E506">
        <v>0.94512734662196995</v>
      </c>
      <c r="F506">
        <v>0.24738185422122499</v>
      </c>
      <c r="G506">
        <v>0.175930549061075</v>
      </c>
      <c r="H506">
        <v>0.10888214086249</v>
      </c>
      <c r="I506">
        <v>9.10654781441598E-2</v>
      </c>
      <c r="J506">
        <v>9.4371509087078101E-2</v>
      </c>
      <c r="K506">
        <v>8.2784712359206494E-2</v>
      </c>
      <c r="L506">
        <v>3148.02230699643</v>
      </c>
      <c r="M506">
        <v>60.833037110867203</v>
      </c>
      <c r="N506">
        <v>51.958824792771701</v>
      </c>
      <c r="O506">
        <v>51.692741803391101</v>
      </c>
      <c r="P506">
        <v>-0.26210555321707402</v>
      </c>
      <c r="Q506">
        <v>0.10910604010922401</v>
      </c>
      <c r="R506">
        <v>0.99551924903859002</v>
      </c>
      <c r="S506" t="s">
        <v>6958</v>
      </c>
      <c r="T506" t="s">
        <v>12902</v>
      </c>
      <c r="U506" t="s">
        <v>12902</v>
      </c>
      <c r="V506" t="s">
        <v>12902</v>
      </c>
      <c r="W506" t="s">
        <v>13403</v>
      </c>
      <c r="X506">
        <v>22</v>
      </c>
      <c r="Y506" t="s">
        <v>19798</v>
      </c>
      <c r="Z506" t="s">
        <v>26081</v>
      </c>
      <c r="AA506">
        <v>0.45936816183525248</v>
      </c>
      <c r="AB506" t="str">
        <f>HYPERLINK("Melting_Curves/meltCurve_E9PEN8_XPO7.pdf", "Melting_Curves/meltCurve_E9PEN8_XPO7.pdf")</f>
        <v>Melting_Curves/meltCurve_E9PEN8_XPO7.pdf</v>
      </c>
    </row>
    <row r="507" spans="1:28" x14ac:dyDescent="0.25">
      <c r="A507" t="s">
        <v>511</v>
      </c>
      <c r="B507">
        <v>0.99673306730245903</v>
      </c>
      <c r="C507">
        <v>0.97690777706176801</v>
      </c>
      <c r="D507">
        <v>0.84829987433843301</v>
      </c>
      <c r="E507">
        <v>0.91027255571819399</v>
      </c>
      <c r="F507">
        <v>0.51725216768858795</v>
      </c>
      <c r="G507">
        <v>0.26392572546584497</v>
      </c>
      <c r="H507">
        <v>0.12542509568329399</v>
      </c>
      <c r="I507">
        <v>0.120322432014303</v>
      </c>
      <c r="J507">
        <v>6.4071500186949196E-2</v>
      </c>
      <c r="K507">
        <v>6.4546119933806601E-2</v>
      </c>
      <c r="L507">
        <v>1141.5832997836001</v>
      </c>
      <c r="M507">
        <v>21.421737077542499</v>
      </c>
      <c r="N507">
        <v>53.648823008519599</v>
      </c>
      <c r="O507">
        <v>52.833002564150398</v>
      </c>
      <c r="P507">
        <v>-9.4617768415154097E-2</v>
      </c>
      <c r="Q507">
        <v>6.6589840806312403E-2</v>
      </c>
      <c r="R507">
        <v>0.98560211076952497</v>
      </c>
      <c r="S507" t="s">
        <v>6959</v>
      </c>
      <c r="T507" t="s">
        <v>12902</v>
      </c>
      <c r="U507" t="s">
        <v>12902</v>
      </c>
      <c r="V507" t="s">
        <v>12902</v>
      </c>
      <c r="W507" t="s">
        <v>13404</v>
      </c>
      <c r="X507">
        <v>1</v>
      </c>
      <c r="Y507" t="s">
        <v>19799</v>
      </c>
      <c r="Z507" t="s">
        <v>26082</v>
      </c>
      <c r="AA507">
        <v>0.49150007980221289</v>
      </c>
      <c r="AB507" t="str">
        <f>HYPERLINK("Melting_Curves/meltCurve_E9PER1_DIP2A.pdf", "Melting_Curves/meltCurve_E9PER1_DIP2A.pdf")</f>
        <v>Melting_Curves/meltCurve_E9PER1_DIP2A.pdf</v>
      </c>
    </row>
    <row r="508" spans="1:28" x14ac:dyDescent="0.25">
      <c r="A508" t="s">
        <v>512</v>
      </c>
      <c r="B508">
        <v>0.99673306730245903</v>
      </c>
      <c r="C508">
        <v>0.96247289765779798</v>
      </c>
      <c r="D508">
        <v>0.79717517455248899</v>
      </c>
      <c r="E508">
        <v>0.48460798022569002</v>
      </c>
      <c r="F508">
        <v>0.15239082436635501</v>
      </c>
      <c r="G508">
        <v>9.0906746040996397E-2</v>
      </c>
      <c r="H508">
        <v>5.8088130793557E-2</v>
      </c>
      <c r="I508">
        <v>4.70405090627075E-2</v>
      </c>
      <c r="J508">
        <v>4.2776914168942103E-2</v>
      </c>
      <c r="K508">
        <v>3.6521574470001802E-2</v>
      </c>
      <c r="L508">
        <v>1076.6505684148401</v>
      </c>
      <c r="M508">
        <v>21.960777892169599</v>
      </c>
      <c r="N508">
        <v>49.204138100210201</v>
      </c>
      <c r="O508">
        <v>48.624977711694001</v>
      </c>
      <c r="P508">
        <v>-0.108598238010205</v>
      </c>
      <c r="Q508">
        <v>3.8200166511087402E-2</v>
      </c>
      <c r="R508">
        <v>0.99852311064097199</v>
      </c>
      <c r="S508" t="s">
        <v>6960</v>
      </c>
      <c r="T508" t="s">
        <v>12902</v>
      </c>
      <c r="U508" t="s">
        <v>12902</v>
      </c>
      <c r="V508" t="s">
        <v>12902</v>
      </c>
      <c r="W508" t="s">
        <v>13405</v>
      </c>
      <c r="X508">
        <v>11</v>
      </c>
      <c r="Y508" t="s">
        <v>19800</v>
      </c>
      <c r="Z508" t="s">
        <v>26083</v>
      </c>
      <c r="AA508">
        <v>0.33870388562024117</v>
      </c>
      <c r="AB508" t="str">
        <f>HYPERLINK("Melting_Curves/meltCurve_E9PER6_PDPK1.pdf", "Melting_Curves/meltCurve_E9PER6_PDPK1.pdf")</f>
        <v>Melting_Curves/meltCurve_E9PER6_PDPK1.pdf</v>
      </c>
    </row>
    <row r="509" spans="1:28" x14ac:dyDescent="0.25">
      <c r="A509" t="s">
        <v>513</v>
      </c>
      <c r="B509">
        <v>0.99673306730245903</v>
      </c>
      <c r="C509">
        <v>0.90529050007405099</v>
      </c>
      <c r="D509">
        <v>0.73939526619552398</v>
      </c>
      <c r="E509">
        <v>0.26019554163695802</v>
      </c>
      <c r="F509">
        <v>0.18217384963098401</v>
      </c>
      <c r="G509">
        <v>0.11766173837010201</v>
      </c>
      <c r="H509">
        <v>8.5914431424338994E-2</v>
      </c>
      <c r="I509">
        <v>8.1471870790294207E-2</v>
      </c>
      <c r="J509">
        <v>7.8109111176031101E-2</v>
      </c>
      <c r="K509">
        <v>6.3853824203259399E-2</v>
      </c>
      <c r="L509">
        <v>1234.59644842941</v>
      </c>
      <c r="M509">
        <v>26.079532297800601</v>
      </c>
      <c r="N509">
        <v>47.686621627046001</v>
      </c>
      <c r="O509">
        <v>47.063970143340001</v>
      </c>
      <c r="P509">
        <v>-0.12656251558308601</v>
      </c>
      <c r="Q509">
        <v>8.6415337329263195E-2</v>
      </c>
      <c r="R509">
        <v>0.994378087253594</v>
      </c>
      <c r="S509" t="s">
        <v>6961</v>
      </c>
      <c r="T509" t="s">
        <v>12902</v>
      </c>
      <c r="U509" t="s">
        <v>12902</v>
      </c>
      <c r="V509" t="s">
        <v>12902</v>
      </c>
      <c r="W509" t="s">
        <v>13406</v>
      </c>
      <c r="X509">
        <v>41</v>
      </c>
      <c r="Y509" t="s">
        <v>19801</v>
      </c>
      <c r="Z509" t="s">
        <v>26084</v>
      </c>
      <c r="AA509">
        <v>0.31733006055230639</v>
      </c>
      <c r="AB509" t="str">
        <f>HYPERLINK("Melting_Curves/meltCurve_E9PEZ3_DIAPH1.pdf", "Melting_Curves/meltCurve_E9PEZ3_DIAPH1.pdf")</f>
        <v>Melting_Curves/meltCurve_E9PEZ3_DIAPH1.pdf</v>
      </c>
    </row>
    <row r="510" spans="1:28" x14ac:dyDescent="0.25">
      <c r="A510" t="s">
        <v>514</v>
      </c>
      <c r="B510">
        <v>0.99673306730245903</v>
      </c>
      <c r="C510">
        <v>0.86428390431825197</v>
      </c>
      <c r="D510">
        <v>0.70004249148618702</v>
      </c>
      <c r="E510">
        <v>0.67391277321425003</v>
      </c>
      <c r="F510">
        <v>0.16386823917228299</v>
      </c>
      <c r="G510">
        <v>9.4474546138242396E-2</v>
      </c>
      <c r="H510">
        <v>5.3745739640518098E-2</v>
      </c>
      <c r="I510">
        <v>5.46460064932109E-2</v>
      </c>
      <c r="J510">
        <v>6.6848316981626604E-2</v>
      </c>
      <c r="K510">
        <v>6.4610489003527893E-2</v>
      </c>
      <c r="L510">
        <v>800.40208249526904</v>
      </c>
      <c r="M510">
        <v>16.1495648252065</v>
      </c>
      <c r="N510">
        <v>49.709122539772402</v>
      </c>
      <c r="O510">
        <v>48.820585153627199</v>
      </c>
      <c r="P510">
        <v>-8.0772652230178904E-2</v>
      </c>
      <c r="Q510">
        <v>2.3361927241621599E-2</v>
      </c>
      <c r="R510">
        <v>0.96078590430733501</v>
      </c>
      <c r="S510" t="s">
        <v>6962</v>
      </c>
      <c r="T510" t="s">
        <v>12902</v>
      </c>
      <c r="U510" t="s">
        <v>12902</v>
      </c>
      <c r="V510" t="s">
        <v>12902</v>
      </c>
      <c r="W510" t="s">
        <v>13407</v>
      </c>
      <c r="X510">
        <v>24</v>
      </c>
      <c r="Y510" t="s">
        <v>19802</v>
      </c>
      <c r="Z510" t="s">
        <v>26085</v>
      </c>
      <c r="AA510">
        <v>0.35525746027569732</v>
      </c>
      <c r="AB510" t="str">
        <f>HYPERLINK("Melting_Curves/meltCurve_E9PF10_NUP155.pdf", "Melting_Curves/meltCurve_E9PF10_NUP155.pdf")</f>
        <v>Melting_Curves/meltCurve_E9PF10_NUP155.pdf</v>
      </c>
    </row>
    <row r="511" spans="1:28" x14ac:dyDescent="0.25">
      <c r="A511" t="s">
        <v>515</v>
      </c>
      <c r="B511">
        <v>0.99673306730245903</v>
      </c>
      <c r="C511">
        <v>0.99182319978622702</v>
      </c>
      <c r="D511">
        <v>0.90830834757587198</v>
      </c>
      <c r="E511">
        <v>0.76976970292265101</v>
      </c>
      <c r="F511">
        <v>0.32920167626152802</v>
      </c>
      <c r="G511">
        <v>0.208876498227486</v>
      </c>
      <c r="H511">
        <v>0.116062857855563</v>
      </c>
      <c r="I511">
        <v>9.3214094746094503E-2</v>
      </c>
      <c r="J511">
        <v>8.9812481767282903E-2</v>
      </c>
      <c r="K511">
        <v>8.0941901144418002E-2</v>
      </c>
      <c r="L511">
        <v>1252.14591788659</v>
      </c>
      <c r="M511">
        <v>24.3601898738671</v>
      </c>
      <c r="N511">
        <v>51.826168368021101</v>
      </c>
      <c r="O511">
        <v>51.058666751132897</v>
      </c>
      <c r="P511">
        <v>-0.108481508798225</v>
      </c>
      <c r="Q511">
        <v>9.05094113094108E-2</v>
      </c>
      <c r="R511">
        <v>0.99588777611971702</v>
      </c>
      <c r="S511" t="s">
        <v>6963</v>
      </c>
      <c r="T511" t="s">
        <v>12902</v>
      </c>
      <c r="U511" t="s">
        <v>12902</v>
      </c>
      <c r="V511" t="s">
        <v>12902</v>
      </c>
      <c r="W511" t="s">
        <v>13408</v>
      </c>
      <c r="X511">
        <v>13</v>
      </c>
      <c r="Y511" t="s">
        <v>19803</v>
      </c>
      <c r="Z511" t="s">
        <v>26086</v>
      </c>
      <c r="AA511">
        <v>0.44483483016518038</v>
      </c>
      <c r="AB511" t="str">
        <f>HYPERLINK("Melting_Curves/meltCurve_E9PF16_ACSF2.pdf", "Melting_Curves/meltCurve_E9PF16_ACSF2.pdf")</f>
        <v>Melting_Curves/meltCurve_E9PF16_ACSF2.pdf</v>
      </c>
    </row>
    <row r="512" spans="1:28" x14ac:dyDescent="0.25">
      <c r="A512" t="s">
        <v>516</v>
      </c>
      <c r="B512">
        <v>0.99673306730245903</v>
      </c>
      <c r="C512">
        <v>0.95650591752497305</v>
      </c>
      <c r="D512">
        <v>0.89249552084381101</v>
      </c>
      <c r="E512">
        <v>0.96677572831944003</v>
      </c>
      <c r="F512">
        <v>0.392253564046042</v>
      </c>
      <c r="G512">
        <v>0.13365823218554701</v>
      </c>
      <c r="H512">
        <v>7.8146214194434696E-2</v>
      </c>
      <c r="I512">
        <v>7.3873950052699797E-2</v>
      </c>
      <c r="J512">
        <v>8.2061224812901706E-2</v>
      </c>
      <c r="K512">
        <v>7.4395393425242595E-2</v>
      </c>
      <c r="L512">
        <v>2583.5002885280001</v>
      </c>
      <c r="M512">
        <v>49.208988775044503</v>
      </c>
      <c r="N512">
        <v>52.695177345202403</v>
      </c>
      <c r="O512">
        <v>52.414091846327501</v>
      </c>
      <c r="P512">
        <v>-0.215211677911924</v>
      </c>
      <c r="Q512">
        <v>8.3085050891916104E-2</v>
      </c>
      <c r="R512">
        <v>0.99129314150839898</v>
      </c>
      <c r="S512" t="s">
        <v>6964</v>
      </c>
      <c r="T512" t="s">
        <v>12902</v>
      </c>
      <c r="U512" t="s">
        <v>12902</v>
      </c>
      <c r="V512" t="s">
        <v>12902</v>
      </c>
      <c r="W512" t="s">
        <v>13409</v>
      </c>
      <c r="X512">
        <v>20</v>
      </c>
      <c r="Y512" t="s">
        <v>19804</v>
      </c>
      <c r="Z512" t="s">
        <v>26087</v>
      </c>
      <c r="AA512">
        <v>0.46734292554261109</v>
      </c>
      <c r="AB512" t="str">
        <f>HYPERLINK("Melting_Curves/meltCurve_E9PF18_HADH.pdf", "Melting_Curves/meltCurve_E9PF18_HADH.pdf")</f>
        <v>Melting_Curves/meltCurve_E9PF18_HADH.pdf</v>
      </c>
    </row>
    <row r="513" spans="1:28" x14ac:dyDescent="0.25">
      <c r="A513" t="s">
        <v>517</v>
      </c>
      <c r="B513">
        <v>0.99673306730245903</v>
      </c>
      <c r="C513">
        <v>0.90116598851724095</v>
      </c>
      <c r="D513">
        <v>0.76765065778115105</v>
      </c>
      <c r="E513">
        <v>0.40688833421195297</v>
      </c>
      <c r="F513">
        <v>0.21013114961717799</v>
      </c>
      <c r="G513">
        <v>0.15414133823024101</v>
      </c>
      <c r="H513">
        <v>9.4822321626833295E-2</v>
      </c>
      <c r="I513">
        <v>8.9805847820448703E-2</v>
      </c>
      <c r="J513">
        <v>8.0049453022878803E-2</v>
      </c>
      <c r="K513">
        <v>7.1497462122563402E-2</v>
      </c>
      <c r="L513">
        <v>935.25470879339696</v>
      </c>
      <c r="M513">
        <v>19.374185916542601</v>
      </c>
      <c r="N513">
        <v>48.7156743770338</v>
      </c>
      <c r="O513">
        <v>47.767771261384397</v>
      </c>
      <c r="P513">
        <v>-9.3221206245546598E-2</v>
      </c>
      <c r="Q513">
        <v>8.0672627010026393E-2</v>
      </c>
      <c r="R513">
        <v>0.99805970484245199</v>
      </c>
      <c r="S513" t="s">
        <v>6965</v>
      </c>
      <c r="T513" t="s">
        <v>12902</v>
      </c>
      <c r="U513" t="s">
        <v>12902</v>
      </c>
      <c r="V513" t="s">
        <v>12902</v>
      </c>
      <c r="W513" t="s">
        <v>13410</v>
      </c>
      <c r="X513">
        <v>12</v>
      </c>
      <c r="Y513" t="s">
        <v>19805</v>
      </c>
      <c r="Z513" t="s">
        <v>26088</v>
      </c>
      <c r="AA513">
        <v>0.34809198917858458</v>
      </c>
      <c r="AB513" t="str">
        <f>HYPERLINK("Melting_Curves/meltCurve_E9PF19_TBL2.pdf", "Melting_Curves/meltCurve_E9PF19_TBL2.pdf")</f>
        <v>Melting_Curves/meltCurve_E9PF19_TBL2.pdf</v>
      </c>
    </row>
    <row r="514" spans="1:28" x14ac:dyDescent="0.25">
      <c r="A514" t="s">
        <v>518</v>
      </c>
      <c r="B514">
        <v>0.99673306730245903</v>
      </c>
      <c r="C514">
        <v>0.95237265434252505</v>
      </c>
      <c r="D514">
        <v>0.94939903766732303</v>
      </c>
      <c r="E514">
        <v>0.68951268096669105</v>
      </c>
      <c r="F514">
        <v>0.49492142777280301</v>
      </c>
      <c r="G514">
        <v>0.25983130043885599</v>
      </c>
      <c r="H514">
        <v>0.124406318653035</v>
      </c>
      <c r="I514">
        <v>0.138548201557222</v>
      </c>
      <c r="J514">
        <v>0.13984564911724101</v>
      </c>
      <c r="K514">
        <v>8.1231674008593505E-2</v>
      </c>
      <c r="L514">
        <v>886.60098072898495</v>
      </c>
      <c r="M514">
        <v>17.025972569313598</v>
      </c>
      <c r="N514">
        <v>52.670661463394197</v>
      </c>
      <c r="O514">
        <v>51.371014174975002</v>
      </c>
      <c r="P514">
        <v>-7.5589214840841995E-2</v>
      </c>
      <c r="Q514">
        <v>8.7780776151278203E-2</v>
      </c>
      <c r="R514">
        <v>0.99448730890234704</v>
      </c>
      <c r="S514" t="s">
        <v>6966</v>
      </c>
      <c r="T514" t="s">
        <v>12902</v>
      </c>
      <c r="U514" t="s">
        <v>12902</v>
      </c>
      <c r="V514" t="s">
        <v>12902</v>
      </c>
      <c r="W514" t="s">
        <v>13411</v>
      </c>
      <c r="X514">
        <v>2</v>
      </c>
      <c r="Y514" t="s">
        <v>19806</v>
      </c>
      <c r="Z514" t="s">
        <v>26089</v>
      </c>
      <c r="AA514">
        <v>0.47154522809731969</v>
      </c>
      <c r="AB514" t="str">
        <f>HYPERLINK("Melting_Curves/meltCurve_E9PF36_VPS41.pdf", "Melting_Curves/meltCurve_E9PF36_VPS41.pdf")</f>
        <v>Melting_Curves/meltCurve_E9PF36_VPS41.pdf</v>
      </c>
    </row>
    <row r="515" spans="1:28" x14ac:dyDescent="0.25">
      <c r="A515" t="s">
        <v>519</v>
      </c>
      <c r="B515">
        <v>0.99673306730245903</v>
      </c>
      <c r="C515">
        <v>0.99678606063521202</v>
      </c>
      <c r="D515">
        <v>0.94812478884617102</v>
      </c>
      <c r="E515">
        <v>0.83791179732692</v>
      </c>
      <c r="F515">
        <v>0.72399220468230596</v>
      </c>
      <c r="G515">
        <v>0.61718621749846103</v>
      </c>
      <c r="H515">
        <v>0.51524149786051399</v>
      </c>
      <c r="I515">
        <v>0.60065943661820098</v>
      </c>
      <c r="J515">
        <v>0.64810227161677803</v>
      </c>
      <c r="K515">
        <v>0.62738031297579</v>
      </c>
      <c r="L515">
        <v>1127.8238544613</v>
      </c>
      <c r="M515">
        <v>22.2831178789849</v>
      </c>
      <c r="O515">
        <v>50.211037834175698</v>
      </c>
      <c r="P515">
        <v>-4.4846204625037002E-2</v>
      </c>
      <c r="Q515">
        <v>0.59579683593741695</v>
      </c>
      <c r="R515">
        <v>0.95645048279121703</v>
      </c>
      <c r="S515" t="s">
        <v>6967</v>
      </c>
      <c r="T515" t="s">
        <v>12902</v>
      </c>
      <c r="U515" t="s">
        <v>12902</v>
      </c>
      <c r="V515" t="s">
        <v>12902</v>
      </c>
      <c r="W515" t="s">
        <v>13412</v>
      </c>
      <c r="X515">
        <v>11</v>
      </c>
      <c r="Y515" t="s">
        <v>19807</v>
      </c>
      <c r="Z515" t="s">
        <v>26090</v>
      </c>
      <c r="AA515">
        <v>0.74335567968259186</v>
      </c>
      <c r="AB515" t="str">
        <f>HYPERLINK("Melting_Curves/meltCurve_E9PF74_SLC25A19.pdf", "Melting_Curves/meltCurve_E9PF74_SLC25A19.pdf")</f>
        <v>Melting_Curves/meltCurve_E9PF74_SLC25A19.pdf</v>
      </c>
    </row>
    <row r="516" spans="1:28" x14ac:dyDescent="0.25">
      <c r="A516" t="s">
        <v>520</v>
      </c>
      <c r="B516">
        <v>0.99673306730245903</v>
      </c>
      <c r="C516">
        <v>1.0211979340259001</v>
      </c>
      <c r="D516">
        <v>0.96399791456959805</v>
      </c>
      <c r="E516">
        <v>0.85663230906324095</v>
      </c>
      <c r="F516">
        <v>0.62075257545471196</v>
      </c>
      <c r="G516">
        <v>0.53734177078905498</v>
      </c>
      <c r="H516">
        <v>0.41559500107519898</v>
      </c>
      <c r="I516">
        <v>0.28260839157197998</v>
      </c>
      <c r="J516">
        <v>0.10718692183041199</v>
      </c>
      <c r="K516">
        <v>0.12049096610277001</v>
      </c>
      <c r="L516">
        <v>614.72835318320199</v>
      </c>
      <c r="M516">
        <v>10.708754997424901</v>
      </c>
      <c r="N516">
        <v>57.404278116058698</v>
      </c>
      <c r="O516">
        <v>55.511117640887399</v>
      </c>
      <c r="P516">
        <v>-4.8246016169789803E-2</v>
      </c>
      <c r="Q516">
        <v>0</v>
      </c>
      <c r="R516">
        <v>0.98324206566563799</v>
      </c>
      <c r="S516" t="s">
        <v>6968</v>
      </c>
      <c r="T516" t="s">
        <v>12902</v>
      </c>
      <c r="U516" t="s">
        <v>12902</v>
      </c>
      <c r="V516" t="s">
        <v>12902</v>
      </c>
      <c r="W516" t="s">
        <v>13413</v>
      </c>
      <c r="X516">
        <v>5</v>
      </c>
      <c r="Y516" t="s">
        <v>19808</v>
      </c>
      <c r="Z516" t="s">
        <v>26091</v>
      </c>
      <c r="AA516">
        <v>0.59452795521108459</v>
      </c>
      <c r="AB516" t="str">
        <f>HYPERLINK("Melting_Curves/meltCurve_E9PFH7_MAPK8IP3.pdf", "Melting_Curves/meltCurve_E9PFH7_MAPK8IP3.pdf")</f>
        <v>Melting_Curves/meltCurve_E9PFH7_MAPK8IP3.pdf</v>
      </c>
    </row>
    <row r="517" spans="1:28" x14ac:dyDescent="0.25">
      <c r="A517" t="s">
        <v>521</v>
      </c>
      <c r="B517">
        <v>0.99673306730245903</v>
      </c>
      <c r="C517">
        <v>0.97160261407473902</v>
      </c>
      <c r="D517">
        <v>0.76413834665017599</v>
      </c>
      <c r="E517">
        <v>0.59274336571518904</v>
      </c>
      <c r="F517">
        <v>0.42390867651803099</v>
      </c>
      <c r="G517">
        <v>0.26619779923827502</v>
      </c>
      <c r="H517">
        <v>0.14490795406336601</v>
      </c>
      <c r="I517">
        <v>0.109190475290828</v>
      </c>
      <c r="J517">
        <v>0.110760065242006</v>
      </c>
      <c r="K517">
        <v>9.2867026866611899E-2</v>
      </c>
      <c r="L517">
        <v>654.27963738854305</v>
      </c>
      <c r="M517">
        <v>12.8712335706117</v>
      </c>
      <c r="N517">
        <v>51.3559482811417</v>
      </c>
      <c r="O517">
        <v>49.652577664808298</v>
      </c>
      <c r="P517">
        <v>-6.0835147883910902E-2</v>
      </c>
      <c r="Q517">
        <v>6.1452069956910597E-2</v>
      </c>
      <c r="R517">
        <v>0.99440598511576295</v>
      </c>
      <c r="S517" t="s">
        <v>6969</v>
      </c>
      <c r="T517" t="s">
        <v>12902</v>
      </c>
      <c r="U517" t="s">
        <v>12902</v>
      </c>
      <c r="V517" t="s">
        <v>12902</v>
      </c>
      <c r="W517" t="s">
        <v>13414</v>
      </c>
      <c r="X517">
        <v>9</v>
      </c>
      <c r="Y517" t="s">
        <v>19809</v>
      </c>
      <c r="Z517" t="s">
        <v>26092</v>
      </c>
      <c r="AA517">
        <v>0.42820782589775808</v>
      </c>
      <c r="AB517" t="str">
        <f>HYPERLINK("Melting_Curves/meltCurve_E9PFK9_RABGEF1.pdf", "Melting_Curves/meltCurve_E9PFK9_RABGEF1.pdf")</f>
        <v>Melting_Curves/meltCurve_E9PFK9_RABGEF1.pdf</v>
      </c>
    </row>
    <row r="518" spans="1:28" x14ac:dyDescent="0.25">
      <c r="A518" t="s">
        <v>522</v>
      </c>
      <c r="B518">
        <v>0.99673306730245903</v>
      </c>
      <c r="C518">
        <v>0.916923433779816</v>
      </c>
      <c r="D518">
        <v>0.63304633617155304</v>
      </c>
      <c r="E518">
        <v>0.25718636672856898</v>
      </c>
      <c r="F518">
        <v>0.16936566093351499</v>
      </c>
      <c r="G518">
        <v>9.9291278855132406E-2</v>
      </c>
      <c r="H518">
        <v>6.6425503183307796E-2</v>
      </c>
      <c r="I518">
        <v>7.2491263732247804E-2</v>
      </c>
      <c r="J518">
        <v>9.5607342474112803E-2</v>
      </c>
      <c r="K518">
        <v>0.128584799403032</v>
      </c>
      <c r="L518">
        <v>1167.64538532049</v>
      </c>
      <c r="M518">
        <v>24.991135532215299</v>
      </c>
      <c r="N518">
        <v>47.116885417803701</v>
      </c>
      <c r="O518">
        <v>46.426306962714598</v>
      </c>
      <c r="P518">
        <v>-0.121871895825428</v>
      </c>
      <c r="Q518">
        <v>9.4401251473138395E-2</v>
      </c>
      <c r="R518">
        <v>0.99663800510644796</v>
      </c>
      <c r="S518" t="s">
        <v>6970</v>
      </c>
      <c r="T518" t="s">
        <v>12902</v>
      </c>
      <c r="U518" t="s">
        <v>12902</v>
      </c>
      <c r="V518" t="s">
        <v>12902</v>
      </c>
      <c r="W518" t="s">
        <v>13415</v>
      </c>
      <c r="X518">
        <v>17</v>
      </c>
      <c r="Y518" t="s">
        <v>19810</v>
      </c>
      <c r="Z518" t="s">
        <v>26093</v>
      </c>
      <c r="AA518">
        <v>0.30547139734283307</v>
      </c>
      <c r="AB518" t="str">
        <f>HYPERLINK("Melting_Curves/meltCurve_E9PFR3_PPP2R5D.pdf", "Melting_Curves/meltCurve_E9PFR3_PPP2R5D.pdf")</f>
        <v>Melting_Curves/meltCurve_E9PFR3_PPP2R5D.pdf</v>
      </c>
    </row>
    <row r="519" spans="1:28" x14ac:dyDescent="0.25">
      <c r="A519" t="s">
        <v>523</v>
      </c>
      <c r="B519">
        <v>0.99673306730245903</v>
      </c>
      <c r="C519">
        <v>0.88965589736741202</v>
      </c>
      <c r="D519">
        <v>0.71628728832179001</v>
      </c>
      <c r="E519">
        <v>0.40543318188980898</v>
      </c>
      <c r="F519">
        <v>0.244638175257995</v>
      </c>
      <c r="G519">
        <v>0.17079374843352699</v>
      </c>
      <c r="H519">
        <v>0.12472846398991901</v>
      </c>
      <c r="I519">
        <v>0.10792951602893</v>
      </c>
      <c r="J519">
        <v>0.102918942617767</v>
      </c>
      <c r="K519">
        <v>8.6263596920209407E-2</v>
      </c>
      <c r="L519">
        <v>834.39960854962396</v>
      </c>
      <c r="M519">
        <v>17.4013600018726</v>
      </c>
      <c r="N519">
        <v>48.560889222585701</v>
      </c>
      <c r="O519">
        <v>47.330444143090197</v>
      </c>
      <c r="P519">
        <v>-8.2886792954061594E-2</v>
      </c>
      <c r="Q519">
        <v>9.82664403779724E-2</v>
      </c>
      <c r="R519">
        <v>0.99856253233334202</v>
      </c>
      <c r="S519" t="s">
        <v>6971</v>
      </c>
      <c r="T519" t="s">
        <v>12902</v>
      </c>
      <c r="U519" t="s">
        <v>12902</v>
      </c>
      <c r="V519" t="s">
        <v>12902</v>
      </c>
      <c r="W519" t="s">
        <v>13416</v>
      </c>
      <c r="X519">
        <v>2</v>
      </c>
      <c r="Y519" t="s">
        <v>19811</v>
      </c>
      <c r="Z519" t="s">
        <v>26094</v>
      </c>
      <c r="AA519">
        <v>0.35442814586622229</v>
      </c>
      <c r="AB519" t="str">
        <f>HYPERLINK("Melting_Curves/meltCurve_E9PG22_CEP97.pdf", "Melting_Curves/meltCurve_E9PG22_CEP97.pdf")</f>
        <v>Melting_Curves/meltCurve_E9PG22_CEP97.pdf</v>
      </c>
    </row>
    <row r="520" spans="1:28" x14ac:dyDescent="0.25">
      <c r="A520" t="s">
        <v>524</v>
      </c>
      <c r="B520">
        <v>0.99673306730245903</v>
      </c>
      <c r="C520">
        <v>0.95086301541277995</v>
      </c>
      <c r="D520">
        <v>1.06330296542821</v>
      </c>
      <c r="E520">
        <v>1.0694552000334601</v>
      </c>
      <c r="F520">
        <v>0.99447126759011595</v>
      </c>
      <c r="G520">
        <v>0.93450397226579995</v>
      </c>
      <c r="H520">
        <v>0.70806550158285197</v>
      </c>
      <c r="I520">
        <v>0.34752242773722802</v>
      </c>
      <c r="J520">
        <v>0.117697185224675</v>
      </c>
      <c r="K520">
        <v>8.8895683836502801E-2</v>
      </c>
      <c r="L520">
        <v>1924.6045742067799</v>
      </c>
      <c r="M520">
        <v>30.856186043829599</v>
      </c>
      <c r="N520">
        <v>62.548807251285602</v>
      </c>
      <c r="O520">
        <v>62.113169449628799</v>
      </c>
      <c r="P520">
        <v>-0.11904616863090201</v>
      </c>
      <c r="Q520">
        <v>4.1451204960259301E-2</v>
      </c>
      <c r="R520">
        <v>0.99099412385663599</v>
      </c>
      <c r="S520" t="s">
        <v>6972</v>
      </c>
      <c r="T520" t="s">
        <v>12902</v>
      </c>
      <c r="U520" t="s">
        <v>12902</v>
      </c>
      <c r="V520" t="s">
        <v>12902</v>
      </c>
      <c r="W520" t="s">
        <v>13417</v>
      </c>
      <c r="X520">
        <v>15</v>
      </c>
      <c r="Y520" t="s">
        <v>19812</v>
      </c>
      <c r="Z520" t="s">
        <v>26095</v>
      </c>
      <c r="AA520">
        <v>0.76030437971827303</v>
      </c>
      <c r="AB520" t="str">
        <f>HYPERLINK("Melting_Curves/meltCurve_E9PGT1_TSN.pdf", "Melting_Curves/meltCurve_E9PGT1_TSN.pdf")</f>
        <v>Melting_Curves/meltCurve_E9PGT1_TSN.pdf</v>
      </c>
    </row>
    <row r="521" spans="1:28" x14ac:dyDescent="0.25">
      <c r="A521" t="s">
        <v>525</v>
      </c>
      <c r="B521">
        <v>0.99673306730245903</v>
      </c>
      <c r="C521">
        <v>0.93278928519741</v>
      </c>
      <c r="D521">
        <v>0.85229233973462104</v>
      </c>
      <c r="E521">
        <v>0.52778210224827404</v>
      </c>
      <c r="F521">
        <v>0.28312890925965101</v>
      </c>
      <c r="G521">
        <v>0.20053963228517499</v>
      </c>
      <c r="H521">
        <v>0.18948059702568301</v>
      </c>
      <c r="I521">
        <v>0.11356651151210501</v>
      </c>
      <c r="J521">
        <v>9.3345718838361194E-2</v>
      </c>
      <c r="K521">
        <v>7.5668507346876093E-2</v>
      </c>
      <c r="L521">
        <v>915.88813190735596</v>
      </c>
      <c r="M521">
        <v>18.506235632623</v>
      </c>
      <c r="N521">
        <v>50.131736315392601</v>
      </c>
      <c r="O521">
        <v>48.923753738939403</v>
      </c>
      <c r="P521">
        <v>-8.4607879198099006E-2</v>
      </c>
      <c r="Q521">
        <v>0.105349594862251</v>
      </c>
      <c r="R521">
        <v>0.99451705238899002</v>
      </c>
      <c r="S521" t="s">
        <v>6973</v>
      </c>
      <c r="T521" t="s">
        <v>12902</v>
      </c>
      <c r="U521" t="s">
        <v>12902</v>
      </c>
      <c r="V521" t="s">
        <v>12902</v>
      </c>
      <c r="W521" t="s">
        <v>13126</v>
      </c>
      <c r="X521">
        <v>19</v>
      </c>
      <c r="Y521" t="s">
        <v>19813</v>
      </c>
      <c r="Z521" t="s">
        <v>26096</v>
      </c>
      <c r="AA521">
        <v>0.40293722683694783</v>
      </c>
      <c r="AB521" t="str">
        <f>HYPERLINK("Melting_Curves/meltCurve_E9PGT3_RPS6KA1.pdf", "Melting_Curves/meltCurve_E9PGT3_RPS6KA1.pdf")</f>
        <v>Melting_Curves/meltCurve_E9PGT3_RPS6KA1.pdf</v>
      </c>
    </row>
    <row r="522" spans="1:28" x14ac:dyDescent="0.25">
      <c r="A522" t="s">
        <v>526</v>
      </c>
      <c r="B522">
        <v>0.99673306730245903</v>
      </c>
      <c r="C522">
        <v>0.91782833445783096</v>
      </c>
      <c r="D522">
        <v>0.97903568531639096</v>
      </c>
      <c r="E522">
        <v>0.98785412945002204</v>
      </c>
      <c r="F522">
        <v>1.1603679976783901</v>
      </c>
      <c r="G522">
        <v>1.0792260444083801</v>
      </c>
      <c r="H522">
        <v>0.62858344595623905</v>
      </c>
      <c r="I522">
        <v>0.24349870284948</v>
      </c>
      <c r="J522">
        <v>0.14370677804339599</v>
      </c>
      <c r="K522">
        <v>8.0501947626523004E-2</v>
      </c>
      <c r="L522">
        <v>2972.6227645192798</v>
      </c>
      <c r="M522">
        <v>48.466106496193099</v>
      </c>
      <c r="N522">
        <v>61.659404971934798</v>
      </c>
      <c r="O522">
        <v>61.229896862177597</v>
      </c>
      <c r="P522">
        <v>-0.17555912900657</v>
      </c>
      <c r="Q522">
        <v>0.112826746959793</v>
      </c>
      <c r="R522">
        <v>0.97081146985128597</v>
      </c>
      <c r="S522" t="s">
        <v>6974</v>
      </c>
      <c r="T522" t="s">
        <v>12902</v>
      </c>
      <c r="U522" t="s">
        <v>12902</v>
      </c>
      <c r="V522" t="s">
        <v>12902</v>
      </c>
      <c r="W522" t="s">
        <v>13418</v>
      </c>
      <c r="X522">
        <v>14</v>
      </c>
      <c r="Y522" t="s">
        <v>19814</v>
      </c>
      <c r="Z522" t="s">
        <v>26097</v>
      </c>
      <c r="AA522">
        <v>0.74615547678817529</v>
      </c>
      <c r="AB522" t="str">
        <f>HYPERLINK("Melting_Curves/meltCurve_E9PH29_PRDX3.pdf", "Melting_Curves/meltCurve_E9PH29_PRDX3.pdf")</f>
        <v>Melting_Curves/meltCurve_E9PH29_PRDX3.pdf</v>
      </c>
    </row>
    <row r="523" spans="1:28" x14ac:dyDescent="0.25">
      <c r="A523" t="s">
        <v>527</v>
      </c>
      <c r="B523">
        <v>0.99673306730245903</v>
      </c>
      <c r="C523">
        <v>0.92115530905208298</v>
      </c>
      <c r="D523">
        <v>1.0607888389594999</v>
      </c>
      <c r="E523">
        <v>1.58716212510898</v>
      </c>
      <c r="F523">
        <v>0.28336770722435001</v>
      </c>
      <c r="G523">
        <v>0.18432614015447499</v>
      </c>
      <c r="H523">
        <v>9.6844522433752397E-2</v>
      </c>
      <c r="I523">
        <v>7.28630969515809E-2</v>
      </c>
      <c r="J523">
        <v>8.1150403962841705E-2</v>
      </c>
      <c r="K523">
        <v>7.3017443430753198E-2</v>
      </c>
      <c r="L523">
        <v>13227.006763707201</v>
      </c>
      <c r="M523">
        <v>250</v>
      </c>
      <c r="N523">
        <v>52.956161739660899</v>
      </c>
      <c r="O523">
        <v>52.904650433680096</v>
      </c>
      <c r="P523">
        <v>-1.0612959637929</v>
      </c>
      <c r="Q523">
        <v>0.10164028432851099</v>
      </c>
      <c r="R523">
        <v>0.86811691765674104</v>
      </c>
      <c r="S523" t="s">
        <v>6975</v>
      </c>
      <c r="T523" t="s">
        <v>12902</v>
      </c>
      <c r="U523" t="s">
        <v>12902</v>
      </c>
      <c r="V523" t="s">
        <v>12902</v>
      </c>
      <c r="W523" t="s">
        <v>13419</v>
      </c>
      <c r="X523">
        <v>11</v>
      </c>
      <c r="Y523" t="s">
        <v>19815</v>
      </c>
      <c r="Z523" t="s">
        <v>26098</v>
      </c>
      <c r="AA523">
        <v>0.48825875000642049</v>
      </c>
      <c r="AB523" t="str">
        <f>HYPERLINK("Melting_Curves/meltCurve_E9PHF7_MCCC1.pdf", "Melting_Curves/meltCurve_E9PHF7_MCCC1.pdf")</f>
        <v>Melting_Curves/meltCurve_E9PHF7_MCCC1.pdf</v>
      </c>
    </row>
    <row r="524" spans="1:28" x14ac:dyDescent="0.25">
      <c r="A524" t="s">
        <v>528</v>
      </c>
      <c r="B524">
        <v>0.99673306730245903</v>
      </c>
      <c r="C524">
        <v>0.93571819337016504</v>
      </c>
      <c r="D524">
        <v>0.93482570308356905</v>
      </c>
      <c r="E524">
        <v>0.78067503194784604</v>
      </c>
      <c r="F524">
        <v>0.69257747061355301</v>
      </c>
      <c r="G524">
        <v>0.34845918104118501</v>
      </c>
      <c r="H524">
        <v>0.21423197630129001</v>
      </c>
      <c r="I524">
        <v>0.15446213473010101</v>
      </c>
      <c r="J524">
        <v>0.125314936041307</v>
      </c>
      <c r="K524">
        <v>0.117235814822524</v>
      </c>
      <c r="L524">
        <v>816.25401432173896</v>
      </c>
      <c r="M524">
        <v>15.00370628766</v>
      </c>
      <c r="N524">
        <v>54.950036220941101</v>
      </c>
      <c r="O524">
        <v>53.464482707824502</v>
      </c>
      <c r="P524">
        <v>-6.5301060463822405E-2</v>
      </c>
      <c r="Q524">
        <v>6.9313937312594706E-2</v>
      </c>
      <c r="R524">
        <v>0.98956871780732503</v>
      </c>
      <c r="S524" t="s">
        <v>6976</v>
      </c>
      <c r="T524" t="s">
        <v>12902</v>
      </c>
      <c r="U524" t="s">
        <v>12902</v>
      </c>
      <c r="V524" t="s">
        <v>12902</v>
      </c>
      <c r="W524" t="s">
        <v>13420</v>
      </c>
      <c r="X524">
        <v>2</v>
      </c>
      <c r="Y524" t="s">
        <v>19816</v>
      </c>
      <c r="Z524" t="s">
        <v>26099</v>
      </c>
      <c r="AA524">
        <v>0.53480769031091668</v>
      </c>
      <c r="AB524" t="str">
        <f>HYPERLINK("Melting_Curves/meltCurve_E9PHG5_CYP20A1.pdf", "Melting_Curves/meltCurve_E9PHG5_CYP20A1.pdf")</f>
        <v>Melting_Curves/meltCurve_E9PHG5_CYP20A1.pdf</v>
      </c>
    </row>
    <row r="525" spans="1:28" x14ac:dyDescent="0.25">
      <c r="A525" t="s">
        <v>529</v>
      </c>
      <c r="B525">
        <v>0.99673306730245903</v>
      </c>
      <c r="C525">
        <v>0.83098572578530205</v>
      </c>
      <c r="D525">
        <v>0.55288209456480497</v>
      </c>
      <c r="E525">
        <v>0.30594155040273802</v>
      </c>
      <c r="F525">
        <v>0.23468641292954401</v>
      </c>
      <c r="G525">
        <v>0.207726561023134</v>
      </c>
      <c r="H525">
        <v>0.11669974817194199</v>
      </c>
      <c r="I525">
        <v>0.100232458965704</v>
      </c>
      <c r="J525">
        <v>5.6099518395842797E-2</v>
      </c>
      <c r="K525">
        <v>5.24616069912512E-2</v>
      </c>
      <c r="L525">
        <v>757.57213661753997</v>
      </c>
      <c r="M525">
        <v>16.2920167352638</v>
      </c>
      <c r="N525">
        <v>47.078687603807701</v>
      </c>
      <c r="O525">
        <v>45.815932923373701</v>
      </c>
      <c r="P525">
        <v>-8.0833207332511495E-2</v>
      </c>
      <c r="Q525">
        <v>9.0798866315557503E-2</v>
      </c>
      <c r="R525">
        <v>0.98476059351391998</v>
      </c>
      <c r="S525" t="s">
        <v>6977</v>
      </c>
      <c r="T525" t="s">
        <v>12902</v>
      </c>
      <c r="U525" t="s">
        <v>12902</v>
      </c>
      <c r="V525" t="s">
        <v>12902</v>
      </c>
      <c r="W525" t="s">
        <v>13421</v>
      </c>
      <c r="X525">
        <v>2</v>
      </c>
      <c r="Y525" t="s">
        <v>19817</v>
      </c>
      <c r="Z525" t="s">
        <v>26100</v>
      </c>
      <c r="AA525">
        <v>0.309221268082715</v>
      </c>
      <c r="AB525" t="str">
        <f>HYPERLINK("Melting_Curves/meltCurve_E9PHH8_PIAS3.pdf", "Melting_Curves/meltCurve_E9PHH8_PIAS3.pdf")</f>
        <v>Melting_Curves/meltCurve_E9PHH8_PIAS3.pdf</v>
      </c>
    </row>
    <row r="526" spans="1:28" x14ac:dyDescent="0.25">
      <c r="A526" t="s">
        <v>530</v>
      </c>
      <c r="B526">
        <v>0.99673306730245903</v>
      </c>
      <c r="C526">
        <v>0.95940367847532704</v>
      </c>
      <c r="D526">
        <v>0.89417293703929102</v>
      </c>
      <c r="E526">
        <v>0.83123186857731901</v>
      </c>
      <c r="F526">
        <v>0.42201259643466299</v>
      </c>
      <c r="G526">
        <v>0.19590322364517401</v>
      </c>
      <c r="H526">
        <v>0.12426784581752801</v>
      </c>
      <c r="I526">
        <v>0.134934926297549</v>
      </c>
      <c r="J526">
        <v>0.17393059199941199</v>
      </c>
      <c r="K526">
        <v>0.158938410334927</v>
      </c>
      <c r="L526">
        <v>1454.3968063316299</v>
      </c>
      <c r="M526">
        <v>28.061628841202701</v>
      </c>
      <c r="N526">
        <v>52.4473551281163</v>
      </c>
      <c r="O526">
        <v>51.567605585917001</v>
      </c>
      <c r="P526">
        <v>-0.116874549264868</v>
      </c>
      <c r="Q526">
        <v>0.14090673917864499</v>
      </c>
      <c r="R526">
        <v>0.99157866867775202</v>
      </c>
      <c r="S526" t="s">
        <v>6978</v>
      </c>
      <c r="T526" t="s">
        <v>12902</v>
      </c>
      <c r="U526" t="s">
        <v>12902</v>
      </c>
      <c r="V526" t="s">
        <v>12902</v>
      </c>
      <c r="W526" t="s">
        <v>13422</v>
      </c>
      <c r="X526">
        <v>40</v>
      </c>
      <c r="Y526" t="s">
        <v>19818</v>
      </c>
      <c r="Z526" t="s">
        <v>26101</v>
      </c>
      <c r="AA526">
        <v>0.48588559663361491</v>
      </c>
      <c r="AB526" t="str">
        <f>HYPERLINK("Melting_Curves/meltCurve_E9PHY5_EPB41L2.pdf", "Melting_Curves/meltCurve_E9PHY5_EPB41L2.pdf")</f>
        <v>Melting_Curves/meltCurve_E9PHY5_EPB41L2.pdf</v>
      </c>
    </row>
    <row r="527" spans="1:28" x14ac:dyDescent="0.25">
      <c r="A527" t="s">
        <v>531</v>
      </c>
      <c r="B527">
        <v>0.99673306730245903</v>
      </c>
      <c r="C527">
        <v>0.91404563683372997</v>
      </c>
      <c r="D527">
        <v>0.881514775592107</v>
      </c>
      <c r="E527">
        <v>0.73810731695966203</v>
      </c>
      <c r="F527">
        <v>0.35994162227501802</v>
      </c>
      <c r="G527">
        <v>0.21101731742278801</v>
      </c>
      <c r="H527">
        <v>0.13008866350241799</v>
      </c>
      <c r="I527">
        <v>0.123955954807848</v>
      </c>
      <c r="J527">
        <v>0.101742666787736</v>
      </c>
      <c r="K527">
        <v>7.9641057271393603E-2</v>
      </c>
      <c r="L527">
        <v>983.81623559194099</v>
      </c>
      <c r="M527">
        <v>19.1744802573259</v>
      </c>
      <c r="N527">
        <v>51.823548327376102</v>
      </c>
      <c r="O527">
        <v>50.760323215341799</v>
      </c>
      <c r="P527">
        <v>-8.6248976051901502E-2</v>
      </c>
      <c r="Q527">
        <v>8.6732452900958296E-2</v>
      </c>
      <c r="R527">
        <v>0.99309968712740304</v>
      </c>
      <c r="S527" t="s">
        <v>6979</v>
      </c>
      <c r="T527" t="s">
        <v>12902</v>
      </c>
      <c r="U527" t="s">
        <v>12902</v>
      </c>
      <c r="V527" t="s">
        <v>12902</v>
      </c>
      <c r="W527" t="s">
        <v>13423</v>
      </c>
      <c r="X527">
        <v>6</v>
      </c>
      <c r="Y527" t="s">
        <v>19819</v>
      </c>
      <c r="Z527" t="s">
        <v>26102</v>
      </c>
      <c r="AA527">
        <v>0.44467813031797621</v>
      </c>
      <c r="AB527" t="str">
        <f>HYPERLINK("Melting_Curves/meltCurve_E9PHY8_MROH1.pdf", "Melting_Curves/meltCurve_E9PHY8_MROH1.pdf")</f>
        <v>Melting_Curves/meltCurve_E9PHY8_MROH1.pdf</v>
      </c>
    </row>
    <row r="528" spans="1:28" x14ac:dyDescent="0.25">
      <c r="A528" t="s">
        <v>532</v>
      </c>
      <c r="B528">
        <v>0.99673306730245903</v>
      </c>
      <c r="C528">
        <v>0.79170407885516902</v>
      </c>
      <c r="D528">
        <v>1.1600912329770501</v>
      </c>
      <c r="E528">
        <v>0.62880285130072699</v>
      </c>
      <c r="F528">
        <v>0.145990843539448</v>
      </c>
      <c r="G528">
        <v>6.9230392380823194E-2</v>
      </c>
      <c r="H528">
        <v>2.8806684816377201E-2</v>
      </c>
      <c r="I528">
        <v>2.9178105400800399E-2</v>
      </c>
      <c r="J528">
        <v>3.02767307909859E-2</v>
      </c>
      <c r="K528">
        <v>3.7554000688645901E-2</v>
      </c>
      <c r="L528">
        <v>2363.5355954469501</v>
      </c>
      <c r="M528">
        <v>47.107152233194398</v>
      </c>
      <c r="N528">
        <v>50.273336391366399</v>
      </c>
      <c r="O528">
        <v>50.083434676840398</v>
      </c>
      <c r="P528">
        <v>-0.224654140482694</v>
      </c>
      <c r="Q528">
        <v>4.4608876143008E-2</v>
      </c>
      <c r="R528">
        <v>0.95880234170216505</v>
      </c>
      <c r="S528" t="s">
        <v>6980</v>
      </c>
      <c r="T528" t="s">
        <v>12902</v>
      </c>
      <c r="U528" t="s">
        <v>12902</v>
      </c>
      <c r="V528" t="s">
        <v>12902</v>
      </c>
      <c r="W528" t="s">
        <v>12916</v>
      </c>
      <c r="X528">
        <v>1</v>
      </c>
      <c r="Y528" t="s">
        <v>19311</v>
      </c>
      <c r="Z528" t="s">
        <v>26103</v>
      </c>
      <c r="AA528">
        <v>0.37098508154394971</v>
      </c>
      <c r="AB528" t="str">
        <f>HYPERLINK("Melting_Curves/meltCurve_E9PIB1_HLA_DQB1.pdf", "Melting_Curves/meltCurve_E9PIB1_HLA_DQB1.pdf")</f>
        <v>Melting_Curves/meltCurve_E9PIB1_HLA_DQB1.pdf</v>
      </c>
    </row>
    <row r="529" spans="1:28" x14ac:dyDescent="0.25">
      <c r="A529" t="s">
        <v>533</v>
      </c>
      <c r="B529">
        <v>0.99673306730245903</v>
      </c>
      <c r="C529">
        <v>0.89026353652014301</v>
      </c>
      <c r="D529">
        <v>0.89853507374978003</v>
      </c>
      <c r="E529">
        <v>0.78277076727865602</v>
      </c>
      <c r="F529">
        <v>0.71480435904902295</v>
      </c>
      <c r="G529">
        <v>0.81684583482303197</v>
      </c>
      <c r="H529">
        <v>0.67438619853373005</v>
      </c>
      <c r="I529">
        <v>0.89965129070448702</v>
      </c>
      <c r="J529">
        <v>0.85124879712433499</v>
      </c>
      <c r="K529">
        <v>0.49593870803763002</v>
      </c>
      <c r="L529">
        <v>615.83626569929504</v>
      </c>
      <c r="M529">
        <v>13.3943706007218</v>
      </c>
      <c r="O529">
        <v>44.988714740674901</v>
      </c>
      <c r="P529">
        <v>-2.0212142120631799E-2</v>
      </c>
      <c r="Q529">
        <v>0.72849043227180998</v>
      </c>
      <c r="R529">
        <v>0.39589940948817398</v>
      </c>
      <c r="S529" t="s">
        <v>6981</v>
      </c>
      <c r="T529" t="s">
        <v>12902</v>
      </c>
      <c r="U529" t="s">
        <v>12902</v>
      </c>
      <c r="V529" t="s">
        <v>12902</v>
      </c>
      <c r="W529" t="s">
        <v>13424</v>
      </c>
      <c r="X529">
        <v>1</v>
      </c>
      <c r="Y529" t="s">
        <v>19820</v>
      </c>
      <c r="Z529" t="s">
        <v>26104</v>
      </c>
      <c r="AA529">
        <v>0.79260370417801707</v>
      </c>
      <c r="AB529" t="str">
        <f>HYPERLINK("Melting_Curves/meltCurve_E9PIC0_SDHD.pdf", "Melting_Curves/meltCurve_E9PIC0_SDHD.pdf")</f>
        <v>Melting_Curves/meltCurve_E9PIC0_SDHD.pdf</v>
      </c>
    </row>
    <row r="530" spans="1:28" x14ac:dyDescent="0.25">
      <c r="A530" t="s">
        <v>534</v>
      </c>
      <c r="B530">
        <v>0.99673306730245903</v>
      </c>
      <c r="C530">
        <v>1.0246268209348</v>
      </c>
      <c r="D530">
        <v>0.91110440519330704</v>
      </c>
      <c r="E530">
        <v>0.76559858087515698</v>
      </c>
      <c r="F530">
        <v>0.57430577768228996</v>
      </c>
      <c r="G530">
        <v>0.32580028866278299</v>
      </c>
      <c r="H530">
        <v>0.129683662183741</v>
      </c>
      <c r="I530">
        <v>9.1089901149227798E-2</v>
      </c>
      <c r="J530">
        <v>6.3199236192996999E-2</v>
      </c>
      <c r="K530">
        <v>5.09325794535588E-2</v>
      </c>
      <c r="L530">
        <v>819.13584954426301</v>
      </c>
      <c r="M530">
        <v>15.2164101932749</v>
      </c>
      <c r="N530">
        <v>53.914766475984003</v>
      </c>
      <c r="O530">
        <v>52.928324966205203</v>
      </c>
      <c r="P530">
        <v>-7.1053743356203306E-2</v>
      </c>
      <c r="Q530">
        <v>1.14891985175732E-2</v>
      </c>
      <c r="R530">
        <v>0.99698312496372599</v>
      </c>
      <c r="S530" t="s">
        <v>6982</v>
      </c>
      <c r="T530" t="s">
        <v>12902</v>
      </c>
      <c r="U530" t="s">
        <v>12902</v>
      </c>
      <c r="V530" t="s">
        <v>12902</v>
      </c>
      <c r="W530" t="s">
        <v>13425</v>
      </c>
      <c r="X530">
        <v>9</v>
      </c>
      <c r="Y530" t="s">
        <v>19821</v>
      </c>
      <c r="Z530" t="s">
        <v>26105</v>
      </c>
      <c r="AA530">
        <v>0.48736292483946309</v>
      </c>
      <c r="AB530" t="str">
        <f>HYPERLINK("Melting_Curves/meltCurve_E9PIE4_MTCH2.pdf", "Melting_Curves/meltCurve_E9PIE4_MTCH2.pdf")</f>
        <v>Melting_Curves/meltCurve_E9PIE4_MTCH2.pdf</v>
      </c>
    </row>
    <row r="531" spans="1:28" x14ac:dyDescent="0.25">
      <c r="A531" t="s">
        <v>535</v>
      </c>
      <c r="B531">
        <v>0.99673306730245903</v>
      </c>
      <c r="C531">
        <v>0.889957047650071</v>
      </c>
      <c r="D531">
        <v>1.01300823956751</v>
      </c>
      <c r="E531">
        <v>0.77258872732012995</v>
      </c>
      <c r="F531">
        <v>0.62695168630145504</v>
      </c>
      <c r="G531">
        <v>0.37525471696315799</v>
      </c>
      <c r="H531">
        <v>0.37984658795911802</v>
      </c>
      <c r="I531">
        <v>0.492770922967327</v>
      </c>
      <c r="J531">
        <v>0.85922630775267805</v>
      </c>
      <c r="K531">
        <v>1.2837155925499699</v>
      </c>
      <c r="L531">
        <v>12360.696512091699</v>
      </c>
      <c r="M531">
        <v>250</v>
      </c>
      <c r="O531">
        <v>49.439622051649899</v>
      </c>
      <c r="P531">
        <v>-0.41764625165459401</v>
      </c>
      <c r="Q531">
        <v>0.66962763514894896</v>
      </c>
      <c r="R531">
        <v>0.21569775287725601</v>
      </c>
      <c r="S531" t="s">
        <v>6983</v>
      </c>
      <c r="T531" t="s">
        <v>12902</v>
      </c>
      <c r="U531" t="s">
        <v>12902</v>
      </c>
      <c r="V531" t="s">
        <v>12902</v>
      </c>
      <c r="W531" t="s">
        <v>13426</v>
      </c>
      <c r="X531">
        <v>12</v>
      </c>
      <c r="Y531" t="s">
        <v>19822</v>
      </c>
      <c r="Z531" t="s">
        <v>26106</v>
      </c>
      <c r="AA531">
        <v>0.77364415391452546</v>
      </c>
      <c r="AB531" t="str">
        <f>HYPERLINK("Melting_Curves/meltCurve_E9PJ04_SF3B2.pdf", "Melting_Curves/meltCurve_E9PJ04_SF3B2.pdf")</f>
        <v>Melting_Curves/meltCurve_E9PJ04_SF3B2.pdf</v>
      </c>
    </row>
    <row r="532" spans="1:28" x14ac:dyDescent="0.25">
      <c r="A532" t="s">
        <v>536</v>
      </c>
      <c r="B532">
        <v>0.99673306730245903</v>
      </c>
      <c r="C532">
        <v>0.96692809837573201</v>
      </c>
      <c r="D532">
        <v>1.03342076958602</v>
      </c>
      <c r="E532">
        <v>0.68369329460188799</v>
      </c>
      <c r="F532">
        <v>0.61710130599003099</v>
      </c>
      <c r="G532">
        <v>0.35214355944242698</v>
      </c>
      <c r="H532">
        <v>0.28116155043552399</v>
      </c>
      <c r="I532">
        <v>0.247104570879595</v>
      </c>
      <c r="J532">
        <v>0.35362551549886501</v>
      </c>
      <c r="K532">
        <v>0.31406871791844798</v>
      </c>
      <c r="L532">
        <v>1037.74096585592</v>
      </c>
      <c r="M532">
        <v>20.141678668685</v>
      </c>
      <c r="N532">
        <v>53.804447953691501</v>
      </c>
      <c r="O532">
        <v>51.022263678479298</v>
      </c>
      <c r="P532">
        <v>-7.0345684625760296E-2</v>
      </c>
      <c r="Q532">
        <v>0.28723269373758797</v>
      </c>
      <c r="R532">
        <v>0.96324976237359805</v>
      </c>
      <c r="S532" t="s">
        <v>6984</v>
      </c>
      <c r="T532" t="s">
        <v>12902</v>
      </c>
      <c r="U532" t="s">
        <v>12902</v>
      </c>
      <c r="V532" t="s">
        <v>12902</v>
      </c>
      <c r="W532" t="s">
        <v>13427</v>
      </c>
      <c r="X532">
        <v>1</v>
      </c>
      <c r="Y532" t="s">
        <v>19823</v>
      </c>
      <c r="Z532" t="s">
        <v>26107</v>
      </c>
      <c r="AA532">
        <v>0.57073801956785342</v>
      </c>
      <c r="AB532" t="str">
        <f>HYPERLINK("Melting_Curves/meltCurve_E9PJ55_TCP11L1.pdf", "Melting_Curves/meltCurve_E9PJ55_TCP11L1.pdf")</f>
        <v>Melting_Curves/meltCurve_E9PJ55_TCP11L1.pdf</v>
      </c>
    </row>
    <row r="533" spans="1:28" x14ac:dyDescent="0.25">
      <c r="A533" t="s">
        <v>537</v>
      </c>
      <c r="B533">
        <v>0.99673306730245903</v>
      </c>
      <c r="C533">
        <v>1.00093203728538</v>
      </c>
      <c r="D533">
        <v>0.836815765725896</v>
      </c>
      <c r="E533">
        <v>0.50990056912946002</v>
      </c>
      <c r="F533">
        <v>0.25974907499982097</v>
      </c>
      <c r="G533">
        <v>0.160959447148077</v>
      </c>
      <c r="H533">
        <v>0.106996815321967</v>
      </c>
      <c r="I533">
        <v>0.116845921260189</v>
      </c>
      <c r="J533">
        <v>0.15156358457260999</v>
      </c>
      <c r="K533">
        <v>0.14420036685839099</v>
      </c>
      <c r="L533">
        <v>1148.1043936475701</v>
      </c>
      <c r="M533">
        <v>23.394862839283199</v>
      </c>
      <c r="N533">
        <v>49.700877442554201</v>
      </c>
      <c r="O533">
        <v>48.720726007715598</v>
      </c>
      <c r="P533">
        <v>-0.10473258804515399</v>
      </c>
      <c r="Q533">
        <v>0.12757645622759201</v>
      </c>
      <c r="R533">
        <v>0.99765038168843601</v>
      </c>
      <c r="S533" t="s">
        <v>6985</v>
      </c>
      <c r="T533" t="s">
        <v>12902</v>
      </c>
      <c r="U533" t="s">
        <v>12902</v>
      </c>
      <c r="V533" t="s">
        <v>12902</v>
      </c>
      <c r="W533" t="s">
        <v>13428</v>
      </c>
      <c r="X533">
        <v>12</v>
      </c>
      <c r="Y533" t="s">
        <v>19824</v>
      </c>
      <c r="Z533" t="s">
        <v>26108</v>
      </c>
      <c r="AA533">
        <v>0.40035160099562472</v>
      </c>
      <c r="AB533" t="str">
        <f>HYPERLINK("Melting_Curves/meltCurve_E9PJ81_UBXN1.pdf", "Melting_Curves/meltCurve_E9PJ81_UBXN1.pdf")</f>
        <v>Melting_Curves/meltCurve_E9PJ81_UBXN1.pdf</v>
      </c>
    </row>
    <row r="534" spans="1:28" x14ac:dyDescent="0.25">
      <c r="A534" t="s">
        <v>538</v>
      </c>
      <c r="B534">
        <v>0.99673306730245903</v>
      </c>
      <c r="C534">
        <v>1.02344302215355</v>
      </c>
      <c r="D534">
        <v>0.95529208896106599</v>
      </c>
      <c r="E534">
        <v>0.93845326824898501</v>
      </c>
      <c r="F534">
        <v>0.77631007775218996</v>
      </c>
      <c r="G534">
        <v>0.49981360738015301</v>
      </c>
      <c r="H534">
        <v>0.24486232171984601</v>
      </c>
      <c r="I534">
        <v>0.12509843191096501</v>
      </c>
      <c r="J534">
        <v>0.13767604849468501</v>
      </c>
      <c r="K534">
        <v>0.11108997039752699</v>
      </c>
      <c r="L534">
        <v>1151.15331843882</v>
      </c>
      <c r="M534">
        <v>20.504921674567701</v>
      </c>
      <c r="N534">
        <v>56.678055486521501</v>
      </c>
      <c r="O534">
        <v>55.614563733108099</v>
      </c>
      <c r="P534">
        <v>-8.4029384288908798E-2</v>
      </c>
      <c r="Q534">
        <v>8.8390625404117296E-2</v>
      </c>
      <c r="R534">
        <v>0.99764805791689404</v>
      </c>
      <c r="S534" t="s">
        <v>6986</v>
      </c>
      <c r="T534" t="s">
        <v>12902</v>
      </c>
      <c r="U534" t="s">
        <v>12902</v>
      </c>
      <c r="V534" t="s">
        <v>12902</v>
      </c>
      <c r="W534" t="s">
        <v>13429</v>
      </c>
      <c r="X534">
        <v>6</v>
      </c>
      <c r="Y534" t="s">
        <v>19825</v>
      </c>
      <c r="Z534" t="s">
        <v>26109</v>
      </c>
      <c r="AA534">
        <v>0.59013210401306426</v>
      </c>
      <c r="AB534" t="str">
        <f>HYPERLINK("Melting_Curves/meltCurve_E9PJD7_CYHR1.pdf", "Melting_Curves/meltCurve_E9PJD7_CYHR1.pdf")</f>
        <v>Melting_Curves/meltCurve_E9PJD7_CYHR1.pdf</v>
      </c>
    </row>
    <row r="535" spans="1:28" x14ac:dyDescent="0.25">
      <c r="A535" t="s">
        <v>539</v>
      </c>
      <c r="B535">
        <v>0.99673306730245903</v>
      </c>
      <c r="C535">
        <v>0.78328782300588495</v>
      </c>
      <c r="D535">
        <v>0.57261824416919505</v>
      </c>
      <c r="E535">
        <v>0.36765281912797099</v>
      </c>
      <c r="F535">
        <v>0.27936937568949499</v>
      </c>
      <c r="G535">
        <v>0.225518946816293</v>
      </c>
      <c r="H535">
        <v>0.14560481249013199</v>
      </c>
      <c r="I535">
        <v>0.19645254996220701</v>
      </c>
      <c r="J535">
        <v>0.21716374689151099</v>
      </c>
      <c r="K535">
        <v>0.216834891044341</v>
      </c>
      <c r="L535">
        <v>812.09213806027401</v>
      </c>
      <c r="M535">
        <v>17.752982422404099</v>
      </c>
      <c r="N535">
        <v>47.064195945556797</v>
      </c>
      <c r="O535">
        <v>45.175406949112698</v>
      </c>
      <c r="P535">
        <v>-7.8980517912490306E-2</v>
      </c>
      <c r="Q535">
        <v>0.19612579824984999</v>
      </c>
      <c r="R535">
        <v>0.98837449395191601</v>
      </c>
      <c r="S535" t="s">
        <v>6987</v>
      </c>
      <c r="T535" t="s">
        <v>12902</v>
      </c>
      <c r="U535" t="s">
        <v>12902</v>
      </c>
      <c r="V535" t="s">
        <v>12902</v>
      </c>
      <c r="W535" t="s">
        <v>13430</v>
      </c>
      <c r="X535">
        <v>1</v>
      </c>
      <c r="Y535" t="s">
        <v>19826</v>
      </c>
      <c r="Z535" t="s">
        <v>26110</v>
      </c>
      <c r="AA535">
        <v>0.36666074909937091</v>
      </c>
      <c r="AB535" t="str">
        <f>HYPERLINK("Melting_Curves/meltCurve_E9PJF5_BRMS1.pdf", "Melting_Curves/meltCurve_E9PJF5_BRMS1.pdf")</f>
        <v>Melting_Curves/meltCurve_E9PJF5_BRMS1.pdf</v>
      </c>
    </row>
    <row r="536" spans="1:28" x14ac:dyDescent="0.25">
      <c r="A536" t="s">
        <v>540</v>
      </c>
      <c r="B536">
        <v>0.99673306730245903</v>
      </c>
      <c r="C536">
        <v>0.90803926931107404</v>
      </c>
      <c r="D536">
        <v>0.77292716939802397</v>
      </c>
      <c r="E536">
        <v>0.64957084742951399</v>
      </c>
      <c r="F536">
        <v>0.56624683797689301</v>
      </c>
      <c r="G536">
        <v>0.47575903011126303</v>
      </c>
      <c r="H536">
        <v>0.39982429374654299</v>
      </c>
      <c r="I536">
        <v>0.55932830924941801</v>
      </c>
      <c r="J536">
        <v>0.47198650310998003</v>
      </c>
      <c r="K536">
        <v>0.486579870996803</v>
      </c>
      <c r="L536">
        <v>775.44161810139303</v>
      </c>
      <c r="M536">
        <v>16.452529610353199</v>
      </c>
      <c r="N536">
        <v>57.2878163377882</v>
      </c>
      <c r="O536">
        <v>46.452236608776197</v>
      </c>
      <c r="P536">
        <v>-4.6671794177397301E-2</v>
      </c>
      <c r="Q536">
        <v>0.472942367341329</v>
      </c>
      <c r="R536">
        <v>0.95544958088477305</v>
      </c>
      <c r="S536" t="s">
        <v>6988</v>
      </c>
      <c r="T536" t="s">
        <v>12902</v>
      </c>
      <c r="U536" t="s">
        <v>12902</v>
      </c>
      <c r="V536" t="s">
        <v>12902</v>
      </c>
      <c r="W536" t="s">
        <v>13431</v>
      </c>
      <c r="X536">
        <v>2</v>
      </c>
      <c r="Y536" t="s">
        <v>19827</v>
      </c>
      <c r="Z536" t="s">
        <v>26111</v>
      </c>
      <c r="AA536">
        <v>0.60995807551394488</v>
      </c>
      <c r="AB536" t="str">
        <f>HYPERLINK("Melting_Curves/meltCurve_E9PJK1_CD81.pdf", "Melting_Curves/meltCurve_E9PJK1_CD81.pdf")</f>
        <v>Melting_Curves/meltCurve_E9PJK1_CD81.pdf</v>
      </c>
    </row>
    <row r="537" spans="1:28" x14ac:dyDescent="0.25">
      <c r="A537" t="s">
        <v>541</v>
      </c>
      <c r="B537">
        <v>0.99673306730245903</v>
      </c>
      <c r="C537">
        <v>0.97273247816012898</v>
      </c>
      <c r="D537">
        <v>0.93278544211444903</v>
      </c>
      <c r="E537">
        <v>0.84469564381927298</v>
      </c>
      <c r="F537">
        <v>0.57147772088361204</v>
      </c>
      <c r="G537">
        <v>0.30574161590512999</v>
      </c>
      <c r="H537">
        <v>0.13730453087103001</v>
      </c>
      <c r="I537">
        <v>9.4839842029891597E-2</v>
      </c>
      <c r="J537">
        <v>9.6272224494820299E-2</v>
      </c>
      <c r="K537">
        <v>8.3920642162743697E-2</v>
      </c>
      <c r="L537">
        <v>1027.4899102760801</v>
      </c>
      <c r="M537">
        <v>19.1642922547654</v>
      </c>
      <c r="N537">
        <v>54.007557632661502</v>
      </c>
      <c r="O537">
        <v>53.041268986222597</v>
      </c>
      <c r="P537">
        <v>-8.4455471356633602E-2</v>
      </c>
      <c r="Q537">
        <v>6.5041910377897E-2</v>
      </c>
      <c r="R537">
        <v>0.99868111274972704</v>
      </c>
      <c r="S537" t="s">
        <v>6989</v>
      </c>
      <c r="T537" t="s">
        <v>12902</v>
      </c>
      <c r="U537" t="s">
        <v>12902</v>
      </c>
      <c r="V537" t="s">
        <v>12902</v>
      </c>
      <c r="W537" t="s">
        <v>13432</v>
      </c>
      <c r="X537">
        <v>7</v>
      </c>
      <c r="Y537" t="s">
        <v>19828</v>
      </c>
      <c r="Z537" t="s">
        <v>26112</v>
      </c>
      <c r="AA537">
        <v>0.50304611119518061</v>
      </c>
      <c r="AB537" t="str">
        <f>HYPERLINK("Melting_Curves/meltCurve_E9PJM3_FBXO3.pdf", "Melting_Curves/meltCurve_E9PJM3_FBXO3.pdf")</f>
        <v>Melting_Curves/meltCurve_E9PJM3_FBXO3.pdf</v>
      </c>
    </row>
    <row r="538" spans="1:28" x14ac:dyDescent="0.25">
      <c r="A538" t="s">
        <v>542</v>
      </c>
      <c r="B538">
        <v>0.99673306730245903</v>
      </c>
      <c r="C538">
        <v>0.63464231701050899</v>
      </c>
      <c r="D538">
        <v>0.27568465886182097</v>
      </c>
      <c r="E538">
        <v>0.11624367650015301</v>
      </c>
      <c r="F538">
        <v>5.3978194268648E-2</v>
      </c>
      <c r="G538">
        <v>4.1724218744130702E-2</v>
      </c>
      <c r="H538">
        <v>2.5566582029542099E-2</v>
      </c>
      <c r="I538">
        <v>2.7264369164586098E-2</v>
      </c>
      <c r="J538">
        <v>2.3651346484257499E-2</v>
      </c>
      <c r="K538">
        <v>2.9368202052494401E-2</v>
      </c>
      <c r="L538">
        <v>1139.77695787993</v>
      </c>
      <c r="M538">
        <v>25.928297071788599</v>
      </c>
      <c r="N538">
        <v>44.086400325163602</v>
      </c>
      <c r="O538">
        <v>43.699817404352302</v>
      </c>
      <c r="P538">
        <v>-0.14297186507974199</v>
      </c>
      <c r="Q538">
        <v>3.6146226693904E-2</v>
      </c>
      <c r="R538">
        <v>0.99306411026574803</v>
      </c>
      <c r="S538" t="s">
        <v>6990</v>
      </c>
      <c r="T538" t="s">
        <v>12902</v>
      </c>
      <c r="U538" t="s">
        <v>12902</v>
      </c>
      <c r="V538" t="s">
        <v>12902</v>
      </c>
      <c r="W538" t="s">
        <v>13126</v>
      </c>
      <c r="X538">
        <v>2</v>
      </c>
      <c r="Y538" t="s">
        <v>19829</v>
      </c>
      <c r="Z538" t="s">
        <v>26113</v>
      </c>
      <c r="AA538">
        <v>0.17350911547912329</v>
      </c>
      <c r="AB538" t="str">
        <f>HYPERLINK("Melting_Curves/meltCurve_E9PJN1_RPS6KA4.pdf", "Melting_Curves/meltCurve_E9PJN1_RPS6KA4.pdf")</f>
        <v>Melting_Curves/meltCurve_E9PJN1_RPS6KA4.pdf</v>
      </c>
    </row>
    <row r="539" spans="1:28" x14ac:dyDescent="0.25">
      <c r="A539" t="s">
        <v>543</v>
      </c>
      <c r="B539">
        <v>0.99673306730245903</v>
      </c>
      <c r="C539">
        <v>0.78572531907010301</v>
      </c>
      <c r="D539">
        <v>0.66411426267570595</v>
      </c>
      <c r="E539">
        <v>0.54305906186898101</v>
      </c>
      <c r="F539">
        <v>0.16066186236121799</v>
      </c>
      <c r="G539">
        <v>9.4553899594639806E-2</v>
      </c>
      <c r="H539">
        <v>5.77829108333342E-2</v>
      </c>
      <c r="I539">
        <v>7.2390995105688E-2</v>
      </c>
      <c r="J539">
        <v>9.0861276653633305E-2</v>
      </c>
      <c r="K539">
        <v>9.9512526158218706E-2</v>
      </c>
      <c r="L539">
        <v>702.77035330831495</v>
      </c>
      <c r="M539">
        <v>14.5845306692324</v>
      </c>
      <c r="N539">
        <v>48.500368800172403</v>
      </c>
      <c r="O539">
        <v>47.307284044777496</v>
      </c>
      <c r="P539">
        <v>-7.3605445500396299E-2</v>
      </c>
      <c r="Q539">
        <v>4.5103059673056202E-2</v>
      </c>
      <c r="R539">
        <v>0.96996294994904197</v>
      </c>
      <c r="S539" t="s">
        <v>6991</v>
      </c>
      <c r="T539" t="s">
        <v>12902</v>
      </c>
      <c r="U539" t="s">
        <v>12902</v>
      </c>
      <c r="V539" t="s">
        <v>12902</v>
      </c>
      <c r="W539" t="s">
        <v>13433</v>
      </c>
      <c r="X539">
        <v>17</v>
      </c>
      <c r="Y539" t="s">
        <v>19830</v>
      </c>
      <c r="Z539" t="s">
        <v>26114</v>
      </c>
      <c r="AA539">
        <v>0.33139864516862583</v>
      </c>
      <c r="AB539" t="str">
        <f>HYPERLINK("Melting_Curves/meltCurve_E9PK01_EEF1D.pdf", "Melting_Curves/meltCurve_E9PK01_EEF1D.pdf")</f>
        <v>Melting_Curves/meltCurve_E9PK01_EEF1D.pdf</v>
      </c>
    </row>
    <row r="540" spans="1:28" x14ac:dyDescent="0.25">
      <c r="A540" t="s">
        <v>544</v>
      </c>
      <c r="B540">
        <v>0.99673306730245903</v>
      </c>
      <c r="C540">
        <v>0.91120937229391197</v>
      </c>
      <c r="D540">
        <v>0.67245139352409999</v>
      </c>
      <c r="E540">
        <v>0.24127442623013301</v>
      </c>
      <c r="F540">
        <v>0.14482797160852601</v>
      </c>
      <c r="G540">
        <v>8.7409598697822402E-2</v>
      </c>
      <c r="H540">
        <v>6.2030708758735599E-2</v>
      </c>
      <c r="I540">
        <v>6.4452596894382999E-2</v>
      </c>
      <c r="J540">
        <v>9.2769816020856002E-2</v>
      </c>
      <c r="K540">
        <v>8.3242819585937503E-2</v>
      </c>
      <c r="L540">
        <v>1229.45498122702</v>
      </c>
      <c r="M540">
        <v>26.192168381653399</v>
      </c>
      <c r="N540">
        <v>47.246099725516103</v>
      </c>
      <c r="O540">
        <v>46.668734369556198</v>
      </c>
      <c r="P540">
        <v>-0.129354141925169</v>
      </c>
      <c r="Q540">
        <v>7.8086771891625606E-2</v>
      </c>
      <c r="R540">
        <v>0.99817487086267798</v>
      </c>
      <c r="S540" t="s">
        <v>6992</v>
      </c>
      <c r="T540" t="s">
        <v>12902</v>
      </c>
      <c r="U540" t="s">
        <v>12902</v>
      </c>
      <c r="V540" t="s">
        <v>12902</v>
      </c>
      <c r="W540" t="s">
        <v>13434</v>
      </c>
      <c r="X540">
        <v>4</v>
      </c>
      <c r="Y540" t="s">
        <v>19831</v>
      </c>
      <c r="Z540" t="s">
        <v>26115</v>
      </c>
      <c r="AA540">
        <v>0.29878606343345532</v>
      </c>
      <c r="AB540" t="str">
        <f>HYPERLINK("Melting_Curves/meltCurve_E9PK26_SNX15.pdf", "Melting_Curves/meltCurve_E9PK26_SNX15.pdf")</f>
        <v>Melting_Curves/meltCurve_E9PK26_SNX15.pdf</v>
      </c>
    </row>
    <row r="541" spans="1:28" x14ac:dyDescent="0.25">
      <c r="A541" t="s">
        <v>545</v>
      </c>
      <c r="B541">
        <v>0.99673306730245903</v>
      </c>
      <c r="C541">
        <v>0.92767917090052598</v>
      </c>
      <c r="D541">
        <v>0.950286327887227</v>
      </c>
      <c r="E541">
        <v>0.80962160960354501</v>
      </c>
      <c r="F541">
        <v>0.57417324220340205</v>
      </c>
      <c r="G541">
        <v>0.39493602653542298</v>
      </c>
      <c r="H541">
        <v>0.30068887608243</v>
      </c>
      <c r="I541">
        <v>0.33878967194596898</v>
      </c>
      <c r="J541">
        <v>0.53285275120490605</v>
      </c>
      <c r="K541">
        <v>0.52375653115938603</v>
      </c>
      <c r="L541">
        <v>1473.1368447024299</v>
      </c>
      <c r="M541">
        <v>28.956615784368299</v>
      </c>
      <c r="N541">
        <v>54.217613328594297</v>
      </c>
      <c r="O541">
        <v>50.633149054211103</v>
      </c>
      <c r="P541">
        <v>-8.3472649730874995E-2</v>
      </c>
      <c r="Q541">
        <v>0.41616778116358</v>
      </c>
      <c r="R541">
        <v>0.91359639932359005</v>
      </c>
      <c r="S541" t="s">
        <v>6993</v>
      </c>
      <c r="T541" t="s">
        <v>12902</v>
      </c>
      <c r="U541" t="s">
        <v>12902</v>
      </c>
      <c r="V541" t="s">
        <v>12902</v>
      </c>
      <c r="W541" t="s">
        <v>13435</v>
      </c>
      <c r="X541">
        <v>33</v>
      </c>
      <c r="Y541" t="s">
        <v>19832</v>
      </c>
      <c r="Z541" t="s">
        <v>26116</v>
      </c>
      <c r="AA541">
        <v>0.63171858835880923</v>
      </c>
      <c r="AB541" t="str">
        <f>HYPERLINK("Melting_Curves/meltCurve_E9PK91_BCLAF1.pdf", "Melting_Curves/meltCurve_E9PK91_BCLAF1.pdf")</f>
        <v>Melting_Curves/meltCurve_E9PK91_BCLAF1.pdf</v>
      </c>
    </row>
    <row r="542" spans="1:28" x14ac:dyDescent="0.25">
      <c r="A542" t="s">
        <v>546</v>
      </c>
      <c r="B542">
        <v>0.99673306730245903</v>
      </c>
      <c r="C542">
        <v>0.96615004357983103</v>
      </c>
      <c r="D542">
        <v>0.94040949837883403</v>
      </c>
      <c r="E542">
        <v>0.83053950471541604</v>
      </c>
      <c r="F542">
        <v>0.67800338307679597</v>
      </c>
      <c r="G542">
        <v>0.43579268972082502</v>
      </c>
      <c r="H542">
        <v>0.19509350007291301</v>
      </c>
      <c r="I542">
        <v>0.12616802224187099</v>
      </c>
      <c r="J542">
        <v>7.9266433564859004E-2</v>
      </c>
      <c r="K542">
        <v>4.5024887019163601E-2</v>
      </c>
      <c r="L542">
        <v>810.04053051743097</v>
      </c>
      <c r="M542">
        <v>14.5775876061122</v>
      </c>
      <c r="N542">
        <v>55.5675295514529</v>
      </c>
      <c r="O542">
        <v>54.553253651918602</v>
      </c>
      <c r="P542">
        <v>-6.6811939103235504E-2</v>
      </c>
      <c r="Q542">
        <v>0</v>
      </c>
      <c r="R542">
        <v>0.99824175221737599</v>
      </c>
      <c r="S542" t="s">
        <v>6994</v>
      </c>
      <c r="T542" t="s">
        <v>12902</v>
      </c>
      <c r="U542" t="s">
        <v>12902</v>
      </c>
      <c r="V542" t="s">
        <v>12902</v>
      </c>
      <c r="W542" t="s">
        <v>13436</v>
      </c>
      <c r="X542">
        <v>1</v>
      </c>
      <c r="Y542" t="s">
        <v>19833</v>
      </c>
      <c r="Z542" t="s">
        <v>26117</v>
      </c>
      <c r="AA542">
        <v>0.53786012059214627</v>
      </c>
      <c r="AB542" t="str">
        <f>HYPERLINK("Melting_Curves/meltCurve_E9PKA7_RCE1.pdf", "Melting_Curves/meltCurve_E9PKA7_RCE1.pdf")</f>
        <v>Melting_Curves/meltCurve_E9PKA7_RCE1.pdf</v>
      </c>
    </row>
    <row r="543" spans="1:28" x14ac:dyDescent="0.25">
      <c r="A543" t="s">
        <v>547</v>
      </c>
      <c r="B543">
        <v>0.99673306730245903</v>
      </c>
      <c r="C543">
        <v>0.88675744576535998</v>
      </c>
      <c r="D543">
        <v>0.78365905557945204</v>
      </c>
      <c r="E543">
        <v>0.62008007471922599</v>
      </c>
      <c r="F543">
        <v>0.31366993559615403</v>
      </c>
      <c r="G543">
        <v>0.236350892496758</v>
      </c>
      <c r="H543">
        <v>0.134607274830011</v>
      </c>
      <c r="I543">
        <v>0.104011860954226</v>
      </c>
      <c r="J543">
        <v>0.112461100455282</v>
      </c>
      <c r="K543">
        <v>0.11115955384998</v>
      </c>
      <c r="L543">
        <v>720.03023069781</v>
      </c>
      <c r="M543">
        <v>14.386055065229</v>
      </c>
      <c r="N543">
        <v>50.666944413353498</v>
      </c>
      <c r="O543">
        <v>49.113279699453599</v>
      </c>
      <c r="P543">
        <v>-6.7358483266064195E-2</v>
      </c>
      <c r="Q543">
        <v>8.0275645471528198E-2</v>
      </c>
      <c r="R543">
        <v>0.993723967078462</v>
      </c>
      <c r="S543" t="s">
        <v>6995</v>
      </c>
      <c r="T543" t="s">
        <v>12902</v>
      </c>
      <c r="U543" t="s">
        <v>12902</v>
      </c>
      <c r="V543" t="s">
        <v>12902</v>
      </c>
      <c r="W543" t="s">
        <v>13437</v>
      </c>
      <c r="X543">
        <v>3</v>
      </c>
      <c r="Y543" t="s">
        <v>19834</v>
      </c>
      <c r="Z543" t="s">
        <v>26118</v>
      </c>
      <c r="AA543">
        <v>0.4119563004077032</v>
      </c>
      <c r="AB543" t="str">
        <f>HYPERLINK("Melting_Curves/meltCurve_E9PKC0_PLEKHA7.pdf", "Melting_Curves/meltCurve_E9PKC0_PLEKHA7.pdf")</f>
        <v>Melting_Curves/meltCurve_E9PKC0_PLEKHA7.pdf</v>
      </c>
    </row>
    <row r="544" spans="1:28" x14ac:dyDescent="0.25">
      <c r="A544" t="s">
        <v>548</v>
      </c>
      <c r="B544">
        <v>0.99673306730245903</v>
      </c>
      <c r="C544">
        <v>0.97351928160275503</v>
      </c>
      <c r="D544">
        <v>0.92988718805363302</v>
      </c>
      <c r="E544">
        <v>0.96494894891247995</v>
      </c>
      <c r="F544">
        <v>1.2702253977415801</v>
      </c>
      <c r="G544">
        <v>0.68426882907608999</v>
      </c>
      <c r="H544">
        <v>0.30140858397651099</v>
      </c>
      <c r="I544">
        <v>0.34641279610042203</v>
      </c>
      <c r="J544">
        <v>0.38450482841022499</v>
      </c>
      <c r="K544">
        <v>0.27147707023015799</v>
      </c>
      <c r="L544">
        <v>14207.186905803201</v>
      </c>
      <c r="M544">
        <v>250</v>
      </c>
      <c r="N544">
        <v>57.069642167658401</v>
      </c>
      <c r="O544">
        <v>56.825112515312</v>
      </c>
      <c r="P544">
        <v>-0.74136370564541199</v>
      </c>
      <c r="Q544">
        <v>0.32595080341844601</v>
      </c>
      <c r="R544">
        <v>0.92582373997405398</v>
      </c>
      <c r="S544" t="s">
        <v>6996</v>
      </c>
      <c r="T544" t="s">
        <v>12902</v>
      </c>
      <c r="U544" t="s">
        <v>12902</v>
      </c>
      <c r="V544" t="s">
        <v>12902</v>
      </c>
      <c r="W544" t="s">
        <v>13438</v>
      </c>
      <c r="X544">
        <v>4</v>
      </c>
      <c r="Y544" t="s">
        <v>19835</v>
      </c>
      <c r="Z544" t="s">
        <v>26119</v>
      </c>
      <c r="AA544">
        <v>0.70413148924625546</v>
      </c>
      <c r="AB544" t="str">
        <f>HYPERLINK("Melting_Curves/meltCurve_E9PKF3_ACAT1.pdf", "Melting_Curves/meltCurve_E9PKF3_ACAT1.pdf")</f>
        <v>Melting_Curves/meltCurve_E9PKF3_ACAT1.pdf</v>
      </c>
    </row>
    <row r="545" spans="1:28" x14ac:dyDescent="0.25">
      <c r="A545" t="s">
        <v>549</v>
      </c>
      <c r="B545">
        <v>0.99673306730245903</v>
      </c>
      <c r="C545">
        <v>0.90041754515913597</v>
      </c>
      <c r="D545">
        <v>1.0019145480143901</v>
      </c>
      <c r="E545">
        <v>1.26704288402177</v>
      </c>
      <c r="F545">
        <v>0.63932138300835795</v>
      </c>
      <c r="G545">
        <v>0.20494089476827701</v>
      </c>
      <c r="H545">
        <v>0.121993201612338</v>
      </c>
      <c r="I545">
        <v>0.11282615380803</v>
      </c>
      <c r="J545">
        <v>0.12950580922354901</v>
      </c>
      <c r="K545">
        <v>0.112494555034915</v>
      </c>
      <c r="L545">
        <v>4944.96736164917</v>
      </c>
      <c r="M545">
        <v>92.606917873415</v>
      </c>
      <c r="N545">
        <v>53.580285965300398</v>
      </c>
      <c r="O545">
        <v>53.372524747325201</v>
      </c>
      <c r="P545">
        <v>-0.37499595236799899</v>
      </c>
      <c r="Q545">
        <v>0.13550863967158899</v>
      </c>
      <c r="R545">
        <v>0.95432087960198497</v>
      </c>
      <c r="S545" t="s">
        <v>6997</v>
      </c>
      <c r="T545" t="s">
        <v>12902</v>
      </c>
      <c r="U545" t="s">
        <v>12902</v>
      </c>
      <c r="V545" t="s">
        <v>12902</v>
      </c>
      <c r="W545" t="s">
        <v>13439</v>
      </c>
      <c r="X545">
        <v>16</v>
      </c>
      <c r="Y545" t="s">
        <v>19836</v>
      </c>
      <c r="Z545" t="s">
        <v>26120</v>
      </c>
      <c r="AA545">
        <v>0.52216401962518011</v>
      </c>
      <c r="AB545" t="str">
        <f>HYPERLINK("Melting_Curves/meltCurve_E9PKG1_PRMT1.pdf", "Melting_Curves/meltCurve_E9PKG1_PRMT1.pdf")</f>
        <v>Melting_Curves/meltCurve_E9PKG1_PRMT1.pdf</v>
      </c>
    </row>
    <row r="546" spans="1:28" x14ac:dyDescent="0.25">
      <c r="A546" t="s">
        <v>550</v>
      </c>
      <c r="B546">
        <v>0.99673306730245903</v>
      </c>
      <c r="C546">
        <v>0.74616374140854702</v>
      </c>
      <c r="D546">
        <v>0.37003104871947601</v>
      </c>
      <c r="E546">
        <v>0.262071450969321</v>
      </c>
      <c r="F546">
        <v>0.177323913776604</v>
      </c>
      <c r="G546">
        <v>0.111822353536214</v>
      </c>
      <c r="H546">
        <v>8.0865830937168801E-2</v>
      </c>
      <c r="I546">
        <v>7.8271838214602804E-2</v>
      </c>
      <c r="J546">
        <v>9.3941622167956096E-2</v>
      </c>
      <c r="K546">
        <v>0.10358115591573901</v>
      </c>
      <c r="L546">
        <v>988.93453664859601</v>
      </c>
      <c r="M546">
        <v>22.126168147151699</v>
      </c>
      <c r="N546">
        <v>45.184296140320399</v>
      </c>
      <c r="O546">
        <v>44.334964388936903</v>
      </c>
      <c r="P546">
        <v>-0.111484029423909</v>
      </c>
      <c r="Q546">
        <v>0.10648202882773</v>
      </c>
      <c r="R546">
        <v>0.98488084400273501</v>
      </c>
      <c r="S546" t="s">
        <v>6998</v>
      </c>
      <c r="T546" t="s">
        <v>12902</v>
      </c>
      <c r="U546" t="s">
        <v>12902</v>
      </c>
      <c r="V546" t="s">
        <v>12902</v>
      </c>
      <c r="W546" t="s">
        <v>13440</v>
      </c>
      <c r="X546">
        <v>21</v>
      </c>
      <c r="Y546" t="s">
        <v>19837</v>
      </c>
      <c r="Z546" t="s">
        <v>26121</v>
      </c>
      <c r="AA546">
        <v>0.25868947517423962</v>
      </c>
      <c r="AB546" t="str">
        <f>HYPERLINK("Melting_Curves/meltCurve_E9PKP7_UBTF.pdf", "Melting_Curves/meltCurve_E9PKP7_UBTF.pdf")</f>
        <v>Melting_Curves/meltCurve_E9PKP7_UBTF.pdf</v>
      </c>
    </row>
    <row r="547" spans="1:28" x14ac:dyDescent="0.25">
      <c r="A547" t="s">
        <v>551</v>
      </c>
      <c r="B547">
        <v>0.99673306730245903</v>
      </c>
      <c r="C547">
        <v>0.97882164744272604</v>
      </c>
      <c r="D547">
        <v>0.93049073688879702</v>
      </c>
      <c r="E547">
        <v>0.82434178521569301</v>
      </c>
      <c r="F547">
        <v>0.70778988179654001</v>
      </c>
      <c r="G547">
        <v>0.53794908902161598</v>
      </c>
      <c r="H547">
        <v>0.37890010701943899</v>
      </c>
      <c r="I547">
        <v>0.31228862238634902</v>
      </c>
      <c r="J547">
        <v>0.33560694603090402</v>
      </c>
      <c r="K547">
        <v>0.23581780563449001</v>
      </c>
      <c r="L547">
        <v>669.97156419490295</v>
      </c>
      <c r="M547">
        <v>12.1406808470339</v>
      </c>
      <c r="N547">
        <v>57.657273708944601</v>
      </c>
      <c r="O547">
        <v>53.750839881238903</v>
      </c>
      <c r="P547">
        <v>-4.5016490702377503E-2</v>
      </c>
      <c r="Q547">
        <v>0.202971630652444</v>
      </c>
      <c r="R547">
        <v>0.99464499903586301</v>
      </c>
      <c r="S547" t="s">
        <v>6999</v>
      </c>
      <c r="T547" t="s">
        <v>12902</v>
      </c>
      <c r="U547" t="s">
        <v>12902</v>
      </c>
      <c r="V547" t="s">
        <v>12902</v>
      </c>
      <c r="W547" t="s">
        <v>13441</v>
      </c>
      <c r="X547">
        <v>2</v>
      </c>
      <c r="Y547" t="s">
        <v>19838</v>
      </c>
      <c r="Z547" t="s">
        <v>26122</v>
      </c>
      <c r="AA547">
        <v>0.62450427149794296</v>
      </c>
      <c r="AB547" t="str">
        <f>HYPERLINK("Melting_Curves/meltCurve_E9PKT4_TMEM123.pdf", "Melting_Curves/meltCurve_E9PKT4_TMEM123.pdf")</f>
        <v>Melting_Curves/meltCurve_E9PKT4_TMEM123.pdf</v>
      </c>
    </row>
    <row r="548" spans="1:28" x14ac:dyDescent="0.25">
      <c r="A548" t="s">
        <v>552</v>
      </c>
      <c r="B548">
        <v>0.99673306730245903</v>
      </c>
      <c r="C548">
        <v>1.0896161680651399</v>
      </c>
      <c r="D548">
        <v>1.0080903993816099</v>
      </c>
      <c r="E548">
        <v>0.67520644322683498</v>
      </c>
      <c r="F548">
        <v>0.47797453132391898</v>
      </c>
      <c r="G548">
        <v>0.411579794937598</v>
      </c>
      <c r="H548">
        <v>0.37906854430989401</v>
      </c>
      <c r="I548">
        <v>0.54072277552847803</v>
      </c>
      <c r="J548">
        <v>0.79552565785944496</v>
      </c>
      <c r="K548">
        <v>0.85448208845304396</v>
      </c>
      <c r="L548">
        <v>12340.8948284325</v>
      </c>
      <c r="M548">
        <v>250</v>
      </c>
      <c r="O548">
        <v>49.3604212931726</v>
      </c>
      <c r="P548">
        <v>-0.53615971369488402</v>
      </c>
      <c r="Q548">
        <v>0.57655889882125699</v>
      </c>
      <c r="R548">
        <v>0.66261925769624697</v>
      </c>
      <c r="S548" t="s">
        <v>7000</v>
      </c>
      <c r="T548" t="s">
        <v>12902</v>
      </c>
      <c r="U548" t="s">
        <v>12902</v>
      </c>
      <c r="V548" t="s">
        <v>12902</v>
      </c>
      <c r="W548" t="s">
        <v>13442</v>
      </c>
      <c r="X548">
        <v>4</v>
      </c>
      <c r="Y548" t="s">
        <v>19839</v>
      </c>
      <c r="Z548" t="s">
        <v>26123</v>
      </c>
      <c r="AA548">
        <v>0.7087597270227971</v>
      </c>
      <c r="AB548" t="str">
        <f>HYPERLINK("Melting_Curves/meltCurve_E9PKV2_MRPL17.pdf", "Melting_Curves/meltCurve_E9PKV2_MRPL17.pdf")</f>
        <v>Melting_Curves/meltCurve_E9PKV2_MRPL17.pdf</v>
      </c>
    </row>
    <row r="549" spans="1:28" x14ac:dyDescent="0.25">
      <c r="A549" t="s">
        <v>553</v>
      </c>
      <c r="B549">
        <v>0.99673306730245903</v>
      </c>
      <c r="C549">
        <v>0.98727305468275905</v>
      </c>
      <c r="D549">
        <v>0.93141222316131</v>
      </c>
      <c r="E549">
        <v>0.57016303948265401</v>
      </c>
      <c r="F549">
        <v>0.20413129927071599</v>
      </c>
      <c r="G549">
        <v>9.8543363867848399E-2</v>
      </c>
      <c r="H549">
        <v>6.0147095222553702E-2</v>
      </c>
      <c r="I549">
        <v>5.9322649899857E-2</v>
      </c>
      <c r="J549">
        <v>6.6590563506131795E-2</v>
      </c>
      <c r="K549">
        <v>6.7608112167698395E-2</v>
      </c>
      <c r="L549">
        <v>1420.97727920805</v>
      </c>
      <c r="M549">
        <v>28.465892663717501</v>
      </c>
      <c r="N549">
        <v>50.156699867636299</v>
      </c>
      <c r="O549">
        <v>49.674183681656601</v>
      </c>
      <c r="P549">
        <v>-0.134209734433196</v>
      </c>
      <c r="Q549">
        <v>6.3200954363469994E-2</v>
      </c>
      <c r="R549">
        <v>0.99982449488888303</v>
      </c>
      <c r="S549" t="s">
        <v>7001</v>
      </c>
      <c r="T549" t="s">
        <v>12902</v>
      </c>
      <c r="U549" t="s">
        <v>12902</v>
      </c>
      <c r="V549" t="s">
        <v>12902</v>
      </c>
      <c r="W549" t="s">
        <v>13443</v>
      </c>
      <c r="X549">
        <v>5</v>
      </c>
      <c r="Y549" t="s">
        <v>19840</v>
      </c>
      <c r="Z549" t="s">
        <v>26124</v>
      </c>
      <c r="AA549">
        <v>0.379360824134713</v>
      </c>
      <c r="AB549" t="str">
        <f>HYPERLINK("Melting_Curves/meltCurve_E9PKV8_TTC9C.pdf", "Melting_Curves/meltCurve_E9PKV8_TTC9C.pdf")</f>
        <v>Melting_Curves/meltCurve_E9PKV8_TTC9C.pdf</v>
      </c>
    </row>
    <row r="550" spans="1:28" x14ac:dyDescent="0.25">
      <c r="A550" t="s">
        <v>554</v>
      </c>
      <c r="B550">
        <v>0.99673306730245903</v>
      </c>
      <c r="C550">
        <v>0.95891062790618498</v>
      </c>
      <c r="D550">
        <v>1.1061570638842699</v>
      </c>
      <c r="E550">
        <v>0.97649501530331195</v>
      </c>
      <c r="F550">
        <v>0.95886075398355197</v>
      </c>
      <c r="G550">
        <v>0.86218721896333705</v>
      </c>
      <c r="H550">
        <v>0.89081193526953995</v>
      </c>
      <c r="I550">
        <v>1.3770307186370401</v>
      </c>
      <c r="J550">
        <v>2.1995047286256701</v>
      </c>
      <c r="K550">
        <v>2.1461349594872798</v>
      </c>
      <c r="L550">
        <v>15000</v>
      </c>
      <c r="M550">
        <v>235.49556970122501</v>
      </c>
      <c r="O550">
        <v>63.690875537327798</v>
      </c>
      <c r="P550">
        <v>0.46218469375526899</v>
      </c>
      <c r="Q550">
        <v>1.5</v>
      </c>
      <c r="R550">
        <v>0.59088155651902796</v>
      </c>
      <c r="S550" t="s">
        <v>7002</v>
      </c>
      <c r="T550" t="s">
        <v>12902</v>
      </c>
      <c r="U550" t="s">
        <v>12902</v>
      </c>
      <c r="V550" t="s">
        <v>12902</v>
      </c>
      <c r="W550" t="s">
        <v>13444</v>
      </c>
      <c r="X550">
        <v>6</v>
      </c>
      <c r="Y550" t="s">
        <v>19841</v>
      </c>
      <c r="Z550" t="s">
        <v>26125</v>
      </c>
      <c r="AA550">
        <v>1.105012579421301</v>
      </c>
      <c r="AB550" t="str">
        <f>HYPERLINK("Melting_Curves/meltCurve_E9PL10_BTF3L4.pdf", "Melting_Curves/meltCurve_E9PL10_BTF3L4.pdf")</f>
        <v>Melting_Curves/meltCurve_E9PL10_BTF3L4.pdf</v>
      </c>
    </row>
    <row r="551" spans="1:28" x14ac:dyDescent="0.25">
      <c r="A551" t="s">
        <v>555</v>
      </c>
      <c r="B551">
        <v>0.99673306730245903</v>
      </c>
      <c r="C551">
        <v>0.68013775506754903</v>
      </c>
      <c r="D551">
        <v>0.33998243182562599</v>
      </c>
      <c r="E551">
        <v>0.20204642966227199</v>
      </c>
      <c r="F551">
        <v>0.127461774036324</v>
      </c>
      <c r="G551">
        <v>6.6583758558299996E-2</v>
      </c>
      <c r="H551">
        <v>3.2121915367014801E-2</v>
      </c>
      <c r="I551">
        <v>2.8474121470116201E-2</v>
      </c>
      <c r="J551">
        <v>1.2896026507438599E-2</v>
      </c>
      <c r="K551">
        <v>1.98945838556784E-2</v>
      </c>
      <c r="L551">
        <v>909.13287230039202</v>
      </c>
      <c r="M551">
        <v>20.387211979532399</v>
      </c>
      <c r="N551">
        <v>44.787131438810803</v>
      </c>
      <c r="O551">
        <v>44.170894901560303</v>
      </c>
      <c r="P551">
        <v>-0.11051899186981599</v>
      </c>
      <c r="Q551">
        <v>4.2227946204794801E-2</v>
      </c>
      <c r="R551">
        <v>0.98438020373851498</v>
      </c>
      <c r="S551" t="s">
        <v>7003</v>
      </c>
      <c r="T551" t="s">
        <v>12902</v>
      </c>
      <c r="U551" t="s">
        <v>12902</v>
      </c>
      <c r="V551" t="s">
        <v>12902</v>
      </c>
      <c r="W551" t="s">
        <v>13445</v>
      </c>
      <c r="X551">
        <v>3</v>
      </c>
      <c r="Y551" t="s">
        <v>19842</v>
      </c>
      <c r="Z551" t="s">
        <v>26126</v>
      </c>
      <c r="AA551">
        <v>0.20517154111561819</v>
      </c>
      <c r="AB551" t="str">
        <f>HYPERLINK("Melting_Curves/meltCurve_E9PL17_CLP1.pdf", "Melting_Curves/meltCurve_E9PL17_CLP1.pdf")</f>
        <v>Melting_Curves/meltCurve_E9PL17_CLP1.pdf</v>
      </c>
    </row>
    <row r="552" spans="1:28" x14ac:dyDescent="0.25">
      <c r="A552" t="s">
        <v>556</v>
      </c>
      <c r="B552">
        <v>0.99673306730245903</v>
      </c>
      <c r="C552">
        <v>1.0043966011666901</v>
      </c>
      <c r="D552">
        <v>0.89453434625164197</v>
      </c>
      <c r="E552">
        <v>0.75333129168033897</v>
      </c>
      <c r="F552">
        <v>0.47894190093035499</v>
      </c>
      <c r="G552">
        <v>0.284885933197843</v>
      </c>
      <c r="H552">
        <v>0.10538682309434</v>
      </c>
      <c r="I552">
        <v>0.11900951901046</v>
      </c>
      <c r="J552">
        <v>0.14227325230380999</v>
      </c>
      <c r="K552">
        <v>0.11201216260293</v>
      </c>
      <c r="L552">
        <v>938.01424855311802</v>
      </c>
      <c r="M552">
        <v>17.958862730927901</v>
      </c>
      <c r="N552">
        <v>52.841652510068698</v>
      </c>
      <c r="O552">
        <v>51.596563345908301</v>
      </c>
      <c r="P552">
        <v>-7.8868891536123101E-2</v>
      </c>
      <c r="Q552">
        <v>9.3670634897168994E-2</v>
      </c>
      <c r="R552">
        <v>0.99545333437385797</v>
      </c>
      <c r="S552" t="s">
        <v>7004</v>
      </c>
      <c r="T552" t="s">
        <v>12902</v>
      </c>
      <c r="U552" t="s">
        <v>12902</v>
      </c>
      <c r="V552" t="s">
        <v>12902</v>
      </c>
      <c r="W552" t="s">
        <v>13446</v>
      </c>
      <c r="X552">
        <v>1</v>
      </c>
      <c r="Y552" t="s">
        <v>19843</v>
      </c>
      <c r="Z552" t="s">
        <v>26127</v>
      </c>
      <c r="AA552">
        <v>0.4782797944091754</v>
      </c>
      <c r="AB552" t="str">
        <f>HYPERLINK("Melting_Curves/meltCurve_E9PL33_EI24.pdf", "Melting_Curves/meltCurve_E9PL33_EI24.pdf")</f>
        <v>Melting_Curves/meltCurve_E9PL33_EI24.pdf</v>
      </c>
    </row>
    <row r="553" spans="1:28" x14ac:dyDescent="0.25">
      <c r="A553" t="s">
        <v>557</v>
      </c>
      <c r="B553">
        <v>0.99673306730245903</v>
      </c>
      <c r="C553">
        <v>0.92539889081656901</v>
      </c>
      <c r="D553">
        <v>0.83278007897524398</v>
      </c>
      <c r="E553">
        <v>0.61391259906940299</v>
      </c>
      <c r="F553">
        <v>0.35624816050856301</v>
      </c>
      <c r="G553">
        <v>0.18318313267546299</v>
      </c>
      <c r="H553">
        <v>5.35791867666843E-2</v>
      </c>
      <c r="I553">
        <v>4.8234370469444898E-2</v>
      </c>
      <c r="J553">
        <v>4.2962905317449701E-2</v>
      </c>
      <c r="K553">
        <v>4.0791982314638202E-2</v>
      </c>
      <c r="L553">
        <v>774.99582320970399</v>
      </c>
      <c r="M553">
        <v>15.2096255352151</v>
      </c>
      <c r="N553">
        <v>51.012716041896802</v>
      </c>
      <c r="O553">
        <v>50.097829872676698</v>
      </c>
      <c r="P553">
        <v>-7.5251321656403705E-2</v>
      </c>
      <c r="Q553">
        <v>8.6366045590127605E-3</v>
      </c>
      <c r="R553">
        <v>0.99846599876101805</v>
      </c>
      <c r="S553" t="s">
        <v>7005</v>
      </c>
      <c r="T553" t="s">
        <v>12902</v>
      </c>
      <c r="U553" t="s">
        <v>12902</v>
      </c>
      <c r="V553" t="s">
        <v>12902</v>
      </c>
      <c r="W553" t="s">
        <v>13447</v>
      </c>
      <c r="X553">
        <v>1</v>
      </c>
      <c r="Y553" t="s">
        <v>19844</v>
      </c>
      <c r="Z553" t="s">
        <v>26128</v>
      </c>
      <c r="AA553">
        <v>0.39304056747079819</v>
      </c>
      <c r="AB553" t="str">
        <f>HYPERLINK("Melting_Curves/meltCurve_E9PL56_RAB7L1.pdf", "Melting_Curves/meltCurve_E9PL56_RAB7L1.pdf")</f>
        <v>Melting_Curves/meltCurve_E9PL56_RAB7L1.pdf</v>
      </c>
    </row>
    <row r="554" spans="1:28" x14ac:dyDescent="0.25">
      <c r="A554" t="s">
        <v>558</v>
      </c>
      <c r="B554">
        <v>0.99673306730245903</v>
      </c>
      <c r="C554">
        <v>0.96820707533980399</v>
      </c>
      <c r="D554">
        <v>0.97496036731776303</v>
      </c>
      <c r="E554">
        <v>0.89220867353722799</v>
      </c>
      <c r="F554">
        <v>0.71220530530607895</v>
      </c>
      <c r="G554">
        <v>0.48332918251637202</v>
      </c>
      <c r="H554">
        <v>0.31287914829206598</v>
      </c>
      <c r="I554">
        <v>0.36887545877622702</v>
      </c>
      <c r="J554">
        <v>0.34699089412504402</v>
      </c>
      <c r="K554">
        <v>0.30496124709359701</v>
      </c>
      <c r="L554">
        <v>1181.3394559850999</v>
      </c>
      <c r="M554">
        <v>21.967911198804401</v>
      </c>
      <c r="N554">
        <v>56.331357729570001</v>
      </c>
      <c r="O554">
        <v>53.336018888194403</v>
      </c>
      <c r="P554">
        <v>-7.0489966937623494E-2</v>
      </c>
      <c r="Q554">
        <v>0.31544337414423801</v>
      </c>
      <c r="R554">
        <v>0.992642369801504</v>
      </c>
      <c r="S554" t="s">
        <v>7006</v>
      </c>
      <c r="T554" t="s">
        <v>12902</v>
      </c>
      <c r="U554" t="s">
        <v>12902</v>
      </c>
      <c r="V554" t="s">
        <v>12902</v>
      </c>
      <c r="W554" t="s">
        <v>13448</v>
      </c>
      <c r="X554">
        <v>10</v>
      </c>
      <c r="Y554" t="s">
        <v>19845</v>
      </c>
      <c r="Z554" t="s">
        <v>26129</v>
      </c>
      <c r="AA554">
        <v>0.63775653034914115</v>
      </c>
      <c r="AB554" t="str">
        <f>HYPERLINK("Melting_Curves/meltCurve_E9PL57_NEDD8_MDP1.pdf", "Melting_Curves/meltCurve_E9PL57_NEDD8_MDP1.pdf")</f>
        <v>Melting_Curves/meltCurve_E9PL57_NEDD8_MDP1.pdf</v>
      </c>
    </row>
    <row r="555" spans="1:28" x14ac:dyDescent="0.25">
      <c r="A555" t="s">
        <v>559</v>
      </c>
      <c r="B555">
        <v>0.99673306730245903</v>
      </c>
      <c r="C555">
        <v>0.89873389154779004</v>
      </c>
      <c r="D555">
        <v>1.09855472874635</v>
      </c>
      <c r="E555">
        <v>1.02138773109634</v>
      </c>
      <c r="F555">
        <v>0.68089175711038397</v>
      </c>
      <c r="G555">
        <v>0.548208940684205</v>
      </c>
      <c r="H555">
        <v>0.26046022382122702</v>
      </c>
      <c r="I555">
        <v>0.101561660197869</v>
      </c>
      <c r="J555">
        <v>7.6807950982412401E-2</v>
      </c>
      <c r="K555">
        <v>6.2288112481580303E-2</v>
      </c>
      <c r="L555">
        <v>1041.51043869152</v>
      </c>
      <c r="M555">
        <v>18.3568315632752</v>
      </c>
      <c r="N555">
        <v>56.8854711734989</v>
      </c>
      <c r="O555">
        <v>56.0764782326168</v>
      </c>
      <c r="P555">
        <v>-7.9926990393584404E-2</v>
      </c>
      <c r="Q555">
        <v>2.34002077198627E-2</v>
      </c>
      <c r="R555">
        <v>0.97379221210115796</v>
      </c>
      <c r="S555" t="s">
        <v>7007</v>
      </c>
      <c r="T555" t="s">
        <v>12902</v>
      </c>
      <c r="U555" t="s">
        <v>12902</v>
      </c>
      <c r="V555" t="s">
        <v>12902</v>
      </c>
      <c r="W555" t="s">
        <v>13130</v>
      </c>
      <c r="X555">
        <v>55</v>
      </c>
      <c r="Y555" t="s">
        <v>19525</v>
      </c>
      <c r="Z555" t="s">
        <v>26130</v>
      </c>
      <c r="AA555">
        <v>0.58165155051065731</v>
      </c>
      <c r="AB555" t="str">
        <f>HYPERLINK("Melting_Curves/meltCurve_E9PLK3_NPEPPS.pdf", "Melting_Curves/meltCurve_E9PLK3_NPEPPS.pdf")</f>
        <v>Melting_Curves/meltCurve_E9PLK3_NPEPPS.pdf</v>
      </c>
    </row>
    <row r="556" spans="1:28" x14ac:dyDescent="0.25">
      <c r="A556" t="s">
        <v>560</v>
      </c>
      <c r="B556">
        <v>0.99673306730245903</v>
      </c>
      <c r="C556">
        <v>0.81950664720403998</v>
      </c>
      <c r="D556">
        <v>0.91613683928274903</v>
      </c>
      <c r="E556">
        <v>0.82456030751575604</v>
      </c>
      <c r="F556">
        <v>0.37191461037162798</v>
      </c>
      <c r="G556">
        <v>0.19191091824704601</v>
      </c>
      <c r="H556">
        <v>7.4608499460516203E-2</v>
      </c>
      <c r="I556">
        <v>7.0110797588884693E-2</v>
      </c>
      <c r="J556">
        <v>9.4892231869178195E-2</v>
      </c>
      <c r="K556">
        <v>8.0786388469506198E-2</v>
      </c>
      <c r="L556">
        <v>1309.5019748562299</v>
      </c>
      <c r="M556">
        <v>25.2216725284025</v>
      </c>
      <c r="N556">
        <v>52.2506336964152</v>
      </c>
      <c r="O556">
        <v>51.596621713760698</v>
      </c>
      <c r="P556">
        <v>-0.11318690504600799</v>
      </c>
      <c r="Q556">
        <v>7.3814617641078897E-2</v>
      </c>
      <c r="R556">
        <v>0.97348120668755</v>
      </c>
      <c r="S556" t="s">
        <v>7008</v>
      </c>
      <c r="T556" t="s">
        <v>12902</v>
      </c>
      <c r="U556" t="s">
        <v>12902</v>
      </c>
      <c r="V556" t="s">
        <v>12902</v>
      </c>
      <c r="W556" t="s">
        <v>13449</v>
      </c>
      <c r="X556">
        <v>5</v>
      </c>
      <c r="Y556" t="s">
        <v>19846</v>
      </c>
      <c r="Z556" t="s">
        <v>26131</v>
      </c>
      <c r="AA556">
        <v>0.45011580678944713</v>
      </c>
      <c r="AB556" t="str">
        <f>HYPERLINK("Melting_Curves/meltCurve_E9PLL6_RPL27A.pdf", "Melting_Curves/meltCurve_E9PLL6_RPL27A.pdf")</f>
        <v>Melting_Curves/meltCurve_E9PLL6_RPL27A.pdf</v>
      </c>
    </row>
    <row r="557" spans="1:28" x14ac:dyDescent="0.25">
      <c r="A557" t="s">
        <v>561</v>
      </c>
      <c r="B557">
        <v>0.99673306730245903</v>
      </c>
      <c r="C557">
        <v>0.92117648883085201</v>
      </c>
      <c r="D557">
        <v>0.83084922302381203</v>
      </c>
      <c r="E557">
        <v>0.68676761693519806</v>
      </c>
      <c r="F557">
        <v>0.56855781282511997</v>
      </c>
      <c r="G557">
        <v>0.41200363226094799</v>
      </c>
      <c r="H557">
        <v>0.31191305051111101</v>
      </c>
      <c r="I557">
        <v>0.348139654488405</v>
      </c>
      <c r="J557">
        <v>0.42218680031975397</v>
      </c>
      <c r="K557">
        <v>0.288085966457724</v>
      </c>
      <c r="L557">
        <v>668.96475520324805</v>
      </c>
      <c r="M557">
        <v>13.318785306625699</v>
      </c>
      <c r="N557">
        <v>54.168612859927201</v>
      </c>
      <c r="O557">
        <v>49.135368034781301</v>
      </c>
      <c r="P557">
        <v>-4.67462496926173E-2</v>
      </c>
      <c r="Q557">
        <v>0.31028976937164299</v>
      </c>
      <c r="R557">
        <v>0.975599323722666</v>
      </c>
      <c r="S557" t="s">
        <v>7009</v>
      </c>
      <c r="T557" t="s">
        <v>12902</v>
      </c>
      <c r="U557" t="s">
        <v>12902</v>
      </c>
      <c r="V557" t="s">
        <v>12902</v>
      </c>
      <c r="W557" t="s">
        <v>13450</v>
      </c>
      <c r="X557">
        <v>1</v>
      </c>
      <c r="Y557" t="s">
        <v>19847</v>
      </c>
      <c r="Z557" t="s">
        <v>26132</v>
      </c>
      <c r="AA557">
        <v>0.56538274708353142</v>
      </c>
      <c r="AB557" t="str">
        <f>HYPERLINK("Melting_Curves/meltCurve_E9PLT1_CD36.pdf", "Melting_Curves/meltCurve_E9PLT1_CD36.pdf")</f>
        <v>Melting_Curves/meltCurve_E9PLT1_CD36.pdf</v>
      </c>
    </row>
    <row r="558" spans="1:28" x14ac:dyDescent="0.25">
      <c r="A558" t="s">
        <v>562</v>
      </c>
      <c r="B558">
        <v>0.99673306730245903</v>
      </c>
      <c r="C558">
        <v>0.94211291319902701</v>
      </c>
      <c r="D558">
        <v>0.69000094565770398</v>
      </c>
      <c r="E558">
        <v>0.29886705663241803</v>
      </c>
      <c r="F558">
        <v>0.25378374295790601</v>
      </c>
      <c r="G558">
        <v>0.154760166296358</v>
      </c>
      <c r="H558">
        <v>0.10600073690280699</v>
      </c>
      <c r="I558">
        <v>0.100057205089409</v>
      </c>
      <c r="J558">
        <v>9.8520662027258801E-2</v>
      </c>
      <c r="K558">
        <v>7.3805735755678697E-2</v>
      </c>
      <c r="L558">
        <v>1045.4610105827601</v>
      </c>
      <c r="M558">
        <v>22.103301228627402</v>
      </c>
      <c r="N558">
        <v>47.824622604853303</v>
      </c>
      <c r="O558">
        <v>46.916810912843502</v>
      </c>
      <c r="P558">
        <v>-0.105077697248671</v>
      </c>
      <c r="Q558">
        <v>0.107861332548878</v>
      </c>
      <c r="R558">
        <v>0.99110493432854097</v>
      </c>
      <c r="S558" t="s">
        <v>7010</v>
      </c>
      <c r="T558" t="s">
        <v>12902</v>
      </c>
      <c r="U558" t="s">
        <v>12902</v>
      </c>
      <c r="V558" t="s">
        <v>12902</v>
      </c>
      <c r="W558" t="s">
        <v>13109</v>
      </c>
      <c r="X558">
        <v>22</v>
      </c>
      <c r="Y558" t="s">
        <v>19848</v>
      </c>
      <c r="Z558" t="s">
        <v>26133</v>
      </c>
      <c r="AA558">
        <v>0.33529184977190801</v>
      </c>
      <c r="AB558" t="str">
        <f>HYPERLINK("Melting_Curves/meltCurve_E9PM46_USP47.pdf", "Melting_Curves/meltCurve_E9PM46_USP47.pdf")</f>
        <v>Melting_Curves/meltCurve_E9PM46_USP47.pdf</v>
      </c>
    </row>
    <row r="559" spans="1:28" x14ac:dyDescent="0.25">
      <c r="A559" t="s">
        <v>563</v>
      </c>
      <c r="B559">
        <v>0.99673306730245903</v>
      </c>
      <c r="C559">
        <v>1.01415315460197</v>
      </c>
      <c r="D559">
        <v>1.0109186241654</v>
      </c>
      <c r="E559">
        <v>0.97014298334415905</v>
      </c>
      <c r="F559">
        <v>0.93849946084607705</v>
      </c>
      <c r="G559">
        <v>0.95174138043335699</v>
      </c>
      <c r="H559">
        <v>0.82210759270151201</v>
      </c>
      <c r="I559">
        <v>1.19814174468477</v>
      </c>
      <c r="J559">
        <v>1.81605260177757</v>
      </c>
      <c r="K559">
        <v>1.68284012979997</v>
      </c>
      <c r="L559">
        <v>15000</v>
      </c>
      <c r="M559">
        <v>233.95434076432699</v>
      </c>
      <c r="O559">
        <v>64.110369889792096</v>
      </c>
      <c r="P559">
        <v>0.45615527828515401</v>
      </c>
      <c r="Q559">
        <v>1.5</v>
      </c>
      <c r="R559">
        <v>0.83008376787629701</v>
      </c>
      <c r="S559" t="s">
        <v>7011</v>
      </c>
      <c r="T559" t="s">
        <v>12902</v>
      </c>
      <c r="U559" t="s">
        <v>12902</v>
      </c>
      <c r="V559" t="s">
        <v>12902</v>
      </c>
      <c r="W559" t="s">
        <v>13451</v>
      </c>
      <c r="X559">
        <v>7</v>
      </c>
      <c r="Y559" t="s">
        <v>19849</v>
      </c>
      <c r="Z559" t="s">
        <v>26134</v>
      </c>
      <c r="AA559">
        <v>1.098017846468057</v>
      </c>
      <c r="AB559" t="str">
        <f>HYPERLINK("Melting_Curves/meltCurve_E9PM92_C11orf58.pdf", "Melting_Curves/meltCurve_E9PM92_C11orf58.pdf")</f>
        <v>Melting_Curves/meltCurve_E9PM92_C11orf58.pdf</v>
      </c>
    </row>
    <row r="560" spans="1:28" x14ac:dyDescent="0.25">
      <c r="A560" t="s">
        <v>564</v>
      </c>
      <c r="B560">
        <v>0.99673306730245903</v>
      </c>
      <c r="C560">
        <v>0.91674810196419398</v>
      </c>
      <c r="D560">
        <v>0.94462046619677797</v>
      </c>
      <c r="E560">
        <v>0.74505806239086803</v>
      </c>
      <c r="F560">
        <v>0.38539990936854801</v>
      </c>
      <c r="G560">
        <v>0.25924677224312798</v>
      </c>
      <c r="H560">
        <v>0.17294290013532099</v>
      </c>
      <c r="I560">
        <v>0.110135118925899</v>
      </c>
      <c r="J560">
        <v>9.2815326305279999E-2</v>
      </c>
      <c r="K560">
        <v>7.6195885254500106E-2</v>
      </c>
      <c r="L560">
        <v>974.44832387953898</v>
      </c>
      <c r="M560">
        <v>18.829681216604701</v>
      </c>
      <c r="N560">
        <v>52.297789449912898</v>
      </c>
      <c r="O560">
        <v>51.177564889962802</v>
      </c>
      <c r="P560">
        <v>-8.3762249014838794E-2</v>
      </c>
      <c r="Q560">
        <v>8.9401284569349093E-2</v>
      </c>
      <c r="R560">
        <v>0.99290992320749205</v>
      </c>
      <c r="S560" t="s">
        <v>7012</v>
      </c>
      <c r="T560" t="s">
        <v>12902</v>
      </c>
      <c r="U560" t="s">
        <v>12902</v>
      </c>
      <c r="V560" t="s">
        <v>12902</v>
      </c>
      <c r="W560" t="s">
        <v>13452</v>
      </c>
      <c r="X560">
        <v>5</v>
      </c>
      <c r="Y560" t="s">
        <v>19850</v>
      </c>
      <c r="Z560" t="s">
        <v>26135</v>
      </c>
      <c r="AA560">
        <v>0.46012364073141582</v>
      </c>
      <c r="AB560" t="str">
        <f>HYPERLINK("Melting_Curves/meltCurve_E9PMH5_BIRC2.pdf", "Melting_Curves/meltCurve_E9PMH5_BIRC2.pdf")</f>
        <v>Melting_Curves/meltCurve_E9PMH5_BIRC2.pdf</v>
      </c>
    </row>
    <row r="561" spans="1:28" x14ac:dyDescent="0.25">
      <c r="A561" t="s">
        <v>565</v>
      </c>
      <c r="B561">
        <v>0.99673306730245903</v>
      </c>
      <c r="C561">
        <v>0.959650636090566</v>
      </c>
      <c r="D561">
        <v>0.87681054498636302</v>
      </c>
      <c r="E561">
        <v>0.73669921802555205</v>
      </c>
      <c r="F561">
        <v>0.366089308186201</v>
      </c>
      <c r="G561">
        <v>0.180754306048825</v>
      </c>
      <c r="H561">
        <v>0.112491614338875</v>
      </c>
      <c r="I561">
        <v>0.10439180339913801</v>
      </c>
      <c r="J561">
        <v>0.122718456210597</v>
      </c>
      <c r="K561">
        <v>0.130578497119159</v>
      </c>
      <c r="L561">
        <v>1125.4321415910099</v>
      </c>
      <c r="M561">
        <v>21.9933447513278</v>
      </c>
      <c r="N561">
        <v>51.717944812794499</v>
      </c>
      <c r="O561">
        <v>50.7540566264096</v>
      </c>
      <c r="P561">
        <v>-9.7103210019794606E-2</v>
      </c>
      <c r="Q561">
        <v>0.103679280532223</v>
      </c>
      <c r="R561">
        <v>0.99530238261556803</v>
      </c>
      <c r="S561" t="s">
        <v>7013</v>
      </c>
      <c r="T561" t="s">
        <v>12902</v>
      </c>
      <c r="U561" t="s">
        <v>12902</v>
      </c>
      <c r="V561" t="s">
        <v>12902</v>
      </c>
      <c r="W561" t="s">
        <v>13453</v>
      </c>
      <c r="X561">
        <v>5</v>
      </c>
      <c r="Y561" t="s">
        <v>19851</v>
      </c>
      <c r="Z561" t="s">
        <v>26136</v>
      </c>
      <c r="AA561">
        <v>0.44785137568045708</v>
      </c>
      <c r="AB561" t="str">
        <f>HYPERLINK("Melting_Curves/meltCurve_E9PMI6_CLNS1A.pdf", "Melting_Curves/meltCurve_E9PMI6_CLNS1A.pdf")</f>
        <v>Melting_Curves/meltCurve_E9PMI6_CLNS1A.pdf</v>
      </c>
    </row>
    <row r="562" spans="1:28" x14ac:dyDescent="0.25">
      <c r="A562" t="s">
        <v>566</v>
      </c>
      <c r="B562">
        <v>0.99673306730245903</v>
      </c>
      <c r="C562">
        <v>0.93795654706222897</v>
      </c>
      <c r="D562">
        <v>0.80045288052779595</v>
      </c>
      <c r="E562">
        <v>0.37346351386536902</v>
      </c>
      <c r="F562">
        <v>0.153057790072511</v>
      </c>
      <c r="G562">
        <v>7.7278293501136894E-2</v>
      </c>
      <c r="H562">
        <v>5.2967132294877102E-2</v>
      </c>
      <c r="I562">
        <v>4.7483331058276797E-2</v>
      </c>
      <c r="J562">
        <v>4.8796368183747503E-2</v>
      </c>
      <c r="K562">
        <v>4.5962053991885299E-2</v>
      </c>
      <c r="L562">
        <v>1166.8856643020799</v>
      </c>
      <c r="M562">
        <v>24.1276735350935</v>
      </c>
      <c r="N562">
        <v>48.565472881000503</v>
      </c>
      <c r="O562">
        <v>48.034392951979598</v>
      </c>
      <c r="P562">
        <v>-0.119567101747219</v>
      </c>
      <c r="Q562">
        <v>4.78575236736749E-2</v>
      </c>
      <c r="R562">
        <v>0.99940256801613403</v>
      </c>
      <c r="S562" t="s">
        <v>7014</v>
      </c>
      <c r="T562" t="s">
        <v>12902</v>
      </c>
      <c r="U562" t="s">
        <v>12902</v>
      </c>
      <c r="V562" t="s">
        <v>12902</v>
      </c>
      <c r="W562" t="s">
        <v>13454</v>
      </c>
      <c r="X562">
        <v>9</v>
      </c>
      <c r="Y562" t="s">
        <v>19852</v>
      </c>
      <c r="Z562" t="s">
        <v>26137</v>
      </c>
      <c r="AA562">
        <v>0.32234821686457882</v>
      </c>
      <c r="AB562" t="str">
        <f>HYPERLINK("Melting_Curves/meltCurve_E9PMJ2_FAM118B.pdf", "Melting_Curves/meltCurve_E9PMJ2_FAM118B.pdf")</f>
        <v>Melting_Curves/meltCurve_E9PMJ2_FAM118B.pdf</v>
      </c>
    </row>
    <row r="563" spans="1:28" x14ac:dyDescent="0.25">
      <c r="A563" t="s">
        <v>567</v>
      </c>
      <c r="B563">
        <v>0.99673306730245903</v>
      </c>
      <c r="C563">
        <v>0.99325971958154702</v>
      </c>
      <c r="D563">
        <v>0.84854213152538505</v>
      </c>
      <c r="E563">
        <v>0.58542982658634402</v>
      </c>
      <c r="F563">
        <v>0.59765313872785497</v>
      </c>
      <c r="G563">
        <v>0.36474529003221601</v>
      </c>
      <c r="H563">
        <v>0.27948182829498802</v>
      </c>
      <c r="I563">
        <v>0.34502055718912</v>
      </c>
      <c r="J563">
        <v>0.39322381921720001</v>
      </c>
      <c r="K563">
        <v>0.24886496825024501</v>
      </c>
      <c r="L563">
        <v>753.30100859925403</v>
      </c>
      <c r="M563">
        <v>15.106046259484099</v>
      </c>
      <c r="N563">
        <v>53.059329334737399</v>
      </c>
      <c r="O563">
        <v>49.018077788223202</v>
      </c>
      <c r="P563">
        <v>-5.4052777843234298E-2</v>
      </c>
      <c r="Q563">
        <v>0.29847857049077497</v>
      </c>
      <c r="R563">
        <v>0.95410068229078404</v>
      </c>
      <c r="S563" t="s">
        <v>7015</v>
      </c>
      <c r="T563" t="s">
        <v>12902</v>
      </c>
      <c r="U563" t="s">
        <v>12902</v>
      </c>
      <c r="V563" t="s">
        <v>12902</v>
      </c>
      <c r="W563" t="s">
        <v>13455</v>
      </c>
      <c r="X563">
        <v>3</v>
      </c>
      <c r="Y563" t="s">
        <v>19853</v>
      </c>
      <c r="Z563" t="s">
        <v>26138</v>
      </c>
      <c r="AA563">
        <v>0.54581138594465139</v>
      </c>
      <c r="AB563" t="str">
        <f>HYPERLINK("Melting_Curves/meltCurve_E9PML6_ATG13.pdf", "Melting_Curves/meltCurve_E9PML6_ATG13.pdf")</f>
        <v>Melting_Curves/meltCurve_E9PML6_ATG13.pdf</v>
      </c>
    </row>
    <row r="564" spans="1:28" x14ac:dyDescent="0.25">
      <c r="A564" t="s">
        <v>568</v>
      </c>
      <c r="B564">
        <v>0.99673306730245903</v>
      </c>
      <c r="C564">
        <v>0.92737681353357204</v>
      </c>
      <c r="D564">
        <v>0.93334427696942801</v>
      </c>
      <c r="E564">
        <v>0.82890240984238805</v>
      </c>
      <c r="F564">
        <v>0.80160348852916397</v>
      </c>
      <c r="G564">
        <v>0.61355064031690798</v>
      </c>
      <c r="H564">
        <v>0.52713898943846205</v>
      </c>
      <c r="I564">
        <v>0.59067188819956296</v>
      </c>
      <c r="J564">
        <v>0.55918059714301405</v>
      </c>
      <c r="K564">
        <v>0.50938832061083805</v>
      </c>
      <c r="L564">
        <v>634.758468003659</v>
      </c>
      <c r="M564">
        <v>12.0040606875439</v>
      </c>
      <c r="O564">
        <v>51.475273288112398</v>
      </c>
      <c r="P564">
        <v>-2.9346112328276198E-2</v>
      </c>
      <c r="Q564">
        <v>0.49675843861854502</v>
      </c>
      <c r="R564">
        <v>0.95952110677830504</v>
      </c>
      <c r="S564" t="s">
        <v>7016</v>
      </c>
      <c r="T564" t="s">
        <v>12902</v>
      </c>
      <c r="U564" t="s">
        <v>12902</v>
      </c>
      <c r="V564" t="s">
        <v>12902</v>
      </c>
      <c r="W564" t="s">
        <v>13456</v>
      </c>
      <c r="X564">
        <v>2</v>
      </c>
      <c r="Y564" t="s">
        <v>19854</v>
      </c>
      <c r="Z564" t="s">
        <v>26139</v>
      </c>
      <c r="AA564">
        <v>0.72725148778138859</v>
      </c>
      <c r="AB564" t="str">
        <f>HYPERLINK("Melting_Curves/meltCurve_E9PMR4_CD151.pdf", "Melting_Curves/meltCurve_E9PMR4_CD151.pdf")</f>
        <v>Melting_Curves/meltCurve_E9PMR4_CD151.pdf</v>
      </c>
    </row>
    <row r="565" spans="1:28" x14ac:dyDescent="0.25">
      <c r="A565" t="s">
        <v>569</v>
      </c>
      <c r="B565">
        <v>0.99673306730245903</v>
      </c>
      <c r="C565">
        <v>0.893684603932696</v>
      </c>
      <c r="D565">
        <v>0.62094745848610999</v>
      </c>
      <c r="E565">
        <v>0.39227454779603599</v>
      </c>
      <c r="F565">
        <v>0.365452538630336</v>
      </c>
      <c r="G565">
        <v>0.23706553779697001</v>
      </c>
      <c r="H565">
        <v>0.16834476276874499</v>
      </c>
      <c r="I565">
        <v>0.119908021837594</v>
      </c>
      <c r="J565">
        <v>0.14563472634157201</v>
      </c>
      <c r="K565">
        <v>0.136746753589853</v>
      </c>
      <c r="L565">
        <v>696.18013003755095</v>
      </c>
      <c r="M565">
        <v>14.669044691694999</v>
      </c>
      <c r="N565">
        <v>48.534522459708803</v>
      </c>
      <c r="O565">
        <v>46.603317840944101</v>
      </c>
      <c r="P565">
        <v>-6.7780457934467103E-2</v>
      </c>
      <c r="Q565">
        <v>0.13874548689808799</v>
      </c>
      <c r="R565">
        <v>0.981694047900875</v>
      </c>
      <c r="S565" t="s">
        <v>7017</v>
      </c>
      <c r="T565" t="s">
        <v>12902</v>
      </c>
      <c r="U565" t="s">
        <v>12902</v>
      </c>
      <c r="V565" t="s">
        <v>12902</v>
      </c>
      <c r="W565" t="s">
        <v>13457</v>
      </c>
      <c r="X565">
        <v>3</v>
      </c>
      <c r="Y565" t="s">
        <v>19855</v>
      </c>
      <c r="Z565" t="s">
        <v>26140</v>
      </c>
      <c r="AA565">
        <v>0.37671402414047339</v>
      </c>
      <c r="AB565" t="str">
        <f>HYPERLINK("Melting_Curves/meltCurve_E9PMR6_ARHGEF12.pdf", "Melting_Curves/meltCurve_E9PMR6_ARHGEF12.pdf")</f>
        <v>Melting_Curves/meltCurve_E9PMR6_ARHGEF12.pdf</v>
      </c>
    </row>
    <row r="566" spans="1:28" x14ac:dyDescent="0.25">
      <c r="A566" t="s">
        <v>570</v>
      </c>
      <c r="B566">
        <v>0.99673306730245903</v>
      </c>
      <c r="C566">
        <v>0.89714726895293395</v>
      </c>
      <c r="D566">
        <v>0.86806515354475</v>
      </c>
      <c r="E566">
        <v>0.72248228449006402</v>
      </c>
      <c r="F566">
        <v>0.395563659054044</v>
      </c>
      <c r="G566">
        <v>0.32084559341331498</v>
      </c>
      <c r="H566">
        <v>0.27163998285644197</v>
      </c>
      <c r="I566">
        <v>0.38424210931693897</v>
      </c>
      <c r="J566">
        <v>0.57826919478227901</v>
      </c>
      <c r="K566">
        <v>0.57357008789214603</v>
      </c>
      <c r="L566">
        <v>1426.51475515211</v>
      </c>
      <c r="M566">
        <v>29.122391641360299</v>
      </c>
      <c r="N566">
        <v>52.185045254456597</v>
      </c>
      <c r="O566">
        <v>48.754218967646601</v>
      </c>
      <c r="P566">
        <v>-8.7174492427446196E-2</v>
      </c>
      <c r="Q566">
        <v>0.41624403861283998</v>
      </c>
      <c r="R566">
        <v>0.825073475586516</v>
      </c>
      <c r="S566" t="s">
        <v>7018</v>
      </c>
      <c r="T566" t="s">
        <v>12902</v>
      </c>
      <c r="U566" t="s">
        <v>12902</v>
      </c>
      <c r="V566" t="s">
        <v>12902</v>
      </c>
      <c r="W566" t="s">
        <v>13458</v>
      </c>
      <c r="X566">
        <v>50</v>
      </c>
      <c r="Y566" t="s">
        <v>19856</v>
      </c>
      <c r="Z566" t="s">
        <v>26141</v>
      </c>
      <c r="AA566">
        <v>0.59482634935760137</v>
      </c>
      <c r="AB566" t="str">
        <f>HYPERLINK("Melting_Curves/meltCurve_E9PMS6_LMO7.pdf", "Melting_Curves/meltCurve_E9PMS6_LMO7.pdf")</f>
        <v>Melting_Curves/meltCurve_E9PMS6_LMO7.pdf</v>
      </c>
    </row>
    <row r="567" spans="1:28" x14ac:dyDescent="0.25">
      <c r="A567" t="s">
        <v>571</v>
      </c>
      <c r="B567">
        <v>0.99673306730245903</v>
      </c>
      <c r="C567">
        <v>0.92563502728694702</v>
      </c>
      <c r="D567">
        <v>0.86347664588139195</v>
      </c>
      <c r="E567">
        <v>0.67223793385672403</v>
      </c>
      <c r="F567">
        <v>0.18402209151669499</v>
      </c>
      <c r="G567">
        <v>0.10448457624072401</v>
      </c>
      <c r="H567">
        <v>5.6034785942469703E-2</v>
      </c>
      <c r="I567">
        <v>4.2125801639763101E-2</v>
      </c>
      <c r="J567">
        <v>3.7427744918390397E-2</v>
      </c>
      <c r="K567">
        <v>3.3618879830397901E-2</v>
      </c>
      <c r="L567">
        <v>1288.2094201094201</v>
      </c>
      <c r="M567">
        <v>25.5463386911428</v>
      </c>
      <c r="N567">
        <v>50.570736098770702</v>
      </c>
      <c r="O567">
        <v>50.120432135607501</v>
      </c>
      <c r="P567">
        <v>-0.1229456265032</v>
      </c>
      <c r="Q567">
        <v>3.5163256131873197E-2</v>
      </c>
      <c r="R567">
        <v>0.99123838795305796</v>
      </c>
      <c r="S567" t="s">
        <v>7019</v>
      </c>
      <c r="T567" t="s">
        <v>12902</v>
      </c>
      <c r="U567" t="s">
        <v>12902</v>
      </c>
      <c r="V567" t="s">
        <v>12902</v>
      </c>
      <c r="W567" t="s">
        <v>13459</v>
      </c>
      <c r="X567">
        <v>5</v>
      </c>
      <c r="Y567" t="s">
        <v>19857</v>
      </c>
      <c r="Z567" t="s">
        <v>26142</v>
      </c>
      <c r="AA567">
        <v>0.37878504474282187</v>
      </c>
      <c r="AB567" t="str">
        <f>HYPERLINK("Melting_Curves/meltCurve_E9PN48_ARFGAP2.pdf", "Melting_Curves/meltCurve_E9PN48_ARFGAP2.pdf")</f>
        <v>Melting_Curves/meltCurve_E9PN48_ARFGAP2.pdf</v>
      </c>
    </row>
    <row r="568" spans="1:28" x14ac:dyDescent="0.25">
      <c r="A568" t="s">
        <v>572</v>
      </c>
      <c r="B568">
        <v>0.99673306730245903</v>
      </c>
      <c r="C568">
        <v>0.897099052927262</v>
      </c>
      <c r="D568">
        <v>1.0451471377662001</v>
      </c>
      <c r="E568">
        <v>0.91015126034416705</v>
      </c>
      <c r="F568">
        <v>1.1687565771434401</v>
      </c>
      <c r="G568">
        <v>1.10629162076694</v>
      </c>
      <c r="H568">
        <v>0.59391017958982795</v>
      </c>
      <c r="I568">
        <v>0.26179441220085498</v>
      </c>
      <c r="J568">
        <v>0.42573382360238199</v>
      </c>
      <c r="K568">
        <v>0.42566084095560902</v>
      </c>
      <c r="L568">
        <v>15000</v>
      </c>
      <c r="M568">
        <v>247.310621610065</v>
      </c>
      <c r="N568">
        <v>60.986668144358298</v>
      </c>
      <c r="O568">
        <v>60.648491816058197</v>
      </c>
      <c r="P568">
        <v>-0.64116518973647496</v>
      </c>
      <c r="Q568">
        <v>0.37106285198851402</v>
      </c>
      <c r="R568">
        <v>0.91830729734667904</v>
      </c>
      <c r="S568" t="s">
        <v>7020</v>
      </c>
      <c r="T568" t="s">
        <v>12902</v>
      </c>
      <c r="U568" t="s">
        <v>12902</v>
      </c>
      <c r="V568" t="s">
        <v>12902</v>
      </c>
      <c r="W568" t="s">
        <v>13460</v>
      </c>
      <c r="X568">
        <v>30</v>
      </c>
      <c r="Y568" t="s">
        <v>19359</v>
      </c>
      <c r="Z568" t="s">
        <v>26143</v>
      </c>
      <c r="AA568">
        <v>0.80410144406585038</v>
      </c>
      <c r="AB568" t="str">
        <f>HYPERLINK("Melting_Curves/meltCurve_E9PN89_HSPA8.pdf", "Melting_Curves/meltCurve_E9PN89_HSPA8.pdf")</f>
        <v>Melting_Curves/meltCurve_E9PN89_HSPA8.pdf</v>
      </c>
    </row>
    <row r="569" spans="1:28" x14ac:dyDescent="0.25">
      <c r="A569" t="s">
        <v>573</v>
      </c>
      <c r="B569">
        <v>0.99673306730245903</v>
      </c>
      <c r="C569">
        <v>0.91126366788614099</v>
      </c>
      <c r="D569">
        <v>0.82877049402569603</v>
      </c>
      <c r="E569">
        <v>0.70905416637785801</v>
      </c>
      <c r="F569">
        <v>0.46034221005634801</v>
      </c>
      <c r="G569">
        <v>0.44347057673139101</v>
      </c>
      <c r="H569">
        <v>0.39055882291590999</v>
      </c>
      <c r="I569">
        <v>0.50336530969878301</v>
      </c>
      <c r="J569">
        <v>0.65144442423767202</v>
      </c>
      <c r="K569">
        <v>0.72370214390582599</v>
      </c>
      <c r="L569">
        <v>1135.0054306305101</v>
      </c>
      <c r="M569">
        <v>24.086574635597799</v>
      </c>
      <c r="O569">
        <v>46.800717983077199</v>
      </c>
      <c r="P569">
        <v>-6.0268152914776003E-2</v>
      </c>
      <c r="Q569">
        <v>0.53159827359859102</v>
      </c>
      <c r="R569">
        <v>0.75044103465380796</v>
      </c>
      <c r="S569" t="s">
        <v>7021</v>
      </c>
      <c r="T569" t="s">
        <v>12902</v>
      </c>
      <c r="U569" t="s">
        <v>12902</v>
      </c>
      <c r="V569" t="s">
        <v>12902</v>
      </c>
      <c r="W569" t="s">
        <v>13461</v>
      </c>
      <c r="X569">
        <v>1</v>
      </c>
      <c r="Y569" t="s">
        <v>19858</v>
      </c>
      <c r="Z569" t="s">
        <v>26144</v>
      </c>
      <c r="AA569">
        <v>0.64732395539060195</v>
      </c>
      <c r="AB569" t="str">
        <f>HYPERLINK("Melting_Curves/meltCurve_E9PND3_EBAG9.pdf", "Melting_Curves/meltCurve_E9PND3_EBAG9.pdf")</f>
        <v>Melting_Curves/meltCurve_E9PND3_EBAG9.pdf</v>
      </c>
    </row>
    <row r="570" spans="1:28" x14ac:dyDescent="0.25">
      <c r="A570" t="s">
        <v>574</v>
      </c>
      <c r="B570">
        <v>0.99673306730245903</v>
      </c>
      <c r="C570">
        <v>0.95320488466323205</v>
      </c>
      <c r="D570">
        <v>0.94743334096979803</v>
      </c>
      <c r="E570">
        <v>0.75075327742133502</v>
      </c>
      <c r="F570">
        <v>0.48921471372706299</v>
      </c>
      <c r="G570">
        <v>0.30882918406697601</v>
      </c>
      <c r="H570">
        <v>0.241479535907628</v>
      </c>
      <c r="I570">
        <v>0.30638343088350001</v>
      </c>
      <c r="J570">
        <v>0.341323542991322</v>
      </c>
      <c r="K570">
        <v>0.37352578945236398</v>
      </c>
      <c r="L570">
        <v>1342.8313269305499</v>
      </c>
      <c r="M570">
        <v>26.478585407409799</v>
      </c>
      <c r="N570">
        <v>52.617877267214297</v>
      </c>
      <c r="O570">
        <v>50.427273277625403</v>
      </c>
      <c r="P570">
        <v>-9.08146108215242E-2</v>
      </c>
      <c r="Q570">
        <v>0.308198366863148</v>
      </c>
      <c r="R570">
        <v>0.98254797233888702</v>
      </c>
      <c r="S570" t="s">
        <v>7022</v>
      </c>
      <c r="T570" t="s">
        <v>12902</v>
      </c>
      <c r="U570" t="s">
        <v>12902</v>
      </c>
      <c r="V570" t="s">
        <v>12902</v>
      </c>
      <c r="W570" t="s">
        <v>13462</v>
      </c>
      <c r="X570">
        <v>1</v>
      </c>
      <c r="Y570" t="s">
        <v>19859</v>
      </c>
      <c r="Z570" t="s">
        <v>26145</v>
      </c>
      <c r="AA570">
        <v>0.56081887852039325</v>
      </c>
      <c r="AB570" t="str">
        <f>HYPERLINK("Melting_Curves/meltCurve_E9PNL8_DGKZ.pdf", "Melting_Curves/meltCurve_E9PNL8_DGKZ.pdf")</f>
        <v>Melting_Curves/meltCurve_E9PNL8_DGKZ.pdf</v>
      </c>
    </row>
    <row r="571" spans="1:28" x14ac:dyDescent="0.25">
      <c r="A571" t="s">
        <v>575</v>
      </c>
      <c r="B571">
        <v>0.99673306730245903</v>
      </c>
      <c r="C571">
        <v>1.1225525809611001</v>
      </c>
      <c r="D571">
        <v>0.82983523508024604</v>
      </c>
      <c r="E571">
        <v>1.0680716778522501</v>
      </c>
      <c r="F571">
        <v>0.42353591781713801</v>
      </c>
      <c r="G571">
        <v>0.24838580801364299</v>
      </c>
      <c r="H571">
        <v>0.15579022650212801</v>
      </c>
      <c r="I571">
        <v>0.161361534068165</v>
      </c>
      <c r="J571">
        <v>0.18296862811186099</v>
      </c>
      <c r="K571">
        <v>0.121132268428415</v>
      </c>
      <c r="L571">
        <v>9943.6614502247794</v>
      </c>
      <c r="M571">
        <v>187.74793495674501</v>
      </c>
      <c r="N571">
        <v>53.0836952871134</v>
      </c>
      <c r="O571">
        <v>52.956814374615099</v>
      </c>
      <c r="P571">
        <v>-0.73216974911434396</v>
      </c>
      <c r="Q571">
        <v>0.17392688809311199</v>
      </c>
      <c r="R571">
        <v>0.96410730799135802</v>
      </c>
      <c r="S571" t="s">
        <v>7023</v>
      </c>
      <c r="T571" t="s">
        <v>12902</v>
      </c>
      <c r="U571" t="s">
        <v>12902</v>
      </c>
      <c r="V571" t="s">
        <v>12902</v>
      </c>
      <c r="W571" t="s">
        <v>13463</v>
      </c>
      <c r="X571">
        <v>28</v>
      </c>
      <c r="Y571" t="s">
        <v>19860</v>
      </c>
      <c r="Z571" t="s">
        <v>26146</v>
      </c>
      <c r="AA571">
        <v>0.53100448905634445</v>
      </c>
      <c r="AB571" t="str">
        <f>HYPERLINK("Melting_Curves/meltCurve_E9PNQ6_TXNRD1.pdf", "Melting_Curves/meltCurve_E9PNQ6_TXNRD1.pdf")</f>
        <v>Melting_Curves/meltCurve_E9PNQ6_TXNRD1.pdf</v>
      </c>
    </row>
    <row r="572" spans="1:28" x14ac:dyDescent="0.25">
      <c r="A572" t="s">
        <v>576</v>
      </c>
      <c r="B572">
        <v>0.99673306730245903</v>
      </c>
      <c r="C572">
        <v>1.0331373539442501</v>
      </c>
      <c r="D572">
        <v>0.96276310980544499</v>
      </c>
      <c r="E572">
        <v>0.92304740565022403</v>
      </c>
      <c r="F572">
        <v>0.52081773919531604</v>
      </c>
      <c r="G572">
        <v>0.32231239933672301</v>
      </c>
      <c r="H572">
        <v>0.21477836737099301</v>
      </c>
      <c r="I572">
        <v>0.25880543218792101</v>
      </c>
      <c r="J572">
        <v>0.26833473101504601</v>
      </c>
      <c r="K572">
        <v>0.31226098414967601</v>
      </c>
      <c r="L572">
        <v>1949.4579326990599</v>
      </c>
      <c r="M572">
        <v>37.248575557486298</v>
      </c>
      <c r="N572">
        <v>53.426649320592901</v>
      </c>
      <c r="O572">
        <v>52.1862547420968</v>
      </c>
      <c r="P572">
        <v>-0.130942465553573</v>
      </c>
      <c r="Q572">
        <v>0.26618603513947497</v>
      </c>
      <c r="R572">
        <v>0.99294508893795197</v>
      </c>
      <c r="S572" t="s">
        <v>7024</v>
      </c>
      <c r="T572" t="s">
        <v>12902</v>
      </c>
      <c r="U572" t="s">
        <v>12902</v>
      </c>
      <c r="V572" t="s">
        <v>12902</v>
      </c>
      <c r="W572" t="s">
        <v>13464</v>
      </c>
      <c r="X572">
        <v>4</v>
      </c>
      <c r="Y572" t="s">
        <v>19861</v>
      </c>
      <c r="Z572" t="s">
        <v>26147</v>
      </c>
      <c r="AA572">
        <v>0.57100228182451218</v>
      </c>
      <c r="AB572" t="str">
        <f>HYPERLINK("Melting_Curves/meltCurve_E9PNT2_ARHGAP27.pdf", "Melting_Curves/meltCurve_E9PNT2_ARHGAP27.pdf")</f>
        <v>Melting_Curves/meltCurve_E9PNT2_ARHGAP27.pdf</v>
      </c>
    </row>
    <row r="573" spans="1:28" x14ac:dyDescent="0.25">
      <c r="A573" t="s">
        <v>577</v>
      </c>
      <c r="B573">
        <v>0.99673306730245903</v>
      </c>
      <c r="C573">
        <v>0.96993441370500899</v>
      </c>
      <c r="D573">
        <v>0.96455525908484996</v>
      </c>
      <c r="E573">
        <v>0.850204735115487</v>
      </c>
      <c r="F573">
        <v>0.66851144618256397</v>
      </c>
      <c r="G573">
        <v>0.636104393367386</v>
      </c>
      <c r="H573">
        <v>0.65975594969398399</v>
      </c>
      <c r="I573">
        <v>0.82995487412373503</v>
      </c>
      <c r="J573">
        <v>1.0271791674961801</v>
      </c>
      <c r="K573">
        <v>0.93363180286931902</v>
      </c>
      <c r="L573">
        <v>2216.7142491483</v>
      </c>
      <c r="M573">
        <v>46.203292786356798</v>
      </c>
      <c r="O573">
        <v>47.887797219548602</v>
      </c>
      <c r="P573">
        <v>-4.95288827050041E-2</v>
      </c>
      <c r="Q573">
        <v>0.79466173710527799</v>
      </c>
      <c r="R573">
        <v>0.32962889916626598</v>
      </c>
      <c r="S573" t="s">
        <v>7025</v>
      </c>
      <c r="T573" t="s">
        <v>12902</v>
      </c>
      <c r="U573" t="s">
        <v>12902</v>
      </c>
      <c r="V573" t="s">
        <v>12902</v>
      </c>
      <c r="W573" t="s">
        <v>13465</v>
      </c>
      <c r="X573">
        <v>7</v>
      </c>
      <c r="Y573" t="s">
        <v>19862</v>
      </c>
      <c r="Z573" t="s">
        <v>26148</v>
      </c>
      <c r="AA573">
        <v>0.84977384758875574</v>
      </c>
      <c r="AB573" t="str">
        <f>HYPERLINK("Melting_Curves/meltCurve_E9PNW4_CD59.pdf", "Melting_Curves/meltCurve_E9PNW4_CD59.pdf")</f>
        <v>Melting_Curves/meltCurve_E9PNW4_CD59.pdf</v>
      </c>
    </row>
    <row r="574" spans="1:28" x14ac:dyDescent="0.25">
      <c r="A574" t="s">
        <v>578</v>
      </c>
      <c r="B574">
        <v>0.99673306730245903</v>
      </c>
      <c r="C574">
        <v>0.80244692332185097</v>
      </c>
      <c r="D574">
        <v>0.84217250378045305</v>
      </c>
      <c r="E574">
        <v>0.736313458375629</v>
      </c>
      <c r="F574">
        <v>0.81663575181055403</v>
      </c>
      <c r="G574">
        <v>0.52892349538787697</v>
      </c>
      <c r="H574">
        <v>0.32940488752397801</v>
      </c>
      <c r="I574">
        <v>0.41363308304303698</v>
      </c>
      <c r="J574">
        <v>0.50386067724282202</v>
      </c>
      <c r="K574">
        <v>0.47651935405331203</v>
      </c>
      <c r="L574">
        <v>451.68561466938002</v>
      </c>
      <c r="M574">
        <v>8.68775479660661</v>
      </c>
      <c r="N574">
        <v>60.606002233927697</v>
      </c>
      <c r="O574">
        <v>49.456761855860996</v>
      </c>
      <c r="P574">
        <v>-2.8368029447166199E-2</v>
      </c>
      <c r="Q574">
        <v>0.35457316272186701</v>
      </c>
      <c r="R574">
        <v>0.81164835110938705</v>
      </c>
      <c r="S574" t="s">
        <v>7026</v>
      </c>
      <c r="T574" t="s">
        <v>12902</v>
      </c>
      <c r="U574" t="s">
        <v>12902</v>
      </c>
      <c r="V574" t="s">
        <v>12902</v>
      </c>
      <c r="W574" t="s">
        <v>13466</v>
      </c>
      <c r="X574">
        <v>1</v>
      </c>
      <c r="Y574" t="s">
        <v>19863</v>
      </c>
      <c r="Z574" t="s">
        <v>26149</v>
      </c>
      <c r="AA574">
        <v>0.6408229796806072</v>
      </c>
      <c r="AB574" t="str">
        <f>HYPERLINK("Melting_Curves/meltCurve_E9PPY3_RRP8.pdf", "Melting_Curves/meltCurve_E9PPY3_RRP8.pdf")</f>
        <v>Melting_Curves/meltCurve_E9PPY3_RRP8.pdf</v>
      </c>
    </row>
    <row r="575" spans="1:28" x14ac:dyDescent="0.25">
      <c r="A575" t="s">
        <v>579</v>
      </c>
      <c r="B575">
        <v>0.99673306730245903</v>
      </c>
      <c r="C575">
        <v>1.0964657573847201</v>
      </c>
      <c r="D575">
        <v>0.74618933339987503</v>
      </c>
      <c r="E575">
        <v>0.76736979493077695</v>
      </c>
      <c r="F575">
        <v>0.50416552444644502</v>
      </c>
      <c r="G575">
        <v>0.35197032961993302</v>
      </c>
      <c r="H575">
        <v>0.31452030106064599</v>
      </c>
      <c r="I575">
        <v>0.26695518429327703</v>
      </c>
      <c r="J575">
        <v>0.19134939511168</v>
      </c>
      <c r="K575">
        <v>0.18835952348917701</v>
      </c>
      <c r="L575">
        <v>698.88769249321103</v>
      </c>
      <c r="M575">
        <v>13.4769209100143</v>
      </c>
      <c r="N575">
        <v>53.631081071781402</v>
      </c>
      <c r="O575">
        <v>50.756260450326302</v>
      </c>
      <c r="P575">
        <v>-5.4456513118910803E-2</v>
      </c>
      <c r="Q575">
        <v>0.17975784273321299</v>
      </c>
      <c r="R575">
        <v>0.95695332153287305</v>
      </c>
      <c r="S575" t="s">
        <v>7027</v>
      </c>
      <c r="T575" t="s">
        <v>12902</v>
      </c>
      <c r="U575" t="s">
        <v>12902</v>
      </c>
      <c r="V575" t="s">
        <v>12902</v>
      </c>
      <c r="W575" t="s">
        <v>13467</v>
      </c>
      <c r="X575">
        <v>3</v>
      </c>
      <c r="Y575" t="s">
        <v>19864</v>
      </c>
      <c r="Z575" t="s">
        <v>26150</v>
      </c>
      <c r="AA575">
        <v>0.52559126742748519</v>
      </c>
      <c r="AB575" t="str">
        <f>HYPERLINK("Melting_Curves/meltCurve_E9PQC4_NUF2.pdf", "Melting_Curves/meltCurve_E9PQC4_NUF2.pdf")</f>
        <v>Melting_Curves/meltCurve_E9PQC4_NUF2.pdf</v>
      </c>
    </row>
    <row r="576" spans="1:28" x14ac:dyDescent="0.25">
      <c r="A576" t="s">
        <v>580</v>
      </c>
      <c r="B576">
        <v>0.99673306730245903</v>
      </c>
      <c r="C576">
        <v>0.84971996369963598</v>
      </c>
      <c r="D576">
        <v>0.85402507228910396</v>
      </c>
      <c r="E576">
        <v>0.71323724932857002</v>
      </c>
      <c r="F576">
        <v>0.36756967206091101</v>
      </c>
      <c r="G576">
        <v>0.23071621434922401</v>
      </c>
      <c r="H576">
        <v>0.18238939720883901</v>
      </c>
      <c r="I576">
        <v>0.213268163109399</v>
      </c>
      <c r="J576">
        <v>0.25120581796680103</v>
      </c>
      <c r="K576">
        <v>0.22758762815939301</v>
      </c>
      <c r="L576">
        <v>973.073505478431</v>
      </c>
      <c r="M576">
        <v>19.400352078697502</v>
      </c>
      <c r="N576">
        <v>51.493726750377597</v>
      </c>
      <c r="O576">
        <v>49.633728468415804</v>
      </c>
      <c r="P576">
        <v>-7.8394905500260695E-2</v>
      </c>
      <c r="Q576">
        <v>0.19776977573263399</v>
      </c>
      <c r="R576">
        <v>0.970671332180151</v>
      </c>
      <c r="S576" t="s">
        <v>7028</v>
      </c>
      <c r="T576" t="s">
        <v>12902</v>
      </c>
      <c r="U576" t="s">
        <v>12902</v>
      </c>
      <c r="V576" t="s">
        <v>12902</v>
      </c>
      <c r="W576" t="s">
        <v>13468</v>
      </c>
      <c r="X576">
        <v>3</v>
      </c>
      <c r="Y576" t="s">
        <v>19865</v>
      </c>
      <c r="Z576" t="s">
        <v>26151</v>
      </c>
      <c r="AA576">
        <v>0.48122965679611118</v>
      </c>
      <c r="AB576" t="str">
        <f>HYPERLINK("Melting_Curves/meltCurve_E9PQW0_PEX16.pdf", "Melting_Curves/meltCurve_E9PQW0_PEX16.pdf")</f>
        <v>Melting_Curves/meltCurve_E9PQW0_PEX16.pdf</v>
      </c>
    </row>
    <row r="577" spans="1:28" x14ac:dyDescent="0.25">
      <c r="A577" t="s">
        <v>581</v>
      </c>
      <c r="B577">
        <v>0.99673306730245903</v>
      </c>
      <c r="C577">
        <v>1.05840294573076</v>
      </c>
      <c r="D577">
        <v>0.93997886116929397</v>
      </c>
      <c r="E577">
        <v>0.57701031253295099</v>
      </c>
      <c r="F577">
        <v>0.34267652807647098</v>
      </c>
      <c r="G577">
        <v>0.19668231242836501</v>
      </c>
      <c r="H577">
        <v>0.123447451878436</v>
      </c>
      <c r="I577">
        <v>0.10839197855396</v>
      </c>
      <c r="J577">
        <v>9.7699519807569801E-2</v>
      </c>
      <c r="K577">
        <v>7.3795060612015406E-2</v>
      </c>
      <c r="L577">
        <v>1099.2903845727001</v>
      </c>
      <c r="M577">
        <v>21.81268137036</v>
      </c>
      <c r="N577">
        <v>50.913803071096503</v>
      </c>
      <c r="O577">
        <v>49.979003405723098</v>
      </c>
      <c r="P577">
        <v>-9.8273481143051594E-2</v>
      </c>
      <c r="Q577">
        <v>9.9331784555175703E-2</v>
      </c>
      <c r="R577">
        <v>0.99166878547597903</v>
      </c>
      <c r="S577" t="s">
        <v>7029</v>
      </c>
      <c r="T577" t="s">
        <v>12902</v>
      </c>
      <c r="U577" t="s">
        <v>12902</v>
      </c>
      <c r="V577" t="s">
        <v>12902</v>
      </c>
      <c r="W577" t="s">
        <v>13469</v>
      </c>
      <c r="X577">
        <v>1</v>
      </c>
      <c r="Y577" t="s">
        <v>19866</v>
      </c>
      <c r="Z577" t="s">
        <v>26152</v>
      </c>
      <c r="AA577">
        <v>0.42205270132638162</v>
      </c>
      <c r="AB577" t="str">
        <f>HYPERLINK("Melting_Curves/meltCurve_E9PQW1_CARD16.pdf", "Melting_Curves/meltCurve_E9PQW1_CARD16.pdf")</f>
        <v>Melting_Curves/meltCurve_E9PQW1_CARD16.pdf</v>
      </c>
    </row>
    <row r="578" spans="1:28" x14ac:dyDescent="0.25">
      <c r="A578" t="s">
        <v>582</v>
      </c>
      <c r="B578">
        <v>0.99673306730245903</v>
      </c>
      <c r="C578">
        <v>1.0395570805135499</v>
      </c>
      <c r="D578">
        <v>1.02475040502253</v>
      </c>
      <c r="E578">
        <v>1.0637692249925701</v>
      </c>
      <c r="F578">
        <v>1.0787157325916701</v>
      </c>
      <c r="G578">
        <v>0.93980474308116901</v>
      </c>
      <c r="H578">
        <v>0.73804842810038196</v>
      </c>
      <c r="I578">
        <v>0.81564493655086201</v>
      </c>
      <c r="J578">
        <v>1.02550224346787</v>
      </c>
      <c r="K578">
        <v>0.92026902656928</v>
      </c>
      <c r="L578">
        <v>14204.308139442801</v>
      </c>
      <c r="M578">
        <v>250</v>
      </c>
      <c r="O578">
        <v>56.813595048503799</v>
      </c>
      <c r="P578">
        <v>-0.13765833001748601</v>
      </c>
      <c r="Q578">
        <v>0.87486616279131901</v>
      </c>
      <c r="R578">
        <v>0.47373637211064301</v>
      </c>
      <c r="S578" t="s">
        <v>7030</v>
      </c>
      <c r="T578" t="s">
        <v>12902</v>
      </c>
      <c r="U578" t="s">
        <v>12902</v>
      </c>
      <c r="V578" t="s">
        <v>12902</v>
      </c>
      <c r="W578" t="s">
        <v>13470</v>
      </c>
      <c r="X578">
        <v>9</v>
      </c>
      <c r="Y578" t="s">
        <v>19867</v>
      </c>
      <c r="Z578" t="s">
        <v>26153</v>
      </c>
      <c r="AA578">
        <v>0.94502546834602419</v>
      </c>
      <c r="AB578" t="str">
        <f>HYPERLINK("Melting_Curves/meltCurve_E9PQY2_PFDN4.pdf", "Melting_Curves/meltCurve_E9PQY2_PFDN4.pdf")</f>
        <v>Melting_Curves/meltCurve_E9PQY2_PFDN4.pdf</v>
      </c>
    </row>
    <row r="579" spans="1:28" x14ac:dyDescent="0.25">
      <c r="A579" t="s">
        <v>583</v>
      </c>
      <c r="B579">
        <v>0.99673306730245903</v>
      </c>
      <c r="C579">
        <v>1.13327474696464</v>
      </c>
      <c r="D579">
        <v>1.0442225429163301</v>
      </c>
      <c r="E579">
        <v>1.2258334378533899</v>
      </c>
      <c r="F579">
        <v>1.26073549311757</v>
      </c>
      <c r="G579">
        <v>1.0054028115602001</v>
      </c>
      <c r="H579">
        <v>0.58636959857048798</v>
      </c>
      <c r="I579">
        <v>0.57636776818028701</v>
      </c>
      <c r="J579">
        <v>0.77575792805215604</v>
      </c>
      <c r="K579">
        <v>0.74343439436505099</v>
      </c>
      <c r="L579">
        <v>14605.709952291099</v>
      </c>
      <c r="M579">
        <v>250</v>
      </c>
      <c r="O579">
        <v>58.419101154888303</v>
      </c>
      <c r="P579">
        <v>-0.35253874904089899</v>
      </c>
      <c r="Q579">
        <v>0.67048005103902797</v>
      </c>
      <c r="R579">
        <v>0.69607222794665702</v>
      </c>
      <c r="S579" t="s">
        <v>7031</v>
      </c>
      <c r="T579" t="s">
        <v>12902</v>
      </c>
      <c r="U579" t="s">
        <v>12902</v>
      </c>
      <c r="V579" t="s">
        <v>12902</v>
      </c>
      <c r="W579" t="s">
        <v>13471</v>
      </c>
      <c r="X579">
        <v>2</v>
      </c>
      <c r="Y579" t="s">
        <v>19868</v>
      </c>
      <c r="Z579" t="s">
        <v>26154</v>
      </c>
      <c r="AA579">
        <v>0.87287027822751939</v>
      </c>
      <c r="AB579" t="str">
        <f>HYPERLINK("Melting_Curves/meltCurve_E9PR30_FAU.pdf", "Melting_Curves/meltCurve_E9PR30_FAU.pdf")</f>
        <v>Melting_Curves/meltCurve_E9PR30_FAU.pdf</v>
      </c>
    </row>
    <row r="580" spans="1:28" x14ac:dyDescent="0.25">
      <c r="A580" t="s">
        <v>584</v>
      </c>
      <c r="B580">
        <v>0.99673306730245903</v>
      </c>
      <c r="C580">
        <v>0.87853066415678305</v>
      </c>
      <c r="D580">
        <v>0.59152179780177105</v>
      </c>
      <c r="E580">
        <v>0.23376578970387901</v>
      </c>
      <c r="F580">
        <v>0.15872957259015799</v>
      </c>
      <c r="G580">
        <v>9.9063976803071205E-2</v>
      </c>
      <c r="H580">
        <v>8.6915078750124303E-2</v>
      </c>
      <c r="I580">
        <v>0.12633934869436</v>
      </c>
      <c r="J580">
        <v>0.14837263050376401</v>
      </c>
      <c r="K580">
        <v>0.14398222151644099</v>
      </c>
      <c r="L580">
        <v>1208.69567263214</v>
      </c>
      <c r="M580">
        <v>26.180988118207399</v>
      </c>
      <c r="N580">
        <v>46.657627955492401</v>
      </c>
      <c r="O580">
        <v>45.9001016367395</v>
      </c>
      <c r="P580">
        <v>-0.12543794620537099</v>
      </c>
      <c r="Q580">
        <v>0.12034641559393799</v>
      </c>
      <c r="R580">
        <v>0.99617254640209396</v>
      </c>
      <c r="S580" t="s">
        <v>7032</v>
      </c>
      <c r="T580" t="s">
        <v>12902</v>
      </c>
      <c r="U580" t="s">
        <v>12902</v>
      </c>
      <c r="V580" t="s">
        <v>12902</v>
      </c>
      <c r="W580" t="s">
        <v>13472</v>
      </c>
      <c r="X580">
        <v>1</v>
      </c>
      <c r="Y580" t="s">
        <v>19869</v>
      </c>
      <c r="Z580" t="s">
        <v>26155</v>
      </c>
      <c r="AA580">
        <v>0.30842641438637808</v>
      </c>
      <c r="AB580" t="str">
        <f>HYPERLINK("Melting_Curves/meltCurve_E9PR76_MAF1.pdf", "Melting_Curves/meltCurve_E9PR76_MAF1.pdf")</f>
        <v>Melting_Curves/meltCurve_E9PR76_MAF1.pdf</v>
      </c>
    </row>
    <row r="581" spans="1:28" x14ac:dyDescent="0.25">
      <c r="A581" t="s">
        <v>585</v>
      </c>
      <c r="B581">
        <v>0.99673306730245903</v>
      </c>
      <c r="C581">
        <v>0.95663143460977396</v>
      </c>
      <c r="D581">
        <v>0.993264315162252</v>
      </c>
      <c r="E581">
        <v>0.83969178138774703</v>
      </c>
      <c r="F581">
        <v>0.58594332308867403</v>
      </c>
      <c r="G581">
        <v>0.35861967866514599</v>
      </c>
      <c r="H581">
        <v>0.16068986219235401</v>
      </c>
      <c r="I581">
        <v>8.1002306091365703E-2</v>
      </c>
      <c r="J581">
        <v>6.6130841308099403E-2</v>
      </c>
      <c r="K581">
        <v>7.0023910256341304E-2</v>
      </c>
      <c r="L581">
        <v>949.20799846751595</v>
      </c>
      <c r="M581">
        <v>17.497259126372601</v>
      </c>
      <c r="N581">
        <v>54.486598017400901</v>
      </c>
      <c r="O581">
        <v>53.555230815988899</v>
      </c>
      <c r="P581">
        <v>-7.8682248943962904E-2</v>
      </c>
      <c r="Q581">
        <v>3.6737464445440203E-2</v>
      </c>
      <c r="R581">
        <v>0.99767808916105705</v>
      </c>
      <c r="S581" t="s">
        <v>7033</v>
      </c>
      <c r="T581" t="s">
        <v>12902</v>
      </c>
      <c r="U581" t="s">
        <v>12902</v>
      </c>
      <c r="V581" t="s">
        <v>12902</v>
      </c>
      <c r="W581" t="s">
        <v>13473</v>
      </c>
      <c r="X581">
        <v>2</v>
      </c>
      <c r="Y581" t="s">
        <v>19870</v>
      </c>
      <c r="Z581" t="s">
        <v>26156</v>
      </c>
      <c r="AA581">
        <v>0.51018881113784698</v>
      </c>
      <c r="AB581" t="str">
        <f>HYPERLINK("Melting_Curves/meltCurve_E9PRM7_SLC22A18.pdf", "Melting_Curves/meltCurve_E9PRM7_SLC22A18.pdf")</f>
        <v>Melting_Curves/meltCurve_E9PRM7_SLC22A18.pdf</v>
      </c>
    </row>
    <row r="582" spans="1:28" x14ac:dyDescent="0.25">
      <c r="A582" t="s">
        <v>586</v>
      </c>
      <c r="B582">
        <v>0.99673306730245903</v>
      </c>
      <c r="C582">
        <v>1.0345510566623699</v>
      </c>
      <c r="D582">
        <v>0.97658796562774497</v>
      </c>
      <c r="E582">
        <v>0.89443537487220204</v>
      </c>
      <c r="F582">
        <v>0.70333873822929405</v>
      </c>
      <c r="G582">
        <v>0.50009010475092197</v>
      </c>
      <c r="H582">
        <v>0.29886719444416698</v>
      </c>
      <c r="I582">
        <v>0.33567847607262102</v>
      </c>
      <c r="J582">
        <v>0.41956330388208901</v>
      </c>
      <c r="K582">
        <v>0.38352927977037699</v>
      </c>
      <c r="L582">
        <v>1333.3643338899701</v>
      </c>
      <c r="M582">
        <v>24.9640570193725</v>
      </c>
      <c r="N582">
        <v>56.195447705472802</v>
      </c>
      <c r="O582">
        <v>53.072169412290201</v>
      </c>
      <c r="P582">
        <v>-7.5868193732103795E-2</v>
      </c>
      <c r="Q582">
        <v>0.35484282416461499</v>
      </c>
      <c r="R582">
        <v>0.98090210602877004</v>
      </c>
      <c r="S582" t="s">
        <v>7034</v>
      </c>
      <c r="T582" t="s">
        <v>12902</v>
      </c>
      <c r="U582" t="s">
        <v>12902</v>
      </c>
      <c r="V582" t="s">
        <v>12902</v>
      </c>
      <c r="W582" t="s">
        <v>13474</v>
      </c>
      <c r="X582">
        <v>5</v>
      </c>
      <c r="Y582" t="s">
        <v>19871</v>
      </c>
      <c r="Z582" t="s">
        <v>26157</v>
      </c>
      <c r="AA582">
        <v>0.64922880960443474</v>
      </c>
      <c r="AB582" t="str">
        <f>HYPERLINK("Melting_Curves/meltCurve_E9PRR8_EIF1AD.pdf", "Melting_Curves/meltCurve_E9PRR8_EIF1AD.pdf")</f>
        <v>Melting_Curves/meltCurve_E9PRR8_EIF1AD.pdf</v>
      </c>
    </row>
    <row r="583" spans="1:28" x14ac:dyDescent="0.25">
      <c r="A583" t="s">
        <v>587</v>
      </c>
      <c r="B583">
        <v>0.99673306730245903</v>
      </c>
      <c r="C583">
        <v>0.77800085069251201</v>
      </c>
      <c r="D583">
        <v>0.96106823850132606</v>
      </c>
      <c r="E583">
        <v>0.97420082411846798</v>
      </c>
      <c r="F583">
        <v>0.14633971561551901</v>
      </c>
      <c r="G583">
        <v>0.10170071729138901</v>
      </c>
      <c r="H583">
        <v>6.4111797104556806E-2</v>
      </c>
      <c r="I583">
        <v>6.7616449553480798E-2</v>
      </c>
      <c r="J583">
        <v>7.5252023597180306E-2</v>
      </c>
      <c r="K583">
        <v>7.5673382143655196E-2</v>
      </c>
      <c r="L583">
        <v>4423.7084917529801</v>
      </c>
      <c r="M583">
        <v>85.654618318808403</v>
      </c>
      <c r="N583">
        <v>51.7465231862774</v>
      </c>
      <c r="O583">
        <v>51.617752807585397</v>
      </c>
      <c r="P583">
        <v>-0.38301561250837501</v>
      </c>
      <c r="Q583">
        <v>7.6738492494250604E-2</v>
      </c>
      <c r="R583">
        <v>0.970052544921991</v>
      </c>
      <c r="S583" t="s">
        <v>7035</v>
      </c>
      <c r="T583" t="s">
        <v>12902</v>
      </c>
      <c r="U583" t="s">
        <v>12902</v>
      </c>
      <c r="V583" t="s">
        <v>12902</v>
      </c>
      <c r="W583" t="s">
        <v>13475</v>
      </c>
      <c r="X583">
        <v>18</v>
      </c>
      <c r="Y583" t="s">
        <v>19830</v>
      </c>
      <c r="Z583" t="s">
        <v>26158</v>
      </c>
      <c r="AA583">
        <v>0.43585910673436218</v>
      </c>
      <c r="AB583" t="str">
        <f>HYPERLINK("Melting_Curves/meltCurve_E9PRY8_EEF1D.pdf", "Melting_Curves/meltCurve_E9PRY8_EEF1D.pdf")</f>
        <v>Melting_Curves/meltCurve_E9PRY8_EEF1D.pdf</v>
      </c>
    </row>
    <row r="584" spans="1:28" x14ac:dyDescent="0.25">
      <c r="A584" t="s">
        <v>588</v>
      </c>
      <c r="B584">
        <v>0.99673306730245903</v>
      </c>
      <c r="C584">
        <v>0.93926648039279104</v>
      </c>
      <c r="D584">
        <v>0.91451029091134395</v>
      </c>
      <c r="E584">
        <v>0.83906191837161404</v>
      </c>
      <c r="F584">
        <v>0.24356918617859</v>
      </c>
      <c r="G584">
        <v>0.139798125066146</v>
      </c>
      <c r="H584">
        <v>8.4661807644051901E-2</v>
      </c>
      <c r="I584">
        <v>7.9937299623132202E-2</v>
      </c>
      <c r="J584">
        <v>8.9882729161358699E-2</v>
      </c>
      <c r="K584">
        <v>7.3721326788152894E-2</v>
      </c>
      <c r="L584">
        <v>2157.9413824972899</v>
      </c>
      <c r="M584">
        <v>42.055365080607203</v>
      </c>
      <c r="N584">
        <v>51.550510791224497</v>
      </c>
      <c r="O584">
        <v>51.196308275040103</v>
      </c>
      <c r="P584">
        <v>-0.187202732781795</v>
      </c>
      <c r="Q584">
        <v>8.8432891265913693E-2</v>
      </c>
      <c r="R584">
        <v>0.99259809113267194</v>
      </c>
      <c r="S584" t="s">
        <v>7036</v>
      </c>
      <c r="T584" t="s">
        <v>12902</v>
      </c>
      <c r="U584" t="s">
        <v>12902</v>
      </c>
      <c r="V584" t="s">
        <v>12902</v>
      </c>
      <c r="W584" t="s">
        <v>13476</v>
      </c>
      <c r="X584">
        <v>14</v>
      </c>
      <c r="Y584" t="s">
        <v>19872</v>
      </c>
      <c r="Z584" t="s">
        <v>26159</v>
      </c>
      <c r="AA584">
        <v>0.43507431691490112</v>
      </c>
      <c r="AB584" t="str">
        <f>HYPERLINK("Melting_Curves/meltCurve_E9PS17_SCYL1.pdf", "Melting_Curves/meltCurve_E9PS17_SCYL1.pdf")</f>
        <v>Melting_Curves/meltCurve_E9PS17_SCYL1.pdf</v>
      </c>
    </row>
    <row r="585" spans="1:28" x14ac:dyDescent="0.25">
      <c r="A585" t="s">
        <v>589</v>
      </c>
      <c r="B585">
        <v>0.99673306730245903</v>
      </c>
      <c r="C585">
        <v>1.4284356109029099</v>
      </c>
      <c r="D585">
        <v>0.69652585007272405</v>
      </c>
      <c r="E585">
        <v>0.73434465915062097</v>
      </c>
      <c r="F585">
        <v>0.188524073666237</v>
      </c>
      <c r="G585">
        <v>0.20215378081198901</v>
      </c>
      <c r="H585">
        <v>0.10539881547011</v>
      </c>
      <c r="I585">
        <v>0.21591929836304399</v>
      </c>
      <c r="J585">
        <v>3.9113954432971103E-2</v>
      </c>
      <c r="K585">
        <v>0</v>
      </c>
      <c r="L585">
        <v>1263.8862835902701</v>
      </c>
      <c r="M585">
        <v>25.073363164991601</v>
      </c>
      <c r="N585">
        <v>50.800611727896197</v>
      </c>
      <c r="O585">
        <v>50.090170665283999</v>
      </c>
      <c r="P585">
        <v>-0.114108298042669</v>
      </c>
      <c r="Q585">
        <v>8.8175352600349297E-2</v>
      </c>
      <c r="R585">
        <v>0.85850294209970801</v>
      </c>
      <c r="S585" t="s">
        <v>7037</v>
      </c>
      <c r="T585" t="s">
        <v>12902</v>
      </c>
      <c r="U585" t="s">
        <v>12902</v>
      </c>
      <c r="V585" t="s">
        <v>12902</v>
      </c>
      <c r="W585" t="s">
        <v>13477</v>
      </c>
      <c r="X585">
        <v>2</v>
      </c>
      <c r="Y585" t="s">
        <v>19873</v>
      </c>
      <c r="Z585" t="s">
        <v>26160</v>
      </c>
      <c r="AA585">
        <v>0.41264022124003918</v>
      </c>
      <c r="AB585" t="str">
        <f>HYPERLINK("Melting_Curves/meltCurve_E9PSB8_SMCO4.pdf", "Melting_Curves/meltCurve_E9PSB8_SMCO4.pdf")</f>
        <v>Melting_Curves/meltCurve_E9PSB8_SMCO4.pdf</v>
      </c>
    </row>
    <row r="586" spans="1:28" x14ac:dyDescent="0.25">
      <c r="A586" t="s">
        <v>590</v>
      </c>
      <c r="B586">
        <v>0.99673306730245903</v>
      </c>
      <c r="C586">
        <v>0.979461517236204</v>
      </c>
      <c r="D586">
        <v>0.97608503611247399</v>
      </c>
      <c r="E586">
        <v>0.89187178377698295</v>
      </c>
      <c r="F586">
        <v>0.84651979868029104</v>
      </c>
      <c r="G586">
        <v>0.69413714194321596</v>
      </c>
      <c r="H586">
        <v>0.65136582210463401</v>
      </c>
      <c r="I586">
        <v>0.994592041534067</v>
      </c>
      <c r="J586">
        <v>1.55281852607672</v>
      </c>
      <c r="K586">
        <v>1.52952745292507</v>
      </c>
      <c r="L586">
        <v>15000</v>
      </c>
      <c r="M586">
        <v>229.78837890104299</v>
      </c>
      <c r="O586">
        <v>65.2724911995209</v>
      </c>
      <c r="P586">
        <v>0.44005582441564201</v>
      </c>
      <c r="Q586">
        <v>1.5</v>
      </c>
      <c r="R586">
        <v>0.69474663850303897</v>
      </c>
      <c r="S586" t="s">
        <v>7038</v>
      </c>
      <c r="T586" t="s">
        <v>12902</v>
      </c>
      <c r="U586" t="s">
        <v>12902</v>
      </c>
      <c r="V586" t="s">
        <v>12902</v>
      </c>
      <c r="W586" t="s">
        <v>13478</v>
      </c>
      <c r="X586">
        <v>16</v>
      </c>
      <c r="Y586" t="s">
        <v>19874</v>
      </c>
      <c r="Z586" t="s">
        <v>26161</v>
      </c>
      <c r="AA586">
        <v>1.0786413223419611</v>
      </c>
      <c r="AB586" t="str">
        <f>HYPERLINK("Melting_Curves/meltCurve_E9PSI1_TM9SF1.pdf", "Melting_Curves/meltCurve_E9PSI1_TM9SF1.pdf")</f>
        <v>Melting_Curves/meltCurve_E9PSI1_TM9SF1.pdf</v>
      </c>
    </row>
    <row r="587" spans="1:28" x14ac:dyDescent="0.25">
      <c r="A587" t="s">
        <v>591</v>
      </c>
      <c r="B587">
        <v>0.99673306730245903</v>
      </c>
      <c r="C587">
        <v>0.98979484980497001</v>
      </c>
      <c r="D587">
        <v>0.94577382367331797</v>
      </c>
      <c r="E587">
        <v>0.89975253952001499</v>
      </c>
      <c r="F587">
        <v>0.52187067793640196</v>
      </c>
      <c r="G587">
        <v>0.329110865197351</v>
      </c>
      <c r="H587">
        <v>0.20413283563180601</v>
      </c>
      <c r="I587">
        <v>0.16122052481597801</v>
      </c>
      <c r="J587">
        <v>0.14298414430637801</v>
      </c>
      <c r="K587">
        <v>0.108783481172763</v>
      </c>
      <c r="L587">
        <v>1162.2672219583701</v>
      </c>
      <c r="M587">
        <v>21.855221169168601</v>
      </c>
      <c r="N587">
        <v>53.945493541528101</v>
      </c>
      <c r="O587">
        <v>52.741068884383097</v>
      </c>
      <c r="P587">
        <v>-8.9791652843296196E-2</v>
      </c>
      <c r="Q587">
        <v>0.13327818725124099</v>
      </c>
      <c r="R587">
        <v>0.99505104378921605</v>
      </c>
      <c r="S587" t="s">
        <v>7039</v>
      </c>
      <c r="T587" t="s">
        <v>12902</v>
      </c>
      <c r="U587" t="s">
        <v>12902</v>
      </c>
      <c r="V587" t="s">
        <v>12902</v>
      </c>
      <c r="W587" t="s">
        <v>13479</v>
      </c>
      <c r="X587">
        <v>17</v>
      </c>
      <c r="Y587" t="s">
        <v>19875</v>
      </c>
      <c r="Z587" t="s">
        <v>26162</v>
      </c>
      <c r="AA587">
        <v>0.52427352223358625</v>
      </c>
      <c r="AB587" t="str">
        <f>HYPERLINK("Melting_Curves/meltCurve_F2Z2I2_PFKFB3.pdf", "Melting_Curves/meltCurve_F2Z2I2_PFKFB3.pdf")</f>
        <v>Melting_Curves/meltCurve_F2Z2I2_PFKFB3.pdf</v>
      </c>
    </row>
    <row r="588" spans="1:28" x14ac:dyDescent="0.25">
      <c r="A588" t="s">
        <v>592</v>
      </c>
      <c r="B588">
        <v>0.99673306730245903</v>
      </c>
      <c r="C588">
        <v>0.94406458899985102</v>
      </c>
      <c r="D588">
        <v>0.93897646732564</v>
      </c>
      <c r="E588">
        <v>0.70452151458683798</v>
      </c>
      <c r="F588">
        <v>0.36813172450936299</v>
      </c>
      <c r="G588">
        <v>0.2580452132919</v>
      </c>
      <c r="H588">
        <v>0.19694043041629</v>
      </c>
      <c r="I588">
        <v>0.23903366420900801</v>
      </c>
      <c r="J588">
        <v>0.297870921238648</v>
      </c>
      <c r="K588">
        <v>0.27973146220470402</v>
      </c>
      <c r="L588">
        <v>1495.2966706654399</v>
      </c>
      <c r="M588">
        <v>29.762058188772201</v>
      </c>
      <c r="N588">
        <v>51.431389818349302</v>
      </c>
      <c r="O588">
        <v>50.016531939817</v>
      </c>
      <c r="P588">
        <v>-0.111747277885933</v>
      </c>
      <c r="Q588">
        <v>0.24881909232466601</v>
      </c>
      <c r="R588">
        <v>0.99023633790103505</v>
      </c>
      <c r="S588" t="s">
        <v>7040</v>
      </c>
      <c r="T588" t="s">
        <v>12902</v>
      </c>
      <c r="U588" t="s">
        <v>12902</v>
      </c>
      <c r="V588" t="s">
        <v>12902</v>
      </c>
      <c r="W588" t="s">
        <v>13480</v>
      </c>
      <c r="X588">
        <v>58</v>
      </c>
      <c r="Y588" t="s">
        <v>19876</v>
      </c>
      <c r="Z588" t="s">
        <v>26163</v>
      </c>
      <c r="AA588">
        <v>0.51000502989276053</v>
      </c>
      <c r="AB588" t="str">
        <f>HYPERLINK("Melting_Curves/meltCurve_F2Z2U8_MYH14.pdf", "Melting_Curves/meltCurve_F2Z2U8_MYH14.pdf")</f>
        <v>Melting_Curves/meltCurve_F2Z2U8_MYH14.pdf</v>
      </c>
    </row>
    <row r="589" spans="1:28" x14ac:dyDescent="0.25">
      <c r="A589" t="s">
        <v>593</v>
      </c>
      <c r="B589">
        <v>0.99673306730245903</v>
      </c>
      <c r="C589">
        <v>1.0175534126427701</v>
      </c>
      <c r="D589">
        <v>0.99054407010262802</v>
      </c>
      <c r="E589">
        <v>0.89417499880709905</v>
      </c>
      <c r="F589">
        <v>0.80453094650372303</v>
      </c>
      <c r="G589">
        <v>0.55234418567587396</v>
      </c>
      <c r="H589">
        <v>0.30360591645268797</v>
      </c>
      <c r="I589">
        <v>0.20026751510587201</v>
      </c>
      <c r="J589">
        <v>0.209175742794492</v>
      </c>
      <c r="K589">
        <v>0.20289108928619701</v>
      </c>
      <c r="L589">
        <v>1109.5856126958499</v>
      </c>
      <c r="M589">
        <v>19.7606864354027</v>
      </c>
      <c r="N589">
        <v>57.317650598066201</v>
      </c>
      <c r="O589">
        <v>55.585603482522401</v>
      </c>
      <c r="P589">
        <v>-7.4163361745794298E-2</v>
      </c>
      <c r="Q589">
        <v>0.16556045890465099</v>
      </c>
      <c r="R589">
        <v>0.99568248054070996</v>
      </c>
      <c r="S589" t="s">
        <v>7041</v>
      </c>
      <c r="T589" t="s">
        <v>12902</v>
      </c>
      <c r="U589" t="s">
        <v>12902</v>
      </c>
      <c r="V589" t="s">
        <v>12902</v>
      </c>
      <c r="W589" t="s">
        <v>13481</v>
      </c>
      <c r="X589">
        <v>4</v>
      </c>
      <c r="Y589" t="s">
        <v>19877</v>
      </c>
      <c r="Z589" t="s">
        <v>26164</v>
      </c>
      <c r="AA589">
        <v>0.62565166644631909</v>
      </c>
      <c r="AB589" t="str">
        <f>HYPERLINK("Melting_Curves/meltCurve_F2Z2V1_FGGY.pdf", "Melting_Curves/meltCurve_F2Z2V1_FGGY.pdf")</f>
        <v>Melting_Curves/meltCurve_F2Z2V1_FGGY.pdf</v>
      </c>
    </row>
    <row r="590" spans="1:28" x14ac:dyDescent="0.25">
      <c r="A590" t="s">
        <v>594</v>
      </c>
      <c r="B590">
        <v>0.99673306730245903</v>
      </c>
      <c r="C590">
        <v>0.827744374963991</v>
      </c>
      <c r="D590">
        <v>0.59529813795122699</v>
      </c>
      <c r="E590">
        <v>0.49312755267626901</v>
      </c>
      <c r="F590">
        <v>0.41171654507585898</v>
      </c>
      <c r="G590">
        <v>0.27712280336177603</v>
      </c>
      <c r="H590">
        <v>0.15393276194352901</v>
      </c>
      <c r="I590">
        <v>0.121023474590359</v>
      </c>
      <c r="J590">
        <v>0.100925563196641</v>
      </c>
      <c r="K590">
        <v>8.2836580495083995E-2</v>
      </c>
      <c r="L590">
        <v>470.25026821573698</v>
      </c>
      <c r="M590">
        <v>9.5119071045681896</v>
      </c>
      <c r="N590">
        <v>49.7760833816874</v>
      </c>
      <c r="O590">
        <v>47.400898269690501</v>
      </c>
      <c r="P590">
        <v>-4.8626922672277598E-2</v>
      </c>
      <c r="Q590">
        <v>3.1275764996268697E-2</v>
      </c>
      <c r="R590">
        <v>0.97878297169525796</v>
      </c>
      <c r="S590" t="s">
        <v>7042</v>
      </c>
      <c r="T590" t="s">
        <v>12902</v>
      </c>
      <c r="U590" t="s">
        <v>12902</v>
      </c>
      <c r="V590" t="s">
        <v>12902</v>
      </c>
      <c r="W590" t="s">
        <v>13482</v>
      </c>
      <c r="X590">
        <v>5</v>
      </c>
      <c r="Y590" t="s">
        <v>19878</v>
      </c>
      <c r="Z590" t="s">
        <v>26165</v>
      </c>
      <c r="AA590">
        <v>0.3851627723901615</v>
      </c>
      <c r="AB590" t="str">
        <f>HYPERLINK("Melting_Curves/meltCurve_F2Z2W7_TRMT2A.pdf", "Melting_Curves/meltCurve_F2Z2W7_TRMT2A.pdf")</f>
        <v>Melting_Curves/meltCurve_F2Z2W7_TRMT2A.pdf</v>
      </c>
    </row>
    <row r="591" spans="1:28" x14ac:dyDescent="0.25">
      <c r="A591" t="s">
        <v>595</v>
      </c>
      <c r="B591">
        <v>0.99673306730245903</v>
      </c>
      <c r="C591">
        <v>0.97703821519237499</v>
      </c>
      <c r="D591">
        <v>0.96076551499728002</v>
      </c>
      <c r="E591">
        <v>0.95288409625207804</v>
      </c>
      <c r="F591">
        <v>0.276394056524981</v>
      </c>
      <c r="G591">
        <v>0.156150850615104</v>
      </c>
      <c r="H591">
        <v>9.1107084177171505E-2</v>
      </c>
      <c r="I591">
        <v>8.8658260381136403E-2</v>
      </c>
      <c r="J591">
        <v>8.8668277154031097E-2</v>
      </c>
      <c r="K591">
        <v>8.4450188143247104E-2</v>
      </c>
      <c r="L591">
        <v>3044.9368992731702</v>
      </c>
      <c r="M591">
        <v>58.619078445068801</v>
      </c>
      <c r="N591">
        <v>52.142829745993303</v>
      </c>
      <c r="O591">
        <v>51.884118614145599</v>
      </c>
      <c r="P591">
        <v>-0.25422348928926702</v>
      </c>
      <c r="Q591">
        <v>9.9941106309937897E-2</v>
      </c>
      <c r="R591">
        <v>0.99699394668555796</v>
      </c>
      <c r="S591" t="s">
        <v>7043</v>
      </c>
      <c r="T591" t="s">
        <v>12902</v>
      </c>
      <c r="U591" t="s">
        <v>12902</v>
      </c>
      <c r="V591" t="s">
        <v>12902</v>
      </c>
      <c r="W591" t="s">
        <v>13483</v>
      </c>
      <c r="X591">
        <v>15</v>
      </c>
      <c r="Y591" t="s">
        <v>19879</v>
      </c>
      <c r="Z591" t="s">
        <v>26166</v>
      </c>
      <c r="AA591">
        <v>0.45979673576039443</v>
      </c>
      <c r="AB591" t="str">
        <f>HYPERLINK("Melting_Curves/meltCurve_F2Z2X4_XPO4.pdf", "Melting_Curves/meltCurve_F2Z2X4_XPO4.pdf")</f>
        <v>Melting_Curves/meltCurve_F2Z2X4_XPO4.pdf</v>
      </c>
    </row>
    <row r="592" spans="1:28" x14ac:dyDescent="0.25">
      <c r="A592" t="s">
        <v>596</v>
      </c>
      <c r="B592">
        <v>0.99673306730245903</v>
      </c>
      <c r="C592">
        <v>0.84758419061844803</v>
      </c>
      <c r="D592">
        <v>0.779326400749493</v>
      </c>
      <c r="E592">
        <v>0.63133990382783201</v>
      </c>
      <c r="F592">
        <v>0.35948269143012102</v>
      </c>
      <c r="G592">
        <v>0.19764601779303101</v>
      </c>
      <c r="H592">
        <v>0.101045025518431</v>
      </c>
      <c r="I592">
        <v>0.106840024272418</v>
      </c>
      <c r="J592">
        <v>0.129921724696591</v>
      </c>
      <c r="K592">
        <v>8.32703572466367E-2</v>
      </c>
      <c r="L592">
        <v>671.18020442106001</v>
      </c>
      <c r="M592">
        <v>13.3323627347994</v>
      </c>
      <c r="N592">
        <v>50.788700047508001</v>
      </c>
      <c r="O592">
        <v>49.250054320557098</v>
      </c>
      <c r="P592">
        <v>-6.3944418535355096E-2</v>
      </c>
      <c r="Q592">
        <v>5.5302750910915903E-2</v>
      </c>
      <c r="R592">
        <v>0.98873787682862502</v>
      </c>
      <c r="S592" t="s">
        <v>7044</v>
      </c>
      <c r="T592" t="s">
        <v>12902</v>
      </c>
      <c r="U592" t="s">
        <v>12902</v>
      </c>
      <c r="V592" t="s">
        <v>12902</v>
      </c>
      <c r="W592" t="s">
        <v>13484</v>
      </c>
      <c r="X592">
        <v>2</v>
      </c>
      <c r="Y592" t="s">
        <v>19880</v>
      </c>
      <c r="Z592" t="s">
        <v>26167</v>
      </c>
      <c r="AA592">
        <v>0.40813683154868791</v>
      </c>
      <c r="AB592" t="str">
        <f>HYPERLINK("Melting_Curves/meltCurve_F5GWD3_GTF2H3.pdf", "Melting_Curves/meltCurve_F5GWD3_GTF2H3.pdf")</f>
        <v>Melting_Curves/meltCurve_F5GWD3_GTF2H3.pdf</v>
      </c>
    </row>
    <row r="593" spans="1:28" x14ac:dyDescent="0.25">
      <c r="A593" t="s">
        <v>597</v>
      </c>
      <c r="B593">
        <v>0.99673306730245903</v>
      </c>
      <c r="C593">
        <v>1.02466895727229</v>
      </c>
      <c r="D593">
        <v>0.93652044075196195</v>
      </c>
      <c r="E593">
        <v>0.900007880525311</v>
      </c>
      <c r="F593">
        <v>0.74362711529692704</v>
      </c>
      <c r="G593">
        <v>0.42173710479547</v>
      </c>
      <c r="H593">
        <v>0.39159316975101</v>
      </c>
      <c r="I593">
        <v>0.49115586193046801</v>
      </c>
      <c r="J593">
        <v>0.55237904514735503</v>
      </c>
      <c r="K593">
        <v>0.54668741497129503</v>
      </c>
      <c r="L593">
        <v>13301.3408344161</v>
      </c>
      <c r="M593">
        <v>250</v>
      </c>
      <c r="N593">
        <v>53.907260148706399</v>
      </c>
      <c r="O593">
        <v>53.201944129271702</v>
      </c>
      <c r="P593">
        <v>-0.61004508118757805</v>
      </c>
      <c r="Q593">
        <v>0.48071051007048399</v>
      </c>
      <c r="R593">
        <v>0.93547784052914895</v>
      </c>
      <c r="S593" t="s">
        <v>7045</v>
      </c>
      <c r="T593" t="s">
        <v>12902</v>
      </c>
      <c r="U593" t="s">
        <v>12902</v>
      </c>
      <c r="V593" t="s">
        <v>12902</v>
      </c>
      <c r="W593" t="s">
        <v>13485</v>
      </c>
      <c r="X593">
        <v>1</v>
      </c>
      <c r="Y593" t="s">
        <v>19881</v>
      </c>
      <c r="Z593" t="s">
        <v>26168</v>
      </c>
      <c r="AA593">
        <v>0.70933921157588231</v>
      </c>
      <c r="AB593" t="str">
        <f>HYPERLINK("Melting_Curves/meltCurve_F5GWH5_TMEM258.pdf", "Melting_Curves/meltCurve_F5GWH5_TMEM258.pdf")</f>
        <v>Melting_Curves/meltCurve_F5GWH5_TMEM258.pdf</v>
      </c>
    </row>
    <row r="594" spans="1:28" x14ac:dyDescent="0.25">
      <c r="A594" t="s">
        <v>598</v>
      </c>
      <c r="B594">
        <v>0.99673306730245903</v>
      </c>
      <c r="C594">
        <v>0.98268668969202999</v>
      </c>
      <c r="D594">
        <v>0.97839346261653304</v>
      </c>
      <c r="E594">
        <v>0.959332465368681</v>
      </c>
      <c r="F594">
        <v>0.805814594726042</v>
      </c>
      <c r="G594">
        <v>0.62545870097341305</v>
      </c>
      <c r="H594">
        <v>0.405211578095655</v>
      </c>
      <c r="I594">
        <v>0.36318028190778301</v>
      </c>
      <c r="J594">
        <v>0.35664036596633297</v>
      </c>
      <c r="K594">
        <v>0.29063718866570198</v>
      </c>
      <c r="L594">
        <v>1072.71114098516</v>
      </c>
      <c r="M594">
        <v>19.112239121119099</v>
      </c>
      <c r="N594">
        <v>58.904106891055903</v>
      </c>
      <c r="O594">
        <v>55.523285946628199</v>
      </c>
      <c r="P594">
        <v>-6.0504418685370299E-2</v>
      </c>
      <c r="Q594">
        <v>0.296937779770996</v>
      </c>
      <c r="R594">
        <v>0.996428192037081</v>
      </c>
      <c r="S594" t="s">
        <v>7046</v>
      </c>
      <c r="T594" t="s">
        <v>12902</v>
      </c>
      <c r="U594" t="s">
        <v>12902</v>
      </c>
      <c r="V594" t="s">
        <v>12902</v>
      </c>
      <c r="W594" t="s">
        <v>13486</v>
      </c>
      <c r="X594">
        <v>4</v>
      </c>
      <c r="Y594" t="s">
        <v>19882</v>
      </c>
      <c r="Z594" t="s">
        <v>26169</v>
      </c>
      <c r="AA594">
        <v>0.68443573646442413</v>
      </c>
      <c r="AB594" t="str">
        <f>HYPERLINK("Melting_Curves/meltCurve_F5GWI9_CCDC53.pdf", "Melting_Curves/meltCurve_F5GWI9_CCDC53.pdf")</f>
        <v>Melting_Curves/meltCurve_F5GWI9_CCDC53.pdf</v>
      </c>
    </row>
    <row r="595" spans="1:28" x14ac:dyDescent="0.25">
      <c r="A595" t="s">
        <v>599</v>
      </c>
      <c r="B595">
        <v>0.99673306730245903</v>
      </c>
      <c r="C595">
        <v>0.94254776921124195</v>
      </c>
      <c r="D595">
        <v>0.87350764524923097</v>
      </c>
      <c r="E595">
        <v>0.69310687529724802</v>
      </c>
      <c r="F595">
        <v>0.34224328571871498</v>
      </c>
      <c r="G595">
        <v>0.14934611870464701</v>
      </c>
      <c r="H595">
        <v>9.8737243762871199E-2</v>
      </c>
      <c r="I595">
        <v>0.108072449281074</v>
      </c>
      <c r="J595">
        <v>0.13150494399363</v>
      </c>
      <c r="K595">
        <v>0.140566961067211</v>
      </c>
      <c r="L595">
        <v>1122.21209861992</v>
      </c>
      <c r="M595">
        <v>22.1232810751196</v>
      </c>
      <c r="N595">
        <v>51.272159492190603</v>
      </c>
      <c r="O595">
        <v>50.316411742521403</v>
      </c>
      <c r="P595">
        <v>-9.8372633911419399E-2</v>
      </c>
      <c r="Q595">
        <v>0.10507886280626701</v>
      </c>
      <c r="R595">
        <v>0.99388329979811096</v>
      </c>
      <c r="S595" t="s">
        <v>7047</v>
      </c>
      <c r="T595" t="s">
        <v>12902</v>
      </c>
      <c r="U595" t="s">
        <v>12902</v>
      </c>
      <c r="V595" t="s">
        <v>12902</v>
      </c>
      <c r="W595" t="s">
        <v>13487</v>
      </c>
      <c r="X595">
        <v>28</v>
      </c>
      <c r="Y595" t="s">
        <v>19883</v>
      </c>
      <c r="Z595" t="s">
        <v>26170</v>
      </c>
      <c r="AA595">
        <v>0.43526901927800171</v>
      </c>
      <c r="AB595" t="str">
        <f>HYPERLINK("Melting_Curves/meltCurve_F5GWT4_WNK1.pdf", "Melting_Curves/meltCurve_F5GWT4_WNK1.pdf")</f>
        <v>Melting_Curves/meltCurve_F5GWT4_WNK1.pdf</v>
      </c>
    </row>
    <row r="596" spans="1:28" x14ac:dyDescent="0.25">
      <c r="A596" t="s">
        <v>600</v>
      </c>
      <c r="B596">
        <v>0.99673306730245903</v>
      </c>
      <c r="C596">
        <v>0.77096686371899903</v>
      </c>
      <c r="D596">
        <v>0.50161842519324396</v>
      </c>
      <c r="E596">
        <v>0.221060336238669</v>
      </c>
      <c r="F596">
        <v>0.14390763798280701</v>
      </c>
      <c r="G596">
        <v>9.41594243156961E-2</v>
      </c>
      <c r="H596">
        <v>6.4713494348481698E-2</v>
      </c>
      <c r="I596">
        <v>5.76579864391739E-2</v>
      </c>
      <c r="J596">
        <v>6.1706007433951202E-2</v>
      </c>
      <c r="K596">
        <v>5.2704608814958899E-2</v>
      </c>
      <c r="L596">
        <v>893.175489289707</v>
      </c>
      <c r="M596">
        <v>19.553116721627202</v>
      </c>
      <c r="N596">
        <v>45.996065022162597</v>
      </c>
      <c r="O596">
        <v>45.209704025236498</v>
      </c>
      <c r="P596">
        <v>-0.101320182404703</v>
      </c>
      <c r="Q596">
        <v>6.2964315380527894E-2</v>
      </c>
      <c r="R596">
        <v>0.99595062966742898</v>
      </c>
      <c r="S596" t="s">
        <v>7048</v>
      </c>
      <c r="T596" t="s">
        <v>12902</v>
      </c>
      <c r="U596" t="s">
        <v>12902</v>
      </c>
      <c r="V596" t="s">
        <v>12902</v>
      </c>
      <c r="W596" t="s">
        <v>13488</v>
      </c>
      <c r="X596">
        <v>39</v>
      </c>
      <c r="Y596" t="s">
        <v>19884</v>
      </c>
      <c r="Z596" t="s">
        <v>26171</v>
      </c>
      <c r="AA596">
        <v>0.25599853988059212</v>
      </c>
      <c r="AB596" t="str">
        <f>HYPERLINK("Melting_Curves/meltCurve_F5GWX5_CHD4.pdf", "Melting_Curves/meltCurve_F5GWX5_CHD4.pdf")</f>
        <v>Melting_Curves/meltCurve_F5GWX5_CHD4.pdf</v>
      </c>
    </row>
    <row r="597" spans="1:28" x14ac:dyDescent="0.25">
      <c r="A597" t="s">
        <v>601</v>
      </c>
      <c r="B597">
        <v>0.99673306730245903</v>
      </c>
      <c r="C597">
        <v>0.99998236415872499</v>
      </c>
      <c r="D597">
        <v>0.98346315184341004</v>
      </c>
      <c r="E597">
        <v>0.87908842608548499</v>
      </c>
      <c r="F597">
        <v>0.81417475370311598</v>
      </c>
      <c r="G597">
        <v>0.74086948220945203</v>
      </c>
      <c r="H597">
        <v>0.743353725827825</v>
      </c>
      <c r="I597">
        <v>1.0774043171029699</v>
      </c>
      <c r="J597">
        <v>0.96280237508694999</v>
      </c>
      <c r="K597">
        <v>0.85760392813130404</v>
      </c>
      <c r="L597">
        <v>2862.4721345245798</v>
      </c>
      <c r="M597">
        <v>60.211524402111401</v>
      </c>
      <c r="O597">
        <v>47.4879144725911</v>
      </c>
      <c r="P597">
        <v>-4.23517870457513E-2</v>
      </c>
      <c r="Q597">
        <v>0.86639121058896096</v>
      </c>
      <c r="R597">
        <v>0.275685245748376</v>
      </c>
      <c r="S597" t="s">
        <v>7049</v>
      </c>
      <c r="T597" t="s">
        <v>12902</v>
      </c>
      <c r="U597" t="s">
        <v>12902</v>
      </c>
      <c r="V597" t="s">
        <v>12902</v>
      </c>
      <c r="W597" t="s">
        <v>13489</v>
      </c>
      <c r="X597">
        <v>9</v>
      </c>
      <c r="Y597" t="s">
        <v>19885</v>
      </c>
      <c r="Z597" t="s">
        <v>26172</v>
      </c>
      <c r="AA597">
        <v>0.90016565292184791</v>
      </c>
      <c r="AB597" t="str">
        <f>HYPERLINK("Melting_Curves/meltCurve_F5GWY5_PODXL.pdf", "Melting_Curves/meltCurve_F5GWY5_PODXL.pdf")</f>
        <v>Melting_Curves/meltCurve_F5GWY5_PODXL.pdf</v>
      </c>
    </row>
    <row r="598" spans="1:28" x14ac:dyDescent="0.25">
      <c r="A598" t="s">
        <v>602</v>
      </c>
      <c r="B598">
        <v>0.99673306730245903</v>
      </c>
      <c r="C598">
        <v>0.94343082945141099</v>
      </c>
      <c r="D598">
        <v>1.0085399645300701</v>
      </c>
      <c r="E598">
        <v>0.91414084551248398</v>
      </c>
      <c r="F598">
        <v>0.51871687249041198</v>
      </c>
      <c r="G598">
        <v>0.30598357849095498</v>
      </c>
      <c r="H598">
        <v>0.16062745496865</v>
      </c>
      <c r="I598">
        <v>0.13293258061483801</v>
      </c>
      <c r="J598">
        <v>0.135817168132538</v>
      </c>
      <c r="K598">
        <v>0.12318636689918799</v>
      </c>
      <c r="L598">
        <v>1392.43702303649</v>
      </c>
      <c r="M598">
        <v>26.222277373905801</v>
      </c>
      <c r="N598">
        <v>53.729087042472003</v>
      </c>
      <c r="O598">
        <v>52.795357519544901</v>
      </c>
      <c r="P598">
        <v>-0.10778677616209</v>
      </c>
      <c r="Q598">
        <v>0.13194754224152599</v>
      </c>
      <c r="R598">
        <v>0.99455198493804398</v>
      </c>
      <c r="S598" t="s">
        <v>7050</v>
      </c>
      <c r="T598" t="s">
        <v>12902</v>
      </c>
      <c r="U598" t="s">
        <v>12902</v>
      </c>
      <c r="V598" t="s">
        <v>12902</v>
      </c>
      <c r="W598" t="s">
        <v>13490</v>
      </c>
      <c r="X598">
        <v>8</v>
      </c>
      <c r="Y598" t="s">
        <v>19886</v>
      </c>
      <c r="Z598" t="s">
        <v>26173</v>
      </c>
      <c r="AA598">
        <v>0.51834406149632883</v>
      </c>
      <c r="AB598" t="str">
        <f>HYPERLINK("Melting_Curves/meltCurve_F5GX09_FAM76B.pdf", "Melting_Curves/meltCurve_F5GX09_FAM76B.pdf")</f>
        <v>Melting_Curves/meltCurve_F5GX09_FAM76B.pdf</v>
      </c>
    </row>
    <row r="599" spans="1:28" x14ac:dyDescent="0.25">
      <c r="A599" t="s">
        <v>603</v>
      </c>
      <c r="B599">
        <v>0.99673306730245903</v>
      </c>
      <c r="C599">
        <v>0.66120612541859503</v>
      </c>
      <c r="D599">
        <v>0.38526542287372401</v>
      </c>
      <c r="E599">
        <v>0.215048911764947</v>
      </c>
      <c r="F599">
        <v>0.131550107219155</v>
      </c>
      <c r="G599">
        <v>6.9624994243575405E-2</v>
      </c>
      <c r="H599">
        <v>5.5003776376171702E-2</v>
      </c>
      <c r="I599">
        <v>7.4336262209611703E-2</v>
      </c>
      <c r="J599">
        <v>9.6863609483645793E-2</v>
      </c>
      <c r="K599">
        <v>9.9865632886970701E-2</v>
      </c>
      <c r="L599">
        <v>931.11565547068403</v>
      </c>
      <c r="M599">
        <v>20.9548656400505</v>
      </c>
      <c r="N599">
        <v>44.832376490493097</v>
      </c>
      <c r="O599">
        <v>44.035595852180101</v>
      </c>
      <c r="P599">
        <v>-0.108869957585467</v>
      </c>
      <c r="Q599">
        <v>8.4885507883120506E-2</v>
      </c>
      <c r="R599">
        <v>0.98653082079037102</v>
      </c>
      <c r="S599" t="s">
        <v>7051</v>
      </c>
      <c r="T599" t="s">
        <v>12902</v>
      </c>
      <c r="U599" t="s">
        <v>12902</v>
      </c>
      <c r="V599" t="s">
        <v>12902</v>
      </c>
      <c r="W599" t="s">
        <v>13491</v>
      </c>
      <c r="X599">
        <v>6</v>
      </c>
      <c r="Y599" t="s">
        <v>19887</v>
      </c>
      <c r="Z599" t="s">
        <v>26174</v>
      </c>
      <c r="AA599">
        <v>0.23507606454205399</v>
      </c>
      <c r="AB599" t="str">
        <f>HYPERLINK("Melting_Curves/meltCurve_F5GX28_KDM4B.pdf", "Melting_Curves/meltCurve_F5GX28_KDM4B.pdf")</f>
        <v>Melting_Curves/meltCurve_F5GX28_KDM4B.pdf</v>
      </c>
    </row>
    <row r="600" spans="1:28" x14ac:dyDescent="0.25">
      <c r="A600" t="s">
        <v>604</v>
      </c>
      <c r="B600">
        <v>0.99673306730245903</v>
      </c>
      <c r="C600">
        <v>1.00317129830983</v>
      </c>
      <c r="D600">
        <v>0.94809061495346503</v>
      </c>
      <c r="E600">
        <v>1.0957765410996201</v>
      </c>
      <c r="F600">
        <v>0.59765367745783304</v>
      </c>
      <c r="G600">
        <v>0.22748836255338201</v>
      </c>
      <c r="H600">
        <v>0.129764577447468</v>
      </c>
      <c r="I600">
        <v>7.5861175839402203E-2</v>
      </c>
      <c r="J600">
        <v>9.9147091384799602E-2</v>
      </c>
      <c r="K600">
        <v>0.10662079821619599</v>
      </c>
      <c r="L600">
        <v>2395.9372971381999</v>
      </c>
      <c r="M600">
        <v>44.722595445788102</v>
      </c>
      <c r="N600">
        <v>53.876825647774702</v>
      </c>
      <c r="O600">
        <v>53.466507951700301</v>
      </c>
      <c r="P600">
        <v>-0.18582720766363101</v>
      </c>
      <c r="Q600">
        <v>0.111364530033274</v>
      </c>
      <c r="R600">
        <v>0.98750036220983906</v>
      </c>
      <c r="S600" t="s">
        <v>7052</v>
      </c>
      <c r="T600" t="s">
        <v>12902</v>
      </c>
      <c r="U600" t="s">
        <v>12902</v>
      </c>
      <c r="V600" t="s">
        <v>12902</v>
      </c>
      <c r="W600" t="s">
        <v>13492</v>
      </c>
      <c r="X600">
        <v>3</v>
      </c>
      <c r="Y600" t="s">
        <v>19888</v>
      </c>
      <c r="Z600" t="s">
        <v>26175</v>
      </c>
      <c r="AA600">
        <v>0.51604865790779786</v>
      </c>
      <c r="AB600" t="str">
        <f>HYPERLINK("Melting_Curves/meltCurve_F5GX82_FRYL.pdf", "Melting_Curves/meltCurve_F5GX82_FRYL.pdf")</f>
        <v>Melting_Curves/meltCurve_F5GX82_FRYL.pdf</v>
      </c>
    </row>
    <row r="601" spans="1:28" x14ac:dyDescent="0.25">
      <c r="A601" t="s">
        <v>605</v>
      </c>
      <c r="B601">
        <v>0.99673306730245903</v>
      </c>
      <c r="C601">
        <v>0.95137728057294202</v>
      </c>
      <c r="D601">
        <v>0.86912907555004204</v>
      </c>
      <c r="E601">
        <v>0.84239542092922703</v>
      </c>
      <c r="F601">
        <v>0.13133961165452199</v>
      </c>
      <c r="G601">
        <v>9.9970753092563397E-2</v>
      </c>
      <c r="H601">
        <v>5.6410889255698801E-2</v>
      </c>
      <c r="I601">
        <v>5.4616004591169401E-2</v>
      </c>
      <c r="J601">
        <v>5.2514102364287898E-2</v>
      </c>
      <c r="K601">
        <v>4.3733043791275503E-2</v>
      </c>
      <c r="L601">
        <v>2905.6541996054898</v>
      </c>
      <c r="M601">
        <v>57.015277797871001</v>
      </c>
      <c r="N601">
        <v>51.076743869178799</v>
      </c>
      <c r="O601">
        <v>50.900149345017297</v>
      </c>
      <c r="P601">
        <v>-0.26330525917247299</v>
      </c>
      <c r="Q601">
        <v>5.9741828835649498E-2</v>
      </c>
      <c r="R601">
        <v>0.98791834172815696</v>
      </c>
      <c r="S601" t="s">
        <v>7053</v>
      </c>
      <c r="T601" t="s">
        <v>12902</v>
      </c>
      <c r="U601" t="s">
        <v>12902</v>
      </c>
      <c r="V601" t="s">
        <v>12902</v>
      </c>
      <c r="W601" t="s">
        <v>13493</v>
      </c>
      <c r="X601">
        <v>29</v>
      </c>
      <c r="Y601" t="s">
        <v>19889</v>
      </c>
      <c r="Z601" t="s">
        <v>26176</v>
      </c>
      <c r="AA601">
        <v>0.40495846575530609</v>
      </c>
      <c r="AB601" t="str">
        <f>HYPERLINK("Melting_Curves/meltCurve_F5GXC8_SUCLA2.pdf", "Melting_Curves/meltCurve_F5GXC8_SUCLA2.pdf")</f>
        <v>Melting_Curves/meltCurve_F5GXC8_SUCLA2.pdf</v>
      </c>
    </row>
    <row r="602" spans="1:28" x14ac:dyDescent="0.25">
      <c r="A602" t="s">
        <v>606</v>
      </c>
      <c r="B602">
        <v>0.99673306730245903</v>
      </c>
      <c r="C602">
        <v>0.96733040760389399</v>
      </c>
      <c r="D602">
        <v>0.97756043566750295</v>
      </c>
      <c r="E602">
        <v>0.82378659753940797</v>
      </c>
      <c r="F602">
        <v>0.30841089375102798</v>
      </c>
      <c r="G602">
        <v>0.19408058241308801</v>
      </c>
      <c r="H602">
        <v>0.110767525952681</v>
      </c>
      <c r="I602">
        <v>9.6077206071394805E-2</v>
      </c>
      <c r="J602">
        <v>9.1276852944636194E-2</v>
      </c>
      <c r="K602">
        <v>7.9723264215417394E-2</v>
      </c>
      <c r="L602">
        <v>1754.4690427614601</v>
      </c>
      <c r="M602">
        <v>34.055275073880097</v>
      </c>
      <c r="N602">
        <v>51.8680147101635</v>
      </c>
      <c r="O602">
        <v>51.341624387968103</v>
      </c>
      <c r="P602">
        <v>-0.148815871584872</v>
      </c>
      <c r="Q602">
        <v>0.10258653911389901</v>
      </c>
      <c r="R602">
        <v>0.99648705065538901</v>
      </c>
      <c r="S602" t="s">
        <v>7054</v>
      </c>
      <c r="T602" t="s">
        <v>12902</v>
      </c>
      <c r="U602" t="s">
        <v>12902</v>
      </c>
      <c r="V602" t="s">
        <v>12902</v>
      </c>
      <c r="W602" t="s">
        <v>13494</v>
      </c>
      <c r="X602">
        <v>9</v>
      </c>
      <c r="Y602" t="s">
        <v>19890</v>
      </c>
      <c r="Z602" t="s">
        <v>26177</v>
      </c>
      <c r="AA602">
        <v>0.45155699192462839</v>
      </c>
      <c r="AB602" t="str">
        <f>HYPERLINK("Melting_Curves/meltCurve_F5GXE4_ATE1.pdf", "Melting_Curves/meltCurve_F5GXE4_ATE1.pdf")</f>
        <v>Melting_Curves/meltCurve_F5GXE4_ATE1.pdf</v>
      </c>
    </row>
    <row r="603" spans="1:28" x14ac:dyDescent="0.25">
      <c r="A603" t="s">
        <v>607</v>
      </c>
      <c r="B603">
        <v>0.99673306730245903</v>
      </c>
      <c r="C603">
        <v>0.96855791613697195</v>
      </c>
      <c r="D603">
        <v>0.93371231812880795</v>
      </c>
      <c r="E603">
        <v>0.767109404288009</v>
      </c>
      <c r="F603">
        <v>0.60365779170645595</v>
      </c>
      <c r="G603">
        <v>0.31194470785144202</v>
      </c>
      <c r="H603">
        <v>0.27175481715836503</v>
      </c>
      <c r="I603">
        <v>0.14025537839083199</v>
      </c>
      <c r="J603">
        <v>0.17586811484696399</v>
      </c>
      <c r="K603">
        <v>0.13499392733843299</v>
      </c>
      <c r="L603">
        <v>828.73961589283704</v>
      </c>
      <c r="M603">
        <v>15.563097129012201</v>
      </c>
      <c r="N603">
        <v>54.190816329075602</v>
      </c>
      <c r="O603">
        <v>52.394365218970897</v>
      </c>
      <c r="P603">
        <v>-6.54764598673893E-2</v>
      </c>
      <c r="Q603">
        <v>0.11835104314794299</v>
      </c>
      <c r="R603">
        <v>0.99292569780900997</v>
      </c>
      <c r="S603" t="s">
        <v>7055</v>
      </c>
      <c r="T603" t="s">
        <v>12902</v>
      </c>
      <c r="U603" t="s">
        <v>12902</v>
      </c>
      <c r="V603" t="s">
        <v>12902</v>
      </c>
      <c r="W603" t="s">
        <v>13495</v>
      </c>
      <c r="X603">
        <v>3</v>
      </c>
      <c r="Y603" t="s">
        <v>19891</v>
      </c>
      <c r="Z603" t="s">
        <v>26178</v>
      </c>
      <c r="AA603">
        <v>0.525592263602915</v>
      </c>
      <c r="AB603" t="str">
        <f>HYPERLINK("Melting_Curves/meltCurve_F5GXF9_AFF1.pdf", "Melting_Curves/meltCurve_F5GXF9_AFF1.pdf")</f>
        <v>Melting_Curves/meltCurve_F5GXF9_AFF1.pdf</v>
      </c>
    </row>
    <row r="604" spans="1:28" x14ac:dyDescent="0.25">
      <c r="A604" t="s">
        <v>608</v>
      </c>
      <c r="B604">
        <v>0.99673306730245903</v>
      </c>
      <c r="C604">
        <v>0.81324475538261298</v>
      </c>
      <c r="D604">
        <v>0.77535840436362502</v>
      </c>
      <c r="E604">
        <v>0.76374645416215503</v>
      </c>
      <c r="F604">
        <v>0.60395710974868899</v>
      </c>
      <c r="G604">
        <v>0.52160443063357098</v>
      </c>
      <c r="H604">
        <v>0.25241475899828902</v>
      </c>
      <c r="I604">
        <v>0.24750531162761499</v>
      </c>
      <c r="J604">
        <v>0.12553871807766001</v>
      </c>
      <c r="K604">
        <v>6.7637505601906803E-2</v>
      </c>
      <c r="L604">
        <v>484.070004280896</v>
      </c>
      <c r="M604">
        <v>8.7951742728965101</v>
      </c>
      <c r="N604">
        <v>55.0381367182543</v>
      </c>
      <c r="O604">
        <v>52.415366865200198</v>
      </c>
      <c r="P604">
        <v>-4.19826238967917E-2</v>
      </c>
      <c r="Q604">
        <v>0</v>
      </c>
      <c r="R604">
        <v>0.95979783303299404</v>
      </c>
      <c r="S604" t="s">
        <v>7056</v>
      </c>
      <c r="T604" t="s">
        <v>12902</v>
      </c>
      <c r="U604" t="s">
        <v>12902</v>
      </c>
      <c r="V604" t="s">
        <v>12902</v>
      </c>
      <c r="W604" t="s">
        <v>13496</v>
      </c>
      <c r="X604">
        <v>2</v>
      </c>
      <c r="Y604" t="s">
        <v>19892</v>
      </c>
      <c r="Z604" t="s">
        <v>26179</v>
      </c>
      <c r="AA604">
        <v>0.52789402606849489</v>
      </c>
      <c r="AB604" t="str">
        <f>HYPERLINK("Melting_Curves/meltCurve_F5GXI4_PTPRK.pdf", "Melting_Curves/meltCurve_F5GXI4_PTPRK.pdf")</f>
        <v>Melting_Curves/meltCurve_F5GXI4_PTPRK.pdf</v>
      </c>
    </row>
    <row r="605" spans="1:28" x14ac:dyDescent="0.25">
      <c r="A605" t="s">
        <v>609</v>
      </c>
      <c r="B605">
        <v>0.99673306730245903</v>
      </c>
      <c r="C605">
        <v>0.91803462639521505</v>
      </c>
      <c r="D605">
        <v>0.79901677136462801</v>
      </c>
      <c r="E605">
        <v>0.54646646765817797</v>
      </c>
      <c r="F605">
        <v>0.497954894701786</v>
      </c>
      <c r="G605">
        <v>0.51445803324471795</v>
      </c>
      <c r="H605">
        <v>0.42894100377398398</v>
      </c>
      <c r="I605">
        <v>0.494497163046486</v>
      </c>
      <c r="J605">
        <v>0.67216688623235099</v>
      </c>
      <c r="K605">
        <v>0.72828261590530596</v>
      </c>
      <c r="L605">
        <v>1642.52617558461</v>
      </c>
      <c r="M605">
        <v>35.717168599132897</v>
      </c>
      <c r="O605">
        <v>45.843581127850001</v>
      </c>
      <c r="P605">
        <v>-8.7388504131339098E-2</v>
      </c>
      <c r="Q605">
        <v>0.55134308625707995</v>
      </c>
      <c r="R605">
        <v>0.78805852033689106</v>
      </c>
      <c r="S605" t="s">
        <v>7057</v>
      </c>
      <c r="T605" t="s">
        <v>12902</v>
      </c>
      <c r="U605" t="s">
        <v>12902</v>
      </c>
      <c r="V605" t="s">
        <v>12902</v>
      </c>
      <c r="W605" t="s">
        <v>13497</v>
      </c>
      <c r="X605">
        <v>2</v>
      </c>
      <c r="Y605" t="s">
        <v>19893</v>
      </c>
      <c r="Z605" t="s">
        <v>26180</v>
      </c>
      <c r="AA605">
        <v>0.6427395505650364</v>
      </c>
      <c r="AB605" t="str">
        <f>HYPERLINK("Melting_Curves/meltCurve_F5GXJ4_STIM2.pdf", "Melting_Curves/meltCurve_F5GXJ4_STIM2.pdf")</f>
        <v>Melting_Curves/meltCurve_F5GXJ4_STIM2.pdf</v>
      </c>
    </row>
    <row r="606" spans="1:28" x14ac:dyDescent="0.25">
      <c r="A606" t="s">
        <v>610</v>
      </c>
      <c r="B606">
        <v>0.99673306730245903</v>
      </c>
      <c r="C606">
        <v>1.03449766598231</v>
      </c>
      <c r="D606">
        <v>0.93025333923507303</v>
      </c>
      <c r="E606">
        <v>0.91438113385773201</v>
      </c>
      <c r="F606">
        <v>0.84043610270888403</v>
      </c>
      <c r="G606">
        <v>0.870347655150156</v>
      </c>
      <c r="H606">
        <v>0.64449708115274096</v>
      </c>
      <c r="I606">
        <v>0.61206804990484498</v>
      </c>
      <c r="J606">
        <v>0.54332358159409899</v>
      </c>
      <c r="K606">
        <v>0.460271885354606</v>
      </c>
      <c r="L606">
        <v>471.60053580234199</v>
      </c>
      <c r="M606">
        <v>7.0356818314462304</v>
      </c>
      <c r="N606">
        <v>68.397565010944106</v>
      </c>
      <c r="O606">
        <v>62.245685671635798</v>
      </c>
      <c r="P606">
        <v>-2.6451443780397401E-2</v>
      </c>
      <c r="Q606">
        <v>6.5621445689544297E-2</v>
      </c>
      <c r="R606">
        <v>0.96388118385933397</v>
      </c>
      <c r="S606" t="s">
        <v>7058</v>
      </c>
      <c r="T606" t="s">
        <v>12902</v>
      </c>
      <c r="U606" t="s">
        <v>12902</v>
      </c>
      <c r="V606" t="s">
        <v>12902</v>
      </c>
      <c r="W606" t="s">
        <v>13498</v>
      </c>
      <c r="X606">
        <v>3</v>
      </c>
      <c r="Y606" t="s">
        <v>19894</v>
      </c>
      <c r="Z606" t="s">
        <v>26181</v>
      </c>
      <c r="AA606">
        <v>0.79385286276709244</v>
      </c>
      <c r="AB606" t="str">
        <f>HYPERLINK("Melting_Curves/meltCurve_F5GXK8_DNAJB11.pdf", "Melting_Curves/meltCurve_F5GXK8_DNAJB11.pdf")</f>
        <v>Melting_Curves/meltCurve_F5GXK8_DNAJB11.pdf</v>
      </c>
    </row>
    <row r="607" spans="1:28" x14ac:dyDescent="0.25">
      <c r="A607" t="s">
        <v>611</v>
      </c>
      <c r="B607">
        <v>0.99673306730245903</v>
      </c>
      <c r="C607">
        <v>1.00939145380935</v>
      </c>
      <c r="D607">
        <v>0.86808715189520202</v>
      </c>
      <c r="E607">
        <v>0.796574838557637</v>
      </c>
      <c r="F607">
        <v>0.52975062924745397</v>
      </c>
      <c r="G607">
        <v>0.29913374104678098</v>
      </c>
      <c r="H607">
        <v>0.20507149959701401</v>
      </c>
      <c r="I607">
        <v>0.28529193818427001</v>
      </c>
      <c r="J607">
        <v>0.30462145783086397</v>
      </c>
      <c r="K607">
        <v>0.35520402869512802</v>
      </c>
      <c r="L607">
        <v>1198.7391131417601</v>
      </c>
      <c r="M607">
        <v>23.352356063205299</v>
      </c>
      <c r="N607">
        <v>53.159420081174801</v>
      </c>
      <c r="O607">
        <v>50.960688432993798</v>
      </c>
      <c r="P607">
        <v>-8.2956095411960903E-2</v>
      </c>
      <c r="Q607">
        <v>0.27588871820994298</v>
      </c>
      <c r="R607">
        <v>0.97174222882837402</v>
      </c>
      <c r="S607" t="s">
        <v>7059</v>
      </c>
      <c r="T607" t="s">
        <v>12902</v>
      </c>
      <c r="U607" t="s">
        <v>12902</v>
      </c>
      <c r="V607" t="s">
        <v>12902</v>
      </c>
      <c r="W607" t="s">
        <v>13499</v>
      </c>
      <c r="X607">
        <v>2</v>
      </c>
      <c r="Y607" t="s">
        <v>19895</v>
      </c>
      <c r="Z607" t="s">
        <v>26182</v>
      </c>
      <c r="AA607">
        <v>0.55692030357082589</v>
      </c>
      <c r="AB607" t="str">
        <f>HYPERLINK("Melting_Curves/meltCurve_F5GXX5_DAD1.pdf", "Melting_Curves/meltCurve_F5GXX5_DAD1.pdf")</f>
        <v>Melting_Curves/meltCurve_F5GXX5_DAD1.pdf</v>
      </c>
    </row>
    <row r="608" spans="1:28" x14ac:dyDescent="0.25">
      <c r="A608" t="s">
        <v>612</v>
      </c>
      <c r="B608">
        <v>0.99673306730245903</v>
      </c>
      <c r="C608">
        <v>0.76433809694531696</v>
      </c>
      <c r="D608">
        <v>0.42693282430485002</v>
      </c>
      <c r="E608">
        <v>0.24658862734270401</v>
      </c>
      <c r="F608">
        <v>0.15848810240789599</v>
      </c>
      <c r="G608">
        <v>0.10072414134098</v>
      </c>
      <c r="H608">
        <v>6.6868017531476504E-2</v>
      </c>
      <c r="I608">
        <v>8.4163483296490996E-2</v>
      </c>
      <c r="J608">
        <v>0.106940442830101</v>
      </c>
      <c r="K608">
        <v>0.118651391307058</v>
      </c>
      <c r="L608">
        <v>971.69853853523603</v>
      </c>
      <c r="M608">
        <v>21.5683668895309</v>
      </c>
      <c r="N608">
        <v>45.527338322465198</v>
      </c>
      <c r="O608">
        <v>44.670099597307598</v>
      </c>
      <c r="P608">
        <v>-0.108542732810976</v>
      </c>
      <c r="Q608">
        <v>0.10081318514514501</v>
      </c>
      <c r="R608">
        <v>0.99203669815878304</v>
      </c>
      <c r="S608" t="s">
        <v>7060</v>
      </c>
      <c r="T608" t="s">
        <v>12902</v>
      </c>
      <c r="U608" t="s">
        <v>12902</v>
      </c>
      <c r="V608" t="s">
        <v>12902</v>
      </c>
      <c r="W608" t="s">
        <v>13500</v>
      </c>
      <c r="X608">
        <v>4</v>
      </c>
      <c r="Y608" t="s">
        <v>19896</v>
      </c>
      <c r="Z608" t="s">
        <v>26183</v>
      </c>
      <c r="AA608">
        <v>0.26491157648284092</v>
      </c>
      <c r="AB608" t="str">
        <f>HYPERLINK("Melting_Curves/meltCurve_F5GXY5_SASS6.pdf", "Melting_Curves/meltCurve_F5GXY5_SASS6.pdf")</f>
        <v>Melting_Curves/meltCurve_F5GXY5_SASS6.pdf</v>
      </c>
    </row>
    <row r="609" spans="1:28" x14ac:dyDescent="0.25">
      <c r="A609" t="s">
        <v>613</v>
      </c>
      <c r="B609">
        <v>0.99673306730245903</v>
      </c>
      <c r="C609">
        <v>1.00897966352873</v>
      </c>
      <c r="D609">
        <v>0.86221148720531104</v>
      </c>
      <c r="E609">
        <v>0.70535054269309205</v>
      </c>
      <c r="F609">
        <v>0.48045440126264399</v>
      </c>
      <c r="G609">
        <v>0.39211860071487198</v>
      </c>
      <c r="H609">
        <v>0.30974659072431798</v>
      </c>
      <c r="I609">
        <v>0.55364659330454002</v>
      </c>
      <c r="J609">
        <v>0.69701614122542199</v>
      </c>
      <c r="K609">
        <v>0.85135478254504504</v>
      </c>
      <c r="L609">
        <v>1521.4528535207101</v>
      </c>
      <c r="M609">
        <v>31.9007804186848</v>
      </c>
      <c r="O609">
        <v>47.507021709844601</v>
      </c>
      <c r="P609">
        <v>-7.54526788741441E-2</v>
      </c>
      <c r="Q609">
        <v>0.55054204668351403</v>
      </c>
      <c r="R609">
        <v>0.620514293926824</v>
      </c>
      <c r="S609" t="s">
        <v>7061</v>
      </c>
      <c r="T609" t="s">
        <v>12902</v>
      </c>
      <c r="U609" t="s">
        <v>12902</v>
      </c>
      <c r="V609" t="s">
        <v>12902</v>
      </c>
      <c r="W609" t="s">
        <v>13501</v>
      </c>
      <c r="X609">
        <v>1</v>
      </c>
      <c r="Y609" t="s">
        <v>19897</v>
      </c>
      <c r="Z609" t="s">
        <v>26184</v>
      </c>
      <c r="AA609">
        <v>0.66817491539780061</v>
      </c>
      <c r="AB609" t="str">
        <f>HYPERLINK("Melting_Curves/meltCurve_F5GY92_GPBP1.pdf", "Melting_Curves/meltCurve_F5GY92_GPBP1.pdf")</f>
        <v>Melting_Curves/meltCurve_F5GY92_GPBP1.pdf</v>
      </c>
    </row>
    <row r="610" spans="1:28" x14ac:dyDescent="0.25">
      <c r="A610" t="s">
        <v>614</v>
      </c>
      <c r="B610">
        <v>0.99673306730245903</v>
      </c>
      <c r="C610">
        <v>0.82665825809382998</v>
      </c>
      <c r="D610">
        <v>0.87637359989196895</v>
      </c>
      <c r="E610">
        <v>0.72721056631923797</v>
      </c>
      <c r="F610">
        <v>0.48613947229488902</v>
      </c>
      <c r="G610">
        <v>0.22968996312640599</v>
      </c>
      <c r="H610">
        <v>0.19138023109067101</v>
      </c>
      <c r="I610">
        <v>0.17958135247818699</v>
      </c>
      <c r="J610">
        <v>0.17511272834986599</v>
      </c>
      <c r="K610">
        <v>0.16895562325751501</v>
      </c>
      <c r="L610">
        <v>776.59653415557398</v>
      </c>
      <c r="M610">
        <v>15.1036065555113</v>
      </c>
      <c r="N610">
        <v>52.481200741240201</v>
      </c>
      <c r="O610">
        <v>50.541846726497397</v>
      </c>
      <c r="P610">
        <v>-6.48680806488727E-2</v>
      </c>
      <c r="Q610">
        <v>0.131802013815631</v>
      </c>
      <c r="R610">
        <v>0.97455265720886597</v>
      </c>
      <c r="S610" t="s">
        <v>7062</v>
      </c>
      <c r="T610" t="s">
        <v>12902</v>
      </c>
      <c r="U610" t="s">
        <v>12902</v>
      </c>
      <c r="V610" t="s">
        <v>12902</v>
      </c>
      <c r="W610" t="s">
        <v>13502</v>
      </c>
      <c r="X610">
        <v>1</v>
      </c>
      <c r="Y610" t="s">
        <v>19898</v>
      </c>
      <c r="Z610" t="s">
        <v>26185</v>
      </c>
      <c r="AA610">
        <v>0.48181242011226449</v>
      </c>
      <c r="AB610" t="str">
        <f>HYPERLINK("Melting_Curves/meltCurve_F5GY99_GALNT1.pdf", "Melting_Curves/meltCurve_F5GY99_GALNT1.pdf")</f>
        <v>Melting_Curves/meltCurve_F5GY99_GALNT1.pdf</v>
      </c>
    </row>
    <row r="611" spans="1:28" x14ac:dyDescent="0.25">
      <c r="A611" t="s">
        <v>615</v>
      </c>
      <c r="B611">
        <v>0.99673306730245903</v>
      </c>
      <c r="C611">
        <v>1.0200381053274601</v>
      </c>
      <c r="D611">
        <v>1.04160730419442</v>
      </c>
      <c r="E611">
        <v>1.10816114246048</v>
      </c>
      <c r="F611">
        <v>1.0108464828304999</v>
      </c>
      <c r="G611">
        <v>0.84702850319890399</v>
      </c>
      <c r="H611">
        <v>0.429292977130727</v>
      </c>
      <c r="I611">
        <v>0.33159208687106301</v>
      </c>
      <c r="J611">
        <v>0.39968528701010703</v>
      </c>
      <c r="K611">
        <v>0.33950434417924003</v>
      </c>
      <c r="L611">
        <v>2903.1474066484002</v>
      </c>
      <c r="M611">
        <v>49.919744887157997</v>
      </c>
      <c r="N611">
        <v>59.646833352019897</v>
      </c>
      <c r="O611">
        <v>58.063208954735501</v>
      </c>
      <c r="P611">
        <v>-0.13833712224681999</v>
      </c>
      <c r="Q611">
        <v>0.35638386230907598</v>
      </c>
      <c r="R611">
        <v>0.98259287679036</v>
      </c>
      <c r="S611" t="s">
        <v>7063</v>
      </c>
      <c r="T611" t="s">
        <v>12902</v>
      </c>
      <c r="U611" t="s">
        <v>12902</v>
      </c>
      <c r="V611" t="s">
        <v>12902</v>
      </c>
      <c r="W611" t="s">
        <v>13306</v>
      </c>
      <c r="X611">
        <v>2</v>
      </c>
      <c r="Z611" t="s">
        <v>26186</v>
      </c>
      <c r="AA611">
        <v>0.74755490902490673</v>
      </c>
      <c r="AB611" t="str">
        <f>HYPERLINK("Melting_Curves/meltCurve_F5GYJ5_.pdf", "Melting_Curves/meltCurve_F5GYJ5_.pdf")</f>
        <v>Melting_Curves/meltCurve_F5GYJ5_.pdf</v>
      </c>
    </row>
    <row r="612" spans="1:28" x14ac:dyDescent="0.25">
      <c r="A612" t="s">
        <v>616</v>
      </c>
      <c r="B612">
        <v>0.99673306730245903</v>
      </c>
      <c r="C612">
        <v>1.0263588867469899</v>
      </c>
      <c r="D612">
        <v>0.95133705488616105</v>
      </c>
      <c r="E612">
        <v>0.922397749369121</v>
      </c>
      <c r="F612">
        <v>0.38728484918653</v>
      </c>
      <c r="G612">
        <v>0.13568520915677301</v>
      </c>
      <c r="H612">
        <v>8.1799481574548194E-2</v>
      </c>
      <c r="I612">
        <v>6.6762771328358006E-2</v>
      </c>
      <c r="J612">
        <v>6.7466573404037194E-2</v>
      </c>
      <c r="K612">
        <v>5.6091063121939802E-2</v>
      </c>
      <c r="L612">
        <v>2070.7164023853802</v>
      </c>
      <c r="M612">
        <v>39.5410697455617</v>
      </c>
      <c r="N612">
        <v>52.573349384274202</v>
      </c>
      <c r="O612">
        <v>52.235340553823903</v>
      </c>
      <c r="P612">
        <v>-0.175749543048765</v>
      </c>
      <c r="Q612">
        <v>7.1313214439224795E-2</v>
      </c>
      <c r="R612">
        <v>0.99781985509596105</v>
      </c>
      <c r="S612" t="s">
        <v>7064</v>
      </c>
      <c r="T612" t="s">
        <v>12902</v>
      </c>
      <c r="U612" t="s">
        <v>12902</v>
      </c>
      <c r="V612" t="s">
        <v>12902</v>
      </c>
      <c r="W612" t="s">
        <v>13503</v>
      </c>
      <c r="X612">
        <v>16</v>
      </c>
      <c r="Y612" t="s">
        <v>19899</v>
      </c>
      <c r="Z612" t="s">
        <v>26187</v>
      </c>
      <c r="AA612">
        <v>0.45764135928938787</v>
      </c>
      <c r="AB612" t="str">
        <f>HYPERLINK("Melting_Curves/meltCurve_F5GYN4_OTUB1.pdf", "Melting_Curves/meltCurve_F5GYN4_OTUB1.pdf")</f>
        <v>Melting_Curves/meltCurve_F5GYN4_OTUB1.pdf</v>
      </c>
    </row>
    <row r="613" spans="1:28" x14ac:dyDescent="0.25">
      <c r="A613" t="s">
        <v>617</v>
      </c>
      <c r="B613">
        <v>0.99673306730245903</v>
      </c>
      <c r="C613">
        <v>1.0249308449543899</v>
      </c>
      <c r="D613">
        <v>0.86935665779317295</v>
      </c>
      <c r="E613">
        <v>0.75035905368785705</v>
      </c>
      <c r="F613">
        <v>0.61206478969712697</v>
      </c>
      <c r="G613">
        <v>0.37696862841019702</v>
      </c>
      <c r="H613">
        <v>0.23060598368538801</v>
      </c>
      <c r="I613">
        <v>0.16547630717686601</v>
      </c>
      <c r="J613">
        <v>0.118746457410551</v>
      </c>
      <c r="K613">
        <v>8.7832133875732105E-2</v>
      </c>
      <c r="L613">
        <v>666.30456925425199</v>
      </c>
      <c r="M613">
        <v>12.2592448160584</v>
      </c>
      <c r="N613">
        <v>54.624918600599401</v>
      </c>
      <c r="O613">
        <v>52.965674521368598</v>
      </c>
      <c r="P613">
        <v>-5.6152714977942497E-2</v>
      </c>
      <c r="Q613">
        <v>2.9791275848148599E-2</v>
      </c>
      <c r="R613">
        <v>0.99455076635111594</v>
      </c>
      <c r="S613" t="s">
        <v>7065</v>
      </c>
      <c r="T613" t="s">
        <v>12902</v>
      </c>
      <c r="U613" t="s">
        <v>12902</v>
      </c>
      <c r="V613" t="s">
        <v>12902</v>
      </c>
      <c r="W613" t="s">
        <v>13504</v>
      </c>
      <c r="X613">
        <v>12</v>
      </c>
      <c r="Y613" t="s">
        <v>19900</v>
      </c>
      <c r="Z613" t="s">
        <v>26188</v>
      </c>
      <c r="AA613">
        <v>0.51793585063645198</v>
      </c>
      <c r="AB613" t="str">
        <f>HYPERLINK("Melting_Curves/meltCurve_F5GYQ1_ATP6V0D1.pdf", "Melting_Curves/meltCurve_F5GYQ1_ATP6V0D1.pdf")</f>
        <v>Melting_Curves/meltCurve_F5GYQ1_ATP6V0D1.pdf</v>
      </c>
    </row>
    <row r="614" spans="1:28" x14ac:dyDescent="0.25">
      <c r="A614" t="s">
        <v>618</v>
      </c>
      <c r="B614">
        <v>0.99673306730245903</v>
      </c>
      <c r="C614">
        <v>0.93031976755530599</v>
      </c>
      <c r="D614">
        <v>0.85048338535628198</v>
      </c>
      <c r="E614">
        <v>0.653955206705647</v>
      </c>
      <c r="F614">
        <v>0.33575060608898399</v>
      </c>
      <c r="G614">
        <v>0.24492153791266799</v>
      </c>
      <c r="H614">
        <v>0.17538846025353599</v>
      </c>
      <c r="I614">
        <v>0.20851537791580599</v>
      </c>
      <c r="J614">
        <v>0.26356454274185398</v>
      </c>
      <c r="K614">
        <v>0.27312215761054098</v>
      </c>
      <c r="L614">
        <v>1096.5138226479</v>
      </c>
      <c r="M614">
        <v>22.108575633710199</v>
      </c>
      <c r="N614">
        <v>50.925017217813199</v>
      </c>
      <c r="O614">
        <v>49.1963218346189</v>
      </c>
      <c r="P614">
        <v>-8.77338094534479E-2</v>
      </c>
      <c r="Q614">
        <v>0.21911064170039099</v>
      </c>
      <c r="R614">
        <v>0.98536944205327703</v>
      </c>
      <c r="S614" t="s">
        <v>7066</v>
      </c>
      <c r="T614" t="s">
        <v>12902</v>
      </c>
      <c r="U614" t="s">
        <v>12902</v>
      </c>
      <c r="V614" t="s">
        <v>12902</v>
      </c>
      <c r="W614" t="s">
        <v>13505</v>
      </c>
      <c r="X614">
        <v>2</v>
      </c>
      <c r="Y614" t="s">
        <v>19901</v>
      </c>
      <c r="Z614" t="s">
        <v>26189</v>
      </c>
      <c r="AA614">
        <v>0.47782498127851869</v>
      </c>
      <c r="AB614" t="str">
        <f>HYPERLINK("Melting_Curves/meltCurve_F5GYV3_TM7SF2.pdf", "Melting_Curves/meltCurve_F5GYV3_TM7SF2.pdf")</f>
        <v>Melting_Curves/meltCurve_F5GYV3_TM7SF2.pdf</v>
      </c>
    </row>
    <row r="615" spans="1:28" x14ac:dyDescent="0.25">
      <c r="A615" t="s">
        <v>619</v>
      </c>
      <c r="B615">
        <v>0.99673306730245903</v>
      </c>
      <c r="C615">
        <v>0.97757421414828904</v>
      </c>
      <c r="D615">
        <v>1.00418617646914</v>
      </c>
      <c r="E615">
        <v>0.79774583582839897</v>
      </c>
      <c r="F615">
        <v>0.51562490886145895</v>
      </c>
      <c r="G615">
        <v>0.295313367023115</v>
      </c>
      <c r="H615">
        <v>0.20305609057690199</v>
      </c>
      <c r="I615">
        <v>0.172722960534547</v>
      </c>
      <c r="J615">
        <v>0.103192575991715</v>
      </c>
      <c r="K615">
        <v>8.3927152108382003E-2</v>
      </c>
      <c r="L615">
        <v>1013.90375939736</v>
      </c>
      <c r="M615">
        <v>19.166555692464598</v>
      </c>
      <c r="N615">
        <v>53.577038069414797</v>
      </c>
      <c r="O615">
        <v>52.333870790502203</v>
      </c>
      <c r="P615">
        <v>-8.1710186456708703E-2</v>
      </c>
      <c r="Q615">
        <v>0.107602717034448</v>
      </c>
      <c r="R615">
        <v>0.99537716701878698</v>
      </c>
      <c r="S615" t="s">
        <v>7067</v>
      </c>
      <c r="T615" t="s">
        <v>12902</v>
      </c>
      <c r="U615" t="s">
        <v>12902</v>
      </c>
      <c r="V615" t="s">
        <v>12902</v>
      </c>
      <c r="W615" t="s">
        <v>13506</v>
      </c>
      <c r="X615">
        <v>1</v>
      </c>
      <c r="Y615" t="s">
        <v>19902</v>
      </c>
      <c r="Z615" t="s">
        <v>26190</v>
      </c>
      <c r="AA615">
        <v>0.50452617185560666</v>
      </c>
      <c r="AB615" t="str">
        <f>HYPERLINK("Melting_Curves/meltCurve_F5GZ44_EDEM2.pdf", "Melting_Curves/meltCurve_F5GZ44_EDEM2.pdf")</f>
        <v>Melting_Curves/meltCurve_F5GZ44_EDEM2.pdf</v>
      </c>
    </row>
    <row r="616" spans="1:28" x14ac:dyDescent="0.25">
      <c r="A616" t="s">
        <v>620</v>
      </c>
      <c r="B616">
        <v>0.99673306730245903</v>
      </c>
      <c r="C616">
        <v>0.99924620554075005</v>
      </c>
      <c r="D616">
        <v>0.95346801577597995</v>
      </c>
      <c r="E616">
        <v>0.86680797607546001</v>
      </c>
      <c r="F616">
        <v>0.66630043647317905</v>
      </c>
      <c r="G616">
        <v>0.48216697329442199</v>
      </c>
      <c r="H616">
        <v>0.32125236744067798</v>
      </c>
      <c r="I616">
        <v>0.24354351197430299</v>
      </c>
      <c r="J616">
        <v>0.24541183852406301</v>
      </c>
      <c r="K616">
        <v>0.183783199180301</v>
      </c>
      <c r="L616">
        <v>834.35616550745306</v>
      </c>
      <c r="M616">
        <v>15.2365705367821</v>
      </c>
      <c r="N616">
        <v>56.316216044446399</v>
      </c>
      <c r="O616">
        <v>53.842814310384803</v>
      </c>
      <c r="P616">
        <v>-5.8596439487727602E-2</v>
      </c>
      <c r="Q616">
        <v>0.17180904992481399</v>
      </c>
      <c r="R616">
        <v>0.99859584946842095</v>
      </c>
      <c r="S616" t="s">
        <v>7068</v>
      </c>
      <c r="T616" t="s">
        <v>12902</v>
      </c>
      <c r="U616" t="s">
        <v>12902</v>
      </c>
      <c r="V616" t="s">
        <v>12902</v>
      </c>
      <c r="W616" t="s">
        <v>13507</v>
      </c>
      <c r="X616">
        <v>8</v>
      </c>
      <c r="Y616" t="s">
        <v>19903</v>
      </c>
      <c r="Z616" t="s">
        <v>26191</v>
      </c>
      <c r="AA616">
        <v>0.59523545778611109</v>
      </c>
      <c r="AB616" t="str">
        <f>HYPERLINK("Melting_Curves/meltCurve_F5GZ78_PXN.pdf", "Melting_Curves/meltCurve_F5GZ78_PXN.pdf")</f>
        <v>Melting_Curves/meltCurve_F5GZ78_PXN.pdf</v>
      </c>
    </row>
    <row r="617" spans="1:28" x14ac:dyDescent="0.25">
      <c r="A617" t="s">
        <v>621</v>
      </c>
      <c r="B617">
        <v>0.99673306730245903</v>
      </c>
      <c r="C617">
        <v>0.88622941724441495</v>
      </c>
      <c r="D617">
        <v>0.75192720060861995</v>
      </c>
      <c r="E617">
        <v>0.69159794899268801</v>
      </c>
      <c r="F617">
        <v>0.54795971569755697</v>
      </c>
      <c r="G617">
        <v>0.51073597181934305</v>
      </c>
      <c r="H617">
        <v>0.34651263704654001</v>
      </c>
      <c r="I617">
        <v>0.48930937532751401</v>
      </c>
      <c r="J617">
        <v>0.50834009974780003</v>
      </c>
      <c r="K617">
        <v>0.45468549227122601</v>
      </c>
      <c r="L617">
        <v>656.05659141882302</v>
      </c>
      <c r="M617">
        <v>13.782991558936899</v>
      </c>
      <c r="N617">
        <v>56.488331288870498</v>
      </c>
      <c r="O617">
        <v>46.630571238867397</v>
      </c>
      <c r="P617">
        <v>-4.1175992643009397E-2</v>
      </c>
      <c r="Q617">
        <v>0.44285246707488402</v>
      </c>
      <c r="R617">
        <v>0.937430316294938</v>
      </c>
      <c r="S617" t="s">
        <v>7069</v>
      </c>
      <c r="T617" t="s">
        <v>12902</v>
      </c>
      <c r="U617" t="s">
        <v>12902</v>
      </c>
      <c r="V617" t="s">
        <v>12902</v>
      </c>
      <c r="W617" t="s">
        <v>13508</v>
      </c>
      <c r="X617">
        <v>2</v>
      </c>
      <c r="Y617" t="s">
        <v>19904</v>
      </c>
      <c r="Z617" t="s">
        <v>26192</v>
      </c>
      <c r="AA617">
        <v>0.60126878939338202</v>
      </c>
      <c r="AB617" t="str">
        <f>HYPERLINK("Melting_Curves/meltCurve_F5GZH3_PLEKHB1.pdf", "Melting_Curves/meltCurve_F5GZH3_PLEKHB1.pdf")</f>
        <v>Melting_Curves/meltCurve_F5GZH3_PLEKHB1.pdf</v>
      </c>
    </row>
    <row r="618" spans="1:28" x14ac:dyDescent="0.25">
      <c r="A618" t="s">
        <v>622</v>
      </c>
      <c r="B618">
        <v>0.99673306730245903</v>
      </c>
      <c r="C618">
        <v>0.86611466497447798</v>
      </c>
      <c r="D618">
        <v>0.82404488852698599</v>
      </c>
      <c r="E618">
        <v>0.75834279174860697</v>
      </c>
      <c r="F618">
        <v>0.69158589124532599</v>
      </c>
      <c r="G618">
        <v>0.56850302496795102</v>
      </c>
      <c r="H618">
        <v>0.44243333237802401</v>
      </c>
      <c r="I618">
        <v>0.28084220922453801</v>
      </c>
      <c r="J618">
        <v>0.227464730948743</v>
      </c>
      <c r="K618">
        <v>0.202976071622154</v>
      </c>
      <c r="L618">
        <v>429.11229862165499</v>
      </c>
      <c r="M618">
        <v>7.43919205992598</v>
      </c>
      <c r="N618">
        <v>57.6826673612915</v>
      </c>
      <c r="O618">
        <v>53.954962778024097</v>
      </c>
      <c r="P618">
        <v>-3.45205403352759E-2</v>
      </c>
      <c r="Q618">
        <v>0</v>
      </c>
      <c r="R618">
        <v>0.98002404197433202</v>
      </c>
      <c r="S618" t="s">
        <v>7070</v>
      </c>
      <c r="T618" t="s">
        <v>12902</v>
      </c>
      <c r="U618" t="s">
        <v>12902</v>
      </c>
      <c r="V618" t="s">
        <v>12902</v>
      </c>
      <c r="W618" t="s">
        <v>13509</v>
      </c>
      <c r="X618">
        <v>1</v>
      </c>
      <c r="Y618" t="s">
        <v>19905</v>
      </c>
      <c r="Z618" t="s">
        <v>26193</v>
      </c>
      <c r="AA618">
        <v>0.59331311607711823</v>
      </c>
      <c r="AB618" t="str">
        <f>HYPERLINK("Melting_Curves/meltCurve_F5GZK1_EXTL2.pdf", "Melting_Curves/meltCurve_F5GZK1_EXTL2.pdf")</f>
        <v>Melting_Curves/meltCurve_F5GZK1_EXTL2.pdf</v>
      </c>
    </row>
    <row r="619" spans="1:28" x14ac:dyDescent="0.25">
      <c r="A619" t="s">
        <v>623</v>
      </c>
      <c r="B619">
        <v>0.99673306730245903</v>
      </c>
      <c r="C619">
        <v>0.937108368739763</v>
      </c>
      <c r="D619">
        <v>0.80930283171559303</v>
      </c>
      <c r="E619">
        <v>0.73500231938358196</v>
      </c>
      <c r="F619">
        <v>0.28151749872488702</v>
      </c>
      <c r="G619">
        <v>0.15289900530870901</v>
      </c>
      <c r="H619">
        <v>9.0042015608188003E-2</v>
      </c>
      <c r="I619">
        <v>0.18915057938525201</v>
      </c>
      <c r="J619">
        <v>0.14978653744840401</v>
      </c>
      <c r="K619">
        <v>3.8921224354214197E-2</v>
      </c>
      <c r="L619">
        <v>1082.8151078708299</v>
      </c>
      <c r="M619">
        <v>21.399115762223399</v>
      </c>
      <c r="N619">
        <v>51.120511741634701</v>
      </c>
      <c r="O619">
        <v>50.165252103818098</v>
      </c>
      <c r="P619">
        <v>-9.6222718484557504E-2</v>
      </c>
      <c r="Q619">
        <v>9.7735304334704703E-2</v>
      </c>
      <c r="R619">
        <v>0.97266041673282599</v>
      </c>
      <c r="S619" t="s">
        <v>7071</v>
      </c>
      <c r="T619" t="s">
        <v>12902</v>
      </c>
      <c r="U619" t="s">
        <v>12902</v>
      </c>
      <c r="V619" t="s">
        <v>12902</v>
      </c>
      <c r="W619" t="s">
        <v>13510</v>
      </c>
      <c r="X619">
        <v>2</v>
      </c>
      <c r="Y619" t="s">
        <v>19906</v>
      </c>
      <c r="Z619" t="s">
        <v>26194</v>
      </c>
      <c r="AA619">
        <v>0.42757471372109479</v>
      </c>
      <c r="AB619" t="str">
        <f>HYPERLINK("Melting_Curves/meltCurve_F5GZP3_TRIM59.pdf", "Melting_Curves/meltCurve_F5GZP3_TRIM59.pdf")</f>
        <v>Melting_Curves/meltCurve_F5GZP3_TRIM59.pdf</v>
      </c>
    </row>
    <row r="620" spans="1:28" x14ac:dyDescent="0.25">
      <c r="A620" t="s">
        <v>624</v>
      </c>
      <c r="B620">
        <v>0.99673306730245903</v>
      </c>
      <c r="C620">
        <v>0.88040408939193104</v>
      </c>
      <c r="D620">
        <v>0.84720102749765103</v>
      </c>
      <c r="E620">
        <v>0.80569452965261601</v>
      </c>
      <c r="F620">
        <v>0.24160341645282099</v>
      </c>
      <c r="G620">
        <v>0.13064709453846499</v>
      </c>
      <c r="H620">
        <v>8.05354874396607E-2</v>
      </c>
      <c r="I620">
        <v>8.9320657891074504E-2</v>
      </c>
      <c r="J620">
        <v>0.104822408493481</v>
      </c>
      <c r="K620">
        <v>8.7737193660865395E-2</v>
      </c>
      <c r="L620">
        <v>1876.7372445414801</v>
      </c>
      <c r="M620">
        <v>36.719234399713301</v>
      </c>
      <c r="N620">
        <v>51.390462957835297</v>
      </c>
      <c r="O620">
        <v>50.959587060809099</v>
      </c>
      <c r="P620">
        <v>-0.16380876990818499</v>
      </c>
      <c r="Q620">
        <v>9.06561529318788E-2</v>
      </c>
      <c r="R620">
        <v>0.97532984525934197</v>
      </c>
      <c r="S620" t="s">
        <v>7072</v>
      </c>
      <c r="T620" t="s">
        <v>12902</v>
      </c>
      <c r="U620" t="s">
        <v>12902</v>
      </c>
      <c r="V620" t="s">
        <v>12902</v>
      </c>
      <c r="W620" t="s">
        <v>13511</v>
      </c>
      <c r="X620">
        <v>22</v>
      </c>
      <c r="Y620" t="s">
        <v>19907</v>
      </c>
      <c r="Z620" t="s">
        <v>26195</v>
      </c>
      <c r="AA620">
        <v>0.43124713946638749</v>
      </c>
      <c r="AB620" t="str">
        <f>HYPERLINK("Melting_Curves/meltCurve_F5GZS0_DHX36.pdf", "Melting_Curves/meltCurve_F5GZS0_DHX36.pdf")</f>
        <v>Melting_Curves/meltCurve_F5GZS0_DHX36.pdf</v>
      </c>
    </row>
    <row r="621" spans="1:28" x14ac:dyDescent="0.25">
      <c r="A621" t="s">
        <v>625</v>
      </c>
      <c r="B621">
        <v>0.99673306730245903</v>
      </c>
      <c r="C621">
        <v>0.94005749541195804</v>
      </c>
      <c r="D621">
        <v>0.95756375652512205</v>
      </c>
      <c r="E621">
        <v>0.85240955901628901</v>
      </c>
      <c r="F621">
        <v>0.82580512584643395</v>
      </c>
      <c r="G621">
        <v>0.75172112212448206</v>
      </c>
      <c r="H621">
        <v>0.55130756746366705</v>
      </c>
      <c r="I621">
        <v>0.33805489756443802</v>
      </c>
      <c r="J621">
        <v>0.192769229973486</v>
      </c>
      <c r="K621">
        <v>0.10500309563834501</v>
      </c>
      <c r="L621">
        <v>790.73645806064496</v>
      </c>
      <c r="M621">
        <v>13.018654379401999</v>
      </c>
      <c r="N621">
        <v>60.7387243090091</v>
      </c>
      <c r="O621">
        <v>59.359186820150903</v>
      </c>
      <c r="P621">
        <v>-5.4839622282433997E-2</v>
      </c>
      <c r="Q621">
        <v>0</v>
      </c>
      <c r="R621">
        <v>0.97745680839703297</v>
      </c>
      <c r="S621" t="s">
        <v>7073</v>
      </c>
      <c r="T621" t="s">
        <v>12902</v>
      </c>
      <c r="U621" t="s">
        <v>12902</v>
      </c>
      <c r="V621" t="s">
        <v>12902</v>
      </c>
      <c r="W621" t="s">
        <v>13512</v>
      </c>
      <c r="X621">
        <v>25</v>
      </c>
      <c r="Y621" t="s">
        <v>19908</v>
      </c>
      <c r="Z621" t="s">
        <v>26196</v>
      </c>
      <c r="AA621">
        <v>0.69163003792622713</v>
      </c>
      <c r="AB621" t="str">
        <f>HYPERLINK("Melting_Curves/meltCurve_F5GZS6_SLC3A2.pdf", "Melting_Curves/meltCurve_F5GZS6_SLC3A2.pdf")</f>
        <v>Melting_Curves/meltCurve_F5GZS6_SLC3A2.pdf</v>
      </c>
    </row>
    <row r="622" spans="1:28" x14ac:dyDescent="0.25">
      <c r="A622" t="s">
        <v>626</v>
      </c>
      <c r="B622">
        <v>0.99673306730245903</v>
      </c>
      <c r="C622">
        <v>0.93132579116207503</v>
      </c>
      <c r="D622">
        <v>0.801061822086512</v>
      </c>
      <c r="E622">
        <v>0.413565687257202</v>
      </c>
      <c r="F622">
        <v>0.19918948746425599</v>
      </c>
      <c r="G622">
        <v>0.14239322353870401</v>
      </c>
      <c r="H622">
        <v>0.100329423981681</v>
      </c>
      <c r="I622">
        <v>0.114172299183269</v>
      </c>
      <c r="J622">
        <v>0.13043358193264701</v>
      </c>
      <c r="K622">
        <v>0.120587153813259</v>
      </c>
      <c r="L622">
        <v>1153.5422157857299</v>
      </c>
      <c r="M622">
        <v>23.911926834812999</v>
      </c>
      <c r="N622">
        <v>48.771305054305202</v>
      </c>
      <c r="O622">
        <v>47.907692245686597</v>
      </c>
      <c r="P622">
        <v>-0.110505571602338</v>
      </c>
      <c r="Q622">
        <v>0.114419843559349</v>
      </c>
      <c r="R622">
        <v>0.99876196778821902</v>
      </c>
      <c r="S622" t="s">
        <v>7074</v>
      </c>
      <c r="T622" t="s">
        <v>12902</v>
      </c>
      <c r="U622" t="s">
        <v>12902</v>
      </c>
      <c r="V622" t="s">
        <v>12902</v>
      </c>
      <c r="W622" t="s">
        <v>13513</v>
      </c>
      <c r="X622">
        <v>10</v>
      </c>
      <c r="Y622" t="s">
        <v>19909</v>
      </c>
      <c r="Z622" t="s">
        <v>26197</v>
      </c>
      <c r="AA622">
        <v>0.36629276272156802</v>
      </c>
      <c r="AB622" t="str">
        <f>HYPERLINK("Melting_Curves/meltCurve_F5GZX9_FAM120B.pdf", "Melting_Curves/meltCurve_F5GZX9_FAM120B.pdf")</f>
        <v>Melting_Curves/meltCurve_F5GZX9_FAM120B.pdf</v>
      </c>
    </row>
    <row r="623" spans="1:28" x14ac:dyDescent="0.25">
      <c r="A623" t="s">
        <v>627</v>
      </c>
      <c r="B623">
        <v>0.99673306730245903</v>
      </c>
      <c r="C623">
        <v>0.91883501731260597</v>
      </c>
      <c r="D623">
        <v>0.78347697069910804</v>
      </c>
      <c r="E623">
        <v>0.32118390036545003</v>
      </c>
      <c r="F623">
        <v>0.203117331005218</v>
      </c>
      <c r="G623">
        <v>0.135333445624925</v>
      </c>
      <c r="H623">
        <v>8.9751712390212499E-2</v>
      </c>
      <c r="I623">
        <v>7.26523512858889E-2</v>
      </c>
      <c r="J623">
        <v>4.6270077342697197E-2</v>
      </c>
      <c r="K623">
        <v>2.7600217329528502E-2</v>
      </c>
      <c r="L623">
        <v>1081.9101318641301</v>
      </c>
      <c r="M623">
        <v>22.538931482834698</v>
      </c>
      <c r="N623">
        <v>48.316877868939997</v>
      </c>
      <c r="O623">
        <v>47.6287593918845</v>
      </c>
      <c r="P623">
        <v>-0.110222776206337</v>
      </c>
      <c r="Q623">
        <v>6.8337802029964104E-2</v>
      </c>
      <c r="R623">
        <v>0.99230967587649999</v>
      </c>
      <c r="S623" t="s">
        <v>7075</v>
      </c>
      <c r="T623" t="s">
        <v>12902</v>
      </c>
      <c r="U623" t="s">
        <v>12902</v>
      </c>
      <c r="V623" t="s">
        <v>12902</v>
      </c>
      <c r="W623" t="s">
        <v>13514</v>
      </c>
      <c r="X623">
        <v>5</v>
      </c>
      <c r="Y623" t="s">
        <v>19910</v>
      </c>
      <c r="Z623" t="s">
        <v>26198</v>
      </c>
      <c r="AA623">
        <v>0.32710495032427739</v>
      </c>
      <c r="AB623" t="str">
        <f>HYPERLINK("Melting_Curves/meltCurve_F5H012_TRIM21.pdf", "Melting_Curves/meltCurve_F5H012_TRIM21.pdf")</f>
        <v>Melting_Curves/meltCurve_F5H012_TRIM21.pdf</v>
      </c>
    </row>
    <row r="624" spans="1:28" x14ac:dyDescent="0.25">
      <c r="A624" t="s">
        <v>628</v>
      </c>
      <c r="B624">
        <v>0.99673306730245903</v>
      </c>
      <c r="C624">
        <v>1.03561047804241</v>
      </c>
      <c r="D624">
        <v>1.00060826322879</v>
      </c>
      <c r="E624">
        <v>0.96329016498896602</v>
      </c>
      <c r="F624">
        <v>0.87644242808438799</v>
      </c>
      <c r="G624">
        <v>0.84746643679799505</v>
      </c>
      <c r="H624">
        <v>0.72962406423127002</v>
      </c>
      <c r="I624">
        <v>0.99677993921520702</v>
      </c>
      <c r="J624">
        <v>1.31511915626336</v>
      </c>
      <c r="K624">
        <v>0.94683071834914401</v>
      </c>
      <c r="L624">
        <v>1339.3780251722401</v>
      </c>
      <c r="M624">
        <v>20.020078457169099</v>
      </c>
      <c r="O624">
        <v>66.2449666583436</v>
      </c>
      <c r="P624">
        <v>7.0609839385915403E-3</v>
      </c>
      <c r="Q624">
        <v>1.0934540632816301</v>
      </c>
      <c r="R624">
        <v>8.0277546991725001E-4</v>
      </c>
      <c r="S624" t="s">
        <v>7076</v>
      </c>
      <c r="T624" t="s">
        <v>12902</v>
      </c>
      <c r="U624" t="s">
        <v>12902</v>
      </c>
      <c r="V624" t="s">
        <v>12902</v>
      </c>
      <c r="W624" t="s">
        <v>13515</v>
      </c>
      <c r="X624">
        <v>17</v>
      </c>
      <c r="Y624" t="s">
        <v>19911</v>
      </c>
      <c r="Z624" t="s">
        <v>26199</v>
      </c>
      <c r="AA624">
        <v>1.0123539184438459</v>
      </c>
      <c r="AB624" t="str">
        <f>HYPERLINK("Melting_Curves/meltCurve_F5H0B0_TPD52.pdf", "Melting_Curves/meltCurve_F5H0B0_TPD52.pdf")</f>
        <v>Melting_Curves/meltCurve_F5H0B0_TPD52.pdf</v>
      </c>
    </row>
    <row r="625" spans="1:28" x14ac:dyDescent="0.25">
      <c r="A625" t="s">
        <v>629</v>
      </c>
      <c r="B625">
        <v>0.99673306730245903</v>
      </c>
      <c r="C625">
        <v>0.86486450539031701</v>
      </c>
      <c r="D625">
        <v>0.805496037915029</v>
      </c>
      <c r="E625">
        <v>0.90721727802062802</v>
      </c>
      <c r="F625">
        <v>0.30569064378509903</v>
      </c>
      <c r="G625">
        <v>0.13563042819509599</v>
      </c>
      <c r="H625">
        <v>9.4587643232743004E-2</v>
      </c>
      <c r="I625">
        <v>7.6536411457439502E-2</v>
      </c>
      <c r="J625">
        <v>0.1086767656893</v>
      </c>
      <c r="K625">
        <v>0.132134708575735</v>
      </c>
      <c r="L625">
        <v>2331.8512919647101</v>
      </c>
      <c r="M625">
        <v>45.030233647111203</v>
      </c>
      <c r="N625">
        <v>52.056939826394398</v>
      </c>
      <c r="O625">
        <v>51.682308985978899</v>
      </c>
      <c r="P625">
        <v>-0.19492937727673099</v>
      </c>
      <c r="Q625">
        <v>0.105100165858793</v>
      </c>
      <c r="R625">
        <v>0.95949017487741195</v>
      </c>
      <c r="S625" t="s">
        <v>7077</v>
      </c>
      <c r="T625" t="s">
        <v>12902</v>
      </c>
      <c r="U625" t="s">
        <v>12902</v>
      </c>
      <c r="V625" t="s">
        <v>12902</v>
      </c>
      <c r="W625" t="s">
        <v>13516</v>
      </c>
      <c r="X625">
        <v>1</v>
      </c>
      <c r="Y625" t="s">
        <v>19912</v>
      </c>
      <c r="Z625" t="s">
        <v>26200</v>
      </c>
      <c r="AA625">
        <v>0.459143641426562</v>
      </c>
      <c r="AB625" t="str">
        <f>HYPERLINK("Melting_Curves/meltCurve_F5H0F9_ANAPC5.pdf", "Melting_Curves/meltCurve_F5H0F9_ANAPC5.pdf")</f>
        <v>Melting_Curves/meltCurve_F5H0F9_ANAPC5.pdf</v>
      </c>
    </row>
    <row r="626" spans="1:28" x14ac:dyDescent="0.25">
      <c r="A626" t="s">
        <v>630</v>
      </c>
      <c r="B626">
        <v>0.99673306730245903</v>
      </c>
      <c r="C626">
        <v>0.87245222367222597</v>
      </c>
      <c r="D626">
        <v>0.83667577667734805</v>
      </c>
      <c r="E626">
        <v>0.65513685031159197</v>
      </c>
      <c r="F626">
        <v>0.25065036968418802</v>
      </c>
      <c r="G626">
        <v>0.12554039629496899</v>
      </c>
      <c r="H626">
        <v>6.9163022604740096E-2</v>
      </c>
      <c r="I626">
        <v>6.69052305139506E-2</v>
      </c>
      <c r="J626">
        <v>6.9774800874599405E-2</v>
      </c>
      <c r="K626">
        <v>5.8007271233480297E-2</v>
      </c>
      <c r="L626">
        <v>959.05499675860597</v>
      </c>
      <c r="M626">
        <v>19.058965385187999</v>
      </c>
      <c r="N626">
        <v>50.564283181641699</v>
      </c>
      <c r="O626">
        <v>49.776250019784698</v>
      </c>
      <c r="P626">
        <v>-9.1523448165618096E-2</v>
      </c>
      <c r="Q626">
        <v>4.3911454037995297E-2</v>
      </c>
      <c r="R626">
        <v>0.98783821918498305</v>
      </c>
      <c r="S626" t="s">
        <v>7078</v>
      </c>
      <c r="T626" t="s">
        <v>12902</v>
      </c>
      <c r="U626" t="s">
        <v>12902</v>
      </c>
      <c r="V626" t="s">
        <v>12902</v>
      </c>
      <c r="W626" t="s">
        <v>13517</v>
      </c>
      <c r="X626">
        <v>24</v>
      </c>
      <c r="Y626" t="s">
        <v>19913</v>
      </c>
      <c r="Z626" t="s">
        <v>26201</v>
      </c>
      <c r="AA626">
        <v>0.3873990286596985</v>
      </c>
      <c r="AB626" t="str">
        <f>HYPERLINK("Melting_Curves/meltCurve_F5H0L8_SEC23IP.pdf", "Melting_Curves/meltCurve_F5H0L8_SEC23IP.pdf")</f>
        <v>Melting_Curves/meltCurve_F5H0L8_SEC23IP.pdf</v>
      </c>
    </row>
    <row r="627" spans="1:28" x14ac:dyDescent="0.25">
      <c r="A627" t="s">
        <v>631</v>
      </c>
      <c r="B627">
        <v>0.99673306730245903</v>
      </c>
      <c r="C627">
        <v>0.91565423679014102</v>
      </c>
      <c r="D627">
        <v>0.81819830558512496</v>
      </c>
      <c r="E627">
        <v>0.60364147690417103</v>
      </c>
      <c r="F627">
        <v>0.39797511821152298</v>
      </c>
      <c r="G627">
        <v>0.25958539091001998</v>
      </c>
      <c r="H627">
        <v>0.140912071220472</v>
      </c>
      <c r="I627">
        <v>0.13130388717790101</v>
      </c>
      <c r="J627">
        <v>0.19361380278995899</v>
      </c>
      <c r="K627">
        <v>0.22581961462101799</v>
      </c>
      <c r="L627">
        <v>801.77670460848105</v>
      </c>
      <c r="M627">
        <v>16.0846228464642</v>
      </c>
      <c r="N627">
        <v>51.026993462563198</v>
      </c>
      <c r="O627">
        <v>49.0960133739448</v>
      </c>
      <c r="P627">
        <v>-6.9192626707448995E-2</v>
      </c>
      <c r="Q627">
        <v>0.15526267876871999</v>
      </c>
      <c r="R627">
        <v>0.98877841782094</v>
      </c>
      <c r="S627" t="s">
        <v>7079</v>
      </c>
      <c r="T627" t="s">
        <v>12902</v>
      </c>
      <c r="U627" t="s">
        <v>12902</v>
      </c>
      <c r="V627" t="s">
        <v>12902</v>
      </c>
      <c r="W627" t="s">
        <v>13518</v>
      </c>
      <c r="X627">
        <v>4</v>
      </c>
      <c r="Y627" t="s">
        <v>19914</v>
      </c>
      <c r="Z627" t="s">
        <v>26202</v>
      </c>
      <c r="AA627">
        <v>0.45037872718311228</v>
      </c>
      <c r="AB627" t="str">
        <f>HYPERLINK("Melting_Curves/meltCurve_F5H0Q6_CLASRP.pdf", "Melting_Curves/meltCurve_F5H0Q6_CLASRP.pdf")</f>
        <v>Melting_Curves/meltCurve_F5H0Q6_CLASRP.pdf</v>
      </c>
    </row>
    <row r="628" spans="1:28" x14ac:dyDescent="0.25">
      <c r="A628" t="s">
        <v>632</v>
      </c>
      <c r="B628">
        <v>0.99673306730245903</v>
      </c>
      <c r="C628">
        <v>0.65330120831800098</v>
      </c>
      <c r="D628">
        <v>0.60252107608469396</v>
      </c>
      <c r="E628">
        <v>0.40684912399414203</v>
      </c>
      <c r="F628">
        <v>0.37546725022487298</v>
      </c>
      <c r="G628">
        <v>0.26817524789441799</v>
      </c>
      <c r="H628">
        <v>0.26845108081645003</v>
      </c>
      <c r="I628">
        <v>0.35439824543106302</v>
      </c>
      <c r="J628">
        <v>0.56464214378935096</v>
      </c>
      <c r="K628">
        <v>0.85688201223065397</v>
      </c>
      <c r="L628">
        <v>1289.37422932353</v>
      </c>
      <c r="M628">
        <v>30.1746224799613</v>
      </c>
      <c r="N628">
        <v>46.252630813854097</v>
      </c>
      <c r="O628">
        <v>42.5440839984064</v>
      </c>
      <c r="P628">
        <v>-9.7565417334808696E-2</v>
      </c>
      <c r="Q628">
        <v>0.44976245983964203</v>
      </c>
      <c r="R628">
        <v>0.49736219901998802</v>
      </c>
      <c r="S628" t="s">
        <v>7080</v>
      </c>
      <c r="T628" t="s">
        <v>12902</v>
      </c>
      <c r="U628" t="s">
        <v>12902</v>
      </c>
      <c r="V628" t="s">
        <v>12902</v>
      </c>
      <c r="W628" t="s">
        <v>13519</v>
      </c>
      <c r="X628">
        <v>1</v>
      </c>
      <c r="Y628" t="s">
        <v>19915</v>
      </c>
      <c r="Z628" t="s">
        <v>26203</v>
      </c>
      <c r="AA628">
        <v>0.50528857615251943</v>
      </c>
      <c r="AB628" t="str">
        <f>HYPERLINK("Melting_Curves/meltCurve_F5H0Y3_MLF2.pdf", "Melting_Curves/meltCurve_F5H0Y3_MLF2.pdf")</f>
        <v>Melting_Curves/meltCurve_F5H0Y3_MLF2.pdf</v>
      </c>
    </row>
    <row r="629" spans="1:28" x14ac:dyDescent="0.25">
      <c r="A629" t="s">
        <v>633</v>
      </c>
      <c r="B629">
        <v>0.99673306730245903</v>
      </c>
      <c r="C629">
        <v>0.92098876393796603</v>
      </c>
      <c r="D629">
        <v>0.87763874939647402</v>
      </c>
      <c r="E629">
        <v>0.77513132698276399</v>
      </c>
      <c r="F629">
        <v>0.54687680712506903</v>
      </c>
      <c r="G629">
        <v>0.470284372901137</v>
      </c>
      <c r="H629">
        <v>0.391855696414731</v>
      </c>
      <c r="I629">
        <v>0.42161714940336498</v>
      </c>
      <c r="J629">
        <v>0.47620558822766801</v>
      </c>
      <c r="K629">
        <v>0.43624773826549001</v>
      </c>
      <c r="L629">
        <v>893.36031191781103</v>
      </c>
      <c r="M629">
        <v>17.872408907207401</v>
      </c>
      <c r="N629">
        <v>55.648457965380302</v>
      </c>
      <c r="O629">
        <v>49.3722507352931</v>
      </c>
      <c r="P629">
        <v>-5.2592342074603199E-2</v>
      </c>
      <c r="Q629">
        <v>0.41888732713772397</v>
      </c>
      <c r="R629">
        <v>0.97797243871922401</v>
      </c>
      <c r="S629" t="s">
        <v>7081</v>
      </c>
      <c r="T629" t="s">
        <v>12902</v>
      </c>
      <c r="U629" t="s">
        <v>12902</v>
      </c>
      <c r="V629" t="s">
        <v>12902</v>
      </c>
      <c r="W629" t="s">
        <v>13520</v>
      </c>
      <c r="X629">
        <v>2</v>
      </c>
      <c r="Y629" t="s">
        <v>19916</v>
      </c>
      <c r="Z629" t="s">
        <v>26204</v>
      </c>
      <c r="AA629">
        <v>0.62235628470880255</v>
      </c>
      <c r="AB629" t="str">
        <f>HYPERLINK("Melting_Curves/meltCurve_F5H144_GPR56.pdf", "Melting_Curves/meltCurve_F5H144_GPR56.pdf")</f>
        <v>Melting_Curves/meltCurve_F5H144_GPR56.pdf</v>
      </c>
    </row>
    <row r="630" spans="1:28" x14ac:dyDescent="0.25">
      <c r="A630" t="s">
        <v>634</v>
      </c>
      <c r="B630">
        <v>0.99673306730245903</v>
      </c>
      <c r="C630">
        <v>0.79127920643390703</v>
      </c>
      <c r="D630">
        <v>0.84397851552984005</v>
      </c>
      <c r="E630">
        <v>0.83038990652363998</v>
      </c>
      <c r="F630">
        <v>0.62744593044324104</v>
      </c>
      <c r="G630">
        <v>0.477291790266552</v>
      </c>
      <c r="H630">
        <v>0.26311561830452301</v>
      </c>
      <c r="I630">
        <v>0.238093396446213</v>
      </c>
      <c r="J630">
        <v>0.29297854846626697</v>
      </c>
      <c r="K630">
        <v>0.25939640761760202</v>
      </c>
      <c r="L630">
        <v>525.84486121384202</v>
      </c>
      <c r="M630">
        <v>9.7341181164404595</v>
      </c>
      <c r="N630">
        <v>55.808550292883197</v>
      </c>
      <c r="O630">
        <v>51.8887936535709</v>
      </c>
      <c r="P630">
        <v>-4.0639029787237498E-2</v>
      </c>
      <c r="Q630">
        <v>0.13394350978488401</v>
      </c>
      <c r="R630">
        <v>0.94127134048845895</v>
      </c>
      <c r="S630" t="s">
        <v>7082</v>
      </c>
      <c r="T630" t="s">
        <v>12902</v>
      </c>
      <c r="U630" t="s">
        <v>12902</v>
      </c>
      <c r="V630" t="s">
        <v>12902</v>
      </c>
      <c r="W630" t="s">
        <v>13521</v>
      </c>
      <c r="X630">
        <v>2</v>
      </c>
      <c r="Y630" t="s">
        <v>19917</v>
      </c>
      <c r="Z630" t="s">
        <v>26205</v>
      </c>
      <c r="AA630">
        <v>0.56525784473886698</v>
      </c>
      <c r="AB630" t="str">
        <f>HYPERLINK("Melting_Curves/meltCurve_F5H170_DNAJA4.pdf", "Melting_Curves/meltCurve_F5H170_DNAJA4.pdf")</f>
        <v>Melting_Curves/meltCurve_F5H170_DNAJA4.pdf</v>
      </c>
    </row>
    <row r="631" spans="1:28" x14ac:dyDescent="0.25">
      <c r="A631" t="s">
        <v>635</v>
      </c>
      <c r="B631">
        <v>0.99673306730245903</v>
      </c>
      <c r="C631">
        <v>0.870568951675321</v>
      </c>
      <c r="D631">
        <v>0.90395807430964503</v>
      </c>
      <c r="E631">
        <v>0.82721926595029205</v>
      </c>
      <c r="F631">
        <v>0.232426233420817</v>
      </c>
      <c r="G631">
        <v>0.16439845076649601</v>
      </c>
      <c r="H631">
        <v>0.11419922253832</v>
      </c>
      <c r="I631">
        <v>0.12961196014541601</v>
      </c>
      <c r="J631">
        <v>0.17459804570211401</v>
      </c>
      <c r="K631">
        <v>0.17627800421944101</v>
      </c>
      <c r="L631">
        <v>2541.52366998144</v>
      </c>
      <c r="M631">
        <v>49.9179563746222</v>
      </c>
      <c r="N631">
        <v>51.279831562457403</v>
      </c>
      <c r="O631">
        <v>50.832504773914899</v>
      </c>
      <c r="P631">
        <v>-0.20872645468315501</v>
      </c>
      <c r="Q631">
        <v>0.14979858043737099</v>
      </c>
      <c r="R631">
        <v>0.978471214189919</v>
      </c>
      <c r="S631" t="s">
        <v>7083</v>
      </c>
      <c r="T631" t="s">
        <v>12902</v>
      </c>
      <c r="U631" t="s">
        <v>12902</v>
      </c>
      <c r="V631" t="s">
        <v>12902</v>
      </c>
      <c r="W631" t="s">
        <v>13522</v>
      </c>
      <c r="X631">
        <v>9</v>
      </c>
      <c r="Y631" t="s">
        <v>19918</v>
      </c>
      <c r="Z631" t="s">
        <v>26206</v>
      </c>
      <c r="AA631">
        <v>0.46101801682739463</v>
      </c>
      <c r="AB631" t="str">
        <f>HYPERLINK("Melting_Curves/meltCurve_F5H1G9_ABI1.pdf", "Melting_Curves/meltCurve_F5H1G9_ABI1.pdf")</f>
        <v>Melting_Curves/meltCurve_F5H1G9_ABI1.pdf</v>
      </c>
    </row>
    <row r="632" spans="1:28" x14ac:dyDescent="0.25">
      <c r="A632" t="s">
        <v>636</v>
      </c>
      <c r="B632">
        <v>0.99673306730245903</v>
      </c>
      <c r="C632">
        <v>1.02315046925442</v>
      </c>
      <c r="D632">
        <v>1.0520019152209501</v>
      </c>
      <c r="E632">
        <v>0.95082570375056197</v>
      </c>
      <c r="F632">
        <v>0.66758805691245104</v>
      </c>
      <c r="G632">
        <v>0.57344117221962598</v>
      </c>
      <c r="H632">
        <v>0.45412780624334798</v>
      </c>
      <c r="I632">
        <v>0.41937237359450302</v>
      </c>
      <c r="J632">
        <v>0.38830145264877303</v>
      </c>
      <c r="K632">
        <v>0.17470148992717499</v>
      </c>
      <c r="L632">
        <v>774.160548980008</v>
      </c>
      <c r="M632">
        <v>13.8185067909238</v>
      </c>
      <c r="N632">
        <v>58.893490990593698</v>
      </c>
      <c r="O632">
        <v>54.889284205175301</v>
      </c>
      <c r="P632">
        <v>-4.7523798783131802E-2</v>
      </c>
      <c r="Q632">
        <v>0.24501707828351901</v>
      </c>
      <c r="R632">
        <v>0.95254156012882396</v>
      </c>
      <c r="S632" t="s">
        <v>7084</v>
      </c>
      <c r="T632" t="s">
        <v>12902</v>
      </c>
      <c r="U632" t="s">
        <v>12902</v>
      </c>
      <c r="V632" t="s">
        <v>12902</v>
      </c>
      <c r="W632" t="s">
        <v>13523</v>
      </c>
      <c r="X632">
        <v>18</v>
      </c>
      <c r="Y632" t="s">
        <v>19919</v>
      </c>
      <c r="Z632" t="s">
        <v>26207</v>
      </c>
      <c r="AA632">
        <v>0.66249016711078013</v>
      </c>
      <c r="AB632" t="str">
        <f>HYPERLINK("Melting_Curves/meltCurve_F5H1L4_TXNRD2.pdf", "Melting_Curves/meltCurve_F5H1L4_TXNRD2.pdf")</f>
        <v>Melting_Curves/meltCurve_F5H1L4_TXNRD2.pdf</v>
      </c>
    </row>
    <row r="633" spans="1:28" x14ac:dyDescent="0.25">
      <c r="A633" t="s">
        <v>637</v>
      </c>
      <c r="B633">
        <v>0.99673306730245903</v>
      </c>
      <c r="C633">
        <v>0.95277978997364499</v>
      </c>
      <c r="D633">
        <v>0.86601500370333695</v>
      </c>
      <c r="E633">
        <v>0.76067117938478102</v>
      </c>
      <c r="F633">
        <v>0.65303933801509195</v>
      </c>
      <c r="G633">
        <v>0.436395510898342</v>
      </c>
      <c r="H633">
        <v>0.36435533518028401</v>
      </c>
      <c r="I633">
        <v>0.54640344621991599</v>
      </c>
      <c r="J633">
        <v>0.76421064945494099</v>
      </c>
      <c r="K633">
        <v>0.83305290738906701</v>
      </c>
      <c r="L633">
        <v>1145.84074252803</v>
      </c>
      <c r="M633">
        <v>23.941352555919501</v>
      </c>
      <c r="O633">
        <v>47.5301586271095</v>
      </c>
      <c r="P633">
        <v>-5.0872517499492197E-2</v>
      </c>
      <c r="Q633">
        <v>0.59602279619821497</v>
      </c>
      <c r="R633">
        <v>0.57669456291226995</v>
      </c>
      <c r="S633" t="s">
        <v>7085</v>
      </c>
      <c r="T633" t="s">
        <v>12902</v>
      </c>
      <c r="U633" t="s">
        <v>12902</v>
      </c>
      <c r="V633" t="s">
        <v>12902</v>
      </c>
      <c r="W633" t="s">
        <v>13524</v>
      </c>
      <c r="X633">
        <v>3</v>
      </c>
      <c r="Y633" t="s">
        <v>19920</v>
      </c>
      <c r="Z633" t="s">
        <v>26208</v>
      </c>
      <c r="AA633">
        <v>0.70578732326039428</v>
      </c>
      <c r="AB633" t="str">
        <f>HYPERLINK("Melting_Curves/meltCurve_F5H1R7_FLJ22184.pdf", "Melting_Curves/meltCurve_F5H1R7_FLJ22184.pdf")</f>
        <v>Melting_Curves/meltCurve_F5H1R7_FLJ22184.pdf</v>
      </c>
    </row>
    <row r="634" spans="1:28" x14ac:dyDescent="0.25">
      <c r="A634" t="s">
        <v>638</v>
      </c>
      <c r="B634">
        <v>0.99673306730245903</v>
      </c>
      <c r="C634">
        <v>0.96421444018084901</v>
      </c>
      <c r="D634">
        <v>0.76764462152558999</v>
      </c>
      <c r="E634">
        <v>0.49536511158671598</v>
      </c>
      <c r="F634">
        <v>0.14650947040764001</v>
      </c>
      <c r="G634">
        <v>9.2625947588277205E-2</v>
      </c>
      <c r="H634">
        <v>5.7385322811077701E-2</v>
      </c>
      <c r="I634">
        <v>5.4518223812775497E-2</v>
      </c>
      <c r="J634">
        <v>6.2076159112976398E-2</v>
      </c>
      <c r="K634">
        <v>5.4159724539779901E-2</v>
      </c>
      <c r="L634">
        <v>1044.7456733485101</v>
      </c>
      <c r="M634">
        <v>21.3676314124986</v>
      </c>
      <c r="N634">
        <v>49.1170903039229</v>
      </c>
      <c r="O634">
        <v>48.471654871042197</v>
      </c>
      <c r="P634">
        <v>-0.105109562881365</v>
      </c>
      <c r="Q634">
        <v>4.6276006894493203E-2</v>
      </c>
      <c r="R634">
        <v>0.99623080709471901</v>
      </c>
      <c r="S634" t="s">
        <v>7086</v>
      </c>
      <c r="T634" t="s">
        <v>12902</v>
      </c>
      <c r="U634" t="s">
        <v>12902</v>
      </c>
      <c r="V634" t="s">
        <v>12902</v>
      </c>
      <c r="W634" t="s">
        <v>13525</v>
      </c>
      <c r="X634">
        <v>47</v>
      </c>
      <c r="Y634" t="s">
        <v>19921</v>
      </c>
      <c r="Z634" t="s">
        <v>26209</v>
      </c>
      <c r="AA634">
        <v>0.34069630407347551</v>
      </c>
      <c r="AB634" t="str">
        <f>HYPERLINK("Melting_Curves/meltCurve_F5H1X8_LRBA.pdf", "Melting_Curves/meltCurve_F5H1X8_LRBA.pdf")</f>
        <v>Melting_Curves/meltCurve_F5H1X8_LRBA.pdf</v>
      </c>
    </row>
    <row r="635" spans="1:28" x14ac:dyDescent="0.25">
      <c r="A635" t="s">
        <v>639</v>
      </c>
      <c r="B635">
        <v>0.99673306730245903</v>
      </c>
      <c r="C635">
        <v>0.90261082933908898</v>
      </c>
      <c r="D635">
        <v>0.65886969974354004</v>
      </c>
      <c r="E635">
        <v>0.30456695749179402</v>
      </c>
      <c r="F635">
        <v>0.113621431834873</v>
      </c>
      <c r="G635">
        <v>6.8087162405764706E-2</v>
      </c>
      <c r="H635">
        <v>4.1028554998474097E-2</v>
      </c>
      <c r="I635">
        <v>5.3509054879432499E-2</v>
      </c>
      <c r="J635">
        <v>5.9085530555735698E-2</v>
      </c>
      <c r="K635">
        <v>5.7318752512046399E-2</v>
      </c>
      <c r="L635">
        <v>1040.8145658471899</v>
      </c>
      <c r="M635">
        <v>22.0300177567654</v>
      </c>
      <c r="N635">
        <v>47.463804499320503</v>
      </c>
      <c r="O635">
        <v>46.861161539190803</v>
      </c>
      <c r="P635">
        <v>-0.111863373610796</v>
      </c>
      <c r="Q635">
        <v>4.8220243385226E-2</v>
      </c>
      <c r="R635">
        <v>0.99941163621776397</v>
      </c>
      <c r="S635" t="s">
        <v>7087</v>
      </c>
      <c r="T635" t="s">
        <v>12902</v>
      </c>
      <c r="U635" t="s">
        <v>12902</v>
      </c>
      <c r="V635" t="s">
        <v>12902</v>
      </c>
      <c r="W635" t="s">
        <v>13526</v>
      </c>
      <c r="X635">
        <v>4</v>
      </c>
      <c r="Y635" t="s">
        <v>19922</v>
      </c>
      <c r="Z635" t="s">
        <v>26210</v>
      </c>
      <c r="AA635">
        <v>0.28925121212470323</v>
      </c>
      <c r="AB635" t="str">
        <f>HYPERLINK("Melting_Curves/meltCurve_F5H1Y4_GOPC.pdf", "Melting_Curves/meltCurve_F5H1Y4_GOPC.pdf")</f>
        <v>Melting_Curves/meltCurve_F5H1Y4_GOPC.pdf</v>
      </c>
    </row>
    <row r="636" spans="1:28" x14ac:dyDescent="0.25">
      <c r="A636" t="s">
        <v>640</v>
      </c>
      <c r="B636">
        <v>0.99673306730245903</v>
      </c>
      <c r="C636">
        <v>0.905307382758754</v>
      </c>
      <c r="D636">
        <v>0.54020931924917204</v>
      </c>
      <c r="E636">
        <v>0.23810984028594001</v>
      </c>
      <c r="F636">
        <v>0.14217605140387299</v>
      </c>
      <c r="G636">
        <v>8.98445925128388E-2</v>
      </c>
      <c r="H636">
        <v>4.8597950060025097E-2</v>
      </c>
      <c r="I636">
        <v>3.9000872814605403E-2</v>
      </c>
      <c r="J636">
        <v>4.2184980894822997E-2</v>
      </c>
      <c r="K636">
        <v>3.6414874493779399E-2</v>
      </c>
      <c r="L636">
        <v>1050.6585736224999</v>
      </c>
      <c r="M636">
        <v>22.648139253273602</v>
      </c>
      <c r="N636">
        <v>46.623369116095198</v>
      </c>
      <c r="O636">
        <v>46.033390155654203</v>
      </c>
      <c r="P636">
        <v>-0.11642316298657999</v>
      </c>
      <c r="Q636">
        <v>5.3477346062288003E-2</v>
      </c>
      <c r="R636">
        <v>0.99555376761866698</v>
      </c>
      <c r="S636" t="s">
        <v>7088</v>
      </c>
      <c r="T636" t="s">
        <v>12902</v>
      </c>
      <c r="U636" t="s">
        <v>12902</v>
      </c>
      <c r="V636" t="s">
        <v>12902</v>
      </c>
      <c r="W636" t="s">
        <v>13527</v>
      </c>
      <c r="X636">
        <v>10</v>
      </c>
      <c r="Y636" t="s">
        <v>19923</v>
      </c>
      <c r="Z636" t="s">
        <v>26211</v>
      </c>
      <c r="AA636">
        <v>0.26586177081943502</v>
      </c>
      <c r="AB636" t="str">
        <f>HYPERLINK("Melting_Curves/meltCurve_F5H1Z6_STARD10.pdf", "Melting_Curves/meltCurve_F5H1Z6_STARD10.pdf")</f>
        <v>Melting_Curves/meltCurve_F5H1Z6_STARD10.pdf</v>
      </c>
    </row>
    <row r="637" spans="1:28" x14ac:dyDescent="0.25">
      <c r="A637" t="s">
        <v>641</v>
      </c>
      <c r="B637">
        <v>0.99673306730245903</v>
      </c>
      <c r="C637">
        <v>1.00054908979199</v>
      </c>
      <c r="D637">
        <v>0.71339942678518797</v>
      </c>
      <c r="E637">
        <v>0.355929998688156</v>
      </c>
      <c r="F637">
        <v>0.22040892644416499</v>
      </c>
      <c r="G637">
        <v>0.15893358994144799</v>
      </c>
      <c r="H637">
        <v>0.11917216366146199</v>
      </c>
      <c r="I637">
        <v>0.11579661211098</v>
      </c>
      <c r="J637">
        <v>0.14849675615094901</v>
      </c>
      <c r="K637">
        <v>0.15157387446636</v>
      </c>
      <c r="L637">
        <v>1216.43714850365</v>
      </c>
      <c r="M637">
        <v>25.626725364396801</v>
      </c>
      <c r="N637">
        <v>48.084942650250497</v>
      </c>
      <c r="O637">
        <v>47.181311904253697</v>
      </c>
      <c r="P637">
        <v>-0.116752792111659</v>
      </c>
      <c r="Q637">
        <v>0.140197235908888</v>
      </c>
      <c r="R637">
        <v>0.99521730136391195</v>
      </c>
      <c r="S637" t="s">
        <v>7089</v>
      </c>
      <c r="T637" t="s">
        <v>12902</v>
      </c>
      <c r="U637" t="s">
        <v>12902</v>
      </c>
      <c r="V637" t="s">
        <v>12902</v>
      </c>
      <c r="W637" t="s">
        <v>13528</v>
      </c>
      <c r="X637">
        <v>7</v>
      </c>
      <c r="Y637" t="s">
        <v>19924</v>
      </c>
      <c r="Z637" t="s">
        <v>26212</v>
      </c>
      <c r="AA637">
        <v>0.36144353594827627</v>
      </c>
      <c r="AB637" t="str">
        <f>HYPERLINK("Melting_Curves/meltCurve_F5H211_ATXN3.pdf", "Melting_Curves/meltCurve_F5H211_ATXN3.pdf")</f>
        <v>Melting_Curves/meltCurve_F5H211_ATXN3.pdf</v>
      </c>
    </row>
    <row r="638" spans="1:28" x14ac:dyDescent="0.25">
      <c r="A638" t="s">
        <v>642</v>
      </c>
      <c r="B638">
        <v>0.99673306730245903</v>
      </c>
      <c r="C638">
        <v>0.94077399539756101</v>
      </c>
      <c r="D638">
        <v>0.88679392290590398</v>
      </c>
      <c r="E638">
        <v>0.40594618578011799</v>
      </c>
      <c r="F638">
        <v>8.0888589490377499E-2</v>
      </c>
      <c r="G638">
        <v>3.4113568812385697E-2</v>
      </c>
      <c r="H638">
        <v>3.3969594746802098E-2</v>
      </c>
      <c r="I638">
        <v>2.7328225495351102E-2</v>
      </c>
      <c r="J638">
        <v>1.2745377621638999E-2</v>
      </c>
      <c r="K638">
        <v>1.18459847464989E-2</v>
      </c>
      <c r="L638">
        <v>1532.5171525568801</v>
      </c>
      <c r="M638">
        <v>31.337713637932801</v>
      </c>
      <c r="N638">
        <v>48.964678608985103</v>
      </c>
      <c r="O638">
        <v>48.705419950896598</v>
      </c>
      <c r="P638">
        <v>-0.15775529525762499</v>
      </c>
      <c r="Q638">
        <v>1.92649134645504E-2</v>
      </c>
      <c r="R638">
        <v>0.99837178407800098</v>
      </c>
      <c r="S638" t="s">
        <v>7090</v>
      </c>
      <c r="T638" t="s">
        <v>12902</v>
      </c>
      <c r="U638" t="s">
        <v>12902</v>
      </c>
      <c r="V638" t="s">
        <v>12902</v>
      </c>
      <c r="W638" t="s">
        <v>13529</v>
      </c>
      <c r="X638">
        <v>2</v>
      </c>
      <c r="Y638" t="s">
        <v>19925</v>
      </c>
      <c r="Z638" t="s">
        <v>26213</v>
      </c>
      <c r="AA638">
        <v>0.31577846869293702</v>
      </c>
      <c r="AB638" t="str">
        <f>HYPERLINK("Melting_Curves/meltCurve_F5H269_DMXL1.pdf", "Melting_Curves/meltCurve_F5H269_DMXL1.pdf")</f>
        <v>Melting_Curves/meltCurve_F5H269_DMXL1.pdf</v>
      </c>
    </row>
    <row r="639" spans="1:28" x14ac:dyDescent="0.25">
      <c r="A639" t="s">
        <v>643</v>
      </c>
      <c r="B639">
        <v>0.99673306730245903</v>
      </c>
      <c r="C639">
        <v>0.632510306685657</v>
      </c>
      <c r="D639">
        <v>0.23964802897120999</v>
      </c>
      <c r="E639">
        <v>0.150043144024015</v>
      </c>
      <c r="F639">
        <v>0.103301901098729</v>
      </c>
      <c r="G639">
        <v>7.6251934411679406E-2</v>
      </c>
      <c r="H639">
        <v>5.3582662230021803E-2</v>
      </c>
      <c r="I639">
        <v>6.13756891290047E-2</v>
      </c>
      <c r="J639">
        <v>6.8408316475563502E-2</v>
      </c>
      <c r="K639">
        <v>8.5936834840343104E-2</v>
      </c>
      <c r="L639">
        <v>1343.5007264067699</v>
      </c>
      <c r="M639">
        <v>30.8203354503664</v>
      </c>
      <c r="N639">
        <v>43.845170851811602</v>
      </c>
      <c r="O639">
        <v>43.4090947018123</v>
      </c>
      <c r="P639">
        <v>-0.162999894481068</v>
      </c>
      <c r="Q639">
        <v>8.1692636696277396E-2</v>
      </c>
      <c r="R639">
        <v>0.99220683335775695</v>
      </c>
      <c r="S639" t="s">
        <v>7091</v>
      </c>
      <c r="T639" t="s">
        <v>12902</v>
      </c>
      <c r="U639" t="s">
        <v>12902</v>
      </c>
      <c r="V639" t="s">
        <v>12902</v>
      </c>
      <c r="W639" t="s">
        <v>13530</v>
      </c>
      <c r="X639">
        <v>8</v>
      </c>
      <c r="Y639" t="s">
        <v>19926</v>
      </c>
      <c r="Z639" t="s">
        <v>26214</v>
      </c>
      <c r="AA639">
        <v>0.19841342633559519</v>
      </c>
      <c r="AB639" t="str">
        <f>HYPERLINK("Melting_Curves/meltCurve_F5H2H5_ANKLE2.pdf", "Melting_Curves/meltCurve_F5H2H5_ANKLE2.pdf")</f>
        <v>Melting_Curves/meltCurve_F5H2H5_ANKLE2.pdf</v>
      </c>
    </row>
    <row r="640" spans="1:28" x14ac:dyDescent="0.25">
      <c r="A640" t="s">
        <v>644</v>
      </c>
      <c r="B640">
        <v>0.99673306730245903</v>
      </c>
      <c r="C640">
        <v>0.82262201412200697</v>
      </c>
      <c r="D640">
        <v>1.2463396355656899</v>
      </c>
      <c r="E640">
        <v>0.91326525140189696</v>
      </c>
      <c r="F640">
        <v>0.64243496937775602</v>
      </c>
      <c r="G640">
        <v>0.46266045524519001</v>
      </c>
      <c r="H640">
        <v>0.25431352424095199</v>
      </c>
      <c r="I640">
        <v>0.25001463421202003</v>
      </c>
      <c r="J640">
        <v>0.233163583498365</v>
      </c>
      <c r="K640">
        <v>0.174877907137929</v>
      </c>
      <c r="L640">
        <v>1246.6544033381499</v>
      </c>
      <c r="M640">
        <v>22.982881892796499</v>
      </c>
      <c r="N640">
        <v>55.5452022832552</v>
      </c>
      <c r="O640">
        <v>53.837086761423102</v>
      </c>
      <c r="P640">
        <v>-8.4493973083566404E-2</v>
      </c>
      <c r="Q640">
        <v>0.20831102025995801</v>
      </c>
      <c r="R640">
        <v>0.91942088115909204</v>
      </c>
      <c r="S640" t="s">
        <v>7092</v>
      </c>
      <c r="T640" t="s">
        <v>12902</v>
      </c>
      <c r="U640" t="s">
        <v>12902</v>
      </c>
      <c r="V640" t="s">
        <v>12902</v>
      </c>
      <c r="W640" t="s">
        <v>13531</v>
      </c>
      <c r="X640">
        <v>4</v>
      </c>
      <c r="Y640" t="s">
        <v>19927</v>
      </c>
      <c r="Z640" t="s">
        <v>26215</v>
      </c>
      <c r="AA640">
        <v>0.59267830141245781</v>
      </c>
      <c r="AB640" t="str">
        <f>HYPERLINK("Melting_Curves/meltCurve_F5H2J3_VMP1.pdf", "Melting_Curves/meltCurve_F5H2J3_VMP1.pdf")</f>
        <v>Melting_Curves/meltCurve_F5H2J3_VMP1.pdf</v>
      </c>
    </row>
    <row r="641" spans="1:28" x14ac:dyDescent="0.25">
      <c r="A641" t="s">
        <v>645</v>
      </c>
      <c r="B641">
        <v>0.99673306730245903</v>
      </c>
      <c r="C641">
        <v>0.91686972031047398</v>
      </c>
      <c r="D641">
        <v>0.88926918111088005</v>
      </c>
      <c r="E641">
        <v>0.78131094941559498</v>
      </c>
      <c r="F641">
        <v>0.70482345167636695</v>
      </c>
      <c r="G641">
        <v>0.60821272983934604</v>
      </c>
      <c r="H641">
        <v>0.50962499562214003</v>
      </c>
      <c r="I641">
        <v>0.47457811470019301</v>
      </c>
      <c r="J641">
        <v>0.39385171429620902</v>
      </c>
      <c r="K641">
        <v>0.28550600645514002</v>
      </c>
      <c r="L641">
        <v>363.76162207920697</v>
      </c>
      <c r="M641">
        <v>5.93362531462882</v>
      </c>
      <c r="N641">
        <v>61.305122121939597</v>
      </c>
      <c r="O641">
        <v>55.425387594903199</v>
      </c>
      <c r="P641">
        <v>-2.6854198639184802E-2</v>
      </c>
      <c r="Q641">
        <v>0</v>
      </c>
      <c r="R641">
        <v>0.989689727356724</v>
      </c>
      <c r="S641" t="s">
        <v>7093</v>
      </c>
      <c r="T641" t="s">
        <v>12902</v>
      </c>
      <c r="U641" t="s">
        <v>12902</v>
      </c>
      <c r="V641" t="s">
        <v>12902</v>
      </c>
      <c r="W641" t="s">
        <v>13532</v>
      </c>
      <c r="X641">
        <v>11</v>
      </c>
      <c r="Y641" t="s">
        <v>19928</v>
      </c>
      <c r="Z641" t="s">
        <v>26216</v>
      </c>
      <c r="AA641">
        <v>0.65757853677692424</v>
      </c>
      <c r="AB641" t="str">
        <f>HYPERLINK("Melting_Curves/meltCurve_F5H2Q7_KIAA1715.pdf", "Melting_Curves/meltCurve_F5H2Q7_KIAA1715.pdf")</f>
        <v>Melting_Curves/meltCurve_F5H2Q7_KIAA1715.pdf</v>
      </c>
    </row>
    <row r="642" spans="1:28" x14ac:dyDescent="0.25">
      <c r="A642" t="s">
        <v>646</v>
      </c>
      <c r="B642">
        <v>0.99673306730245903</v>
      </c>
      <c r="C642">
        <v>1.0233071473999</v>
      </c>
      <c r="D642">
        <v>1.03496673481913</v>
      </c>
      <c r="E642">
        <v>0.938003659743183</v>
      </c>
      <c r="F642">
        <v>0.31460646729347103</v>
      </c>
      <c r="G642">
        <v>0.22071130356808</v>
      </c>
      <c r="H642">
        <v>0.14713167046101899</v>
      </c>
      <c r="I642">
        <v>0.192150076387955</v>
      </c>
      <c r="J642">
        <v>0.245146492912339</v>
      </c>
      <c r="K642">
        <v>0.244564186408532</v>
      </c>
      <c r="L642">
        <v>3182.9048035614401</v>
      </c>
      <c r="M642">
        <v>61.700913436338801</v>
      </c>
      <c r="N642">
        <v>52.043592415459202</v>
      </c>
      <c r="O642">
        <v>51.531918675804697</v>
      </c>
      <c r="P642">
        <v>-0.23666929932074399</v>
      </c>
      <c r="Q642">
        <v>0.209346010176472</v>
      </c>
      <c r="R642">
        <v>0.99407388457299795</v>
      </c>
      <c r="S642" t="s">
        <v>7094</v>
      </c>
      <c r="T642" t="s">
        <v>12902</v>
      </c>
      <c r="U642" t="s">
        <v>12902</v>
      </c>
      <c r="V642" t="s">
        <v>12902</v>
      </c>
      <c r="W642" t="s">
        <v>13533</v>
      </c>
      <c r="X642">
        <v>24</v>
      </c>
      <c r="Y642" t="s">
        <v>19929</v>
      </c>
      <c r="Z642" t="s">
        <v>26217</v>
      </c>
      <c r="AA642">
        <v>0.51587638810105108</v>
      </c>
      <c r="AB642" t="str">
        <f>HYPERLINK("Melting_Curves/meltCurve_F5H2S7_DCTN2.pdf", "Melting_Curves/meltCurve_F5H2S7_DCTN2.pdf")</f>
        <v>Melting_Curves/meltCurve_F5H2S7_DCTN2.pdf</v>
      </c>
    </row>
    <row r="643" spans="1:28" x14ac:dyDescent="0.25">
      <c r="A643" t="s">
        <v>647</v>
      </c>
      <c r="B643">
        <v>0.99673306730245903</v>
      </c>
      <c r="C643">
        <v>0.95289335550299503</v>
      </c>
      <c r="D643">
        <v>0.90686633489945101</v>
      </c>
      <c r="E643">
        <v>1.0444835088898099</v>
      </c>
      <c r="F643">
        <v>0.53856048558049496</v>
      </c>
      <c r="G643">
        <v>0.146800768964406</v>
      </c>
      <c r="H643">
        <v>7.4788550899702905E-2</v>
      </c>
      <c r="I643">
        <v>6.7767228545994901E-2</v>
      </c>
      <c r="J643">
        <v>8.4979269108193797E-2</v>
      </c>
      <c r="K643">
        <v>7.2003758216657499E-2</v>
      </c>
      <c r="L643">
        <v>3027.8059846494398</v>
      </c>
      <c r="M643">
        <v>56.894331070923201</v>
      </c>
      <c r="N643">
        <v>53.389283309964298</v>
      </c>
      <c r="O643">
        <v>53.152431569251497</v>
      </c>
      <c r="P643">
        <v>-0.245284213342047</v>
      </c>
      <c r="Q643">
        <v>8.3392252396970401E-2</v>
      </c>
      <c r="R643">
        <v>0.99071918192995501</v>
      </c>
      <c r="S643" t="s">
        <v>7095</v>
      </c>
      <c r="T643" t="s">
        <v>12902</v>
      </c>
      <c r="U643" t="s">
        <v>12902</v>
      </c>
      <c r="V643" t="s">
        <v>12902</v>
      </c>
      <c r="W643" t="s">
        <v>13534</v>
      </c>
      <c r="X643">
        <v>14</v>
      </c>
      <c r="Y643" t="s">
        <v>19930</v>
      </c>
      <c r="Z643" t="s">
        <v>26218</v>
      </c>
      <c r="AA643">
        <v>0.48891113064747932</v>
      </c>
      <c r="AB643" t="str">
        <f>HYPERLINK("Melting_Curves/meltCurve_F5H2U2_PRPF4B.pdf", "Melting_Curves/meltCurve_F5H2U2_PRPF4B.pdf")</f>
        <v>Melting_Curves/meltCurve_F5H2U2_PRPF4B.pdf</v>
      </c>
    </row>
    <row r="644" spans="1:28" x14ac:dyDescent="0.25">
      <c r="A644" t="s">
        <v>648</v>
      </c>
      <c r="B644">
        <v>0.99673306730245903</v>
      </c>
      <c r="C644">
        <v>0.88132230541063195</v>
      </c>
      <c r="D644">
        <v>0.88574968293502598</v>
      </c>
      <c r="E644">
        <v>0.61875610217710597</v>
      </c>
      <c r="F644">
        <v>0.45582926420868303</v>
      </c>
      <c r="G644">
        <v>0.26108893701719499</v>
      </c>
      <c r="H644">
        <v>0.213834120833088</v>
      </c>
      <c r="I644">
        <v>0.28162403060558999</v>
      </c>
      <c r="J644">
        <v>0.27023710422597702</v>
      </c>
      <c r="K644">
        <v>0.21785181389937899</v>
      </c>
      <c r="L644">
        <v>860.77937887923395</v>
      </c>
      <c r="M644">
        <v>17.267587968872402</v>
      </c>
      <c r="N644">
        <v>51.640244823227398</v>
      </c>
      <c r="O644">
        <v>49.195265774322202</v>
      </c>
      <c r="P644">
        <v>-6.7986743289852006E-2</v>
      </c>
      <c r="Q644">
        <v>0.22526955075728899</v>
      </c>
      <c r="R644">
        <v>0.98249028574249897</v>
      </c>
      <c r="S644" t="s">
        <v>7096</v>
      </c>
      <c r="T644" t="s">
        <v>12902</v>
      </c>
      <c r="U644" t="s">
        <v>12902</v>
      </c>
      <c r="V644" t="s">
        <v>12902</v>
      </c>
      <c r="W644" t="s">
        <v>13535</v>
      </c>
      <c r="X644">
        <v>1</v>
      </c>
      <c r="Y644" t="s">
        <v>19931</v>
      </c>
      <c r="Z644" t="s">
        <v>26219</v>
      </c>
      <c r="AA644">
        <v>0.49395104334426898</v>
      </c>
      <c r="AB644" t="str">
        <f>HYPERLINK("Melting_Curves/meltCurve_F5H2V5_FADS3.pdf", "Melting_Curves/meltCurve_F5H2V5_FADS3.pdf")</f>
        <v>Melting_Curves/meltCurve_F5H2V5_FADS3.pdf</v>
      </c>
    </row>
    <row r="645" spans="1:28" x14ac:dyDescent="0.25">
      <c r="A645" t="s">
        <v>649</v>
      </c>
      <c r="B645">
        <v>0.99673306730245903</v>
      </c>
      <c r="C645">
        <v>0.91921734186178194</v>
      </c>
      <c r="D645">
        <v>0.89504196905962397</v>
      </c>
      <c r="E645">
        <v>0.65872230119039799</v>
      </c>
      <c r="F645">
        <v>0.55540367001149304</v>
      </c>
      <c r="G645">
        <v>0.26233910468607002</v>
      </c>
      <c r="H645">
        <v>0.20221489173920401</v>
      </c>
      <c r="I645">
        <v>0.18803819477843201</v>
      </c>
      <c r="J645">
        <v>0.20841898468130299</v>
      </c>
      <c r="K645">
        <v>0.18182187907000599</v>
      </c>
      <c r="L645">
        <v>772.82175433638702</v>
      </c>
      <c r="M645">
        <v>15.0093870253279</v>
      </c>
      <c r="N645">
        <v>52.772995785760997</v>
      </c>
      <c r="O645">
        <v>50.601173049234902</v>
      </c>
      <c r="P645">
        <v>-6.2819983784482697E-2</v>
      </c>
      <c r="Q645">
        <v>0.152944878153114</v>
      </c>
      <c r="R645">
        <v>0.98569596413179394</v>
      </c>
      <c r="S645" t="s">
        <v>7097</v>
      </c>
      <c r="T645" t="s">
        <v>12902</v>
      </c>
      <c r="U645" t="s">
        <v>12902</v>
      </c>
      <c r="V645" t="s">
        <v>12902</v>
      </c>
      <c r="W645" t="s">
        <v>13536</v>
      </c>
      <c r="X645">
        <v>3</v>
      </c>
      <c r="Y645" t="s">
        <v>19932</v>
      </c>
      <c r="Z645" t="s">
        <v>26220</v>
      </c>
      <c r="AA645">
        <v>0.49659230687534628</v>
      </c>
      <c r="AB645" t="str">
        <f>HYPERLINK("Melting_Curves/meltCurve_F5H315_XAB2.pdf", "Melting_Curves/meltCurve_F5H315_XAB2.pdf")</f>
        <v>Melting_Curves/meltCurve_F5H315_XAB2.pdf</v>
      </c>
    </row>
    <row r="646" spans="1:28" x14ac:dyDescent="0.25">
      <c r="A646" t="s">
        <v>650</v>
      </c>
      <c r="B646">
        <v>0.99673306730245903</v>
      </c>
      <c r="C646">
        <v>0.91746522171168299</v>
      </c>
      <c r="D646">
        <v>0.90388214925669697</v>
      </c>
      <c r="E646">
        <v>0.68488374592590395</v>
      </c>
      <c r="F646">
        <v>0.25475185784601501</v>
      </c>
      <c r="G646">
        <v>0.144479756866572</v>
      </c>
      <c r="H646">
        <v>8.2331568435267094E-2</v>
      </c>
      <c r="I646">
        <v>6.4362786380994894E-2</v>
      </c>
      <c r="J646">
        <v>5.5548915492361399E-2</v>
      </c>
      <c r="K646">
        <v>4.4121002945513098E-2</v>
      </c>
      <c r="L646">
        <v>1198.7487484846799</v>
      </c>
      <c r="M646">
        <v>23.628055473229999</v>
      </c>
      <c r="N646">
        <v>50.981966602055998</v>
      </c>
      <c r="O646">
        <v>50.374906625882403</v>
      </c>
      <c r="P646">
        <v>-0.110900765695802</v>
      </c>
      <c r="Q646">
        <v>5.4256170645930697E-2</v>
      </c>
      <c r="R646">
        <v>0.99443155478034295</v>
      </c>
      <c r="S646" t="s">
        <v>7098</v>
      </c>
      <c r="T646" t="s">
        <v>12902</v>
      </c>
      <c r="U646" t="s">
        <v>12902</v>
      </c>
      <c r="V646" t="s">
        <v>12902</v>
      </c>
      <c r="W646" t="s">
        <v>13537</v>
      </c>
      <c r="X646">
        <v>14</v>
      </c>
      <c r="Y646" t="s">
        <v>19933</v>
      </c>
      <c r="Z646" t="s">
        <v>26221</v>
      </c>
      <c r="AA646">
        <v>0.40216882773130153</v>
      </c>
      <c r="AB646" t="str">
        <f>HYPERLINK("Melting_Curves/meltCurve_F5H365_SEC23A.pdf", "Melting_Curves/meltCurve_F5H365_SEC23A.pdf")</f>
        <v>Melting_Curves/meltCurve_F5H365_SEC23A.pdf</v>
      </c>
    </row>
    <row r="647" spans="1:28" x14ac:dyDescent="0.25">
      <c r="A647" t="s">
        <v>651</v>
      </c>
      <c r="B647">
        <v>0.99673306730245903</v>
      </c>
      <c r="C647">
        <v>0.91573749756369005</v>
      </c>
      <c r="D647">
        <v>0.55420640466156001</v>
      </c>
      <c r="E647">
        <v>0.22264382985506201</v>
      </c>
      <c r="F647">
        <v>0.124902647179561</v>
      </c>
      <c r="G647">
        <v>9.0605552035446305E-2</v>
      </c>
      <c r="H647">
        <v>7.1810772761685196E-2</v>
      </c>
      <c r="I647">
        <v>6.0493349518900598E-2</v>
      </c>
      <c r="J647">
        <v>3.8623706905392401E-2</v>
      </c>
      <c r="K647">
        <v>2.7549055477853399E-2</v>
      </c>
      <c r="L647">
        <v>1148.8966170230401</v>
      </c>
      <c r="M647">
        <v>24.779965675095401</v>
      </c>
      <c r="N647">
        <v>46.604833846758702</v>
      </c>
      <c r="O647">
        <v>46.065147387743501</v>
      </c>
      <c r="P647">
        <v>-0.12640108744880299</v>
      </c>
      <c r="Q647">
        <v>6.0111107521970901E-2</v>
      </c>
      <c r="R647">
        <v>0.99657335682752601</v>
      </c>
      <c r="S647" t="s">
        <v>7099</v>
      </c>
      <c r="T647" t="s">
        <v>12902</v>
      </c>
      <c r="U647" t="s">
        <v>12902</v>
      </c>
      <c r="V647" t="s">
        <v>12902</v>
      </c>
      <c r="W647" t="s">
        <v>13538</v>
      </c>
      <c r="X647">
        <v>7</v>
      </c>
      <c r="Y647" t="s">
        <v>19934</v>
      </c>
      <c r="Z647" t="s">
        <v>26222</v>
      </c>
      <c r="AA647">
        <v>0.26820743096141808</v>
      </c>
      <c r="AB647" t="str">
        <f>HYPERLINK("Melting_Curves/meltCurve_F5H4G7_KPNA6.pdf", "Melting_Curves/meltCurve_F5H4G7_KPNA6.pdf")</f>
        <v>Melting_Curves/meltCurve_F5H4G7_KPNA6.pdf</v>
      </c>
    </row>
    <row r="648" spans="1:28" x14ac:dyDescent="0.25">
      <c r="A648" t="s">
        <v>652</v>
      </c>
      <c r="B648">
        <v>0.99673306730245903</v>
      </c>
      <c r="C648">
        <v>0.99012430314656297</v>
      </c>
      <c r="D648">
        <v>0.97518791675951699</v>
      </c>
      <c r="E648">
        <v>0.83856947859607001</v>
      </c>
      <c r="F648">
        <v>0.55879021260679695</v>
      </c>
      <c r="G648">
        <v>0.61079008678588498</v>
      </c>
      <c r="H648">
        <v>0.66526018850597601</v>
      </c>
      <c r="I648">
        <v>0.61814329187089101</v>
      </c>
      <c r="J648">
        <v>0.78223959035074098</v>
      </c>
      <c r="K648">
        <v>0.54856136445399495</v>
      </c>
      <c r="L648">
        <v>12412.5571460554</v>
      </c>
      <c r="M648">
        <v>250</v>
      </c>
      <c r="O648">
        <v>49.647071154638098</v>
      </c>
      <c r="P648">
        <v>-0.46499389508276701</v>
      </c>
      <c r="Q648">
        <v>0.63063078730488797</v>
      </c>
      <c r="R648">
        <v>0.87486126061873004</v>
      </c>
      <c r="S648" t="s">
        <v>7100</v>
      </c>
      <c r="T648" t="s">
        <v>12902</v>
      </c>
      <c r="U648" t="s">
        <v>12902</v>
      </c>
      <c r="V648" t="s">
        <v>12902</v>
      </c>
      <c r="W648" t="s">
        <v>13539</v>
      </c>
      <c r="X648">
        <v>3</v>
      </c>
      <c r="Y648" t="s">
        <v>19935</v>
      </c>
      <c r="Z648" t="s">
        <v>26223</v>
      </c>
      <c r="AA648">
        <v>0.74947955024707968</v>
      </c>
      <c r="AB648" t="str">
        <f>HYPERLINK("Melting_Curves/meltCurve_F5H4H2_ATP5J2.pdf", "Melting_Curves/meltCurve_F5H4H2_ATP5J2.pdf")</f>
        <v>Melting_Curves/meltCurve_F5H4H2_ATP5J2.pdf</v>
      </c>
    </row>
    <row r="649" spans="1:28" x14ac:dyDescent="0.25">
      <c r="A649" t="s">
        <v>653</v>
      </c>
      <c r="B649">
        <v>0.99673306730245903</v>
      </c>
      <c r="C649">
        <v>1.11928425615928</v>
      </c>
      <c r="D649">
        <v>1.00599751122206</v>
      </c>
      <c r="E649">
        <v>0.58429757909326996</v>
      </c>
      <c r="F649">
        <v>0.32544443606879903</v>
      </c>
      <c r="G649">
        <v>0.27005398915977002</v>
      </c>
      <c r="H649">
        <v>7.82473547590362E-2</v>
      </c>
      <c r="I649">
        <v>0</v>
      </c>
      <c r="J649">
        <v>0.105040707652755</v>
      </c>
      <c r="K649">
        <v>0.12984078088164699</v>
      </c>
      <c r="L649">
        <v>1189.84703467584</v>
      </c>
      <c r="M649">
        <v>23.505619924203</v>
      </c>
      <c r="N649">
        <v>51.076739235002002</v>
      </c>
      <c r="O649">
        <v>50.257576588812</v>
      </c>
      <c r="P649">
        <v>-0.105837799176537</v>
      </c>
      <c r="Q649">
        <v>9.4844557047297398E-2</v>
      </c>
      <c r="R649">
        <v>0.96767427685682295</v>
      </c>
      <c r="S649" t="s">
        <v>7101</v>
      </c>
      <c r="T649" t="s">
        <v>12902</v>
      </c>
      <c r="U649" t="s">
        <v>12902</v>
      </c>
      <c r="V649" t="s">
        <v>12902</v>
      </c>
      <c r="W649" t="s">
        <v>13540</v>
      </c>
      <c r="X649">
        <v>2</v>
      </c>
      <c r="Y649" t="s">
        <v>19936</v>
      </c>
      <c r="Z649" t="s">
        <v>26224</v>
      </c>
      <c r="AA649">
        <v>0.42445788368121301</v>
      </c>
      <c r="AB649" t="str">
        <f>HYPERLINK("Melting_Curves/meltCurve_F5H4S9_TJP3.pdf", "Melting_Curves/meltCurve_F5H4S9_TJP3.pdf")</f>
        <v>Melting_Curves/meltCurve_F5H4S9_TJP3.pdf</v>
      </c>
    </row>
    <row r="650" spans="1:28" x14ac:dyDescent="0.25">
      <c r="A650" t="s">
        <v>654</v>
      </c>
      <c r="B650">
        <v>0.99673306730245903</v>
      </c>
      <c r="C650">
        <v>0.75038247778301803</v>
      </c>
      <c r="D650">
        <v>0.64803473376779597</v>
      </c>
      <c r="E650">
        <v>0.29061248456926497</v>
      </c>
      <c r="F650">
        <v>0.122243536951528</v>
      </c>
      <c r="G650">
        <v>0.10489208937279</v>
      </c>
      <c r="H650">
        <v>9.0924183667102504E-2</v>
      </c>
      <c r="I650">
        <v>9.7490191360495901E-2</v>
      </c>
      <c r="J650">
        <v>0.15688422801367799</v>
      </c>
      <c r="K650">
        <v>0.16012564116644401</v>
      </c>
      <c r="L650">
        <v>897.53962821723803</v>
      </c>
      <c r="M650">
        <v>19.3969806424961</v>
      </c>
      <c r="N650">
        <v>46.855011847647802</v>
      </c>
      <c r="O650">
        <v>45.788734603589702</v>
      </c>
      <c r="P650">
        <v>-9.45556342835525E-2</v>
      </c>
      <c r="Q650">
        <v>0.10719634840763501</v>
      </c>
      <c r="R650">
        <v>0.97634611698711904</v>
      </c>
      <c r="S650" t="s">
        <v>7102</v>
      </c>
      <c r="T650" t="s">
        <v>12902</v>
      </c>
      <c r="U650" t="s">
        <v>12902</v>
      </c>
      <c r="V650" t="s">
        <v>12902</v>
      </c>
      <c r="W650" t="s">
        <v>13541</v>
      </c>
      <c r="X650">
        <v>1</v>
      </c>
      <c r="Y650" t="s">
        <v>19937</v>
      </c>
      <c r="Z650" t="s">
        <v>26225</v>
      </c>
      <c r="AA650">
        <v>0.30838623990918701</v>
      </c>
      <c r="AB650" t="str">
        <f>HYPERLINK("Melting_Curves/meltCurve_F5H4V9_PDCD2.pdf", "Melting_Curves/meltCurve_F5H4V9_PDCD2.pdf")</f>
        <v>Melting_Curves/meltCurve_F5H4V9_PDCD2.pdf</v>
      </c>
    </row>
    <row r="651" spans="1:28" x14ac:dyDescent="0.25">
      <c r="A651" t="s">
        <v>655</v>
      </c>
      <c r="B651">
        <v>0.99673306730245903</v>
      </c>
      <c r="C651">
        <v>0.98291355441805695</v>
      </c>
      <c r="D651">
        <v>0.87870442461670295</v>
      </c>
      <c r="E651">
        <v>0.72582360134337998</v>
      </c>
      <c r="F651">
        <v>0.61955743600255997</v>
      </c>
      <c r="G651">
        <v>0.39733668906604502</v>
      </c>
      <c r="H651">
        <v>0.28343515045304202</v>
      </c>
      <c r="I651">
        <v>0.21704598574497</v>
      </c>
      <c r="J651">
        <v>0.14892654917579201</v>
      </c>
      <c r="K651">
        <v>9.9999175931432704E-2</v>
      </c>
      <c r="L651">
        <v>578.20994955472702</v>
      </c>
      <c r="M651">
        <v>10.555915471666999</v>
      </c>
      <c r="N651">
        <v>55.037873949172997</v>
      </c>
      <c r="O651">
        <v>52.919671582279797</v>
      </c>
      <c r="P651">
        <v>-4.8665096610136599E-2</v>
      </c>
      <c r="Q651">
        <v>2.4500231183932301E-2</v>
      </c>
      <c r="R651">
        <v>0.99594827301514499</v>
      </c>
      <c r="S651" t="s">
        <v>7103</v>
      </c>
      <c r="T651" t="s">
        <v>12902</v>
      </c>
      <c r="U651" t="s">
        <v>12902</v>
      </c>
      <c r="V651" t="s">
        <v>12902</v>
      </c>
      <c r="W651" t="s">
        <v>13542</v>
      </c>
      <c r="X651">
        <v>11</v>
      </c>
      <c r="Y651" t="s">
        <v>19938</v>
      </c>
      <c r="Z651" t="s">
        <v>26226</v>
      </c>
      <c r="AA651">
        <v>0.53047948716876481</v>
      </c>
      <c r="AB651" t="str">
        <f>HYPERLINK("Melting_Curves/meltCurve_F5H569_ATP6V0A1.pdf", "Melting_Curves/meltCurve_F5H569_ATP6V0A1.pdf")</f>
        <v>Melting_Curves/meltCurve_F5H569_ATP6V0A1.pdf</v>
      </c>
    </row>
    <row r="652" spans="1:28" x14ac:dyDescent="0.25">
      <c r="A652" t="s">
        <v>656</v>
      </c>
      <c r="B652">
        <v>0.99673306730245903</v>
      </c>
      <c r="C652">
        <v>0.994129799032896</v>
      </c>
      <c r="D652">
        <v>1.0226930531665499</v>
      </c>
      <c r="E652">
        <v>0.91670685492058301</v>
      </c>
      <c r="F652">
        <v>0.82877367939350199</v>
      </c>
      <c r="G652">
        <v>0.60766684429264195</v>
      </c>
      <c r="H652">
        <v>0.45374690172536802</v>
      </c>
      <c r="I652">
        <v>0.52730240491626601</v>
      </c>
      <c r="J652">
        <v>0.58024173291889503</v>
      </c>
      <c r="K652">
        <v>0.45226040005236401</v>
      </c>
      <c r="L652">
        <v>1523.1403838097101</v>
      </c>
      <c r="M652">
        <v>28.137262820108099</v>
      </c>
      <c r="N652">
        <v>67.223904544793697</v>
      </c>
      <c r="O652">
        <v>53.861283113600102</v>
      </c>
      <c r="P652">
        <v>-6.5573232641503804E-2</v>
      </c>
      <c r="Q652">
        <v>0.49791438257026599</v>
      </c>
      <c r="R652">
        <v>0.96644815887639701</v>
      </c>
      <c r="S652" t="s">
        <v>7104</v>
      </c>
      <c r="T652" t="s">
        <v>12902</v>
      </c>
      <c r="U652" t="s">
        <v>12902</v>
      </c>
      <c r="V652" t="s">
        <v>12902</v>
      </c>
      <c r="W652" t="s">
        <v>13543</v>
      </c>
      <c r="X652">
        <v>9</v>
      </c>
      <c r="Y652" t="s">
        <v>19939</v>
      </c>
      <c r="Z652" t="s">
        <v>26227</v>
      </c>
      <c r="AA652">
        <v>0.73817135043504345</v>
      </c>
      <c r="AB652" t="str">
        <f>HYPERLINK("Melting_Curves/meltCurve_F5H577_BRK1.pdf", "Melting_Curves/meltCurve_F5H577_BRK1.pdf")</f>
        <v>Melting_Curves/meltCurve_F5H577_BRK1.pdf</v>
      </c>
    </row>
    <row r="653" spans="1:28" x14ac:dyDescent="0.25">
      <c r="A653" t="s">
        <v>657</v>
      </c>
      <c r="B653">
        <v>0.99673306730245903</v>
      </c>
      <c r="C653">
        <v>0.92257275042973197</v>
      </c>
      <c r="D653">
        <v>0.89428331882629997</v>
      </c>
      <c r="E653">
        <v>0.89712422473347897</v>
      </c>
      <c r="F653">
        <v>0.78976778592675601</v>
      </c>
      <c r="G653">
        <v>0.60996603788764703</v>
      </c>
      <c r="H653">
        <v>0.21326060558532101</v>
      </c>
      <c r="I653">
        <v>5.9143653782235003E-2</v>
      </c>
      <c r="J653">
        <v>4.7378735291535898E-2</v>
      </c>
      <c r="K653">
        <v>3.8787673731068298E-2</v>
      </c>
      <c r="L653">
        <v>1132.69351391848</v>
      </c>
      <c r="M653">
        <v>19.783111554648499</v>
      </c>
      <c r="N653">
        <v>57.255581204100501</v>
      </c>
      <c r="O653">
        <v>56.680177311770997</v>
      </c>
      <c r="P653">
        <v>-8.7260595040786704E-2</v>
      </c>
      <c r="Q653">
        <v>0</v>
      </c>
      <c r="R653">
        <v>0.98138742980853799</v>
      </c>
      <c r="S653" t="s">
        <v>7105</v>
      </c>
      <c r="T653" t="s">
        <v>12902</v>
      </c>
      <c r="U653" t="s">
        <v>12902</v>
      </c>
      <c r="V653" t="s">
        <v>12902</v>
      </c>
      <c r="W653" t="s">
        <v>13544</v>
      </c>
      <c r="X653">
        <v>36</v>
      </c>
      <c r="Y653" t="s">
        <v>19940</v>
      </c>
      <c r="Z653" t="s">
        <v>26228</v>
      </c>
      <c r="AA653">
        <v>0.5873709985812563</v>
      </c>
      <c r="AB653" t="str">
        <f>HYPERLINK("Melting_Curves/meltCurve_F5H5D3_TUBA1C.pdf", "Melting_Curves/meltCurve_F5H5D3_TUBA1C.pdf")</f>
        <v>Melting_Curves/meltCurve_F5H5D3_TUBA1C.pdf</v>
      </c>
    </row>
    <row r="654" spans="1:28" x14ac:dyDescent="0.25">
      <c r="A654" t="s">
        <v>658</v>
      </c>
      <c r="B654">
        <v>0.99673306730245903</v>
      </c>
      <c r="C654">
        <v>0.97902479361054395</v>
      </c>
      <c r="D654">
        <v>0.87494386528983703</v>
      </c>
      <c r="E654">
        <v>0.55067454334702104</v>
      </c>
      <c r="F654">
        <v>0.25549646820417499</v>
      </c>
      <c r="G654">
        <v>0.13250064467226799</v>
      </c>
      <c r="H654">
        <v>8.9380545554127805E-2</v>
      </c>
      <c r="I654">
        <v>9.2191697307893894E-2</v>
      </c>
      <c r="J654">
        <v>9.6720957878721495E-2</v>
      </c>
      <c r="K654">
        <v>8.6350727361692095E-2</v>
      </c>
      <c r="L654">
        <v>1139.69293997511</v>
      </c>
      <c r="M654">
        <v>22.934372597159602</v>
      </c>
      <c r="N654">
        <v>50.104437338152302</v>
      </c>
      <c r="O654">
        <v>49.320473290738803</v>
      </c>
      <c r="P654">
        <v>-0.10629073735640999</v>
      </c>
      <c r="Q654">
        <v>8.5702443106077303E-2</v>
      </c>
      <c r="R654">
        <v>0.99984917127994499</v>
      </c>
      <c r="S654" t="s">
        <v>7106</v>
      </c>
      <c r="T654" t="s">
        <v>12902</v>
      </c>
      <c r="U654" t="s">
        <v>12902</v>
      </c>
      <c r="V654" t="s">
        <v>12902</v>
      </c>
      <c r="W654" t="s">
        <v>13545</v>
      </c>
      <c r="X654">
        <v>5</v>
      </c>
      <c r="Y654" t="s">
        <v>19941</v>
      </c>
      <c r="Z654" t="s">
        <v>26229</v>
      </c>
      <c r="AA654">
        <v>0.39082962425000728</v>
      </c>
      <c r="AB654" t="str">
        <f>HYPERLINK("Melting_Curves/meltCurve_F5H5I6_GRSF1.pdf", "Melting_Curves/meltCurve_F5H5I6_GRSF1.pdf")</f>
        <v>Melting_Curves/meltCurve_F5H5I6_GRSF1.pdf</v>
      </c>
    </row>
    <row r="655" spans="1:28" x14ac:dyDescent="0.25">
      <c r="A655" t="s">
        <v>659</v>
      </c>
      <c r="B655">
        <v>0.99673306730245903</v>
      </c>
      <c r="C655">
        <v>1.05508015182902</v>
      </c>
      <c r="D655">
        <v>0.93608072742007797</v>
      </c>
      <c r="E655">
        <v>0.87192658832730396</v>
      </c>
      <c r="F655">
        <v>0.76053806661284196</v>
      </c>
      <c r="G655">
        <v>0.69582896046810105</v>
      </c>
      <c r="H655">
        <v>0.50551299599954302</v>
      </c>
      <c r="I655">
        <v>0.52408413254223396</v>
      </c>
      <c r="J655">
        <v>0.45823503838625701</v>
      </c>
      <c r="K655">
        <v>0.446229409050097</v>
      </c>
      <c r="L655">
        <v>690.06546533679295</v>
      </c>
      <c r="M655">
        <v>12.4809877220552</v>
      </c>
      <c r="N655">
        <v>63.806379679150403</v>
      </c>
      <c r="O655">
        <v>53.927522146468199</v>
      </c>
      <c r="P655">
        <v>-3.4404963215918301E-2</v>
      </c>
      <c r="Q655">
        <v>0.40549882234338103</v>
      </c>
      <c r="R655">
        <v>0.97888320849542199</v>
      </c>
      <c r="S655" t="s">
        <v>7107</v>
      </c>
      <c r="T655" t="s">
        <v>12902</v>
      </c>
      <c r="U655" t="s">
        <v>12902</v>
      </c>
      <c r="V655" t="s">
        <v>12902</v>
      </c>
      <c r="W655" t="s">
        <v>13546</v>
      </c>
      <c r="X655">
        <v>3</v>
      </c>
      <c r="Y655" t="s">
        <v>19942</v>
      </c>
      <c r="Z655" t="s">
        <v>26230</v>
      </c>
      <c r="AA655">
        <v>0.7215868156877322</v>
      </c>
      <c r="AB655" t="str">
        <f>HYPERLINK("Melting_Curves/meltCurve_F5H5M7_IFNGR1.pdf", "Melting_Curves/meltCurve_F5H5M7_IFNGR1.pdf")</f>
        <v>Melting_Curves/meltCurve_F5H5M7_IFNGR1.pdf</v>
      </c>
    </row>
    <row r="656" spans="1:28" x14ac:dyDescent="0.25">
      <c r="A656" t="s">
        <v>660</v>
      </c>
      <c r="B656">
        <v>0.99673306730245903</v>
      </c>
      <c r="C656">
        <v>0.871349033342257</v>
      </c>
      <c r="D656">
        <v>0.83098487220741402</v>
      </c>
      <c r="E656">
        <v>0.36490626112827601</v>
      </c>
      <c r="F656">
        <v>0.23326340550494201</v>
      </c>
      <c r="G656">
        <v>0.13649323329314</v>
      </c>
      <c r="H656">
        <v>7.1802989012507104E-2</v>
      </c>
      <c r="I656">
        <v>9.2779580371884607E-2</v>
      </c>
      <c r="J656">
        <v>0.10225144651738401</v>
      </c>
      <c r="K656">
        <v>8.8814236915650796E-2</v>
      </c>
      <c r="L656">
        <v>1062.6345678707501</v>
      </c>
      <c r="M656">
        <v>22.0177459315289</v>
      </c>
      <c r="N656">
        <v>48.708113994491498</v>
      </c>
      <c r="O656">
        <v>47.869812761899802</v>
      </c>
      <c r="P656">
        <v>-0.104503700937777</v>
      </c>
      <c r="Q656">
        <v>9.1194712352398899E-2</v>
      </c>
      <c r="R656">
        <v>0.98855707863462705</v>
      </c>
      <c r="S656" t="s">
        <v>7108</v>
      </c>
      <c r="T656" t="s">
        <v>12902</v>
      </c>
      <c r="U656" t="s">
        <v>12902</v>
      </c>
      <c r="V656" t="s">
        <v>12902</v>
      </c>
      <c r="W656" t="s">
        <v>13547</v>
      </c>
      <c r="X656">
        <v>7</v>
      </c>
      <c r="Y656" t="s">
        <v>19943</v>
      </c>
      <c r="Z656" t="s">
        <v>26231</v>
      </c>
      <c r="AA656">
        <v>0.35199727361999511</v>
      </c>
      <c r="AB656" t="str">
        <f>HYPERLINK("Melting_Curves/meltCurve_F5H5N0_CDC42BPA.pdf", "Melting_Curves/meltCurve_F5H5N0_CDC42BPA.pdf")</f>
        <v>Melting_Curves/meltCurve_F5H5N0_CDC42BPA.pdf</v>
      </c>
    </row>
    <row r="657" spans="1:28" x14ac:dyDescent="0.25">
      <c r="A657" t="s">
        <v>661</v>
      </c>
      <c r="B657">
        <v>0.99673306730245903</v>
      </c>
      <c r="C657">
        <v>0.98837965422876395</v>
      </c>
      <c r="D657">
        <v>1.00242614867938</v>
      </c>
      <c r="E657">
        <v>1.0210771189497301</v>
      </c>
      <c r="F657">
        <v>0.63317725223364896</v>
      </c>
      <c r="G657">
        <v>0.286241119260639</v>
      </c>
      <c r="H657">
        <v>0.103673619667804</v>
      </c>
      <c r="I657">
        <v>8.4131961070043504E-2</v>
      </c>
      <c r="J657">
        <v>8.5220303528881394E-2</v>
      </c>
      <c r="K657">
        <v>7.7828607870286406E-2</v>
      </c>
      <c r="L657">
        <v>1694.2315704068101</v>
      </c>
      <c r="M657">
        <v>31.280271229041201</v>
      </c>
      <c r="N657">
        <v>54.474191044590398</v>
      </c>
      <c r="O657">
        <v>53.943021299039899</v>
      </c>
      <c r="P657">
        <v>-0.13310659149367801</v>
      </c>
      <c r="Q657">
        <v>8.1832551685502603E-2</v>
      </c>
      <c r="R657">
        <v>0.99583133774291499</v>
      </c>
      <c r="S657" t="s">
        <v>7109</v>
      </c>
      <c r="T657" t="s">
        <v>12902</v>
      </c>
      <c r="U657" t="s">
        <v>12902</v>
      </c>
      <c r="V657" t="s">
        <v>12902</v>
      </c>
      <c r="W657" t="s">
        <v>13548</v>
      </c>
      <c r="X657">
        <v>4</v>
      </c>
      <c r="Y657" t="s">
        <v>19944</v>
      </c>
      <c r="Z657" t="s">
        <v>26232</v>
      </c>
      <c r="AA657">
        <v>0.52087134243487399</v>
      </c>
      <c r="AB657" t="str">
        <f>HYPERLINK("Melting_Curves/meltCurve_F5H5N1_NDUFS7.pdf", "Melting_Curves/meltCurve_F5H5N1_NDUFS7.pdf")</f>
        <v>Melting_Curves/meltCurve_F5H5N1_NDUFS7.pdf</v>
      </c>
    </row>
    <row r="658" spans="1:28" x14ac:dyDescent="0.25">
      <c r="A658" t="s">
        <v>662</v>
      </c>
      <c r="B658">
        <v>0.99673306730245903</v>
      </c>
      <c r="C658">
        <v>0.97330749989170295</v>
      </c>
      <c r="D658">
        <v>0.96463585337003799</v>
      </c>
      <c r="E658">
        <v>1.0015486642817699</v>
      </c>
      <c r="F658">
        <v>0.547393472776878</v>
      </c>
      <c r="G658">
        <v>0.23337418913840499</v>
      </c>
      <c r="H658">
        <v>0.103221602372798</v>
      </c>
      <c r="I658">
        <v>0.11012514719034899</v>
      </c>
      <c r="J658">
        <v>9.6390950724143901E-2</v>
      </c>
      <c r="K658">
        <v>8.4152206851591901E-2</v>
      </c>
      <c r="L658">
        <v>1920.05565524753</v>
      </c>
      <c r="M658">
        <v>35.985961940743401</v>
      </c>
      <c r="N658">
        <v>53.695319909226001</v>
      </c>
      <c r="O658">
        <v>53.191721929566597</v>
      </c>
      <c r="P658">
        <v>-0.151918275361587</v>
      </c>
      <c r="Q658">
        <v>0.101786504537283</v>
      </c>
      <c r="R658">
        <v>0.99525338941972996</v>
      </c>
      <c r="S658" t="s">
        <v>7110</v>
      </c>
      <c r="T658" t="s">
        <v>12902</v>
      </c>
      <c r="U658" t="s">
        <v>12902</v>
      </c>
      <c r="V658" t="s">
        <v>12902</v>
      </c>
      <c r="W658" t="s">
        <v>13549</v>
      </c>
      <c r="X658">
        <v>14</v>
      </c>
      <c r="Y658" t="s">
        <v>19945</v>
      </c>
      <c r="Z658" t="s">
        <v>26233</v>
      </c>
      <c r="AA658">
        <v>0.50574873410427834</v>
      </c>
      <c r="AB658" t="str">
        <f>HYPERLINK("Melting_Curves/meltCurve_F5H5P2_BCKDHA.pdf", "Melting_Curves/meltCurve_F5H5P2_BCKDHA.pdf")</f>
        <v>Melting_Curves/meltCurve_F5H5P2_BCKDHA.pdf</v>
      </c>
    </row>
    <row r="659" spans="1:28" x14ac:dyDescent="0.25">
      <c r="A659" t="s">
        <v>663</v>
      </c>
      <c r="B659">
        <v>0.99673306730245903</v>
      </c>
      <c r="C659">
        <v>0.70798478123967001</v>
      </c>
      <c r="D659">
        <v>0.31060556491040903</v>
      </c>
      <c r="E659">
        <v>0.18564822255300101</v>
      </c>
      <c r="F659">
        <v>9.0380886515515499E-2</v>
      </c>
      <c r="G659">
        <v>4.7501755330668798E-2</v>
      </c>
      <c r="H659">
        <v>3.6985674602118997E-2</v>
      </c>
      <c r="I659">
        <v>3.4251383199417701E-2</v>
      </c>
      <c r="J659">
        <v>4.0932361968792103E-2</v>
      </c>
      <c r="K659">
        <v>3.5019375253053098E-2</v>
      </c>
      <c r="L659">
        <v>1075.5163251532299</v>
      </c>
      <c r="M659">
        <v>24.206606297541502</v>
      </c>
      <c r="N659">
        <v>44.625579429961697</v>
      </c>
      <c r="O659">
        <v>44.130800058475998</v>
      </c>
      <c r="P659">
        <v>-0.13025363494226799</v>
      </c>
      <c r="Q659">
        <v>5.0158622029270301E-2</v>
      </c>
      <c r="R659">
        <v>0.99036246539835904</v>
      </c>
      <c r="S659" t="s">
        <v>7111</v>
      </c>
      <c r="T659" t="s">
        <v>12902</v>
      </c>
      <c r="U659" t="s">
        <v>12902</v>
      </c>
      <c r="V659" t="s">
        <v>12902</v>
      </c>
      <c r="W659" t="s">
        <v>13550</v>
      </c>
      <c r="X659">
        <v>5</v>
      </c>
      <c r="Y659" t="s">
        <v>19946</v>
      </c>
      <c r="Z659" t="s">
        <v>26234</v>
      </c>
      <c r="AA659">
        <v>0.20141850698520219</v>
      </c>
      <c r="AB659" t="str">
        <f>HYPERLINK("Melting_Curves/meltCurve_F5H5R8_NAT1.pdf", "Melting_Curves/meltCurve_F5H5R8_NAT1.pdf")</f>
        <v>Melting_Curves/meltCurve_F5H5R8_NAT1.pdf</v>
      </c>
    </row>
    <row r="660" spans="1:28" x14ac:dyDescent="0.25">
      <c r="A660" t="s">
        <v>664</v>
      </c>
      <c r="B660">
        <v>0.99673306730245903</v>
      </c>
      <c r="C660">
        <v>0.90617010286900002</v>
      </c>
      <c r="D660">
        <v>0.89031810314334303</v>
      </c>
      <c r="E660">
        <v>0.63733850998540498</v>
      </c>
      <c r="F660">
        <v>0.182564735768146</v>
      </c>
      <c r="G660">
        <v>0.113026406660493</v>
      </c>
      <c r="H660">
        <v>7.1404402287922802E-2</v>
      </c>
      <c r="I660">
        <v>8.0588700520191597E-2</v>
      </c>
      <c r="J660">
        <v>9.9559757036077806E-2</v>
      </c>
      <c r="K660">
        <v>8.8346400957667298E-2</v>
      </c>
      <c r="L660">
        <v>1446.61253881313</v>
      </c>
      <c r="M660">
        <v>28.890049417265399</v>
      </c>
      <c r="N660">
        <v>50.3720748873152</v>
      </c>
      <c r="O660">
        <v>49.834959390938003</v>
      </c>
      <c r="P660">
        <v>-0.13350897837748199</v>
      </c>
      <c r="Q660">
        <v>7.8801930910261206E-2</v>
      </c>
      <c r="R660">
        <v>0.991090628693862</v>
      </c>
      <c r="S660" t="s">
        <v>7112</v>
      </c>
      <c r="T660" t="s">
        <v>12902</v>
      </c>
      <c r="U660" t="s">
        <v>12902</v>
      </c>
      <c r="V660" t="s">
        <v>12902</v>
      </c>
      <c r="W660" t="s">
        <v>13551</v>
      </c>
      <c r="X660">
        <v>28</v>
      </c>
      <c r="Y660" t="s">
        <v>19947</v>
      </c>
      <c r="Z660" t="s">
        <v>26235</v>
      </c>
      <c r="AA660">
        <v>0.39426693448855449</v>
      </c>
      <c r="AB660" t="str">
        <f>HYPERLINK("Melting_Curves/meltCurve_F5H604_CLASP2.pdf", "Melting_Curves/meltCurve_F5H604_CLASP2.pdf")</f>
        <v>Melting_Curves/meltCurve_F5H604_CLASP2.pdf</v>
      </c>
    </row>
    <row r="661" spans="1:28" x14ac:dyDescent="0.25">
      <c r="A661" t="s">
        <v>665</v>
      </c>
      <c r="B661">
        <v>0.99673306730245903</v>
      </c>
      <c r="C661">
        <v>0.98805817545947905</v>
      </c>
      <c r="D661">
        <v>0.900441658926874</v>
      </c>
      <c r="E661">
        <v>0.91951489197824798</v>
      </c>
      <c r="F661">
        <v>0.58738305840171001</v>
      </c>
      <c r="G661">
        <v>0.315778259327474</v>
      </c>
      <c r="H661">
        <v>0.15517834430390001</v>
      </c>
      <c r="I661">
        <v>9.8461267235154804E-2</v>
      </c>
      <c r="J661">
        <v>7.5692852193496293E-2</v>
      </c>
      <c r="K661">
        <v>6.1459796770021898E-2</v>
      </c>
      <c r="L661">
        <v>1107.11917766436</v>
      </c>
      <c r="M661">
        <v>20.479199099951501</v>
      </c>
      <c r="N661">
        <v>54.393927483507902</v>
      </c>
      <c r="O661">
        <v>53.553116095166601</v>
      </c>
      <c r="P661">
        <v>-8.9968357051064193E-2</v>
      </c>
      <c r="Q661">
        <v>5.8958742930609001E-2</v>
      </c>
      <c r="R661">
        <v>0.99445863720399796</v>
      </c>
      <c r="S661" t="s">
        <v>7113</v>
      </c>
      <c r="T661" t="s">
        <v>12902</v>
      </c>
      <c r="U661" t="s">
        <v>12902</v>
      </c>
      <c r="V661" t="s">
        <v>12902</v>
      </c>
      <c r="W661" t="s">
        <v>13552</v>
      </c>
      <c r="X661">
        <v>10</v>
      </c>
      <c r="Y661" t="s">
        <v>19948</v>
      </c>
      <c r="Z661" t="s">
        <v>26236</v>
      </c>
      <c r="AA661">
        <v>0.51231199113669257</v>
      </c>
      <c r="AB661" t="str">
        <f>HYPERLINK("Melting_Curves/meltCurve_F5H620_OXNAD1.pdf", "Melting_Curves/meltCurve_F5H620_OXNAD1.pdf")</f>
        <v>Melting_Curves/meltCurve_F5H620_OXNAD1.pdf</v>
      </c>
    </row>
    <row r="662" spans="1:28" x14ac:dyDescent="0.25">
      <c r="A662" t="s">
        <v>666</v>
      </c>
      <c r="B662">
        <v>0.99673306730245903</v>
      </c>
      <c r="C662">
        <v>0.91857143596314295</v>
      </c>
      <c r="D662">
        <v>0.69521088635636996</v>
      </c>
      <c r="E662">
        <v>0.45441949079246402</v>
      </c>
      <c r="F662">
        <v>0.17799740142524101</v>
      </c>
      <c r="G662">
        <v>0.115968375859215</v>
      </c>
      <c r="H662">
        <v>7.05332545308298E-2</v>
      </c>
      <c r="I662">
        <v>6.3388749728481894E-2</v>
      </c>
      <c r="J662">
        <v>7.2981680879858804E-2</v>
      </c>
      <c r="K662">
        <v>6.2596255616296795E-2</v>
      </c>
      <c r="L662">
        <v>865.89790784793001</v>
      </c>
      <c r="M662">
        <v>17.9322257988008</v>
      </c>
      <c r="N662">
        <v>48.600581918626197</v>
      </c>
      <c r="O662">
        <v>47.698757184416998</v>
      </c>
      <c r="P662">
        <v>-8.8860748055771599E-2</v>
      </c>
      <c r="Q662">
        <v>5.4588003956765101E-2</v>
      </c>
      <c r="R662">
        <v>0.99706244173264702</v>
      </c>
      <c r="S662" t="s">
        <v>7114</v>
      </c>
      <c r="T662" t="s">
        <v>12902</v>
      </c>
      <c r="U662" t="s">
        <v>12902</v>
      </c>
      <c r="V662" t="s">
        <v>12902</v>
      </c>
      <c r="W662" t="s">
        <v>13553</v>
      </c>
      <c r="X662">
        <v>8</v>
      </c>
      <c r="Y662" t="s">
        <v>19949</v>
      </c>
      <c r="Z662" t="s">
        <v>26237</v>
      </c>
      <c r="AA662">
        <v>0.33251829060739813</v>
      </c>
      <c r="AB662" t="str">
        <f>HYPERLINK("Melting_Curves/meltCurve_F5H698_LARS.pdf", "Melting_Curves/meltCurve_F5H698_LARS.pdf")</f>
        <v>Melting_Curves/meltCurve_F5H698_LARS.pdf</v>
      </c>
    </row>
    <row r="663" spans="1:28" x14ac:dyDescent="0.25">
      <c r="A663" t="s">
        <v>667</v>
      </c>
      <c r="B663">
        <v>0.99673306730245903</v>
      </c>
      <c r="C663">
        <v>0.84808046777694901</v>
      </c>
      <c r="D663">
        <v>0.51448961221690703</v>
      </c>
      <c r="E663">
        <v>0.31768030612752102</v>
      </c>
      <c r="F663">
        <v>0.383336637139293</v>
      </c>
      <c r="G663">
        <v>0.17698910861355499</v>
      </c>
      <c r="H663">
        <v>0.124478905902042</v>
      </c>
      <c r="I663">
        <v>0.180950548897124</v>
      </c>
      <c r="J663">
        <v>9.9906855165978706E-2</v>
      </c>
      <c r="K663">
        <v>8.3851269144978202E-2</v>
      </c>
      <c r="L663">
        <v>714.00772801050005</v>
      </c>
      <c r="M663">
        <v>15.407034748605501</v>
      </c>
      <c r="N663">
        <v>47.2670723879422</v>
      </c>
      <c r="O663">
        <v>45.583296239885101</v>
      </c>
      <c r="P663">
        <v>-7.35175831733728E-2</v>
      </c>
      <c r="Q663">
        <v>0.13004182459563399</v>
      </c>
      <c r="R663">
        <v>0.95476427679371401</v>
      </c>
      <c r="S663" t="s">
        <v>7115</v>
      </c>
      <c r="T663" t="s">
        <v>12902</v>
      </c>
      <c r="U663" t="s">
        <v>12902</v>
      </c>
      <c r="V663" t="s">
        <v>12902</v>
      </c>
      <c r="W663" t="s">
        <v>13554</v>
      </c>
      <c r="X663">
        <v>1</v>
      </c>
      <c r="Y663" t="s">
        <v>19950</v>
      </c>
      <c r="Z663" t="s">
        <v>26238</v>
      </c>
      <c r="AA663">
        <v>0.33735170875136039</v>
      </c>
      <c r="AB663" t="str">
        <f>HYPERLINK("Melting_Curves/meltCurve_F5H6G7_NOL10.pdf", "Melting_Curves/meltCurve_F5H6G7_NOL10.pdf")</f>
        <v>Melting_Curves/meltCurve_F5H6G7_NOL10.pdf</v>
      </c>
    </row>
    <row r="664" spans="1:28" x14ac:dyDescent="0.25">
      <c r="A664" t="s">
        <v>668</v>
      </c>
      <c r="B664">
        <v>0.99673306730245903</v>
      </c>
      <c r="C664">
        <v>0.99513450887810595</v>
      </c>
      <c r="D664">
        <v>0.76670500896474203</v>
      </c>
      <c r="E664">
        <v>0.46792512370929501</v>
      </c>
      <c r="F664">
        <v>0.19418992220303799</v>
      </c>
      <c r="G664">
        <v>0.13902310427462899</v>
      </c>
      <c r="H664">
        <v>8.1045304018242004E-2</v>
      </c>
      <c r="I664">
        <v>5.9919330979794801E-2</v>
      </c>
      <c r="J664">
        <v>5.6080622995489E-2</v>
      </c>
      <c r="K664">
        <v>5.1297225653875997E-2</v>
      </c>
      <c r="L664">
        <v>997.15987659518998</v>
      </c>
      <c r="M664">
        <v>20.410479573961901</v>
      </c>
      <c r="N664">
        <v>49.158033891682898</v>
      </c>
      <c r="O664">
        <v>48.393560519110103</v>
      </c>
      <c r="P664">
        <v>-9.92157159113536E-2</v>
      </c>
      <c r="Q664">
        <v>5.9060320126915498E-2</v>
      </c>
      <c r="R664">
        <v>0.99693242044708896</v>
      </c>
      <c r="S664" t="s">
        <v>7116</v>
      </c>
      <c r="T664" t="s">
        <v>12902</v>
      </c>
      <c r="U664" t="s">
        <v>12902</v>
      </c>
      <c r="V664" t="s">
        <v>12902</v>
      </c>
      <c r="W664" t="s">
        <v>13555</v>
      </c>
      <c r="X664">
        <v>3</v>
      </c>
      <c r="Y664" t="s">
        <v>19951</v>
      </c>
      <c r="Z664" t="s">
        <v>26239</v>
      </c>
      <c r="AA664">
        <v>0.34946493533516171</v>
      </c>
      <c r="AB664" t="str">
        <f>HYPERLINK("Melting_Curves/meltCurve_F5H702_MRPL48.pdf", "Melting_Curves/meltCurve_F5H702_MRPL48.pdf")</f>
        <v>Melting_Curves/meltCurve_F5H702_MRPL48.pdf</v>
      </c>
    </row>
    <row r="665" spans="1:28" x14ac:dyDescent="0.25">
      <c r="A665" t="s">
        <v>669</v>
      </c>
      <c r="B665">
        <v>0.99673306730245903</v>
      </c>
      <c r="C665">
        <v>0.97332833525946105</v>
      </c>
      <c r="D665">
        <v>1.0211070410372101</v>
      </c>
      <c r="E665">
        <v>0.98323303846361298</v>
      </c>
      <c r="F665">
        <v>0.823459268998606</v>
      </c>
      <c r="G665">
        <v>0.612350561849481</v>
      </c>
      <c r="H665">
        <v>0.487102003165157</v>
      </c>
      <c r="I665">
        <v>0.63525703773922404</v>
      </c>
      <c r="J665">
        <v>0.87402768349612503</v>
      </c>
      <c r="K665">
        <v>0.94600467329215199</v>
      </c>
      <c r="L665">
        <v>13276.033281030999</v>
      </c>
      <c r="M665">
        <v>250</v>
      </c>
      <c r="O665">
        <v>53.100735644918998</v>
      </c>
      <c r="P665">
        <v>-0.34021611067180901</v>
      </c>
      <c r="Q665">
        <v>0.71094839279375499</v>
      </c>
      <c r="R665">
        <v>0.54393025068526701</v>
      </c>
      <c r="S665" t="s">
        <v>7117</v>
      </c>
      <c r="T665" t="s">
        <v>12902</v>
      </c>
      <c r="U665" t="s">
        <v>12902</v>
      </c>
      <c r="V665" t="s">
        <v>12902</v>
      </c>
      <c r="W665" t="s">
        <v>13556</v>
      </c>
      <c r="X665">
        <v>29</v>
      </c>
      <c r="Y665" t="s">
        <v>19952</v>
      </c>
      <c r="Z665" t="s">
        <v>26240</v>
      </c>
      <c r="AA665">
        <v>0.83723435620108877</v>
      </c>
      <c r="AB665" t="str">
        <f>HYPERLINK("Melting_Curves/meltCurve_F5H721_WBP11.pdf", "Melting_Curves/meltCurve_F5H721_WBP11.pdf")</f>
        <v>Melting_Curves/meltCurve_F5H721_WBP11.pdf</v>
      </c>
    </row>
    <row r="666" spans="1:28" x14ac:dyDescent="0.25">
      <c r="A666" t="s">
        <v>670</v>
      </c>
      <c r="B666">
        <v>0.99673306730245903</v>
      </c>
      <c r="C666">
        <v>1.0495784450518699</v>
      </c>
      <c r="D666">
        <v>1.0142242450266401</v>
      </c>
      <c r="E666">
        <v>0.92364096422792297</v>
      </c>
      <c r="F666">
        <v>0.77281465200703203</v>
      </c>
      <c r="G666">
        <v>0.62393488077261305</v>
      </c>
      <c r="H666">
        <v>0.531011340312741</v>
      </c>
      <c r="I666">
        <v>0.53186294717551097</v>
      </c>
      <c r="J666">
        <v>0.62732508164974299</v>
      </c>
      <c r="K666">
        <v>0.57989883746789905</v>
      </c>
      <c r="L666">
        <v>1516.1528135073399</v>
      </c>
      <c r="M666">
        <v>28.683417404770498</v>
      </c>
      <c r="O666">
        <v>52.603257741035698</v>
      </c>
      <c r="P666">
        <v>-5.9131662224309101E-2</v>
      </c>
      <c r="Q666">
        <v>0.56623119836803304</v>
      </c>
      <c r="R666">
        <v>0.97366506003140896</v>
      </c>
      <c r="S666" t="s">
        <v>7118</v>
      </c>
      <c r="T666" t="s">
        <v>12902</v>
      </c>
      <c r="U666" t="s">
        <v>12902</v>
      </c>
      <c r="V666" t="s">
        <v>12902</v>
      </c>
      <c r="W666" t="s">
        <v>13557</v>
      </c>
      <c r="X666">
        <v>5</v>
      </c>
      <c r="Y666" t="s">
        <v>19953</v>
      </c>
      <c r="Z666" t="s">
        <v>26241</v>
      </c>
      <c r="AA666">
        <v>0.75521176186438399</v>
      </c>
      <c r="AB666" t="str">
        <f>HYPERLINK("Melting_Curves/meltCurve_F5H7C4_MSRB3.pdf", "Melting_Curves/meltCurve_F5H7C4_MSRB3.pdf")</f>
        <v>Melting_Curves/meltCurve_F5H7C4_MSRB3.pdf</v>
      </c>
    </row>
    <row r="667" spans="1:28" x14ac:dyDescent="0.25">
      <c r="A667" t="s">
        <v>671</v>
      </c>
      <c r="B667">
        <v>0.99673306730245903</v>
      </c>
      <c r="C667">
        <v>0.94970032177856201</v>
      </c>
      <c r="D667">
        <v>0.57384542845062703</v>
      </c>
      <c r="E667">
        <v>0.71726542127993198</v>
      </c>
      <c r="F667">
        <v>0.57798957790403305</v>
      </c>
      <c r="G667">
        <v>0.54476218476423</v>
      </c>
      <c r="H667">
        <v>0.48437598681587601</v>
      </c>
      <c r="I667">
        <v>0.50737424054811697</v>
      </c>
      <c r="J667">
        <v>0.51107165570588198</v>
      </c>
      <c r="K667">
        <v>0.37798213249940499</v>
      </c>
      <c r="L667">
        <v>586.362816922761</v>
      </c>
      <c r="M667">
        <v>12.591047624957501</v>
      </c>
      <c r="N667">
        <v>59.170655936783</v>
      </c>
      <c r="O667">
        <v>45.441946946012003</v>
      </c>
      <c r="P667">
        <v>-3.7013840666925799E-2</v>
      </c>
      <c r="Q667">
        <v>0.46576500254922099</v>
      </c>
      <c r="R667">
        <v>0.83327876811476598</v>
      </c>
      <c r="S667" t="s">
        <v>7119</v>
      </c>
      <c r="T667" t="s">
        <v>12902</v>
      </c>
      <c r="U667" t="s">
        <v>12902</v>
      </c>
      <c r="V667" t="s">
        <v>12902</v>
      </c>
      <c r="W667" t="s">
        <v>13558</v>
      </c>
      <c r="X667">
        <v>5</v>
      </c>
      <c r="Y667" t="s">
        <v>19954</v>
      </c>
      <c r="Z667" t="s">
        <v>26242</v>
      </c>
      <c r="AA667">
        <v>0.60394525111238384</v>
      </c>
      <c r="AB667" t="str">
        <f>HYPERLINK("Melting_Curves/meltCurve_F5H7F6_MGST1.pdf", "Melting_Curves/meltCurve_F5H7F6_MGST1.pdf")</f>
        <v>Melting_Curves/meltCurve_F5H7F6_MGST1.pdf</v>
      </c>
    </row>
    <row r="668" spans="1:28" x14ac:dyDescent="0.25">
      <c r="A668" t="s">
        <v>672</v>
      </c>
      <c r="B668">
        <v>0.99673306730245903</v>
      </c>
      <c r="C668">
        <v>0.95428148956537096</v>
      </c>
      <c r="D668">
        <v>0.70512272219027095</v>
      </c>
      <c r="E668">
        <v>0.41744650467051397</v>
      </c>
      <c r="F668">
        <v>0.20223063770215999</v>
      </c>
      <c r="G668">
        <v>0.22992497022104699</v>
      </c>
      <c r="H668">
        <v>9.5659551216610905E-2</v>
      </c>
      <c r="I668">
        <v>9.3242193882072597E-2</v>
      </c>
      <c r="J668">
        <v>0.146089327383463</v>
      </c>
      <c r="K668">
        <v>0.13617217548077301</v>
      </c>
      <c r="L668">
        <v>979.37597304334099</v>
      </c>
      <c r="M668">
        <v>20.4954338944742</v>
      </c>
      <c r="N668">
        <v>48.474409364931503</v>
      </c>
      <c r="O668">
        <v>47.337121330666299</v>
      </c>
      <c r="P668">
        <v>-9.4561568557488596E-2</v>
      </c>
      <c r="Q668">
        <v>0.12641177140170201</v>
      </c>
      <c r="R668">
        <v>0.99056748508666004</v>
      </c>
      <c r="S668" t="s">
        <v>7120</v>
      </c>
      <c r="T668" t="s">
        <v>12902</v>
      </c>
      <c r="U668" t="s">
        <v>12902</v>
      </c>
      <c r="V668" t="s">
        <v>12902</v>
      </c>
      <c r="W668" t="s">
        <v>13559</v>
      </c>
      <c r="X668">
        <v>4</v>
      </c>
      <c r="Y668" t="s">
        <v>19955</v>
      </c>
      <c r="Z668" t="s">
        <v>26243</v>
      </c>
      <c r="AA668">
        <v>0.36494794622060839</v>
      </c>
      <c r="AB668" t="str">
        <f>HYPERLINK("Melting_Curves/meltCurve_F5H7I4_GABPB1.pdf", "Melting_Curves/meltCurve_F5H7I4_GABPB1.pdf")</f>
        <v>Melting_Curves/meltCurve_F5H7I4_GABPB1.pdf</v>
      </c>
    </row>
    <row r="669" spans="1:28" x14ac:dyDescent="0.25">
      <c r="A669" t="s">
        <v>673</v>
      </c>
      <c r="B669">
        <v>0.99673306730245903</v>
      </c>
      <c r="C669">
        <v>0.93606880815632698</v>
      </c>
      <c r="D669">
        <v>0.90080372019644095</v>
      </c>
      <c r="E669">
        <v>0.79630212051017302</v>
      </c>
      <c r="F669">
        <v>0.64264414280200099</v>
      </c>
      <c r="G669">
        <v>0.48167641807141798</v>
      </c>
      <c r="H669">
        <v>0.318617803958335</v>
      </c>
      <c r="I669">
        <v>0.23805175058549199</v>
      </c>
      <c r="J669">
        <v>0.16917675288049899</v>
      </c>
      <c r="K669">
        <v>0.13960251177089</v>
      </c>
      <c r="L669">
        <v>561.88299607023498</v>
      </c>
      <c r="M669">
        <v>10.008382174194301</v>
      </c>
      <c r="N669">
        <v>56.295100452117197</v>
      </c>
      <c r="O669">
        <v>54.037984557312598</v>
      </c>
      <c r="P669">
        <v>-4.5699975826540701E-2</v>
      </c>
      <c r="Q669">
        <v>1.34917593307273E-2</v>
      </c>
      <c r="R669">
        <v>0.99920269485212998</v>
      </c>
      <c r="S669" t="s">
        <v>7121</v>
      </c>
      <c r="T669" t="s">
        <v>12902</v>
      </c>
      <c r="U669" t="s">
        <v>12902</v>
      </c>
      <c r="V669" t="s">
        <v>12902</v>
      </c>
      <c r="W669" t="s">
        <v>13560</v>
      </c>
      <c r="X669">
        <v>6</v>
      </c>
      <c r="Y669" t="s">
        <v>19956</v>
      </c>
      <c r="Z669" t="s">
        <v>26244</v>
      </c>
      <c r="AA669">
        <v>0.56438533719036765</v>
      </c>
      <c r="AB669" t="str">
        <f>HYPERLINK("Melting_Curves/meltCurve_F5H7N9_MFGE8.pdf", "Melting_Curves/meltCurve_F5H7N9_MFGE8.pdf")</f>
        <v>Melting_Curves/meltCurve_F5H7N9_MFGE8.pdf</v>
      </c>
    </row>
    <row r="670" spans="1:28" x14ac:dyDescent="0.25">
      <c r="A670" t="s">
        <v>674</v>
      </c>
      <c r="B670">
        <v>0.99673306730245903</v>
      </c>
      <c r="C670">
        <v>0.91314185478763199</v>
      </c>
      <c r="D670">
        <v>0.84591861559207804</v>
      </c>
      <c r="E670">
        <v>0.45267713493052802</v>
      </c>
      <c r="F670">
        <v>0.41966669814325203</v>
      </c>
      <c r="G670">
        <v>0.11807142146152801</v>
      </c>
      <c r="H670">
        <v>0</v>
      </c>
      <c r="I670">
        <v>0</v>
      </c>
      <c r="J670">
        <v>0</v>
      </c>
      <c r="K670">
        <v>0</v>
      </c>
      <c r="L670">
        <v>781.25657397975203</v>
      </c>
      <c r="M670">
        <v>15.5621119423772</v>
      </c>
      <c r="N670">
        <v>50.2024737398513</v>
      </c>
      <c r="O670">
        <v>49.395424232238902</v>
      </c>
      <c r="P670">
        <v>-7.8769811340768894E-2</v>
      </c>
      <c r="Q670">
        <v>0</v>
      </c>
      <c r="R670">
        <v>0.97842616611528399</v>
      </c>
      <c r="S670" t="s">
        <v>7122</v>
      </c>
      <c r="T670" t="s">
        <v>12902</v>
      </c>
      <c r="U670" t="s">
        <v>12902</v>
      </c>
      <c r="V670" t="s">
        <v>12902</v>
      </c>
      <c r="W670" t="s">
        <v>13561</v>
      </c>
      <c r="X670">
        <v>1</v>
      </c>
      <c r="Y670" t="s">
        <v>19957</v>
      </c>
      <c r="Z670" t="s">
        <v>26245</v>
      </c>
      <c r="AA670">
        <v>0.36228675643528091</v>
      </c>
      <c r="AB670" t="str">
        <f>HYPERLINK("Melting_Curves/meltCurve_F5H7T0_RPS6KC1.pdf", "Melting_Curves/meltCurve_F5H7T0_RPS6KC1.pdf")</f>
        <v>Melting_Curves/meltCurve_F5H7T0_RPS6KC1.pdf</v>
      </c>
    </row>
    <row r="671" spans="1:28" x14ac:dyDescent="0.25">
      <c r="A671" t="s">
        <v>675</v>
      </c>
      <c r="B671">
        <v>0.99673306730245903</v>
      </c>
      <c r="C671">
        <v>1.0015871777336001</v>
      </c>
      <c r="D671">
        <v>0.90372017489893197</v>
      </c>
      <c r="E671">
        <v>0.86156411282869205</v>
      </c>
      <c r="F671">
        <v>0.68141400966407595</v>
      </c>
      <c r="G671">
        <v>0.51359367233353703</v>
      </c>
      <c r="H671">
        <v>0.34360436309266901</v>
      </c>
      <c r="I671">
        <v>0.37445709417894801</v>
      </c>
      <c r="J671">
        <v>0.30138822734929899</v>
      </c>
      <c r="K671">
        <v>0.30841403303491999</v>
      </c>
      <c r="L671">
        <v>816.69657159101905</v>
      </c>
      <c r="M671">
        <v>15.157597944359001</v>
      </c>
      <c r="N671">
        <v>56.946541142594199</v>
      </c>
      <c r="O671">
        <v>52.968625718628203</v>
      </c>
      <c r="P671">
        <v>-5.1590539201130901E-2</v>
      </c>
      <c r="Q671">
        <v>0.278931925924644</v>
      </c>
      <c r="R671">
        <v>0.99204168792911995</v>
      </c>
      <c r="S671" t="s">
        <v>7123</v>
      </c>
      <c r="T671" t="s">
        <v>12902</v>
      </c>
      <c r="U671" t="s">
        <v>12902</v>
      </c>
      <c r="V671" t="s">
        <v>12902</v>
      </c>
      <c r="W671" t="s">
        <v>13562</v>
      </c>
      <c r="X671">
        <v>5</v>
      </c>
      <c r="Y671" t="s">
        <v>19958</v>
      </c>
      <c r="Z671" t="s">
        <v>26246</v>
      </c>
      <c r="AA671">
        <v>0.6272474160090783</v>
      </c>
      <c r="AB671" t="str">
        <f>HYPERLINK("Melting_Curves/meltCurve_F5H7Z9_REEP1.pdf", "Melting_Curves/meltCurve_F5H7Z9_REEP1.pdf")</f>
        <v>Melting_Curves/meltCurve_F5H7Z9_REEP1.pdf</v>
      </c>
    </row>
    <row r="672" spans="1:28" x14ac:dyDescent="0.25">
      <c r="A672" t="s">
        <v>676</v>
      </c>
      <c r="B672">
        <v>0.99673306730245903</v>
      </c>
      <c r="C672">
        <v>0.95942587266449997</v>
      </c>
      <c r="D672">
        <v>0.89502675372653395</v>
      </c>
      <c r="E672">
        <v>0.76566001501573999</v>
      </c>
      <c r="F672">
        <v>0.22968806983198201</v>
      </c>
      <c r="G672">
        <v>0.14135555770987401</v>
      </c>
      <c r="H672">
        <v>9.1326002597565098E-2</v>
      </c>
      <c r="I672">
        <v>8.6120284564826302E-2</v>
      </c>
      <c r="J672">
        <v>8.7524472228146397E-2</v>
      </c>
      <c r="K672">
        <v>9.6434648861703498E-2</v>
      </c>
      <c r="L672">
        <v>1804.32161702177</v>
      </c>
      <c r="M672">
        <v>35.451245426795097</v>
      </c>
      <c r="N672">
        <v>51.190561520267103</v>
      </c>
      <c r="O672">
        <v>50.734734668825197</v>
      </c>
      <c r="P672">
        <v>-0.158564759706149</v>
      </c>
      <c r="Q672">
        <v>9.2306884131780897E-2</v>
      </c>
      <c r="R672">
        <v>0.99298921253903405</v>
      </c>
      <c r="S672" t="s">
        <v>7124</v>
      </c>
      <c r="T672" t="s">
        <v>12902</v>
      </c>
      <c r="U672" t="s">
        <v>12902</v>
      </c>
      <c r="V672" t="s">
        <v>12902</v>
      </c>
      <c r="W672" t="s">
        <v>13563</v>
      </c>
      <c r="X672">
        <v>22</v>
      </c>
      <c r="Y672" t="s">
        <v>19959</v>
      </c>
      <c r="Z672" t="s">
        <v>26247</v>
      </c>
      <c r="AA672">
        <v>0.42604930917422562</v>
      </c>
      <c r="AB672" t="str">
        <f>HYPERLINK("Melting_Curves/meltCurve_F5H801_OGDH.pdf", "Melting_Curves/meltCurve_F5H801_OGDH.pdf")</f>
        <v>Melting_Curves/meltCurve_F5H801_OGDH.pdf</v>
      </c>
    </row>
    <row r="673" spans="1:28" x14ac:dyDescent="0.25">
      <c r="A673" t="s">
        <v>677</v>
      </c>
      <c r="B673">
        <v>0.99673306730245903</v>
      </c>
      <c r="C673">
        <v>0.96659287497634006</v>
      </c>
      <c r="D673">
        <v>1.01389852235684</v>
      </c>
      <c r="E673">
        <v>0.87996834646198896</v>
      </c>
      <c r="F673">
        <v>0.76743702213878395</v>
      </c>
      <c r="G673">
        <v>0.330861763364099</v>
      </c>
      <c r="H673">
        <v>0.13986296039636401</v>
      </c>
      <c r="I673">
        <v>0.13910936961165801</v>
      </c>
      <c r="J673">
        <v>0.143534147676072</v>
      </c>
      <c r="K673">
        <v>0.115715553243893</v>
      </c>
      <c r="L673">
        <v>1616.38770503517</v>
      </c>
      <c r="M673">
        <v>29.5329894158222</v>
      </c>
      <c r="N673">
        <v>55.238526954991201</v>
      </c>
      <c r="O673">
        <v>54.482495168979298</v>
      </c>
      <c r="P673">
        <v>-0.11943073101086001</v>
      </c>
      <c r="Q673">
        <v>0.11870228774305799</v>
      </c>
      <c r="R673">
        <v>0.99323287385161896</v>
      </c>
      <c r="S673" t="s">
        <v>7125</v>
      </c>
      <c r="T673" t="s">
        <v>12902</v>
      </c>
      <c r="U673" t="s">
        <v>12902</v>
      </c>
      <c r="V673" t="s">
        <v>12902</v>
      </c>
      <c r="W673" t="s">
        <v>13564</v>
      </c>
      <c r="X673">
        <v>8</v>
      </c>
      <c r="Y673" t="s">
        <v>19960</v>
      </c>
      <c r="Z673" t="s">
        <v>26248</v>
      </c>
      <c r="AA673">
        <v>0.55747526364046529</v>
      </c>
      <c r="AB673" t="str">
        <f>HYPERLINK("Melting_Curves/meltCurve_F5H860_INPP4A.pdf", "Melting_Curves/meltCurve_F5H860_INPP4A.pdf")</f>
        <v>Melting_Curves/meltCurve_F5H860_INPP4A.pdf</v>
      </c>
    </row>
    <row r="674" spans="1:28" x14ac:dyDescent="0.25">
      <c r="A674" t="s">
        <v>678</v>
      </c>
      <c r="B674">
        <v>0.99673306730245903</v>
      </c>
      <c r="C674">
        <v>0.89130073675483101</v>
      </c>
      <c r="D674">
        <v>0.781752103065249</v>
      </c>
      <c r="E674">
        <v>1.06289888614025</v>
      </c>
      <c r="F674">
        <v>0.95654449858339996</v>
      </c>
      <c r="G674">
        <v>0.78972516490367795</v>
      </c>
      <c r="H674">
        <v>0.510258914450053</v>
      </c>
      <c r="I674">
        <v>0.63861422598303297</v>
      </c>
      <c r="J674">
        <v>0.871702611529524</v>
      </c>
      <c r="K674">
        <v>0.99158292874075904</v>
      </c>
      <c r="L674">
        <v>458.15669398047601</v>
      </c>
      <c r="M674">
        <v>9.3761525990963204</v>
      </c>
      <c r="O674">
        <v>46.795855982783003</v>
      </c>
      <c r="P674">
        <v>-1.1703048265825199E-2</v>
      </c>
      <c r="Q674">
        <v>0.766508125579209</v>
      </c>
      <c r="R674">
        <v>0.14417750835017801</v>
      </c>
      <c r="S674" t="s">
        <v>7126</v>
      </c>
      <c r="T674" t="s">
        <v>12902</v>
      </c>
      <c r="U674" t="s">
        <v>12902</v>
      </c>
      <c r="V674" t="s">
        <v>12902</v>
      </c>
      <c r="W674" t="s">
        <v>13565</v>
      </c>
      <c r="X674">
        <v>1</v>
      </c>
      <c r="Y674" t="s">
        <v>19961</v>
      </c>
      <c r="Z674" t="s">
        <v>26249</v>
      </c>
      <c r="AA674">
        <v>0.84817610424141021</v>
      </c>
      <c r="AB674" t="str">
        <f>HYPERLINK("Melting_Curves/meltCurve_F5H872_MED21.pdf", "Melting_Curves/meltCurve_F5H872_MED21.pdf")</f>
        <v>Melting_Curves/meltCurve_F5H872_MED21.pdf</v>
      </c>
    </row>
    <row r="675" spans="1:28" x14ac:dyDescent="0.25">
      <c r="A675" t="s">
        <v>679</v>
      </c>
      <c r="B675">
        <v>0.99673306730245903</v>
      </c>
      <c r="C675">
        <v>0.99150462556825902</v>
      </c>
      <c r="D675">
        <v>0.86467658898016198</v>
      </c>
      <c r="E675">
        <v>0.96001237210511003</v>
      </c>
      <c r="F675">
        <v>0.169336056025052</v>
      </c>
      <c r="G675">
        <v>0.12997175428663299</v>
      </c>
      <c r="H675">
        <v>6.1405128587242598E-2</v>
      </c>
      <c r="I675">
        <v>5.6432458712681301E-2</v>
      </c>
      <c r="J675">
        <v>2.8316536051441799E-2</v>
      </c>
      <c r="K675">
        <v>2.07463258808223E-2</v>
      </c>
      <c r="L675">
        <v>3682.7110009735502</v>
      </c>
      <c r="M675">
        <v>71.216008052281794</v>
      </c>
      <c r="N675">
        <v>51.802597300537798</v>
      </c>
      <c r="O675">
        <v>51.671126068219102</v>
      </c>
      <c r="P675">
        <v>-0.324355978365647</v>
      </c>
      <c r="Q675">
        <v>5.8648133857651899E-2</v>
      </c>
      <c r="R675">
        <v>0.986296002288784</v>
      </c>
      <c r="S675" t="s">
        <v>7127</v>
      </c>
      <c r="T675" t="s">
        <v>12902</v>
      </c>
      <c r="U675" t="s">
        <v>12902</v>
      </c>
      <c r="V675" t="s">
        <v>12902</v>
      </c>
      <c r="W675" t="s">
        <v>13566</v>
      </c>
      <c r="X675">
        <v>5</v>
      </c>
      <c r="Y675" t="s">
        <v>19962</v>
      </c>
      <c r="Z675" t="s">
        <v>26250</v>
      </c>
      <c r="AA675">
        <v>0.42720240242740309</v>
      </c>
      <c r="AB675" t="str">
        <f>HYPERLINK("Melting_Curves/meltCurve_F5H874_ASCC1.pdf", "Melting_Curves/meltCurve_F5H874_ASCC1.pdf")</f>
        <v>Melting_Curves/meltCurve_F5H874_ASCC1.pdf</v>
      </c>
    </row>
    <row r="676" spans="1:28" x14ac:dyDescent="0.25">
      <c r="A676" t="s">
        <v>680</v>
      </c>
      <c r="B676">
        <v>0.99673306730245903</v>
      </c>
      <c r="C676">
        <v>0.99134492967445198</v>
      </c>
      <c r="D676">
        <v>0.94451977950364896</v>
      </c>
      <c r="E676">
        <v>0.82749828633315403</v>
      </c>
      <c r="F676">
        <v>0.63255691849177398</v>
      </c>
      <c r="G676">
        <v>0.49370076218097397</v>
      </c>
      <c r="H676">
        <v>0.283967257803379</v>
      </c>
      <c r="I676">
        <v>0.23120744252366501</v>
      </c>
      <c r="J676">
        <v>0.19645604248264001</v>
      </c>
      <c r="K676">
        <v>0.14071322779839199</v>
      </c>
      <c r="L676">
        <v>715.37474278797299</v>
      </c>
      <c r="M676">
        <v>12.9758166855535</v>
      </c>
      <c r="N676">
        <v>56.0853033667304</v>
      </c>
      <c r="O676">
        <v>53.871236717597903</v>
      </c>
      <c r="P676">
        <v>-5.4263777824371799E-2</v>
      </c>
      <c r="Q676">
        <v>9.9020365383269499E-2</v>
      </c>
      <c r="R676">
        <v>0.99775554599079097</v>
      </c>
      <c r="S676" t="s">
        <v>7128</v>
      </c>
      <c r="T676" t="s">
        <v>12902</v>
      </c>
      <c r="U676" t="s">
        <v>12902</v>
      </c>
      <c r="V676" t="s">
        <v>12902</v>
      </c>
      <c r="W676" t="s">
        <v>13567</v>
      </c>
      <c r="X676">
        <v>27</v>
      </c>
      <c r="Y676" t="s">
        <v>19963</v>
      </c>
      <c r="Z676" t="s">
        <v>26251</v>
      </c>
      <c r="AA676">
        <v>0.57310269572912942</v>
      </c>
      <c r="AB676" t="str">
        <f>HYPERLINK("Melting_Curves/meltCurve_F5H877_SPINT1.pdf", "Melting_Curves/meltCurve_F5H877_SPINT1.pdf")</f>
        <v>Melting_Curves/meltCurve_F5H877_SPINT1.pdf</v>
      </c>
    </row>
    <row r="677" spans="1:28" x14ac:dyDescent="0.25">
      <c r="A677" t="s">
        <v>681</v>
      </c>
      <c r="B677">
        <v>0.99673306730245903</v>
      </c>
      <c r="C677">
        <v>0.98904671801657496</v>
      </c>
      <c r="D677">
        <v>0.88527543691954702</v>
      </c>
      <c r="E677">
        <v>0.99215366217661205</v>
      </c>
      <c r="F677">
        <v>0.60752877876845002</v>
      </c>
      <c r="G677">
        <v>0.17961996580843301</v>
      </c>
      <c r="H677">
        <v>8.4140486430465802E-2</v>
      </c>
      <c r="I677">
        <v>7.8530970013858503E-2</v>
      </c>
      <c r="J677">
        <v>8.2258576540048506E-2</v>
      </c>
      <c r="K677">
        <v>7.2522885230171197E-2</v>
      </c>
      <c r="L677">
        <v>2120.2620929643499</v>
      </c>
      <c r="M677">
        <v>39.5253942361798</v>
      </c>
      <c r="N677">
        <v>53.875083530424597</v>
      </c>
      <c r="O677">
        <v>53.506270086011199</v>
      </c>
      <c r="P677">
        <v>-0.17022121585592501</v>
      </c>
      <c r="Q677">
        <v>7.8275342678407897E-2</v>
      </c>
      <c r="R677">
        <v>0.99179308946250899</v>
      </c>
      <c r="S677" t="s">
        <v>7129</v>
      </c>
      <c r="T677" t="s">
        <v>12902</v>
      </c>
      <c r="U677" t="s">
        <v>12902</v>
      </c>
      <c r="V677" t="s">
        <v>12902</v>
      </c>
      <c r="W677" t="s">
        <v>13568</v>
      </c>
      <c r="X677">
        <v>46</v>
      </c>
      <c r="Y677" t="s">
        <v>19964</v>
      </c>
      <c r="Z677" t="s">
        <v>26252</v>
      </c>
      <c r="AA677">
        <v>0.50094071089830339</v>
      </c>
      <c r="AB677" t="str">
        <f>HYPERLINK("Melting_Curves/meltCurve_F5H897_TRAP1.pdf", "Melting_Curves/meltCurve_F5H897_TRAP1.pdf")</f>
        <v>Melting_Curves/meltCurve_F5H897_TRAP1.pdf</v>
      </c>
    </row>
    <row r="678" spans="1:28" x14ac:dyDescent="0.25">
      <c r="A678" t="s">
        <v>682</v>
      </c>
      <c r="B678">
        <v>0.99673306730245903</v>
      </c>
      <c r="C678">
        <v>0.906381635879556</v>
      </c>
      <c r="D678">
        <v>0.76431364472646202</v>
      </c>
      <c r="E678">
        <v>0.36351820652389799</v>
      </c>
      <c r="F678">
        <v>0.211909935091524</v>
      </c>
      <c r="G678">
        <v>0.12322207535344901</v>
      </c>
      <c r="H678">
        <v>9.6394522633374294E-2</v>
      </c>
      <c r="I678">
        <v>0.108073098683173</v>
      </c>
      <c r="J678">
        <v>0.118873698033838</v>
      </c>
      <c r="K678">
        <v>0.13534201684532601</v>
      </c>
      <c r="L678">
        <v>1092.7016528266699</v>
      </c>
      <c r="M678">
        <v>22.860391039944499</v>
      </c>
      <c r="N678">
        <v>48.333698898947397</v>
      </c>
      <c r="O678">
        <v>47.437645589291797</v>
      </c>
      <c r="P678">
        <v>-0.10701564873228001</v>
      </c>
      <c r="Q678">
        <v>0.111743396387396</v>
      </c>
      <c r="R678">
        <v>0.996963821743997</v>
      </c>
      <c r="S678" t="s">
        <v>7130</v>
      </c>
      <c r="T678" t="s">
        <v>12902</v>
      </c>
      <c r="U678" t="s">
        <v>12902</v>
      </c>
      <c r="V678" t="s">
        <v>12902</v>
      </c>
      <c r="W678" t="s">
        <v>13569</v>
      </c>
      <c r="X678">
        <v>10</v>
      </c>
      <c r="Y678" t="s">
        <v>19965</v>
      </c>
      <c r="Z678" t="s">
        <v>26253</v>
      </c>
      <c r="AA678">
        <v>0.35217567367095071</v>
      </c>
      <c r="AB678" t="str">
        <f>HYPERLINK("Melting_Curves/meltCurve_F5H8D7_XRCC1.pdf", "Melting_Curves/meltCurve_F5H8D7_XRCC1.pdf")</f>
        <v>Melting_Curves/meltCurve_F5H8D7_XRCC1.pdf</v>
      </c>
    </row>
    <row r="679" spans="1:28" x14ac:dyDescent="0.25">
      <c r="A679" t="s">
        <v>683</v>
      </c>
      <c r="B679">
        <v>0.99673306730245903</v>
      </c>
      <c r="C679">
        <v>0.99665335447622805</v>
      </c>
      <c r="D679">
        <v>0.98096056276883004</v>
      </c>
      <c r="E679">
        <v>1.01117068737466</v>
      </c>
      <c r="F679">
        <v>0.81569753922717902</v>
      </c>
      <c r="G679">
        <v>0.44139083475576701</v>
      </c>
      <c r="H679">
        <v>0.12549162453277099</v>
      </c>
      <c r="I679">
        <v>9.3107667978326203E-2</v>
      </c>
      <c r="J679">
        <v>6.5288700709507694E-2</v>
      </c>
      <c r="K679">
        <v>4.7745922117647201E-2</v>
      </c>
      <c r="L679">
        <v>1618.85055255824</v>
      </c>
      <c r="M679">
        <v>28.9079186176516</v>
      </c>
      <c r="N679">
        <v>56.219616415274302</v>
      </c>
      <c r="O679">
        <v>55.734292919493797</v>
      </c>
      <c r="P679">
        <v>-0.122753452033782</v>
      </c>
      <c r="Q679">
        <v>5.3335115491427103E-2</v>
      </c>
      <c r="R679">
        <v>0.99869375161548701</v>
      </c>
      <c r="S679" t="s">
        <v>7131</v>
      </c>
      <c r="T679" t="s">
        <v>12902</v>
      </c>
      <c r="U679" t="s">
        <v>12902</v>
      </c>
      <c r="V679" t="s">
        <v>12902</v>
      </c>
      <c r="W679" t="s">
        <v>13570</v>
      </c>
      <c r="X679">
        <v>11</v>
      </c>
      <c r="Y679" t="s">
        <v>19966</v>
      </c>
      <c r="Z679" t="s">
        <v>26254</v>
      </c>
      <c r="AA679">
        <v>0.56498393162854621</v>
      </c>
      <c r="AB679" t="str">
        <f>HYPERLINK("Melting_Curves/meltCurve_F5H8H2_MVK.pdf", "Melting_Curves/meltCurve_F5H8H2_MVK.pdf")</f>
        <v>Melting_Curves/meltCurve_F5H8H2_MVK.pdf</v>
      </c>
    </row>
    <row r="680" spans="1:28" x14ac:dyDescent="0.25">
      <c r="A680" t="s">
        <v>684</v>
      </c>
      <c r="B680">
        <v>0.99673306730245903</v>
      </c>
      <c r="C680">
        <v>0.96432835689107599</v>
      </c>
      <c r="D680">
        <v>0.95324667140081998</v>
      </c>
      <c r="E680">
        <v>0.98903759779084199</v>
      </c>
      <c r="F680">
        <v>0.67551908029027896</v>
      </c>
      <c r="G680">
        <v>0.50294785769526995</v>
      </c>
      <c r="H680">
        <v>0.400656514010856</v>
      </c>
      <c r="I680">
        <v>0.53511878509205602</v>
      </c>
      <c r="J680">
        <v>0.75177205346347398</v>
      </c>
      <c r="K680">
        <v>0.72170819195779801</v>
      </c>
      <c r="L680">
        <v>13233.564644321201</v>
      </c>
      <c r="M680">
        <v>250</v>
      </c>
      <c r="O680">
        <v>52.930873402552599</v>
      </c>
      <c r="P680">
        <v>-0.49304794953616798</v>
      </c>
      <c r="Q680">
        <v>0.58244068078654299</v>
      </c>
      <c r="R680">
        <v>0.78845248076738095</v>
      </c>
      <c r="S680" t="s">
        <v>7132</v>
      </c>
      <c r="T680" t="s">
        <v>12902</v>
      </c>
      <c r="U680" t="s">
        <v>12902</v>
      </c>
      <c r="V680" t="s">
        <v>12902</v>
      </c>
      <c r="W680" t="s">
        <v>13571</v>
      </c>
      <c r="X680">
        <v>5</v>
      </c>
      <c r="Y680" t="s">
        <v>19967</v>
      </c>
      <c r="Z680" t="s">
        <v>26255</v>
      </c>
      <c r="AA680">
        <v>0.7625068117482745</v>
      </c>
      <c r="AB680" t="str">
        <f>HYPERLINK("Melting_Curves/meltCurve_F5H8L0_RABGAP1L.pdf", "Melting_Curves/meltCurve_F5H8L0_RABGAP1L.pdf")</f>
        <v>Melting_Curves/meltCurve_F5H8L0_RABGAP1L.pdf</v>
      </c>
    </row>
    <row r="681" spans="1:28" x14ac:dyDescent="0.25">
      <c r="A681" t="s">
        <v>685</v>
      </c>
      <c r="B681">
        <v>0.99673306730245903</v>
      </c>
      <c r="C681">
        <v>0.96749026639723601</v>
      </c>
      <c r="D681">
        <v>0.84354451659492802</v>
      </c>
      <c r="E681">
        <v>0.53378933288836705</v>
      </c>
      <c r="F681">
        <v>0.93695711401011095</v>
      </c>
      <c r="G681">
        <v>0.52241422961648198</v>
      </c>
      <c r="H681">
        <v>0.24389105663348901</v>
      </c>
      <c r="I681">
        <v>0.31307365524631697</v>
      </c>
      <c r="J681">
        <v>0.28064163741104697</v>
      </c>
      <c r="K681">
        <v>0.16544126100282699</v>
      </c>
      <c r="L681">
        <v>455.45299332270599</v>
      </c>
      <c r="M681">
        <v>7.9614023586954001</v>
      </c>
      <c r="N681">
        <v>57.207658150637798</v>
      </c>
      <c r="O681">
        <v>53.936382355407602</v>
      </c>
      <c r="P681">
        <v>-3.6944321973493503E-2</v>
      </c>
      <c r="Q681">
        <v>0</v>
      </c>
      <c r="R681">
        <v>0.828006660817594</v>
      </c>
      <c r="S681" t="s">
        <v>7133</v>
      </c>
      <c r="T681" t="s">
        <v>12902</v>
      </c>
      <c r="U681" t="s">
        <v>12902</v>
      </c>
      <c r="V681" t="s">
        <v>12902</v>
      </c>
      <c r="W681" t="s">
        <v>13572</v>
      </c>
      <c r="X681">
        <v>3</v>
      </c>
      <c r="Y681" t="s">
        <v>19968</v>
      </c>
      <c r="Z681" t="s">
        <v>26256</v>
      </c>
      <c r="AA681">
        <v>0.58374966527493721</v>
      </c>
      <c r="AB681" t="str">
        <f>HYPERLINK("Melting_Curves/meltCurve_F5H8L4_SIDT2.pdf", "Melting_Curves/meltCurve_F5H8L4_SIDT2.pdf")</f>
        <v>Melting_Curves/meltCurve_F5H8L4_SIDT2.pdf</v>
      </c>
    </row>
    <row r="682" spans="1:28" x14ac:dyDescent="0.25">
      <c r="A682" t="s">
        <v>686</v>
      </c>
      <c r="B682">
        <v>0.99673306730245903</v>
      </c>
      <c r="C682">
        <v>1.0504370981612701</v>
      </c>
      <c r="D682">
        <v>0.95835776004398199</v>
      </c>
      <c r="E682">
        <v>0.932663009694498</v>
      </c>
      <c r="F682">
        <v>0.93732386895889697</v>
      </c>
      <c r="G682">
        <v>0.53859347678043701</v>
      </c>
      <c r="H682">
        <v>0.26551977944704303</v>
      </c>
      <c r="I682">
        <v>0.35490903162730097</v>
      </c>
      <c r="J682">
        <v>0.36739366043481397</v>
      </c>
      <c r="K682">
        <v>0.42242449772417001</v>
      </c>
      <c r="L682">
        <v>2915.0801071493502</v>
      </c>
      <c r="M682">
        <v>52.313710997623801</v>
      </c>
      <c r="N682">
        <v>57.053388021286999</v>
      </c>
      <c r="O682">
        <v>55.641813957523397</v>
      </c>
      <c r="P682">
        <v>-0.152226395363351</v>
      </c>
      <c r="Q682">
        <v>0.35235741524242298</v>
      </c>
      <c r="R682">
        <v>0.97450067168167598</v>
      </c>
      <c r="S682" t="s">
        <v>7134</v>
      </c>
      <c r="T682" t="s">
        <v>12902</v>
      </c>
      <c r="U682" t="s">
        <v>12902</v>
      </c>
      <c r="V682" t="s">
        <v>12902</v>
      </c>
      <c r="W682" t="s">
        <v>13573</v>
      </c>
      <c r="X682">
        <v>6</v>
      </c>
      <c r="Y682" t="s">
        <v>19969</v>
      </c>
      <c r="Z682" t="s">
        <v>26257</v>
      </c>
      <c r="AA682">
        <v>0.69324080333482885</v>
      </c>
      <c r="AB682" t="str">
        <f>HYPERLINK("Melting_Curves/meltCurve_F6PQP6_EPN2.pdf", "Melting_Curves/meltCurve_F6PQP6_EPN2.pdf")</f>
        <v>Melting_Curves/meltCurve_F6PQP6_EPN2.pdf</v>
      </c>
    </row>
    <row r="683" spans="1:28" x14ac:dyDescent="0.25">
      <c r="A683" t="s">
        <v>687</v>
      </c>
      <c r="B683">
        <v>0.99673306730245903</v>
      </c>
      <c r="C683">
        <v>1.0586939242948199</v>
      </c>
      <c r="D683">
        <v>0.87783714927978296</v>
      </c>
      <c r="E683">
        <v>0.96407052941416904</v>
      </c>
      <c r="F683">
        <v>0.77706964468028505</v>
      </c>
      <c r="G683">
        <v>0.66336965552833804</v>
      </c>
      <c r="H683">
        <v>0.63336433744558995</v>
      </c>
      <c r="I683">
        <v>1.1475762130259199</v>
      </c>
      <c r="J683">
        <v>1.6684570808028401</v>
      </c>
      <c r="K683">
        <v>1.68742198289842</v>
      </c>
      <c r="L683">
        <v>15000</v>
      </c>
      <c r="M683">
        <v>233.50484777376599</v>
      </c>
      <c r="O683">
        <v>64.233775319696605</v>
      </c>
      <c r="P683">
        <v>0.45440428187937099</v>
      </c>
      <c r="Q683">
        <v>1.5</v>
      </c>
      <c r="R683">
        <v>0.69198961517113</v>
      </c>
      <c r="S683" t="s">
        <v>7135</v>
      </c>
      <c r="T683" t="s">
        <v>12902</v>
      </c>
      <c r="U683" t="s">
        <v>12902</v>
      </c>
      <c r="V683" t="s">
        <v>12902</v>
      </c>
      <c r="W683" t="s">
        <v>13574</v>
      </c>
      <c r="X683">
        <v>2</v>
      </c>
      <c r="Y683" t="s">
        <v>19970</v>
      </c>
      <c r="Z683" t="s">
        <v>26258</v>
      </c>
      <c r="AA683">
        <v>1.0959604669623619</v>
      </c>
      <c r="AB683" t="str">
        <f>HYPERLINK("Melting_Curves/meltCurve_F6RY50_SIPA1.pdf", "Melting_Curves/meltCurve_F6RY50_SIPA1.pdf")</f>
        <v>Melting_Curves/meltCurve_F6RY50_SIPA1.pdf</v>
      </c>
    </row>
    <row r="684" spans="1:28" x14ac:dyDescent="0.25">
      <c r="A684" t="s">
        <v>688</v>
      </c>
      <c r="B684">
        <v>0.99673306730245903</v>
      </c>
      <c r="C684">
        <v>0.69316631848516597</v>
      </c>
      <c r="D684">
        <v>0.91596762270770005</v>
      </c>
      <c r="E684">
        <v>0.52139743815156503</v>
      </c>
      <c r="F684">
        <v>0.38604786522330597</v>
      </c>
      <c r="G684">
        <v>0.28099615503273601</v>
      </c>
      <c r="H684">
        <v>0.29069542518167302</v>
      </c>
      <c r="I684">
        <v>0.30154358433843698</v>
      </c>
      <c r="J684">
        <v>0.36575940044028499</v>
      </c>
      <c r="K684">
        <v>0.27907105740914601</v>
      </c>
      <c r="L684">
        <v>731.54966018714197</v>
      </c>
      <c r="M684">
        <v>15.2689546234923</v>
      </c>
      <c r="N684">
        <v>50.628940597495301</v>
      </c>
      <c r="O684">
        <v>47.111654563046898</v>
      </c>
      <c r="P684">
        <v>-5.8366299772238797E-2</v>
      </c>
      <c r="Q684">
        <v>0.279721552839028</v>
      </c>
      <c r="R684">
        <v>0.87931877570162598</v>
      </c>
      <c r="S684" t="s">
        <v>7136</v>
      </c>
      <c r="T684" t="s">
        <v>12902</v>
      </c>
      <c r="U684" t="s">
        <v>12902</v>
      </c>
      <c r="V684" t="s">
        <v>12902</v>
      </c>
      <c r="W684" t="s">
        <v>13575</v>
      </c>
      <c r="X684">
        <v>1</v>
      </c>
      <c r="Y684" t="s">
        <v>19971</v>
      </c>
      <c r="Z684" t="s">
        <v>26259</v>
      </c>
      <c r="AA684">
        <v>0.48762317727344912</v>
      </c>
      <c r="AB684" t="str">
        <f>HYPERLINK("Melting_Curves/meltCurve_F6TDL0_PIK3R3.pdf", "Melting_Curves/meltCurve_F6TDL0_PIK3R3.pdf")</f>
        <v>Melting_Curves/meltCurve_F6TDL0_PIK3R3.pdf</v>
      </c>
    </row>
    <row r="685" spans="1:28" x14ac:dyDescent="0.25">
      <c r="A685" t="s">
        <v>689</v>
      </c>
      <c r="B685">
        <v>0.99673306730245903</v>
      </c>
      <c r="C685">
        <v>0.99179233795050903</v>
      </c>
      <c r="D685">
        <v>0.98217886208399696</v>
      </c>
      <c r="E685">
        <v>0.96230107867375003</v>
      </c>
      <c r="F685">
        <v>0.71178323616383399</v>
      </c>
      <c r="G685">
        <v>0.414446676331089</v>
      </c>
      <c r="H685">
        <v>0.25538345712909799</v>
      </c>
      <c r="I685">
        <v>0.48161455275072801</v>
      </c>
      <c r="J685">
        <v>0.57968870364285296</v>
      </c>
      <c r="K685">
        <v>0.60049130098902803</v>
      </c>
      <c r="L685">
        <v>13291.456828337499</v>
      </c>
      <c r="M685">
        <v>250</v>
      </c>
      <c r="N685">
        <v>53.745816292307602</v>
      </c>
      <c r="O685">
        <v>53.162420448466101</v>
      </c>
      <c r="P685">
        <v>-0.62741103131636</v>
      </c>
      <c r="Q685">
        <v>0.466324929685762</v>
      </c>
      <c r="R685">
        <v>0.88099462859055899</v>
      </c>
      <c r="S685" t="s">
        <v>7137</v>
      </c>
      <c r="T685" t="s">
        <v>12902</v>
      </c>
      <c r="U685" t="s">
        <v>12902</v>
      </c>
      <c r="V685" t="s">
        <v>12902</v>
      </c>
      <c r="W685" t="s">
        <v>13576</v>
      </c>
      <c r="X685">
        <v>9</v>
      </c>
      <c r="Y685" t="s">
        <v>19972</v>
      </c>
      <c r="Z685" t="s">
        <v>26260</v>
      </c>
      <c r="AA685">
        <v>0.70058385158456749</v>
      </c>
      <c r="AB685" t="str">
        <f>HYPERLINK("Melting_Curves/meltCurve_F6U1T9_PPP3R1.pdf", "Melting_Curves/meltCurve_F6U1T9_PPP3R1.pdf")</f>
        <v>Melting_Curves/meltCurve_F6U1T9_PPP3R1.pdf</v>
      </c>
    </row>
    <row r="686" spans="1:28" x14ac:dyDescent="0.25">
      <c r="A686" t="s">
        <v>690</v>
      </c>
      <c r="B686">
        <v>0.99673306730245903</v>
      </c>
      <c r="C686">
        <v>0.97165452251306395</v>
      </c>
      <c r="D686">
        <v>1.02930235614516</v>
      </c>
      <c r="E686">
        <v>0.94348110467170399</v>
      </c>
      <c r="F686">
        <v>0.97672495862171704</v>
      </c>
      <c r="G686">
        <v>0.80447070320164504</v>
      </c>
      <c r="H686">
        <v>0.75366473681382495</v>
      </c>
      <c r="I686">
        <v>0.78065879587053999</v>
      </c>
      <c r="J686">
        <v>1.0365016085947001</v>
      </c>
      <c r="K686">
        <v>0.87790706392567897</v>
      </c>
      <c r="L686">
        <v>13389.884541061299</v>
      </c>
      <c r="M686">
        <v>250</v>
      </c>
      <c r="O686">
        <v>53.556120073243498</v>
      </c>
      <c r="P686">
        <v>-0.174302501456851</v>
      </c>
      <c r="Q686">
        <v>0.85064057506565605</v>
      </c>
      <c r="R686">
        <v>0.433910075904753</v>
      </c>
      <c r="S686" t="s">
        <v>7138</v>
      </c>
      <c r="T686" t="s">
        <v>12902</v>
      </c>
      <c r="U686" t="s">
        <v>12902</v>
      </c>
      <c r="V686" t="s">
        <v>12902</v>
      </c>
      <c r="W686" t="s">
        <v>13577</v>
      </c>
      <c r="X686">
        <v>5</v>
      </c>
      <c r="Y686" t="s">
        <v>19973</v>
      </c>
      <c r="Z686" t="s">
        <v>26261</v>
      </c>
      <c r="AA686">
        <v>0.91816277503034527</v>
      </c>
      <c r="AB686" t="str">
        <f>HYPERLINK("Melting_Curves/meltCurve_F6UJY9_HYI.pdf", "Melting_Curves/meltCurve_F6UJY9_HYI.pdf")</f>
        <v>Melting_Curves/meltCurve_F6UJY9_HYI.pdf</v>
      </c>
    </row>
    <row r="687" spans="1:28" x14ac:dyDescent="0.25">
      <c r="A687" t="s">
        <v>691</v>
      </c>
      <c r="B687">
        <v>0.99673306730245903</v>
      </c>
      <c r="C687">
        <v>1.00382538042431</v>
      </c>
      <c r="D687">
        <v>0.95761252546246201</v>
      </c>
      <c r="E687">
        <v>0.87269984017895397</v>
      </c>
      <c r="F687">
        <v>0.74215709286869902</v>
      </c>
      <c r="G687">
        <v>0.63951587448437397</v>
      </c>
      <c r="H687">
        <v>0.54787285424519905</v>
      </c>
      <c r="I687">
        <v>0.776268609216337</v>
      </c>
      <c r="J687">
        <v>1.1583968070398301</v>
      </c>
      <c r="K687">
        <v>1.0193050120979401</v>
      </c>
      <c r="L687">
        <v>1952.6209309032599</v>
      </c>
      <c r="M687">
        <v>40.791903419098702</v>
      </c>
      <c r="O687">
        <v>47.753245669837703</v>
      </c>
      <c r="P687">
        <v>-3.92731108443896E-2</v>
      </c>
      <c r="Q687">
        <v>0.81609929738645404</v>
      </c>
      <c r="R687">
        <v>0.18002724473712001</v>
      </c>
      <c r="S687" t="s">
        <v>7139</v>
      </c>
      <c r="T687" t="s">
        <v>12902</v>
      </c>
      <c r="U687" t="s">
        <v>12902</v>
      </c>
      <c r="V687" t="s">
        <v>12902</v>
      </c>
      <c r="W687" t="s">
        <v>13578</v>
      </c>
      <c r="X687">
        <v>11</v>
      </c>
      <c r="Y687" t="s">
        <v>19974</v>
      </c>
      <c r="Z687" t="s">
        <v>26262</v>
      </c>
      <c r="AA687">
        <v>0.86491603115763782</v>
      </c>
      <c r="AB687" t="str">
        <f>HYPERLINK("Melting_Curves/meltCurve_F6V707_TPD52L1.pdf", "Melting_Curves/meltCurve_F6V707_TPD52L1.pdf")</f>
        <v>Melting_Curves/meltCurve_F6V707_TPD52L1.pdf</v>
      </c>
    </row>
    <row r="688" spans="1:28" x14ac:dyDescent="0.25">
      <c r="A688" t="s">
        <v>692</v>
      </c>
      <c r="B688">
        <v>0.99673306730245903</v>
      </c>
      <c r="C688">
        <v>0.97919300781073704</v>
      </c>
      <c r="D688">
        <v>0.970712399745563</v>
      </c>
      <c r="E688">
        <v>1.0793004309960601</v>
      </c>
      <c r="F688">
        <v>1.4345756705854</v>
      </c>
      <c r="G688">
        <v>1.2255429534922799</v>
      </c>
      <c r="H688">
        <v>1.32943517654926</v>
      </c>
      <c r="I688">
        <v>1.2229507348062301</v>
      </c>
      <c r="J688">
        <v>0.48984468806092102</v>
      </c>
      <c r="K688">
        <v>0.23834303042585001</v>
      </c>
      <c r="L688">
        <v>15000</v>
      </c>
      <c r="M688">
        <v>224.25375577399501</v>
      </c>
      <c r="N688">
        <v>67.082154462745507</v>
      </c>
      <c r="O688">
        <v>66.883192305076903</v>
      </c>
      <c r="P688">
        <v>-0.63848818824307396</v>
      </c>
      <c r="Q688">
        <v>0.23828917754825801</v>
      </c>
      <c r="R688">
        <v>0.67445998743046698</v>
      </c>
      <c r="S688" t="s">
        <v>7140</v>
      </c>
      <c r="T688" t="s">
        <v>12902</v>
      </c>
      <c r="U688" t="s">
        <v>12902</v>
      </c>
      <c r="V688" t="s">
        <v>12902</v>
      </c>
      <c r="W688" t="s">
        <v>13233</v>
      </c>
      <c r="X688">
        <v>10</v>
      </c>
      <c r="Y688" t="s">
        <v>19975</v>
      </c>
      <c r="Z688" t="s">
        <v>26263</v>
      </c>
      <c r="AA688">
        <v>0.92110893281858608</v>
      </c>
      <c r="AB688" t="str">
        <f>HYPERLINK("Melting_Curves/meltCurve_F6XY72_NME2.pdf", "Melting_Curves/meltCurve_F6XY72_NME2.pdf")</f>
        <v>Melting_Curves/meltCurve_F6XY72_NME2.pdf</v>
      </c>
    </row>
    <row r="689" spans="1:28" x14ac:dyDescent="0.25">
      <c r="A689" t="s">
        <v>693</v>
      </c>
      <c r="B689">
        <v>0.99673306730245903</v>
      </c>
      <c r="C689">
        <v>1.0172445186217101</v>
      </c>
      <c r="D689">
        <v>1.0018543520334799</v>
      </c>
      <c r="E689">
        <v>0.79696610792592903</v>
      </c>
      <c r="F689">
        <v>1.2014849884694601</v>
      </c>
      <c r="G689">
        <v>0.91327040477986698</v>
      </c>
      <c r="H689">
        <v>0.99715519112383999</v>
      </c>
      <c r="I689">
        <v>1.0490015418166101</v>
      </c>
      <c r="J689">
        <v>1.7782015067452099</v>
      </c>
      <c r="K689">
        <v>1.40410649581221</v>
      </c>
      <c r="L689">
        <v>15000</v>
      </c>
      <c r="M689">
        <v>232.16802804048501</v>
      </c>
      <c r="O689">
        <v>64.603586076392901</v>
      </c>
      <c r="P689">
        <v>0.44921660954308001</v>
      </c>
      <c r="Q689">
        <v>1.5</v>
      </c>
      <c r="R689">
        <v>0.75760077144350502</v>
      </c>
      <c r="S689" t="s">
        <v>7141</v>
      </c>
      <c r="T689" t="s">
        <v>12902</v>
      </c>
      <c r="U689" t="s">
        <v>12902</v>
      </c>
      <c r="V689" t="s">
        <v>12902</v>
      </c>
      <c r="W689" t="s">
        <v>13579</v>
      </c>
      <c r="X689">
        <v>22</v>
      </c>
      <c r="Y689" t="s">
        <v>19774</v>
      </c>
      <c r="Z689" t="s">
        <v>26264</v>
      </c>
      <c r="AA689">
        <v>1.0897946073811531</v>
      </c>
      <c r="AB689" t="str">
        <f>HYPERLINK("Melting_Curves/meltCurve_F8VP89_EIF4B.pdf", "Melting_Curves/meltCurve_F8VP89_EIF4B.pdf")</f>
        <v>Melting_Curves/meltCurve_F8VP89_EIF4B.pdf</v>
      </c>
    </row>
    <row r="690" spans="1:28" x14ac:dyDescent="0.25">
      <c r="A690" t="s">
        <v>694</v>
      </c>
      <c r="B690">
        <v>0.99673306730245903</v>
      </c>
      <c r="C690">
        <v>0.92251908697818497</v>
      </c>
      <c r="D690">
        <v>0.89316215493829498</v>
      </c>
      <c r="E690">
        <v>0.66130435219454498</v>
      </c>
      <c r="F690">
        <v>0.24580882541289101</v>
      </c>
      <c r="G690">
        <v>0.16474724988075501</v>
      </c>
      <c r="H690">
        <v>0.10993527398045801</v>
      </c>
      <c r="I690">
        <v>9.9081653459744401E-2</v>
      </c>
      <c r="J690">
        <v>9.4059885096289403E-2</v>
      </c>
      <c r="K690">
        <v>7.9230169998541003E-2</v>
      </c>
      <c r="L690">
        <v>1212.6720567641401</v>
      </c>
      <c r="M690">
        <v>24.0846694077092</v>
      </c>
      <c r="N690">
        <v>50.765604838870097</v>
      </c>
      <c r="O690">
        <v>50.007110409173002</v>
      </c>
      <c r="P690">
        <v>-0.109643186543463</v>
      </c>
      <c r="Q690">
        <v>8.94036097796055E-2</v>
      </c>
      <c r="R690">
        <v>0.99425282144261395</v>
      </c>
      <c r="S690" t="s">
        <v>7142</v>
      </c>
      <c r="T690" t="s">
        <v>12902</v>
      </c>
      <c r="U690" t="s">
        <v>12902</v>
      </c>
      <c r="V690" t="s">
        <v>12902</v>
      </c>
      <c r="W690" t="s">
        <v>13580</v>
      </c>
      <c r="X690">
        <v>30</v>
      </c>
      <c r="Y690" t="s">
        <v>19976</v>
      </c>
      <c r="Z690" t="s">
        <v>26265</v>
      </c>
      <c r="AA690">
        <v>0.4123689595320596</v>
      </c>
      <c r="AB690" t="str">
        <f>HYPERLINK("Melting_Curves/meltCurve_F8VPD4_CAD.pdf", "Melting_Curves/meltCurve_F8VPD4_CAD.pdf")</f>
        <v>Melting_Curves/meltCurve_F8VPD4_CAD.pdf</v>
      </c>
    </row>
    <row r="691" spans="1:28" x14ac:dyDescent="0.25">
      <c r="A691" t="s">
        <v>695</v>
      </c>
      <c r="B691">
        <v>0.99673306730245903</v>
      </c>
      <c r="C691">
        <v>1.0102071041177501</v>
      </c>
      <c r="D691">
        <v>0.81588025253535401</v>
      </c>
      <c r="E691">
        <v>0.84566066906630499</v>
      </c>
      <c r="F691">
        <v>0.53530841192525902</v>
      </c>
      <c r="G691">
        <v>0.213115896730939</v>
      </c>
      <c r="H691">
        <v>9.1703753104699096E-2</v>
      </c>
      <c r="I691">
        <v>7.6987763956031602E-2</v>
      </c>
      <c r="J691">
        <v>6.9827977756205001E-2</v>
      </c>
      <c r="K691">
        <v>5.7961018481471401E-2</v>
      </c>
      <c r="L691">
        <v>1035.76087132054</v>
      </c>
      <c r="M691">
        <v>19.510217734071698</v>
      </c>
      <c r="N691">
        <v>53.3048915328934</v>
      </c>
      <c r="O691">
        <v>52.539829071479197</v>
      </c>
      <c r="P691">
        <v>-8.9297904954367693E-2</v>
      </c>
      <c r="Q691">
        <v>3.81391829077612E-2</v>
      </c>
      <c r="R691">
        <v>0.98427771798488395</v>
      </c>
      <c r="S691" t="s">
        <v>7143</v>
      </c>
      <c r="T691" t="s">
        <v>12902</v>
      </c>
      <c r="U691" t="s">
        <v>12902</v>
      </c>
      <c r="V691" t="s">
        <v>12902</v>
      </c>
      <c r="W691" t="s">
        <v>13581</v>
      </c>
      <c r="X691">
        <v>33</v>
      </c>
      <c r="Y691" t="s">
        <v>19977</v>
      </c>
      <c r="Z691" t="s">
        <v>26266</v>
      </c>
      <c r="AA691">
        <v>0.47155454778737982</v>
      </c>
      <c r="AB691" t="str">
        <f>HYPERLINK("Melting_Curves/meltCurve_F8VQ10_DDX39B.pdf", "Melting_Curves/meltCurve_F8VQ10_DDX39B.pdf")</f>
        <v>Melting_Curves/meltCurve_F8VQ10_DDX39B.pdf</v>
      </c>
    </row>
    <row r="692" spans="1:28" x14ac:dyDescent="0.25">
      <c r="A692" t="s">
        <v>696</v>
      </c>
      <c r="B692">
        <v>0.99673306730245903</v>
      </c>
      <c r="C692">
        <v>0.50514647845771499</v>
      </c>
      <c r="D692">
        <v>1.36692856684974</v>
      </c>
      <c r="E692">
        <v>0.63737930434781498</v>
      </c>
      <c r="F692">
        <v>0.56150601023272895</v>
      </c>
      <c r="G692">
        <v>0.105932853704766</v>
      </c>
      <c r="H692">
        <v>0.14922570458224399</v>
      </c>
      <c r="I692">
        <v>8.4771917245333395E-2</v>
      </c>
      <c r="J692">
        <v>0.10351262016347899</v>
      </c>
      <c r="K692">
        <v>4.9988645130329697E-2</v>
      </c>
      <c r="L692">
        <v>1247.3560861538899</v>
      </c>
      <c r="M692">
        <v>23.811462597810699</v>
      </c>
      <c r="N692">
        <v>52.735754580440997</v>
      </c>
      <c r="O692">
        <v>52.019411276662296</v>
      </c>
      <c r="P692">
        <v>-0.106049716592246</v>
      </c>
      <c r="Q692">
        <v>7.3294419799187202E-2</v>
      </c>
      <c r="R692">
        <v>0.75035720876751699</v>
      </c>
      <c r="S692" t="s">
        <v>7144</v>
      </c>
      <c r="T692" t="s">
        <v>12902</v>
      </c>
      <c r="U692" t="s">
        <v>12902</v>
      </c>
      <c r="V692" t="s">
        <v>12902</v>
      </c>
      <c r="W692" t="s">
        <v>13582</v>
      </c>
      <c r="X692">
        <v>2</v>
      </c>
      <c r="Y692" t="s">
        <v>19978</v>
      </c>
      <c r="Z692" t="s">
        <v>26267</v>
      </c>
      <c r="AA692">
        <v>0.46517103492320161</v>
      </c>
      <c r="AB692" t="str">
        <f>HYPERLINK("Melting_Curves/meltCurve_F8VQ19_BRF1.pdf", "Melting_Curves/meltCurve_F8VQ19_BRF1.pdf")</f>
        <v>Melting_Curves/meltCurve_F8VQ19_BRF1.pdf</v>
      </c>
    </row>
    <row r="693" spans="1:28" x14ac:dyDescent="0.25">
      <c r="A693" t="s">
        <v>697</v>
      </c>
      <c r="B693">
        <v>0.99673306730245903</v>
      </c>
      <c r="C693">
        <v>0.87940027197886494</v>
      </c>
      <c r="D693">
        <v>0.79907517810460005</v>
      </c>
      <c r="E693">
        <v>0.59077076664428596</v>
      </c>
      <c r="F693">
        <v>0.51068210457515195</v>
      </c>
      <c r="G693">
        <v>0.31180965545503703</v>
      </c>
      <c r="H693">
        <v>0.214871913846817</v>
      </c>
      <c r="I693">
        <v>0.282231297108617</v>
      </c>
      <c r="J693">
        <v>0.39020236561916499</v>
      </c>
      <c r="K693">
        <v>0.350693397009118</v>
      </c>
      <c r="L693">
        <v>752.56326812097802</v>
      </c>
      <c r="M693">
        <v>15.480043004587399</v>
      </c>
      <c r="N693">
        <v>51.594616750316902</v>
      </c>
      <c r="O693">
        <v>47.825450246955697</v>
      </c>
      <c r="P693">
        <v>-5.7014214522194302E-2</v>
      </c>
      <c r="Q693">
        <v>0.29548344532780102</v>
      </c>
      <c r="R693">
        <v>0.95214432623061795</v>
      </c>
      <c r="S693" t="s">
        <v>7145</v>
      </c>
      <c r="T693" t="s">
        <v>12902</v>
      </c>
      <c r="U693" t="s">
        <v>12902</v>
      </c>
      <c r="V693" t="s">
        <v>12902</v>
      </c>
      <c r="W693" t="s">
        <v>13583</v>
      </c>
      <c r="X693">
        <v>6</v>
      </c>
      <c r="Y693" t="s">
        <v>19979</v>
      </c>
      <c r="Z693" t="s">
        <v>26268</v>
      </c>
      <c r="AA693">
        <v>0.51440582347366737</v>
      </c>
      <c r="AB693" t="str">
        <f>HYPERLINK("Melting_Curves/meltCurve_F8VQY2_UIMC1.pdf", "Melting_Curves/meltCurve_F8VQY2_UIMC1.pdf")</f>
        <v>Melting_Curves/meltCurve_F8VQY2_UIMC1.pdf</v>
      </c>
    </row>
    <row r="694" spans="1:28" x14ac:dyDescent="0.25">
      <c r="A694" t="s">
        <v>698</v>
      </c>
      <c r="B694">
        <v>0.99673306730245903</v>
      </c>
      <c r="C694">
        <v>0.98308511573284296</v>
      </c>
      <c r="D694">
        <v>1.0272186579926901</v>
      </c>
      <c r="E694">
        <v>0.98644036712764105</v>
      </c>
      <c r="F694">
        <v>0.91595597164003895</v>
      </c>
      <c r="G694">
        <v>0.69123073979633998</v>
      </c>
      <c r="H694">
        <v>0.54560720413771402</v>
      </c>
      <c r="I694">
        <v>0.62970800500966895</v>
      </c>
      <c r="J694">
        <v>0.592015109365715</v>
      </c>
      <c r="K694">
        <v>0.387148109851981</v>
      </c>
      <c r="L694">
        <v>1498.95941282634</v>
      </c>
      <c r="M694">
        <v>26.8323682098723</v>
      </c>
      <c r="O694">
        <v>55.556337169509</v>
      </c>
      <c r="P694">
        <v>-5.8093960511254997E-2</v>
      </c>
      <c r="Q694">
        <v>0.518871476352183</v>
      </c>
      <c r="R694">
        <v>0.93048674333844705</v>
      </c>
      <c r="S694" t="s">
        <v>7146</v>
      </c>
      <c r="T694" t="s">
        <v>12902</v>
      </c>
      <c r="U694" t="s">
        <v>12902</v>
      </c>
      <c r="V694" t="s">
        <v>12902</v>
      </c>
      <c r="W694" t="s">
        <v>13584</v>
      </c>
      <c r="X694">
        <v>23</v>
      </c>
      <c r="Y694" t="s">
        <v>19980</v>
      </c>
      <c r="Z694" t="s">
        <v>26269</v>
      </c>
      <c r="AA694">
        <v>0.77720898774358449</v>
      </c>
      <c r="AB694" t="str">
        <f>HYPERLINK("Melting_Curves/meltCurve_F8VQZ7_METAP2.pdf", "Melting_Curves/meltCurve_F8VQZ7_METAP2.pdf")</f>
        <v>Melting_Curves/meltCurve_F8VQZ7_METAP2.pdf</v>
      </c>
    </row>
    <row r="695" spans="1:28" x14ac:dyDescent="0.25">
      <c r="A695" t="s">
        <v>699</v>
      </c>
      <c r="B695">
        <v>0.99673306730245903</v>
      </c>
      <c r="C695">
        <v>1.03935111240316</v>
      </c>
      <c r="D695">
        <v>1.6435709205675799</v>
      </c>
      <c r="E695">
        <v>1.2051012068495</v>
      </c>
      <c r="F695">
        <v>1.58727538083586</v>
      </c>
      <c r="G695">
        <v>1.67567622892081</v>
      </c>
      <c r="H695">
        <v>1.26290735939247</v>
      </c>
      <c r="I695">
        <v>2.3346970331999999</v>
      </c>
      <c r="J695">
        <v>4.1804065005170603</v>
      </c>
      <c r="K695">
        <v>3.8037218067433698</v>
      </c>
      <c r="L695">
        <v>10830.5377551867</v>
      </c>
      <c r="M695">
        <v>250</v>
      </c>
      <c r="O695">
        <v>43.319379051877398</v>
      </c>
      <c r="P695">
        <v>0.72138615514122495</v>
      </c>
      <c r="Q695">
        <v>1.5</v>
      </c>
      <c r="R695">
        <v>-0.15244281898018899</v>
      </c>
      <c r="S695" t="s">
        <v>7147</v>
      </c>
      <c r="T695" t="s">
        <v>12902</v>
      </c>
      <c r="U695" t="s">
        <v>12902</v>
      </c>
      <c r="V695" t="s">
        <v>12902</v>
      </c>
      <c r="W695" t="s">
        <v>13585</v>
      </c>
      <c r="X695">
        <v>1</v>
      </c>
      <c r="Y695" t="s">
        <v>19981</v>
      </c>
      <c r="Z695" t="s">
        <v>26270</v>
      </c>
      <c r="AA695">
        <v>1.4445928014681431</v>
      </c>
      <c r="AB695" t="str">
        <f>HYPERLINK("Melting_Curves/meltCurve_F8VR27_RBFOX1.pdf", "Melting_Curves/meltCurve_F8VR27_RBFOX1.pdf")</f>
        <v>Melting_Curves/meltCurve_F8VR27_RBFOX1.pdf</v>
      </c>
    </row>
    <row r="696" spans="1:28" x14ac:dyDescent="0.25">
      <c r="A696" t="s">
        <v>700</v>
      </c>
      <c r="B696">
        <v>0.99673306730245903</v>
      </c>
      <c r="C696">
        <v>0.835536071270787</v>
      </c>
      <c r="D696">
        <v>0.92027143512215004</v>
      </c>
      <c r="E696">
        <v>0.5517453706962</v>
      </c>
      <c r="F696">
        <v>0.41327997122245402</v>
      </c>
      <c r="G696">
        <v>0.37627743525462998</v>
      </c>
      <c r="H696">
        <v>0.38648247957784898</v>
      </c>
      <c r="I696">
        <v>0.20611974955635501</v>
      </c>
      <c r="J696">
        <v>0.112402526171045</v>
      </c>
      <c r="K696">
        <v>9.5464106830799395E-2</v>
      </c>
      <c r="L696">
        <v>481.35927555504401</v>
      </c>
      <c r="M696">
        <v>9.2029710492712695</v>
      </c>
      <c r="N696">
        <v>52.886696988540102</v>
      </c>
      <c r="O696">
        <v>50.012851905629198</v>
      </c>
      <c r="P696">
        <v>-4.3817051528822398E-2</v>
      </c>
      <c r="Q696">
        <v>4.8153209159636903E-2</v>
      </c>
      <c r="R696">
        <v>0.94130701952779905</v>
      </c>
      <c r="S696" t="s">
        <v>7148</v>
      </c>
      <c r="T696" t="s">
        <v>12902</v>
      </c>
      <c r="U696" t="s">
        <v>12902</v>
      </c>
      <c r="V696" t="s">
        <v>12902</v>
      </c>
      <c r="W696" t="s">
        <v>13586</v>
      </c>
      <c r="X696">
        <v>2</v>
      </c>
      <c r="Y696" t="s">
        <v>19982</v>
      </c>
      <c r="Z696" t="s">
        <v>26271</v>
      </c>
      <c r="AA696">
        <v>0.47662187720736532</v>
      </c>
      <c r="AB696" t="str">
        <f>HYPERLINK("Melting_Curves/meltCurve_F8VRE8_TMEM19.pdf", "Melting_Curves/meltCurve_F8VRE8_TMEM19.pdf")</f>
        <v>Melting_Curves/meltCurve_F8VRE8_TMEM19.pdf</v>
      </c>
    </row>
    <row r="697" spans="1:28" x14ac:dyDescent="0.25">
      <c r="A697" t="s">
        <v>701</v>
      </c>
      <c r="B697">
        <v>0.99673306730245903</v>
      </c>
      <c r="C697">
        <v>1.01902771468385</v>
      </c>
      <c r="D697">
        <v>0.91469109265899395</v>
      </c>
      <c r="E697">
        <v>0.766135985791083</v>
      </c>
      <c r="F697">
        <v>0.22994328505213099</v>
      </c>
      <c r="G697">
        <v>0.14738822085721101</v>
      </c>
      <c r="H697">
        <v>9.35782726074776E-2</v>
      </c>
      <c r="I697">
        <v>0.110237873064399</v>
      </c>
      <c r="J697">
        <v>0.16012952610277301</v>
      </c>
      <c r="K697">
        <v>0.143622759241509</v>
      </c>
      <c r="L697">
        <v>2078.30557804407</v>
      </c>
      <c r="M697">
        <v>40.959573685978697</v>
      </c>
      <c r="N697">
        <v>51.106032023559202</v>
      </c>
      <c r="O697">
        <v>50.619911207186902</v>
      </c>
      <c r="P697">
        <v>-0.176598977412397</v>
      </c>
      <c r="Q697">
        <v>0.12700186833390201</v>
      </c>
      <c r="R697">
        <v>0.99409028421657497</v>
      </c>
      <c r="S697" t="s">
        <v>7149</v>
      </c>
      <c r="T697" t="s">
        <v>12902</v>
      </c>
      <c r="U697" t="s">
        <v>12902</v>
      </c>
      <c r="V697" t="s">
        <v>12902</v>
      </c>
      <c r="W697" t="s">
        <v>13587</v>
      </c>
      <c r="X697">
        <v>4</v>
      </c>
      <c r="Y697" t="s">
        <v>19983</v>
      </c>
      <c r="Z697" t="s">
        <v>26272</v>
      </c>
      <c r="AA697">
        <v>0.44246630227612083</v>
      </c>
      <c r="AB697" t="str">
        <f>HYPERLINK("Melting_Curves/meltCurve_F8VS47_NEK3.pdf", "Melting_Curves/meltCurve_F8VS47_NEK3.pdf")</f>
        <v>Melting_Curves/meltCurve_F8VS47_NEK3.pdf</v>
      </c>
    </row>
    <row r="698" spans="1:28" x14ac:dyDescent="0.25">
      <c r="A698" t="s">
        <v>702</v>
      </c>
      <c r="B698">
        <v>0.99673306730245903</v>
      </c>
      <c r="C698">
        <v>0.85828404890566401</v>
      </c>
      <c r="D698">
        <v>0.99149616260676698</v>
      </c>
      <c r="E698">
        <v>0.79719454996139705</v>
      </c>
      <c r="F698">
        <v>0.76549419835982002</v>
      </c>
      <c r="G698">
        <v>0.67419901926894399</v>
      </c>
      <c r="H698">
        <v>0.78124750305936996</v>
      </c>
      <c r="I698">
        <v>0.84371876729239403</v>
      </c>
      <c r="J698">
        <v>0.65169953367789701</v>
      </c>
      <c r="K698">
        <v>0.64690800156938</v>
      </c>
      <c r="L698">
        <v>554.92683867497203</v>
      </c>
      <c r="M698">
        <v>11.4479285972231</v>
      </c>
      <c r="O698">
        <v>47.065605766276001</v>
      </c>
      <c r="P698">
        <v>-1.8483765906702702E-2</v>
      </c>
      <c r="Q698">
        <v>0.69612036955453604</v>
      </c>
      <c r="R698">
        <v>0.65042139124148401</v>
      </c>
      <c r="S698" t="s">
        <v>7150</v>
      </c>
      <c r="T698" t="s">
        <v>12902</v>
      </c>
      <c r="U698" t="s">
        <v>12902</v>
      </c>
      <c r="V698" t="s">
        <v>12902</v>
      </c>
      <c r="W698" t="s">
        <v>13588</v>
      </c>
      <c r="X698">
        <v>1</v>
      </c>
      <c r="Y698" t="s">
        <v>19984</v>
      </c>
      <c r="Z698" t="s">
        <v>26273</v>
      </c>
      <c r="AA698">
        <v>0.79445026152116005</v>
      </c>
      <c r="AB698" t="str">
        <f>HYPERLINK("Melting_Curves/meltCurve_F8VS78_TSPAN31.pdf", "Melting_Curves/meltCurve_F8VS78_TSPAN31.pdf")</f>
        <v>Melting_Curves/meltCurve_F8VS78_TSPAN31.pdf</v>
      </c>
    </row>
    <row r="699" spans="1:28" x14ac:dyDescent="0.25">
      <c r="A699" t="s">
        <v>703</v>
      </c>
      <c r="B699">
        <v>0.99673306730245903</v>
      </c>
      <c r="C699">
        <v>0.95068802868156399</v>
      </c>
      <c r="D699">
        <v>0.89720603160999202</v>
      </c>
      <c r="E699">
        <v>0.91515449065442001</v>
      </c>
      <c r="F699">
        <v>0.838085945760638</v>
      </c>
      <c r="G699">
        <v>0.61608810690202398</v>
      </c>
      <c r="H699">
        <v>0.30514806787738902</v>
      </c>
      <c r="I699">
        <v>0.35306185025720999</v>
      </c>
      <c r="J699">
        <v>0.38099875838026298</v>
      </c>
      <c r="K699">
        <v>0.44323132478486899</v>
      </c>
      <c r="L699">
        <v>1563.1823854854799</v>
      </c>
      <c r="M699">
        <v>28.269852451520901</v>
      </c>
      <c r="N699">
        <v>57.956882031370903</v>
      </c>
      <c r="O699">
        <v>55.020561028462502</v>
      </c>
      <c r="P699">
        <v>-8.1758221484648397E-2</v>
      </c>
      <c r="Q699">
        <v>0.363513324340764</v>
      </c>
      <c r="R699">
        <v>0.94793163101675204</v>
      </c>
      <c r="S699" t="s">
        <v>7151</v>
      </c>
      <c r="T699" t="s">
        <v>12902</v>
      </c>
      <c r="U699" t="s">
        <v>12902</v>
      </c>
      <c r="V699" t="s">
        <v>12902</v>
      </c>
      <c r="W699" t="s">
        <v>13589</v>
      </c>
      <c r="X699">
        <v>2</v>
      </c>
      <c r="Y699" t="s">
        <v>19985</v>
      </c>
      <c r="Z699" t="s">
        <v>26274</v>
      </c>
      <c r="AA699">
        <v>0.69273953607610772</v>
      </c>
      <c r="AB699" t="str">
        <f>HYPERLINK("Melting_Curves/meltCurve_F8VSL3_NFYB.pdf", "Melting_Curves/meltCurve_F8VSL3_NFYB.pdf")</f>
        <v>Melting_Curves/meltCurve_F8VSL3_NFYB.pdf</v>
      </c>
    </row>
    <row r="700" spans="1:28" x14ac:dyDescent="0.25">
      <c r="A700" t="s">
        <v>704</v>
      </c>
      <c r="B700">
        <v>0.99673306730245903</v>
      </c>
      <c r="C700">
        <v>0.90887026658417502</v>
      </c>
      <c r="D700">
        <v>0.89808619340687301</v>
      </c>
      <c r="E700">
        <v>0.82090113350951099</v>
      </c>
      <c r="F700">
        <v>0.49129212472919898</v>
      </c>
      <c r="G700">
        <v>0.21663236145896</v>
      </c>
      <c r="H700">
        <v>8.7188465180934593E-2</v>
      </c>
      <c r="I700">
        <v>6.4400539020294606E-2</v>
      </c>
      <c r="J700">
        <v>7.0824015450223002E-2</v>
      </c>
      <c r="K700">
        <v>6.5330394892036098E-2</v>
      </c>
      <c r="L700">
        <v>1058.8613884418901</v>
      </c>
      <c r="M700">
        <v>20.061293633087502</v>
      </c>
      <c r="N700">
        <v>53.021807191723902</v>
      </c>
      <c r="O700">
        <v>52.265247363717798</v>
      </c>
      <c r="P700">
        <v>-9.1788984082621594E-2</v>
      </c>
      <c r="Q700">
        <v>4.3487493422984899E-2</v>
      </c>
      <c r="R700">
        <v>0.99216846843084106</v>
      </c>
      <c r="S700" t="s">
        <v>7152</v>
      </c>
      <c r="T700" t="s">
        <v>12902</v>
      </c>
      <c r="U700" t="s">
        <v>12902</v>
      </c>
      <c r="V700" t="s">
        <v>12902</v>
      </c>
      <c r="W700" t="s">
        <v>13590</v>
      </c>
      <c r="X700">
        <v>5</v>
      </c>
      <c r="Y700" t="s">
        <v>19986</v>
      </c>
      <c r="Z700" t="s">
        <v>26275</v>
      </c>
      <c r="AA700">
        <v>0.46411280176370762</v>
      </c>
      <c r="AB700" t="str">
        <f>HYPERLINK("Melting_Curves/meltCurve_F8VSZ4_PLXNA1.pdf", "Melting_Curves/meltCurve_F8VSZ4_PLXNA1.pdf")</f>
        <v>Melting_Curves/meltCurve_F8VSZ4_PLXNA1.pdf</v>
      </c>
    </row>
    <row r="701" spans="1:28" x14ac:dyDescent="0.25">
      <c r="A701" t="s">
        <v>705</v>
      </c>
      <c r="B701">
        <v>0.99673306730245903</v>
      </c>
      <c r="C701">
        <v>0.93309476081883103</v>
      </c>
      <c r="D701">
        <v>0.97626976627210105</v>
      </c>
      <c r="E701">
        <v>0.82308681561261698</v>
      </c>
      <c r="F701">
        <v>0.68855235816618998</v>
      </c>
      <c r="G701">
        <v>0.46630902376248501</v>
      </c>
      <c r="H701">
        <v>0.26265044510536301</v>
      </c>
      <c r="I701">
        <v>0.25238376972480098</v>
      </c>
      <c r="J701">
        <v>0.26802998035052</v>
      </c>
      <c r="K701">
        <v>0.268110550846201</v>
      </c>
      <c r="L701">
        <v>942.09923018398297</v>
      </c>
      <c r="M701">
        <v>17.482294490785499</v>
      </c>
      <c r="N701">
        <v>55.797628262443503</v>
      </c>
      <c r="O701">
        <v>53.198486897066502</v>
      </c>
      <c r="P701">
        <v>-6.3668954065928499E-2</v>
      </c>
      <c r="Q701">
        <v>0.22506629205246101</v>
      </c>
      <c r="R701">
        <v>0.98836441200409397</v>
      </c>
      <c r="S701" t="s">
        <v>7153</v>
      </c>
      <c r="T701" t="s">
        <v>12902</v>
      </c>
      <c r="U701" t="s">
        <v>12902</v>
      </c>
      <c r="V701" t="s">
        <v>12902</v>
      </c>
      <c r="W701" t="s">
        <v>13591</v>
      </c>
      <c r="X701">
        <v>5</v>
      </c>
      <c r="Y701" t="s">
        <v>19987</v>
      </c>
      <c r="Z701" t="s">
        <v>26276</v>
      </c>
      <c r="AA701">
        <v>0.59681384931968795</v>
      </c>
      <c r="AB701" t="str">
        <f>HYPERLINK("Melting_Curves/meltCurve_F8VU90_FKBP11.pdf", "Melting_Curves/meltCurve_F8VU90_FKBP11.pdf")</f>
        <v>Melting_Curves/meltCurve_F8VU90_FKBP11.pdf</v>
      </c>
    </row>
    <row r="702" spans="1:28" x14ac:dyDescent="0.25">
      <c r="A702" t="s">
        <v>706</v>
      </c>
      <c r="B702">
        <v>0.99673306730245903</v>
      </c>
      <c r="C702">
        <v>0.90961290320882804</v>
      </c>
      <c r="D702">
        <v>0.73156238132858697</v>
      </c>
      <c r="E702">
        <v>0.46507630535147998</v>
      </c>
      <c r="F702">
        <v>0.266105369421831</v>
      </c>
      <c r="G702">
        <v>0.19206703074319201</v>
      </c>
      <c r="H702">
        <v>0.12789655682135101</v>
      </c>
      <c r="I702">
        <v>0.107163178749396</v>
      </c>
      <c r="J702">
        <v>7.4533274696503504E-2</v>
      </c>
      <c r="K702">
        <v>8.8303268497800194E-2</v>
      </c>
      <c r="L702">
        <v>774.65676588030897</v>
      </c>
      <c r="M702">
        <v>15.929404132459201</v>
      </c>
      <c r="N702">
        <v>49.202216172367102</v>
      </c>
      <c r="O702">
        <v>47.883588312178802</v>
      </c>
      <c r="P702">
        <v>-7.6148184317272896E-2</v>
      </c>
      <c r="Q702">
        <v>8.4471576596123199E-2</v>
      </c>
      <c r="R702">
        <v>0.998392995119599</v>
      </c>
      <c r="S702" t="s">
        <v>7154</v>
      </c>
      <c r="T702" t="s">
        <v>12902</v>
      </c>
      <c r="U702" t="s">
        <v>12902</v>
      </c>
      <c r="V702" t="s">
        <v>12902</v>
      </c>
      <c r="W702" t="s">
        <v>13592</v>
      </c>
      <c r="X702">
        <v>4</v>
      </c>
      <c r="Y702" t="s">
        <v>19988</v>
      </c>
      <c r="Z702" t="s">
        <v>26277</v>
      </c>
      <c r="AA702">
        <v>0.36825440250685909</v>
      </c>
      <c r="AB702" t="str">
        <f>HYPERLINK("Melting_Curves/meltCurve_F8VUJ3_POC1B_GALNT4.pdf", "Melting_Curves/meltCurve_F8VUJ3_POC1B_GALNT4.pdf")</f>
        <v>Melting_Curves/meltCurve_F8VUJ3_POC1B_GALNT4.pdf</v>
      </c>
    </row>
    <row r="703" spans="1:28" x14ac:dyDescent="0.25">
      <c r="A703" t="s">
        <v>707</v>
      </c>
      <c r="B703">
        <v>0.99673306730245903</v>
      </c>
      <c r="C703">
        <v>1.0327420144867001</v>
      </c>
      <c r="D703">
        <v>0.88967510968490904</v>
      </c>
      <c r="E703">
        <v>0.80725451580963403</v>
      </c>
      <c r="F703">
        <v>0.41284209430267998</v>
      </c>
      <c r="G703">
        <v>0.22109260668321001</v>
      </c>
      <c r="H703">
        <v>6.7291939043700996E-2</v>
      </c>
      <c r="I703">
        <v>4.69945437479646E-2</v>
      </c>
      <c r="J703">
        <v>7.5125431161499695E-2</v>
      </c>
      <c r="K703">
        <v>5.3760856216547803E-2</v>
      </c>
      <c r="L703">
        <v>1116.25407945909</v>
      </c>
      <c r="M703">
        <v>21.341482569923102</v>
      </c>
      <c r="N703">
        <v>52.537006122003</v>
      </c>
      <c r="O703">
        <v>51.851709531460301</v>
      </c>
      <c r="P703">
        <v>-9.8260925630318005E-2</v>
      </c>
      <c r="Q703">
        <v>4.50773230366582E-2</v>
      </c>
      <c r="R703">
        <v>0.99417972377652397</v>
      </c>
      <c r="S703" t="s">
        <v>7155</v>
      </c>
      <c r="T703" t="s">
        <v>12902</v>
      </c>
      <c r="U703" t="s">
        <v>12902</v>
      </c>
      <c r="V703" t="s">
        <v>12902</v>
      </c>
      <c r="W703" t="s">
        <v>13593</v>
      </c>
      <c r="X703">
        <v>1</v>
      </c>
      <c r="Y703" t="s">
        <v>19989</v>
      </c>
      <c r="Z703" t="s">
        <v>26278</v>
      </c>
      <c r="AA703">
        <v>0.44848334914678378</v>
      </c>
      <c r="AB703" t="str">
        <f>HYPERLINK("Melting_Curves/meltCurve_F8VUW5_DAZAP2.pdf", "Melting_Curves/meltCurve_F8VUW5_DAZAP2.pdf")</f>
        <v>Melting_Curves/meltCurve_F8VUW5_DAZAP2.pdf</v>
      </c>
    </row>
    <row r="704" spans="1:28" x14ac:dyDescent="0.25">
      <c r="A704" t="s">
        <v>708</v>
      </c>
      <c r="B704">
        <v>0.99673306730245903</v>
      </c>
      <c r="C704">
        <v>0.83872249785719999</v>
      </c>
      <c r="D704">
        <v>0.93489376918013201</v>
      </c>
      <c r="E704">
        <v>0.63762190930880502</v>
      </c>
      <c r="F704">
        <v>0.248237470495693</v>
      </c>
      <c r="G704">
        <v>0.17933520256263799</v>
      </c>
      <c r="H704">
        <v>0.11328660508734099</v>
      </c>
      <c r="I704">
        <v>0.100930069794316</v>
      </c>
      <c r="J704">
        <v>0.134133978881563</v>
      </c>
      <c r="K704">
        <v>0.107172631077291</v>
      </c>
      <c r="L704">
        <v>1275.5570319138401</v>
      </c>
      <c r="M704">
        <v>25.428350159360001</v>
      </c>
      <c r="N704">
        <v>50.664125017579202</v>
      </c>
      <c r="O704">
        <v>49.855634987855296</v>
      </c>
      <c r="P704">
        <v>-0.113328930930293</v>
      </c>
      <c r="Q704">
        <v>0.11122586153943401</v>
      </c>
      <c r="R704">
        <v>0.980288417520774</v>
      </c>
      <c r="S704" t="s">
        <v>7156</v>
      </c>
      <c r="T704" t="s">
        <v>12902</v>
      </c>
      <c r="U704" t="s">
        <v>12902</v>
      </c>
      <c r="V704" t="s">
        <v>12902</v>
      </c>
      <c r="W704" t="s">
        <v>13594</v>
      </c>
      <c r="X704">
        <v>3</v>
      </c>
      <c r="Y704" t="s">
        <v>19990</v>
      </c>
      <c r="Z704" t="s">
        <v>26279</v>
      </c>
      <c r="AA704">
        <v>0.41999722925617011</v>
      </c>
      <c r="AB704" t="str">
        <f>HYPERLINK("Melting_Curves/meltCurve_F8VV52_CNOT2.pdf", "Melting_Curves/meltCurve_F8VV52_CNOT2.pdf")</f>
        <v>Melting_Curves/meltCurve_F8VV52_CNOT2.pdf</v>
      </c>
    </row>
    <row r="705" spans="1:28" x14ac:dyDescent="0.25">
      <c r="A705" t="s">
        <v>709</v>
      </c>
      <c r="B705">
        <v>0.99673306730245903</v>
      </c>
      <c r="C705">
        <v>0.95841970676574795</v>
      </c>
      <c r="D705">
        <v>0.97787622489541803</v>
      </c>
      <c r="E705">
        <v>0.893599196007415</v>
      </c>
      <c r="F705">
        <v>0.67610225134763702</v>
      </c>
      <c r="G705">
        <v>0.63297334064444699</v>
      </c>
      <c r="H705">
        <v>0.56205150148484895</v>
      </c>
      <c r="I705">
        <v>0.77241336034052899</v>
      </c>
      <c r="J705">
        <v>0.76914453587846199</v>
      </c>
      <c r="K705">
        <v>0.98902146314586203</v>
      </c>
      <c r="L705">
        <v>12420.229089008601</v>
      </c>
      <c r="M705">
        <v>250</v>
      </c>
      <c r="O705">
        <v>49.677721541935497</v>
      </c>
      <c r="P705">
        <v>-0.33513787377694598</v>
      </c>
      <c r="Q705">
        <v>0.73361774089410103</v>
      </c>
      <c r="R705">
        <v>0.52136853986487497</v>
      </c>
      <c r="S705" t="s">
        <v>7157</v>
      </c>
      <c r="T705" t="s">
        <v>12902</v>
      </c>
      <c r="U705" t="s">
        <v>12902</v>
      </c>
      <c r="V705" t="s">
        <v>12902</v>
      </c>
      <c r="W705" t="s">
        <v>13595</v>
      </c>
      <c r="X705">
        <v>2</v>
      </c>
      <c r="Y705" t="s">
        <v>19991</v>
      </c>
      <c r="Z705" t="s">
        <v>26280</v>
      </c>
      <c r="AA705">
        <v>0.81960177886401731</v>
      </c>
      <c r="AB705" t="str">
        <f>HYPERLINK("Melting_Curves/meltCurve_F8VV56_CD63.pdf", "Melting_Curves/meltCurve_F8VV56_CD63.pdf")</f>
        <v>Melting_Curves/meltCurve_F8VV56_CD63.pdf</v>
      </c>
    </row>
    <row r="706" spans="1:28" x14ac:dyDescent="0.25">
      <c r="A706" t="s">
        <v>710</v>
      </c>
      <c r="B706">
        <v>0.99673306730245903</v>
      </c>
      <c r="C706">
        <v>0.82900782887950697</v>
      </c>
      <c r="D706">
        <v>0.73857775352524202</v>
      </c>
      <c r="E706">
        <v>0.71412108377068895</v>
      </c>
      <c r="F706">
        <v>0.41529301061945301</v>
      </c>
      <c r="G706">
        <v>0.23405535773980901</v>
      </c>
      <c r="H706">
        <v>0.127906087464114</v>
      </c>
      <c r="I706">
        <v>0.13897497486497101</v>
      </c>
      <c r="J706">
        <v>0.13080865360448199</v>
      </c>
      <c r="K706">
        <v>0.14341740280686299</v>
      </c>
      <c r="L706">
        <v>596.44786972608802</v>
      </c>
      <c r="M706">
        <v>11.7122972791094</v>
      </c>
      <c r="N706">
        <v>51.512881374025703</v>
      </c>
      <c r="O706">
        <v>49.508359570089702</v>
      </c>
      <c r="P706">
        <v>-5.54574050816668E-2</v>
      </c>
      <c r="Q706">
        <v>6.2565585579098706E-2</v>
      </c>
      <c r="R706">
        <v>0.97189170019131899</v>
      </c>
      <c r="S706" t="s">
        <v>7158</v>
      </c>
      <c r="T706" t="s">
        <v>12902</v>
      </c>
      <c r="U706" t="s">
        <v>12902</v>
      </c>
      <c r="V706" t="s">
        <v>12902</v>
      </c>
      <c r="W706" t="s">
        <v>13596</v>
      </c>
      <c r="X706">
        <v>12</v>
      </c>
      <c r="Y706" t="s">
        <v>19992</v>
      </c>
      <c r="Z706" t="s">
        <v>26281</v>
      </c>
      <c r="AA706">
        <v>0.43574278846610598</v>
      </c>
      <c r="AB706" t="str">
        <f>HYPERLINK("Melting_Curves/meltCurve_F8VV59_NAP1L1.pdf", "Melting_Curves/meltCurve_F8VV59_NAP1L1.pdf")</f>
        <v>Melting_Curves/meltCurve_F8VV59_NAP1L1.pdf</v>
      </c>
    </row>
    <row r="707" spans="1:28" x14ac:dyDescent="0.25">
      <c r="A707" t="s">
        <v>711</v>
      </c>
      <c r="B707">
        <v>0.99673306730245903</v>
      </c>
      <c r="C707">
        <v>0.99499590037624697</v>
      </c>
      <c r="D707">
        <v>1.03682048582758</v>
      </c>
      <c r="E707">
        <v>1.07613084453581</v>
      </c>
      <c r="F707">
        <v>0.60623056988998703</v>
      </c>
      <c r="G707">
        <v>0.31913393031816401</v>
      </c>
      <c r="H707">
        <v>0.14240302890451401</v>
      </c>
      <c r="I707">
        <v>0.10184153214093</v>
      </c>
      <c r="J707">
        <v>6.9887331063055794E-2</v>
      </c>
      <c r="K707">
        <v>5.02260506003556E-2</v>
      </c>
      <c r="L707">
        <v>1598.1129345228301</v>
      </c>
      <c r="M707">
        <v>29.447104152040399</v>
      </c>
      <c r="N707">
        <v>54.603385138094097</v>
      </c>
      <c r="O707">
        <v>54.022176111695401</v>
      </c>
      <c r="P707">
        <v>-0.125081150694834</v>
      </c>
      <c r="Q707">
        <v>8.2135788970169196E-2</v>
      </c>
      <c r="R707">
        <v>0.98517437992101897</v>
      </c>
      <c r="S707" t="s">
        <v>7159</v>
      </c>
      <c r="T707" t="s">
        <v>12902</v>
      </c>
      <c r="U707" t="s">
        <v>12902</v>
      </c>
      <c r="V707" t="s">
        <v>12902</v>
      </c>
      <c r="W707" t="s">
        <v>13597</v>
      </c>
      <c r="X707">
        <v>4</v>
      </c>
      <c r="Y707" t="s">
        <v>19993</v>
      </c>
      <c r="Z707" t="s">
        <v>26282</v>
      </c>
      <c r="AA707">
        <v>0.52501905914755331</v>
      </c>
      <c r="AB707" t="str">
        <f>HYPERLINK("Melting_Curves/meltCurve_F8VVA7_COPZ1.pdf", "Melting_Curves/meltCurve_F8VVA7_COPZ1.pdf")</f>
        <v>Melting_Curves/meltCurve_F8VVA7_COPZ1.pdf</v>
      </c>
    </row>
    <row r="708" spans="1:28" x14ac:dyDescent="0.25">
      <c r="A708" t="s">
        <v>712</v>
      </c>
      <c r="B708">
        <v>0.99673306730245903</v>
      </c>
      <c r="C708">
        <v>0.94637376985311605</v>
      </c>
      <c r="D708">
        <v>0.92021186214003903</v>
      </c>
      <c r="E708">
        <v>0.91796527939480299</v>
      </c>
      <c r="F708">
        <v>0.66117641790159898</v>
      </c>
      <c r="G708">
        <v>0.39748477785888597</v>
      </c>
      <c r="H708">
        <v>0.21205257726951299</v>
      </c>
      <c r="I708">
        <v>0.14926279218223401</v>
      </c>
      <c r="J708">
        <v>0.142860530068213</v>
      </c>
      <c r="K708">
        <v>0.120477138360036</v>
      </c>
      <c r="L708">
        <v>1054.2474444095401</v>
      </c>
      <c r="M708">
        <v>19.302390418322599</v>
      </c>
      <c r="N708">
        <v>55.312139793586397</v>
      </c>
      <c r="O708">
        <v>54.0413689625071</v>
      </c>
      <c r="P708">
        <v>-7.9685748394019998E-2</v>
      </c>
      <c r="Q708">
        <v>0.10764096008308301</v>
      </c>
      <c r="R708">
        <v>0.99481939702885502</v>
      </c>
      <c r="S708" t="s">
        <v>7160</v>
      </c>
      <c r="T708" t="s">
        <v>12902</v>
      </c>
      <c r="U708" t="s">
        <v>12902</v>
      </c>
      <c r="V708" t="s">
        <v>12902</v>
      </c>
      <c r="W708" t="s">
        <v>13598</v>
      </c>
      <c r="X708">
        <v>6</v>
      </c>
      <c r="Y708" t="s">
        <v>19994</v>
      </c>
      <c r="Z708" t="s">
        <v>26283</v>
      </c>
      <c r="AA708">
        <v>0.55509670371916053</v>
      </c>
      <c r="AB708" t="str">
        <f>HYPERLINK("Melting_Curves/meltCurve_F8VW41_PACS2.pdf", "Melting_Curves/meltCurve_F8VW41_PACS2.pdf")</f>
        <v>Melting_Curves/meltCurve_F8VW41_PACS2.pdf</v>
      </c>
    </row>
    <row r="709" spans="1:28" x14ac:dyDescent="0.25">
      <c r="A709" t="s">
        <v>713</v>
      </c>
      <c r="B709">
        <v>0.99673306730245903</v>
      </c>
      <c r="C709">
        <v>1.01884901401821</v>
      </c>
      <c r="D709">
        <v>0.99931649520550303</v>
      </c>
      <c r="E709">
        <v>0.96036573675043801</v>
      </c>
      <c r="F709">
        <v>0.77811670045104597</v>
      </c>
      <c r="G709">
        <v>0.66546010378924703</v>
      </c>
      <c r="H709">
        <v>0.48202026601988002</v>
      </c>
      <c r="I709">
        <v>0.62918410168987504</v>
      </c>
      <c r="J709">
        <v>0.65040220382430003</v>
      </c>
      <c r="K709">
        <v>0.55299452542049699</v>
      </c>
      <c r="L709">
        <v>1651.1384421445</v>
      </c>
      <c r="M709">
        <v>31.089065419701001</v>
      </c>
      <c r="O709">
        <v>52.891669178610499</v>
      </c>
      <c r="P709">
        <v>-6.1298889446297501E-2</v>
      </c>
      <c r="Q709">
        <v>0.58285255838512695</v>
      </c>
      <c r="R709">
        <v>0.94492389857010595</v>
      </c>
      <c r="S709" t="s">
        <v>7161</v>
      </c>
      <c r="T709" t="s">
        <v>12902</v>
      </c>
      <c r="U709" t="s">
        <v>12902</v>
      </c>
      <c r="V709" t="s">
        <v>12902</v>
      </c>
      <c r="W709" t="s">
        <v>13599</v>
      </c>
      <c r="X709">
        <v>12</v>
      </c>
      <c r="Y709" t="s">
        <v>19995</v>
      </c>
      <c r="Z709" t="s">
        <v>26284</v>
      </c>
      <c r="AA709">
        <v>0.76767147725619556</v>
      </c>
      <c r="AB709" t="str">
        <f>HYPERLINK("Melting_Curves/meltCurve_F8VW96_CSRP2.pdf", "Melting_Curves/meltCurve_F8VW96_CSRP2.pdf")</f>
        <v>Melting_Curves/meltCurve_F8VW96_CSRP2.pdf</v>
      </c>
    </row>
    <row r="710" spans="1:28" x14ac:dyDescent="0.25">
      <c r="A710" t="s">
        <v>714</v>
      </c>
      <c r="B710">
        <v>0.99673306730245903</v>
      </c>
      <c r="C710">
        <v>0.92232827378737703</v>
      </c>
      <c r="D710">
        <v>0.86692874550460897</v>
      </c>
      <c r="E710">
        <v>0.52939967104819696</v>
      </c>
      <c r="F710">
        <v>0.27139487571499199</v>
      </c>
      <c r="G710">
        <v>0.19549684030119599</v>
      </c>
      <c r="H710">
        <v>0.136347982792067</v>
      </c>
      <c r="I710">
        <v>9.3058470811851701E-2</v>
      </c>
      <c r="J710">
        <v>8.0564136954109605E-2</v>
      </c>
      <c r="K710">
        <v>7.0630057363014198E-2</v>
      </c>
      <c r="L710">
        <v>935.08098645855398</v>
      </c>
      <c r="M710">
        <v>18.839943579863199</v>
      </c>
      <c r="N710">
        <v>50.133001150127001</v>
      </c>
      <c r="O710">
        <v>49.083847658807301</v>
      </c>
      <c r="P710">
        <v>-8.7741141674577194E-2</v>
      </c>
      <c r="Q710">
        <v>8.5667039853867394E-2</v>
      </c>
      <c r="R710">
        <v>0.99617516449445098</v>
      </c>
      <c r="S710" t="s">
        <v>7162</v>
      </c>
      <c r="T710" t="s">
        <v>12902</v>
      </c>
      <c r="U710" t="s">
        <v>12902</v>
      </c>
      <c r="V710" t="s">
        <v>12902</v>
      </c>
      <c r="W710" t="s">
        <v>13600</v>
      </c>
      <c r="X710">
        <v>8</v>
      </c>
      <c r="Y710" t="s">
        <v>19996</v>
      </c>
      <c r="Z710" t="s">
        <v>26285</v>
      </c>
      <c r="AA710">
        <v>0.39359763849678558</v>
      </c>
      <c r="AB710" t="str">
        <f>HYPERLINK("Melting_Curves/meltCurve_F8VWA6_MON2.pdf", "Melting_Curves/meltCurve_F8VWA6_MON2.pdf")</f>
        <v>Melting_Curves/meltCurve_F8VWA6_MON2.pdf</v>
      </c>
    </row>
    <row r="711" spans="1:28" x14ac:dyDescent="0.25">
      <c r="A711" t="s">
        <v>715</v>
      </c>
      <c r="B711">
        <v>0.99673306730245903</v>
      </c>
      <c r="C711">
        <v>0.96354334020377197</v>
      </c>
      <c r="D711">
        <v>0.92967163084962401</v>
      </c>
      <c r="E711">
        <v>0.88927343364809797</v>
      </c>
      <c r="F711">
        <v>0.35686258029474299</v>
      </c>
      <c r="G711">
        <v>0.14747094794723201</v>
      </c>
      <c r="H711">
        <v>6.0972436801818602E-2</v>
      </c>
      <c r="I711">
        <v>3.4880958228187701E-2</v>
      </c>
      <c r="J711">
        <v>4.8580916327192102E-2</v>
      </c>
      <c r="K711">
        <v>3.9140589544727898E-2</v>
      </c>
      <c r="L711">
        <v>1765.9883030518099</v>
      </c>
      <c r="M711">
        <v>33.830754021758899</v>
      </c>
      <c r="N711">
        <v>52.363375268663702</v>
      </c>
      <c r="O711">
        <v>52.019299872369999</v>
      </c>
      <c r="P711">
        <v>-0.154476983845063</v>
      </c>
      <c r="Q711">
        <v>4.9887965902423698E-2</v>
      </c>
      <c r="R711">
        <v>0.99529452666559104</v>
      </c>
      <c r="S711" t="s">
        <v>7163</v>
      </c>
      <c r="T711" t="s">
        <v>12902</v>
      </c>
      <c r="U711" t="s">
        <v>12902</v>
      </c>
      <c r="V711" t="s">
        <v>12902</v>
      </c>
      <c r="W711" t="s">
        <v>13601</v>
      </c>
      <c r="X711">
        <v>1</v>
      </c>
      <c r="Y711" t="s">
        <v>19997</v>
      </c>
      <c r="Z711" t="s">
        <v>26286</v>
      </c>
      <c r="AA711">
        <v>0.44108275559066518</v>
      </c>
      <c r="AB711" t="str">
        <f>HYPERLINK("Melting_Curves/meltCurve_F8VWA9_ALG10B.pdf", "Melting_Curves/meltCurve_F8VWA9_ALG10B.pdf")</f>
        <v>Melting_Curves/meltCurve_F8VWA9_ALG10B.pdf</v>
      </c>
    </row>
    <row r="712" spans="1:28" x14ac:dyDescent="0.25">
      <c r="A712" t="s">
        <v>716</v>
      </c>
      <c r="B712">
        <v>0.99673306730245903</v>
      </c>
      <c r="C712">
        <v>0.81263815726834299</v>
      </c>
      <c r="D712">
        <v>1.0712876014149599</v>
      </c>
      <c r="E712">
        <v>0.86107335265958496</v>
      </c>
      <c r="F712">
        <v>0.68682425665608204</v>
      </c>
      <c r="G712">
        <v>0.58444552822478801</v>
      </c>
      <c r="H712">
        <v>0.65084800314743796</v>
      </c>
      <c r="I712">
        <v>0.56637969968695301</v>
      </c>
      <c r="J712">
        <v>0.29951728121523502</v>
      </c>
      <c r="K712">
        <v>0.25311919508793401</v>
      </c>
      <c r="L712">
        <v>437.48824422032402</v>
      </c>
      <c r="M712">
        <v>7.0339947337413999</v>
      </c>
      <c r="N712">
        <v>62.196271141691497</v>
      </c>
      <c r="O712">
        <v>57.755231723418902</v>
      </c>
      <c r="P712">
        <v>-3.05028899108565E-2</v>
      </c>
      <c r="Q712">
        <v>0</v>
      </c>
      <c r="R712">
        <v>0.86066200351463595</v>
      </c>
      <c r="S712" t="s">
        <v>7164</v>
      </c>
      <c r="T712" t="s">
        <v>12902</v>
      </c>
      <c r="U712" t="s">
        <v>12902</v>
      </c>
      <c r="V712" t="s">
        <v>12902</v>
      </c>
      <c r="W712" t="s">
        <v>13602</v>
      </c>
      <c r="X712">
        <v>7</v>
      </c>
      <c r="Y712" t="s">
        <v>19998</v>
      </c>
      <c r="Z712" t="s">
        <v>26287</v>
      </c>
      <c r="AA712">
        <v>0.69006486768643904</v>
      </c>
      <c r="AB712" t="str">
        <f>HYPERLINK("Melting_Curves/meltCurve_F8VX04_SLC38A1.pdf", "Melting_Curves/meltCurve_F8VX04_SLC38A1.pdf")</f>
        <v>Melting_Curves/meltCurve_F8VX04_SLC38A1.pdf</v>
      </c>
    </row>
    <row r="713" spans="1:28" x14ac:dyDescent="0.25">
      <c r="A713" t="s">
        <v>717</v>
      </c>
      <c r="B713">
        <v>0.99673306730245903</v>
      </c>
      <c r="C713">
        <v>0.92756424662395398</v>
      </c>
      <c r="D713">
        <v>0.88283864166341797</v>
      </c>
      <c r="E713">
        <v>0.78041397357497799</v>
      </c>
      <c r="F713">
        <v>0.71558556669869</v>
      </c>
      <c r="G713">
        <v>0.56636670940530798</v>
      </c>
      <c r="H713">
        <v>0.44037291485910102</v>
      </c>
      <c r="I713">
        <v>0.67901765641004597</v>
      </c>
      <c r="J713">
        <v>1.3572521609768899</v>
      </c>
      <c r="K713">
        <v>1.61238232485498</v>
      </c>
      <c r="L713">
        <v>15000</v>
      </c>
      <c r="M713">
        <v>224.46374705982299</v>
      </c>
      <c r="O713">
        <v>66.820653580150406</v>
      </c>
      <c r="P713">
        <v>0.41989977973572901</v>
      </c>
      <c r="Q713">
        <v>1.5</v>
      </c>
      <c r="R713">
        <v>0.332767978317349</v>
      </c>
      <c r="S713" t="s">
        <v>7165</v>
      </c>
      <c r="T713" t="s">
        <v>12902</v>
      </c>
      <c r="U713" t="s">
        <v>12902</v>
      </c>
      <c r="V713" t="s">
        <v>12902</v>
      </c>
      <c r="W713" t="s">
        <v>13603</v>
      </c>
      <c r="X713">
        <v>26</v>
      </c>
      <c r="Y713" t="s">
        <v>19999</v>
      </c>
      <c r="Z713" t="s">
        <v>26288</v>
      </c>
      <c r="AA713">
        <v>1.052828530830676</v>
      </c>
      <c r="AB713" t="str">
        <f>HYPERLINK("Melting_Curves/meltCurve_F8VXG7_SCAF11.pdf", "Melting_Curves/meltCurve_F8VXG7_SCAF11.pdf")</f>
        <v>Melting_Curves/meltCurve_F8VXG7_SCAF11.pdf</v>
      </c>
    </row>
    <row r="714" spans="1:28" x14ac:dyDescent="0.25">
      <c r="A714" t="s">
        <v>718</v>
      </c>
      <c r="B714">
        <v>0.99673306730245903</v>
      </c>
      <c r="C714">
        <v>0.97072661390137505</v>
      </c>
      <c r="D714">
        <v>0.95362942314617305</v>
      </c>
      <c r="E714">
        <v>0.87316636742366605</v>
      </c>
      <c r="F714">
        <v>0.35925967797571401</v>
      </c>
      <c r="G714">
        <v>0.150018555235127</v>
      </c>
      <c r="H714">
        <v>8.1501782141845905E-2</v>
      </c>
      <c r="I714">
        <v>6.7702332068662899E-2</v>
      </c>
      <c r="J714">
        <v>6.9612186478114596E-2</v>
      </c>
      <c r="K714">
        <v>5.9225876024565499E-2</v>
      </c>
      <c r="L714">
        <v>1781.7685699369499</v>
      </c>
      <c r="M714">
        <v>34.222030236029703</v>
      </c>
      <c r="N714">
        <v>52.302201081210399</v>
      </c>
      <c r="O714">
        <v>51.888138029555002</v>
      </c>
      <c r="P714">
        <v>-0.15303108786457101</v>
      </c>
      <c r="Q714">
        <v>7.1888187957153002E-2</v>
      </c>
      <c r="R714">
        <v>0.99785865397230999</v>
      </c>
      <c r="S714" t="s">
        <v>7166</v>
      </c>
      <c r="T714" t="s">
        <v>12902</v>
      </c>
      <c r="U714" t="s">
        <v>12902</v>
      </c>
      <c r="V714" t="s">
        <v>12902</v>
      </c>
      <c r="W714" t="s">
        <v>13604</v>
      </c>
      <c r="X714">
        <v>12</v>
      </c>
      <c r="Y714" t="s">
        <v>19992</v>
      </c>
      <c r="Z714" t="s">
        <v>26289</v>
      </c>
      <c r="AA714">
        <v>0.44970857514739548</v>
      </c>
      <c r="AB714" t="str">
        <f>HYPERLINK("Melting_Curves/meltCurve_F8VY35_NAP1L1.pdf", "Melting_Curves/meltCurve_F8VY35_NAP1L1.pdf")</f>
        <v>Melting_Curves/meltCurve_F8VY35_NAP1L1.pdf</v>
      </c>
    </row>
    <row r="715" spans="1:28" x14ac:dyDescent="0.25">
      <c r="A715" t="s">
        <v>719</v>
      </c>
      <c r="B715">
        <v>0.99673306730245903</v>
      </c>
      <c r="C715">
        <v>1.0040900026055299</v>
      </c>
      <c r="D715">
        <v>0.89913307873653103</v>
      </c>
      <c r="E715">
        <v>0.79335429452804695</v>
      </c>
      <c r="F715">
        <v>0.454703838695103</v>
      </c>
      <c r="G715">
        <v>0.23329137472795999</v>
      </c>
      <c r="H715">
        <v>0.13842447520019599</v>
      </c>
      <c r="I715">
        <v>0.109868803707039</v>
      </c>
      <c r="J715">
        <v>0.11967034095616701</v>
      </c>
      <c r="K715">
        <v>9.9933775794856294E-2</v>
      </c>
      <c r="L715">
        <v>1079.25321541379</v>
      </c>
      <c r="M715">
        <v>20.6846751437139</v>
      </c>
      <c r="N715">
        <v>52.722908705149202</v>
      </c>
      <c r="O715">
        <v>51.696136247501997</v>
      </c>
      <c r="P715">
        <v>-9.0381735954460696E-2</v>
      </c>
      <c r="Q715">
        <v>9.6480196831424697E-2</v>
      </c>
      <c r="R715">
        <v>0.99761579479264795</v>
      </c>
      <c r="S715" t="s">
        <v>7167</v>
      </c>
      <c r="T715" t="s">
        <v>12902</v>
      </c>
      <c r="U715" t="s">
        <v>12902</v>
      </c>
      <c r="V715" t="s">
        <v>12902</v>
      </c>
      <c r="W715" t="s">
        <v>13605</v>
      </c>
      <c r="X715">
        <v>3</v>
      </c>
      <c r="Y715" t="s">
        <v>20000</v>
      </c>
      <c r="Z715" t="s">
        <v>26290</v>
      </c>
      <c r="AA715">
        <v>0.47496573475942289</v>
      </c>
      <c r="AB715" t="str">
        <f>HYPERLINK("Melting_Curves/meltCurve_F8VYN9_ARL1.pdf", "Melting_Curves/meltCurve_F8VYN9_ARL1.pdf")</f>
        <v>Melting_Curves/meltCurve_F8VYN9_ARL1.pdf</v>
      </c>
    </row>
    <row r="716" spans="1:28" x14ac:dyDescent="0.25">
      <c r="A716" t="s">
        <v>720</v>
      </c>
      <c r="B716">
        <v>0.99673306730245903</v>
      </c>
      <c r="C716">
        <v>1.0117397150233101</v>
      </c>
      <c r="D716">
        <v>0.86069971410280499</v>
      </c>
      <c r="E716">
        <v>0.80965742879422697</v>
      </c>
      <c r="F716">
        <v>0.61822404679647502</v>
      </c>
      <c r="G716">
        <v>0.43422603859021203</v>
      </c>
      <c r="H716">
        <v>0.31444825929414399</v>
      </c>
      <c r="I716">
        <v>0.22527929196672999</v>
      </c>
      <c r="J716">
        <v>0.51421688621438999</v>
      </c>
      <c r="K716">
        <v>0.36579557525124301</v>
      </c>
      <c r="L716">
        <v>965.95453685359701</v>
      </c>
      <c r="M716">
        <v>18.704718698510099</v>
      </c>
      <c r="N716">
        <v>55.038746107151503</v>
      </c>
      <c r="O716">
        <v>51.062877658115802</v>
      </c>
      <c r="P716">
        <v>-6.0227482550252003E-2</v>
      </c>
      <c r="Q716">
        <v>0.342356711225972</v>
      </c>
      <c r="R716">
        <v>0.92279024789093</v>
      </c>
      <c r="S716" t="s">
        <v>7168</v>
      </c>
      <c r="T716" t="s">
        <v>12902</v>
      </c>
      <c r="U716" t="s">
        <v>12902</v>
      </c>
      <c r="V716" t="s">
        <v>12902</v>
      </c>
      <c r="W716" t="s">
        <v>13606</v>
      </c>
      <c r="X716">
        <v>6</v>
      </c>
      <c r="Y716" t="s">
        <v>20001</v>
      </c>
      <c r="Z716" t="s">
        <v>26291</v>
      </c>
      <c r="AA716">
        <v>0.60785066391287335</v>
      </c>
      <c r="AB716" t="str">
        <f>HYPERLINK("Melting_Curves/meltCurve_F8VZA2_LETMD1.pdf", "Melting_Curves/meltCurve_F8VZA2_LETMD1.pdf")</f>
        <v>Melting_Curves/meltCurve_F8VZA2_LETMD1.pdf</v>
      </c>
    </row>
    <row r="717" spans="1:28" x14ac:dyDescent="0.25">
      <c r="A717" t="s">
        <v>721</v>
      </c>
      <c r="B717">
        <v>0.99673306730245903</v>
      </c>
      <c r="C717">
        <v>1.03134745674899</v>
      </c>
      <c r="D717">
        <v>0.97524023671072901</v>
      </c>
      <c r="E717">
        <v>0.98781797028729201</v>
      </c>
      <c r="F717">
        <v>0.91422082097774104</v>
      </c>
      <c r="G717">
        <v>0.77061286378559901</v>
      </c>
      <c r="H717">
        <v>0.52666353759511797</v>
      </c>
      <c r="I717">
        <v>0.94119644455288798</v>
      </c>
      <c r="J717">
        <v>1.08016299228029</v>
      </c>
      <c r="K717">
        <v>1.0165812009859501</v>
      </c>
      <c r="L717">
        <v>13268.1937331513</v>
      </c>
      <c r="M717">
        <v>250</v>
      </c>
      <c r="O717">
        <v>53.069378779844499</v>
      </c>
      <c r="P717">
        <v>-0.15658345772443699</v>
      </c>
      <c r="Q717">
        <v>0.867043411280497</v>
      </c>
      <c r="R717">
        <v>0.15979231305289399</v>
      </c>
      <c r="S717" t="s">
        <v>7169</v>
      </c>
      <c r="T717" t="s">
        <v>12902</v>
      </c>
      <c r="U717" t="s">
        <v>12902</v>
      </c>
      <c r="V717" t="s">
        <v>12902</v>
      </c>
      <c r="W717" t="s">
        <v>13607</v>
      </c>
      <c r="X717">
        <v>6</v>
      </c>
      <c r="Y717" t="s">
        <v>20002</v>
      </c>
      <c r="Z717" t="s">
        <v>26292</v>
      </c>
      <c r="AA717">
        <v>0.924992847113559</v>
      </c>
      <c r="AB717" t="str">
        <f>HYPERLINK("Melting_Curves/meltCurve_F8VZJ2_NACA.pdf", "Melting_Curves/meltCurve_F8VZJ2_NACA.pdf")</f>
        <v>Melting_Curves/meltCurve_F8VZJ2_NACA.pdf</v>
      </c>
    </row>
    <row r="718" spans="1:28" x14ac:dyDescent="0.25">
      <c r="A718" t="s">
        <v>722</v>
      </c>
      <c r="B718">
        <v>0.99673306730245903</v>
      </c>
      <c r="C718">
        <v>1.05148430944436</v>
      </c>
      <c r="D718">
        <v>1.0816708750506201</v>
      </c>
      <c r="E718">
        <v>0.97704048967099799</v>
      </c>
      <c r="F718">
        <v>0.71512208511739705</v>
      </c>
      <c r="G718">
        <v>0.43001099017308803</v>
      </c>
      <c r="H718">
        <v>0.32518304016282801</v>
      </c>
      <c r="I718">
        <v>0.48976750553406601</v>
      </c>
      <c r="J718">
        <v>0.75583991127037697</v>
      </c>
      <c r="K718">
        <v>0.66558905569400095</v>
      </c>
      <c r="L718">
        <v>13276.1178840432</v>
      </c>
      <c r="M718">
        <v>250</v>
      </c>
      <c r="O718">
        <v>53.101073990017703</v>
      </c>
      <c r="P718">
        <v>-0.54933200223836498</v>
      </c>
      <c r="Q718">
        <v>0.53327809873451604</v>
      </c>
      <c r="R718">
        <v>0.80252040714874395</v>
      </c>
      <c r="S718" t="s">
        <v>7170</v>
      </c>
      <c r="T718" t="s">
        <v>12902</v>
      </c>
      <c r="U718" t="s">
        <v>12902</v>
      </c>
      <c r="V718" t="s">
        <v>12902</v>
      </c>
      <c r="W718" t="s">
        <v>13608</v>
      </c>
      <c r="X718">
        <v>18</v>
      </c>
      <c r="Z718" t="s">
        <v>26293</v>
      </c>
      <c r="AA718">
        <v>0.73719305840680371</v>
      </c>
      <c r="AB718" t="str">
        <f>HYPERLINK("Melting_Curves/meltCurve_F8W031_.pdf", "Melting_Curves/meltCurve_F8W031_.pdf")</f>
        <v>Melting_Curves/meltCurve_F8W031_.pdf</v>
      </c>
    </row>
    <row r="719" spans="1:28" x14ac:dyDescent="0.25">
      <c r="A719" t="s">
        <v>723</v>
      </c>
      <c r="B719">
        <v>0.99673306730245903</v>
      </c>
      <c r="C719">
        <v>1.0218081209791301</v>
      </c>
      <c r="D719">
        <v>0.93976220009207601</v>
      </c>
      <c r="E719">
        <v>0.816669026389096</v>
      </c>
      <c r="F719">
        <v>0.66081336527736501</v>
      </c>
      <c r="G719">
        <v>0.451392434675913</v>
      </c>
      <c r="H719">
        <v>0.263706209930331</v>
      </c>
      <c r="I719">
        <v>0.27338569697145998</v>
      </c>
      <c r="J719">
        <v>0.32092453142335498</v>
      </c>
      <c r="K719">
        <v>0.27277208065960201</v>
      </c>
      <c r="L719">
        <v>962.15982049708998</v>
      </c>
      <c r="M719">
        <v>18.071349918711199</v>
      </c>
      <c r="N719">
        <v>55.4412137941883</v>
      </c>
      <c r="O719">
        <v>52.603150665149201</v>
      </c>
      <c r="P719">
        <v>-6.3916129599818197E-2</v>
      </c>
      <c r="Q719">
        <v>0.25583277230024098</v>
      </c>
      <c r="R719">
        <v>0.98942099775282899</v>
      </c>
      <c r="S719" t="s">
        <v>7171</v>
      </c>
      <c r="T719" t="s">
        <v>12902</v>
      </c>
      <c r="U719" t="s">
        <v>12902</v>
      </c>
      <c r="V719" t="s">
        <v>12902</v>
      </c>
      <c r="W719" t="s">
        <v>13609</v>
      </c>
      <c r="X719">
        <v>7</v>
      </c>
      <c r="Y719" t="s">
        <v>20003</v>
      </c>
      <c r="Z719" t="s">
        <v>26294</v>
      </c>
      <c r="AA719">
        <v>0.59636584683172156</v>
      </c>
      <c r="AB719" t="str">
        <f>HYPERLINK("Melting_Curves/meltCurve_F8W038_C17orf49.pdf", "Melting_Curves/meltCurve_F8W038_C17orf49.pdf")</f>
        <v>Melting_Curves/meltCurve_F8W038_C17orf49.pdf</v>
      </c>
    </row>
    <row r="720" spans="1:28" x14ac:dyDescent="0.25">
      <c r="A720" t="s">
        <v>724</v>
      </c>
      <c r="B720">
        <v>0.99673306730245903</v>
      </c>
      <c r="C720">
        <v>0.91295625908038303</v>
      </c>
      <c r="D720">
        <v>0.85535955680294995</v>
      </c>
      <c r="E720">
        <v>0.75119691157506596</v>
      </c>
      <c r="F720">
        <v>0.69765972872800497</v>
      </c>
      <c r="G720">
        <v>0.67288438224060698</v>
      </c>
      <c r="H720">
        <v>0.59761883654348502</v>
      </c>
      <c r="I720">
        <v>1.05709158344534</v>
      </c>
      <c r="J720">
        <v>1.8485065670377201</v>
      </c>
      <c r="K720">
        <v>2.2223018107079699</v>
      </c>
      <c r="L720">
        <v>15000</v>
      </c>
      <c r="M720">
        <v>232.336508357958</v>
      </c>
      <c r="O720">
        <v>64.556744557629003</v>
      </c>
      <c r="P720">
        <v>0.44986877514312401</v>
      </c>
      <c r="Q720">
        <v>1.5</v>
      </c>
      <c r="R720">
        <v>0.58412045057621698</v>
      </c>
      <c r="S720" t="s">
        <v>7172</v>
      </c>
      <c r="T720" t="s">
        <v>12902</v>
      </c>
      <c r="U720" t="s">
        <v>12902</v>
      </c>
      <c r="V720" t="s">
        <v>12902</v>
      </c>
      <c r="W720" t="s">
        <v>13610</v>
      </c>
      <c r="X720">
        <v>9</v>
      </c>
      <c r="Y720" t="s">
        <v>20004</v>
      </c>
      <c r="Z720" t="s">
        <v>26295</v>
      </c>
      <c r="AA720">
        <v>1.090575603348358</v>
      </c>
      <c r="AB720" t="str">
        <f>HYPERLINK("Melting_Curves/meltCurve_F8W0Q9_PPHLN1.pdf", "Melting_Curves/meltCurve_F8W0Q9_PPHLN1.pdf")</f>
        <v>Melting_Curves/meltCurve_F8W0Q9_PPHLN1.pdf</v>
      </c>
    </row>
    <row r="721" spans="1:28" x14ac:dyDescent="0.25">
      <c r="A721" t="s">
        <v>725</v>
      </c>
      <c r="B721">
        <v>0.99673306730245903</v>
      </c>
      <c r="C721">
        <v>0.93174291264968501</v>
      </c>
      <c r="D721">
        <v>0.89915474233065296</v>
      </c>
      <c r="E721">
        <v>0.70760609196740298</v>
      </c>
      <c r="F721">
        <v>0.59172281726221998</v>
      </c>
      <c r="G721">
        <v>0.42564414049606197</v>
      </c>
      <c r="H721">
        <v>0.43288218341821599</v>
      </c>
      <c r="I721">
        <v>0.41109985251692199</v>
      </c>
      <c r="J721">
        <v>0.48702728132971501</v>
      </c>
      <c r="K721">
        <v>0.371318137402881</v>
      </c>
      <c r="L721">
        <v>844.22928840269697</v>
      </c>
      <c r="M721">
        <v>16.930680461733601</v>
      </c>
      <c r="N721">
        <v>55.3582070266771</v>
      </c>
      <c r="O721">
        <v>49.183809575356499</v>
      </c>
      <c r="P721">
        <v>-5.1048759074753799E-2</v>
      </c>
      <c r="Q721">
        <v>0.40684842027968199</v>
      </c>
      <c r="R721">
        <v>0.97756678570090605</v>
      </c>
      <c r="S721" t="s">
        <v>7173</v>
      </c>
      <c r="T721" t="s">
        <v>12902</v>
      </c>
      <c r="U721" t="s">
        <v>12902</v>
      </c>
      <c r="V721" t="s">
        <v>12902</v>
      </c>
      <c r="W721" t="s">
        <v>13611</v>
      </c>
      <c r="X721">
        <v>1</v>
      </c>
      <c r="Y721" t="s">
        <v>20005</v>
      </c>
      <c r="Z721" t="s">
        <v>26296</v>
      </c>
      <c r="AA721">
        <v>0.61325412471990171</v>
      </c>
      <c r="AB721" t="str">
        <f>HYPERLINK("Melting_Curves/meltCurve_F8W1P7_SLC11A2.pdf", "Melting_Curves/meltCurve_F8W1P7_SLC11A2.pdf")</f>
        <v>Melting_Curves/meltCurve_F8W1P7_SLC11A2.pdf</v>
      </c>
    </row>
    <row r="722" spans="1:28" x14ac:dyDescent="0.25">
      <c r="A722" t="s">
        <v>726</v>
      </c>
      <c r="B722">
        <v>0.99673306730245903</v>
      </c>
      <c r="C722">
        <v>0.92848336523193697</v>
      </c>
      <c r="D722">
        <v>0.83085657723376005</v>
      </c>
      <c r="E722">
        <v>0.97882581258792201</v>
      </c>
      <c r="F722">
        <v>0.70082469923453905</v>
      </c>
      <c r="G722">
        <v>0.64122882703851203</v>
      </c>
      <c r="H722">
        <v>0.398702276403817</v>
      </c>
      <c r="I722">
        <v>0.24406117409412001</v>
      </c>
      <c r="J722">
        <v>0.15545926207359401</v>
      </c>
      <c r="K722">
        <v>0.11749813621215099</v>
      </c>
      <c r="L722">
        <v>690.52009255419603</v>
      </c>
      <c r="M722">
        <v>11.815168356929901</v>
      </c>
      <c r="N722">
        <v>58.443529737992101</v>
      </c>
      <c r="O722">
        <v>56.844731989162497</v>
      </c>
      <c r="P722">
        <v>-5.1975771406575902E-2</v>
      </c>
      <c r="Q722">
        <v>0</v>
      </c>
      <c r="R722">
        <v>0.96649585925799697</v>
      </c>
      <c r="S722" t="s">
        <v>7174</v>
      </c>
      <c r="T722" t="s">
        <v>12902</v>
      </c>
      <c r="U722" t="s">
        <v>12902</v>
      </c>
      <c r="V722" t="s">
        <v>12902</v>
      </c>
      <c r="W722" t="s">
        <v>13612</v>
      </c>
      <c r="X722">
        <v>2</v>
      </c>
      <c r="Y722" t="s">
        <v>20006</v>
      </c>
      <c r="Z722" t="s">
        <v>26297</v>
      </c>
      <c r="AA722">
        <v>0.62523181504475567</v>
      </c>
      <c r="AB722" t="str">
        <f>HYPERLINK("Melting_Curves/meltCurve_F8W1Q3_BTD.pdf", "Melting_Curves/meltCurve_F8W1Q3_BTD.pdf")</f>
        <v>Melting_Curves/meltCurve_F8W1Q3_BTD.pdf</v>
      </c>
    </row>
    <row r="723" spans="1:28" x14ac:dyDescent="0.25">
      <c r="A723" t="s">
        <v>727</v>
      </c>
      <c r="B723">
        <v>0.99673306730245903</v>
      </c>
      <c r="C723">
        <v>0.94452239178547404</v>
      </c>
      <c r="D723">
        <v>0.85951790877399503</v>
      </c>
      <c r="E723">
        <v>0.66894937360567497</v>
      </c>
      <c r="F723">
        <v>0.30349160286398202</v>
      </c>
      <c r="G723">
        <v>0.17483055331768399</v>
      </c>
      <c r="H723">
        <v>0.11751476403486</v>
      </c>
      <c r="I723">
        <v>0.14400349249029201</v>
      </c>
      <c r="J723">
        <v>0.16047343944720399</v>
      </c>
      <c r="K723">
        <v>0.16005699247206101</v>
      </c>
      <c r="L723">
        <v>1133.6301942434</v>
      </c>
      <c r="M723">
        <v>22.574610956823701</v>
      </c>
      <c r="N723">
        <v>50.918190272882299</v>
      </c>
      <c r="O723">
        <v>49.827963238896899</v>
      </c>
      <c r="P723">
        <v>-9.8133580725041997E-2</v>
      </c>
      <c r="Q723">
        <v>0.13359340243700901</v>
      </c>
      <c r="R723">
        <v>0.99344426126950702</v>
      </c>
      <c r="S723" t="s">
        <v>7175</v>
      </c>
      <c r="T723" t="s">
        <v>12902</v>
      </c>
      <c r="U723" t="s">
        <v>12902</v>
      </c>
      <c r="V723" t="s">
        <v>12902</v>
      </c>
      <c r="W723" t="s">
        <v>13613</v>
      </c>
      <c r="X723">
        <v>14</v>
      </c>
      <c r="Y723" t="s">
        <v>20007</v>
      </c>
      <c r="Z723" t="s">
        <v>26298</v>
      </c>
      <c r="AA723">
        <v>0.43817289746122912</v>
      </c>
      <c r="AB723" t="str">
        <f>HYPERLINK("Melting_Curves/meltCurve_F8W689_RFX5.pdf", "Melting_Curves/meltCurve_F8W689_RFX5.pdf")</f>
        <v>Melting_Curves/meltCurve_F8W689_RFX5.pdf</v>
      </c>
    </row>
    <row r="724" spans="1:28" x14ac:dyDescent="0.25">
      <c r="A724" t="s">
        <v>728</v>
      </c>
      <c r="B724">
        <v>0.99673306730245903</v>
      </c>
      <c r="C724">
        <v>0.93537644638533002</v>
      </c>
      <c r="D724">
        <v>0.948772002962044</v>
      </c>
      <c r="E724">
        <v>0.89237907989031395</v>
      </c>
      <c r="F724">
        <v>0.34200740488182901</v>
      </c>
      <c r="G724">
        <v>0.222947693461228</v>
      </c>
      <c r="H724">
        <v>0.127345637969183</v>
      </c>
      <c r="I724">
        <v>0.131577749423335</v>
      </c>
      <c r="J724">
        <v>0.15570461468603899</v>
      </c>
      <c r="K724">
        <v>0.16861674603489701</v>
      </c>
      <c r="L724">
        <v>2191.4579919045</v>
      </c>
      <c r="M724">
        <v>42.373978708601598</v>
      </c>
      <c r="N724">
        <v>52.1754479340171</v>
      </c>
      <c r="O724">
        <v>51.602284084057104</v>
      </c>
      <c r="P724">
        <v>-0.173385999491566</v>
      </c>
      <c r="Q724">
        <v>0.15541574268116001</v>
      </c>
      <c r="R724">
        <v>0.99236680816194001</v>
      </c>
      <c r="S724" t="s">
        <v>7176</v>
      </c>
      <c r="T724" t="s">
        <v>12902</v>
      </c>
      <c r="U724" t="s">
        <v>12902</v>
      </c>
      <c r="V724" t="s">
        <v>12902</v>
      </c>
      <c r="W724" t="s">
        <v>13614</v>
      </c>
      <c r="X724">
        <v>22</v>
      </c>
      <c r="Y724" t="s">
        <v>20008</v>
      </c>
      <c r="Z724" t="s">
        <v>26299</v>
      </c>
      <c r="AA724">
        <v>0.48797176836061901</v>
      </c>
      <c r="AB724" t="str">
        <f>HYPERLINK("Melting_Curves/meltCurve_F8W6I7_HNRNPA1.pdf", "Melting_Curves/meltCurve_F8W6I7_HNRNPA1.pdf")</f>
        <v>Melting_Curves/meltCurve_F8W6I7_HNRNPA1.pdf</v>
      </c>
    </row>
    <row r="725" spans="1:28" x14ac:dyDescent="0.25">
      <c r="A725" t="s">
        <v>729</v>
      </c>
      <c r="B725">
        <v>0.99673306730245903</v>
      </c>
      <c r="C725">
        <v>0.90863778752204705</v>
      </c>
      <c r="D725">
        <v>0.76343662015056901</v>
      </c>
      <c r="E725">
        <v>0.676958232867095</v>
      </c>
      <c r="F725">
        <v>0.40342186933881602</v>
      </c>
      <c r="G725">
        <v>0.20695004749635099</v>
      </c>
      <c r="H725">
        <v>0.14679322275784601</v>
      </c>
      <c r="I725">
        <v>0.13640206048662301</v>
      </c>
      <c r="J725">
        <v>0.164958090201551</v>
      </c>
      <c r="K725">
        <v>8.8606106809717103E-2</v>
      </c>
      <c r="L725">
        <v>692.61339366178095</v>
      </c>
      <c r="M725">
        <v>13.6584310432732</v>
      </c>
      <c r="N725">
        <v>51.383977893917802</v>
      </c>
      <c r="O725">
        <v>49.659597160324701</v>
      </c>
      <c r="P725">
        <v>-6.31272660654075E-2</v>
      </c>
      <c r="Q725">
        <v>8.2055970050584306E-2</v>
      </c>
      <c r="R725">
        <v>0.98769103729860097</v>
      </c>
      <c r="S725" t="s">
        <v>7177</v>
      </c>
      <c r="T725" t="s">
        <v>12902</v>
      </c>
      <c r="U725" t="s">
        <v>12902</v>
      </c>
      <c r="V725" t="s">
        <v>12902</v>
      </c>
      <c r="W725" t="s">
        <v>13615</v>
      </c>
      <c r="X725">
        <v>3</v>
      </c>
      <c r="Y725" t="s">
        <v>20009</v>
      </c>
      <c r="Z725" t="s">
        <v>26300</v>
      </c>
      <c r="AA725">
        <v>0.43472101321288459</v>
      </c>
      <c r="AB725" t="str">
        <f>HYPERLINK("Melting_Curves/meltCurve_F8W6N3_BAP1.pdf", "Melting_Curves/meltCurve_F8W6N3_BAP1.pdf")</f>
        <v>Melting_Curves/meltCurve_F8W6N3_BAP1.pdf</v>
      </c>
    </row>
    <row r="726" spans="1:28" x14ac:dyDescent="0.25">
      <c r="A726" t="s">
        <v>730</v>
      </c>
      <c r="B726">
        <v>0.99673306730245903</v>
      </c>
      <c r="C726">
        <v>0.97307226060252905</v>
      </c>
      <c r="D726">
        <v>1.0020765923678201</v>
      </c>
      <c r="E726">
        <v>0.83509219980913496</v>
      </c>
      <c r="F726">
        <v>0.53102043313004998</v>
      </c>
      <c r="G726">
        <v>0.39808141022182802</v>
      </c>
      <c r="H726">
        <v>0.368255399507804</v>
      </c>
      <c r="I726">
        <v>0.51994553710994895</v>
      </c>
      <c r="J726">
        <v>0.84274697198806403</v>
      </c>
      <c r="K726">
        <v>0.94945195920557202</v>
      </c>
      <c r="L726">
        <v>12417.2524737084</v>
      </c>
      <c r="M726">
        <v>250</v>
      </c>
      <c r="O726">
        <v>49.665831632673502</v>
      </c>
      <c r="P726">
        <v>-0.50137133126280398</v>
      </c>
      <c r="Q726">
        <v>0.60158361628886103</v>
      </c>
      <c r="R726">
        <v>0.52062943148097895</v>
      </c>
      <c r="S726" t="s">
        <v>7178</v>
      </c>
      <c r="T726" t="s">
        <v>12902</v>
      </c>
      <c r="U726" t="s">
        <v>12902</v>
      </c>
      <c r="V726" t="s">
        <v>12902</v>
      </c>
      <c r="W726" t="s">
        <v>13616</v>
      </c>
      <c r="X726">
        <v>26</v>
      </c>
      <c r="Y726" t="s">
        <v>20010</v>
      </c>
      <c r="Z726" t="s">
        <v>26301</v>
      </c>
      <c r="AA726">
        <v>0.73002807746229548</v>
      </c>
      <c r="AB726" t="str">
        <f>HYPERLINK("Melting_Curves/meltCurve_F8W726_UBAP2L.pdf", "Melting_Curves/meltCurve_F8W726_UBAP2L.pdf")</f>
        <v>Melting_Curves/meltCurve_F8W726_UBAP2L.pdf</v>
      </c>
    </row>
    <row r="727" spans="1:28" x14ac:dyDescent="0.25">
      <c r="A727" t="s">
        <v>731</v>
      </c>
      <c r="B727">
        <v>0.99673306730245903</v>
      </c>
      <c r="C727">
        <v>0.72970975086534595</v>
      </c>
      <c r="D727">
        <v>0.69537596246793798</v>
      </c>
      <c r="E727">
        <v>0.634619055489961</v>
      </c>
      <c r="F727">
        <v>0.33722155784466501</v>
      </c>
      <c r="G727">
        <v>0.22934384674800601</v>
      </c>
      <c r="H727">
        <v>0.19311295111979801</v>
      </c>
      <c r="I727">
        <v>0.25864045887683901</v>
      </c>
      <c r="J727">
        <v>0.34731848119880299</v>
      </c>
      <c r="K727">
        <v>0.36800473120566701</v>
      </c>
      <c r="L727">
        <v>641.05266189865904</v>
      </c>
      <c r="M727">
        <v>13.6357357089943</v>
      </c>
      <c r="N727">
        <v>49.696525377921802</v>
      </c>
      <c r="O727">
        <v>46.036136206166802</v>
      </c>
      <c r="P727">
        <v>-5.4761408377902901E-2</v>
      </c>
      <c r="Q727">
        <v>0.26058003370896099</v>
      </c>
      <c r="R727">
        <v>0.89040604307973603</v>
      </c>
      <c r="S727" t="s">
        <v>7179</v>
      </c>
      <c r="T727" t="s">
        <v>12902</v>
      </c>
      <c r="U727" t="s">
        <v>12902</v>
      </c>
      <c r="V727" t="s">
        <v>12902</v>
      </c>
      <c r="W727" t="s">
        <v>13617</v>
      </c>
      <c r="X727">
        <v>15</v>
      </c>
      <c r="Y727" t="s">
        <v>20011</v>
      </c>
      <c r="Z727" t="s">
        <v>26302</v>
      </c>
      <c r="AA727">
        <v>0.45774859517630689</v>
      </c>
      <c r="AB727" t="str">
        <f>HYPERLINK("Melting_Curves/meltCurve_F8W785_GOLIM4.pdf", "Melting_Curves/meltCurve_F8W785_GOLIM4.pdf")</f>
        <v>Melting_Curves/meltCurve_F8W785_GOLIM4.pdf</v>
      </c>
    </row>
    <row r="728" spans="1:28" x14ac:dyDescent="0.25">
      <c r="A728" t="s">
        <v>732</v>
      </c>
      <c r="B728">
        <v>0.99673306730245903</v>
      </c>
      <c r="C728">
        <v>0.90803724265810803</v>
      </c>
      <c r="D728">
        <v>0.99403900198459705</v>
      </c>
      <c r="E728">
        <v>1.05328214842011</v>
      </c>
      <c r="F728">
        <v>0.94781444029260398</v>
      </c>
      <c r="G728">
        <v>0.89541925154889401</v>
      </c>
      <c r="H728">
        <v>0.80939514037663096</v>
      </c>
      <c r="I728">
        <v>0.156810147972337</v>
      </c>
      <c r="J728">
        <v>0.133299905664645</v>
      </c>
      <c r="K728">
        <v>0.10685746281793</v>
      </c>
      <c r="L728">
        <v>5221.7069228713299</v>
      </c>
      <c r="M728">
        <v>84.602232989065797</v>
      </c>
      <c r="N728">
        <v>61.918265017103998</v>
      </c>
      <c r="O728">
        <v>61.686215224666</v>
      </c>
      <c r="P728">
        <v>-0.302310858933377</v>
      </c>
      <c r="Q728">
        <v>0.11830173502965501</v>
      </c>
      <c r="R728">
        <v>0.98226755235799701</v>
      </c>
      <c r="S728" t="s">
        <v>7180</v>
      </c>
      <c r="T728" t="s">
        <v>12902</v>
      </c>
      <c r="U728" t="s">
        <v>12902</v>
      </c>
      <c r="V728" t="s">
        <v>12902</v>
      </c>
      <c r="W728" t="s">
        <v>13618</v>
      </c>
      <c r="X728">
        <v>8</v>
      </c>
      <c r="Y728" t="s">
        <v>20012</v>
      </c>
      <c r="Z728" t="s">
        <v>26303</v>
      </c>
      <c r="AA728">
        <v>0.75750521970633877</v>
      </c>
      <c r="AB728" t="str">
        <f>HYPERLINK("Melting_Curves/meltCurve_F8W7D6_GPHN.pdf", "Melting_Curves/meltCurve_F8W7D6_GPHN.pdf")</f>
        <v>Melting_Curves/meltCurve_F8W7D6_GPHN.pdf</v>
      </c>
    </row>
    <row r="729" spans="1:28" x14ac:dyDescent="0.25">
      <c r="A729" t="s">
        <v>733</v>
      </c>
      <c r="B729">
        <v>0.99673306730245903</v>
      </c>
      <c r="C729">
        <v>0.97148165775356099</v>
      </c>
      <c r="D729">
        <v>0.97424252090926999</v>
      </c>
      <c r="E729">
        <v>0.77847893298637505</v>
      </c>
      <c r="F729">
        <v>0.67271549339680003</v>
      </c>
      <c r="G729">
        <v>0.53693703424286099</v>
      </c>
      <c r="H729">
        <v>0.54187797725012199</v>
      </c>
      <c r="I729">
        <v>0.79579267660860398</v>
      </c>
      <c r="J729">
        <v>0.83421549082503499</v>
      </c>
      <c r="K729">
        <v>0.84961229984831199</v>
      </c>
      <c r="L729">
        <v>2453.5543061293502</v>
      </c>
      <c r="M729">
        <v>50.670364603122003</v>
      </c>
      <c r="O729">
        <v>48.346636637566903</v>
      </c>
      <c r="P729">
        <v>-7.7213965727691E-2</v>
      </c>
      <c r="Q729">
        <v>0.70530841392038301</v>
      </c>
      <c r="R729">
        <v>0.595540821208279</v>
      </c>
      <c r="S729" t="s">
        <v>7181</v>
      </c>
      <c r="T729" t="s">
        <v>12902</v>
      </c>
      <c r="U729" t="s">
        <v>12902</v>
      </c>
      <c r="V729" t="s">
        <v>12902</v>
      </c>
      <c r="W729" t="s">
        <v>13619</v>
      </c>
      <c r="X729">
        <v>3</v>
      </c>
      <c r="Y729" t="s">
        <v>20013</v>
      </c>
      <c r="Z729" t="s">
        <v>26304</v>
      </c>
      <c r="AA729">
        <v>0.78864992536013478</v>
      </c>
      <c r="AB729" t="str">
        <f>HYPERLINK("Melting_Curves/meltCurve_F8W7Q4_FAM162A.pdf", "Melting_Curves/meltCurve_F8W7Q4_FAM162A.pdf")</f>
        <v>Melting_Curves/meltCurve_F8W7Q4_FAM162A.pdf</v>
      </c>
    </row>
    <row r="730" spans="1:28" x14ac:dyDescent="0.25">
      <c r="A730" t="s">
        <v>734</v>
      </c>
      <c r="B730">
        <v>0.99673306730245903</v>
      </c>
      <c r="C730">
        <v>0.828653007075558</v>
      </c>
      <c r="D730">
        <v>0.74957503978026696</v>
      </c>
      <c r="E730">
        <v>0.36726362381109301</v>
      </c>
      <c r="F730">
        <v>0.21001161854761699</v>
      </c>
      <c r="G730">
        <v>0.15199750745591301</v>
      </c>
      <c r="H730">
        <v>7.9495859070841196E-2</v>
      </c>
      <c r="I730">
        <v>8.7921160305848803E-2</v>
      </c>
      <c r="J730">
        <v>9.5193710897762601E-2</v>
      </c>
      <c r="K730">
        <v>0.12485649673916301</v>
      </c>
      <c r="L730">
        <v>877.06301242824702</v>
      </c>
      <c r="M730">
        <v>18.377918647769398</v>
      </c>
      <c r="N730">
        <v>48.2500294929037</v>
      </c>
      <c r="O730">
        <v>47.169449198378501</v>
      </c>
      <c r="P730">
        <v>-8.8561330416922102E-2</v>
      </c>
      <c r="Q730">
        <v>9.0822121149435706E-2</v>
      </c>
      <c r="R730">
        <v>0.99018890840676899</v>
      </c>
      <c r="S730" t="s">
        <v>7182</v>
      </c>
      <c r="T730" t="s">
        <v>12902</v>
      </c>
      <c r="U730" t="s">
        <v>12902</v>
      </c>
      <c r="V730" t="s">
        <v>12902</v>
      </c>
      <c r="W730" t="s">
        <v>13620</v>
      </c>
      <c r="X730">
        <v>2</v>
      </c>
      <c r="Y730" t="s">
        <v>20014</v>
      </c>
      <c r="Z730" t="s">
        <v>26305</v>
      </c>
      <c r="AA730">
        <v>0.34047307467929061</v>
      </c>
      <c r="AB730" t="str">
        <f>HYPERLINK("Melting_Curves/meltCurve_F8W7S1_FAM73A.pdf", "Melting_Curves/meltCurve_F8W7S1_FAM73A.pdf")</f>
        <v>Melting_Curves/meltCurve_F8W7S1_FAM73A.pdf</v>
      </c>
    </row>
    <row r="731" spans="1:28" x14ac:dyDescent="0.25">
      <c r="A731" t="s">
        <v>735</v>
      </c>
      <c r="B731">
        <v>0.99673306730245903</v>
      </c>
      <c r="C731">
        <v>0.94383922771672202</v>
      </c>
      <c r="D731">
        <v>0.91269142923253099</v>
      </c>
      <c r="E731">
        <v>0.55181202017944497</v>
      </c>
      <c r="F731">
        <v>0.24480522536944799</v>
      </c>
      <c r="G731">
        <v>0.18324575550576599</v>
      </c>
      <c r="H731">
        <v>0.145657141672522</v>
      </c>
      <c r="I731">
        <v>0.17276907252773099</v>
      </c>
      <c r="J731">
        <v>0.23172773961915899</v>
      </c>
      <c r="K731">
        <v>0.21348006454419099</v>
      </c>
      <c r="L731">
        <v>1537.8399922624101</v>
      </c>
      <c r="M731">
        <v>31.2487769340981</v>
      </c>
      <c r="N731">
        <v>49.9515041460524</v>
      </c>
      <c r="O731">
        <v>49.012580067613499</v>
      </c>
      <c r="P731">
        <v>-0.12990026004574001</v>
      </c>
      <c r="Q731">
        <v>0.18502901597047799</v>
      </c>
      <c r="R731">
        <v>0.99340332028543299</v>
      </c>
      <c r="S731" t="s">
        <v>7183</v>
      </c>
      <c r="T731" t="s">
        <v>12902</v>
      </c>
      <c r="U731" t="s">
        <v>12902</v>
      </c>
      <c r="V731" t="s">
        <v>12902</v>
      </c>
      <c r="W731" t="s">
        <v>13621</v>
      </c>
      <c r="X731">
        <v>1</v>
      </c>
      <c r="Y731" t="s">
        <v>20015</v>
      </c>
      <c r="Z731" t="s">
        <v>26306</v>
      </c>
      <c r="AA731">
        <v>0.4398825632267897</v>
      </c>
      <c r="AB731" t="str">
        <f>HYPERLINK("Melting_Curves/meltCurve_F8W8C2_VEZT.pdf", "Melting_Curves/meltCurve_F8W8C2_VEZT.pdf")</f>
        <v>Melting_Curves/meltCurve_F8W8C2_VEZT.pdf</v>
      </c>
    </row>
    <row r="732" spans="1:28" x14ac:dyDescent="0.25">
      <c r="A732" t="s">
        <v>736</v>
      </c>
      <c r="B732">
        <v>0.99673306730245903</v>
      </c>
      <c r="C732">
        <v>0.90150167563670203</v>
      </c>
      <c r="D732">
        <v>0.74190834730320099</v>
      </c>
      <c r="E732">
        <v>0.52609795655657698</v>
      </c>
      <c r="F732">
        <v>0.298854103885835</v>
      </c>
      <c r="G732">
        <v>0.21870277078081199</v>
      </c>
      <c r="H732">
        <v>0.158354134406375</v>
      </c>
      <c r="I732">
        <v>0.21070251039266899</v>
      </c>
      <c r="J732">
        <v>0.27203741702360601</v>
      </c>
      <c r="K732">
        <v>0.34208717070679501</v>
      </c>
      <c r="L732">
        <v>951.67200404938399</v>
      </c>
      <c r="M732">
        <v>19.923367430580502</v>
      </c>
      <c r="N732">
        <v>49.308580217075303</v>
      </c>
      <c r="O732">
        <v>47.29321000358</v>
      </c>
      <c r="P732">
        <v>-8.0903803700228094E-2</v>
      </c>
      <c r="Q732">
        <v>0.23184192038535101</v>
      </c>
      <c r="R732">
        <v>0.96887564631056999</v>
      </c>
      <c r="S732" t="s">
        <v>7184</v>
      </c>
      <c r="T732" t="s">
        <v>12902</v>
      </c>
      <c r="U732" t="s">
        <v>12902</v>
      </c>
      <c r="V732" t="s">
        <v>12902</v>
      </c>
      <c r="W732" t="s">
        <v>13622</v>
      </c>
      <c r="X732">
        <v>5</v>
      </c>
      <c r="Y732" t="s">
        <v>20016</v>
      </c>
      <c r="Z732" t="s">
        <v>26307</v>
      </c>
      <c r="AA732">
        <v>0.44177307269282712</v>
      </c>
      <c r="AB732" t="str">
        <f>HYPERLINK("Melting_Curves/meltCurve_F8W8D3_SLBP.pdf", "Melting_Curves/meltCurve_F8W8D3_SLBP.pdf")</f>
        <v>Melting_Curves/meltCurve_F8W8D3_SLBP.pdf</v>
      </c>
    </row>
    <row r="733" spans="1:28" x14ac:dyDescent="0.25">
      <c r="A733" t="s">
        <v>737</v>
      </c>
      <c r="B733">
        <v>0.99673306730245903</v>
      </c>
      <c r="C733">
        <v>1.0234761881151799</v>
      </c>
      <c r="D733">
        <v>0.97118423989588099</v>
      </c>
      <c r="E733">
        <v>0.85562084724254905</v>
      </c>
      <c r="F733">
        <v>0.216516587220385</v>
      </c>
      <c r="G733">
        <v>0.113156908721552</v>
      </c>
      <c r="H733">
        <v>5.9150002461723597E-2</v>
      </c>
      <c r="I733">
        <v>5.42607766683613E-2</v>
      </c>
      <c r="J733">
        <v>5.6663415928063399E-2</v>
      </c>
      <c r="K733">
        <v>4.4113674868545102E-2</v>
      </c>
      <c r="L733">
        <v>2370.7677712854802</v>
      </c>
      <c r="M733">
        <v>46.132067055444601</v>
      </c>
      <c r="N733">
        <v>51.538449064381602</v>
      </c>
      <c r="O733">
        <v>51.2945950440537</v>
      </c>
      <c r="P733">
        <v>-0.21092916782048701</v>
      </c>
      <c r="Q733">
        <v>6.1866136615169501E-2</v>
      </c>
      <c r="R733">
        <v>0.99825398695120104</v>
      </c>
      <c r="S733" t="s">
        <v>7185</v>
      </c>
      <c r="T733" t="s">
        <v>12902</v>
      </c>
      <c r="U733" t="s">
        <v>12902</v>
      </c>
      <c r="V733" t="s">
        <v>12902</v>
      </c>
      <c r="W733" t="s">
        <v>13623</v>
      </c>
      <c r="X733">
        <v>3</v>
      </c>
      <c r="Y733" t="s">
        <v>20017</v>
      </c>
      <c r="Z733" t="s">
        <v>26308</v>
      </c>
      <c r="AA733">
        <v>0.42057235927936049</v>
      </c>
      <c r="AB733" t="str">
        <f>HYPERLINK("Melting_Curves/meltCurve_F8W8D8_PLS3.pdf", "Melting_Curves/meltCurve_F8W8D8_PLS3.pdf")</f>
        <v>Melting_Curves/meltCurve_F8W8D8_PLS3.pdf</v>
      </c>
    </row>
    <row r="734" spans="1:28" x14ac:dyDescent="0.25">
      <c r="A734" t="s">
        <v>738</v>
      </c>
      <c r="B734">
        <v>0.99673306730245903</v>
      </c>
      <c r="C734">
        <v>0.68811843456968802</v>
      </c>
      <c r="D734">
        <v>0.50447649154445395</v>
      </c>
      <c r="E734">
        <v>0.514754453814673</v>
      </c>
      <c r="F734">
        <v>0.43473680005460402</v>
      </c>
      <c r="G734">
        <v>0.31173862372947397</v>
      </c>
      <c r="H734">
        <v>0.159790471243904</v>
      </c>
      <c r="I734">
        <v>0.19429784507692599</v>
      </c>
      <c r="J734">
        <v>0.33886938353052498</v>
      </c>
      <c r="K734">
        <v>0.25371742133607</v>
      </c>
      <c r="L734">
        <v>546.03311276043996</v>
      </c>
      <c r="M734">
        <v>11.998306413947301</v>
      </c>
      <c r="N734">
        <v>48.086930257385497</v>
      </c>
      <c r="O734">
        <v>44.300266463105501</v>
      </c>
      <c r="P734">
        <v>-5.1662318649533197E-2</v>
      </c>
      <c r="Q734">
        <v>0.237191180795116</v>
      </c>
      <c r="R734">
        <v>0.89178088918576603</v>
      </c>
      <c r="S734" t="s">
        <v>7186</v>
      </c>
      <c r="T734" t="s">
        <v>12902</v>
      </c>
      <c r="U734" t="s">
        <v>12902</v>
      </c>
      <c r="V734" t="s">
        <v>12902</v>
      </c>
      <c r="W734" t="s">
        <v>13624</v>
      </c>
      <c r="X734">
        <v>1</v>
      </c>
      <c r="Y734" t="s">
        <v>20018</v>
      </c>
      <c r="Z734" t="s">
        <v>26309</v>
      </c>
      <c r="AA734">
        <v>0.41355553609368462</v>
      </c>
      <c r="AB734" t="str">
        <f>HYPERLINK("Melting_Curves/meltCurve_F8W8E4_FAM179A.pdf", "Melting_Curves/meltCurve_F8W8E4_FAM179A.pdf")</f>
        <v>Melting_Curves/meltCurve_F8W8E4_FAM179A.pdf</v>
      </c>
    </row>
    <row r="735" spans="1:28" x14ac:dyDescent="0.25">
      <c r="A735" t="s">
        <v>739</v>
      </c>
      <c r="B735">
        <v>0.99673306730245903</v>
      </c>
      <c r="C735">
        <v>1.00289850857492</v>
      </c>
      <c r="D735">
        <v>0.81874138680710296</v>
      </c>
      <c r="E735">
        <v>0.72622679104200105</v>
      </c>
      <c r="F735">
        <v>0.57392570701497103</v>
      </c>
      <c r="G735">
        <v>0.49416155061758499</v>
      </c>
      <c r="H735">
        <v>0.355460857197122</v>
      </c>
      <c r="I735">
        <v>0.255162126583242</v>
      </c>
      <c r="J735">
        <v>8.76310070314716E-2</v>
      </c>
      <c r="K735">
        <v>4.5834520137385197E-2</v>
      </c>
      <c r="L735">
        <v>531.79202564024797</v>
      </c>
      <c r="M735">
        <v>9.5951517639932309</v>
      </c>
      <c r="N735">
        <v>55.422992639076703</v>
      </c>
      <c r="O735">
        <v>53.176053450669997</v>
      </c>
      <c r="P735">
        <v>-4.5135992876480402E-2</v>
      </c>
      <c r="Q735">
        <v>0</v>
      </c>
      <c r="R735">
        <v>0.975812819071603</v>
      </c>
      <c r="S735" t="s">
        <v>7187</v>
      </c>
      <c r="T735" t="s">
        <v>12902</v>
      </c>
      <c r="U735" t="s">
        <v>12902</v>
      </c>
      <c r="V735" t="s">
        <v>12902</v>
      </c>
      <c r="W735" t="s">
        <v>13625</v>
      </c>
      <c r="X735">
        <v>8</v>
      </c>
      <c r="Y735" t="s">
        <v>20019</v>
      </c>
      <c r="Z735" t="s">
        <v>26310</v>
      </c>
      <c r="AA735">
        <v>0.53820899892981622</v>
      </c>
      <c r="AB735" t="str">
        <f>HYPERLINK("Melting_Curves/meltCurve_F8W8H5_RAB24.pdf", "Melting_Curves/meltCurve_F8W8H5_RAB24.pdf")</f>
        <v>Melting_Curves/meltCurve_F8W8H5_RAB24.pdf</v>
      </c>
    </row>
    <row r="736" spans="1:28" x14ac:dyDescent="0.25">
      <c r="A736" t="s">
        <v>740</v>
      </c>
      <c r="B736">
        <v>0.99673306730245903</v>
      </c>
      <c r="C736">
        <v>0.95958874201803002</v>
      </c>
      <c r="D736">
        <v>0.88142213868781805</v>
      </c>
      <c r="E736">
        <v>0.815104819386127</v>
      </c>
      <c r="F736">
        <v>0.54816489933944101</v>
      </c>
      <c r="G736">
        <v>0.37391228362821599</v>
      </c>
      <c r="H736">
        <v>0.23171058460192301</v>
      </c>
      <c r="I736">
        <v>0.23753961701672999</v>
      </c>
      <c r="J736">
        <v>0.24761700317149701</v>
      </c>
      <c r="K736">
        <v>0.20924731622443701</v>
      </c>
      <c r="L736">
        <v>884.11196450582895</v>
      </c>
      <c r="M736">
        <v>16.857933890430999</v>
      </c>
      <c r="N736">
        <v>54.068518682661903</v>
      </c>
      <c r="O736">
        <v>51.723554364425901</v>
      </c>
      <c r="P736">
        <v>-6.5301311746361099E-2</v>
      </c>
      <c r="Q736">
        <v>0.19862060908402401</v>
      </c>
      <c r="R736">
        <v>0.99327611255359105</v>
      </c>
      <c r="S736" t="s">
        <v>7188</v>
      </c>
      <c r="T736" t="s">
        <v>12902</v>
      </c>
      <c r="U736" t="s">
        <v>12902</v>
      </c>
      <c r="V736" t="s">
        <v>12902</v>
      </c>
      <c r="W736" t="s">
        <v>13626</v>
      </c>
      <c r="X736">
        <v>6</v>
      </c>
      <c r="Y736" t="s">
        <v>20020</v>
      </c>
      <c r="Z736" t="s">
        <v>26311</v>
      </c>
      <c r="AA736">
        <v>0.54579635073657995</v>
      </c>
      <c r="AB736" t="str">
        <f>HYPERLINK("Melting_Curves/meltCurve_F8W8I6_TIA1.pdf", "Melting_Curves/meltCurve_F8W8I6_TIA1.pdf")</f>
        <v>Melting_Curves/meltCurve_F8W8I6_TIA1.pdf</v>
      </c>
    </row>
    <row r="737" spans="1:28" x14ac:dyDescent="0.25">
      <c r="A737" t="s">
        <v>741</v>
      </c>
      <c r="B737">
        <v>0.99673306730245903</v>
      </c>
      <c r="C737">
        <v>0.91510296585829398</v>
      </c>
      <c r="D737">
        <v>0.906476567161702</v>
      </c>
      <c r="E737">
        <v>0.54315125847573698</v>
      </c>
      <c r="F737">
        <v>0.2417679564779</v>
      </c>
      <c r="G737">
        <v>0.13694352790454001</v>
      </c>
      <c r="H737">
        <v>9.3928866965416996E-2</v>
      </c>
      <c r="I737">
        <v>0.10862383380967</v>
      </c>
      <c r="J737">
        <v>0.114359575113607</v>
      </c>
      <c r="K737">
        <v>5.6410864036547603E-2</v>
      </c>
      <c r="L737">
        <v>1180.4113164112</v>
      </c>
      <c r="M737">
        <v>23.777251218977</v>
      </c>
      <c r="N737">
        <v>50.057778217598702</v>
      </c>
      <c r="O737">
        <v>49.2974091443565</v>
      </c>
      <c r="P737">
        <v>-0.109838021290591</v>
      </c>
      <c r="Q737">
        <v>8.91056425690364E-2</v>
      </c>
      <c r="R737">
        <v>0.99504754245268301</v>
      </c>
      <c r="S737" t="s">
        <v>7189</v>
      </c>
      <c r="T737" t="s">
        <v>12902</v>
      </c>
      <c r="U737" t="s">
        <v>12902</v>
      </c>
      <c r="V737" t="s">
        <v>12902</v>
      </c>
      <c r="W737" t="s">
        <v>13627</v>
      </c>
      <c r="X737">
        <v>8</v>
      </c>
      <c r="Y737" t="s">
        <v>20021</v>
      </c>
      <c r="Z737" t="s">
        <v>26312</v>
      </c>
      <c r="AA737">
        <v>0.39092536874685058</v>
      </c>
      <c r="AB737" t="str">
        <f>HYPERLINK("Melting_Curves/meltCurve_F8W8P5_CADPS2.pdf", "Melting_Curves/meltCurve_F8W8P5_CADPS2.pdf")</f>
        <v>Melting_Curves/meltCurve_F8W8P5_CADPS2.pdf</v>
      </c>
    </row>
    <row r="738" spans="1:28" x14ac:dyDescent="0.25">
      <c r="A738" t="s">
        <v>742</v>
      </c>
      <c r="B738">
        <v>0.99673306730245903</v>
      </c>
      <c r="C738">
        <v>0.85015554694379503</v>
      </c>
      <c r="D738">
        <v>0.47176505674010899</v>
      </c>
      <c r="E738">
        <v>0.363996107851009</v>
      </c>
      <c r="F738">
        <v>0.140139766934961</v>
      </c>
      <c r="G738">
        <v>6.7441788821455295E-2</v>
      </c>
      <c r="H738">
        <v>3.7536588760637701E-2</v>
      </c>
      <c r="I738">
        <v>3.7230481849041902E-2</v>
      </c>
      <c r="J738">
        <v>4.5379105064307999E-2</v>
      </c>
      <c r="K738">
        <v>3.54149231218127E-2</v>
      </c>
      <c r="L738">
        <v>777.40540690820899</v>
      </c>
      <c r="M738">
        <v>16.6986908596568</v>
      </c>
      <c r="N738">
        <v>46.745867155358802</v>
      </c>
      <c r="O738">
        <v>45.902597640895102</v>
      </c>
      <c r="P738">
        <v>-8.7953105136476403E-2</v>
      </c>
      <c r="Q738">
        <v>3.2976267324423401E-2</v>
      </c>
      <c r="R738">
        <v>0.98350255985630597</v>
      </c>
      <c r="S738" t="s">
        <v>7190</v>
      </c>
      <c r="T738" t="s">
        <v>12902</v>
      </c>
      <c r="U738" t="s">
        <v>12902</v>
      </c>
      <c r="V738" t="s">
        <v>12902</v>
      </c>
      <c r="W738" t="s">
        <v>13628</v>
      </c>
      <c r="X738">
        <v>6</v>
      </c>
      <c r="Y738" t="s">
        <v>20022</v>
      </c>
      <c r="Z738" t="s">
        <v>26313</v>
      </c>
      <c r="AA738">
        <v>0.26580989546944728</v>
      </c>
      <c r="AB738" t="str">
        <f>HYPERLINK("Melting_Curves/meltCurve_F8W8Q9_STX5.pdf", "Melting_Curves/meltCurve_F8W8Q9_STX5.pdf")</f>
        <v>Melting_Curves/meltCurve_F8W8Q9_STX5.pdf</v>
      </c>
    </row>
    <row r="739" spans="1:28" x14ac:dyDescent="0.25">
      <c r="A739" t="s">
        <v>743</v>
      </c>
      <c r="B739">
        <v>0.99673306730245903</v>
      </c>
      <c r="C739">
        <v>0.92393807068783695</v>
      </c>
      <c r="D739">
        <v>0.67948920771579602</v>
      </c>
      <c r="E739">
        <v>0.316221863738265</v>
      </c>
      <c r="F739">
        <v>0.238871386576505</v>
      </c>
      <c r="G739">
        <v>0.183405445260303</v>
      </c>
      <c r="H739">
        <v>0.15981790333734999</v>
      </c>
      <c r="I739">
        <v>0.18765324627225</v>
      </c>
      <c r="J739">
        <v>0.235379999795652</v>
      </c>
      <c r="K739">
        <v>0.220876281889721</v>
      </c>
      <c r="L739">
        <v>1301.2516091057</v>
      </c>
      <c r="M739">
        <v>27.913892269065901</v>
      </c>
      <c r="N739">
        <v>47.475019126884597</v>
      </c>
      <c r="O739">
        <v>46.379348704835301</v>
      </c>
      <c r="P739">
        <v>-0.120650318870668</v>
      </c>
      <c r="Q739">
        <v>0.198157733930653</v>
      </c>
      <c r="R739">
        <v>0.99529086668773203</v>
      </c>
      <c r="S739" t="s">
        <v>7191</v>
      </c>
      <c r="T739" t="s">
        <v>12902</v>
      </c>
      <c r="U739" t="s">
        <v>12902</v>
      </c>
      <c r="V739" t="s">
        <v>12902</v>
      </c>
      <c r="W739" t="s">
        <v>13629</v>
      </c>
      <c r="X739">
        <v>4</v>
      </c>
      <c r="Y739" t="s">
        <v>20023</v>
      </c>
      <c r="Z739" t="s">
        <v>26314</v>
      </c>
      <c r="AA739">
        <v>0.38066025327123859</v>
      </c>
      <c r="AB739" t="str">
        <f>HYPERLINK("Melting_Curves/meltCurve_F8W946_FSD1L.pdf", "Melting_Curves/meltCurve_F8W946_FSD1L.pdf")</f>
        <v>Melting_Curves/meltCurve_F8W946_FSD1L.pdf</v>
      </c>
    </row>
    <row r="740" spans="1:28" x14ac:dyDescent="0.25">
      <c r="A740" t="s">
        <v>744</v>
      </c>
      <c r="B740">
        <v>0.99673306730245903</v>
      </c>
      <c r="C740">
        <v>0.96841677001271298</v>
      </c>
      <c r="D740">
        <v>0.97649327296446398</v>
      </c>
      <c r="E740">
        <v>0.93942856233911398</v>
      </c>
      <c r="F740">
        <v>0.498286874223559</v>
      </c>
      <c r="G740">
        <v>0.243953821337135</v>
      </c>
      <c r="H740">
        <v>0.13377599162211901</v>
      </c>
      <c r="I740">
        <v>0.104177758051027</v>
      </c>
      <c r="J740">
        <v>0.115761439732554</v>
      </c>
      <c r="K740">
        <v>9.8519018165760905E-2</v>
      </c>
      <c r="L740">
        <v>1655.7287943074</v>
      </c>
      <c r="M740">
        <v>31.265523945379499</v>
      </c>
      <c r="N740">
        <v>53.394624858932602</v>
      </c>
      <c r="O740">
        <v>52.741794065928701</v>
      </c>
      <c r="P740">
        <v>-0.13145151622415699</v>
      </c>
      <c r="Q740">
        <v>0.113023129587837</v>
      </c>
      <c r="R740">
        <v>0.99689379727779204</v>
      </c>
      <c r="S740" t="s">
        <v>7192</v>
      </c>
      <c r="T740" t="s">
        <v>12902</v>
      </c>
      <c r="U740" t="s">
        <v>12902</v>
      </c>
      <c r="V740" t="s">
        <v>12902</v>
      </c>
      <c r="W740" t="s">
        <v>13630</v>
      </c>
      <c r="X740">
        <v>10</v>
      </c>
      <c r="Y740" t="s">
        <v>20024</v>
      </c>
      <c r="Z740" t="s">
        <v>26315</v>
      </c>
      <c r="AA740">
        <v>0.50140890205774691</v>
      </c>
      <c r="AB740" t="str">
        <f>HYPERLINK("Melting_Curves/meltCurve_F8W998_CASK.pdf", "Melting_Curves/meltCurve_F8W998_CASK.pdf")</f>
        <v>Melting_Curves/meltCurve_F8W998_CASK.pdf</v>
      </c>
    </row>
    <row r="741" spans="1:28" x14ac:dyDescent="0.25">
      <c r="A741" t="s">
        <v>745</v>
      </c>
      <c r="B741">
        <v>0.99673306730245903</v>
      </c>
      <c r="C741">
        <v>0.83416040739278396</v>
      </c>
      <c r="D741">
        <v>0.60506572162435901</v>
      </c>
      <c r="E741">
        <v>0.39648231105720499</v>
      </c>
      <c r="F741">
        <v>0.20818252060485701</v>
      </c>
      <c r="G741">
        <v>0.12257956765198701</v>
      </c>
      <c r="H741">
        <v>0.11065591759790901</v>
      </c>
      <c r="I741">
        <v>0.12825253280027399</v>
      </c>
      <c r="J741">
        <v>0.14403666215369901</v>
      </c>
      <c r="K741">
        <v>0.115479876604079</v>
      </c>
      <c r="L741">
        <v>800.34678183287394</v>
      </c>
      <c r="M741">
        <v>17.078448654042798</v>
      </c>
      <c r="N741">
        <v>47.5645992049417</v>
      </c>
      <c r="O741">
        <v>46.234623581403199</v>
      </c>
      <c r="P741">
        <v>-8.2068944333008403E-2</v>
      </c>
      <c r="Q741">
        <v>0.111349070660403</v>
      </c>
      <c r="R741">
        <v>0.99411341663938901</v>
      </c>
      <c r="S741" t="s">
        <v>7193</v>
      </c>
      <c r="T741" t="s">
        <v>12902</v>
      </c>
      <c r="U741" t="s">
        <v>12902</v>
      </c>
      <c r="V741" t="s">
        <v>12902</v>
      </c>
      <c r="W741" t="s">
        <v>13631</v>
      </c>
      <c r="X741">
        <v>2</v>
      </c>
      <c r="Y741" t="s">
        <v>20025</v>
      </c>
      <c r="Z741" t="s">
        <v>26316</v>
      </c>
      <c r="AA741">
        <v>0.33314955130963642</v>
      </c>
      <c r="AB741" t="str">
        <f>HYPERLINK("Melting_Curves/meltCurve_F8W9E7_ELMO3.pdf", "Melting_Curves/meltCurve_F8W9E7_ELMO3.pdf")</f>
        <v>Melting_Curves/meltCurve_F8W9E7_ELMO3.pdf</v>
      </c>
    </row>
    <row r="742" spans="1:28" x14ac:dyDescent="0.25">
      <c r="A742" t="s">
        <v>746</v>
      </c>
      <c r="B742">
        <v>0.99673306730245903</v>
      </c>
      <c r="C742">
        <v>0.87591881047047004</v>
      </c>
      <c r="D742">
        <v>0.81196601802170598</v>
      </c>
      <c r="E742">
        <v>0.60219079191192504</v>
      </c>
      <c r="F742">
        <v>0.40576315412855102</v>
      </c>
      <c r="G742">
        <v>0.26139294045247802</v>
      </c>
      <c r="H742">
        <v>0.21247172584263199</v>
      </c>
      <c r="I742">
        <v>0.207419976850094</v>
      </c>
      <c r="J742">
        <v>0.26218282871566001</v>
      </c>
      <c r="K742">
        <v>0.23143265808490901</v>
      </c>
      <c r="L742">
        <v>770.49333407579604</v>
      </c>
      <c r="M742">
        <v>15.6357915943585</v>
      </c>
      <c r="N742">
        <v>51.001167134597203</v>
      </c>
      <c r="O742">
        <v>48.492606135445101</v>
      </c>
      <c r="P742">
        <v>-6.4071011951954096E-2</v>
      </c>
      <c r="Q742">
        <v>0.20523276470965601</v>
      </c>
      <c r="R742">
        <v>0.99010371016689203</v>
      </c>
      <c r="S742" t="s">
        <v>7194</v>
      </c>
      <c r="T742" t="s">
        <v>12902</v>
      </c>
      <c r="U742" t="s">
        <v>12902</v>
      </c>
      <c r="V742" t="s">
        <v>12902</v>
      </c>
      <c r="W742" t="s">
        <v>13632</v>
      </c>
      <c r="X742">
        <v>1</v>
      </c>
      <c r="Y742" t="s">
        <v>20026</v>
      </c>
      <c r="Z742" t="s">
        <v>26317</v>
      </c>
      <c r="AA742">
        <v>0.46898581612395901</v>
      </c>
      <c r="AB742" t="str">
        <f>HYPERLINK("Melting_Curves/meltCurve_F8W9F3_PCMTD2.pdf", "Melting_Curves/meltCurve_F8W9F3_PCMTD2.pdf")</f>
        <v>Melting_Curves/meltCurve_F8W9F3_PCMTD2.pdf</v>
      </c>
    </row>
    <row r="743" spans="1:28" x14ac:dyDescent="0.25">
      <c r="A743" t="s">
        <v>747</v>
      </c>
      <c r="B743">
        <v>0.99673306730245903</v>
      </c>
      <c r="C743">
        <v>0.93038404501256899</v>
      </c>
      <c r="D743">
        <v>0.71099378758506704</v>
      </c>
      <c r="E743">
        <v>0.34940501311742</v>
      </c>
      <c r="F743">
        <v>0.20296511437784301</v>
      </c>
      <c r="G743">
        <v>0.123660178023749</v>
      </c>
      <c r="H743">
        <v>8.47741006341374E-2</v>
      </c>
      <c r="I743">
        <v>9.6575755917661502E-2</v>
      </c>
      <c r="J743">
        <v>0.113888869345157</v>
      </c>
      <c r="K743">
        <v>0.119487897881894</v>
      </c>
      <c r="L743">
        <v>1058.9250762870799</v>
      </c>
      <c r="M743">
        <v>22.273814598008801</v>
      </c>
      <c r="N743">
        <v>48.042356119939498</v>
      </c>
      <c r="O743">
        <v>47.163042437092003</v>
      </c>
      <c r="P743">
        <v>-0.105831924753547</v>
      </c>
      <c r="Q743">
        <v>0.103656452814598</v>
      </c>
      <c r="R743">
        <v>0.99850299937706599</v>
      </c>
      <c r="S743" t="s">
        <v>7195</v>
      </c>
      <c r="T743" t="s">
        <v>12902</v>
      </c>
      <c r="U743" t="s">
        <v>12902</v>
      </c>
      <c r="V743" t="s">
        <v>12902</v>
      </c>
      <c r="W743" t="s">
        <v>13633</v>
      </c>
      <c r="X743">
        <v>22</v>
      </c>
      <c r="Y743" t="s">
        <v>20027</v>
      </c>
      <c r="Z743" t="s">
        <v>26318</v>
      </c>
      <c r="AA743">
        <v>0.33917446454638461</v>
      </c>
      <c r="AB743" t="str">
        <f>HYPERLINK("Melting_Curves/meltCurve_F8W9F9_WNK2.pdf", "Melting_Curves/meltCurve_F8W9F9_WNK2.pdf")</f>
        <v>Melting_Curves/meltCurve_F8W9F9_WNK2.pdf</v>
      </c>
    </row>
    <row r="744" spans="1:28" x14ac:dyDescent="0.25">
      <c r="A744" t="s">
        <v>748</v>
      </c>
      <c r="B744">
        <v>0.99673306730245903</v>
      </c>
      <c r="C744">
        <v>0.82921406118323104</v>
      </c>
      <c r="D744">
        <v>0.77156822561924998</v>
      </c>
      <c r="E744">
        <v>0.75486399424964101</v>
      </c>
      <c r="F744">
        <v>0.33567514191148301</v>
      </c>
      <c r="G744">
        <v>0.16293843391316301</v>
      </c>
      <c r="H744">
        <v>0.108889178390449</v>
      </c>
      <c r="I744">
        <v>9.6691356436750905E-2</v>
      </c>
      <c r="J744">
        <v>9.8854751864349596E-2</v>
      </c>
      <c r="K744">
        <v>9.4619189512189505E-2</v>
      </c>
      <c r="L744">
        <v>744.68095926505202</v>
      </c>
      <c r="M744">
        <v>14.627763002504601</v>
      </c>
      <c r="N744">
        <v>51.2649060488434</v>
      </c>
      <c r="O744">
        <v>49.985672880808799</v>
      </c>
      <c r="P744">
        <v>-6.9632670742495906E-2</v>
      </c>
      <c r="Q744">
        <v>4.8317110937154802E-2</v>
      </c>
      <c r="R744">
        <v>0.96443587009246401</v>
      </c>
      <c r="S744" t="s">
        <v>7196</v>
      </c>
      <c r="T744" t="s">
        <v>12902</v>
      </c>
      <c r="U744" t="s">
        <v>12902</v>
      </c>
      <c r="V744" t="s">
        <v>12902</v>
      </c>
      <c r="W744" t="s">
        <v>13634</v>
      </c>
      <c r="X744">
        <v>3</v>
      </c>
      <c r="Y744" t="s">
        <v>20028</v>
      </c>
      <c r="Z744" t="s">
        <v>26319</v>
      </c>
      <c r="AA744">
        <v>0.41735966086224557</v>
      </c>
      <c r="AB744" t="str">
        <f>HYPERLINK("Melting_Curves/meltCurve_F8W9I9_DYRK1A.pdf", "Melting_Curves/meltCurve_F8W9I9_DYRK1A.pdf")</f>
        <v>Melting_Curves/meltCurve_F8W9I9_DYRK1A.pdf</v>
      </c>
    </row>
    <row r="745" spans="1:28" x14ac:dyDescent="0.25">
      <c r="A745" t="s">
        <v>749</v>
      </c>
      <c r="B745">
        <v>0.99673306730245903</v>
      </c>
      <c r="C745">
        <v>0.86348922107188297</v>
      </c>
      <c r="D745">
        <v>0.72851847993968699</v>
      </c>
      <c r="E745">
        <v>0.38526732896299898</v>
      </c>
      <c r="F745">
        <v>0.29991386339829901</v>
      </c>
      <c r="G745">
        <v>0.179209232039517</v>
      </c>
      <c r="H745">
        <v>0.17794474433451499</v>
      </c>
      <c r="I745">
        <v>0.18893157327604701</v>
      </c>
      <c r="J745">
        <v>0.27446698666179198</v>
      </c>
      <c r="K745">
        <v>0.240620940673652</v>
      </c>
      <c r="L745">
        <v>1002.52090586299</v>
      </c>
      <c r="M745">
        <v>21.322506199297599</v>
      </c>
      <c r="N745">
        <v>48.250388947728901</v>
      </c>
      <c r="O745">
        <v>46.609339051213503</v>
      </c>
      <c r="P745">
        <v>-9.0342847990594902E-2</v>
      </c>
      <c r="Q745">
        <v>0.21009021917113399</v>
      </c>
      <c r="R745">
        <v>0.98365749790624901</v>
      </c>
      <c r="S745" t="s">
        <v>7197</v>
      </c>
      <c r="T745" t="s">
        <v>12902</v>
      </c>
      <c r="U745" t="s">
        <v>12902</v>
      </c>
      <c r="V745" t="s">
        <v>12902</v>
      </c>
      <c r="W745" t="s">
        <v>13635</v>
      </c>
      <c r="X745">
        <v>2</v>
      </c>
      <c r="Y745" t="s">
        <v>20029</v>
      </c>
      <c r="Z745" t="s">
        <v>26320</v>
      </c>
      <c r="AA745">
        <v>0.40487941774591307</v>
      </c>
      <c r="AB745" t="str">
        <f>HYPERLINK("Melting_Curves/meltCurve_F8W9Q9_LENG8.pdf", "Melting_Curves/meltCurve_F8W9Q9_LENG8.pdf")</f>
        <v>Melting_Curves/meltCurve_F8W9Q9_LENG8.pdf</v>
      </c>
    </row>
    <row r="746" spans="1:28" x14ac:dyDescent="0.25">
      <c r="A746" t="s">
        <v>750</v>
      </c>
      <c r="B746">
        <v>0.99673306730245903</v>
      </c>
      <c r="C746">
        <v>0.97161416981259296</v>
      </c>
      <c r="D746">
        <v>0.98230458721851199</v>
      </c>
      <c r="E746">
        <v>1.17756920445904</v>
      </c>
      <c r="F746">
        <v>0.90714193996131398</v>
      </c>
      <c r="G746">
        <v>0.33552183905329702</v>
      </c>
      <c r="H746">
        <v>0.17702324389791199</v>
      </c>
      <c r="I746">
        <v>0.13190082559919999</v>
      </c>
      <c r="J746">
        <v>0.116892032013585</v>
      </c>
      <c r="K746">
        <v>0.105374403061563</v>
      </c>
      <c r="L746">
        <v>2812.60169992183</v>
      </c>
      <c r="M746">
        <v>50.675048390206904</v>
      </c>
      <c r="N746">
        <v>55.832558866332299</v>
      </c>
      <c r="O746">
        <v>55.416444232589598</v>
      </c>
      <c r="P746">
        <v>-0.19903583246617801</v>
      </c>
      <c r="Q746">
        <v>0.12936615379306299</v>
      </c>
      <c r="R746">
        <v>0.98040067068039205</v>
      </c>
      <c r="S746" t="s">
        <v>7198</v>
      </c>
      <c r="T746" t="s">
        <v>12902</v>
      </c>
      <c r="U746" t="s">
        <v>12902</v>
      </c>
      <c r="V746" t="s">
        <v>12902</v>
      </c>
      <c r="W746" t="s">
        <v>13636</v>
      </c>
      <c r="X746">
        <v>5</v>
      </c>
      <c r="Y746" t="s">
        <v>20030</v>
      </c>
      <c r="Z746" t="s">
        <v>26321</v>
      </c>
      <c r="AA746">
        <v>0.58134515508476892</v>
      </c>
      <c r="AB746" t="str">
        <f>HYPERLINK("Melting_Curves/meltCurve_F8W9R9_MED24.pdf", "Melting_Curves/meltCurve_F8W9R9_MED24.pdf")</f>
        <v>Melting_Curves/meltCurve_F8W9R9_MED24.pdf</v>
      </c>
    </row>
    <row r="747" spans="1:28" x14ac:dyDescent="0.25">
      <c r="A747" t="s">
        <v>751</v>
      </c>
      <c r="B747">
        <v>0.99673306730245903</v>
      </c>
      <c r="C747">
        <v>0.89969237486117404</v>
      </c>
      <c r="D747">
        <v>0.93432877573380702</v>
      </c>
      <c r="E747">
        <v>0.75518637659639998</v>
      </c>
      <c r="F747">
        <v>0.12040599908685901</v>
      </c>
      <c r="G747">
        <v>0.101449852187028</v>
      </c>
      <c r="H747">
        <v>7.2341796986569701E-2</v>
      </c>
      <c r="I747">
        <v>5.3003449032803199E-2</v>
      </c>
      <c r="J747">
        <v>7.3854341334960799E-2</v>
      </c>
      <c r="K747">
        <v>6.7278088473975997E-2</v>
      </c>
      <c r="L747">
        <v>2733.93946563797</v>
      </c>
      <c r="M747">
        <v>54.1132510576874</v>
      </c>
      <c r="N747">
        <v>50.667332253770098</v>
      </c>
      <c r="O747">
        <v>50.4536828515268</v>
      </c>
      <c r="P747">
        <v>-0.24892527485705801</v>
      </c>
      <c r="Q747">
        <v>7.1636509252577807E-2</v>
      </c>
      <c r="R747">
        <v>0.99078567102040804</v>
      </c>
      <c r="S747" t="s">
        <v>7199</v>
      </c>
      <c r="T747" t="s">
        <v>12902</v>
      </c>
      <c r="U747" t="s">
        <v>12902</v>
      </c>
      <c r="V747" t="s">
        <v>12902</v>
      </c>
      <c r="W747" t="s">
        <v>13637</v>
      </c>
      <c r="X747">
        <v>1</v>
      </c>
      <c r="Y747" t="s">
        <v>20031</v>
      </c>
      <c r="Z747" t="s">
        <v>26322</v>
      </c>
      <c r="AA747">
        <v>0.39902646408208331</v>
      </c>
      <c r="AB747" t="str">
        <f>HYPERLINK("Melting_Curves/meltCurve_F8W9X7_CCDC93.pdf", "Melting_Curves/meltCurve_F8W9X7_CCDC93.pdf")</f>
        <v>Melting_Curves/meltCurve_F8W9X7_CCDC93.pdf</v>
      </c>
    </row>
    <row r="748" spans="1:28" x14ac:dyDescent="0.25">
      <c r="A748" t="s">
        <v>752</v>
      </c>
      <c r="B748">
        <v>0.99673306730245903</v>
      </c>
      <c r="C748">
        <v>1.0212243592021599</v>
      </c>
      <c r="D748">
        <v>0.99625755226835</v>
      </c>
      <c r="E748">
        <v>0.86248427492406199</v>
      </c>
      <c r="F748">
        <v>0.89084173270411404</v>
      </c>
      <c r="G748">
        <v>0.54720211039716504</v>
      </c>
      <c r="H748">
        <v>0.40682088830333502</v>
      </c>
      <c r="I748">
        <v>0.50020004548330399</v>
      </c>
      <c r="J748">
        <v>0.22107127617371</v>
      </c>
      <c r="K748">
        <v>0.174175677406646</v>
      </c>
      <c r="L748">
        <v>666.28406763301803</v>
      </c>
      <c r="M748">
        <v>11.256145247963101</v>
      </c>
      <c r="N748">
        <v>59.935042965500799</v>
      </c>
      <c r="O748">
        <v>57.416909988929802</v>
      </c>
      <c r="P748">
        <v>-4.5836545884871897E-2</v>
      </c>
      <c r="Q748">
        <v>6.5051112391523599E-2</v>
      </c>
      <c r="R748">
        <v>0.94741926086249595</v>
      </c>
      <c r="S748" t="s">
        <v>7200</v>
      </c>
      <c r="T748" t="s">
        <v>12902</v>
      </c>
      <c r="U748" t="s">
        <v>12902</v>
      </c>
      <c r="V748" t="s">
        <v>12902</v>
      </c>
      <c r="W748" t="s">
        <v>13638</v>
      </c>
      <c r="X748">
        <v>3</v>
      </c>
      <c r="Y748" t="s">
        <v>20032</v>
      </c>
      <c r="Z748" t="s">
        <v>26323</v>
      </c>
      <c r="AA748">
        <v>0.66829361925873365</v>
      </c>
      <c r="AB748" t="str">
        <f>HYPERLINK("Melting_Curves/meltCurve_F8WAB8_SLC25A26.pdf", "Melting_Curves/meltCurve_F8WAB8_SLC25A26.pdf")</f>
        <v>Melting_Curves/meltCurve_F8WAB8_SLC25A26.pdf</v>
      </c>
    </row>
    <row r="749" spans="1:28" x14ac:dyDescent="0.25">
      <c r="A749" t="s">
        <v>753</v>
      </c>
      <c r="B749">
        <v>0.99673306730245903</v>
      </c>
      <c r="C749">
        <v>1.0171730350839701</v>
      </c>
      <c r="D749">
        <v>0.89956790644303097</v>
      </c>
      <c r="E749">
        <v>0.76349895328584005</v>
      </c>
      <c r="F749">
        <v>0.57469265386970603</v>
      </c>
      <c r="G749">
        <v>0.37865480535867602</v>
      </c>
      <c r="H749">
        <v>0.18005392585532501</v>
      </c>
      <c r="I749">
        <v>8.7173271343422107E-2</v>
      </c>
      <c r="J749">
        <v>0.13450898375492201</v>
      </c>
      <c r="K749">
        <v>7.5178825219058401E-2</v>
      </c>
      <c r="L749">
        <v>754.82067860448001</v>
      </c>
      <c r="M749">
        <v>13.995019719404199</v>
      </c>
      <c r="N749">
        <v>54.221213431299702</v>
      </c>
      <c r="O749">
        <v>52.869549733496697</v>
      </c>
      <c r="P749">
        <v>-6.3828934473912594E-2</v>
      </c>
      <c r="Q749">
        <v>3.5611536749375498E-2</v>
      </c>
      <c r="R749">
        <v>0.99454809232711905</v>
      </c>
      <c r="S749" t="s">
        <v>7201</v>
      </c>
      <c r="T749" t="s">
        <v>12902</v>
      </c>
      <c r="U749" t="s">
        <v>12902</v>
      </c>
      <c r="V749" t="s">
        <v>12902</v>
      </c>
      <c r="W749" t="s">
        <v>13639</v>
      </c>
      <c r="X749">
        <v>2</v>
      </c>
      <c r="Y749" t="s">
        <v>20033</v>
      </c>
      <c r="Z749" t="s">
        <v>26324</v>
      </c>
      <c r="AA749">
        <v>0.5051497957429405</v>
      </c>
      <c r="AB749" t="str">
        <f>HYPERLINK("Melting_Curves/meltCurve_F8WAD8_ADAM22.pdf", "Melting_Curves/meltCurve_F8WAD8_ADAM22.pdf")</f>
        <v>Melting_Curves/meltCurve_F8WAD8_ADAM22.pdf</v>
      </c>
    </row>
    <row r="750" spans="1:28" x14ac:dyDescent="0.25">
      <c r="A750" t="s">
        <v>754</v>
      </c>
      <c r="B750">
        <v>0.99673306730245903</v>
      </c>
      <c r="C750">
        <v>0.90495711935230305</v>
      </c>
      <c r="D750">
        <v>0.91948968403123099</v>
      </c>
      <c r="E750">
        <v>1.06199675563811</v>
      </c>
      <c r="F750">
        <v>0.63442171102447897</v>
      </c>
      <c r="G750">
        <v>0.21078900828235</v>
      </c>
      <c r="H750">
        <v>0.12293258295128601</v>
      </c>
      <c r="I750">
        <v>0.103139657273306</v>
      </c>
      <c r="J750">
        <v>0.10548822045829501</v>
      </c>
      <c r="K750">
        <v>8.4629693129227995E-2</v>
      </c>
      <c r="L750">
        <v>2361.98082152905</v>
      </c>
      <c r="M750">
        <v>43.9509009300928</v>
      </c>
      <c r="N750">
        <v>54.038661586251997</v>
      </c>
      <c r="O750">
        <v>53.630450265485003</v>
      </c>
      <c r="P750">
        <v>-0.18287585372304299</v>
      </c>
      <c r="Q750">
        <v>0.107394825371933</v>
      </c>
      <c r="R750">
        <v>0.98515394131910705</v>
      </c>
      <c r="S750" t="s">
        <v>7202</v>
      </c>
      <c r="T750" t="s">
        <v>12902</v>
      </c>
      <c r="U750" t="s">
        <v>12902</v>
      </c>
      <c r="V750" t="s">
        <v>12902</v>
      </c>
      <c r="W750" t="s">
        <v>13640</v>
      </c>
      <c r="X750">
        <v>17</v>
      </c>
      <c r="Y750" t="s">
        <v>20034</v>
      </c>
      <c r="Z750" t="s">
        <v>26325</v>
      </c>
      <c r="AA750">
        <v>0.51898886046791393</v>
      </c>
      <c r="AB750" t="str">
        <f>HYPERLINK("Melting_Curves/meltCurve_F8WAK8_STAG2.pdf", "Melting_Curves/meltCurve_F8WAK8_STAG2.pdf")</f>
        <v>Melting_Curves/meltCurve_F8WAK8_STAG2.pdf</v>
      </c>
    </row>
    <row r="751" spans="1:28" x14ac:dyDescent="0.25">
      <c r="A751" t="s">
        <v>755</v>
      </c>
      <c r="B751">
        <v>0.99673306730245903</v>
      </c>
      <c r="C751">
        <v>1.0424277467971901</v>
      </c>
      <c r="D751">
        <v>0.95757504128059001</v>
      </c>
      <c r="E751">
        <v>0.78813142788063795</v>
      </c>
      <c r="F751">
        <v>0.59526033325366301</v>
      </c>
      <c r="G751">
        <v>0.36182892464017702</v>
      </c>
      <c r="H751">
        <v>0.199838849050713</v>
      </c>
      <c r="I751">
        <v>0.206746746618064</v>
      </c>
      <c r="J751">
        <v>0.26525527796103499</v>
      </c>
      <c r="K751">
        <v>0.21925256932279699</v>
      </c>
      <c r="L751">
        <v>1053.9833258756901</v>
      </c>
      <c r="M751">
        <v>20.006277583130601</v>
      </c>
      <c r="N751">
        <v>54.108113203940299</v>
      </c>
      <c r="O751">
        <v>52.164753881109199</v>
      </c>
      <c r="P751">
        <v>-7.6243297224514506E-2</v>
      </c>
      <c r="Q751">
        <v>0.20483310410545499</v>
      </c>
      <c r="R751">
        <v>0.99036560088229098</v>
      </c>
      <c r="S751" t="s">
        <v>7203</v>
      </c>
      <c r="T751" t="s">
        <v>12902</v>
      </c>
      <c r="U751" t="s">
        <v>12902</v>
      </c>
      <c r="V751" t="s">
        <v>12902</v>
      </c>
      <c r="W751" t="s">
        <v>13641</v>
      </c>
      <c r="X751">
        <v>1</v>
      </c>
      <c r="Y751" t="s">
        <v>20035</v>
      </c>
      <c r="Z751" t="s">
        <v>26326</v>
      </c>
      <c r="AA751">
        <v>0.55195076703557822</v>
      </c>
      <c r="AB751" t="str">
        <f>HYPERLINK("Melting_Curves/meltCurve_F8WB74_SEPW1.pdf", "Melting_Curves/meltCurve_F8WB74_SEPW1.pdf")</f>
        <v>Melting_Curves/meltCurve_F8WB74_SEPW1.pdf</v>
      </c>
    </row>
    <row r="752" spans="1:28" x14ac:dyDescent="0.25">
      <c r="A752" t="s">
        <v>756</v>
      </c>
      <c r="B752">
        <v>0.99673306730245903</v>
      </c>
      <c r="C752">
        <v>0.30062812075572198</v>
      </c>
      <c r="D752">
        <v>1.4029168154902101</v>
      </c>
      <c r="E752">
        <v>1.0939104905147901</v>
      </c>
      <c r="F752">
        <v>0.498513057623029</v>
      </c>
      <c r="G752">
        <v>0.28202357589365901</v>
      </c>
      <c r="H752">
        <v>0.168221193519527</v>
      </c>
      <c r="I752">
        <v>0.217886533027455</v>
      </c>
      <c r="J752">
        <v>0.28952786899188199</v>
      </c>
      <c r="K752">
        <v>0.33167673469621201</v>
      </c>
      <c r="L752">
        <v>13260.937850287</v>
      </c>
      <c r="M752">
        <v>250</v>
      </c>
      <c r="N752">
        <v>53.1980686067416</v>
      </c>
      <c r="O752">
        <v>53.040357909149897</v>
      </c>
      <c r="P752">
        <v>-0.87449075879249305</v>
      </c>
      <c r="Q752">
        <v>0.25786716889247602</v>
      </c>
      <c r="R752">
        <v>0.60878707030607204</v>
      </c>
      <c r="S752" t="s">
        <v>7204</v>
      </c>
      <c r="T752" t="s">
        <v>12902</v>
      </c>
      <c r="U752" t="s">
        <v>12902</v>
      </c>
      <c r="V752" t="s">
        <v>12902</v>
      </c>
      <c r="W752" t="s">
        <v>13642</v>
      </c>
      <c r="X752">
        <v>6</v>
      </c>
      <c r="Y752" t="s">
        <v>20036</v>
      </c>
      <c r="Z752" t="s">
        <v>26327</v>
      </c>
      <c r="AA752">
        <v>0.58060945993536639</v>
      </c>
      <c r="AB752" t="str">
        <f>HYPERLINK("Melting_Curves/meltCurve_F8WBK5_MRPL40.pdf", "Melting_Curves/meltCurve_F8WBK5_MRPL40.pdf")</f>
        <v>Melting_Curves/meltCurve_F8WBK5_MRPL40.pdf</v>
      </c>
    </row>
    <row r="753" spans="1:28" x14ac:dyDescent="0.25">
      <c r="A753" t="s">
        <v>757</v>
      </c>
      <c r="B753">
        <v>0.99673306730245903</v>
      </c>
      <c r="C753">
        <v>0.95103638939367396</v>
      </c>
      <c r="D753">
        <v>0.85901700789042601</v>
      </c>
      <c r="E753">
        <v>0.60007091118857603</v>
      </c>
      <c r="F753">
        <v>0.29815898815674802</v>
      </c>
      <c r="G753">
        <v>7.6093765758291604E-2</v>
      </c>
      <c r="H753">
        <v>3.4185483574327401E-2</v>
      </c>
      <c r="I753">
        <v>2.6632923720967899E-2</v>
      </c>
      <c r="J753">
        <v>2.1433351892112699E-2</v>
      </c>
      <c r="K753">
        <v>9.3270609531333395E-3</v>
      </c>
      <c r="L753">
        <v>964.78050291021304</v>
      </c>
      <c r="M753">
        <v>19.075272211680801</v>
      </c>
      <c r="N753">
        <v>50.581256613567703</v>
      </c>
      <c r="O753">
        <v>50.031523060596797</v>
      </c>
      <c r="P753">
        <v>-9.5253156755808893E-2</v>
      </c>
      <c r="Q753">
        <v>7.0133954607921401E-4</v>
      </c>
      <c r="R753">
        <v>0.99862495661741502</v>
      </c>
      <c r="S753" t="s">
        <v>7205</v>
      </c>
      <c r="T753" t="s">
        <v>12902</v>
      </c>
      <c r="U753" t="s">
        <v>12902</v>
      </c>
      <c r="V753" t="s">
        <v>12902</v>
      </c>
      <c r="W753" t="s">
        <v>13643</v>
      </c>
      <c r="X753">
        <v>5</v>
      </c>
      <c r="Y753" t="s">
        <v>20037</v>
      </c>
      <c r="Z753" t="s">
        <v>26328</v>
      </c>
      <c r="AA753">
        <v>0.36822694033177927</v>
      </c>
      <c r="AB753" t="str">
        <f>HYPERLINK("Melting_Curves/meltCurve_F8WBY6_GTPBP8.pdf", "Melting_Curves/meltCurve_F8WBY6_GTPBP8.pdf")</f>
        <v>Melting_Curves/meltCurve_F8WBY6_GTPBP8.pdf</v>
      </c>
    </row>
    <row r="754" spans="1:28" x14ac:dyDescent="0.25">
      <c r="A754" t="s">
        <v>758</v>
      </c>
      <c r="B754">
        <v>0.99673306730245903</v>
      </c>
      <c r="C754">
        <v>0.90537287499060004</v>
      </c>
      <c r="D754">
        <v>0.81231315237488</v>
      </c>
      <c r="E754">
        <v>0.40756305107850099</v>
      </c>
      <c r="F754">
        <v>0.26709655275938599</v>
      </c>
      <c r="G754">
        <v>0.16826455630752901</v>
      </c>
      <c r="H754">
        <v>0.12554072596030799</v>
      </c>
      <c r="I754">
        <v>0.104711424351598</v>
      </c>
      <c r="J754">
        <v>0.115260926921132</v>
      </c>
      <c r="K754">
        <v>9.7725826896953902E-2</v>
      </c>
      <c r="L754">
        <v>972.78982421710396</v>
      </c>
      <c r="M754">
        <v>20.087382000493601</v>
      </c>
      <c r="N754">
        <v>49.033110556232302</v>
      </c>
      <c r="O754">
        <v>47.955612789568697</v>
      </c>
      <c r="P754">
        <v>-9.3224076282825294E-2</v>
      </c>
      <c r="Q754">
        <v>0.109794444025357</v>
      </c>
      <c r="R754">
        <v>0.99471444618675398</v>
      </c>
      <c r="S754" t="s">
        <v>7206</v>
      </c>
      <c r="T754" t="s">
        <v>12902</v>
      </c>
      <c r="U754" t="s">
        <v>12902</v>
      </c>
      <c r="V754" t="s">
        <v>12902</v>
      </c>
      <c r="W754" t="s">
        <v>13644</v>
      </c>
      <c r="X754">
        <v>8</v>
      </c>
      <c r="Y754" t="s">
        <v>20038</v>
      </c>
      <c r="Z754" t="s">
        <v>26329</v>
      </c>
      <c r="AA754">
        <v>0.37232205734583468</v>
      </c>
      <c r="AB754" t="str">
        <f>HYPERLINK("Melting_Curves/meltCurve_F8WCP6_KIF21A.pdf", "Melting_Curves/meltCurve_F8WCP6_KIF21A.pdf")</f>
        <v>Melting_Curves/meltCurve_F8WCP6_KIF21A.pdf</v>
      </c>
    </row>
    <row r="755" spans="1:28" x14ac:dyDescent="0.25">
      <c r="A755" t="s">
        <v>759</v>
      </c>
      <c r="B755">
        <v>0.99673306730245903</v>
      </c>
      <c r="C755">
        <v>0.903229665080578</v>
      </c>
      <c r="D755">
        <v>0.70677858423046003</v>
      </c>
      <c r="E755">
        <v>0.60204027371683599</v>
      </c>
      <c r="F755">
        <v>0.40696226347132602</v>
      </c>
      <c r="G755">
        <v>0.34558549303692199</v>
      </c>
      <c r="H755">
        <v>0.16867414133495401</v>
      </c>
      <c r="I755">
        <v>4.0499613502216099E-2</v>
      </c>
      <c r="J755">
        <v>2.3474325860992001E-2</v>
      </c>
      <c r="K755">
        <v>1.8543907166665399E-2</v>
      </c>
      <c r="L755">
        <v>554.19528927090505</v>
      </c>
      <c r="M755">
        <v>10.799126089784201</v>
      </c>
      <c r="N755">
        <v>51.3185116111448</v>
      </c>
      <c r="O755">
        <v>49.652782879673801</v>
      </c>
      <c r="P755">
        <v>-5.4392912010899103E-2</v>
      </c>
      <c r="Q755">
        <v>0</v>
      </c>
      <c r="R755">
        <v>0.98179434245362496</v>
      </c>
      <c r="S755" t="s">
        <v>7207</v>
      </c>
      <c r="T755" t="s">
        <v>12902</v>
      </c>
      <c r="U755" t="s">
        <v>12902</v>
      </c>
      <c r="V755" t="s">
        <v>12902</v>
      </c>
      <c r="W755" t="s">
        <v>13645</v>
      </c>
      <c r="X755">
        <v>1</v>
      </c>
      <c r="Y755" t="s">
        <v>20039</v>
      </c>
      <c r="Z755" t="s">
        <v>26330</v>
      </c>
      <c r="AA755">
        <v>0.41407633895091189</v>
      </c>
      <c r="AB755" t="str">
        <f>HYPERLINK("Melting_Curves/meltCurve_F8WCZ9_OGG1.pdf", "Melting_Curves/meltCurve_F8WCZ9_OGG1.pdf")</f>
        <v>Melting_Curves/meltCurve_F8WCZ9_OGG1.pdf</v>
      </c>
    </row>
    <row r="756" spans="1:28" x14ac:dyDescent="0.25">
      <c r="A756" t="s">
        <v>760</v>
      </c>
      <c r="B756">
        <v>0.99673306730245903</v>
      </c>
      <c r="C756">
        <v>0.95184139649472299</v>
      </c>
      <c r="D756">
        <v>0.90933157590689995</v>
      </c>
      <c r="E756">
        <v>0.86444366515197402</v>
      </c>
      <c r="F756">
        <v>0.448935136647651</v>
      </c>
      <c r="G756">
        <v>0.137747033139099</v>
      </c>
      <c r="H756">
        <v>7.5962177255247398E-2</v>
      </c>
      <c r="I756">
        <v>8.6721305032920498E-2</v>
      </c>
      <c r="J756">
        <v>7.5900698601003305E-2</v>
      </c>
      <c r="K756">
        <v>6.9298716897928297E-2</v>
      </c>
      <c r="L756">
        <v>1537.0490309416</v>
      </c>
      <c r="M756">
        <v>29.295325365871999</v>
      </c>
      <c r="N756">
        <v>52.729581879589901</v>
      </c>
      <c r="O756">
        <v>52.224723626478699</v>
      </c>
      <c r="P756">
        <v>-0.130731888909765</v>
      </c>
      <c r="Q756">
        <v>6.7784671866329499E-2</v>
      </c>
      <c r="R756">
        <v>0.99444857363110895</v>
      </c>
      <c r="S756" t="s">
        <v>7208</v>
      </c>
      <c r="T756" t="s">
        <v>12902</v>
      </c>
      <c r="U756" t="s">
        <v>12902</v>
      </c>
      <c r="V756" t="s">
        <v>12902</v>
      </c>
      <c r="W756" t="s">
        <v>13646</v>
      </c>
      <c r="X756">
        <v>16</v>
      </c>
      <c r="Y756" t="s">
        <v>20040</v>
      </c>
      <c r="Z756" t="s">
        <v>26331</v>
      </c>
      <c r="AA756">
        <v>0.46148055013859912</v>
      </c>
      <c r="AB756" t="str">
        <f>HYPERLINK("Melting_Curves/meltCurve_F8WD04_ATL1.pdf", "Melting_Curves/meltCurve_F8WD04_ATL1.pdf")</f>
        <v>Melting_Curves/meltCurve_F8WD04_ATL1.pdf</v>
      </c>
    </row>
    <row r="757" spans="1:28" x14ac:dyDescent="0.25">
      <c r="A757" t="s">
        <v>761</v>
      </c>
      <c r="B757">
        <v>0.99673306730245903</v>
      </c>
      <c r="C757">
        <v>0.99589722024335203</v>
      </c>
      <c r="D757">
        <v>1.21392798124289</v>
      </c>
      <c r="E757">
        <v>1.2646745772329699</v>
      </c>
      <c r="F757">
        <v>0.98026305729839502</v>
      </c>
      <c r="G757">
        <v>1.0427482300430899</v>
      </c>
      <c r="H757">
        <v>0.67136418227567296</v>
      </c>
      <c r="I757">
        <v>0.85204289557260204</v>
      </c>
      <c r="J757">
        <v>1.27822456516246</v>
      </c>
      <c r="K757">
        <v>1.13804694429014</v>
      </c>
      <c r="L757">
        <v>11018.6640672544</v>
      </c>
      <c r="M757">
        <v>250</v>
      </c>
      <c r="O757">
        <v>44.071836580162</v>
      </c>
      <c r="P757">
        <v>7.8225470980414796E-2</v>
      </c>
      <c r="Q757">
        <v>1.0551606417136099</v>
      </c>
      <c r="R757">
        <v>1.6930692210168002E-2</v>
      </c>
      <c r="S757" t="s">
        <v>7209</v>
      </c>
      <c r="T757" t="s">
        <v>12902</v>
      </c>
      <c r="U757" t="s">
        <v>12902</v>
      </c>
      <c r="V757" t="s">
        <v>12902</v>
      </c>
      <c r="W757" t="s">
        <v>13647</v>
      </c>
      <c r="X757">
        <v>5</v>
      </c>
      <c r="Y757" t="s">
        <v>20041</v>
      </c>
      <c r="Z757" t="s">
        <v>26332</v>
      </c>
      <c r="AA757">
        <v>1.047664353200725</v>
      </c>
      <c r="AB757" t="str">
        <f>HYPERLINK("Melting_Curves/meltCurve_F8WE42_NOL8.pdf", "Melting_Curves/meltCurve_F8WE42_NOL8.pdf")</f>
        <v>Melting_Curves/meltCurve_F8WE42_NOL8.pdf</v>
      </c>
    </row>
    <row r="758" spans="1:28" x14ac:dyDescent="0.25">
      <c r="A758" t="s">
        <v>762</v>
      </c>
      <c r="B758">
        <v>0.99673306730245903</v>
      </c>
      <c r="C758">
        <v>0.85260869003566397</v>
      </c>
      <c r="D758">
        <v>0.86580358200000196</v>
      </c>
      <c r="E758">
        <v>0.38538910337411603</v>
      </c>
      <c r="F758">
        <v>0.20114708603169601</v>
      </c>
      <c r="G758">
        <v>0.147043044609032</v>
      </c>
      <c r="H758">
        <v>8.4392120235362494E-2</v>
      </c>
      <c r="I758">
        <v>9.1107357473682204E-2</v>
      </c>
      <c r="J758">
        <v>3.3787918238326602E-2</v>
      </c>
      <c r="K758">
        <v>7.8407389329031602E-2</v>
      </c>
      <c r="L758">
        <v>1092.49925838733</v>
      </c>
      <c r="M758">
        <v>22.5037246465659</v>
      </c>
      <c r="N758">
        <v>48.903403396658597</v>
      </c>
      <c r="O758">
        <v>48.1689786408784</v>
      </c>
      <c r="P758">
        <v>-0.10797558637322401</v>
      </c>
      <c r="Q758">
        <v>7.5536157621998404E-2</v>
      </c>
      <c r="R758">
        <v>0.98379572973477303</v>
      </c>
      <c r="S758" t="s">
        <v>7210</v>
      </c>
      <c r="T758" t="s">
        <v>12902</v>
      </c>
      <c r="U758" t="s">
        <v>12902</v>
      </c>
      <c r="V758" t="s">
        <v>12902</v>
      </c>
      <c r="W758" t="s">
        <v>13648</v>
      </c>
      <c r="X758">
        <v>2</v>
      </c>
      <c r="Y758" t="s">
        <v>20042</v>
      </c>
      <c r="Z758" t="s">
        <v>26333</v>
      </c>
      <c r="AA758">
        <v>0.349113265045015</v>
      </c>
      <c r="AB758" t="str">
        <f>HYPERLINK("Melting_Curves/meltCurve_F8WEA9_KSR1.pdf", "Melting_Curves/meltCurve_F8WEA9_KSR1.pdf")</f>
        <v>Melting_Curves/meltCurve_F8WEA9_KSR1.pdf</v>
      </c>
    </row>
    <row r="759" spans="1:28" x14ac:dyDescent="0.25">
      <c r="A759" t="s">
        <v>763</v>
      </c>
      <c r="B759">
        <v>0.99673306730245903</v>
      </c>
      <c r="C759">
        <v>0.97273910079048498</v>
      </c>
      <c r="D759">
        <v>1.10965887142412</v>
      </c>
      <c r="E759">
        <v>0.94625591198074899</v>
      </c>
      <c r="F759">
        <v>0.99285789393264301</v>
      </c>
      <c r="G759">
        <v>0.539808929913698</v>
      </c>
      <c r="H759">
        <v>0.35376161997623401</v>
      </c>
      <c r="I759">
        <v>0.416120682785523</v>
      </c>
      <c r="J759">
        <v>0.37755215012259102</v>
      </c>
      <c r="K759">
        <v>0.34382798617017801</v>
      </c>
      <c r="L759">
        <v>4996.6593652189404</v>
      </c>
      <c r="M759">
        <v>88.983895719355104</v>
      </c>
      <c r="N759">
        <v>57.029073592528597</v>
      </c>
      <c r="O759">
        <v>56.124058070279801</v>
      </c>
      <c r="P759">
        <v>-0.24865303512822501</v>
      </c>
      <c r="Q759">
        <v>0.37267677133836502</v>
      </c>
      <c r="R759">
        <v>0.97985711076388105</v>
      </c>
      <c r="S759" t="s">
        <v>7211</v>
      </c>
      <c r="T759" t="s">
        <v>12902</v>
      </c>
      <c r="U759" t="s">
        <v>12902</v>
      </c>
      <c r="V759" t="s">
        <v>12902</v>
      </c>
      <c r="W759" t="s">
        <v>13649</v>
      </c>
      <c r="X759">
        <v>3</v>
      </c>
      <c r="Y759" t="s">
        <v>20043</v>
      </c>
      <c r="Z759" t="s">
        <v>26334</v>
      </c>
      <c r="AA759">
        <v>0.71092468886760851</v>
      </c>
      <c r="AB759" t="str">
        <f>HYPERLINK("Melting_Curves/meltCurve_F8WEE4_ZFAND2B.pdf", "Melting_Curves/meltCurve_F8WEE4_ZFAND2B.pdf")</f>
        <v>Melting_Curves/meltCurve_F8WEE4_ZFAND2B.pdf</v>
      </c>
    </row>
    <row r="760" spans="1:28" x14ac:dyDescent="0.25">
      <c r="A760" t="s">
        <v>764</v>
      </c>
      <c r="B760">
        <v>0.99673306730245903</v>
      </c>
      <c r="C760">
        <v>0.90461777177459202</v>
      </c>
      <c r="D760">
        <v>0.88840933500683605</v>
      </c>
      <c r="E760">
        <v>0.68529169306622595</v>
      </c>
      <c r="F760">
        <v>0.50653092413580403</v>
      </c>
      <c r="G760">
        <v>0.37056115475319701</v>
      </c>
      <c r="H760">
        <v>0.300367055805628</v>
      </c>
      <c r="I760">
        <v>0.29614540632985398</v>
      </c>
      <c r="J760">
        <v>0.25756317646476501</v>
      </c>
      <c r="K760">
        <v>0.25245608005901699</v>
      </c>
      <c r="L760">
        <v>726.01364422728398</v>
      </c>
      <c r="M760">
        <v>14.272795655924099</v>
      </c>
      <c r="N760">
        <v>53.298898749621898</v>
      </c>
      <c r="O760">
        <v>49.899658266766799</v>
      </c>
      <c r="P760">
        <v>-5.4402280825707999E-2</v>
      </c>
      <c r="Q760">
        <v>0.23930190325737399</v>
      </c>
      <c r="R760">
        <v>0.99576474439169704</v>
      </c>
      <c r="S760" t="s">
        <v>7212</v>
      </c>
      <c r="T760" t="s">
        <v>12902</v>
      </c>
      <c r="U760" t="s">
        <v>12902</v>
      </c>
      <c r="V760" t="s">
        <v>12902</v>
      </c>
      <c r="W760" t="s">
        <v>13650</v>
      </c>
      <c r="X760">
        <v>8</v>
      </c>
      <c r="Y760" t="s">
        <v>20044</v>
      </c>
      <c r="Z760" t="s">
        <v>26335</v>
      </c>
      <c r="AA760">
        <v>0.53400583607682317</v>
      </c>
      <c r="AB760" t="str">
        <f>HYPERLINK("Melting_Curves/meltCurve_F8WF48_SEC62.pdf", "Melting_Curves/meltCurve_F8WF48_SEC62.pdf")</f>
        <v>Melting_Curves/meltCurve_F8WF48_SEC62.pdf</v>
      </c>
    </row>
    <row r="761" spans="1:28" x14ac:dyDescent="0.25">
      <c r="A761" t="s">
        <v>765</v>
      </c>
      <c r="B761">
        <v>0.99673306730245903</v>
      </c>
      <c r="C761">
        <v>0.84414139633351704</v>
      </c>
      <c r="D761">
        <v>0.906151470024813</v>
      </c>
      <c r="E761">
        <v>0.64894760640869198</v>
      </c>
      <c r="F761">
        <v>0.36164013441529602</v>
      </c>
      <c r="G761">
        <v>0.158330359009451</v>
      </c>
      <c r="H761">
        <v>7.7074924184497601E-2</v>
      </c>
      <c r="I761">
        <v>6.3324199495275305E-2</v>
      </c>
      <c r="J761">
        <v>6.6581299710077493E-2</v>
      </c>
      <c r="K761">
        <v>6.8664915868453094E-2</v>
      </c>
      <c r="L761">
        <v>886.336861196276</v>
      </c>
      <c r="M761">
        <v>17.3720818414495</v>
      </c>
      <c r="N761">
        <v>51.266624710117199</v>
      </c>
      <c r="O761">
        <v>50.359091074024199</v>
      </c>
      <c r="P761">
        <v>-8.2798855492920501E-2</v>
      </c>
      <c r="Q761">
        <v>3.9968102795040303E-2</v>
      </c>
      <c r="R761">
        <v>0.987358317551293</v>
      </c>
      <c r="S761" t="s">
        <v>7213</v>
      </c>
      <c r="T761" t="s">
        <v>12902</v>
      </c>
      <c r="U761" t="s">
        <v>12902</v>
      </c>
      <c r="V761" t="s">
        <v>12902</v>
      </c>
      <c r="W761" t="s">
        <v>13651</v>
      </c>
      <c r="X761">
        <v>1</v>
      </c>
      <c r="Y761" t="s">
        <v>20045</v>
      </c>
      <c r="Z761" t="s">
        <v>26336</v>
      </c>
      <c r="AA761">
        <v>0.40987659848224572</v>
      </c>
      <c r="AB761" t="str">
        <f>HYPERLINK("Melting_Curves/meltCurve_F8WF93_ALG3.pdf", "Melting_Curves/meltCurve_F8WF93_ALG3.pdf")</f>
        <v>Melting_Curves/meltCurve_F8WF93_ALG3.pdf</v>
      </c>
    </row>
    <row r="762" spans="1:28" x14ac:dyDescent="0.25">
      <c r="A762" t="s">
        <v>766</v>
      </c>
      <c r="B762">
        <v>0.99673306730245903</v>
      </c>
      <c r="C762">
        <v>1.0694181046525699</v>
      </c>
      <c r="D762">
        <v>1.10774370011376</v>
      </c>
      <c r="E762">
        <v>1.37945537756667</v>
      </c>
      <c r="F762">
        <v>1.2105076431253801</v>
      </c>
      <c r="G762">
        <v>0.38810290943011899</v>
      </c>
      <c r="H762">
        <v>0.128563187777925</v>
      </c>
      <c r="I762">
        <v>0.104785630301491</v>
      </c>
      <c r="J762">
        <v>0.118468254812678</v>
      </c>
      <c r="K762">
        <v>9.3404761364809005E-2</v>
      </c>
      <c r="L762">
        <v>14154.941842210201</v>
      </c>
      <c r="M762">
        <v>250</v>
      </c>
      <c r="N762">
        <v>56.676855942497603</v>
      </c>
      <c r="O762">
        <v>56.616122208251902</v>
      </c>
      <c r="P762">
        <v>-0.98105250990693305</v>
      </c>
      <c r="Q762">
        <v>0.11130543496346</v>
      </c>
      <c r="R762">
        <v>0.92040094629656499</v>
      </c>
      <c r="S762" t="s">
        <v>7214</v>
      </c>
      <c r="T762" t="s">
        <v>12902</v>
      </c>
      <c r="U762" t="s">
        <v>12902</v>
      </c>
      <c r="V762" t="s">
        <v>12902</v>
      </c>
      <c r="W762" t="s">
        <v>13652</v>
      </c>
      <c r="X762">
        <v>20</v>
      </c>
      <c r="Y762" t="s">
        <v>20046</v>
      </c>
      <c r="Z762" t="s">
        <v>26337</v>
      </c>
      <c r="AA762">
        <v>0.60372363946994112</v>
      </c>
      <c r="AB762" t="str">
        <f>HYPERLINK("Melting_Curves/meltCurve_G3V0I5_NDUFV1.pdf", "Melting_Curves/meltCurve_G3V0I5_NDUFV1.pdf")</f>
        <v>Melting_Curves/meltCurve_G3V0I5_NDUFV1.pdf</v>
      </c>
    </row>
    <row r="763" spans="1:28" x14ac:dyDescent="0.25">
      <c r="A763" t="s">
        <v>767</v>
      </c>
      <c r="B763">
        <v>0.99673306730245903</v>
      </c>
      <c r="C763">
        <v>0.99837909131745695</v>
      </c>
      <c r="D763">
        <v>0.91528080579860704</v>
      </c>
      <c r="E763">
        <v>0.69283279275002396</v>
      </c>
      <c r="F763">
        <v>0.26345036638203201</v>
      </c>
      <c r="G763">
        <v>0.136824038421582</v>
      </c>
      <c r="H763">
        <v>7.7524685458967804E-2</v>
      </c>
      <c r="I763">
        <v>7.4915553153230605E-2</v>
      </c>
      <c r="J763">
        <v>5.5414101642187401E-2</v>
      </c>
      <c r="K763">
        <v>4.4790369798073999E-2</v>
      </c>
      <c r="L763">
        <v>1310.9049078257001</v>
      </c>
      <c r="M763">
        <v>25.794568400036599</v>
      </c>
      <c r="N763">
        <v>51.071903690917303</v>
      </c>
      <c r="O763">
        <v>50.518493171446103</v>
      </c>
      <c r="P763">
        <v>-0.120053209679557</v>
      </c>
      <c r="Q763">
        <v>5.95179297406567E-2</v>
      </c>
      <c r="R763">
        <v>0.99856934846037704</v>
      </c>
      <c r="S763" t="s">
        <v>7215</v>
      </c>
      <c r="T763" t="s">
        <v>12902</v>
      </c>
      <c r="U763" t="s">
        <v>12902</v>
      </c>
      <c r="V763" t="s">
        <v>12902</v>
      </c>
      <c r="W763" t="s">
        <v>13653</v>
      </c>
      <c r="X763">
        <v>8</v>
      </c>
      <c r="Y763" t="s">
        <v>20047</v>
      </c>
      <c r="Z763" t="s">
        <v>26338</v>
      </c>
      <c r="AA763">
        <v>0.40671932484997619</v>
      </c>
      <c r="AB763" t="str">
        <f>HYPERLINK("Melting_Curves/meltCurve_G3V145_SDR16C5.pdf", "Melting_Curves/meltCurve_G3V145_SDR16C5.pdf")</f>
        <v>Melting_Curves/meltCurve_G3V145_SDR16C5.pdf</v>
      </c>
    </row>
    <row r="764" spans="1:28" x14ac:dyDescent="0.25">
      <c r="A764" t="s">
        <v>768</v>
      </c>
      <c r="B764">
        <v>0.99673306730245903</v>
      </c>
      <c r="C764">
        <v>0.90126550031991803</v>
      </c>
      <c r="D764">
        <v>0.635494175198276</v>
      </c>
      <c r="E764">
        <v>0.39968859865272199</v>
      </c>
      <c r="F764">
        <v>0.31694099770586998</v>
      </c>
      <c r="G764">
        <v>0.18174552454913301</v>
      </c>
      <c r="H764">
        <v>0.12201210866259</v>
      </c>
      <c r="I764">
        <v>9.8750255148374405E-2</v>
      </c>
      <c r="J764">
        <v>0.101219394366722</v>
      </c>
      <c r="K764">
        <v>8.6885422811287596E-2</v>
      </c>
      <c r="L764">
        <v>711.88895338759698</v>
      </c>
      <c r="M764">
        <v>14.8793211564474</v>
      </c>
      <c r="N764">
        <v>48.501906335264998</v>
      </c>
      <c r="O764">
        <v>47.004927839689202</v>
      </c>
      <c r="P764">
        <v>-7.1914434183862896E-2</v>
      </c>
      <c r="Q764">
        <v>9.1361739820288307E-2</v>
      </c>
      <c r="R764">
        <v>0.99055878297929201</v>
      </c>
      <c r="S764" t="s">
        <v>7216</v>
      </c>
      <c r="T764" t="s">
        <v>12902</v>
      </c>
      <c r="U764" t="s">
        <v>12902</v>
      </c>
      <c r="V764" t="s">
        <v>12902</v>
      </c>
      <c r="W764" t="s">
        <v>13654</v>
      </c>
      <c r="X764">
        <v>3</v>
      </c>
      <c r="Y764" t="s">
        <v>20048</v>
      </c>
      <c r="Z764" t="s">
        <v>26339</v>
      </c>
      <c r="AA764">
        <v>0.35288602450028311</v>
      </c>
      <c r="AB764" t="str">
        <f>HYPERLINK("Melting_Curves/meltCurve_G3V1A6_GSDMD.pdf", "Melting_Curves/meltCurve_G3V1A6_GSDMD.pdf")</f>
        <v>Melting_Curves/meltCurve_G3V1A6_GSDMD.pdf</v>
      </c>
    </row>
    <row r="765" spans="1:28" x14ac:dyDescent="0.25">
      <c r="A765" t="s">
        <v>769</v>
      </c>
      <c r="B765">
        <v>0.99673306730245903</v>
      </c>
      <c r="C765">
        <v>1.0192323602998801</v>
      </c>
      <c r="D765">
        <v>1.0262617352128101</v>
      </c>
      <c r="E765">
        <v>0.96519045831529704</v>
      </c>
      <c r="F765">
        <v>0.55118031580501603</v>
      </c>
      <c r="G765">
        <v>0.16154946339373399</v>
      </c>
      <c r="H765">
        <v>7.9308717893497402E-2</v>
      </c>
      <c r="I765">
        <v>6.9532491870418503E-2</v>
      </c>
      <c r="J765">
        <v>7.4558318734148005E-2</v>
      </c>
      <c r="K765">
        <v>6.4085236922002894E-2</v>
      </c>
      <c r="L765">
        <v>2072.2475028147501</v>
      </c>
      <c r="M765">
        <v>38.858870003581899</v>
      </c>
      <c r="N765">
        <v>53.540008398225197</v>
      </c>
      <c r="O765">
        <v>53.186885294638799</v>
      </c>
      <c r="P765">
        <v>-0.16960049405506</v>
      </c>
      <c r="Q765">
        <v>7.1460281354703406E-2</v>
      </c>
      <c r="R765">
        <v>0.99915399124106297</v>
      </c>
      <c r="S765" t="s">
        <v>7217</v>
      </c>
      <c r="T765" t="s">
        <v>12902</v>
      </c>
      <c r="U765" t="s">
        <v>12902</v>
      </c>
      <c r="V765" t="s">
        <v>12902</v>
      </c>
      <c r="W765" t="s">
        <v>13655</v>
      </c>
      <c r="X765">
        <v>31</v>
      </c>
      <c r="Y765" t="s">
        <v>20049</v>
      </c>
      <c r="Z765" t="s">
        <v>26340</v>
      </c>
      <c r="AA765">
        <v>0.48758715716373058</v>
      </c>
      <c r="AB765" t="str">
        <f>HYPERLINK("Melting_Curves/meltCurve_G3V1D3_DPP3.pdf", "Melting_Curves/meltCurve_G3V1D3_DPP3.pdf")</f>
        <v>Melting_Curves/meltCurve_G3V1D3_DPP3.pdf</v>
      </c>
    </row>
    <row r="766" spans="1:28" x14ac:dyDescent="0.25">
      <c r="A766" t="s">
        <v>770</v>
      </c>
      <c r="B766">
        <v>0.99673306730245903</v>
      </c>
      <c r="C766">
        <v>0.98432406817881501</v>
      </c>
      <c r="D766">
        <v>0.85509951841334597</v>
      </c>
      <c r="E766">
        <v>0.53643171093972897</v>
      </c>
      <c r="F766">
        <v>0.35204528394005102</v>
      </c>
      <c r="G766">
        <v>0.12861684353842201</v>
      </c>
      <c r="H766">
        <v>7.1046503135309705E-2</v>
      </c>
      <c r="I766">
        <v>6.8215465257966998E-2</v>
      </c>
      <c r="J766">
        <v>4.6273275867315E-2</v>
      </c>
      <c r="K766">
        <v>3.8912828347495501E-2</v>
      </c>
      <c r="L766">
        <v>880.51752627388805</v>
      </c>
      <c r="M766">
        <v>17.500613251396899</v>
      </c>
      <c r="N766">
        <v>50.52195723442</v>
      </c>
      <c r="O766">
        <v>49.670385758719299</v>
      </c>
      <c r="P766">
        <v>-8.50206931413727E-2</v>
      </c>
      <c r="Q766">
        <v>3.4827803595057598E-2</v>
      </c>
      <c r="R766">
        <v>0.996118790257289</v>
      </c>
      <c r="S766" t="s">
        <v>7218</v>
      </c>
      <c r="T766" t="s">
        <v>12902</v>
      </c>
      <c r="U766" t="s">
        <v>12902</v>
      </c>
      <c r="V766" t="s">
        <v>12902</v>
      </c>
      <c r="W766" t="s">
        <v>13656</v>
      </c>
      <c r="X766">
        <v>6</v>
      </c>
      <c r="Y766" t="s">
        <v>20050</v>
      </c>
      <c r="Z766" t="s">
        <v>26341</v>
      </c>
      <c r="AA766">
        <v>0.38391433557697369</v>
      </c>
      <c r="AB766" t="str">
        <f>HYPERLINK("Melting_Curves/meltCurve_G3V1K3_PON2.pdf", "Melting_Curves/meltCurve_G3V1K3_PON2.pdf")</f>
        <v>Melting_Curves/meltCurve_G3V1K3_PON2.pdf</v>
      </c>
    </row>
    <row r="767" spans="1:28" x14ac:dyDescent="0.25">
      <c r="A767" t="s">
        <v>771</v>
      </c>
      <c r="B767">
        <v>0.99673306730245903</v>
      </c>
      <c r="C767">
        <v>0.97118343191872902</v>
      </c>
      <c r="D767">
        <v>0.99411961230287704</v>
      </c>
      <c r="E767">
        <v>0.96485825964792804</v>
      </c>
      <c r="F767">
        <v>0.86586877083097302</v>
      </c>
      <c r="G767">
        <v>0.59916636811695101</v>
      </c>
      <c r="H767">
        <v>0.32355509990792602</v>
      </c>
      <c r="I767">
        <v>0.25790382191056199</v>
      </c>
      <c r="J767">
        <v>0.22455055945979299</v>
      </c>
      <c r="K767">
        <v>0.18350597279561101</v>
      </c>
      <c r="L767">
        <v>1318.46194625933</v>
      </c>
      <c r="M767">
        <v>23.200215118395601</v>
      </c>
      <c r="N767">
        <v>58.0192580104613</v>
      </c>
      <c r="O767">
        <v>56.412561233860004</v>
      </c>
      <c r="P767">
        <v>-8.3357524454318002E-2</v>
      </c>
      <c r="Q767">
        <v>0.18926164470962401</v>
      </c>
      <c r="R767">
        <v>0.99858342962051905</v>
      </c>
      <c r="S767" t="s">
        <v>7219</v>
      </c>
      <c r="T767" t="s">
        <v>12902</v>
      </c>
      <c r="U767" t="s">
        <v>12902</v>
      </c>
      <c r="V767" t="s">
        <v>12902</v>
      </c>
      <c r="W767" t="s">
        <v>13657</v>
      </c>
      <c r="X767">
        <v>14</v>
      </c>
      <c r="Y767" t="s">
        <v>20051</v>
      </c>
      <c r="Z767" t="s">
        <v>26342</v>
      </c>
      <c r="AA767">
        <v>0.65229207102704267</v>
      </c>
      <c r="AB767" t="str">
        <f>HYPERLINK("Melting_Curves/meltCurve_G3V1P3_LOH12CR1.pdf", "Melting_Curves/meltCurve_G3V1P3_LOH12CR1.pdf")</f>
        <v>Melting_Curves/meltCurve_G3V1P3_LOH12CR1.pdf</v>
      </c>
    </row>
    <row r="768" spans="1:28" x14ac:dyDescent="0.25">
      <c r="A768" t="s">
        <v>772</v>
      </c>
      <c r="B768">
        <v>0.99673306730245903</v>
      </c>
      <c r="C768">
        <v>0.96240592801564995</v>
      </c>
      <c r="D768">
        <v>1.0748312559156299</v>
      </c>
      <c r="E768">
        <v>1.0532987719800599</v>
      </c>
      <c r="F768">
        <v>1.0261974689084501</v>
      </c>
      <c r="G768">
        <v>0.91532054176684097</v>
      </c>
      <c r="H768">
        <v>0.87196861719533203</v>
      </c>
      <c r="I768">
        <v>0.93499322991463796</v>
      </c>
      <c r="J768">
        <v>1.0364786949328</v>
      </c>
      <c r="K768">
        <v>0.473009139672592</v>
      </c>
      <c r="L768">
        <v>15000</v>
      </c>
      <c r="M768">
        <v>214.39372045726199</v>
      </c>
      <c r="N768">
        <v>69.964746597777904</v>
      </c>
      <c r="O768">
        <v>69.958667819033096</v>
      </c>
      <c r="P768">
        <v>-0.766144453556723</v>
      </c>
      <c r="Q768">
        <v>0</v>
      </c>
      <c r="R768">
        <v>0.85546395420755605</v>
      </c>
      <c r="S768" t="s">
        <v>7220</v>
      </c>
      <c r="T768" t="s">
        <v>12902</v>
      </c>
      <c r="U768" t="s">
        <v>12902</v>
      </c>
      <c r="V768" t="s">
        <v>12902</v>
      </c>
      <c r="W768" t="s">
        <v>13658</v>
      </c>
      <c r="X768">
        <v>13</v>
      </c>
      <c r="Y768" t="s">
        <v>20052</v>
      </c>
      <c r="Z768" t="s">
        <v>26343</v>
      </c>
      <c r="AA768">
        <v>0.9919386030177415</v>
      </c>
      <c r="AB768" t="str">
        <f>HYPERLINK("Melting_Curves/meltCurve_G3V1R9_ISYNA1.pdf", "Melting_Curves/meltCurve_G3V1R9_ISYNA1.pdf")</f>
        <v>Melting_Curves/meltCurve_G3V1R9_ISYNA1.pdf</v>
      </c>
    </row>
    <row r="769" spans="1:28" x14ac:dyDescent="0.25">
      <c r="A769" t="s">
        <v>773</v>
      </c>
      <c r="B769">
        <v>0.99673306730245903</v>
      </c>
      <c r="C769">
        <v>0.92436541293158403</v>
      </c>
      <c r="D769">
        <v>0.69248834945750504</v>
      </c>
      <c r="E769">
        <v>0.36876606489730901</v>
      </c>
      <c r="F769">
        <v>0.20848896859254001</v>
      </c>
      <c r="G769">
        <v>0.137586845787531</v>
      </c>
      <c r="H769">
        <v>9.9275013702649004E-2</v>
      </c>
      <c r="I769">
        <v>0.11355155769429801</v>
      </c>
      <c r="J769">
        <v>0.17920781418359699</v>
      </c>
      <c r="K769">
        <v>0.17814194024334501</v>
      </c>
      <c r="L769">
        <v>1070.3771597554</v>
      </c>
      <c r="M769">
        <v>22.6397505633145</v>
      </c>
      <c r="N769">
        <v>47.9629338954052</v>
      </c>
      <c r="O769">
        <v>46.914425928508102</v>
      </c>
      <c r="P769">
        <v>-0.10399580609204701</v>
      </c>
      <c r="Q769">
        <v>0.13801051369824999</v>
      </c>
      <c r="R769">
        <v>0.99402588968611305</v>
      </c>
      <c r="S769" t="s">
        <v>7221</v>
      </c>
      <c r="T769" t="s">
        <v>12902</v>
      </c>
      <c r="U769" t="s">
        <v>12902</v>
      </c>
      <c r="V769" t="s">
        <v>12902</v>
      </c>
      <c r="W769" t="s">
        <v>13659</v>
      </c>
      <c r="X769">
        <v>6</v>
      </c>
      <c r="Y769" t="s">
        <v>20053</v>
      </c>
      <c r="Z769" t="s">
        <v>26344</v>
      </c>
      <c r="AA769">
        <v>0.35666558701014739</v>
      </c>
      <c r="AB769" t="str">
        <f>HYPERLINK("Melting_Curves/meltCurve_G3V1U0_ATF7IP.pdf", "Melting_Curves/meltCurve_G3V1U0_ATF7IP.pdf")</f>
        <v>Melting_Curves/meltCurve_G3V1U0_ATF7IP.pdf</v>
      </c>
    </row>
    <row r="770" spans="1:28" x14ac:dyDescent="0.25">
      <c r="A770" t="s">
        <v>774</v>
      </c>
      <c r="B770">
        <v>0.99673306730245903</v>
      </c>
      <c r="C770">
        <v>0.97672455597860597</v>
      </c>
      <c r="D770">
        <v>0.84994048791416299</v>
      </c>
      <c r="E770">
        <v>0.742153597881414</v>
      </c>
      <c r="F770">
        <v>0.61879598045851503</v>
      </c>
      <c r="G770">
        <v>0.50014968375979596</v>
      </c>
      <c r="H770">
        <v>0.37291118286497399</v>
      </c>
      <c r="I770">
        <v>0.42994344175812899</v>
      </c>
      <c r="J770">
        <v>0.38748389403372702</v>
      </c>
      <c r="K770">
        <v>0.357731173525765</v>
      </c>
      <c r="L770">
        <v>658.48297948042705</v>
      </c>
      <c r="M770">
        <v>12.8359000495863</v>
      </c>
      <c r="N770">
        <v>56.519078225913901</v>
      </c>
      <c r="O770">
        <v>50.102810499904997</v>
      </c>
      <c r="P770">
        <v>-4.1820249898127299E-2</v>
      </c>
      <c r="Q770">
        <v>0.34716749299272398</v>
      </c>
      <c r="R770">
        <v>0.989141238027619</v>
      </c>
      <c r="S770" t="s">
        <v>7222</v>
      </c>
      <c r="T770" t="s">
        <v>12902</v>
      </c>
      <c r="U770" t="s">
        <v>12902</v>
      </c>
      <c r="V770" t="s">
        <v>12902</v>
      </c>
      <c r="W770" t="s">
        <v>13660</v>
      </c>
      <c r="X770">
        <v>2</v>
      </c>
      <c r="Y770" t="s">
        <v>20054</v>
      </c>
      <c r="Z770" t="s">
        <v>26345</v>
      </c>
      <c r="AA770">
        <v>0.61206029835730458</v>
      </c>
      <c r="AB770" t="str">
        <f>HYPERLINK("Melting_Curves/meltCurve_G3V1U5_GOLT1B.pdf", "Melting_Curves/meltCurve_G3V1U5_GOLT1B.pdf")</f>
        <v>Melting_Curves/meltCurve_G3V1U5_GOLT1B.pdf</v>
      </c>
    </row>
    <row r="771" spans="1:28" x14ac:dyDescent="0.25">
      <c r="A771" t="s">
        <v>775</v>
      </c>
      <c r="B771">
        <v>0.99673306730245903</v>
      </c>
      <c r="C771">
        <v>0.88566930269710797</v>
      </c>
      <c r="D771">
        <v>0.94220848964653303</v>
      </c>
      <c r="E771">
        <v>0.85887844654046896</v>
      </c>
      <c r="F771">
        <v>0.66096566592524397</v>
      </c>
      <c r="G771">
        <v>0.47857007672845697</v>
      </c>
      <c r="H771">
        <v>0.32079743184779302</v>
      </c>
      <c r="I771">
        <v>0.312494174601048</v>
      </c>
      <c r="J771">
        <v>0.32325136528024301</v>
      </c>
      <c r="K771">
        <v>0.29567985349520298</v>
      </c>
      <c r="L771">
        <v>883.53747908575497</v>
      </c>
      <c r="M771">
        <v>16.524644248755401</v>
      </c>
      <c r="N771">
        <v>56.161335565014198</v>
      </c>
      <c r="O771">
        <v>52.703237050895403</v>
      </c>
      <c r="P771">
        <v>-5.6939340136126303E-2</v>
      </c>
      <c r="Q771">
        <v>0.27364723274994501</v>
      </c>
      <c r="R771">
        <v>0.98281423671196</v>
      </c>
      <c r="S771" t="s">
        <v>7223</v>
      </c>
      <c r="T771" t="s">
        <v>12902</v>
      </c>
      <c r="U771" t="s">
        <v>12902</v>
      </c>
      <c r="V771" t="s">
        <v>12902</v>
      </c>
      <c r="W771" t="s">
        <v>13661</v>
      </c>
      <c r="X771">
        <v>1</v>
      </c>
      <c r="Y771" t="s">
        <v>20055</v>
      </c>
      <c r="Z771" t="s">
        <v>26346</v>
      </c>
      <c r="AA771">
        <v>0.61311523389876876</v>
      </c>
      <c r="AB771" t="str">
        <f>HYPERLINK("Melting_Curves/meltCurve_G3V1V1_ZCRB1.pdf", "Melting_Curves/meltCurve_G3V1V1_ZCRB1.pdf")</f>
        <v>Melting_Curves/meltCurve_G3V1V1_ZCRB1.pdf</v>
      </c>
    </row>
    <row r="772" spans="1:28" x14ac:dyDescent="0.25">
      <c r="A772" t="s">
        <v>776</v>
      </c>
      <c r="B772">
        <v>0.99673306730245903</v>
      </c>
      <c r="C772">
        <v>1.07901650929683</v>
      </c>
      <c r="D772">
        <v>0.94961739834762204</v>
      </c>
      <c r="E772">
        <v>1.06580041648795</v>
      </c>
      <c r="F772">
        <v>0.73397275406130702</v>
      </c>
      <c r="G772">
        <v>0.56492104470396398</v>
      </c>
      <c r="H772">
        <v>0.19421145032519599</v>
      </c>
      <c r="I772">
        <v>0.14790091998896601</v>
      </c>
      <c r="J772">
        <v>0.20212778639005699</v>
      </c>
      <c r="K772">
        <v>0.176312767855449</v>
      </c>
      <c r="L772">
        <v>1404.2218759907801</v>
      </c>
      <c r="M772">
        <v>25.109410768283901</v>
      </c>
      <c r="N772">
        <v>56.7358256151497</v>
      </c>
      <c r="O772">
        <v>55.573031655502398</v>
      </c>
      <c r="P772">
        <v>-9.5913923318425395E-2</v>
      </c>
      <c r="Q772">
        <v>0.15089094159687599</v>
      </c>
      <c r="R772">
        <v>0.97483122115742904</v>
      </c>
      <c r="S772" t="s">
        <v>7224</v>
      </c>
      <c r="T772" t="s">
        <v>12902</v>
      </c>
      <c r="U772" t="s">
        <v>12902</v>
      </c>
      <c r="V772" t="s">
        <v>12902</v>
      </c>
      <c r="W772" t="s">
        <v>13662</v>
      </c>
      <c r="X772">
        <v>2</v>
      </c>
      <c r="Y772" t="s">
        <v>20056</v>
      </c>
      <c r="Z772" t="s">
        <v>26347</v>
      </c>
      <c r="AA772">
        <v>0.60934666215527356</v>
      </c>
      <c r="AB772" t="str">
        <f>HYPERLINK("Melting_Curves/meltCurve_G3V203_RPL18.pdf", "Melting_Curves/meltCurve_G3V203_RPL18.pdf")</f>
        <v>Melting_Curves/meltCurve_G3V203_RPL18.pdf</v>
      </c>
    </row>
    <row r="773" spans="1:28" x14ac:dyDescent="0.25">
      <c r="A773" t="s">
        <v>777</v>
      </c>
      <c r="B773">
        <v>0.99673306730245903</v>
      </c>
      <c r="C773">
        <v>0.85134150811489195</v>
      </c>
      <c r="D773">
        <v>0.82476492064136597</v>
      </c>
      <c r="E773">
        <v>0.64029453315292995</v>
      </c>
      <c r="F773">
        <v>0.38311594140647098</v>
      </c>
      <c r="G773">
        <v>0.31638431908091802</v>
      </c>
      <c r="H773">
        <v>0.139014282097536</v>
      </c>
      <c r="I773">
        <v>0.17761261964838601</v>
      </c>
      <c r="J773">
        <v>0.128682032958709</v>
      </c>
      <c r="K773">
        <v>0.118434616825337</v>
      </c>
      <c r="L773">
        <v>627.87197982712905</v>
      </c>
      <c r="M773">
        <v>12.3489174245017</v>
      </c>
      <c r="N773">
        <v>51.611830953698998</v>
      </c>
      <c r="O773">
        <v>49.566152481983302</v>
      </c>
      <c r="P773">
        <v>-5.7072596633843897E-2</v>
      </c>
      <c r="Q773">
        <v>8.3884412278359494E-2</v>
      </c>
      <c r="R773">
        <v>0.98834995111342205</v>
      </c>
      <c r="S773" t="s">
        <v>7225</v>
      </c>
      <c r="T773" t="s">
        <v>12902</v>
      </c>
      <c r="U773" t="s">
        <v>12902</v>
      </c>
      <c r="V773" t="s">
        <v>12902</v>
      </c>
      <c r="W773" t="s">
        <v>13663</v>
      </c>
      <c r="X773">
        <v>4</v>
      </c>
      <c r="Y773" t="s">
        <v>20057</v>
      </c>
      <c r="Z773" t="s">
        <v>26348</v>
      </c>
      <c r="AA773">
        <v>0.44395851745683512</v>
      </c>
      <c r="AB773" t="str">
        <f>HYPERLINK("Melting_Curves/meltCurve_G3V207_TMCC3.pdf", "Melting_Curves/meltCurve_G3V207_TMCC3.pdf")</f>
        <v>Melting_Curves/meltCurve_G3V207_TMCC3.pdf</v>
      </c>
    </row>
    <row r="774" spans="1:28" x14ac:dyDescent="0.25">
      <c r="A774" t="s">
        <v>778</v>
      </c>
      <c r="B774">
        <v>0.99673306730245903</v>
      </c>
      <c r="C774">
        <v>0.95758163687256503</v>
      </c>
      <c r="D774">
        <v>0.79599178919521396</v>
      </c>
      <c r="E774">
        <v>0.51818238937449701</v>
      </c>
      <c r="F774">
        <v>0.46384734704556801</v>
      </c>
      <c r="G774">
        <v>0.247839175089268</v>
      </c>
      <c r="H774">
        <v>0.240791258445606</v>
      </c>
      <c r="I774">
        <v>0.24109632245409399</v>
      </c>
      <c r="J774">
        <v>0.360662556866718</v>
      </c>
      <c r="K774">
        <v>0.31053707925130603</v>
      </c>
      <c r="L774">
        <v>949.595758662712</v>
      </c>
      <c r="M774">
        <v>19.686050725648698</v>
      </c>
      <c r="N774">
        <v>50.344536569382498</v>
      </c>
      <c r="O774">
        <v>47.747507440944098</v>
      </c>
      <c r="P774">
        <v>-7.4144829643728996E-2</v>
      </c>
      <c r="Q774">
        <v>0.280686992899426</v>
      </c>
      <c r="R774">
        <v>0.96951847383117096</v>
      </c>
      <c r="S774" t="s">
        <v>7226</v>
      </c>
      <c r="T774" t="s">
        <v>12902</v>
      </c>
      <c r="U774" t="s">
        <v>12902</v>
      </c>
      <c r="V774" t="s">
        <v>12902</v>
      </c>
      <c r="W774" t="s">
        <v>13664</v>
      </c>
      <c r="X774">
        <v>1</v>
      </c>
      <c r="Y774" t="s">
        <v>20058</v>
      </c>
      <c r="Z774" t="s">
        <v>26349</v>
      </c>
      <c r="AA774">
        <v>0.48870597178029568</v>
      </c>
      <c r="AB774" t="str">
        <f>HYPERLINK("Melting_Curves/meltCurve_G3V238_METTL10.pdf", "Melting_Curves/meltCurve_G3V238_METTL10.pdf")</f>
        <v>Melting_Curves/meltCurve_G3V238_METTL10.pdf</v>
      </c>
    </row>
    <row r="775" spans="1:28" x14ac:dyDescent="0.25">
      <c r="A775" t="s">
        <v>779</v>
      </c>
      <c r="B775">
        <v>0.99673306730245903</v>
      </c>
      <c r="C775">
        <v>0.95392268787821699</v>
      </c>
      <c r="D775">
        <v>0.90179029565667701</v>
      </c>
      <c r="E775">
        <v>0.99687598927430199</v>
      </c>
      <c r="F775">
        <v>0.72716659056400601</v>
      </c>
      <c r="G775">
        <v>0.38451314089484001</v>
      </c>
      <c r="H775">
        <v>0.106424033354479</v>
      </c>
      <c r="I775">
        <v>0.106433896215005</v>
      </c>
      <c r="J775">
        <v>0.10212522746654901</v>
      </c>
      <c r="K775">
        <v>8.6114858578282993E-2</v>
      </c>
      <c r="L775">
        <v>1512.5238216489199</v>
      </c>
      <c r="M775">
        <v>27.457381601967501</v>
      </c>
      <c r="N775">
        <v>55.441335896979702</v>
      </c>
      <c r="O775">
        <v>54.796529551418899</v>
      </c>
      <c r="P775">
        <v>-0.115169837849767</v>
      </c>
      <c r="Q775">
        <v>8.0633618226347806E-2</v>
      </c>
      <c r="R775">
        <v>0.99014739467716795</v>
      </c>
      <c r="S775" t="s">
        <v>7227</v>
      </c>
      <c r="T775" t="s">
        <v>12902</v>
      </c>
      <c r="U775" t="s">
        <v>12902</v>
      </c>
      <c r="V775" t="s">
        <v>12902</v>
      </c>
      <c r="W775" t="s">
        <v>13665</v>
      </c>
      <c r="X775">
        <v>16</v>
      </c>
      <c r="Y775" t="s">
        <v>19321</v>
      </c>
      <c r="Z775" t="s">
        <v>26350</v>
      </c>
      <c r="AA775">
        <v>0.55015174849735027</v>
      </c>
      <c r="AB775" t="str">
        <f>HYPERLINK("Melting_Curves/meltCurve_G3V2F7_TMEM189.pdf", "Melting_Curves/meltCurve_G3V2F7_TMEM189.pdf")</f>
        <v>Melting_Curves/meltCurve_G3V2F7_TMEM189.pdf</v>
      </c>
    </row>
    <row r="776" spans="1:28" x14ac:dyDescent="0.25">
      <c r="A776" t="s">
        <v>780</v>
      </c>
      <c r="B776">
        <v>0.99673306730245903</v>
      </c>
      <c r="C776">
        <v>1.0575841900040801</v>
      </c>
      <c r="D776">
        <v>0.96742000601169897</v>
      </c>
      <c r="E776">
        <v>1.10313249724228</v>
      </c>
      <c r="F776">
        <v>0.68367993868412902</v>
      </c>
      <c r="G776">
        <v>0.36731225309549498</v>
      </c>
      <c r="H776">
        <v>0.168414607913495</v>
      </c>
      <c r="I776">
        <v>0.20468414310480601</v>
      </c>
      <c r="J776">
        <v>0.18933116867516001</v>
      </c>
      <c r="K776">
        <v>0.17718362199957799</v>
      </c>
      <c r="L776">
        <v>1925.65059543082</v>
      </c>
      <c r="M776">
        <v>35.504981628931397</v>
      </c>
      <c r="N776">
        <v>54.957476285742104</v>
      </c>
      <c r="O776">
        <v>54.064882156866503</v>
      </c>
      <c r="P776">
        <v>-0.13359742706674599</v>
      </c>
      <c r="Q776">
        <v>0.186265805688274</v>
      </c>
      <c r="R776">
        <v>0.98195943138896202</v>
      </c>
      <c r="S776" t="s">
        <v>7228</v>
      </c>
      <c r="T776" t="s">
        <v>12902</v>
      </c>
      <c r="U776" t="s">
        <v>12902</v>
      </c>
      <c r="V776" t="s">
        <v>12902</v>
      </c>
      <c r="W776" t="s">
        <v>13666</v>
      </c>
      <c r="X776">
        <v>4</v>
      </c>
      <c r="Y776" t="s">
        <v>20059</v>
      </c>
      <c r="Z776" t="s">
        <v>26351</v>
      </c>
      <c r="AA776">
        <v>0.57626901197778446</v>
      </c>
      <c r="AB776" t="str">
        <f>HYPERLINK("Melting_Curves/meltCurve_G3V2U7_ACYP1.pdf", "Melting_Curves/meltCurve_G3V2U7_ACYP1.pdf")</f>
        <v>Melting_Curves/meltCurve_G3V2U7_ACYP1.pdf</v>
      </c>
    </row>
    <row r="777" spans="1:28" x14ac:dyDescent="0.25">
      <c r="A777" t="s">
        <v>781</v>
      </c>
      <c r="B777">
        <v>0.99673306730245903</v>
      </c>
      <c r="C777">
        <v>0.99828371727181198</v>
      </c>
      <c r="D777">
        <v>0.95239606122465903</v>
      </c>
      <c r="E777">
        <v>0.92855017183094302</v>
      </c>
      <c r="F777">
        <v>0.72136046781321095</v>
      </c>
      <c r="G777">
        <v>0.63744259188855001</v>
      </c>
      <c r="H777">
        <v>0.533378343623783</v>
      </c>
      <c r="I777">
        <v>0.67322600069360405</v>
      </c>
      <c r="J777">
        <v>0.72108293521857802</v>
      </c>
      <c r="K777">
        <v>0.47093462644621398</v>
      </c>
      <c r="L777">
        <v>1566.8026658823501</v>
      </c>
      <c r="M777">
        <v>30.229252455311901</v>
      </c>
      <c r="O777">
        <v>51.605442323546797</v>
      </c>
      <c r="P777">
        <v>-5.8548641914131498E-2</v>
      </c>
      <c r="Q777">
        <v>0.60020057301291796</v>
      </c>
      <c r="R777">
        <v>0.87214492595944004</v>
      </c>
      <c r="S777" t="s">
        <v>7229</v>
      </c>
      <c r="T777" t="s">
        <v>12902</v>
      </c>
      <c r="U777" t="s">
        <v>12902</v>
      </c>
      <c r="V777" t="s">
        <v>12902</v>
      </c>
      <c r="W777" t="s">
        <v>13667</v>
      </c>
      <c r="X777">
        <v>5</v>
      </c>
      <c r="Y777" t="s">
        <v>20060</v>
      </c>
      <c r="Z777" t="s">
        <v>26352</v>
      </c>
      <c r="AA777">
        <v>0.76037327680779521</v>
      </c>
      <c r="AB777" t="str">
        <f>HYPERLINK("Melting_Curves/meltCurve_G3V325_ATP5J2_PTCD1.pdf", "Melting_Curves/meltCurve_G3V325_ATP5J2_PTCD1.pdf")</f>
        <v>Melting_Curves/meltCurve_G3V325_ATP5J2_PTCD1.pdf</v>
      </c>
    </row>
    <row r="778" spans="1:28" x14ac:dyDescent="0.25">
      <c r="A778" t="s">
        <v>782</v>
      </c>
      <c r="B778">
        <v>0.99673306730245903</v>
      </c>
      <c r="C778">
        <v>1.00971113323106</v>
      </c>
      <c r="D778">
        <v>0.94170392652285895</v>
      </c>
      <c r="E778">
        <v>0.85488097637388405</v>
      </c>
      <c r="F778">
        <v>0.61243630410921202</v>
      </c>
      <c r="G778">
        <v>0.54209593283184798</v>
      </c>
      <c r="H778">
        <v>0.499172409334388</v>
      </c>
      <c r="I778">
        <v>1.04932197955438</v>
      </c>
      <c r="J778">
        <v>1.6998475425800901</v>
      </c>
      <c r="K778">
        <v>1.7353203060653499</v>
      </c>
      <c r="L778">
        <v>15000</v>
      </c>
      <c r="M778">
        <v>232.17154438864</v>
      </c>
      <c r="O778">
        <v>64.602608298303394</v>
      </c>
      <c r="P778">
        <v>0.44923021603818197</v>
      </c>
      <c r="Q778">
        <v>1.5</v>
      </c>
      <c r="R778">
        <v>0.56193472855795901</v>
      </c>
      <c r="S778" t="s">
        <v>7230</v>
      </c>
      <c r="T778" t="s">
        <v>12902</v>
      </c>
      <c r="U778" t="s">
        <v>12902</v>
      </c>
      <c r="V778" t="s">
        <v>12902</v>
      </c>
      <c r="W778" t="s">
        <v>13668</v>
      </c>
      <c r="X778">
        <v>2</v>
      </c>
      <c r="Y778" t="s">
        <v>20061</v>
      </c>
      <c r="Z778" t="s">
        <v>26353</v>
      </c>
      <c r="AA778">
        <v>1.0898109191106651</v>
      </c>
      <c r="AB778" t="str">
        <f>HYPERLINK("Melting_Curves/meltCurve_G3V379_FERMT2.pdf", "Melting_Curves/meltCurve_G3V379_FERMT2.pdf")</f>
        <v>Melting_Curves/meltCurve_G3V379_FERMT2.pdf</v>
      </c>
    </row>
    <row r="779" spans="1:28" x14ac:dyDescent="0.25">
      <c r="A779" t="s">
        <v>783</v>
      </c>
      <c r="B779">
        <v>0.99673306730245903</v>
      </c>
      <c r="C779">
        <v>1.01290116367253</v>
      </c>
      <c r="D779">
        <v>1.0762128778012701</v>
      </c>
      <c r="E779">
        <v>1.31260698571173</v>
      </c>
      <c r="F779">
        <v>1.33583147274916</v>
      </c>
      <c r="G779">
        <v>1.10960433642316</v>
      </c>
      <c r="H779">
        <v>1.0854393053506799</v>
      </c>
      <c r="I779">
        <v>1.52873925970612</v>
      </c>
      <c r="J779">
        <v>0.191623072800745</v>
      </c>
      <c r="K779">
        <v>7.8076264318108199E-2</v>
      </c>
      <c r="L779">
        <v>15000</v>
      </c>
      <c r="M779">
        <v>225.49832166441399</v>
      </c>
      <c r="N779">
        <v>66.569090401548394</v>
      </c>
      <c r="O779">
        <v>66.514101322178803</v>
      </c>
      <c r="P779">
        <v>-0.78183496375065398</v>
      </c>
      <c r="Q779">
        <v>7.7544233500814505E-2</v>
      </c>
      <c r="R779">
        <v>0.74370444634155897</v>
      </c>
      <c r="S779" t="s">
        <v>7231</v>
      </c>
      <c r="T779" t="s">
        <v>12902</v>
      </c>
      <c r="U779" t="s">
        <v>12902</v>
      </c>
      <c r="V779" t="s">
        <v>12902</v>
      </c>
      <c r="W779" t="s">
        <v>13669</v>
      </c>
      <c r="X779">
        <v>1</v>
      </c>
      <c r="Y779" t="s">
        <v>20062</v>
      </c>
      <c r="Z779" t="s">
        <v>26354</v>
      </c>
      <c r="AA779">
        <v>0.89310713222211813</v>
      </c>
      <c r="AB779" t="str">
        <f>HYPERLINK("Melting_Curves/meltCurve_G3V394_MYO5A.pdf", "Melting_Curves/meltCurve_G3V394_MYO5A.pdf")</f>
        <v>Melting_Curves/meltCurve_G3V394_MYO5A.pdf</v>
      </c>
    </row>
    <row r="780" spans="1:28" x14ac:dyDescent="0.25">
      <c r="A780" t="s">
        <v>784</v>
      </c>
      <c r="B780">
        <v>0.99673306730245903</v>
      </c>
      <c r="C780">
        <v>0.96199543818729505</v>
      </c>
      <c r="D780">
        <v>1.0065466498898801</v>
      </c>
      <c r="E780">
        <v>0.96587077063737103</v>
      </c>
      <c r="F780">
        <v>0.61684586811336495</v>
      </c>
      <c r="G780">
        <v>0.54739952873009701</v>
      </c>
      <c r="H780">
        <v>0.57655070940820696</v>
      </c>
      <c r="I780">
        <v>0.60506665141267302</v>
      </c>
      <c r="J780">
        <v>0.83228213320780198</v>
      </c>
      <c r="K780">
        <v>0.54912025878862403</v>
      </c>
      <c r="L780">
        <v>12514.695210407301</v>
      </c>
      <c r="M780">
        <v>250</v>
      </c>
      <c r="O780">
        <v>50.0555845792884</v>
      </c>
      <c r="P780">
        <v>-0.47296073880610201</v>
      </c>
      <c r="Q780">
        <v>0.62121083433898205</v>
      </c>
      <c r="R780">
        <v>0.84178769446964996</v>
      </c>
      <c r="S780" t="s">
        <v>7232</v>
      </c>
      <c r="T780" t="s">
        <v>12902</v>
      </c>
      <c r="U780" t="s">
        <v>12902</v>
      </c>
      <c r="V780" t="s">
        <v>12902</v>
      </c>
      <c r="W780" t="s">
        <v>13670</v>
      </c>
      <c r="X780">
        <v>1</v>
      </c>
      <c r="Y780" t="s">
        <v>20063</v>
      </c>
      <c r="Z780" t="s">
        <v>26355</v>
      </c>
      <c r="AA780">
        <v>0.74824935195478437</v>
      </c>
      <c r="AB780" t="str">
        <f>HYPERLINK("Melting_Curves/meltCurve_G3V396_C14orf93.pdf", "Melting_Curves/meltCurve_G3V396_C14orf93.pdf")</f>
        <v>Melting_Curves/meltCurve_G3V396_C14orf93.pdf</v>
      </c>
    </row>
    <row r="781" spans="1:28" x14ac:dyDescent="0.25">
      <c r="A781" t="s">
        <v>785</v>
      </c>
      <c r="B781">
        <v>0.99673306730245903</v>
      </c>
      <c r="C781">
        <v>0.95918037075243401</v>
      </c>
      <c r="D781">
        <v>0.91009379417395897</v>
      </c>
      <c r="E781">
        <v>0.90200472071870796</v>
      </c>
      <c r="F781">
        <v>0.62748949031795498</v>
      </c>
      <c r="G781">
        <v>0.32949993010893303</v>
      </c>
      <c r="H781">
        <v>0.19119522415279799</v>
      </c>
      <c r="I781">
        <v>0.28375018283654602</v>
      </c>
      <c r="J781">
        <v>0.33931641227727999</v>
      </c>
      <c r="K781">
        <v>0.37109432162943501</v>
      </c>
      <c r="L781">
        <v>1776.5472650105201</v>
      </c>
      <c r="M781">
        <v>33.635462282320802</v>
      </c>
      <c r="N781">
        <v>54.225706413009902</v>
      </c>
      <c r="O781">
        <v>52.632051958597103</v>
      </c>
      <c r="P781">
        <v>-0.11323836566836799</v>
      </c>
      <c r="Q781">
        <v>0.29123126245064601</v>
      </c>
      <c r="R781">
        <v>0.96663631638360403</v>
      </c>
      <c r="S781" t="s">
        <v>7233</v>
      </c>
      <c r="T781" t="s">
        <v>12902</v>
      </c>
      <c r="U781" t="s">
        <v>12902</v>
      </c>
      <c r="V781" t="s">
        <v>12902</v>
      </c>
      <c r="W781" t="s">
        <v>13671</v>
      </c>
      <c r="X781">
        <v>14</v>
      </c>
      <c r="Y781" t="s">
        <v>20064</v>
      </c>
      <c r="Z781" t="s">
        <v>26356</v>
      </c>
      <c r="AA781">
        <v>0.59771333991148567</v>
      </c>
      <c r="AB781" t="str">
        <f>HYPERLINK("Melting_Curves/meltCurve_G3V3G9_DCAF8.pdf", "Melting_Curves/meltCurve_G3V3G9_DCAF8.pdf")</f>
        <v>Melting_Curves/meltCurve_G3V3G9_DCAF8.pdf</v>
      </c>
    </row>
    <row r="782" spans="1:28" x14ac:dyDescent="0.25">
      <c r="A782" t="s">
        <v>786</v>
      </c>
      <c r="B782">
        <v>0.99673306730245903</v>
      </c>
      <c r="C782">
        <v>0.94998011231733104</v>
      </c>
      <c r="D782">
        <v>0.68938139782989505</v>
      </c>
      <c r="E782">
        <v>0.38397532240513699</v>
      </c>
      <c r="F782">
        <v>0.37805544856486101</v>
      </c>
      <c r="G782">
        <v>0.282809643183357</v>
      </c>
      <c r="H782">
        <v>0.23771903377879799</v>
      </c>
      <c r="I782">
        <v>0.119611758960786</v>
      </c>
      <c r="J782">
        <v>0.13622400457248199</v>
      </c>
      <c r="K782">
        <v>8.5602334378760594E-2</v>
      </c>
      <c r="L782">
        <v>703.97863126169</v>
      </c>
      <c r="M782">
        <v>14.6157528060163</v>
      </c>
      <c r="N782">
        <v>49.249471488384998</v>
      </c>
      <c r="O782">
        <v>47.2910233265236</v>
      </c>
      <c r="P782">
        <v>-6.6647530642374594E-2</v>
      </c>
      <c r="Q782">
        <v>0.13751211386130899</v>
      </c>
      <c r="R782">
        <v>0.96693518442163595</v>
      </c>
      <c r="S782" t="s">
        <v>7234</v>
      </c>
      <c r="T782" t="s">
        <v>12902</v>
      </c>
      <c r="U782" t="s">
        <v>12902</v>
      </c>
      <c r="V782" t="s">
        <v>12902</v>
      </c>
      <c r="W782" t="s">
        <v>13672</v>
      </c>
      <c r="X782">
        <v>1</v>
      </c>
      <c r="Y782" t="s">
        <v>20065</v>
      </c>
      <c r="Z782" t="s">
        <v>26357</v>
      </c>
      <c r="AA782">
        <v>0.39544516314665051</v>
      </c>
      <c r="AB782" t="str">
        <f>HYPERLINK("Melting_Curves/meltCurve_G3V3I4_NFKBIA.pdf", "Melting_Curves/meltCurve_G3V3I4_NFKBIA.pdf")</f>
        <v>Melting_Curves/meltCurve_G3V3I4_NFKBIA.pdf</v>
      </c>
    </row>
    <row r="783" spans="1:28" x14ac:dyDescent="0.25">
      <c r="A783" t="s">
        <v>787</v>
      </c>
      <c r="B783">
        <v>0.99673306730245903</v>
      </c>
      <c r="C783">
        <v>0.93920250454399101</v>
      </c>
      <c r="D783">
        <v>0.814941111795353</v>
      </c>
      <c r="E783">
        <v>0.76253640360630504</v>
      </c>
      <c r="F783">
        <v>0.312769223357028</v>
      </c>
      <c r="G783">
        <v>0.21722519179244901</v>
      </c>
      <c r="H783">
        <v>0.13981584955617099</v>
      </c>
      <c r="I783">
        <v>0.13677272957907899</v>
      </c>
      <c r="J783">
        <v>0.164452279639559</v>
      </c>
      <c r="K783">
        <v>0.15412901594716599</v>
      </c>
      <c r="L783">
        <v>1077.5959398765899</v>
      </c>
      <c r="M783">
        <v>21.2343859926068</v>
      </c>
      <c r="N783">
        <v>51.504352742184402</v>
      </c>
      <c r="O783">
        <v>50.304061440848599</v>
      </c>
      <c r="P783">
        <v>-9.1392294824293493E-2</v>
      </c>
      <c r="Q783">
        <v>0.13399266542171001</v>
      </c>
      <c r="R783">
        <v>0.97960246491390301</v>
      </c>
      <c r="S783" t="s">
        <v>7235</v>
      </c>
      <c r="T783" t="s">
        <v>12902</v>
      </c>
      <c r="U783" t="s">
        <v>12902</v>
      </c>
      <c r="V783" t="s">
        <v>12902</v>
      </c>
      <c r="W783" t="s">
        <v>13673</v>
      </c>
      <c r="X783">
        <v>2</v>
      </c>
      <c r="Y783" t="s">
        <v>20066</v>
      </c>
      <c r="Z783" t="s">
        <v>26358</v>
      </c>
      <c r="AA783">
        <v>0.45497596866209677</v>
      </c>
      <c r="AB783" t="str">
        <f>HYPERLINK("Melting_Curves/meltCurve_G3V4A5_MED6.pdf", "Melting_Curves/meltCurve_G3V4A5_MED6.pdf")</f>
        <v>Melting_Curves/meltCurve_G3V4A5_MED6.pdf</v>
      </c>
    </row>
    <row r="784" spans="1:28" x14ac:dyDescent="0.25">
      <c r="A784" t="s">
        <v>788</v>
      </c>
      <c r="B784">
        <v>0.99673306730245903</v>
      </c>
      <c r="C784">
        <v>0.82966136746761499</v>
      </c>
      <c r="D784">
        <v>0.95162479944721801</v>
      </c>
      <c r="E784">
        <v>0.94597735176249598</v>
      </c>
      <c r="F784">
        <v>0.87241342207763795</v>
      </c>
      <c r="G784">
        <v>0.82183087154401302</v>
      </c>
      <c r="H784">
        <v>0.50437680524671002</v>
      </c>
      <c r="I784">
        <v>0.70375456725427998</v>
      </c>
      <c r="J784">
        <v>0.46008976040178901</v>
      </c>
      <c r="K784">
        <v>0.32935803316162998</v>
      </c>
      <c r="L784">
        <v>502.90680650309798</v>
      </c>
      <c r="M784">
        <v>7.6485708589920298</v>
      </c>
      <c r="N784">
        <v>65.751734892041199</v>
      </c>
      <c r="O784">
        <v>61.709258361183601</v>
      </c>
      <c r="P784">
        <v>-3.1027745520025501E-2</v>
      </c>
      <c r="Q784">
        <v>0</v>
      </c>
      <c r="R784">
        <v>0.84697399642538695</v>
      </c>
      <c r="S784" t="s">
        <v>7236</v>
      </c>
      <c r="T784" t="s">
        <v>12902</v>
      </c>
      <c r="U784" t="s">
        <v>12902</v>
      </c>
      <c r="V784" t="s">
        <v>12902</v>
      </c>
      <c r="W784" t="s">
        <v>13674</v>
      </c>
      <c r="X784">
        <v>4</v>
      </c>
      <c r="Y784" t="s">
        <v>20067</v>
      </c>
      <c r="Z784" t="s">
        <v>26359</v>
      </c>
      <c r="AA784">
        <v>0.76701310946132462</v>
      </c>
      <c r="AB784" t="str">
        <f>HYPERLINK("Melting_Curves/meltCurve_G3V4J6_GPX2.pdf", "Melting_Curves/meltCurve_G3V4J6_GPX2.pdf")</f>
        <v>Melting_Curves/meltCurve_G3V4J6_GPX2.pdf</v>
      </c>
    </row>
    <row r="785" spans="1:28" x14ac:dyDescent="0.25">
      <c r="A785" t="s">
        <v>789</v>
      </c>
      <c r="B785">
        <v>0.99673306730245903</v>
      </c>
      <c r="C785">
        <v>0.80678704645725696</v>
      </c>
      <c r="D785">
        <v>0.66183956723083703</v>
      </c>
      <c r="E785">
        <v>0.206769174515365</v>
      </c>
      <c r="F785">
        <v>7.6800222054207501E-2</v>
      </c>
      <c r="G785">
        <v>4.0380482108582E-2</v>
      </c>
      <c r="H785">
        <v>3.42520760730659E-2</v>
      </c>
      <c r="I785">
        <v>3.3404739225116699E-2</v>
      </c>
      <c r="J785">
        <v>2.82128526797976E-2</v>
      </c>
      <c r="K785">
        <v>4.3018224545459997E-2</v>
      </c>
      <c r="L785">
        <v>1036.52917504633</v>
      </c>
      <c r="M785">
        <v>22.159326086261601</v>
      </c>
      <c r="N785">
        <v>46.8874693965058</v>
      </c>
      <c r="O785">
        <v>46.400264488538603</v>
      </c>
      <c r="P785">
        <v>-0.116336803421591</v>
      </c>
      <c r="Q785">
        <v>2.5612874474541698E-2</v>
      </c>
      <c r="R785">
        <v>0.99106559766600999</v>
      </c>
      <c r="S785" t="s">
        <v>7237</v>
      </c>
      <c r="T785" t="s">
        <v>12902</v>
      </c>
      <c r="U785" t="s">
        <v>12902</v>
      </c>
      <c r="V785" t="s">
        <v>12902</v>
      </c>
      <c r="W785" t="s">
        <v>13675</v>
      </c>
      <c r="X785">
        <v>2</v>
      </c>
      <c r="Y785" t="s">
        <v>20068</v>
      </c>
      <c r="Z785" t="s">
        <v>26360</v>
      </c>
      <c r="AA785">
        <v>0.25715157613506318</v>
      </c>
      <c r="AB785" t="str">
        <f>HYPERLINK("Melting_Curves/meltCurve_G3V4K3_VIPAS39.pdf", "Melting_Curves/meltCurve_G3V4K3_VIPAS39.pdf")</f>
        <v>Melting_Curves/meltCurve_G3V4K3_VIPAS39.pdf</v>
      </c>
    </row>
    <row r="786" spans="1:28" x14ac:dyDescent="0.25">
      <c r="A786" t="s">
        <v>790</v>
      </c>
      <c r="B786">
        <v>0.99673306730245903</v>
      </c>
      <c r="C786">
        <v>0.96036543093413596</v>
      </c>
      <c r="D786">
        <v>0.90561490087776697</v>
      </c>
      <c r="E786">
        <v>0.80864643636905398</v>
      </c>
      <c r="F786">
        <v>0.58388229321876395</v>
      </c>
      <c r="G786">
        <v>0.57641421390729897</v>
      </c>
      <c r="H786">
        <v>0.41025839096282402</v>
      </c>
      <c r="I786">
        <v>0.78647536051888001</v>
      </c>
      <c r="J786">
        <v>1.21266507144247</v>
      </c>
      <c r="K786">
        <v>1.1889740305882699</v>
      </c>
      <c r="L786">
        <v>1952.4486601179301</v>
      </c>
      <c r="M786">
        <v>42.4225667940633</v>
      </c>
      <c r="O786">
        <v>45.921906306594998</v>
      </c>
      <c r="P786">
        <v>-4.7504045590158403E-2</v>
      </c>
      <c r="Q786">
        <v>0.79431016196597604</v>
      </c>
      <c r="R786">
        <v>8.9379266447831507E-2</v>
      </c>
      <c r="S786" t="s">
        <v>7238</v>
      </c>
      <c r="T786" t="s">
        <v>12902</v>
      </c>
      <c r="U786" t="s">
        <v>12902</v>
      </c>
      <c r="V786" t="s">
        <v>12902</v>
      </c>
      <c r="W786" t="s">
        <v>13676</v>
      </c>
      <c r="X786">
        <v>9</v>
      </c>
      <c r="Y786" t="s">
        <v>20069</v>
      </c>
      <c r="Z786" t="s">
        <v>26361</v>
      </c>
      <c r="AA786">
        <v>0.83620187398874246</v>
      </c>
      <c r="AB786" t="str">
        <f>HYPERLINK("Melting_Curves/meltCurve_G3V4W0_HNRNPC.pdf", "Melting_Curves/meltCurve_G3V4W0_HNRNPC.pdf")</f>
        <v>Melting_Curves/meltCurve_G3V4W0_HNRNPC.pdf</v>
      </c>
    </row>
    <row r="787" spans="1:28" x14ac:dyDescent="0.25">
      <c r="A787" t="s">
        <v>791</v>
      </c>
      <c r="B787">
        <v>0.99673306730245903</v>
      </c>
      <c r="C787">
        <v>1.03741730898925</v>
      </c>
      <c r="D787">
        <v>0.96198327660647098</v>
      </c>
      <c r="E787">
        <v>0.83843990333537999</v>
      </c>
      <c r="F787">
        <v>0.75887353438165095</v>
      </c>
      <c r="G787">
        <v>0.61904901487665998</v>
      </c>
      <c r="H787">
        <v>0.39571264290310898</v>
      </c>
      <c r="I787">
        <v>0.42144607152416103</v>
      </c>
      <c r="J787">
        <v>0.46638276632934</v>
      </c>
      <c r="K787">
        <v>0.42433025592469897</v>
      </c>
      <c r="L787">
        <v>899.66608449333705</v>
      </c>
      <c r="M787">
        <v>16.7008049957665</v>
      </c>
      <c r="N787">
        <v>59.602187322268698</v>
      </c>
      <c r="O787">
        <v>53.1150405560509</v>
      </c>
      <c r="P787">
        <v>-4.7191999815065298E-2</v>
      </c>
      <c r="Q787">
        <v>0.39968428932732197</v>
      </c>
      <c r="R787">
        <v>0.97344446564280496</v>
      </c>
      <c r="S787" t="s">
        <v>7239</v>
      </c>
      <c r="T787" t="s">
        <v>12902</v>
      </c>
      <c r="U787" t="s">
        <v>12902</v>
      </c>
      <c r="V787" t="s">
        <v>12902</v>
      </c>
      <c r="W787" t="s">
        <v>13677</v>
      </c>
      <c r="X787">
        <v>4</v>
      </c>
      <c r="Y787" t="s">
        <v>20070</v>
      </c>
      <c r="Z787" t="s">
        <v>26362</v>
      </c>
      <c r="AA787">
        <v>0.68797022637326433</v>
      </c>
      <c r="AB787" t="str">
        <f>HYPERLINK("Melting_Curves/meltCurve_G3V583_FAM177A1.pdf", "Melting_Curves/meltCurve_G3V583_FAM177A1.pdf")</f>
        <v>Melting_Curves/meltCurve_G3V583_FAM177A1.pdf</v>
      </c>
    </row>
    <row r="788" spans="1:28" x14ac:dyDescent="0.25">
      <c r="A788" t="s">
        <v>792</v>
      </c>
      <c r="B788">
        <v>0.99673306730245903</v>
      </c>
      <c r="C788">
        <v>0.93524949142191505</v>
      </c>
      <c r="D788">
        <v>0.86120166984685398</v>
      </c>
      <c r="E788">
        <v>0.41611792314796198</v>
      </c>
      <c r="F788">
        <v>0.26905799818551401</v>
      </c>
      <c r="G788">
        <v>0.171961759152233</v>
      </c>
      <c r="H788">
        <v>0.132523226284889</v>
      </c>
      <c r="I788">
        <v>0.157795438478984</v>
      </c>
      <c r="J788">
        <v>0.19196003137003201</v>
      </c>
      <c r="K788">
        <v>0.208791228337423</v>
      </c>
      <c r="L788">
        <v>1371.8896691766099</v>
      </c>
      <c r="M788">
        <v>28.417758373033902</v>
      </c>
      <c r="N788">
        <v>49.017094225276601</v>
      </c>
      <c r="O788">
        <v>48.0386282393522</v>
      </c>
      <c r="P788">
        <v>-0.122058876015281</v>
      </c>
      <c r="Q788">
        <v>0.17467193784151699</v>
      </c>
      <c r="R788">
        <v>0.99265584153821396</v>
      </c>
      <c r="S788" t="s">
        <v>7240</v>
      </c>
      <c r="T788" t="s">
        <v>12902</v>
      </c>
      <c r="U788" t="s">
        <v>12902</v>
      </c>
      <c r="V788" t="s">
        <v>12902</v>
      </c>
      <c r="W788" t="s">
        <v>13678</v>
      </c>
      <c r="X788">
        <v>18</v>
      </c>
      <c r="Y788" t="s">
        <v>20071</v>
      </c>
      <c r="Z788" t="s">
        <v>26363</v>
      </c>
      <c r="AA788">
        <v>0.40792196170036588</v>
      </c>
      <c r="AB788" t="str">
        <f>HYPERLINK("Melting_Curves/meltCurve_G3V599_CTAGE5.pdf", "Melting_Curves/meltCurve_G3V599_CTAGE5.pdf")</f>
        <v>Melting_Curves/meltCurve_G3V599_CTAGE5.pdf</v>
      </c>
    </row>
    <row r="789" spans="1:28" x14ac:dyDescent="0.25">
      <c r="A789" t="s">
        <v>793</v>
      </c>
      <c r="B789">
        <v>0.99673306730245903</v>
      </c>
      <c r="C789">
        <v>0.96594053228773402</v>
      </c>
      <c r="D789">
        <v>0.99249038222476804</v>
      </c>
      <c r="E789">
        <v>0.900588542538998</v>
      </c>
      <c r="F789">
        <v>0.71685822287717105</v>
      </c>
      <c r="G789">
        <v>0.36019091210334597</v>
      </c>
      <c r="H789">
        <v>0.19424849639988201</v>
      </c>
      <c r="I789">
        <v>0.106752137118707</v>
      </c>
      <c r="J789">
        <v>0.111997885367594</v>
      </c>
      <c r="K789">
        <v>9.6600039930210505E-2</v>
      </c>
      <c r="L789">
        <v>1234.5801507209401</v>
      </c>
      <c r="M789">
        <v>22.5091687390203</v>
      </c>
      <c r="N789">
        <v>55.328072828836802</v>
      </c>
      <c r="O789">
        <v>54.420478620170698</v>
      </c>
      <c r="P789">
        <v>-9.4230942917147995E-2</v>
      </c>
      <c r="Q789">
        <v>8.8728959258680906E-2</v>
      </c>
      <c r="R789">
        <v>0.99809277080622705</v>
      </c>
      <c r="S789" t="s">
        <v>7241</v>
      </c>
      <c r="T789" t="s">
        <v>12902</v>
      </c>
      <c r="U789" t="s">
        <v>12902</v>
      </c>
      <c r="V789" t="s">
        <v>12902</v>
      </c>
      <c r="W789" t="s">
        <v>13679</v>
      </c>
      <c r="X789">
        <v>3</v>
      </c>
      <c r="Y789" t="s">
        <v>20072</v>
      </c>
      <c r="Z789" t="s">
        <v>26364</v>
      </c>
      <c r="AA789">
        <v>0.54983852067379779</v>
      </c>
      <c r="AB789" t="str">
        <f>HYPERLINK("Melting_Curves/meltCurve_G3V5E1_CCNK.pdf", "Melting_Curves/meltCurve_G3V5E1_CCNK.pdf")</f>
        <v>Melting_Curves/meltCurve_G3V5E1_CCNK.pdf</v>
      </c>
    </row>
    <row r="790" spans="1:28" x14ac:dyDescent="0.25">
      <c r="A790" t="s">
        <v>794</v>
      </c>
      <c r="B790">
        <v>0.99673306730245903</v>
      </c>
      <c r="C790">
        <v>0.97157267068627495</v>
      </c>
      <c r="D790">
        <v>0.849817873893016</v>
      </c>
      <c r="E790">
        <v>0.48577856816895898</v>
      </c>
      <c r="F790">
        <v>0.19289501630184799</v>
      </c>
      <c r="G790">
        <v>0.135228539439258</v>
      </c>
      <c r="H790">
        <v>9.0553396815974393E-2</v>
      </c>
      <c r="I790">
        <v>0.102528634518278</v>
      </c>
      <c r="J790">
        <v>0.12087188388635201</v>
      </c>
      <c r="K790">
        <v>0.100669439614467</v>
      </c>
      <c r="L790">
        <v>1251.9248666794199</v>
      </c>
      <c r="M790">
        <v>25.568151658947301</v>
      </c>
      <c r="N790">
        <v>49.402361670378198</v>
      </c>
      <c r="O790">
        <v>48.667649877492103</v>
      </c>
      <c r="P790">
        <v>-0.11801871178592301</v>
      </c>
      <c r="Q790">
        <v>0.101441052291718</v>
      </c>
      <c r="R790">
        <v>0.99928575295658295</v>
      </c>
      <c r="S790" t="s">
        <v>7242</v>
      </c>
      <c r="T790" t="s">
        <v>12902</v>
      </c>
      <c r="U790" t="s">
        <v>12902</v>
      </c>
      <c r="V790" t="s">
        <v>12902</v>
      </c>
      <c r="W790" t="s">
        <v>13680</v>
      </c>
      <c r="X790">
        <v>8</v>
      </c>
      <c r="Y790" t="s">
        <v>20073</v>
      </c>
      <c r="Z790" t="s">
        <v>26365</v>
      </c>
      <c r="AA790">
        <v>0.37753755108236492</v>
      </c>
      <c r="AB790" t="str">
        <f>HYPERLINK("Melting_Curves/meltCurve_G3V5N8_ZFYVE1.pdf", "Melting_Curves/meltCurve_G3V5N8_ZFYVE1.pdf")</f>
        <v>Melting_Curves/meltCurve_G3V5N8_ZFYVE1.pdf</v>
      </c>
    </row>
    <row r="791" spans="1:28" x14ac:dyDescent="0.25">
      <c r="A791" t="s">
        <v>795</v>
      </c>
      <c r="B791">
        <v>0.99673306730245903</v>
      </c>
      <c r="C791">
        <v>1.0329417335925</v>
      </c>
      <c r="D791">
        <v>0.98834311415754905</v>
      </c>
      <c r="E791">
        <v>1.03433618166373</v>
      </c>
      <c r="F791">
        <v>0.93348923847882903</v>
      </c>
      <c r="G791">
        <v>0.79191429437931904</v>
      </c>
      <c r="H791">
        <v>0.20933110462933599</v>
      </c>
      <c r="I791">
        <v>0.12604751256904501</v>
      </c>
      <c r="J791">
        <v>0.102408906737668</v>
      </c>
      <c r="K791">
        <v>9.3595985267871606E-2</v>
      </c>
      <c r="L791">
        <v>2611.5610714129002</v>
      </c>
      <c r="M791">
        <v>44.828767279474398</v>
      </c>
      <c r="N791">
        <v>58.543887025986301</v>
      </c>
      <c r="O791">
        <v>58.140804039556102</v>
      </c>
      <c r="P791">
        <v>-0.17371393536774499</v>
      </c>
      <c r="Q791">
        <v>9.88061032329422E-2</v>
      </c>
      <c r="R791">
        <v>0.996670418843142</v>
      </c>
      <c r="S791" t="s">
        <v>7243</v>
      </c>
      <c r="T791" t="s">
        <v>12902</v>
      </c>
      <c r="U791" t="s">
        <v>12902</v>
      </c>
      <c r="V791" t="s">
        <v>12902</v>
      </c>
      <c r="W791" t="s">
        <v>13681</v>
      </c>
      <c r="X791">
        <v>9</v>
      </c>
      <c r="Y791" t="s">
        <v>20074</v>
      </c>
      <c r="Z791" t="s">
        <v>26366</v>
      </c>
      <c r="AA791">
        <v>0.65007619788032578</v>
      </c>
      <c r="AB791" t="str">
        <f>HYPERLINK("Melting_Curves/meltCurve_G3V5T0_GSTZ1.pdf", "Melting_Curves/meltCurve_G3V5T0_GSTZ1.pdf")</f>
        <v>Melting_Curves/meltCurve_G3V5T0_GSTZ1.pdf</v>
      </c>
    </row>
    <row r="792" spans="1:28" x14ac:dyDescent="0.25">
      <c r="A792" t="s">
        <v>796</v>
      </c>
      <c r="B792">
        <v>0.99673306730245903</v>
      </c>
      <c r="C792">
        <v>0.99718250174617196</v>
      </c>
      <c r="D792">
        <v>0.91905324583314896</v>
      </c>
      <c r="E792">
        <v>0.85793202870116403</v>
      </c>
      <c r="F792">
        <v>0.62959859711739896</v>
      </c>
      <c r="G792">
        <v>0.405325564227491</v>
      </c>
      <c r="H792">
        <v>0.227742412817005</v>
      </c>
      <c r="I792">
        <v>0.16250335392645199</v>
      </c>
      <c r="J792">
        <v>0.13577527745427001</v>
      </c>
      <c r="K792">
        <v>9.1700111836777801E-2</v>
      </c>
      <c r="L792">
        <v>837.43926558515204</v>
      </c>
      <c r="M792">
        <v>15.315862333916</v>
      </c>
      <c r="N792">
        <v>55.224794433639502</v>
      </c>
      <c r="O792">
        <v>53.771217612175803</v>
      </c>
      <c r="P792">
        <v>-6.6204073113538001E-2</v>
      </c>
      <c r="Q792">
        <v>7.0364950303292401E-2</v>
      </c>
      <c r="R792">
        <v>0.99858956774128504</v>
      </c>
      <c r="S792" t="s">
        <v>7244</v>
      </c>
      <c r="T792" t="s">
        <v>12902</v>
      </c>
      <c r="U792" t="s">
        <v>12902</v>
      </c>
      <c r="V792" t="s">
        <v>12902</v>
      </c>
      <c r="W792" t="s">
        <v>13682</v>
      </c>
      <c r="X792">
        <v>12</v>
      </c>
      <c r="Y792" t="s">
        <v>20075</v>
      </c>
      <c r="Z792" t="s">
        <v>26367</v>
      </c>
      <c r="AA792">
        <v>0.54309481603150866</v>
      </c>
      <c r="AB792" t="str">
        <f>HYPERLINK("Melting_Curves/meltCurve_G3V5T9_CDK2.pdf", "Melting_Curves/meltCurve_G3V5T9_CDK2.pdf")</f>
        <v>Melting_Curves/meltCurve_G3V5T9_CDK2.pdf</v>
      </c>
    </row>
    <row r="793" spans="1:28" x14ac:dyDescent="0.25">
      <c r="A793" t="s">
        <v>797</v>
      </c>
      <c r="B793">
        <v>0.99673306730245903</v>
      </c>
      <c r="C793">
        <v>0.91855071598220595</v>
      </c>
      <c r="D793">
        <v>1.1044749014091499</v>
      </c>
      <c r="E793">
        <v>1.35904539535455</v>
      </c>
      <c r="F793">
        <v>1.80161768286327</v>
      </c>
      <c r="G793">
        <v>1.72196845886384</v>
      </c>
      <c r="H793">
        <v>1.53788960878732</v>
      </c>
      <c r="I793">
        <v>1.22039207970375</v>
      </c>
      <c r="J793">
        <v>0.95708268096221405</v>
      </c>
      <c r="K793">
        <v>0.30473600617340901</v>
      </c>
      <c r="L793">
        <v>15000</v>
      </c>
      <c r="M793">
        <v>220.823979891058</v>
      </c>
      <c r="N793">
        <v>68.216277337877102</v>
      </c>
      <c r="O793">
        <v>67.921840496769505</v>
      </c>
      <c r="P793">
        <v>-0.56591935190561005</v>
      </c>
      <c r="Q793">
        <v>0.30372996112284401</v>
      </c>
      <c r="R793">
        <v>6.5559617736251893E-2</v>
      </c>
      <c r="S793" t="s">
        <v>7245</v>
      </c>
      <c r="T793" t="s">
        <v>12902</v>
      </c>
      <c r="U793" t="s">
        <v>12902</v>
      </c>
      <c r="V793" t="s">
        <v>12902</v>
      </c>
      <c r="W793" t="s">
        <v>13683</v>
      </c>
      <c r="X793">
        <v>4</v>
      </c>
      <c r="Y793" t="s">
        <v>20076</v>
      </c>
      <c r="Z793" t="s">
        <v>26368</v>
      </c>
      <c r="AA793">
        <v>0.95199247477566806</v>
      </c>
      <c r="AB793" t="str">
        <f>HYPERLINK("Melting_Curves/meltCurve_G3V5W1_WARS.pdf", "Melting_Curves/meltCurve_G3V5W1_WARS.pdf")</f>
        <v>Melting_Curves/meltCurve_G3V5W1_WARS.pdf</v>
      </c>
    </row>
    <row r="794" spans="1:28" x14ac:dyDescent="0.25">
      <c r="A794" t="s">
        <v>798</v>
      </c>
      <c r="B794">
        <v>0.99673306730245903</v>
      </c>
      <c r="C794">
        <v>0.96831761137490002</v>
      </c>
      <c r="D794">
        <v>1.0573088748086601</v>
      </c>
      <c r="E794">
        <v>1.2233524421889199</v>
      </c>
      <c r="F794">
        <v>1.1596984546261999</v>
      </c>
      <c r="G794">
        <v>1.2709346534817401</v>
      </c>
      <c r="H794">
        <v>1.7162787896702201</v>
      </c>
      <c r="I794">
        <v>1.62518597770855</v>
      </c>
      <c r="J794">
        <v>1.4175191098022799</v>
      </c>
      <c r="K794">
        <v>0.55018111932510105</v>
      </c>
      <c r="L794">
        <v>1232.0365790549299</v>
      </c>
      <c r="M794">
        <v>25.305289573244501</v>
      </c>
      <c r="O794">
        <v>48.385906356271697</v>
      </c>
      <c r="P794">
        <v>3.95180231120544E-2</v>
      </c>
      <c r="Q794">
        <v>1.3022437763288399</v>
      </c>
      <c r="R794">
        <v>0.160577159176648</v>
      </c>
      <c r="S794" t="s">
        <v>7246</v>
      </c>
      <c r="T794" t="s">
        <v>12902</v>
      </c>
      <c r="U794" t="s">
        <v>12902</v>
      </c>
      <c r="V794" t="s">
        <v>12902</v>
      </c>
      <c r="W794" t="s">
        <v>13684</v>
      </c>
      <c r="X794">
        <v>19</v>
      </c>
      <c r="Y794" t="s">
        <v>20077</v>
      </c>
      <c r="Z794" t="s">
        <v>26369</v>
      </c>
      <c r="AA794">
        <v>1.212117703809982</v>
      </c>
      <c r="AB794" t="str">
        <f>HYPERLINK("Melting_Curves/meltCurve_G3V5Z7_PSMA6.pdf", "Melting_Curves/meltCurve_G3V5Z7_PSMA6.pdf")</f>
        <v>Melting_Curves/meltCurve_G3V5Z7_PSMA6.pdf</v>
      </c>
    </row>
    <row r="795" spans="1:28" x14ac:dyDescent="0.25">
      <c r="A795" t="s">
        <v>799</v>
      </c>
      <c r="B795">
        <v>0.99673306730245903</v>
      </c>
      <c r="C795">
        <v>0.95406655828696496</v>
      </c>
      <c r="D795">
        <v>0.94647134987404402</v>
      </c>
      <c r="E795">
        <v>0.76560123193211005</v>
      </c>
      <c r="F795">
        <v>0.49407253501288101</v>
      </c>
      <c r="G795">
        <v>0.168292839232981</v>
      </c>
      <c r="H795">
        <v>7.8985888483889599E-2</v>
      </c>
      <c r="I795">
        <v>6.0785083083844602E-2</v>
      </c>
      <c r="J795">
        <v>6.4511011816077102E-2</v>
      </c>
      <c r="K795">
        <v>6.0178382540521103E-2</v>
      </c>
      <c r="L795">
        <v>1105.0577905139401</v>
      </c>
      <c r="M795">
        <v>21.043952979364999</v>
      </c>
      <c r="N795">
        <v>52.727319381932197</v>
      </c>
      <c r="O795">
        <v>52.044600553812003</v>
      </c>
      <c r="P795">
        <v>-9.6924667635511899E-2</v>
      </c>
      <c r="Q795">
        <v>4.1193199554415E-2</v>
      </c>
      <c r="R795">
        <v>0.99675399732730696</v>
      </c>
      <c r="S795" t="s">
        <v>7247</v>
      </c>
      <c r="T795" t="s">
        <v>12902</v>
      </c>
      <c r="U795" t="s">
        <v>12902</v>
      </c>
      <c r="V795" t="s">
        <v>12902</v>
      </c>
      <c r="W795" t="s">
        <v>13685</v>
      </c>
      <c r="X795">
        <v>8</v>
      </c>
      <c r="Y795" t="s">
        <v>20078</v>
      </c>
      <c r="Z795" t="s">
        <v>26370</v>
      </c>
      <c r="AA795">
        <v>0.45317038230233142</v>
      </c>
      <c r="AB795" t="str">
        <f>HYPERLINK("Melting_Curves/meltCurve_G3XA81_TMEM48.pdf", "Melting_Curves/meltCurve_G3XA81_TMEM48.pdf")</f>
        <v>Melting_Curves/meltCurve_G3XA81_TMEM48.pdf</v>
      </c>
    </row>
    <row r="796" spans="1:28" x14ac:dyDescent="0.25">
      <c r="A796" t="s">
        <v>800</v>
      </c>
      <c r="B796">
        <v>0.99673306730245903</v>
      </c>
      <c r="C796">
        <v>0.81726461530837202</v>
      </c>
      <c r="D796">
        <v>0.65276041546741104</v>
      </c>
      <c r="E796">
        <v>0.35588111465658001</v>
      </c>
      <c r="F796">
        <v>0.21565591578145099</v>
      </c>
      <c r="G796">
        <v>0.150740488323689</v>
      </c>
      <c r="H796">
        <v>9.3395492046053699E-2</v>
      </c>
      <c r="I796">
        <v>0.10100092659883</v>
      </c>
      <c r="J796">
        <v>0.158319048610818</v>
      </c>
      <c r="K796">
        <v>0.16758573467139601</v>
      </c>
      <c r="L796">
        <v>846.06754796218502</v>
      </c>
      <c r="M796">
        <v>18.069185334787701</v>
      </c>
      <c r="N796">
        <v>47.567663663261399</v>
      </c>
      <c r="O796">
        <v>46.2615605965903</v>
      </c>
      <c r="P796">
        <v>-8.5632673293591005E-2</v>
      </c>
      <c r="Q796">
        <v>0.123079564714504</v>
      </c>
      <c r="R796">
        <v>0.99084185900368005</v>
      </c>
      <c r="S796" t="s">
        <v>7248</v>
      </c>
      <c r="T796" t="s">
        <v>12902</v>
      </c>
      <c r="U796" t="s">
        <v>12902</v>
      </c>
      <c r="V796" t="s">
        <v>12902</v>
      </c>
      <c r="W796" t="s">
        <v>13686</v>
      </c>
      <c r="X796">
        <v>3</v>
      </c>
      <c r="Y796" t="s">
        <v>20079</v>
      </c>
      <c r="Z796" t="s">
        <v>26371</v>
      </c>
      <c r="AA796">
        <v>0.33873209219348133</v>
      </c>
      <c r="AB796" t="str">
        <f>HYPERLINK("Melting_Curves/meltCurve_G3XAA0_ARID1B.pdf", "Melting_Curves/meltCurve_G3XAA0_ARID1B.pdf")</f>
        <v>Melting_Curves/meltCurve_G3XAA0_ARID1B.pdf</v>
      </c>
    </row>
    <row r="797" spans="1:28" x14ac:dyDescent="0.25">
      <c r="A797" t="s">
        <v>801</v>
      </c>
      <c r="B797">
        <v>0.99673306730245903</v>
      </c>
      <c r="C797">
        <v>1.0381416699110699</v>
      </c>
      <c r="D797">
        <v>0.77717214547503699</v>
      </c>
      <c r="E797">
        <v>0.37145566279730302</v>
      </c>
      <c r="F797">
        <v>0.12030496952924299</v>
      </c>
      <c r="G797">
        <v>5.3591431821431598E-2</v>
      </c>
      <c r="H797">
        <v>2.3613805083166701E-2</v>
      </c>
      <c r="I797">
        <v>2.07599831458966E-2</v>
      </c>
      <c r="J797">
        <v>1.3492094717864399E-2</v>
      </c>
      <c r="K797">
        <v>1.54474805531374E-2</v>
      </c>
      <c r="L797">
        <v>1242.21397440591</v>
      </c>
      <c r="M797">
        <v>25.636844982061199</v>
      </c>
      <c r="N797">
        <v>48.534295648577803</v>
      </c>
      <c r="O797">
        <v>48.162327492784698</v>
      </c>
      <c r="P797">
        <v>-0.13032198967803599</v>
      </c>
      <c r="Q797">
        <v>2.0701383110166401E-2</v>
      </c>
      <c r="R797">
        <v>0.99629981543544099</v>
      </c>
      <c r="S797" t="s">
        <v>7249</v>
      </c>
      <c r="T797" t="s">
        <v>12902</v>
      </c>
      <c r="U797" t="s">
        <v>12902</v>
      </c>
      <c r="V797" t="s">
        <v>12902</v>
      </c>
      <c r="W797" t="s">
        <v>13687</v>
      </c>
      <c r="X797">
        <v>6</v>
      </c>
      <c r="Y797" t="s">
        <v>20080</v>
      </c>
      <c r="Z797" t="s">
        <v>26372</v>
      </c>
      <c r="AA797">
        <v>0.30488839027444492</v>
      </c>
      <c r="AB797" t="str">
        <f>HYPERLINK("Melting_Curves/meltCurve_G3XAA2_MAP4K4.pdf", "Melting_Curves/meltCurve_G3XAA2_MAP4K4.pdf")</f>
        <v>Melting_Curves/meltCurve_G3XAA2_MAP4K4.pdf</v>
      </c>
    </row>
    <row r="798" spans="1:28" x14ac:dyDescent="0.25">
      <c r="A798" t="s">
        <v>802</v>
      </c>
      <c r="B798">
        <v>0.99673306730245903</v>
      </c>
      <c r="C798">
        <v>1.1803088250223399</v>
      </c>
      <c r="D798">
        <v>0.96802905989414001</v>
      </c>
      <c r="E798">
        <v>0.88193079746949099</v>
      </c>
      <c r="F798">
        <v>0.70523252690917104</v>
      </c>
      <c r="G798">
        <v>0.40594497511253402</v>
      </c>
      <c r="H798">
        <v>0.285665133105935</v>
      </c>
      <c r="I798">
        <v>0.10660438750524601</v>
      </c>
      <c r="J798">
        <v>0.133088744751821</v>
      </c>
      <c r="K798">
        <v>0</v>
      </c>
      <c r="L798">
        <v>892.92965225877197</v>
      </c>
      <c r="M798">
        <v>15.9615756097079</v>
      </c>
      <c r="N798">
        <v>56.0472249774012</v>
      </c>
      <c r="O798">
        <v>55.0864480079495</v>
      </c>
      <c r="P798">
        <v>-7.1379694426861207E-2</v>
      </c>
      <c r="Q798">
        <v>1.4698144126828801E-2</v>
      </c>
      <c r="R798">
        <v>0.97204787169680895</v>
      </c>
      <c r="S798" t="s">
        <v>7250</v>
      </c>
      <c r="T798" t="s">
        <v>12902</v>
      </c>
      <c r="U798" t="s">
        <v>12902</v>
      </c>
      <c r="V798" t="s">
        <v>12902</v>
      </c>
      <c r="W798" t="s">
        <v>13688</v>
      </c>
      <c r="X798">
        <v>3</v>
      </c>
      <c r="Y798" t="s">
        <v>20081</v>
      </c>
      <c r="Z798" t="s">
        <v>26373</v>
      </c>
      <c r="AA798">
        <v>0.5549026248156893</v>
      </c>
      <c r="AB798" t="str">
        <f>HYPERLINK("Melting_Curves/meltCurve_G3XAB3_TTC17.pdf", "Melting_Curves/meltCurve_G3XAB3_TTC17.pdf")</f>
        <v>Melting_Curves/meltCurve_G3XAB3_TTC17.pdf</v>
      </c>
    </row>
    <row r="799" spans="1:28" x14ac:dyDescent="0.25">
      <c r="A799" t="s">
        <v>803</v>
      </c>
      <c r="B799">
        <v>0.99673306730245903</v>
      </c>
      <c r="C799">
        <v>1.0095919935781199</v>
      </c>
      <c r="D799">
        <v>0.90441401271909505</v>
      </c>
      <c r="E799">
        <v>0.88362446101379399</v>
      </c>
      <c r="F799">
        <v>0.64456775859339499</v>
      </c>
      <c r="G799">
        <v>0.42692394164556602</v>
      </c>
      <c r="H799">
        <v>0.224777595684089</v>
      </c>
      <c r="I799">
        <v>0.13504338986255801</v>
      </c>
      <c r="J799">
        <v>0.136706346950977</v>
      </c>
      <c r="K799">
        <v>0.11989764291073</v>
      </c>
      <c r="L799">
        <v>899.03376954049099</v>
      </c>
      <c r="M799">
        <v>16.4039852622148</v>
      </c>
      <c r="N799">
        <v>55.408553472372702</v>
      </c>
      <c r="O799">
        <v>54.010751182584997</v>
      </c>
      <c r="P799">
        <v>-6.9729708838535104E-2</v>
      </c>
      <c r="Q799">
        <v>8.1714225964484105E-2</v>
      </c>
      <c r="R799">
        <v>0.99575676141830805</v>
      </c>
      <c r="S799" t="s">
        <v>7251</v>
      </c>
      <c r="T799" t="s">
        <v>12902</v>
      </c>
      <c r="U799" t="s">
        <v>12902</v>
      </c>
      <c r="V799" t="s">
        <v>12902</v>
      </c>
      <c r="W799" t="s">
        <v>13689</v>
      </c>
      <c r="X799">
        <v>4</v>
      </c>
      <c r="Y799" t="s">
        <v>20082</v>
      </c>
      <c r="Z799" t="s">
        <v>26374</v>
      </c>
      <c r="AA799">
        <v>0.55107651123361401</v>
      </c>
      <c r="AB799" t="str">
        <f>HYPERLINK("Melting_Curves/meltCurve_G3XAC1_SLC26A6.pdf", "Melting_Curves/meltCurve_G3XAC1_SLC26A6.pdf")</f>
        <v>Melting_Curves/meltCurve_G3XAC1_SLC26A6.pdf</v>
      </c>
    </row>
    <row r="800" spans="1:28" x14ac:dyDescent="0.25">
      <c r="A800" t="s">
        <v>804</v>
      </c>
      <c r="B800">
        <v>0.99673306730245903</v>
      </c>
      <c r="C800">
        <v>0.92199138519865098</v>
      </c>
      <c r="D800">
        <v>0.96179636029846804</v>
      </c>
      <c r="E800">
        <v>0.77476123596463198</v>
      </c>
      <c r="F800">
        <v>0.37780070728311199</v>
      </c>
      <c r="G800">
        <v>0.24266647995943399</v>
      </c>
      <c r="H800">
        <v>0.16380500004354201</v>
      </c>
      <c r="I800">
        <v>0.15480883087219599</v>
      </c>
      <c r="J800">
        <v>0.166362037592792</v>
      </c>
      <c r="K800">
        <v>0.14650824201043999</v>
      </c>
      <c r="L800">
        <v>1357.74585898085</v>
      </c>
      <c r="M800">
        <v>26.4417072873912</v>
      </c>
      <c r="N800">
        <v>52.085266138328102</v>
      </c>
      <c r="O800">
        <v>51.057624333909203</v>
      </c>
      <c r="P800">
        <v>-0.109274123193341</v>
      </c>
      <c r="Q800">
        <v>0.155997114335934</v>
      </c>
      <c r="R800">
        <v>0.99462635957587597</v>
      </c>
      <c r="S800" t="s">
        <v>7252</v>
      </c>
      <c r="T800" t="s">
        <v>12902</v>
      </c>
      <c r="U800" t="s">
        <v>12902</v>
      </c>
      <c r="V800" t="s">
        <v>12902</v>
      </c>
      <c r="W800" t="s">
        <v>13690</v>
      </c>
      <c r="X800">
        <v>11</v>
      </c>
      <c r="Y800" t="s">
        <v>20083</v>
      </c>
      <c r="Z800" t="s">
        <v>26375</v>
      </c>
      <c r="AA800">
        <v>0.48212979481084189</v>
      </c>
      <c r="AB800" t="str">
        <f>HYPERLINK("Melting_Curves/meltCurve_G3XAD5_PTPRD.pdf", "Melting_Curves/meltCurve_G3XAD5_PTPRD.pdf")</f>
        <v>Melting_Curves/meltCurve_G3XAD5_PTPRD.pdf</v>
      </c>
    </row>
    <row r="801" spans="1:28" x14ac:dyDescent="0.25">
      <c r="A801" t="s">
        <v>805</v>
      </c>
      <c r="B801">
        <v>0.99673306730245903</v>
      </c>
      <c r="C801">
        <v>1.01189782193629</v>
      </c>
      <c r="D801">
        <v>0.97389808561861901</v>
      </c>
      <c r="E801">
        <v>0.97091084333769395</v>
      </c>
      <c r="F801">
        <v>0.28352429196405998</v>
      </c>
      <c r="G801">
        <v>0.12620082773039601</v>
      </c>
      <c r="H801">
        <v>7.0996648018172598E-2</v>
      </c>
      <c r="I801">
        <v>6.0747332187972902E-2</v>
      </c>
      <c r="J801">
        <v>5.9336560828695997E-2</v>
      </c>
      <c r="K801">
        <v>4.9018363919236897E-2</v>
      </c>
      <c r="L801">
        <v>3216.49217131762</v>
      </c>
      <c r="M801">
        <v>61.657713939314903</v>
      </c>
      <c r="N801">
        <v>52.297793523455198</v>
      </c>
      <c r="O801">
        <v>52.1121151047087</v>
      </c>
      <c r="P801">
        <v>-0.27464352410889298</v>
      </c>
      <c r="Q801">
        <v>7.1503084283642701E-2</v>
      </c>
      <c r="R801">
        <v>0.99788059944547103</v>
      </c>
      <c r="S801" t="s">
        <v>7253</v>
      </c>
      <c r="T801" t="s">
        <v>12902</v>
      </c>
      <c r="U801" t="s">
        <v>12902</v>
      </c>
      <c r="V801" t="s">
        <v>12902</v>
      </c>
      <c r="W801" t="s">
        <v>13691</v>
      </c>
      <c r="X801">
        <v>16</v>
      </c>
      <c r="Y801" t="s">
        <v>20084</v>
      </c>
      <c r="Z801" t="s">
        <v>26376</v>
      </c>
      <c r="AA801">
        <v>0.44946988734139748</v>
      </c>
      <c r="AB801" t="str">
        <f>HYPERLINK("Melting_Curves/meltCurve_G3XAH6_PAPOLA.pdf", "Melting_Curves/meltCurve_G3XAH6_PAPOLA.pdf")</f>
        <v>Melting_Curves/meltCurve_G3XAH6_PAPOLA.pdf</v>
      </c>
    </row>
    <row r="802" spans="1:28" x14ac:dyDescent="0.25">
      <c r="A802" t="s">
        <v>806</v>
      </c>
      <c r="B802">
        <v>0.99673306730245903</v>
      </c>
      <c r="C802">
        <v>0.95654536789964995</v>
      </c>
      <c r="D802">
        <v>0.93880059000900395</v>
      </c>
      <c r="E802">
        <v>0.81006949780116</v>
      </c>
      <c r="F802">
        <v>0.40703663649237098</v>
      </c>
      <c r="G802">
        <v>0.230432248804739</v>
      </c>
      <c r="H802">
        <v>0.18201695779709701</v>
      </c>
      <c r="I802">
        <v>0.154098747317607</v>
      </c>
      <c r="J802">
        <v>0.15649577776101001</v>
      </c>
      <c r="K802">
        <v>0.121096582919859</v>
      </c>
      <c r="L802">
        <v>1346.80904294777</v>
      </c>
      <c r="M802">
        <v>26.044719822814901</v>
      </c>
      <c r="N802">
        <v>52.410965170857999</v>
      </c>
      <c r="O802">
        <v>51.409433216611198</v>
      </c>
      <c r="P802">
        <v>-0.10805918102071101</v>
      </c>
      <c r="Q802">
        <v>0.14682165250241799</v>
      </c>
      <c r="R802">
        <v>0.99668041435867005</v>
      </c>
      <c r="S802" t="s">
        <v>7254</v>
      </c>
      <c r="T802" t="s">
        <v>12902</v>
      </c>
      <c r="U802" t="s">
        <v>12902</v>
      </c>
      <c r="V802" t="s">
        <v>12902</v>
      </c>
      <c r="W802" t="s">
        <v>13692</v>
      </c>
      <c r="X802">
        <v>29</v>
      </c>
      <c r="Y802" t="s">
        <v>20085</v>
      </c>
      <c r="Z802" t="s">
        <v>26377</v>
      </c>
      <c r="AA802">
        <v>0.48705731911301942</v>
      </c>
      <c r="AB802" t="str">
        <f>HYPERLINK("Melting_Curves/meltCurve_G3XAI2_LAMB1.pdf", "Melting_Curves/meltCurve_G3XAI2_LAMB1.pdf")</f>
        <v>Melting_Curves/meltCurve_G3XAI2_LAMB1.pdf</v>
      </c>
    </row>
    <row r="803" spans="1:28" x14ac:dyDescent="0.25">
      <c r="A803" t="s">
        <v>807</v>
      </c>
      <c r="B803">
        <v>0.99673306730245903</v>
      </c>
      <c r="C803">
        <v>0.94826547151514096</v>
      </c>
      <c r="D803">
        <v>0.74287597636414104</v>
      </c>
      <c r="E803">
        <v>0.698476204960091</v>
      </c>
      <c r="F803">
        <v>0.66219517027128505</v>
      </c>
      <c r="G803">
        <v>0.575515741833451</v>
      </c>
      <c r="H803">
        <v>0.46000748890162702</v>
      </c>
      <c r="I803">
        <v>0.52749669565023305</v>
      </c>
      <c r="J803">
        <v>0.66285084630428504</v>
      </c>
      <c r="K803">
        <v>0.63181419732194299</v>
      </c>
      <c r="L803">
        <v>866.94462224765698</v>
      </c>
      <c r="M803">
        <v>18.796073644238898</v>
      </c>
      <c r="O803">
        <v>45.611137887347098</v>
      </c>
      <c r="P803">
        <v>-4.3419585633746101E-2</v>
      </c>
      <c r="Q803">
        <v>0.57856425532354805</v>
      </c>
      <c r="R803">
        <v>0.86403145524276104</v>
      </c>
      <c r="S803" t="s">
        <v>7255</v>
      </c>
      <c r="T803" t="s">
        <v>12902</v>
      </c>
      <c r="U803" t="s">
        <v>12902</v>
      </c>
      <c r="V803" t="s">
        <v>12902</v>
      </c>
      <c r="W803" t="s">
        <v>13693</v>
      </c>
      <c r="X803">
        <v>5</v>
      </c>
      <c r="Y803" t="s">
        <v>20086</v>
      </c>
      <c r="Z803" t="s">
        <v>26378</v>
      </c>
      <c r="AA803">
        <v>0.67202716246323435</v>
      </c>
      <c r="AB803" t="str">
        <f>HYPERLINK("Melting_Curves/meltCurve_G3XAI9_FAM133B.pdf", "Melting_Curves/meltCurve_G3XAI9_FAM133B.pdf")</f>
        <v>Melting_Curves/meltCurve_G3XAI9_FAM133B.pdf</v>
      </c>
    </row>
    <row r="804" spans="1:28" x14ac:dyDescent="0.25">
      <c r="A804" t="s">
        <v>808</v>
      </c>
      <c r="B804">
        <v>0.99673306730245903</v>
      </c>
      <c r="C804">
        <v>0.95131708173609497</v>
      </c>
      <c r="D804">
        <v>0.96914968659613399</v>
      </c>
      <c r="E804">
        <v>0.81443765541352298</v>
      </c>
      <c r="F804">
        <v>0.50823411102175398</v>
      </c>
      <c r="G804">
        <v>0.25149273964308599</v>
      </c>
      <c r="H804">
        <v>0.149206050110504</v>
      </c>
      <c r="I804">
        <v>0.17256275466266699</v>
      </c>
      <c r="J804">
        <v>0.18059427514783</v>
      </c>
      <c r="K804">
        <v>0.17731065969426699</v>
      </c>
      <c r="L804">
        <v>1289.6745811869</v>
      </c>
      <c r="M804">
        <v>24.670746621907401</v>
      </c>
      <c r="N804">
        <v>53.103492332928397</v>
      </c>
      <c r="O804">
        <v>51.935621686753798</v>
      </c>
      <c r="P804">
        <v>-9.9796180414938804E-2</v>
      </c>
      <c r="Q804">
        <v>0.15966820291481401</v>
      </c>
      <c r="R804">
        <v>0.99650021350551399</v>
      </c>
      <c r="S804" t="s">
        <v>7256</v>
      </c>
      <c r="T804" t="s">
        <v>12902</v>
      </c>
      <c r="U804" t="s">
        <v>12902</v>
      </c>
      <c r="V804" t="s">
        <v>12902</v>
      </c>
      <c r="W804" t="s">
        <v>13694</v>
      </c>
      <c r="X804">
        <v>2</v>
      </c>
      <c r="Y804" t="s">
        <v>20087</v>
      </c>
      <c r="Z804" t="s">
        <v>26379</v>
      </c>
      <c r="AA804">
        <v>0.51140538692239823</v>
      </c>
      <c r="AB804" t="str">
        <f>HYPERLINK("Melting_Curves/meltCurve_G3XAN4_TRAM1.pdf", "Melting_Curves/meltCurve_G3XAN4_TRAM1.pdf")</f>
        <v>Melting_Curves/meltCurve_G3XAN4_TRAM1.pdf</v>
      </c>
    </row>
    <row r="805" spans="1:28" x14ac:dyDescent="0.25">
      <c r="A805" t="s">
        <v>809</v>
      </c>
      <c r="B805">
        <v>0.99673306730245903</v>
      </c>
      <c r="C805">
        <v>0.90171950928923705</v>
      </c>
      <c r="D805">
        <v>0.98495853524130195</v>
      </c>
      <c r="E805">
        <v>0.92360425234033405</v>
      </c>
      <c r="F805">
        <v>0.885988503507804</v>
      </c>
      <c r="G805">
        <v>0.69575898352509702</v>
      </c>
      <c r="H805">
        <v>0.58090848046391597</v>
      </c>
      <c r="I805">
        <v>0.68975889909358201</v>
      </c>
      <c r="J805">
        <v>0.89285611299365697</v>
      </c>
      <c r="K805">
        <v>0.85571084789854501</v>
      </c>
      <c r="L805">
        <v>13312.048405892399</v>
      </c>
      <c r="M805">
        <v>250</v>
      </c>
      <c r="O805">
        <v>53.244786107934999</v>
      </c>
      <c r="P805">
        <v>-0.30167430268275702</v>
      </c>
      <c r="Q805">
        <v>0.74299866084673205</v>
      </c>
      <c r="R805">
        <v>0.52199259909645501</v>
      </c>
      <c r="S805" t="s">
        <v>7257</v>
      </c>
      <c r="T805" t="s">
        <v>12902</v>
      </c>
      <c r="U805" t="s">
        <v>12902</v>
      </c>
      <c r="V805" t="s">
        <v>12902</v>
      </c>
      <c r="W805" t="s">
        <v>13695</v>
      </c>
      <c r="X805">
        <v>8</v>
      </c>
      <c r="Y805" t="s">
        <v>20088</v>
      </c>
      <c r="Z805" t="s">
        <v>26380</v>
      </c>
      <c r="AA805">
        <v>0.8565161276452099</v>
      </c>
      <c r="AB805" t="str">
        <f>HYPERLINK("Melting_Curves/meltCurve_G3XAN8_TIMM8B.pdf", "Melting_Curves/meltCurve_G3XAN8_TIMM8B.pdf")</f>
        <v>Melting_Curves/meltCurve_G3XAN8_TIMM8B.pdf</v>
      </c>
    </row>
    <row r="806" spans="1:28" x14ac:dyDescent="0.25">
      <c r="A806" t="s">
        <v>810</v>
      </c>
      <c r="B806">
        <v>0.99673306730245903</v>
      </c>
      <c r="C806">
        <v>0.86313861724575303</v>
      </c>
      <c r="D806">
        <v>0.86539034977835205</v>
      </c>
      <c r="E806">
        <v>0.806428755377536</v>
      </c>
      <c r="F806">
        <v>0.43035830356634802</v>
      </c>
      <c r="G806">
        <v>0.28479555623780001</v>
      </c>
      <c r="H806">
        <v>0.23328014465881899</v>
      </c>
      <c r="I806">
        <v>0.24996963490809199</v>
      </c>
      <c r="J806">
        <v>0.269547065365012</v>
      </c>
      <c r="K806">
        <v>0.27544167264207597</v>
      </c>
      <c r="L806">
        <v>1174.11509239406</v>
      </c>
      <c r="M806">
        <v>23.013511494844501</v>
      </c>
      <c r="N806">
        <v>52.540224087680002</v>
      </c>
      <c r="O806">
        <v>50.637952098257301</v>
      </c>
      <c r="P806">
        <v>-8.5981121236326202E-2</v>
      </c>
      <c r="Q806">
        <v>0.243257026406489</v>
      </c>
      <c r="R806">
        <v>0.96624304769140901</v>
      </c>
      <c r="S806" t="s">
        <v>7258</v>
      </c>
      <c r="T806" t="s">
        <v>12902</v>
      </c>
      <c r="U806" t="s">
        <v>12902</v>
      </c>
      <c r="V806" t="s">
        <v>12902</v>
      </c>
      <c r="W806" t="s">
        <v>13696</v>
      </c>
      <c r="X806">
        <v>4</v>
      </c>
      <c r="Y806" t="s">
        <v>20089</v>
      </c>
      <c r="Z806" t="s">
        <v>26381</v>
      </c>
      <c r="AA806">
        <v>0.52923443942120529</v>
      </c>
      <c r="AB806" t="str">
        <f>HYPERLINK("Melting_Curves/meltCurve_G5E933_SBF1.pdf", "Melting_Curves/meltCurve_G5E933_SBF1.pdf")</f>
        <v>Melting_Curves/meltCurve_G5E933_SBF1.pdf</v>
      </c>
    </row>
    <row r="807" spans="1:28" x14ac:dyDescent="0.25">
      <c r="A807" t="s">
        <v>811</v>
      </c>
      <c r="B807">
        <v>0.99673306730245903</v>
      </c>
      <c r="C807">
        <v>0.79331151393136101</v>
      </c>
      <c r="D807">
        <v>0.53168606027001897</v>
      </c>
      <c r="E807">
        <v>0.28936665287271002</v>
      </c>
      <c r="F807">
        <v>0.254489887794212</v>
      </c>
      <c r="G807">
        <v>0.141489696892378</v>
      </c>
      <c r="H807">
        <v>9.9210876183451896E-2</v>
      </c>
      <c r="I807">
        <v>8.8577702381469101E-2</v>
      </c>
      <c r="J807">
        <v>7.1241988248985796E-2</v>
      </c>
      <c r="K807">
        <v>5.6739604739483397E-2</v>
      </c>
      <c r="L807">
        <v>743.48480283389097</v>
      </c>
      <c r="M807">
        <v>16.079752177623401</v>
      </c>
      <c r="N807">
        <v>46.759637354386598</v>
      </c>
      <c r="O807">
        <v>45.539932847979998</v>
      </c>
      <c r="P807">
        <v>-8.1022782766163606E-2</v>
      </c>
      <c r="Q807">
        <v>8.2202697866942301E-2</v>
      </c>
      <c r="R807">
        <v>0.98755382629419697</v>
      </c>
      <c r="S807" t="s">
        <v>7259</v>
      </c>
      <c r="T807" t="s">
        <v>12902</v>
      </c>
      <c r="U807" t="s">
        <v>12902</v>
      </c>
      <c r="V807" t="s">
        <v>12902</v>
      </c>
      <c r="W807" t="s">
        <v>13697</v>
      </c>
      <c r="X807">
        <v>4</v>
      </c>
      <c r="Y807" t="s">
        <v>20090</v>
      </c>
      <c r="Z807" t="s">
        <v>26382</v>
      </c>
      <c r="AA807">
        <v>0.2957076501618594</v>
      </c>
      <c r="AB807" t="str">
        <f>HYPERLINK("Melting_Curves/meltCurve_G5E975_SMARCB1.pdf", "Melting_Curves/meltCurve_G5E975_SMARCB1.pdf")</f>
        <v>Melting_Curves/meltCurve_G5E975_SMARCB1.pdf</v>
      </c>
    </row>
    <row r="808" spans="1:28" x14ac:dyDescent="0.25">
      <c r="A808" t="s">
        <v>812</v>
      </c>
      <c r="B808">
        <v>0.99673306730245903</v>
      </c>
      <c r="C808">
        <v>0.856564385331409</v>
      </c>
      <c r="D808">
        <v>0.52240029131449095</v>
      </c>
      <c r="E808">
        <v>0.41078125961329598</v>
      </c>
      <c r="F808">
        <v>0.419132622221005</v>
      </c>
      <c r="G808">
        <v>0.238335702655842</v>
      </c>
      <c r="H808">
        <v>0.14602805836066099</v>
      </c>
      <c r="I808">
        <v>0.10749382685779101</v>
      </c>
      <c r="J808">
        <v>0.102909450397051</v>
      </c>
      <c r="K808">
        <v>0.112535166049653</v>
      </c>
      <c r="L808">
        <v>545.014781243264</v>
      </c>
      <c r="M808">
        <v>11.4173193825367</v>
      </c>
      <c r="N808">
        <v>48.566768166036198</v>
      </c>
      <c r="O808">
        <v>46.3417615086978</v>
      </c>
      <c r="P808">
        <v>-5.6144429739528698E-2</v>
      </c>
      <c r="Q808">
        <v>8.8727759984875004E-2</v>
      </c>
      <c r="R808">
        <v>0.95569471065530898</v>
      </c>
      <c r="S808" t="s">
        <v>7260</v>
      </c>
      <c r="T808" t="s">
        <v>12902</v>
      </c>
      <c r="U808" t="s">
        <v>12902</v>
      </c>
      <c r="V808" t="s">
        <v>12902</v>
      </c>
      <c r="W808" t="s">
        <v>13109</v>
      </c>
      <c r="X808">
        <v>5</v>
      </c>
      <c r="Y808" t="s">
        <v>20091</v>
      </c>
      <c r="Z808" t="s">
        <v>26383</v>
      </c>
      <c r="AA808">
        <v>0.36332498993916512</v>
      </c>
      <c r="AB808" t="str">
        <f>HYPERLINK("Melting_Curves/meltCurve_G5E9A6_USP11.pdf", "Melting_Curves/meltCurve_G5E9A6_USP11.pdf")</f>
        <v>Melting_Curves/meltCurve_G5E9A6_USP11.pdf</v>
      </c>
    </row>
    <row r="809" spans="1:28" x14ac:dyDescent="0.25">
      <c r="A809" t="s">
        <v>813</v>
      </c>
      <c r="B809">
        <v>0.99673306730245903</v>
      </c>
      <c r="C809">
        <v>0.91797259164369505</v>
      </c>
      <c r="D809">
        <v>0.89715849509158196</v>
      </c>
      <c r="E809">
        <v>0.59401627671906099</v>
      </c>
      <c r="F809">
        <v>0.26974617202374002</v>
      </c>
      <c r="G809">
        <v>0.17544507106327401</v>
      </c>
      <c r="H809">
        <v>0.117174907109695</v>
      </c>
      <c r="I809">
        <v>0.131562710529632</v>
      </c>
      <c r="J809">
        <v>0.165226345766255</v>
      </c>
      <c r="K809">
        <v>0.159850800846908</v>
      </c>
      <c r="L809">
        <v>1216.9260614294301</v>
      </c>
      <c r="M809">
        <v>24.4780202922366</v>
      </c>
      <c r="N809">
        <v>50.379491547416002</v>
      </c>
      <c r="O809">
        <v>49.386808936704099</v>
      </c>
      <c r="P809">
        <v>-0.106817329059631</v>
      </c>
      <c r="Q809">
        <v>0.13795483724979499</v>
      </c>
      <c r="R809">
        <v>0.99454850561977104</v>
      </c>
      <c r="S809" t="s">
        <v>7261</v>
      </c>
      <c r="T809" t="s">
        <v>12902</v>
      </c>
      <c r="U809" t="s">
        <v>12902</v>
      </c>
      <c r="V809" t="s">
        <v>12902</v>
      </c>
      <c r="W809" t="s">
        <v>13698</v>
      </c>
      <c r="X809">
        <v>30</v>
      </c>
      <c r="Y809" t="s">
        <v>20092</v>
      </c>
      <c r="Z809" t="s">
        <v>26384</v>
      </c>
      <c r="AA809">
        <v>0.42513360920664578</v>
      </c>
      <c r="AB809" t="str">
        <f>HYPERLINK("Melting_Curves/meltCurve_G5E9E7_TJP1.pdf", "Melting_Curves/meltCurve_G5E9E7_TJP1.pdf")</f>
        <v>Melting_Curves/meltCurve_G5E9E7_TJP1.pdf</v>
      </c>
    </row>
    <row r="810" spans="1:28" x14ac:dyDescent="0.25">
      <c r="A810" t="s">
        <v>814</v>
      </c>
      <c r="B810">
        <v>0.99673306730245903</v>
      </c>
      <c r="C810">
        <v>0.964387898849424</v>
      </c>
      <c r="D810">
        <v>0.65455012403206803</v>
      </c>
      <c r="E810">
        <v>0.376340055957879</v>
      </c>
      <c r="F810">
        <v>0.260028651353861</v>
      </c>
      <c r="G810">
        <v>0.137334993523171</v>
      </c>
      <c r="H810">
        <v>0.102240655296383</v>
      </c>
      <c r="I810">
        <v>8.8189540891384394E-2</v>
      </c>
      <c r="J810">
        <v>0.10243136107117699</v>
      </c>
      <c r="K810">
        <v>8.7823682395917202E-2</v>
      </c>
      <c r="L810">
        <v>903.20685732900404</v>
      </c>
      <c r="M810">
        <v>18.9505283035605</v>
      </c>
      <c r="N810">
        <v>48.205708290586301</v>
      </c>
      <c r="O810">
        <v>47.140089276105897</v>
      </c>
      <c r="P810">
        <v>-9.08232962469806E-2</v>
      </c>
      <c r="Q810">
        <v>9.6332176892789403E-2</v>
      </c>
      <c r="R810">
        <v>0.992005103888008</v>
      </c>
      <c r="S810" t="s">
        <v>7262</v>
      </c>
      <c r="T810" t="s">
        <v>12902</v>
      </c>
      <c r="U810" t="s">
        <v>12902</v>
      </c>
      <c r="V810" t="s">
        <v>12902</v>
      </c>
      <c r="W810" t="s">
        <v>13699</v>
      </c>
      <c r="X810">
        <v>2</v>
      </c>
      <c r="Y810" t="s">
        <v>20093</v>
      </c>
      <c r="Z810" t="s">
        <v>26385</v>
      </c>
      <c r="AA810">
        <v>0.34163893232415432</v>
      </c>
      <c r="AB810" t="str">
        <f>HYPERLINK("Melting_Curves/meltCurve_G5E9P3_NKIRAS1.pdf", "Melting_Curves/meltCurve_G5E9P3_NKIRAS1.pdf")</f>
        <v>Melting_Curves/meltCurve_G5E9P3_NKIRAS1.pdf</v>
      </c>
    </row>
    <row r="811" spans="1:28" x14ac:dyDescent="0.25">
      <c r="A811" t="s">
        <v>815</v>
      </c>
      <c r="B811">
        <v>0.99673306730245903</v>
      </c>
      <c r="C811">
        <v>0.897602547269998</v>
      </c>
      <c r="D811">
        <v>0.54879142127029901</v>
      </c>
      <c r="E811">
        <v>0.226399931749167</v>
      </c>
      <c r="F811">
        <v>0.149091509775162</v>
      </c>
      <c r="G811">
        <v>9.7826549753789294E-2</v>
      </c>
      <c r="H811">
        <v>7.6608756448853899E-2</v>
      </c>
      <c r="I811">
        <v>7.9651102042127206E-2</v>
      </c>
      <c r="J811">
        <v>7.7977441389543795E-2</v>
      </c>
      <c r="K811">
        <v>0.106165472367865</v>
      </c>
      <c r="L811">
        <v>1177.4920325263599</v>
      </c>
      <c r="M811">
        <v>25.525962185061299</v>
      </c>
      <c r="N811">
        <v>46.495311829568401</v>
      </c>
      <c r="O811">
        <v>45.8488708436916</v>
      </c>
      <c r="P811">
        <v>-0.12651492830590599</v>
      </c>
      <c r="Q811">
        <v>9.1043896691699003E-2</v>
      </c>
      <c r="R811">
        <v>0.99807177973907002</v>
      </c>
      <c r="S811" t="s">
        <v>7263</v>
      </c>
      <c r="T811" t="s">
        <v>12902</v>
      </c>
      <c r="U811" t="s">
        <v>12902</v>
      </c>
      <c r="V811" t="s">
        <v>12902</v>
      </c>
      <c r="W811" t="s">
        <v>13700</v>
      </c>
      <c r="X811">
        <v>14</v>
      </c>
      <c r="Y811" t="s">
        <v>20094</v>
      </c>
      <c r="Z811" t="s">
        <v>26386</v>
      </c>
      <c r="AA811">
        <v>0.28470505453613398</v>
      </c>
      <c r="AB811" t="str">
        <f>HYPERLINK("Melting_Curves/meltCurve_G5EA30_CELF1.pdf", "Melting_Curves/meltCurve_G5EA30_CELF1.pdf")</f>
        <v>Melting_Curves/meltCurve_G5EA30_CELF1.pdf</v>
      </c>
    </row>
    <row r="812" spans="1:28" x14ac:dyDescent="0.25">
      <c r="A812" t="s">
        <v>816</v>
      </c>
      <c r="B812">
        <v>0.99673306730245903</v>
      </c>
      <c r="C812">
        <v>0.491815054951733</v>
      </c>
      <c r="D812">
        <v>0.37941764680819701</v>
      </c>
      <c r="E812">
        <v>0.28528411742821003</v>
      </c>
      <c r="F812">
        <v>0.15835766567163201</v>
      </c>
      <c r="G812">
        <v>0.108155562615028</v>
      </c>
      <c r="H812">
        <v>8.3239212132213705E-2</v>
      </c>
      <c r="I812">
        <v>7.5947429499142599E-2</v>
      </c>
      <c r="J812">
        <v>8.6785917656749104E-2</v>
      </c>
      <c r="K812">
        <v>9.5526089985910001E-2</v>
      </c>
      <c r="L812">
        <v>774.57253635146799</v>
      </c>
      <c r="M812">
        <v>17.728470565241601</v>
      </c>
      <c r="N812">
        <v>44.250851372465903</v>
      </c>
      <c r="O812">
        <v>43.1463540761657</v>
      </c>
      <c r="P812">
        <v>-9.2406172615437293E-2</v>
      </c>
      <c r="Q812">
        <v>0.100479526064549</v>
      </c>
      <c r="R812">
        <v>0.93734974207338695</v>
      </c>
      <c r="S812" t="s">
        <v>7264</v>
      </c>
      <c r="T812" t="s">
        <v>12902</v>
      </c>
      <c r="U812" t="s">
        <v>12902</v>
      </c>
      <c r="V812" t="s">
        <v>12902</v>
      </c>
      <c r="W812" t="s">
        <v>13701</v>
      </c>
      <c r="X812">
        <v>4</v>
      </c>
      <c r="Y812" t="s">
        <v>20095</v>
      </c>
      <c r="Z812" t="s">
        <v>26387</v>
      </c>
      <c r="AA812">
        <v>0.23522166047114881</v>
      </c>
      <c r="AB812" t="str">
        <f>HYPERLINK("Melting_Curves/meltCurve_G8JL98_TDG.pdf", "Melting_Curves/meltCurve_G8JL98_TDG.pdf")</f>
        <v>Melting_Curves/meltCurve_G8JL98_TDG.pdf</v>
      </c>
    </row>
    <row r="813" spans="1:28" x14ac:dyDescent="0.25">
      <c r="A813" t="s">
        <v>817</v>
      </c>
      <c r="B813">
        <v>0.99673306730245903</v>
      </c>
      <c r="C813">
        <v>0.84818129643696005</v>
      </c>
      <c r="D813">
        <v>0.36557132460052899</v>
      </c>
      <c r="E813">
        <v>0.18407022933412101</v>
      </c>
      <c r="F813">
        <v>0.13701979792201399</v>
      </c>
      <c r="G813">
        <v>8.7353247856517199E-2</v>
      </c>
      <c r="H813">
        <v>5.6191632670326903E-2</v>
      </c>
      <c r="I813">
        <v>5.3107515823072299E-2</v>
      </c>
      <c r="J813">
        <v>5.78115444108235E-2</v>
      </c>
      <c r="K813">
        <v>4.6607433060359298E-2</v>
      </c>
      <c r="L813">
        <v>1343.5449469832499</v>
      </c>
      <c r="M813">
        <v>29.843629030686699</v>
      </c>
      <c r="N813">
        <v>45.271504707768699</v>
      </c>
      <c r="O813">
        <v>44.818799373775597</v>
      </c>
      <c r="P813">
        <v>-0.15372899220634501</v>
      </c>
      <c r="Q813">
        <v>7.6532776090101298E-2</v>
      </c>
      <c r="R813">
        <v>0.99162407354248905</v>
      </c>
      <c r="S813" t="s">
        <v>7265</v>
      </c>
      <c r="T813" t="s">
        <v>12902</v>
      </c>
      <c r="U813" t="s">
        <v>12902</v>
      </c>
      <c r="V813" t="s">
        <v>12902</v>
      </c>
      <c r="W813" t="s">
        <v>13702</v>
      </c>
      <c r="X813">
        <v>12</v>
      </c>
      <c r="Y813" t="s">
        <v>20096</v>
      </c>
      <c r="Z813" t="s">
        <v>26388</v>
      </c>
      <c r="AA813">
        <v>0.2370513932443653</v>
      </c>
      <c r="AB813" t="str">
        <f>HYPERLINK("Melting_Curves/meltCurve_G8JLB3_PUS1.pdf", "Melting_Curves/meltCurve_G8JLB3_PUS1.pdf")</f>
        <v>Melting_Curves/meltCurve_G8JLB3_PUS1.pdf</v>
      </c>
    </row>
    <row r="814" spans="1:28" x14ac:dyDescent="0.25">
      <c r="A814" t="s">
        <v>818</v>
      </c>
      <c r="B814">
        <v>0.99673306730245903</v>
      </c>
      <c r="C814">
        <v>0.83580547824280205</v>
      </c>
      <c r="D814">
        <v>0.51757924355266705</v>
      </c>
      <c r="E814">
        <v>0.23693963690210701</v>
      </c>
      <c r="F814">
        <v>0.151255097334688</v>
      </c>
      <c r="G814">
        <v>9.23469791493957E-2</v>
      </c>
      <c r="H814">
        <v>6.4971006467699793E-2</v>
      </c>
      <c r="I814">
        <v>5.6928922153222199E-2</v>
      </c>
      <c r="J814">
        <v>5.8286446521303902E-2</v>
      </c>
      <c r="K814">
        <v>5.47903393234771E-2</v>
      </c>
      <c r="L814">
        <v>957.16415801604705</v>
      </c>
      <c r="M814">
        <v>20.799394034901201</v>
      </c>
      <c r="N814">
        <v>46.329213350625601</v>
      </c>
      <c r="O814">
        <v>45.599794526814598</v>
      </c>
      <c r="P814">
        <v>-0.106619538324113</v>
      </c>
      <c r="Q814">
        <v>6.5031670779751194E-2</v>
      </c>
      <c r="R814">
        <v>0.99721691315706995</v>
      </c>
      <c r="S814" t="s">
        <v>7266</v>
      </c>
      <c r="T814" t="s">
        <v>12902</v>
      </c>
      <c r="U814" t="s">
        <v>12902</v>
      </c>
      <c r="V814" t="s">
        <v>12902</v>
      </c>
      <c r="W814" t="s">
        <v>13703</v>
      </c>
      <c r="X814">
        <v>17</v>
      </c>
      <c r="Y814" t="s">
        <v>20097</v>
      </c>
      <c r="Z814" t="s">
        <v>26389</v>
      </c>
      <c r="AA814">
        <v>0.26580580504019219</v>
      </c>
      <c r="AB814" t="str">
        <f>HYPERLINK("Melting_Curves/meltCurve_G8JLB6_HNRNPH1.pdf", "Melting_Curves/meltCurve_G8JLB6_HNRNPH1.pdf")</f>
        <v>Melting_Curves/meltCurve_G8JLB6_HNRNPH1.pdf</v>
      </c>
    </row>
    <row r="815" spans="1:28" x14ac:dyDescent="0.25">
      <c r="A815" t="s">
        <v>819</v>
      </c>
      <c r="B815">
        <v>0.99673306730245903</v>
      </c>
      <c r="C815">
        <v>0.94644976967913097</v>
      </c>
      <c r="D815">
        <v>0.93511832976787401</v>
      </c>
      <c r="E815">
        <v>0.832388160893203</v>
      </c>
      <c r="F815">
        <v>0.55104587959836604</v>
      </c>
      <c r="G815">
        <v>0.29537107130847701</v>
      </c>
      <c r="H815">
        <v>0.11333669363507801</v>
      </c>
      <c r="I815">
        <v>9.7158810184768296E-2</v>
      </c>
      <c r="J815">
        <v>8.5056364387804895E-2</v>
      </c>
      <c r="K815">
        <v>9.1081976373054097E-2</v>
      </c>
      <c r="L815">
        <v>1027.5048788336301</v>
      </c>
      <c r="M815">
        <v>19.2472593306946</v>
      </c>
      <c r="N815">
        <v>53.759380337524298</v>
      </c>
      <c r="O815">
        <v>52.818226288290198</v>
      </c>
      <c r="P815">
        <v>-8.5383447748772406E-2</v>
      </c>
      <c r="Q815">
        <v>6.28003622178267E-2</v>
      </c>
      <c r="R815">
        <v>0.99714239598224497</v>
      </c>
      <c r="S815" t="s">
        <v>7267</v>
      </c>
      <c r="T815" t="s">
        <v>12902</v>
      </c>
      <c r="U815" t="s">
        <v>12902</v>
      </c>
      <c r="V815" t="s">
        <v>12902</v>
      </c>
      <c r="W815" t="s">
        <v>13704</v>
      </c>
      <c r="X815">
        <v>5</v>
      </c>
      <c r="Y815" t="s">
        <v>20098</v>
      </c>
      <c r="Z815" t="s">
        <v>26390</v>
      </c>
      <c r="AA815">
        <v>0.49461322700894739</v>
      </c>
      <c r="AB815" t="str">
        <f>HYPERLINK("Melting_Curves/meltCurve_G8JLI5_WDR45.pdf", "Melting_Curves/meltCurve_G8JLI5_WDR45.pdf")</f>
        <v>Melting_Curves/meltCurve_G8JLI5_WDR45.pdf</v>
      </c>
    </row>
    <row r="816" spans="1:28" x14ac:dyDescent="0.25">
      <c r="A816" t="s">
        <v>820</v>
      </c>
      <c r="B816">
        <v>0.99673306730245903</v>
      </c>
      <c r="C816">
        <v>0.94205789562386999</v>
      </c>
      <c r="D816">
        <v>0.82222934361137601</v>
      </c>
      <c r="E816">
        <v>0.56318995647208903</v>
      </c>
      <c r="F816">
        <v>0.45438108160299101</v>
      </c>
      <c r="G816">
        <v>0.28237272001054298</v>
      </c>
      <c r="H816">
        <v>0.18703189564248501</v>
      </c>
      <c r="I816">
        <v>0.13034721747203301</v>
      </c>
      <c r="J816">
        <v>0.123263851998427</v>
      </c>
      <c r="K816">
        <v>9.50462171262349E-2</v>
      </c>
      <c r="L816">
        <v>637.99590548615197</v>
      </c>
      <c r="M816">
        <v>12.5091305933709</v>
      </c>
      <c r="N816">
        <v>51.660872396569999</v>
      </c>
      <c r="O816">
        <v>49.7516143984273</v>
      </c>
      <c r="P816">
        <v>-5.8237954082951002E-2</v>
      </c>
      <c r="Q816">
        <v>7.3688469929363898E-2</v>
      </c>
      <c r="R816">
        <v>0.99489244487950601</v>
      </c>
      <c r="S816" t="s">
        <v>7268</v>
      </c>
      <c r="T816" t="s">
        <v>12902</v>
      </c>
      <c r="U816" t="s">
        <v>12902</v>
      </c>
      <c r="V816" t="s">
        <v>12902</v>
      </c>
      <c r="W816" t="s">
        <v>13705</v>
      </c>
      <c r="X816">
        <v>5</v>
      </c>
      <c r="Y816" t="s">
        <v>20099</v>
      </c>
      <c r="Z816" t="s">
        <v>26391</v>
      </c>
      <c r="AA816">
        <v>0.44184844330819723</v>
      </c>
      <c r="AB816" t="str">
        <f>HYPERLINK("Melting_Curves/meltCurve_G8JLI6_LEPREL2.pdf", "Melting_Curves/meltCurve_G8JLI6_LEPREL2.pdf")</f>
        <v>Melting_Curves/meltCurve_G8JLI6_LEPREL2.pdf</v>
      </c>
    </row>
    <row r="817" spans="1:28" x14ac:dyDescent="0.25">
      <c r="A817" t="s">
        <v>821</v>
      </c>
      <c r="B817">
        <v>0.99673306730245903</v>
      </c>
      <c r="C817">
        <v>0.99440407579331103</v>
      </c>
      <c r="D817">
        <v>0.92421491557444602</v>
      </c>
      <c r="E817">
        <v>0.74423851913365902</v>
      </c>
      <c r="F817">
        <v>0.40030757547944101</v>
      </c>
      <c r="G817">
        <v>0.21862731067364999</v>
      </c>
      <c r="H817">
        <v>0.144252622933117</v>
      </c>
      <c r="I817">
        <v>0.17363416231933201</v>
      </c>
      <c r="J817">
        <v>0.23142610259556301</v>
      </c>
      <c r="K817">
        <v>0.24303327430201199</v>
      </c>
      <c r="L817">
        <v>1368.9529631120599</v>
      </c>
      <c r="M817">
        <v>26.865845352411</v>
      </c>
      <c r="N817">
        <v>51.889410490095898</v>
      </c>
      <c r="O817">
        <v>50.6753353390055</v>
      </c>
      <c r="P817">
        <v>-0.10712491295139499</v>
      </c>
      <c r="Q817">
        <v>0.19175654317449001</v>
      </c>
      <c r="R817">
        <v>0.991940143492687</v>
      </c>
      <c r="S817" t="s">
        <v>7269</v>
      </c>
      <c r="T817" t="s">
        <v>12902</v>
      </c>
      <c r="U817" t="s">
        <v>12902</v>
      </c>
      <c r="V817" t="s">
        <v>12902</v>
      </c>
      <c r="W817" t="s">
        <v>13706</v>
      </c>
      <c r="X817">
        <v>14</v>
      </c>
      <c r="Y817" t="s">
        <v>20100</v>
      </c>
      <c r="Z817" t="s">
        <v>26392</v>
      </c>
      <c r="AA817">
        <v>0.49323324076377217</v>
      </c>
      <c r="AB817" t="str">
        <f>HYPERLINK("Melting_Curves/meltCurve_G8JLK4_TACC1.pdf", "Melting_Curves/meltCurve_G8JLK4_TACC1.pdf")</f>
        <v>Melting_Curves/meltCurve_G8JLK4_TACC1.pdf</v>
      </c>
    </row>
    <row r="818" spans="1:28" x14ac:dyDescent="0.25">
      <c r="A818" t="s">
        <v>822</v>
      </c>
      <c r="B818">
        <v>0.99673306730245903</v>
      </c>
      <c r="C818">
        <v>1.00752164758499</v>
      </c>
      <c r="D818">
        <v>0.97087989239140604</v>
      </c>
      <c r="E818">
        <v>0.91255795683536001</v>
      </c>
      <c r="F818">
        <v>0.82848770211149603</v>
      </c>
      <c r="G818">
        <v>0.65717603798936397</v>
      </c>
      <c r="H818">
        <v>0.342963872536166</v>
      </c>
      <c r="I818">
        <v>0.15105284843372499</v>
      </c>
      <c r="J818">
        <v>0.13780918843388701</v>
      </c>
      <c r="K818">
        <v>7.81515929639508E-2</v>
      </c>
      <c r="L818">
        <v>984.60196898626896</v>
      </c>
      <c r="M818">
        <v>16.866202554314899</v>
      </c>
      <c r="N818">
        <v>58.475118011791899</v>
      </c>
      <c r="O818">
        <v>57.575109900077898</v>
      </c>
      <c r="P818">
        <v>-7.2220741803408595E-2</v>
      </c>
      <c r="Q818">
        <v>1.39213271200935E-2</v>
      </c>
      <c r="R818">
        <v>0.99539049158133497</v>
      </c>
      <c r="S818" t="s">
        <v>7270</v>
      </c>
      <c r="T818" t="s">
        <v>12902</v>
      </c>
      <c r="U818" t="s">
        <v>12902</v>
      </c>
      <c r="V818" t="s">
        <v>12902</v>
      </c>
      <c r="W818" t="s">
        <v>13707</v>
      </c>
      <c r="X818">
        <v>2</v>
      </c>
      <c r="Y818" t="s">
        <v>20101</v>
      </c>
      <c r="Z818" t="s">
        <v>26393</v>
      </c>
      <c r="AA818">
        <v>0.62992315825863054</v>
      </c>
      <c r="AB818" t="str">
        <f>HYPERLINK("Melting_Curves/meltCurve_G8JLL2_PPT2.pdf", "Melting_Curves/meltCurve_G8JLL2_PPT2.pdf")</f>
        <v>Melting_Curves/meltCurve_G8JLL2_PPT2.pdf</v>
      </c>
    </row>
    <row r="819" spans="1:28" x14ac:dyDescent="0.25">
      <c r="A819" t="s">
        <v>823</v>
      </c>
      <c r="B819">
        <v>0.99673306730245903</v>
      </c>
      <c r="C819">
        <v>0.83607638967172004</v>
      </c>
      <c r="D819">
        <v>0.90062377874601596</v>
      </c>
      <c r="E819">
        <v>0.63043923603848995</v>
      </c>
      <c r="F819">
        <v>0.22615283815342299</v>
      </c>
      <c r="G819">
        <v>0.165911158752691</v>
      </c>
      <c r="H819">
        <v>0.102226409881223</v>
      </c>
      <c r="I819">
        <v>0.11305742650262</v>
      </c>
      <c r="J819">
        <v>7.5691979690275801E-2</v>
      </c>
      <c r="K819">
        <v>5.9548305669752798E-2</v>
      </c>
      <c r="L819">
        <v>1090.63672238924</v>
      </c>
      <c r="M819">
        <v>21.757894310397798</v>
      </c>
      <c r="N819">
        <v>50.516302728295997</v>
      </c>
      <c r="O819">
        <v>49.708357370950601</v>
      </c>
      <c r="P819">
        <v>-0.100964333421599</v>
      </c>
      <c r="Q819">
        <v>7.7364001673025498E-2</v>
      </c>
      <c r="R819">
        <v>0.980117211944463</v>
      </c>
      <c r="S819" t="s">
        <v>7271</v>
      </c>
      <c r="T819" t="s">
        <v>12902</v>
      </c>
      <c r="U819" t="s">
        <v>12902</v>
      </c>
      <c r="V819" t="s">
        <v>12902</v>
      </c>
      <c r="W819" t="s">
        <v>13708</v>
      </c>
      <c r="X819">
        <v>3</v>
      </c>
      <c r="Y819" t="s">
        <v>20102</v>
      </c>
      <c r="Z819" t="s">
        <v>26394</v>
      </c>
      <c r="AA819">
        <v>0.39967189602871372</v>
      </c>
      <c r="AB819" t="str">
        <f>HYPERLINK("Melting_Curves/meltCurve_G8JLL7_MVB12B.pdf", "Melting_Curves/meltCurve_G8JLL7_MVB12B.pdf")</f>
        <v>Melting_Curves/meltCurve_G8JLL7_MVB12B.pdf</v>
      </c>
    </row>
    <row r="820" spans="1:28" x14ac:dyDescent="0.25">
      <c r="A820" t="s">
        <v>824</v>
      </c>
      <c r="B820">
        <v>0.99673306730245903</v>
      </c>
      <c r="C820">
        <v>0.982081494101675</v>
      </c>
      <c r="D820">
        <v>0.94479379132516705</v>
      </c>
      <c r="E820">
        <v>0.50570417167732096</v>
      </c>
      <c r="F820">
        <v>0.44556096187308603</v>
      </c>
      <c r="G820">
        <v>0.34088215487846502</v>
      </c>
      <c r="H820">
        <v>0.17981350423752901</v>
      </c>
      <c r="I820">
        <v>0.16118083291186999</v>
      </c>
      <c r="J820">
        <v>0.106562703899768</v>
      </c>
      <c r="K820">
        <v>5.9773470422761502E-2</v>
      </c>
      <c r="L820">
        <v>706.28916794166003</v>
      </c>
      <c r="M820">
        <v>13.785940466725</v>
      </c>
      <c r="N820">
        <v>51.923009576812703</v>
      </c>
      <c r="O820">
        <v>50.1906625548501</v>
      </c>
      <c r="P820">
        <v>-6.2925956176992301E-2</v>
      </c>
      <c r="Q820">
        <v>8.3747520617783996E-2</v>
      </c>
      <c r="R820">
        <v>0.96878716185564895</v>
      </c>
      <c r="S820" t="s">
        <v>7272</v>
      </c>
      <c r="T820" t="s">
        <v>12902</v>
      </c>
      <c r="U820" t="s">
        <v>12902</v>
      </c>
      <c r="V820" t="s">
        <v>12902</v>
      </c>
      <c r="W820" t="s">
        <v>13709</v>
      </c>
      <c r="X820">
        <v>3</v>
      </c>
      <c r="Y820" t="s">
        <v>20103</v>
      </c>
      <c r="Z820" t="s">
        <v>26395</v>
      </c>
      <c r="AA820">
        <v>0.45083039130156233</v>
      </c>
      <c r="AB820" t="str">
        <f>HYPERLINK("Melting_Curves/meltCurve_G8JLM6_TAF6.pdf", "Melting_Curves/meltCurve_G8JLM6_TAF6.pdf")</f>
        <v>Melting_Curves/meltCurve_G8JLM6_TAF6.pdf</v>
      </c>
    </row>
    <row r="821" spans="1:28" x14ac:dyDescent="0.25">
      <c r="A821" t="s">
        <v>825</v>
      </c>
      <c r="B821">
        <v>0.99673306730245903</v>
      </c>
      <c r="C821">
        <v>0.98115884205222403</v>
      </c>
      <c r="D821">
        <v>1.01551704299309</v>
      </c>
      <c r="E821">
        <v>1.0008765386651299</v>
      </c>
      <c r="F821">
        <v>0.89418970334197301</v>
      </c>
      <c r="G821">
        <v>0.56893289694080895</v>
      </c>
      <c r="H821">
        <v>0.29302351038905899</v>
      </c>
      <c r="I821">
        <v>0.25785671164966001</v>
      </c>
      <c r="J821">
        <v>0.2098003159489</v>
      </c>
      <c r="K821">
        <v>0.20815641102025301</v>
      </c>
      <c r="L821">
        <v>1709.0295326292301</v>
      </c>
      <c r="M821">
        <v>30.271363115360401</v>
      </c>
      <c r="N821">
        <v>57.5188975190203</v>
      </c>
      <c r="O821">
        <v>56.212309859054699</v>
      </c>
      <c r="P821">
        <v>-0.10580952787827699</v>
      </c>
      <c r="Q821">
        <v>0.21407429914752099</v>
      </c>
      <c r="R821">
        <v>0.99879367479497205</v>
      </c>
      <c r="S821" t="s">
        <v>7273</v>
      </c>
      <c r="T821" t="s">
        <v>12902</v>
      </c>
      <c r="U821" t="s">
        <v>12902</v>
      </c>
      <c r="V821" t="s">
        <v>12902</v>
      </c>
      <c r="W821" t="s">
        <v>13710</v>
      </c>
      <c r="X821">
        <v>5</v>
      </c>
      <c r="Y821" t="s">
        <v>20104</v>
      </c>
      <c r="Z821" t="s">
        <v>26396</v>
      </c>
      <c r="AA821">
        <v>0.65036450799626355</v>
      </c>
      <c r="AB821" t="str">
        <f>HYPERLINK("Melting_Curves/meltCurve_G8JLQ3_BLOC1S1.pdf", "Melting_Curves/meltCurve_G8JLQ3_BLOC1S1.pdf")</f>
        <v>Melting_Curves/meltCurve_G8JLQ3_BLOC1S1.pdf</v>
      </c>
    </row>
    <row r="822" spans="1:28" x14ac:dyDescent="0.25">
      <c r="A822" t="s">
        <v>826</v>
      </c>
      <c r="B822">
        <v>0.99673306730245903</v>
      </c>
      <c r="C822">
        <v>0.88521303612259605</v>
      </c>
      <c r="D822">
        <v>0.41333784220727399</v>
      </c>
      <c r="E822">
        <v>0.28489838992969502</v>
      </c>
      <c r="F822">
        <v>0.15203788864648801</v>
      </c>
      <c r="G822">
        <v>8.7846127968551693E-2</v>
      </c>
      <c r="H822">
        <v>5.5386289603358098E-2</v>
      </c>
      <c r="I822">
        <v>4.6735316762282597E-2</v>
      </c>
      <c r="J822">
        <v>4.5831230658177E-2</v>
      </c>
      <c r="K822">
        <v>4.5739577920650899E-2</v>
      </c>
      <c r="L822">
        <v>991.58327043695999</v>
      </c>
      <c r="M822">
        <v>21.673885540648602</v>
      </c>
      <c r="N822">
        <v>46.049218018375903</v>
      </c>
      <c r="O822">
        <v>45.366014272093302</v>
      </c>
      <c r="P822">
        <v>-0.111600559236873</v>
      </c>
      <c r="Q822">
        <v>6.5649273207109504E-2</v>
      </c>
      <c r="R822">
        <v>0.98047379089227904</v>
      </c>
      <c r="S822" t="s">
        <v>7274</v>
      </c>
      <c r="T822" t="s">
        <v>12902</v>
      </c>
      <c r="U822" t="s">
        <v>12902</v>
      </c>
      <c r="V822" t="s">
        <v>12902</v>
      </c>
      <c r="W822" t="s">
        <v>13711</v>
      </c>
      <c r="X822">
        <v>8</v>
      </c>
      <c r="Y822" t="s">
        <v>20105</v>
      </c>
      <c r="Z822" t="s">
        <v>26397</v>
      </c>
      <c r="AA822">
        <v>0.25695402912282173</v>
      </c>
      <c r="AB822" t="str">
        <f>HYPERLINK("Melting_Curves/meltCurve_H0UI80_TH1L.pdf", "Melting_Curves/meltCurve_H0UI80_TH1L.pdf")</f>
        <v>Melting_Curves/meltCurve_H0UI80_TH1L.pdf</v>
      </c>
    </row>
    <row r="823" spans="1:28" x14ac:dyDescent="0.25">
      <c r="A823" t="s">
        <v>827</v>
      </c>
      <c r="B823">
        <v>0.99673306730245903</v>
      </c>
      <c r="C823">
        <v>1.0091589216771799</v>
      </c>
      <c r="D823">
        <v>0.82792511742650199</v>
      </c>
      <c r="E823">
        <v>0.74947789171996604</v>
      </c>
      <c r="F823">
        <v>0.674571696949952</v>
      </c>
      <c r="G823">
        <v>0.49575901958917501</v>
      </c>
      <c r="H823">
        <v>0.36790156584568501</v>
      </c>
      <c r="I823">
        <v>0.168620768196377</v>
      </c>
      <c r="J823">
        <v>8.3264354571956606E-2</v>
      </c>
      <c r="K823">
        <v>5.01565917781285E-2</v>
      </c>
      <c r="L823">
        <v>607.78965102991901</v>
      </c>
      <c r="M823">
        <v>10.854171141842601</v>
      </c>
      <c r="N823">
        <v>55.995970973314698</v>
      </c>
      <c r="O823">
        <v>54.195796641316797</v>
      </c>
      <c r="P823">
        <v>-5.0087031172368103E-2</v>
      </c>
      <c r="Q823">
        <v>0</v>
      </c>
      <c r="R823">
        <v>0.97732205526680505</v>
      </c>
      <c r="S823" t="s">
        <v>7275</v>
      </c>
      <c r="T823" t="s">
        <v>12902</v>
      </c>
      <c r="U823" t="s">
        <v>12902</v>
      </c>
      <c r="V823" t="s">
        <v>12902</v>
      </c>
      <c r="W823" t="s">
        <v>13712</v>
      </c>
      <c r="X823">
        <v>3</v>
      </c>
      <c r="Y823" t="s">
        <v>20106</v>
      </c>
      <c r="Z823" t="s">
        <v>26398</v>
      </c>
      <c r="AA823">
        <v>0.55418084779967558</v>
      </c>
      <c r="AB823" t="str">
        <f>HYPERLINK("Melting_Curves/meltCurve_H0Y2P9_PIGX.pdf", "Melting_Curves/meltCurve_H0Y2P9_PIGX.pdf")</f>
        <v>Melting_Curves/meltCurve_H0Y2P9_PIGX.pdf</v>
      </c>
    </row>
    <row r="824" spans="1:28" x14ac:dyDescent="0.25">
      <c r="A824" t="s">
        <v>828</v>
      </c>
      <c r="B824">
        <v>0.99673306730245903</v>
      </c>
      <c r="C824">
        <v>0.862498691260981</v>
      </c>
      <c r="D824">
        <v>0.731767242046508</v>
      </c>
      <c r="E824">
        <v>0.59745028305588399</v>
      </c>
      <c r="F824">
        <v>0.51997406058718798</v>
      </c>
      <c r="G824">
        <v>0.36599445812573</v>
      </c>
      <c r="H824">
        <v>0.35133705970923701</v>
      </c>
      <c r="I824">
        <v>0.51508224992013896</v>
      </c>
      <c r="J824">
        <v>0.94634770440461502</v>
      </c>
      <c r="K824">
        <v>0.88676911086295995</v>
      </c>
      <c r="L824">
        <v>1266.11594122263</v>
      </c>
      <c r="M824">
        <v>28.589489812202402</v>
      </c>
      <c r="O824">
        <v>44.071069112807102</v>
      </c>
      <c r="P824">
        <v>-6.5334128240768202E-2</v>
      </c>
      <c r="Q824">
        <v>0.59714939810377898</v>
      </c>
      <c r="R824">
        <v>0.35032176937433401</v>
      </c>
      <c r="S824" t="s">
        <v>7276</v>
      </c>
      <c r="T824" t="s">
        <v>12902</v>
      </c>
      <c r="U824" t="s">
        <v>12902</v>
      </c>
      <c r="V824" t="s">
        <v>12902</v>
      </c>
      <c r="W824" t="s">
        <v>13713</v>
      </c>
      <c r="X824">
        <v>7</v>
      </c>
      <c r="Y824" t="s">
        <v>20107</v>
      </c>
      <c r="Z824" t="s">
        <v>26399</v>
      </c>
      <c r="AA824">
        <v>0.65786795432844158</v>
      </c>
      <c r="AB824" t="str">
        <f>HYPERLINK("Melting_Curves/meltCurve_H0Y2S9_MPRIP.pdf", "Melting_Curves/meltCurve_H0Y2S9_MPRIP.pdf")</f>
        <v>Melting_Curves/meltCurve_H0Y2S9_MPRIP.pdf</v>
      </c>
    </row>
    <row r="825" spans="1:28" x14ac:dyDescent="0.25">
      <c r="A825" t="s">
        <v>829</v>
      </c>
      <c r="B825">
        <v>0.99673306730245903</v>
      </c>
      <c r="C825">
        <v>0.97457802054467801</v>
      </c>
      <c r="D825">
        <v>1.10559916025709</v>
      </c>
      <c r="E825">
        <v>1.25492714073584</v>
      </c>
      <c r="F825">
        <v>1.1291406434753</v>
      </c>
      <c r="G825">
        <v>0.59961960479810195</v>
      </c>
      <c r="H825">
        <v>0.17580124098184</v>
      </c>
      <c r="I825">
        <v>0.100935823405642</v>
      </c>
      <c r="J825">
        <v>8.4427302577880198E-2</v>
      </c>
      <c r="K825">
        <v>7.5890430401531303E-2</v>
      </c>
      <c r="L825">
        <v>8655.5299789251403</v>
      </c>
      <c r="M825">
        <v>152.18321119657401</v>
      </c>
      <c r="N825">
        <v>56.968009547207899</v>
      </c>
      <c r="O825">
        <v>56.865894116360202</v>
      </c>
      <c r="P825">
        <v>-0.59595226508986099</v>
      </c>
      <c r="Q825">
        <v>0.10924832927176099</v>
      </c>
      <c r="R825">
        <v>0.95482552539779797</v>
      </c>
      <c r="S825" t="s">
        <v>7277</v>
      </c>
      <c r="T825" t="s">
        <v>12902</v>
      </c>
      <c r="U825" t="s">
        <v>12902</v>
      </c>
      <c r="V825" t="s">
        <v>12902</v>
      </c>
      <c r="W825" t="s">
        <v>13714</v>
      </c>
      <c r="X825">
        <v>17</v>
      </c>
      <c r="Y825" t="s">
        <v>20108</v>
      </c>
      <c r="Z825" t="s">
        <v>26400</v>
      </c>
      <c r="AA825">
        <v>0.61055760546160953</v>
      </c>
      <c r="AB825" t="str">
        <f>HYPERLINK("Melting_Curves/meltCurve_H0Y360_AMPD2.pdf", "Melting_Curves/meltCurve_H0Y360_AMPD2.pdf")</f>
        <v>Melting_Curves/meltCurve_H0Y360_AMPD2.pdf</v>
      </c>
    </row>
    <row r="826" spans="1:28" x14ac:dyDescent="0.25">
      <c r="A826" t="s">
        <v>830</v>
      </c>
      <c r="B826">
        <v>0.99673306730245903</v>
      </c>
      <c r="C826">
        <v>0.94485324850299102</v>
      </c>
      <c r="D826">
        <v>0.87226159651906598</v>
      </c>
      <c r="E826">
        <v>0.67375796992574899</v>
      </c>
      <c r="F826">
        <v>0.39844589619125897</v>
      </c>
      <c r="G826">
        <v>0.27084243680840298</v>
      </c>
      <c r="H826">
        <v>0.18386531329542699</v>
      </c>
      <c r="I826">
        <v>0.14082208092184501</v>
      </c>
      <c r="J826">
        <v>0.15083138791456899</v>
      </c>
      <c r="K826">
        <v>0.120708435572612</v>
      </c>
      <c r="L826">
        <v>831.13426644658796</v>
      </c>
      <c r="M826">
        <v>16.294646573656198</v>
      </c>
      <c r="N826">
        <v>51.878253486343297</v>
      </c>
      <c r="O826">
        <v>50.256926912395897</v>
      </c>
      <c r="P826">
        <v>-7.1355206528577894E-2</v>
      </c>
      <c r="Q826">
        <v>0.11975232766442501</v>
      </c>
      <c r="R826">
        <v>0.99881452605921295</v>
      </c>
      <c r="S826" t="s">
        <v>7278</v>
      </c>
      <c r="T826" t="s">
        <v>12902</v>
      </c>
      <c r="U826" t="s">
        <v>12902</v>
      </c>
      <c r="V826" t="s">
        <v>12902</v>
      </c>
      <c r="W826" t="s">
        <v>13715</v>
      </c>
      <c r="X826">
        <v>2</v>
      </c>
      <c r="Y826" t="s">
        <v>20109</v>
      </c>
      <c r="Z826" t="s">
        <v>26401</v>
      </c>
      <c r="AA826">
        <v>0.46038223066032768</v>
      </c>
      <c r="AB826" t="str">
        <f>HYPERLINK("Melting_Curves/meltCurve_H0Y362_SLC30A7.pdf", "Melting_Curves/meltCurve_H0Y362_SLC30A7.pdf")</f>
        <v>Melting_Curves/meltCurve_H0Y362_SLC30A7.pdf</v>
      </c>
    </row>
    <row r="827" spans="1:28" x14ac:dyDescent="0.25">
      <c r="A827" t="s">
        <v>831</v>
      </c>
      <c r="B827">
        <v>0.99673306730245903</v>
      </c>
      <c r="C827">
        <v>1.0102246937163499</v>
      </c>
      <c r="D827">
        <v>0.65538280474722799</v>
      </c>
      <c r="E827">
        <v>0.28448640889357202</v>
      </c>
      <c r="F827">
        <v>0.23538381058708899</v>
      </c>
      <c r="G827">
        <v>0.14664794447239901</v>
      </c>
      <c r="H827">
        <v>0.12436117754621299</v>
      </c>
      <c r="I827">
        <v>0.127520103472578</v>
      </c>
      <c r="J827">
        <v>0.146362929318715</v>
      </c>
      <c r="K827">
        <v>0.118846952955129</v>
      </c>
      <c r="L827">
        <v>1385.87835609887</v>
      </c>
      <c r="M827">
        <v>29.6046491522923</v>
      </c>
      <c r="N827">
        <v>47.357043902194398</v>
      </c>
      <c r="O827">
        <v>46.600821787998299</v>
      </c>
      <c r="P827">
        <v>-0.13592233553552099</v>
      </c>
      <c r="Q827">
        <v>0.14418184637890299</v>
      </c>
      <c r="R827">
        <v>0.99097949466753898</v>
      </c>
      <c r="S827" t="s">
        <v>7279</v>
      </c>
      <c r="T827" t="s">
        <v>12902</v>
      </c>
      <c r="U827" t="s">
        <v>12902</v>
      </c>
      <c r="V827" t="s">
        <v>12902</v>
      </c>
      <c r="W827" t="s">
        <v>13716</v>
      </c>
      <c r="X827">
        <v>2</v>
      </c>
      <c r="Y827" t="s">
        <v>20110</v>
      </c>
      <c r="Z827" t="s">
        <v>26402</v>
      </c>
      <c r="AA827">
        <v>0.3438236089446155</v>
      </c>
      <c r="AB827" t="str">
        <f>HYPERLINK("Melting_Curves/meltCurve_H0Y384_ODF2.pdf", "Melting_Curves/meltCurve_H0Y384_ODF2.pdf")</f>
        <v>Melting_Curves/meltCurve_H0Y384_ODF2.pdf</v>
      </c>
    </row>
    <row r="828" spans="1:28" x14ac:dyDescent="0.25">
      <c r="A828" t="s">
        <v>832</v>
      </c>
      <c r="B828">
        <v>0.99673306730245903</v>
      </c>
      <c r="C828">
        <v>0.83467780766624899</v>
      </c>
      <c r="D828">
        <v>0.82514956450842103</v>
      </c>
      <c r="E828">
        <v>0.717947816179764</v>
      </c>
      <c r="F828">
        <v>0.50527760161443103</v>
      </c>
      <c r="G828">
        <v>0.280077701689737</v>
      </c>
      <c r="H828">
        <v>0.25858783857076501</v>
      </c>
      <c r="I828">
        <v>0.33248196106431099</v>
      </c>
      <c r="J828">
        <v>0.43127611514374398</v>
      </c>
      <c r="K828">
        <v>0.44009488504882599</v>
      </c>
      <c r="L828">
        <v>814.57519997802399</v>
      </c>
      <c r="M828">
        <v>16.598310692099101</v>
      </c>
      <c r="N828">
        <v>52.658355775124299</v>
      </c>
      <c r="O828">
        <v>48.380038572072799</v>
      </c>
      <c r="P828">
        <v>-5.6752797457262902E-2</v>
      </c>
      <c r="Q828">
        <v>0.33836249348821501</v>
      </c>
      <c r="R828">
        <v>0.899732430222833</v>
      </c>
      <c r="S828" t="s">
        <v>7280</v>
      </c>
      <c r="T828" t="s">
        <v>12902</v>
      </c>
      <c r="U828" t="s">
        <v>12902</v>
      </c>
      <c r="V828" t="s">
        <v>12902</v>
      </c>
      <c r="W828" t="s">
        <v>13717</v>
      </c>
      <c r="X828">
        <v>2</v>
      </c>
      <c r="Y828" t="s">
        <v>20111</v>
      </c>
      <c r="Z828" t="s">
        <v>26403</v>
      </c>
      <c r="AA828">
        <v>0.55194650451019167</v>
      </c>
      <c r="AB828" t="str">
        <f>HYPERLINK("Melting_Curves/meltCurve_H0Y3H2_ABCA3.pdf", "Melting_Curves/meltCurve_H0Y3H2_ABCA3.pdf")</f>
        <v>Melting_Curves/meltCurve_H0Y3H2_ABCA3.pdf</v>
      </c>
    </row>
    <row r="829" spans="1:28" x14ac:dyDescent="0.25">
      <c r="A829" t="s">
        <v>833</v>
      </c>
      <c r="B829">
        <v>0.99673306730245903</v>
      </c>
      <c r="C829">
        <v>0.98645925269338997</v>
      </c>
      <c r="D829">
        <v>0.69385573916866095</v>
      </c>
      <c r="E829">
        <v>0.27134855355802001</v>
      </c>
      <c r="F829">
        <v>0.42506889692386401</v>
      </c>
      <c r="G829">
        <v>0.161613866336347</v>
      </c>
      <c r="H829">
        <v>0.114360476237688</v>
      </c>
      <c r="I829">
        <v>7.1468044475394996E-2</v>
      </c>
      <c r="J829">
        <v>5.6593567359079E-2</v>
      </c>
      <c r="K829">
        <v>5.1846224937461903E-2</v>
      </c>
      <c r="L829">
        <v>786.55285728250794</v>
      </c>
      <c r="M829">
        <v>16.3585338199739</v>
      </c>
      <c r="N829">
        <v>48.595010045024402</v>
      </c>
      <c r="O829">
        <v>47.3808099770186</v>
      </c>
      <c r="P829">
        <v>-7.9476018206995999E-2</v>
      </c>
      <c r="Q829">
        <v>7.9289818898226505E-2</v>
      </c>
      <c r="R829">
        <v>0.94334602395172096</v>
      </c>
      <c r="S829" t="s">
        <v>7281</v>
      </c>
      <c r="T829" t="s">
        <v>12902</v>
      </c>
      <c r="U829" t="s">
        <v>12902</v>
      </c>
      <c r="V829" t="s">
        <v>12902</v>
      </c>
      <c r="W829" t="s">
        <v>13718</v>
      </c>
      <c r="X829">
        <v>32</v>
      </c>
      <c r="Y829" t="s">
        <v>19648</v>
      </c>
      <c r="Z829" t="s">
        <v>26404</v>
      </c>
      <c r="AA829">
        <v>0.34717246009965891</v>
      </c>
      <c r="AB829" t="str">
        <f>HYPERLINK("Melting_Curves/meltCurve_H0Y3P2_EIF4G2.pdf", "Melting_Curves/meltCurve_H0Y3P2_EIF4G2.pdf")</f>
        <v>Melting_Curves/meltCurve_H0Y3P2_EIF4G2.pdf</v>
      </c>
    </row>
    <row r="830" spans="1:28" x14ac:dyDescent="0.25">
      <c r="A830" t="s">
        <v>834</v>
      </c>
      <c r="B830">
        <v>0.99673306730245903</v>
      </c>
      <c r="C830">
        <v>1.0123769393008</v>
      </c>
      <c r="D830">
        <v>1.02447284412659</v>
      </c>
      <c r="E830">
        <v>0.96670997199406306</v>
      </c>
      <c r="F830">
        <v>0.72318194285695203</v>
      </c>
      <c r="G830">
        <v>0.624508059108146</v>
      </c>
      <c r="H830">
        <v>0.41266610698609801</v>
      </c>
      <c r="I830">
        <v>0.35916609346057898</v>
      </c>
      <c r="J830">
        <v>0.14315559588875101</v>
      </c>
      <c r="K830">
        <v>9.9240120690436195E-2</v>
      </c>
      <c r="L830">
        <v>731.35831346889404</v>
      </c>
      <c r="M830">
        <v>12.374049073917799</v>
      </c>
      <c r="N830">
        <v>59.104203459285401</v>
      </c>
      <c r="O830">
        <v>57.6242028301481</v>
      </c>
      <c r="P830">
        <v>-5.3695742082951699E-2</v>
      </c>
      <c r="Q830">
        <v>0</v>
      </c>
      <c r="R830">
        <v>0.98282368626625105</v>
      </c>
      <c r="S830" t="s">
        <v>7282</v>
      </c>
      <c r="T830" t="s">
        <v>12902</v>
      </c>
      <c r="U830" t="s">
        <v>12902</v>
      </c>
      <c r="V830" t="s">
        <v>12902</v>
      </c>
      <c r="W830" t="s">
        <v>13608</v>
      </c>
      <c r="X830">
        <v>1</v>
      </c>
      <c r="Z830" t="s">
        <v>26405</v>
      </c>
      <c r="AA830">
        <v>0.64475059727153483</v>
      </c>
      <c r="AB830" t="str">
        <f>HYPERLINK("Melting_Curves/meltCurve_H0Y3Z8_.pdf", "Melting_Curves/meltCurve_H0Y3Z8_.pdf")</f>
        <v>Melting_Curves/meltCurve_H0Y3Z8_.pdf</v>
      </c>
    </row>
    <row r="831" spans="1:28" x14ac:dyDescent="0.25">
      <c r="A831" t="s">
        <v>835</v>
      </c>
      <c r="B831">
        <v>0.99673306730245903</v>
      </c>
      <c r="C831">
        <v>0.89420359008458195</v>
      </c>
      <c r="D831">
        <v>0.80783476256328202</v>
      </c>
      <c r="E831">
        <v>0.67554247871504403</v>
      </c>
      <c r="F831">
        <v>0.62671828559880705</v>
      </c>
      <c r="G831">
        <v>0.532186099059898</v>
      </c>
      <c r="H831">
        <v>0.350602746719898</v>
      </c>
      <c r="I831">
        <v>0.39665794710463997</v>
      </c>
      <c r="J831">
        <v>0.60016990223984601</v>
      </c>
      <c r="K831">
        <v>0.73891745891931004</v>
      </c>
      <c r="L831">
        <v>812.09751298823505</v>
      </c>
      <c r="M831">
        <v>17.277069770192799</v>
      </c>
      <c r="O831">
        <v>46.3881790092721</v>
      </c>
      <c r="P831">
        <v>-4.4180653283412599E-2</v>
      </c>
      <c r="Q831">
        <v>0.52553489112482898</v>
      </c>
      <c r="R831">
        <v>0.72424618318261302</v>
      </c>
      <c r="S831" t="s">
        <v>7283</v>
      </c>
      <c r="T831" t="s">
        <v>12902</v>
      </c>
      <c r="U831" t="s">
        <v>12902</v>
      </c>
      <c r="V831" t="s">
        <v>12902</v>
      </c>
      <c r="W831" t="s">
        <v>13719</v>
      </c>
      <c r="X831">
        <v>13</v>
      </c>
      <c r="Y831" t="s">
        <v>20112</v>
      </c>
      <c r="Z831" t="s">
        <v>26406</v>
      </c>
      <c r="AA831">
        <v>0.64587667082002787</v>
      </c>
      <c r="AB831" t="str">
        <f>HYPERLINK("Melting_Curves/meltCurve_H0Y412_PRRC2B.pdf", "Melting_Curves/meltCurve_H0Y412_PRRC2B.pdf")</f>
        <v>Melting_Curves/meltCurve_H0Y412_PRRC2B.pdf</v>
      </c>
    </row>
    <row r="832" spans="1:28" x14ac:dyDescent="0.25">
      <c r="A832" t="s">
        <v>836</v>
      </c>
      <c r="B832">
        <v>0.99673306730245903</v>
      </c>
      <c r="C832">
        <v>0.88860343032078004</v>
      </c>
      <c r="D832">
        <v>0.448676185512973</v>
      </c>
      <c r="E832">
        <v>0.228222316023908</v>
      </c>
      <c r="F832">
        <v>0.172666592412027</v>
      </c>
      <c r="G832">
        <v>9.9382381983355597E-2</v>
      </c>
      <c r="H832">
        <v>5.0741472206116099E-2</v>
      </c>
      <c r="I832">
        <v>4.7957866480294702E-2</v>
      </c>
      <c r="J832">
        <v>6.0345179624605699E-2</v>
      </c>
      <c r="K832">
        <v>6.5094414152074107E-2</v>
      </c>
      <c r="L832">
        <v>1128.6533915351099</v>
      </c>
      <c r="M832">
        <v>24.7086905753279</v>
      </c>
      <c r="N832">
        <v>45.994278680526101</v>
      </c>
      <c r="O832">
        <v>45.382331335792401</v>
      </c>
      <c r="P832">
        <v>-0.12549355996383901</v>
      </c>
      <c r="Q832">
        <v>7.80389864688633E-2</v>
      </c>
      <c r="R832">
        <v>0.98844205766382398</v>
      </c>
      <c r="S832" t="s">
        <v>7284</v>
      </c>
      <c r="T832" t="s">
        <v>12902</v>
      </c>
      <c r="U832" t="s">
        <v>12902</v>
      </c>
      <c r="V832" t="s">
        <v>12902</v>
      </c>
      <c r="W832" t="s">
        <v>13720</v>
      </c>
      <c r="X832">
        <v>4</v>
      </c>
      <c r="Y832" t="s">
        <v>20113</v>
      </c>
      <c r="Z832" t="s">
        <v>26407</v>
      </c>
      <c r="AA832">
        <v>0.26146746823466749</v>
      </c>
      <c r="AB832" t="str">
        <f>HYPERLINK("Melting_Curves/meltCurve_H0Y4G9_MYD88.pdf", "Melting_Curves/meltCurve_H0Y4G9_MYD88.pdf")</f>
        <v>Melting_Curves/meltCurve_H0Y4G9_MYD88.pdf</v>
      </c>
    </row>
    <row r="833" spans="1:28" x14ac:dyDescent="0.25">
      <c r="A833" t="s">
        <v>837</v>
      </c>
      <c r="B833">
        <v>0.99673306730245903</v>
      </c>
      <c r="C833">
        <v>0.88600432781523997</v>
      </c>
      <c r="D833">
        <v>0.92893355372851705</v>
      </c>
      <c r="E833">
        <v>1.52791462008552</v>
      </c>
      <c r="F833">
        <v>1.7054286745730101</v>
      </c>
      <c r="G833">
        <v>0.98929724559953403</v>
      </c>
      <c r="H833">
        <v>0.17897919394888401</v>
      </c>
      <c r="I833">
        <v>0.121581710517397</v>
      </c>
      <c r="J833">
        <v>6.2906360560585503E-2</v>
      </c>
      <c r="K833">
        <v>8.7264553503237002E-2</v>
      </c>
      <c r="L833">
        <v>5727.9118366639104</v>
      </c>
      <c r="M833">
        <v>96.427082600749401</v>
      </c>
      <c r="N833">
        <v>59.5241979902747</v>
      </c>
      <c r="O833">
        <v>59.375948731875297</v>
      </c>
      <c r="P833">
        <v>-0.36940577292642901</v>
      </c>
      <c r="Q833">
        <v>9.0138734850534294E-2</v>
      </c>
      <c r="R833">
        <v>0.76013844057173396</v>
      </c>
      <c r="S833" t="s">
        <v>7285</v>
      </c>
      <c r="T833" t="s">
        <v>12902</v>
      </c>
      <c r="U833" t="s">
        <v>12902</v>
      </c>
      <c r="V833" t="s">
        <v>12902</v>
      </c>
      <c r="W833" t="s">
        <v>13721</v>
      </c>
      <c r="X833">
        <v>7</v>
      </c>
      <c r="Y833" t="s">
        <v>20114</v>
      </c>
      <c r="Z833" t="s">
        <v>26408</v>
      </c>
      <c r="AA833">
        <v>0.67919907136541136</v>
      </c>
      <c r="AB833" t="str">
        <f>HYPERLINK("Melting_Curves/meltCurve_H0Y4W2_TRRAP.pdf", "Melting_Curves/meltCurve_H0Y4W2_TRRAP.pdf")</f>
        <v>Melting_Curves/meltCurve_H0Y4W2_TRRAP.pdf</v>
      </c>
    </row>
    <row r="834" spans="1:28" x14ac:dyDescent="0.25">
      <c r="A834" t="s">
        <v>838</v>
      </c>
      <c r="B834">
        <v>0.99673306730245903</v>
      </c>
      <c r="C834">
        <v>0.84566508170103705</v>
      </c>
      <c r="D834">
        <v>0.91258301350641602</v>
      </c>
      <c r="E834">
        <v>0.61144470276095497</v>
      </c>
      <c r="F834">
        <v>0.40583064969765398</v>
      </c>
      <c r="G834">
        <v>0.31092421616725402</v>
      </c>
      <c r="H834">
        <v>0.18553499033343299</v>
      </c>
      <c r="I834">
        <v>0.30705302591179701</v>
      </c>
      <c r="J834">
        <v>0.48533109340811098</v>
      </c>
      <c r="K834">
        <v>0.395147186306049</v>
      </c>
      <c r="L834">
        <v>1249.58042652579</v>
      </c>
      <c r="M834">
        <v>25.579572274868699</v>
      </c>
      <c r="N834">
        <v>51.0414965716026</v>
      </c>
      <c r="O834">
        <v>48.555101402892802</v>
      </c>
      <c r="P834">
        <v>-8.78189764564591E-2</v>
      </c>
      <c r="Q834">
        <v>0.333217056818986</v>
      </c>
      <c r="R834">
        <v>0.90081436301612405</v>
      </c>
      <c r="S834" t="s">
        <v>7286</v>
      </c>
      <c r="T834" t="s">
        <v>12902</v>
      </c>
      <c r="U834" t="s">
        <v>12902</v>
      </c>
      <c r="V834" t="s">
        <v>12902</v>
      </c>
      <c r="W834" t="s">
        <v>13722</v>
      </c>
      <c r="X834">
        <v>1</v>
      </c>
      <c r="Y834" t="s">
        <v>20115</v>
      </c>
      <c r="Z834" t="s">
        <v>26409</v>
      </c>
      <c r="AA834">
        <v>0.53556399111214104</v>
      </c>
      <c r="AB834" t="str">
        <f>HYPERLINK("Melting_Curves/meltCurve_H0Y4Y2_NAPEPLD.pdf", "Melting_Curves/meltCurve_H0Y4Y2_NAPEPLD.pdf")</f>
        <v>Melting_Curves/meltCurve_H0Y4Y2_NAPEPLD.pdf</v>
      </c>
    </row>
    <row r="835" spans="1:28" x14ac:dyDescent="0.25">
      <c r="A835" t="s">
        <v>839</v>
      </c>
      <c r="B835">
        <v>0.99673306730245903</v>
      </c>
      <c r="C835">
        <v>1.0113126229648</v>
      </c>
      <c r="D835">
        <v>1.1101146159528701</v>
      </c>
      <c r="E835">
        <v>1.28277694856007</v>
      </c>
      <c r="F835">
        <v>0.93668768411252601</v>
      </c>
      <c r="G835">
        <v>0.93714788865738297</v>
      </c>
      <c r="H835">
        <v>0.66867802009898603</v>
      </c>
      <c r="I835">
        <v>0.83984621147844796</v>
      </c>
      <c r="J835">
        <v>0.86346705643631405</v>
      </c>
      <c r="K835">
        <v>1.23319029140464</v>
      </c>
      <c r="L835">
        <v>13257.015328013</v>
      </c>
      <c r="M835">
        <v>250</v>
      </c>
      <c r="O835">
        <v>53.024667193162898</v>
      </c>
      <c r="P835">
        <v>-0.10789095559560601</v>
      </c>
      <c r="Q835">
        <v>0.90846588672461104</v>
      </c>
      <c r="R835">
        <v>0.144732152286001</v>
      </c>
      <c r="S835" t="s">
        <v>7287</v>
      </c>
      <c r="T835" t="s">
        <v>12902</v>
      </c>
      <c r="U835" t="s">
        <v>12902</v>
      </c>
      <c r="V835" t="s">
        <v>12902</v>
      </c>
      <c r="W835" t="s">
        <v>13723</v>
      </c>
      <c r="X835">
        <v>1</v>
      </c>
      <c r="Y835" t="s">
        <v>20116</v>
      </c>
      <c r="Z835" t="s">
        <v>26410</v>
      </c>
      <c r="AA835">
        <v>0.94822480653231944</v>
      </c>
      <c r="AB835" t="str">
        <f>HYPERLINK("Melting_Curves/meltCurve_H0Y530_PAEP.pdf", "Melting_Curves/meltCurve_H0Y530_PAEP.pdf")</f>
        <v>Melting_Curves/meltCurve_H0Y530_PAEP.pdf</v>
      </c>
    </row>
    <row r="836" spans="1:28" x14ac:dyDescent="0.25">
      <c r="A836" t="s">
        <v>840</v>
      </c>
      <c r="B836">
        <v>0.99673306730245903</v>
      </c>
      <c r="C836">
        <v>0.95828866839406501</v>
      </c>
      <c r="D836">
        <v>1.00492103405325</v>
      </c>
      <c r="E836">
        <v>0.78350469719618698</v>
      </c>
      <c r="F836">
        <v>0.70988622865951601</v>
      </c>
      <c r="G836">
        <v>0.47327838149698298</v>
      </c>
      <c r="H836">
        <v>0.38735476908923699</v>
      </c>
      <c r="I836">
        <v>0.42320522737343902</v>
      </c>
      <c r="J836">
        <v>0.50450683751203795</v>
      </c>
      <c r="K836">
        <v>0.50094625028103601</v>
      </c>
      <c r="L836">
        <v>1130.6194220019399</v>
      </c>
      <c r="M836">
        <v>21.893071645684</v>
      </c>
      <c r="N836">
        <v>57.491305412224897</v>
      </c>
      <c r="O836">
        <v>51.217717870734297</v>
      </c>
      <c r="P836">
        <v>-5.9194491429311102E-2</v>
      </c>
      <c r="Q836">
        <v>0.44608272050779801</v>
      </c>
      <c r="R836">
        <v>0.95312359913911604</v>
      </c>
      <c r="S836" t="s">
        <v>7288</v>
      </c>
      <c r="T836" t="s">
        <v>12902</v>
      </c>
      <c r="U836" t="s">
        <v>12902</v>
      </c>
      <c r="V836" t="s">
        <v>12902</v>
      </c>
      <c r="W836" t="s">
        <v>13724</v>
      </c>
      <c r="X836">
        <v>1</v>
      </c>
      <c r="Y836" t="s">
        <v>20117</v>
      </c>
      <c r="Z836" t="s">
        <v>26411</v>
      </c>
      <c r="AA836">
        <v>0.66754719530073359</v>
      </c>
      <c r="AB836" t="str">
        <f>HYPERLINK("Melting_Curves/meltCurve_H0Y5A1_PTGDS.pdf", "Melting_Curves/meltCurve_H0Y5A1_PTGDS.pdf")</f>
        <v>Melting_Curves/meltCurve_H0Y5A1_PTGDS.pdf</v>
      </c>
    </row>
    <row r="837" spans="1:28" x14ac:dyDescent="0.25">
      <c r="A837" t="s">
        <v>841</v>
      </c>
      <c r="B837">
        <v>0.99673306730245903</v>
      </c>
      <c r="C837">
        <v>0.86879623934987305</v>
      </c>
      <c r="D837">
        <v>0.84386747885678803</v>
      </c>
      <c r="E837">
        <v>0.63555607082084598</v>
      </c>
      <c r="F837">
        <v>0.48764971945949398</v>
      </c>
      <c r="G837">
        <v>0.311469679597845</v>
      </c>
      <c r="H837">
        <v>0.216733353380062</v>
      </c>
      <c r="I837">
        <v>0.27625242510916598</v>
      </c>
      <c r="J837">
        <v>0.38796441250986902</v>
      </c>
      <c r="K837">
        <v>0.37308075299717203</v>
      </c>
      <c r="L837">
        <v>831.48536509514201</v>
      </c>
      <c r="M837">
        <v>16.932423575668899</v>
      </c>
      <c r="N837">
        <v>51.898262693903497</v>
      </c>
      <c r="O837">
        <v>48.436505425940297</v>
      </c>
      <c r="P837">
        <v>-6.1273465126799702E-2</v>
      </c>
      <c r="Q837">
        <v>0.29893395127189198</v>
      </c>
      <c r="R837">
        <v>0.94992095253124997</v>
      </c>
      <c r="S837" t="s">
        <v>7289</v>
      </c>
      <c r="T837" t="s">
        <v>12902</v>
      </c>
      <c r="U837" t="s">
        <v>12902</v>
      </c>
      <c r="V837" t="s">
        <v>12902</v>
      </c>
      <c r="W837" t="s">
        <v>13725</v>
      </c>
      <c r="X837">
        <v>4</v>
      </c>
      <c r="Y837" t="s">
        <v>20118</v>
      </c>
      <c r="Z837" t="s">
        <v>26412</v>
      </c>
      <c r="AA837">
        <v>0.52540257938706381</v>
      </c>
      <c r="AB837" t="str">
        <f>HYPERLINK("Melting_Curves/meltCurve_H0Y5D5_CIZ1.pdf", "Melting_Curves/meltCurve_H0Y5D5_CIZ1.pdf")</f>
        <v>Melting_Curves/meltCurve_H0Y5D5_CIZ1.pdf</v>
      </c>
    </row>
    <row r="838" spans="1:28" x14ac:dyDescent="0.25">
      <c r="A838" t="s">
        <v>842</v>
      </c>
      <c r="B838">
        <v>0.99673306730245903</v>
      </c>
      <c r="C838">
        <v>1.03599399479981</v>
      </c>
      <c r="D838">
        <v>0.92609564764737795</v>
      </c>
      <c r="E838">
        <v>0.41935645960846601</v>
      </c>
      <c r="F838">
        <v>0.36137871852336301</v>
      </c>
      <c r="G838">
        <v>0.257435752858718</v>
      </c>
      <c r="H838">
        <v>0.12526686241197299</v>
      </c>
      <c r="I838">
        <v>0.12771328979647201</v>
      </c>
      <c r="J838">
        <v>4.1389677623072697E-2</v>
      </c>
      <c r="K838">
        <v>3.7399060290908497E-2</v>
      </c>
      <c r="L838">
        <v>932.08804261919704</v>
      </c>
      <c r="M838">
        <v>18.7325579124348</v>
      </c>
      <c r="N838">
        <v>50.286112710056798</v>
      </c>
      <c r="O838">
        <v>49.2009996299089</v>
      </c>
      <c r="P838">
        <v>-8.66829605928056E-2</v>
      </c>
      <c r="Q838">
        <v>8.9348231874754297E-2</v>
      </c>
      <c r="R838">
        <v>0.964526170831699</v>
      </c>
      <c r="S838" t="s">
        <v>7290</v>
      </c>
      <c r="T838" t="s">
        <v>12902</v>
      </c>
      <c r="U838" t="s">
        <v>12902</v>
      </c>
      <c r="V838" t="s">
        <v>12902</v>
      </c>
      <c r="W838" t="s">
        <v>13726</v>
      </c>
      <c r="X838">
        <v>1</v>
      </c>
      <c r="Y838" t="s">
        <v>20119</v>
      </c>
      <c r="Z838" t="s">
        <v>26413</v>
      </c>
      <c r="AA838">
        <v>0.39996726958246093</v>
      </c>
      <c r="AB838" t="str">
        <f>HYPERLINK("Melting_Curves/meltCurve_H0Y5J5_AAED1.pdf", "Melting_Curves/meltCurve_H0Y5J5_AAED1.pdf")</f>
        <v>Melting_Curves/meltCurve_H0Y5J5_AAED1.pdf</v>
      </c>
    </row>
    <row r="839" spans="1:28" x14ac:dyDescent="0.25">
      <c r="A839" t="s">
        <v>843</v>
      </c>
      <c r="B839">
        <v>0.99673306730245903</v>
      </c>
      <c r="C839">
        <v>1.0307472896318099</v>
      </c>
      <c r="D839">
        <v>0.90851387778444903</v>
      </c>
      <c r="E839">
        <v>0.72238854135144404</v>
      </c>
      <c r="F839">
        <v>0.22864582193571201</v>
      </c>
      <c r="G839">
        <v>0.152051961625913</v>
      </c>
      <c r="H839">
        <v>6.6181881926740294E-2</v>
      </c>
      <c r="I839">
        <v>4.2609922530122399E-2</v>
      </c>
      <c r="J839">
        <v>5.1388179988755299E-2</v>
      </c>
      <c r="K839">
        <v>4.7119144903767202E-2</v>
      </c>
      <c r="L839">
        <v>1462.82182470008</v>
      </c>
      <c r="M839">
        <v>28.751182448102199</v>
      </c>
      <c r="N839">
        <v>51.088058917881597</v>
      </c>
      <c r="O839">
        <v>50.634437212319902</v>
      </c>
      <c r="P839">
        <v>-0.134065857605532</v>
      </c>
      <c r="Q839">
        <v>5.5580170265321402E-2</v>
      </c>
      <c r="R839">
        <v>0.99483644563294904</v>
      </c>
      <c r="S839" t="s">
        <v>7291</v>
      </c>
      <c r="T839" t="s">
        <v>12902</v>
      </c>
      <c r="U839" t="s">
        <v>12902</v>
      </c>
      <c r="V839" t="s">
        <v>12902</v>
      </c>
      <c r="W839" t="s">
        <v>13727</v>
      </c>
      <c r="X839">
        <v>2</v>
      </c>
      <c r="Y839" t="s">
        <v>20120</v>
      </c>
      <c r="Z839" t="s">
        <v>26414</v>
      </c>
      <c r="AA839">
        <v>0.40450074968496469</v>
      </c>
      <c r="AB839" t="str">
        <f>HYPERLINK("Melting_Curves/meltCurve_H0Y5Y0_PREP.pdf", "Melting_Curves/meltCurve_H0Y5Y0_PREP.pdf")</f>
        <v>Melting_Curves/meltCurve_H0Y5Y0_PREP.pdf</v>
      </c>
    </row>
    <row r="840" spans="1:28" x14ac:dyDescent="0.25">
      <c r="A840" t="s">
        <v>844</v>
      </c>
      <c r="B840">
        <v>0.99673306730245903</v>
      </c>
      <c r="C840">
        <v>1.02674675409859</v>
      </c>
      <c r="D840">
        <v>0.94280181776996097</v>
      </c>
      <c r="E840">
        <v>0.907184805206661</v>
      </c>
      <c r="F840">
        <v>0.60540937292230101</v>
      </c>
      <c r="G840">
        <v>0.46641270037633697</v>
      </c>
      <c r="H840">
        <v>0.22292742299442</v>
      </c>
      <c r="I840">
        <v>0.25584962230944502</v>
      </c>
      <c r="J840">
        <v>0.28709047415109601</v>
      </c>
      <c r="K840">
        <v>0.25539418909360401</v>
      </c>
      <c r="L840">
        <v>1159.93449701246</v>
      </c>
      <c r="M840">
        <v>21.7107724888949</v>
      </c>
      <c r="N840">
        <v>55.123966656417899</v>
      </c>
      <c r="O840">
        <v>52.979612285619801</v>
      </c>
      <c r="P840">
        <v>-7.7477943853859699E-2</v>
      </c>
      <c r="Q840">
        <v>0.24375712463670701</v>
      </c>
      <c r="R840">
        <v>0.98665733210596196</v>
      </c>
      <c r="S840" t="s">
        <v>7292</v>
      </c>
      <c r="T840" t="s">
        <v>12902</v>
      </c>
      <c r="U840" t="s">
        <v>12902</v>
      </c>
      <c r="V840" t="s">
        <v>12902</v>
      </c>
      <c r="W840" t="s">
        <v>13728</v>
      </c>
      <c r="X840">
        <v>3</v>
      </c>
      <c r="Y840" t="s">
        <v>20121</v>
      </c>
      <c r="Z840" t="s">
        <v>26415</v>
      </c>
      <c r="AA840">
        <v>0.59122150098257886</v>
      </c>
      <c r="AB840" t="str">
        <f>HYPERLINK("Melting_Curves/meltCurve_H0Y614_UFM1.pdf", "Melting_Curves/meltCurve_H0Y614_UFM1.pdf")</f>
        <v>Melting_Curves/meltCurve_H0Y614_UFM1.pdf</v>
      </c>
    </row>
    <row r="841" spans="1:28" x14ac:dyDescent="0.25">
      <c r="A841" t="s">
        <v>845</v>
      </c>
      <c r="B841">
        <v>0.99673306730245903</v>
      </c>
      <c r="C841">
        <v>0.97255434744178404</v>
      </c>
      <c r="D841">
        <v>0.94144376303260202</v>
      </c>
      <c r="E841">
        <v>0.714727817819933</v>
      </c>
      <c r="F841">
        <v>0.24513964873365801</v>
      </c>
      <c r="G841">
        <v>0.13834522445264699</v>
      </c>
      <c r="H841">
        <v>8.7199879075527703E-2</v>
      </c>
      <c r="I841">
        <v>0.106815465984669</v>
      </c>
      <c r="J841">
        <v>0.15835464355224499</v>
      </c>
      <c r="K841">
        <v>0.14094671579776299</v>
      </c>
      <c r="L841">
        <v>1781.1101481314499</v>
      </c>
      <c r="M841">
        <v>35.223037864444699</v>
      </c>
      <c r="N841">
        <v>50.968851849571401</v>
      </c>
      <c r="O841">
        <v>50.404466137408697</v>
      </c>
      <c r="P841">
        <v>-0.153504344476075</v>
      </c>
      <c r="Q841">
        <v>0.121338968137486</v>
      </c>
      <c r="R841">
        <v>0.99643666534172104</v>
      </c>
      <c r="S841" t="s">
        <v>7293</v>
      </c>
      <c r="T841" t="s">
        <v>12902</v>
      </c>
      <c r="U841" t="s">
        <v>12902</v>
      </c>
      <c r="V841" t="s">
        <v>12902</v>
      </c>
      <c r="W841" t="s">
        <v>13729</v>
      </c>
      <c r="X841">
        <v>17</v>
      </c>
      <c r="Y841" t="s">
        <v>19644</v>
      </c>
      <c r="Z841" t="s">
        <v>26416</v>
      </c>
      <c r="AA841">
        <v>0.43479115601541202</v>
      </c>
      <c r="AB841" t="str">
        <f>HYPERLINK("Melting_Curves/meltCurve_H0Y6A0_ARFGAP3.pdf", "Melting_Curves/meltCurve_H0Y6A0_ARFGAP3.pdf")</f>
        <v>Melting_Curves/meltCurve_H0Y6A0_ARFGAP3.pdf</v>
      </c>
    </row>
    <row r="842" spans="1:28" x14ac:dyDescent="0.25">
      <c r="A842" t="s">
        <v>846</v>
      </c>
      <c r="B842">
        <v>0.99673306730245903</v>
      </c>
      <c r="C842">
        <v>0.93737906117198899</v>
      </c>
      <c r="D842">
        <v>0.766441926278705</v>
      </c>
      <c r="E842">
        <v>0.71000586330640103</v>
      </c>
      <c r="F842">
        <v>0.58286273466915595</v>
      </c>
      <c r="G842">
        <v>0.32971075152930401</v>
      </c>
      <c r="H842">
        <v>0.17901745769723101</v>
      </c>
      <c r="I842">
        <v>0.11866723904696599</v>
      </c>
      <c r="J842">
        <v>6.6596326266529698E-2</v>
      </c>
      <c r="K842">
        <v>4.6125795495943901E-2</v>
      </c>
      <c r="L842">
        <v>600.45687878835599</v>
      </c>
      <c r="M842">
        <v>11.2539605537418</v>
      </c>
      <c r="N842">
        <v>53.355159976666897</v>
      </c>
      <c r="O842">
        <v>51.753709324444102</v>
      </c>
      <c r="P842">
        <v>-5.4379859022492399E-2</v>
      </c>
      <c r="Q842">
        <v>0</v>
      </c>
      <c r="R842">
        <v>0.98684648156816901</v>
      </c>
      <c r="S842" t="s">
        <v>7294</v>
      </c>
      <c r="T842" t="s">
        <v>12902</v>
      </c>
      <c r="U842" t="s">
        <v>12902</v>
      </c>
      <c r="V842" t="s">
        <v>12902</v>
      </c>
      <c r="W842" t="s">
        <v>13730</v>
      </c>
      <c r="X842">
        <v>1</v>
      </c>
      <c r="Y842" t="s">
        <v>20122</v>
      </c>
      <c r="Z842" t="s">
        <v>26417</v>
      </c>
      <c r="AA842">
        <v>0.47469174868323982</v>
      </c>
      <c r="AB842" t="str">
        <f>HYPERLINK("Melting_Curves/meltCurve_H0Y6I7_KDM6A.pdf", "Melting_Curves/meltCurve_H0Y6I7_KDM6A.pdf")</f>
        <v>Melting_Curves/meltCurve_H0Y6I7_KDM6A.pdf</v>
      </c>
    </row>
    <row r="843" spans="1:28" x14ac:dyDescent="0.25">
      <c r="A843" t="s">
        <v>847</v>
      </c>
      <c r="B843">
        <v>0.99673306730245903</v>
      </c>
      <c r="C843">
        <v>0.94232308029012701</v>
      </c>
      <c r="D843">
        <v>0.64812140219166703</v>
      </c>
      <c r="E843">
        <v>0.29977728336989201</v>
      </c>
      <c r="F843">
        <v>0.18319674602510799</v>
      </c>
      <c r="G843">
        <v>0.1144316287746</v>
      </c>
      <c r="H843">
        <v>6.7662988971123897E-2</v>
      </c>
      <c r="I843">
        <v>6.9155431436167106E-2</v>
      </c>
      <c r="J843">
        <v>7.8194805788547095E-2</v>
      </c>
      <c r="K843">
        <v>7.3267929697655707E-2</v>
      </c>
      <c r="L843">
        <v>1056.95866225329</v>
      </c>
      <c r="M843">
        <v>22.414670250945601</v>
      </c>
      <c r="N843">
        <v>47.521331258632301</v>
      </c>
      <c r="O843">
        <v>46.784242226498499</v>
      </c>
      <c r="P843">
        <v>-0.110270231885812</v>
      </c>
      <c r="Q843">
        <v>7.93879744438796E-2</v>
      </c>
      <c r="R843">
        <v>0.99702904240193502</v>
      </c>
      <c r="S843" t="s">
        <v>7295</v>
      </c>
      <c r="T843" t="s">
        <v>12902</v>
      </c>
      <c r="U843" t="s">
        <v>12902</v>
      </c>
      <c r="V843" t="s">
        <v>12902</v>
      </c>
      <c r="W843" t="s">
        <v>13731</v>
      </c>
      <c r="X843">
        <v>12</v>
      </c>
      <c r="Y843" t="s">
        <v>20123</v>
      </c>
      <c r="Z843" t="s">
        <v>26418</v>
      </c>
      <c r="AA843">
        <v>0.30936883957765449</v>
      </c>
      <c r="AB843" t="str">
        <f>HYPERLINK("Melting_Curves/meltCurve_H0Y6K2_BRD2.pdf", "Melting_Curves/meltCurve_H0Y6K2_BRD2.pdf")</f>
        <v>Melting_Curves/meltCurve_H0Y6K2_BRD2.pdf</v>
      </c>
    </row>
    <row r="844" spans="1:28" x14ac:dyDescent="0.25">
      <c r="A844" t="s">
        <v>848</v>
      </c>
      <c r="B844">
        <v>0.99673306730245903</v>
      </c>
      <c r="C844">
        <v>0.86322183439796996</v>
      </c>
      <c r="D844">
        <v>0.79117021767492501</v>
      </c>
      <c r="E844">
        <v>0.49131376877424399</v>
      </c>
      <c r="F844">
        <v>0.236172605368034</v>
      </c>
      <c r="G844">
        <v>0.14435369350385899</v>
      </c>
      <c r="H844">
        <v>0.10664981294574501</v>
      </c>
      <c r="I844">
        <v>0.13195679661215001</v>
      </c>
      <c r="J844">
        <v>0.18757878343291701</v>
      </c>
      <c r="K844">
        <v>0.205612343752582</v>
      </c>
      <c r="L844">
        <v>977.22056180626498</v>
      </c>
      <c r="M844">
        <v>20.2157326062366</v>
      </c>
      <c r="N844">
        <v>49.153489979353203</v>
      </c>
      <c r="O844">
        <v>47.874065136635203</v>
      </c>
      <c r="P844">
        <v>-9.0554733568357998E-2</v>
      </c>
      <c r="Q844">
        <v>0.14223509951345001</v>
      </c>
      <c r="R844">
        <v>0.98390789958605496</v>
      </c>
      <c r="S844" t="s">
        <v>7296</v>
      </c>
      <c r="T844" t="s">
        <v>12902</v>
      </c>
      <c r="U844" t="s">
        <v>12902</v>
      </c>
      <c r="V844" t="s">
        <v>12902</v>
      </c>
      <c r="W844" t="s">
        <v>13732</v>
      </c>
      <c r="X844">
        <v>5</v>
      </c>
      <c r="Y844" t="s">
        <v>20124</v>
      </c>
      <c r="Z844" t="s">
        <v>26419</v>
      </c>
      <c r="AA844">
        <v>0.39252824463775399</v>
      </c>
      <c r="AB844" t="str">
        <f>HYPERLINK("Melting_Curves/meltCurve_H0Y6K5_SP3.pdf", "Melting_Curves/meltCurve_H0Y6K5_SP3.pdf")</f>
        <v>Melting_Curves/meltCurve_H0Y6K5_SP3.pdf</v>
      </c>
    </row>
    <row r="845" spans="1:28" x14ac:dyDescent="0.25">
      <c r="A845" t="s">
        <v>849</v>
      </c>
      <c r="B845">
        <v>0.99673306730245903</v>
      </c>
      <c r="C845">
        <v>0.90289668593297701</v>
      </c>
      <c r="D845">
        <v>0.92746838276399901</v>
      </c>
      <c r="E845">
        <v>0.70006717005296404</v>
      </c>
      <c r="F845">
        <v>0.46790054459284303</v>
      </c>
      <c r="G845">
        <v>0.26983425292874902</v>
      </c>
      <c r="H845">
        <v>0.18991300655090901</v>
      </c>
      <c r="I845">
        <v>0.148841621297222</v>
      </c>
      <c r="J845">
        <v>0.16005912928347099</v>
      </c>
      <c r="K845">
        <v>0.15179097831517199</v>
      </c>
      <c r="L845">
        <v>869.66930979190204</v>
      </c>
      <c r="M845">
        <v>16.865785261225302</v>
      </c>
      <c r="N845">
        <v>52.514206813454003</v>
      </c>
      <c r="O845">
        <v>50.855569737238</v>
      </c>
      <c r="P845">
        <v>-7.2012912646490998E-2</v>
      </c>
      <c r="Q845">
        <v>0.13149037200862901</v>
      </c>
      <c r="R845">
        <v>0.99442874773902501</v>
      </c>
      <c r="S845" t="s">
        <v>7297</v>
      </c>
      <c r="T845" t="s">
        <v>12902</v>
      </c>
      <c r="U845" t="s">
        <v>12902</v>
      </c>
      <c r="V845" t="s">
        <v>12902</v>
      </c>
      <c r="W845" t="s">
        <v>13733</v>
      </c>
      <c r="X845">
        <v>1</v>
      </c>
      <c r="Y845" t="s">
        <v>20125</v>
      </c>
      <c r="Z845" t="s">
        <v>26420</v>
      </c>
      <c r="AA845">
        <v>0.48253426637877422</v>
      </c>
      <c r="AB845" t="str">
        <f>HYPERLINK("Melting_Curves/meltCurve_H0Y6Y8_MRPL43.pdf", "Melting_Curves/meltCurve_H0Y6Y8_MRPL43.pdf")</f>
        <v>Melting_Curves/meltCurve_H0Y6Y8_MRPL43.pdf</v>
      </c>
    </row>
    <row r="846" spans="1:28" x14ac:dyDescent="0.25">
      <c r="A846" t="s">
        <v>850</v>
      </c>
      <c r="B846">
        <v>0.99673306730245903</v>
      </c>
      <c r="C846">
        <v>1.0135877925324499</v>
      </c>
      <c r="D846">
        <v>1.0062757597492999</v>
      </c>
      <c r="E846">
        <v>1.0361136371242401</v>
      </c>
      <c r="F846">
        <v>1.0218656489848601</v>
      </c>
      <c r="G846">
        <v>1.03873075753054</v>
      </c>
      <c r="H846">
        <v>0.89052030988720798</v>
      </c>
      <c r="I846">
        <v>1.2711636958592101</v>
      </c>
      <c r="J846">
        <v>1.9596079213334801</v>
      </c>
      <c r="K846">
        <v>1.9217233755126599</v>
      </c>
      <c r="L846">
        <v>15000</v>
      </c>
      <c r="M846">
        <v>234.54494698017601</v>
      </c>
      <c r="O846">
        <v>63.948957604119798</v>
      </c>
      <c r="P846">
        <v>0.45846109988769401</v>
      </c>
      <c r="Q846">
        <v>1.5</v>
      </c>
      <c r="R846">
        <v>0.709855478433705</v>
      </c>
      <c r="S846" t="s">
        <v>7298</v>
      </c>
      <c r="T846" t="s">
        <v>12902</v>
      </c>
      <c r="U846" t="s">
        <v>12902</v>
      </c>
      <c r="V846" t="s">
        <v>12902</v>
      </c>
      <c r="W846" t="s">
        <v>13734</v>
      </c>
      <c r="X846">
        <v>11</v>
      </c>
      <c r="Y846" t="s">
        <v>20126</v>
      </c>
      <c r="Z846" t="s">
        <v>26421</v>
      </c>
      <c r="AA846">
        <v>1.100709127013979</v>
      </c>
      <c r="AB846" t="str">
        <f>HYPERLINK("Melting_Curves/meltCurve_H0Y7A7_CALM2.pdf", "Melting_Curves/meltCurve_H0Y7A7_CALM2.pdf")</f>
        <v>Melting_Curves/meltCurve_H0Y7A7_CALM2.pdf</v>
      </c>
    </row>
    <row r="847" spans="1:28" x14ac:dyDescent="0.25">
      <c r="A847" t="s">
        <v>851</v>
      </c>
      <c r="B847">
        <v>0.99673306730245903</v>
      </c>
      <c r="C847">
        <v>0.70434439435251395</v>
      </c>
      <c r="D847">
        <v>0.38844229394018798</v>
      </c>
      <c r="E847">
        <v>0.258660233922542</v>
      </c>
      <c r="F847">
        <v>0.187158931169947</v>
      </c>
      <c r="G847">
        <v>0.11545216933644099</v>
      </c>
      <c r="H847">
        <v>9.5550098179943199E-2</v>
      </c>
      <c r="I847">
        <v>6.8017535370738902E-2</v>
      </c>
      <c r="J847">
        <v>0.119744838929599</v>
      </c>
      <c r="K847">
        <v>0.159797268276655</v>
      </c>
      <c r="L847">
        <v>958.28821820624898</v>
      </c>
      <c r="M847">
        <v>21.537550557279701</v>
      </c>
      <c r="N847">
        <v>45.081180585285701</v>
      </c>
      <c r="O847">
        <v>44.115578111146299</v>
      </c>
      <c r="P847">
        <v>-0.107123037671258</v>
      </c>
      <c r="Q847">
        <v>0.12233653699566099</v>
      </c>
      <c r="R847">
        <v>0.98183403066938701</v>
      </c>
      <c r="S847" t="s">
        <v>7299</v>
      </c>
      <c r="T847" t="s">
        <v>12902</v>
      </c>
      <c r="U847" t="s">
        <v>12902</v>
      </c>
      <c r="V847" t="s">
        <v>12902</v>
      </c>
      <c r="W847" t="s">
        <v>13735</v>
      </c>
      <c r="X847">
        <v>6</v>
      </c>
      <c r="Y847" t="s">
        <v>20127</v>
      </c>
      <c r="Z847" t="s">
        <v>26422</v>
      </c>
      <c r="AA847">
        <v>0.26711043517023658</v>
      </c>
      <c r="AB847" t="str">
        <f>HYPERLINK("Melting_Curves/meltCurve_H0Y882_FOXP1.pdf", "Melting_Curves/meltCurve_H0Y882_FOXP1.pdf")</f>
        <v>Melting_Curves/meltCurve_H0Y882_FOXP1.pdf</v>
      </c>
    </row>
    <row r="848" spans="1:28" x14ac:dyDescent="0.25">
      <c r="A848" t="s">
        <v>852</v>
      </c>
      <c r="B848">
        <v>0.99673306730245903</v>
      </c>
      <c r="C848">
        <v>1.0124051288243701</v>
      </c>
      <c r="D848">
        <v>0.83829132308898602</v>
      </c>
      <c r="E848">
        <v>0.81292615958638803</v>
      </c>
      <c r="F848">
        <v>0.57967472669847997</v>
      </c>
      <c r="G848">
        <v>0.26652061708004399</v>
      </c>
      <c r="H848">
        <v>0.12679560421875199</v>
      </c>
      <c r="I848">
        <v>0.10034038491196701</v>
      </c>
      <c r="J848">
        <v>7.0866843483323505E-2</v>
      </c>
      <c r="K848">
        <v>7.2152338963688806E-2</v>
      </c>
      <c r="L848">
        <v>886.19379023157296</v>
      </c>
      <c r="M848">
        <v>16.573214167143401</v>
      </c>
      <c r="N848">
        <v>53.707758599151902</v>
      </c>
      <c r="O848">
        <v>52.711138842111403</v>
      </c>
      <c r="P848">
        <v>-7.5845337992490394E-2</v>
      </c>
      <c r="Q848">
        <v>3.5160919363060497E-2</v>
      </c>
      <c r="R848">
        <v>0.98954554620117996</v>
      </c>
      <c r="S848" t="s">
        <v>7300</v>
      </c>
      <c r="T848" t="s">
        <v>12902</v>
      </c>
      <c r="U848" t="s">
        <v>12902</v>
      </c>
      <c r="V848" t="s">
        <v>12902</v>
      </c>
      <c r="W848" t="s">
        <v>13736</v>
      </c>
      <c r="X848">
        <v>2</v>
      </c>
      <c r="Y848" t="s">
        <v>20128</v>
      </c>
      <c r="Z848" t="s">
        <v>26423</v>
      </c>
      <c r="AA848">
        <v>0.48612555766798121</v>
      </c>
      <c r="AB848" t="str">
        <f>HYPERLINK("Melting_Curves/meltCurve_H0Y8C3_MTCH1.pdf", "Melting_Curves/meltCurve_H0Y8C3_MTCH1.pdf")</f>
        <v>Melting_Curves/meltCurve_H0Y8C3_MTCH1.pdf</v>
      </c>
    </row>
    <row r="849" spans="1:28" x14ac:dyDescent="0.25">
      <c r="A849" t="s">
        <v>853</v>
      </c>
      <c r="B849">
        <v>0.99673306730245903</v>
      </c>
      <c r="C849">
        <v>0.92558733567983298</v>
      </c>
      <c r="D849">
        <v>0.83306682303641599</v>
      </c>
      <c r="E849">
        <v>0.72297322701932998</v>
      </c>
      <c r="F849">
        <v>0.48893572671332097</v>
      </c>
      <c r="G849">
        <v>0.40143303936730501</v>
      </c>
      <c r="H849">
        <v>0.238557980377335</v>
      </c>
      <c r="I849">
        <v>0.15414195897487501</v>
      </c>
      <c r="J849">
        <v>6.14441542324883E-2</v>
      </c>
      <c r="K849">
        <v>5.0346691397170497E-2</v>
      </c>
      <c r="L849">
        <v>574.66836092825702</v>
      </c>
      <c r="M849">
        <v>10.7095465649888</v>
      </c>
      <c r="N849">
        <v>53.6594478044101</v>
      </c>
      <c r="O849">
        <v>51.890036675414301</v>
      </c>
      <c r="P849">
        <v>-5.1616612602984703E-2</v>
      </c>
      <c r="Q849">
        <v>0</v>
      </c>
      <c r="R849">
        <v>0.99367100983071699</v>
      </c>
      <c r="S849" t="s">
        <v>7301</v>
      </c>
      <c r="T849" t="s">
        <v>12902</v>
      </c>
      <c r="U849" t="s">
        <v>12902</v>
      </c>
      <c r="V849" t="s">
        <v>12902</v>
      </c>
      <c r="W849" t="s">
        <v>13737</v>
      </c>
      <c r="X849">
        <v>2</v>
      </c>
      <c r="Y849" t="s">
        <v>20129</v>
      </c>
      <c r="Z849" t="s">
        <v>26424</v>
      </c>
      <c r="AA849">
        <v>0.48523158081911022</v>
      </c>
      <c r="AB849" t="str">
        <f>HYPERLINK("Melting_Curves/meltCurve_H0Y8D0_TMEM222.pdf", "Melting_Curves/meltCurve_H0Y8D0_TMEM222.pdf")</f>
        <v>Melting_Curves/meltCurve_H0Y8D0_TMEM222.pdf</v>
      </c>
    </row>
    <row r="850" spans="1:28" x14ac:dyDescent="0.25">
      <c r="A850" t="s">
        <v>854</v>
      </c>
      <c r="B850">
        <v>0.99673306730245903</v>
      </c>
      <c r="C850">
        <v>0.88703996859237799</v>
      </c>
      <c r="D850">
        <v>0.79412939149627804</v>
      </c>
      <c r="E850">
        <v>0.61998689101753901</v>
      </c>
      <c r="F850">
        <v>0.38973894958817701</v>
      </c>
      <c r="G850">
        <v>0.153910445730954</v>
      </c>
      <c r="H850">
        <v>7.3776625209464E-2</v>
      </c>
      <c r="I850">
        <v>4.4654007190381102E-2</v>
      </c>
      <c r="J850">
        <v>3.3706739966128503E-2</v>
      </c>
      <c r="K850">
        <v>0</v>
      </c>
      <c r="L850">
        <v>717.74698381680196</v>
      </c>
      <c r="M850">
        <v>14.0891868731995</v>
      </c>
      <c r="N850">
        <v>50.943118345479199</v>
      </c>
      <c r="O850">
        <v>49.949769094432398</v>
      </c>
      <c r="P850">
        <v>-7.0525879739611899E-2</v>
      </c>
      <c r="Q850">
        <v>0</v>
      </c>
      <c r="R850">
        <v>0.99484435301028695</v>
      </c>
      <c r="S850" t="s">
        <v>7302</v>
      </c>
      <c r="T850" t="s">
        <v>12902</v>
      </c>
      <c r="U850" t="s">
        <v>12902</v>
      </c>
      <c r="V850" t="s">
        <v>12902</v>
      </c>
      <c r="W850" t="s">
        <v>13738</v>
      </c>
      <c r="X850">
        <v>1</v>
      </c>
      <c r="Y850" t="s">
        <v>20130</v>
      </c>
      <c r="Z850" t="s">
        <v>26425</v>
      </c>
      <c r="AA850">
        <v>0.39040717116339202</v>
      </c>
      <c r="AB850" t="str">
        <f>HYPERLINK("Melting_Curves/meltCurve_H0Y9D6_B4GALT7.pdf", "Melting_Curves/meltCurve_H0Y9D6_B4GALT7.pdf")</f>
        <v>Melting_Curves/meltCurve_H0Y9D6_B4GALT7.pdf</v>
      </c>
    </row>
    <row r="851" spans="1:28" x14ac:dyDescent="0.25">
      <c r="A851" t="s">
        <v>855</v>
      </c>
      <c r="B851">
        <v>0.99673306730245903</v>
      </c>
      <c r="C851">
        <v>0.98950269283550996</v>
      </c>
      <c r="D851">
        <v>1.0186574495187899</v>
      </c>
      <c r="E851">
        <v>1.07314968601817</v>
      </c>
      <c r="F851">
        <v>0.72006123050522697</v>
      </c>
      <c r="G851">
        <v>0.22598032022655301</v>
      </c>
      <c r="H851">
        <v>0.121409462634833</v>
      </c>
      <c r="I851">
        <v>7.8475944649256002E-2</v>
      </c>
      <c r="J851">
        <v>9.6147383316988702E-2</v>
      </c>
      <c r="K851">
        <v>8.3310129573382005E-2</v>
      </c>
      <c r="L851">
        <v>2323.6578012402401</v>
      </c>
      <c r="M851">
        <v>42.794779683182597</v>
      </c>
      <c r="N851">
        <v>54.563471292523602</v>
      </c>
      <c r="O851">
        <v>54.179529531910497</v>
      </c>
      <c r="P851">
        <v>-0.17889117011946101</v>
      </c>
      <c r="Q851">
        <v>9.4074167717940499E-2</v>
      </c>
      <c r="R851">
        <v>0.99488759294753704</v>
      </c>
      <c r="S851" t="s">
        <v>7303</v>
      </c>
      <c r="T851" t="s">
        <v>12902</v>
      </c>
      <c r="U851" t="s">
        <v>12902</v>
      </c>
      <c r="V851" t="s">
        <v>12902</v>
      </c>
      <c r="W851" t="s">
        <v>13739</v>
      </c>
      <c r="X851">
        <v>9</v>
      </c>
      <c r="Y851" t="s">
        <v>20131</v>
      </c>
      <c r="Z851" t="s">
        <v>26426</v>
      </c>
      <c r="AA851">
        <v>0.52879259704627202</v>
      </c>
      <c r="AB851" t="str">
        <f>HYPERLINK("Melting_Curves/meltCurve_H0Y9S9_PPIP5K2.pdf", "Melting_Curves/meltCurve_H0Y9S9_PPIP5K2.pdf")</f>
        <v>Melting_Curves/meltCurve_H0Y9S9_PPIP5K2.pdf</v>
      </c>
    </row>
    <row r="852" spans="1:28" x14ac:dyDescent="0.25">
      <c r="A852" t="s">
        <v>856</v>
      </c>
      <c r="B852">
        <v>0.99673306730245903</v>
      </c>
      <c r="C852">
        <v>0.92269620364136096</v>
      </c>
      <c r="D852">
        <v>0.53597697508481201</v>
      </c>
      <c r="E852">
        <v>0.11716078298607401</v>
      </c>
      <c r="F852">
        <v>5.6730364848174203E-2</v>
      </c>
      <c r="G852">
        <v>3.7269875455761499E-2</v>
      </c>
      <c r="H852">
        <v>1.8307297672086699E-2</v>
      </c>
      <c r="I852">
        <v>2.2919026343622102E-2</v>
      </c>
      <c r="J852">
        <v>2.0552790672255201E-2</v>
      </c>
      <c r="K852">
        <v>2.5565515899112299E-2</v>
      </c>
      <c r="L852">
        <v>1483.23679035276</v>
      </c>
      <c r="M852">
        <v>32.149504541641598</v>
      </c>
      <c r="N852">
        <v>46.215388833512598</v>
      </c>
      <c r="O852">
        <v>45.958202330334601</v>
      </c>
      <c r="P852">
        <v>-0.170164424125685</v>
      </c>
      <c r="Q852">
        <v>2.6994371873555901E-2</v>
      </c>
      <c r="R852">
        <v>0.99964127718009499</v>
      </c>
      <c r="S852" t="s">
        <v>7304</v>
      </c>
      <c r="T852" t="s">
        <v>12902</v>
      </c>
      <c r="U852" t="s">
        <v>12902</v>
      </c>
      <c r="V852" t="s">
        <v>12902</v>
      </c>
      <c r="W852" t="s">
        <v>13740</v>
      </c>
      <c r="X852">
        <v>4</v>
      </c>
      <c r="Y852" t="s">
        <v>20132</v>
      </c>
      <c r="Z852" t="s">
        <v>26427</v>
      </c>
      <c r="AA852">
        <v>0.23105898088880369</v>
      </c>
      <c r="AB852" t="str">
        <f>HYPERLINK("Melting_Curves/meltCurve_H0Y9T8_PRR5_ARHGAP8.pdf", "Melting_Curves/meltCurve_H0Y9T8_PRR5_ARHGAP8.pdf")</f>
        <v>Melting_Curves/meltCurve_H0Y9T8_PRR5_ARHGAP8.pdf</v>
      </c>
    </row>
    <row r="853" spans="1:28" x14ac:dyDescent="0.25">
      <c r="A853" t="s">
        <v>857</v>
      </c>
      <c r="B853">
        <v>0.99673306730245903</v>
      </c>
      <c r="C853">
        <v>0.973944202048035</v>
      </c>
      <c r="D853">
        <v>0.931413648099643</v>
      </c>
      <c r="E853">
        <v>0.71931510735501503</v>
      </c>
      <c r="F853">
        <v>0.37454634742419401</v>
      </c>
      <c r="G853">
        <v>0.201492816361619</v>
      </c>
      <c r="H853">
        <v>0.13735048727399801</v>
      </c>
      <c r="I853">
        <v>0.1619227381891</v>
      </c>
      <c r="J853">
        <v>0.23974386872206199</v>
      </c>
      <c r="K853">
        <v>0.29999728248485802</v>
      </c>
      <c r="L853">
        <v>1457.38791248231</v>
      </c>
      <c r="M853">
        <v>28.7976522444627</v>
      </c>
      <c r="N853">
        <v>51.536658356180098</v>
      </c>
      <c r="O853">
        <v>50.365703741008403</v>
      </c>
      <c r="P853">
        <v>-0.114006697541126</v>
      </c>
      <c r="Q853">
        <v>0.202437029528584</v>
      </c>
      <c r="R853">
        <v>0.98257810186277295</v>
      </c>
      <c r="S853" t="s">
        <v>7305</v>
      </c>
      <c r="T853" t="s">
        <v>12902</v>
      </c>
      <c r="U853" t="s">
        <v>12902</v>
      </c>
      <c r="V853" t="s">
        <v>12902</v>
      </c>
      <c r="W853" t="s">
        <v>13741</v>
      </c>
      <c r="X853">
        <v>7</v>
      </c>
      <c r="Y853" t="s">
        <v>20133</v>
      </c>
      <c r="Z853" t="s">
        <v>26428</v>
      </c>
      <c r="AA853">
        <v>0.48986102125438319</v>
      </c>
      <c r="AB853" t="str">
        <f>HYPERLINK("Melting_Curves/meltCurve_H0Y9X1_TMA16.pdf", "Melting_Curves/meltCurve_H0Y9X1_TMA16.pdf")</f>
        <v>Melting_Curves/meltCurve_H0Y9X1_TMA16.pdf</v>
      </c>
    </row>
    <row r="854" spans="1:28" x14ac:dyDescent="0.25">
      <c r="A854" t="s">
        <v>858</v>
      </c>
      <c r="B854">
        <v>0.99673306730245903</v>
      </c>
      <c r="C854">
        <v>1.01698821283647</v>
      </c>
      <c r="D854">
        <v>0.99033468134478397</v>
      </c>
      <c r="E854">
        <v>0.90199530562492602</v>
      </c>
      <c r="F854">
        <v>0.79354220209484605</v>
      </c>
      <c r="G854">
        <v>0.55271055195490304</v>
      </c>
      <c r="H854">
        <v>0.41548216611466399</v>
      </c>
      <c r="I854">
        <v>0.57731711352805204</v>
      </c>
      <c r="J854">
        <v>0.79625860975021101</v>
      </c>
      <c r="K854">
        <v>0.75155282329940298</v>
      </c>
      <c r="L854">
        <v>1879.6182771793101</v>
      </c>
      <c r="M854">
        <v>36.053161733717097</v>
      </c>
      <c r="O854">
        <v>51.975018083392598</v>
      </c>
      <c r="P854">
        <v>-6.5767823339869302E-2</v>
      </c>
      <c r="Q854">
        <v>0.62075195159761198</v>
      </c>
      <c r="R854">
        <v>0.72962489834460098</v>
      </c>
      <c r="S854" t="s">
        <v>7306</v>
      </c>
      <c r="T854" t="s">
        <v>12902</v>
      </c>
      <c r="U854" t="s">
        <v>12902</v>
      </c>
      <c r="V854" t="s">
        <v>12902</v>
      </c>
      <c r="W854" t="s">
        <v>13742</v>
      </c>
      <c r="X854">
        <v>5</v>
      </c>
      <c r="Y854" t="s">
        <v>20134</v>
      </c>
      <c r="Z854" t="s">
        <v>26429</v>
      </c>
      <c r="AA854">
        <v>0.77583596949146505</v>
      </c>
      <c r="AB854" t="str">
        <f>HYPERLINK("Melting_Curves/meltCurve_H0YA52_PCBD2.pdf", "Melting_Curves/meltCurve_H0YA52_PCBD2.pdf")</f>
        <v>Melting_Curves/meltCurve_H0YA52_PCBD2.pdf</v>
      </c>
    </row>
    <row r="855" spans="1:28" x14ac:dyDescent="0.25">
      <c r="A855" t="s">
        <v>859</v>
      </c>
      <c r="B855">
        <v>0.99673306730245903</v>
      </c>
      <c r="C855">
        <v>1.0196684382669201</v>
      </c>
      <c r="D855">
        <v>0.98617951149388605</v>
      </c>
      <c r="E855">
        <v>0.90457977400126799</v>
      </c>
      <c r="F855">
        <v>0.36388871681155499</v>
      </c>
      <c r="G855">
        <v>0.26032893965755899</v>
      </c>
      <c r="H855">
        <v>0.162484311589075</v>
      </c>
      <c r="I855">
        <v>0.20807227643926399</v>
      </c>
      <c r="J855">
        <v>0.15703676225208599</v>
      </c>
      <c r="K855">
        <v>0.14842268586076801</v>
      </c>
      <c r="L855">
        <v>2250.1731710537401</v>
      </c>
      <c r="M855">
        <v>43.457089463791903</v>
      </c>
      <c r="N855">
        <v>52.322391831126303</v>
      </c>
      <c r="O855">
        <v>51.669911570825001</v>
      </c>
      <c r="P855">
        <v>-0.17208898047278501</v>
      </c>
      <c r="Q855">
        <v>0.18155503840749601</v>
      </c>
      <c r="R855">
        <v>0.99483524126637202</v>
      </c>
      <c r="S855" t="s">
        <v>7307</v>
      </c>
      <c r="T855" t="s">
        <v>12902</v>
      </c>
      <c r="U855" t="s">
        <v>12902</v>
      </c>
      <c r="V855" t="s">
        <v>12902</v>
      </c>
      <c r="W855" t="s">
        <v>13743</v>
      </c>
      <c r="X855">
        <v>2</v>
      </c>
      <c r="Y855" t="s">
        <v>20135</v>
      </c>
      <c r="Z855" t="s">
        <v>26430</v>
      </c>
      <c r="AA855">
        <v>0.50538758265561667</v>
      </c>
      <c r="AB855" t="str">
        <f>HYPERLINK("Melting_Curves/meltCurve_H0YA80_UBE2B.pdf", "Melting_Curves/meltCurve_H0YA80_UBE2B.pdf")</f>
        <v>Melting_Curves/meltCurve_H0YA80_UBE2B.pdf</v>
      </c>
    </row>
    <row r="856" spans="1:28" x14ac:dyDescent="0.25">
      <c r="A856" t="s">
        <v>860</v>
      </c>
      <c r="B856">
        <v>0.99673306730245903</v>
      </c>
      <c r="C856">
        <v>0.99887713308009696</v>
      </c>
      <c r="D856">
        <v>0.94327187487351105</v>
      </c>
      <c r="E856">
        <v>0.89037150277298305</v>
      </c>
      <c r="F856">
        <v>0.77838696570515697</v>
      </c>
      <c r="G856">
        <v>0.63861358528145995</v>
      </c>
      <c r="H856">
        <v>0.52398057030331102</v>
      </c>
      <c r="I856">
        <v>0.69947204796123497</v>
      </c>
      <c r="J856">
        <v>0.64740038985779202</v>
      </c>
      <c r="K856">
        <v>0.401124805603288</v>
      </c>
      <c r="L856">
        <v>762.06942178213399</v>
      </c>
      <c r="M856">
        <v>14.3037226935294</v>
      </c>
      <c r="O856">
        <v>52.268798709164003</v>
      </c>
      <c r="P856">
        <v>-3.2269289469175802E-2</v>
      </c>
      <c r="Q856">
        <v>0.52838241836990796</v>
      </c>
      <c r="R856">
        <v>0.85910452663652803</v>
      </c>
      <c r="S856" t="s">
        <v>7308</v>
      </c>
      <c r="T856" t="s">
        <v>12902</v>
      </c>
      <c r="U856" t="s">
        <v>12902</v>
      </c>
      <c r="V856" t="s">
        <v>12902</v>
      </c>
      <c r="W856" t="s">
        <v>13744</v>
      </c>
      <c r="X856">
        <v>8</v>
      </c>
      <c r="Y856" t="s">
        <v>20136</v>
      </c>
      <c r="Z856" t="s">
        <v>26431</v>
      </c>
      <c r="AA856">
        <v>0.74779217739981163</v>
      </c>
      <c r="AB856" t="str">
        <f>HYPERLINK("Melting_Curves/meltCurve_H0YAV1_RRM2B.pdf", "Melting_Curves/meltCurve_H0YAV1_RRM2B.pdf")</f>
        <v>Melting_Curves/meltCurve_H0YAV1_RRM2B.pdf</v>
      </c>
    </row>
    <row r="857" spans="1:28" x14ac:dyDescent="0.25">
      <c r="A857" t="s">
        <v>861</v>
      </c>
      <c r="B857">
        <v>0.99673306730245903</v>
      </c>
      <c r="C857">
        <v>1.05956522479982</v>
      </c>
      <c r="D857">
        <v>0.82768144990665105</v>
      </c>
      <c r="E857">
        <v>0.62045604671402599</v>
      </c>
      <c r="F857">
        <v>0.16492906117807801</v>
      </c>
      <c r="G857">
        <v>0.10820131976071901</v>
      </c>
      <c r="H857">
        <v>4.6361919698702299E-2</v>
      </c>
      <c r="I857">
        <v>4.5390823863958103E-2</v>
      </c>
      <c r="J857">
        <v>4.5327810450933897E-2</v>
      </c>
      <c r="K857">
        <v>4.6288791403924799E-2</v>
      </c>
      <c r="L857">
        <v>1264.67930647096</v>
      </c>
      <c r="M857">
        <v>25.284377536454802</v>
      </c>
      <c r="N857">
        <v>50.187369893778502</v>
      </c>
      <c r="O857">
        <v>49.708478541839497</v>
      </c>
      <c r="P857">
        <v>-0.121970747056291</v>
      </c>
      <c r="Q857">
        <v>4.0846100340926901E-2</v>
      </c>
      <c r="R857">
        <v>0.98988481401878403</v>
      </c>
      <c r="S857" t="s">
        <v>7309</v>
      </c>
      <c r="T857" t="s">
        <v>12902</v>
      </c>
      <c r="U857" t="s">
        <v>12902</v>
      </c>
      <c r="V857" t="s">
        <v>12902</v>
      </c>
      <c r="W857" t="s">
        <v>13745</v>
      </c>
      <c r="X857">
        <v>2</v>
      </c>
      <c r="Y857" t="s">
        <v>20137</v>
      </c>
      <c r="Z857" t="s">
        <v>26432</v>
      </c>
      <c r="AA857">
        <v>0.36952772088036401</v>
      </c>
      <c r="AB857" t="str">
        <f>HYPERLINK("Melting_Curves/meltCurve_H0YB73_UBE2W.pdf", "Melting_Curves/meltCurve_H0YB73_UBE2W.pdf")</f>
        <v>Melting_Curves/meltCurve_H0YB73_UBE2W.pdf</v>
      </c>
    </row>
    <row r="858" spans="1:28" x14ac:dyDescent="0.25">
      <c r="A858" t="s">
        <v>862</v>
      </c>
      <c r="B858">
        <v>0.99673306730245903</v>
      </c>
      <c r="C858">
        <v>1.0392649011555799</v>
      </c>
      <c r="D858">
        <v>1.0148797604220601</v>
      </c>
      <c r="E858">
        <v>0.80620366035638702</v>
      </c>
      <c r="F858">
        <v>0.65628013773046201</v>
      </c>
      <c r="G858">
        <v>0.58300208538600795</v>
      </c>
      <c r="H858">
        <v>0.44468453668188601</v>
      </c>
      <c r="I858">
        <v>0.61156358911451103</v>
      </c>
      <c r="J858">
        <v>0.53413257647247003</v>
      </c>
      <c r="K858">
        <v>0.79927880669890805</v>
      </c>
      <c r="L858">
        <v>1966.3677238887601</v>
      </c>
      <c r="M858">
        <v>39.462388574824701</v>
      </c>
      <c r="O858">
        <v>49.701463621918101</v>
      </c>
      <c r="P858">
        <v>-7.9757511399684997E-2</v>
      </c>
      <c r="Q858">
        <v>0.59819397451354395</v>
      </c>
      <c r="R858">
        <v>0.82671714280004405</v>
      </c>
      <c r="S858" t="s">
        <v>7310</v>
      </c>
      <c r="T858" t="s">
        <v>12902</v>
      </c>
      <c r="U858" t="s">
        <v>12902</v>
      </c>
      <c r="V858" t="s">
        <v>12902</v>
      </c>
      <c r="W858" t="s">
        <v>13746</v>
      </c>
      <c r="X858">
        <v>2</v>
      </c>
      <c r="Y858" t="s">
        <v>20138</v>
      </c>
      <c r="Z858" t="s">
        <v>26433</v>
      </c>
      <c r="AA858">
        <v>0.73126068704577873</v>
      </c>
      <c r="AB858" t="str">
        <f>HYPERLINK("Melting_Curves/meltCurve_H0YBC7_BNIP3L.pdf", "Melting_Curves/meltCurve_H0YBC7_BNIP3L.pdf")</f>
        <v>Melting_Curves/meltCurve_H0YBC7_BNIP3L.pdf</v>
      </c>
    </row>
    <row r="859" spans="1:28" x14ac:dyDescent="0.25">
      <c r="A859" t="s">
        <v>863</v>
      </c>
      <c r="B859">
        <v>0.99673306730245903</v>
      </c>
      <c r="C859">
        <v>0.92418981789951904</v>
      </c>
      <c r="D859">
        <v>1.31083564780282</v>
      </c>
      <c r="E859">
        <v>0.99043921107120003</v>
      </c>
      <c r="F859">
        <v>0.67503092687433297</v>
      </c>
      <c r="G859">
        <v>0.48601474950789197</v>
      </c>
      <c r="H859">
        <v>0.30011387471786499</v>
      </c>
      <c r="I859">
        <v>1.08007825465813</v>
      </c>
      <c r="J859">
        <v>0.23444137095950601</v>
      </c>
      <c r="K859">
        <v>0.32045783550190798</v>
      </c>
      <c r="L859">
        <v>3772.61887495566</v>
      </c>
      <c r="M859">
        <v>71.444852643296898</v>
      </c>
      <c r="N859">
        <v>55.455458968138302</v>
      </c>
      <c r="O859">
        <v>52.763302276618703</v>
      </c>
      <c r="P859">
        <v>-0.174821675162179</v>
      </c>
      <c r="Q859">
        <v>0.48356436394213298</v>
      </c>
      <c r="R859">
        <v>0.55245579532787104</v>
      </c>
      <c r="S859" t="s">
        <v>7311</v>
      </c>
      <c r="T859" t="s">
        <v>12902</v>
      </c>
      <c r="U859" t="s">
        <v>12902</v>
      </c>
      <c r="V859" t="s">
        <v>12902</v>
      </c>
      <c r="W859" t="s">
        <v>13747</v>
      </c>
      <c r="X859">
        <v>4</v>
      </c>
      <c r="Y859" t="s">
        <v>20139</v>
      </c>
      <c r="Z859" t="s">
        <v>26434</v>
      </c>
      <c r="AA859">
        <v>0.70457737448338098</v>
      </c>
      <c r="AB859" t="str">
        <f>HYPERLINK("Melting_Curves/meltCurve_H0YBI6_TXNRD3.pdf", "Melting_Curves/meltCurve_H0YBI6_TXNRD3.pdf")</f>
        <v>Melting_Curves/meltCurve_H0YBI6_TXNRD3.pdf</v>
      </c>
    </row>
    <row r="860" spans="1:28" x14ac:dyDescent="0.25">
      <c r="A860" t="s">
        <v>864</v>
      </c>
      <c r="B860">
        <v>0.99673306730245903</v>
      </c>
      <c r="C860">
        <v>0.90794475236259398</v>
      </c>
      <c r="D860">
        <v>0.90586729797938004</v>
      </c>
      <c r="E860">
        <v>0.68971281365625003</v>
      </c>
      <c r="F860">
        <v>0.52992382652759396</v>
      </c>
      <c r="G860">
        <v>0.42632844414572102</v>
      </c>
      <c r="H860">
        <v>0.44273724194763497</v>
      </c>
      <c r="I860">
        <v>0.72452912259970403</v>
      </c>
      <c r="J860">
        <v>1.0592857362000001</v>
      </c>
      <c r="K860">
        <v>0.77344728534313301</v>
      </c>
      <c r="L860">
        <v>2054.3032083623002</v>
      </c>
      <c r="M860">
        <v>43.839376150738403</v>
      </c>
      <c r="O860">
        <v>46.762598573306903</v>
      </c>
      <c r="P860">
        <v>-7.9739073669916102E-2</v>
      </c>
      <c r="Q860">
        <v>0.65977622051237705</v>
      </c>
      <c r="R860">
        <v>0.33783785083429901</v>
      </c>
      <c r="S860" t="s">
        <v>7312</v>
      </c>
      <c r="T860" t="s">
        <v>12902</v>
      </c>
      <c r="U860" t="s">
        <v>12902</v>
      </c>
      <c r="V860" t="s">
        <v>12902</v>
      </c>
      <c r="W860" t="s">
        <v>13748</v>
      </c>
      <c r="X860">
        <v>1</v>
      </c>
      <c r="Y860" t="s">
        <v>19308</v>
      </c>
      <c r="Z860" t="s">
        <v>26435</v>
      </c>
      <c r="AA860">
        <v>0.73849242604973697</v>
      </c>
      <c r="AB860" t="str">
        <f>HYPERLINK("Melting_Curves/meltCurve_H0YBI8_VEGFA.pdf", "Melting_Curves/meltCurve_H0YBI8_VEGFA.pdf")</f>
        <v>Melting_Curves/meltCurve_H0YBI8_VEGFA.pdf</v>
      </c>
    </row>
    <row r="861" spans="1:28" x14ac:dyDescent="0.25">
      <c r="A861" t="s">
        <v>865</v>
      </c>
      <c r="B861">
        <v>0.99673306730245903</v>
      </c>
      <c r="C861">
        <v>0.98076908080037895</v>
      </c>
      <c r="D861">
        <v>0.81119350571372295</v>
      </c>
      <c r="E861">
        <v>0.46075252820468199</v>
      </c>
      <c r="F861">
        <v>0.36860426812483998</v>
      </c>
      <c r="G861">
        <v>0.255242446146766</v>
      </c>
      <c r="H861">
        <v>0.18691406448258199</v>
      </c>
      <c r="I861">
        <v>0.15313991533101601</v>
      </c>
      <c r="J861">
        <v>0.15780897304224201</v>
      </c>
      <c r="K861">
        <v>0.117427415987631</v>
      </c>
      <c r="L861">
        <v>860.52624229602998</v>
      </c>
      <c r="M861">
        <v>17.5686160494372</v>
      </c>
      <c r="N861">
        <v>50.004490969941699</v>
      </c>
      <c r="O861">
        <v>48.359470259417201</v>
      </c>
      <c r="P861">
        <v>-7.7109734240393205E-2</v>
      </c>
      <c r="Q861">
        <v>0.15103495232047501</v>
      </c>
      <c r="R861">
        <v>0.98876123025103901</v>
      </c>
      <c r="S861" t="s">
        <v>7313</v>
      </c>
      <c r="T861" t="s">
        <v>12902</v>
      </c>
      <c r="U861" t="s">
        <v>12902</v>
      </c>
      <c r="V861" t="s">
        <v>12902</v>
      </c>
      <c r="W861" t="s">
        <v>13749</v>
      </c>
      <c r="X861">
        <v>1</v>
      </c>
      <c r="Y861" t="s">
        <v>20140</v>
      </c>
      <c r="Z861" t="s">
        <v>26436</v>
      </c>
      <c r="AA861">
        <v>0.42062093853566901</v>
      </c>
      <c r="AB861" t="str">
        <f>HYPERLINK("Melting_Curves/meltCurve_H0YBN0_VPS37A.pdf", "Melting_Curves/meltCurve_H0YBN0_VPS37A.pdf")</f>
        <v>Melting_Curves/meltCurve_H0YBN0_VPS37A.pdf</v>
      </c>
    </row>
    <row r="862" spans="1:28" x14ac:dyDescent="0.25">
      <c r="A862" t="s">
        <v>866</v>
      </c>
      <c r="B862">
        <v>0.99673306730245903</v>
      </c>
      <c r="C862">
        <v>0.98060835029793203</v>
      </c>
      <c r="D862">
        <v>0.97109844358983299</v>
      </c>
      <c r="E862">
        <v>0.98426672993595099</v>
      </c>
      <c r="F862">
        <v>0.637233486387487</v>
      </c>
      <c r="G862">
        <v>0.2359908046667</v>
      </c>
      <c r="H862">
        <v>0.108085380322215</v>
      </c>
      <c r="I862">
        <v>8.9466879904410296E-2</v>
      </c>
      <c r="J862">
        <v>9.8904212542561903E-2</v>
      </c>
      <c r="K862">
        <v>8.4932561317284605E-2</v>
      </c>
      <c r="L862">
        <v>1856.19474374777</v>
      </c>
      <c r="M862">
        <v>34.433120628397297</v>
      </c>
      <c r="N862">
        <v>54.224022211988</v>
      </c>
      <c r="O862">
        <v>53.726396024694203</v>
      </c>
      <c r="P862">
        <v>-0.145626967216369</v>
      </c>
      <c r="Q862">
        <v>9.1109662105355996E-2</v>
      </c>
      <c r="R862">
        <v>0.99868576415695798</v>
      </c>
      <c r="S862" t="s">
        <v>7314</v>
      </c>
      <c r="T862" t="s">
        <v>12902</v>
      </c>
      <c r="U862" t="s">
        <v>12902</v>
      </c>
      <c r="V862" t="s">
        <v>12902</v>
      </c>
      <c r="W862" t="s">
        <v>13750</v>
      </c>
      <c r="X862">
        <v>11</v>
      </c>
      <c r="Y862" t="s">
        <v>20141</v>
      </c>
      <c r="Z862" t="s">
        <v>26437</v>
      </c>
      <c r="AA862">
        <v>0.517002898619493</v>
      </c>
      <c r="AB862" t="str">
        <f>HYPERLINK("Melting_Curves/meltCurve_H0YBP1_PTK2.pdf", "Melting_Curves/meltCurve_H0YBP1_PTK2.pdf")</f>
        <v>Melting_Curves/meltCurve_H0YBP1_PTK2.pdf</v>
      </c>
    </row>
    <row r="863" spans="1:28" x14ac:dyDescent="0.25">
      <c r="A863" t="s">
        <v>867</v>
      </c>
      <c r="B863">
        <v>0.99673306730245903</v>
      </c>
      <c r="C863">
        <v>0.91155284957106797</v>
      </c>
      <c r="D863">
        <v>0.65107510846339101</v>
      </c>
      <c r="E863">
        <v>0.64074345473434702</v>
      </c>
      <c r="F863">
        <v>0.45467351176619097</v>
      </c>
      <c r="G863">
        <v>0.210827554441712</v>
      </c>
      <c r="H863">
        <v>0.27316647815483602</v>
      </c>
      <c r="I863">
        <v>0.17940295897647199</v>
      </c>
      <c r="J863">
        <v>0.30089800514207998</v>
      </c>
      <c r="K863">
        <v>0.38902122155156399</v>
      </c>
      <c r="L863">
        <v>704.31053953865</v>
      </c>
      <c r="M863">
        <v>14.6407190411866</v>
      </c>
      <c r="N863">
        <v>50.617681751508698</v>
      </c>
      <c r="O863">
        <v>47.235505335404</v>
      </c>
      <c r="P863">
        <v>-5.7488689074810202E-2</v>
      </c>
      <c r="Q863">
        <v>0.25817664844468502</v>
      </c>
      <c r="R863">
        <v>0.91716650965508695</v>
      </c>
      <c r="S863" t="s">
        <v>7315</v>
      </c>
      <c r="T863" t="s">
        <v>12902</v>
      </c>
      <c r="U863" t="s">
        <v>12902</v>
      </c>
      <c r="V863" t="s">
        <v>12902</v>
      </c>
      <c r="W863" t="s">
        <v>13751</v>
      </c>
      <c r="X863">
        <v>1</v>
      </c>
      <c r="Y863" t="s">
        <v>20142</v>
      </c>
      <c r="Z863" t="s">
        <v>26438</v>
      </c>
      <c r="AA863">
        <v>0.47854416165393621</v>
      </c>
      <c r="AB863" t="str">
        <f>HYPERLINK("Melting_Curves/meltCurve_H0YBR0_TRAPPC9.pdf", "Melting_Curves/meltCurve_H0YBR0_TRAPPC9.pdf")</f>
        <v>Melting_Curves/meltCurve_H0YBR0_TRAPPC9.pdf</v>
      </c>
    </row>
    <row r="864" spans="1:28" x14ac:dyDescent="0.25">
      <c r="A864" t="s">
        <v>868</v>
      </c>
      <c r="B864">
        <v>0.99673306730245903</v>
      </c>
      <c r="C864">
        <v>0.833507768622468</v>
      </c>
      <c r="D864">
        <v>0.52853211609624295</v>
      </c>
      <c r="E864">
        <v>0.203010284622337</v>
      </c>
      <c r="F864">
        <v>0.146411399002328</v>
      </c>
      <c r="G864">
        <v>9.0545116731513095E-2</v>
      </c>
      <c r="H864">
        <v>6.4427761307107201E-2</v>
      </c>
      <c r="I864">
        <v>5.2938723002042401E-2</v>
      </c>
      <c r="J864">
        <v>5.3387078189021803E-2</v>
      </c>
      <c r="K864">
        <v>4.3593481175750799E-2</v>
      </c>
      <c r="L864">
        <v>1006.68124608406</v>
      </c>
      <c r="M864">
        <v>21.892575364544701</v>
      </c>
      <c r="N864">
        <v>46.2590265207605</v>
      </c>
      <c r="O864">
        <v>45.604256849332202</v>
      </c>
      <c r="P864">
        <v>-0.112662510355029</v>
      </c>
      <c r="Q864">
        <v>6.1275597518605403E-2</v>
      </c>
      <c r="R864">
        <v>0.99689803034547397</v>
      </c>
      <c r="S864" t="s">
        <v>7316</v>
      </c>
      <c r="T864" t="s">
        <v>12902</v>
      </c>
      <c r="U864" t="s">
        <v>12902</v>
      </c>
      <c r="V864" t="s">
        <v>12902</v>
      </c>
      <c r="W864" t="s">
        <v>13752</v>
      </c>
      <c r="X864">
        <v>11</v>
      </c>
      <c r="Y864" t="s">
        <v>20143</v>
      </c>
      <c r="Z864" t="s">
        <v>26439</v>
      </c>
      <c r="AA864">
        <v>0.26027963965309858</v>
      </c>
      <c r="AB864" t="str">
        <f>HYPERLINK("Melting_Curves/meltCurve_H0YBR2_ESRP1.pdf", "Melting_Curves/meltCurve_H0YBR2_ESRP1.pdf")</f>
        <v>Melting_Curves/meltCurve_H0YBR2_ESRP1.pdf</v>
      </c>
    </row>
    <row r="865" spans="1:28" x14ac:dyDescent="0.25">
      <c r="A865" t="s">
        <v>869</v>
      </c>
      <c r="B865">
        <v>0.99673306730245903</v>
      </c>
      <c r="C865">
        <v>0.78670107211529094</v>
      </c>
      <c r="D865">
        <v>0.31946869575860398</v>
      </c>
      <c r="E865">
        <v>0.147067958103626</v>
      </c>
      <c r="F865">
        <v>0.13529649490863099</v>
      </c>
      <c r="G865">
        <v>6.0433252058044701E-2</v>
      </c>
      <c r="H865">
        <v>3.3030958994946701E-2</v>
      </c>
      <c r="I865">
        <v>2.21133389367008E-2</v>
      </c>
      <c r="J865">
        <v>3.4185526528482703E-2</v>
      </c>
      <c r="K865">
        <v>2.5057929294354998E-2</v>
      </c>
      <c r="L865">
        <v>1271.1312053674501</v>
      </c>
      <c r="M865">
        <v>28.444612754836498</v>
      </c>
      <c r="N865">
        <v>44.865950809225097</v>
      </c>
      <c r="O865">
        <v>44.4688178100347</v>
      </c>
      <c r="P865">
        <v>-0.15138240295272101</v>
      </c>
      <c r="Q865">
        <v>5.3354347368805503E-2</v>
      </c>
      <c r="R865">
        <v>0.99006136809399703</v>
      </c>
      <c r="S865" t="s">
        <v>7317</v>
      </c>
      <c r="T865" t="s">
        <v>12902</v>
      </c>
      <c r="U865" t="s">
        <v>12902</v>
      </c>
      <c r="V865" t="s">
        <v>12902</v>
      </c>
      <c r="W865" t="s">
        <v>13753</v>
      </c>
      <c r="X865">
        <v>1</v>
      </c>
      <c r="Y865" t="s">
        <v>20144</v>
      </c>
      <c r="Z865" t="s">
        <v>26440</v>
      </c>
      <c r="AA865">
        <v>0.20842354880010869</v>
      </c>
      <c r="AB865" t="str">
        <f>HYPERLINK("Melting_Curves/meltCurve_H0YD93_RUFY2.pdf", "Melting_Curves/meltCurve_H0YD93_RUFY2.pdf")</f>
        <v>Melting_Curves/meltCurve_H0YD93_RUFY2.pdf</v>
      </c>
    </row>
    <row r="866" spans="1:28" x14ac:dyDescent="0.25">
      <c r="A866" t="s">
        <v>870</v>
      </c>
      <c r="B866">
        <v>0.99673306730245903</v>
      </c>
      <c r="C866">
        <v>0.96370452531040796</v>
      </c>
      <c r="D866">
        <v>0.88647349603157499</v>
      </c>
      <c r="E866">
        <v>0.92337692887239498</v>
      </c>
      <c r="F866">
        <v>0.86936970952167902</v>
      </c>
      <c r="G866">
        <v>0.71163875099391105</v>
      </c>
      <c r="H866">
        <v>0.63826647061140895</v>
      </c>
      <c r="I866">
        <v>0.86965606035042997</v>
      </c>
      <c r="J866">
        <v>1.1357821316118</v>
      </c>
      <c r="K866">
        <v>1.1120021692525399</v>
      </c>
      <c r="L866">
        <v>10753.4113876511</v>
      </c>
      <c r="M866">
        <v>250</v>
      </c>
      <c r="O866">
        <v>43.010895639592903</v>
      </c>
      <c r="P866">
        <v>-0.155017832585575</v>
      </c>
      <c r="Q866">
        <v>0.89332071364452503</v>
      </c>
      <c r="R866">
        <v>5.7510820220528197E-2</v>
      </c>
      <c r="S866" t="s">
        <v>7318</v>
      </c>
      <c r="T866" t="s">
        <v>12902</v>
      </c>
      <c r="U866" t="s">
        <v>12902</v>
      </c>
      <c r="V866" t="s">
        <v>12902</v>
      </c>
      <c r="W866" t="s">
        <v>13754</v>
      </c>
      <c r="X866">
        <v>2</v>
      </c>
      <c r="Y866" t="s">
        <v>20145</v>
      </c>
      <c r="Z866" t="s">
        <v>26441</v>
      </c>
      <c r="AA866">
        <v>0.90404521857256759</v>
      </c>
      <c r="AB866" t="str">
        <f>HYPERLINK("Melting_Curves/meltCurve_H0YDQ8_CRTC2.pdf", "Melting_Curves/meltCurve_H0YDQ8_CRTC2.pdf")</f>
        <v>Melting_Curves/meltCurve_H0YDQ8_CRTC2.pdf</v>
      </c>
    </row>
    <row r="867" spans="1:28" x14ac:dyDescent="0.25">
      <c r="A867" t="s">
        <v>871</v>
      </c>
      <c r="B867">
        <v>0.99673306730245903</v>
      </c>
      <c r="C867">
        <v>0.95987436429168005</v>
      </c>
      <c r="D867">
        <v>0.98158054852979304</v>
      </c>
      <c r="E867">
        <v>0.861530346299479</v>
      </c>
      <c r="F867">
        <v>0.33133095067775398</v>
      </c>
      <c r="G867">
        <v>0.1615953953292</v>
      </c>
      <c r="H867">
        <v>9.3367791982102599E-2</v>
      </c>
      <c r="I867">
        <v>8.5100600684238206E-2</v>
      </c>
      <c r="J867">
        <v>9.6794485867362098E-2</v>
      </c>
      <c r="K867">
        <v>8.1746576726956705E-2</v>
      </c>
      <c r="L867">
        <v>1911.187953916</v>
      </c>
      <c r="M867">
        <v>36.8962823206721</v>
      </c>
      <c r="N867">
        <v>52.094074290507599</v>
      </c>
      <c r="O867">
        <v>51.647471215945103</v>
      </c>
      <c r="P867">
        <v>-0.16175224311244901</v>
      </c>
      <c r="Q867">
        <v>9.43184624229748E-2</v>
      </c>
      <c r="R867">
        <v>0.99796587499830602</v>
      </c>
      <c r="S867" t="s">
        <v>7319</v>
      </c>
      <c r="T867" t="s">
        <v>12902</v>
      </c>
      <c r="U867" t="s">
        <v>12902</v>
      </c>
      <c r="V867" t="s">
        <v>12902</v>
      </c>
      <c r="W867" t="s">
        <v>13755</v>
      </c>
      <c r="X867">
        <v>23</v>
      </c>
      <c r="Y867" t="s">
        <v>20146</v>
      </c>
      <c r="Z867" t="s">
        <v>26442</v>
      </c>
      <c r="AA867">
        <v>0.45433402420796393</v>
      </c>
      <c r="AB867" t="str">
        <f>HYPERLINK("Melting_Curves/meltCurve_H0YDU8_PPP5C.pdf", "Melting_Curves/meltCurve_H0YDU8_PPP5C.pdf")</f>
        <v>Melting_Curves/meltCurve_H0YDU8_PPP5C.pdf</v>
      </c>
    </row>
    <row r="868" spans="1:28" x14ac:dyDescent="0.25">
      <c r="A868" t="s">
        <v>872</v>
      </c>
      <c r="B868">
        <v>0.99673306730245903</v>
      </c>
      <c r="C868">
        <v>0.94336515490297101</v>
      </c>
      <c r="D868">
        <v>0.89765571845556702</v>
      </c>
      <c r="E868">
        <v>0.88169709263005103</v>
      </c>
      <c r="F868">
        <v>0.62356651677697605</v>
      </c>
      <c r="G868">
        <v>0.44209374799517798</v>
      </c>
      <c r="H868">
        <v>0.29259810410489101</v>
      </c>
      <c r="I868">
        <v>0.24168369182872801</v>
      </c>
      <c r="J868">
        <v>0.28990679867241098</v>
      </c>
      <c r="K868">
        <v>0.21198208294266399</v>
      </c>
      <c r="L868">
        <v>888.05587144994797</v>
      </c>
      <c r="M868">
        <v>16.553920987322201</v>
      </c>
      <c r="N868">
        <v>55.501237595860403</v>
      </c>
      <c r="O868">
        <v>52.881722566932602</v>
      </c>
      <c r="P868">
        <v>-6.16359013325418E-2</v>
      </c>
      <c r="Q868">
        <v>0.21246718158523301</v>
      </c>
      <c r="R868">
        <v>0.98866115834925306</v>
      </c>
      <c r="S868" t="s">
        <v>7320</v>
      </c>
      <c r="T868" t="s">
        <v>12902</v>
      </c>
      <c r="U868" t="s">
        <v>12902</v>
      </c>
      <c r="V868" t="s">
        <v>12902</v>
      </c>
      <c r="W868" t="s">
        <v>13756</v>
      </c>
      <c r="X868">
        <v>1</v>
      </c>
      <c r="Y868" t="s">
        <v>20147</v>
      </c>
      <c r="Z868" t="s">
        <v>26443</v>
      </c>
      <c r="AA868">
        <v>0.58508654033217222</v>
      </c>
      <c r="AB868" t="str">
        <f>HYPERLINK("Melting_Curves/meltCurve_H0YEA7_GNPTG.pdf", "Melting_Curves/meltCurve_H0YEA7_GNPTG.pdf")</f>
        <v>Melting_Curves/meltCurve_H0YEA7_GNPTG.pdf</v>
      </c>
    </row>
    <row r="869" spans="1:28" x14ac:dyDescent="0.25">
      <c r="A869" t="s">
        <v>873</v>
      </c>
      <c r="B869">
        <v>0.99673306730245903</v>
      </c>
      <c r="C869">
        <v>0.976898258455419</v>
      </c>
      <c r="D869">
        <v>1.06024720373823</v>
      </c>
      <c r="E869">
        <v>1.2086133487679001</v>
      </c>
      <c r="F869">
        <v>1.10033258146247</v>
      </c>
      <c r="G869">
        <v>1.05556151313916</v>
      </c>
      <c r="H869">
        <v>0.99513540331843398</v>
      </c>
      <c r="I869">
        <v>0.89466496650149396</v>
      </c>
      <c r="J869">
        <v>0.85229442406240696</v>
      </c>
      <c r="K869">
        <v>0.47471011306278199</v>
      </c>
      <c r="L869">
        <v>2532.20701237307</v>
      </c>
      <c r="M869">
        <v>36.2323959691822</v>
      </c>
      <c r="N869">
        <v>69.887948889491895</v>
      </c>
      <c r="O869">
        <v>69.676074018301193</v>
      </c>
      <c r="P869">
        <v>-0.13000343804686201</v>
      </c>
      <c r="Q869">
        <v>0</v>
      </c>
      <c r="R869">
        <v>0.81074275070067003</v>
      </c>
      <c r="S869" t="s">
        <v>7321</v>
      </c>
      <c r="T869" t="s">
        <v>12902</v>
      </c>
      <c r="U869" t="s">
        <v>12902</v>
      </c>
      <c r="V869" t="s">
        <v>12902</v>
      </c>
      <c r="W869" t="s">
        <v>13757</v>
      </c>
      <c r="X869">
        <v>8</v>
      </c>
      <c r="Y869" t="s">
        <v>20148</v>
      </c>
      <c r="Z869" t="s">
        <v>26444</v>
      </c>
      <c r="AA869">
        <v>0.95621948769916354</v>
      </c>
      <c r="AB869" t="str">
        <f>HYPERLINK("Melting_Curves/meltCurve_H0YEB6_SSSCA1.pdf", "Melting_Curves/meltCurve_H0YEB6_SSSCA1.pdf")</f>
        <v>Melting_Curves/meltCurve_H0YEB6_SSSCA1.pdf</v>
      </c>
    </row>
    <row r="870" spans="1:28" x14ac:dyDescent="0.25">
      <c r="A870" t="s">
        <v>874</v>
      </c>
      <c r="B870">
        <v>0.99673306730245903</v>
      </c>
      <c r="C870">
        <v>0.86619100007766903</v>
      </c>
      <c r="D870">
        <v>0.64152712134818701</v>
      </c>
      <c r="E870">
        <v>0.40364914585652101</v>
      </c>
      <c r="F870">
        <v>0.20616924356188801</v>
      </c>
      <c r="G870">
        <v>0.12579381421542901</v>
      </c>
      <c r="H870">
        <v>7.1315956542950407E-2</v>
      </c>
      <c r="I870">
        <v>5.7643378343898502E-2</v>
      </c>
      <c r="J870">
        <v>6.5745170455648594E-2</v>
      </c>
      <c r="K870">
        <v>7.0507197824103196E-2</v>
      </c>
      <c r="L870">
        <v>765.91637858110698</v>
      </c>
      <c r="M870">
        <v>16.050923346155901</v>
      </c>
      <c r="N870">
        <v>48.058455600139702</v>
      </c>
      <c r="O870">
        <v>46.9956501843211</v>
      </c>
      <c r="P870">
        <v>-8.0801469293721798E-2</v>
      </c>
      <c r="Q870">
        <v>5.3755755566963E-2</v>
      </c>
      <c r="R870">
        <v>0.99773115199220097</v>
      </c>
      <c r="S870" t="s">
        <v>7322</v>
      </c>
      <c r="T870" t="s">
        <v>12902</v>
      </c>
      <c r="U870" t="s">
        <v>12902</v>
      </c>
      <c r="V870" t="s">
        <v>12902</v>
      </c>
      <c r="W870" t="s">
        <v>13758</v>
      </c>
      <c r="X870">
        <v>6</v>
      </c>
      <c r="Y870" t="s">
        <v>20149</v>
      </c>
      <c r="Z870" t="s">
        <v>26445</v>
      </c>
      <c r="AA870">
        <v>0.31870908621472183</v>
      </c>
      <c r="AB870" t="str">
        <f>HYPERLINK("Melting_Curves/meltCurve_H0YEF3_RNASEH2C.pdf", "Melting_Curves/meltCurve_H0YEF3_RNASEH2C.pdf")</f>
        <v>Melting_Curves/meltCurve_H0YEF3_RNASEH2C.pdf</v>
      </c>
    </row>
    <row r="871" spans="1:28" x14ac:dyDescent="0.25">
      <c r="A871" t="s">
        <v>875</v>
      </c>
      <c r="B871">
        <v>0.99673306730245903</v>
      </c>
      <c r="C871">
        <v>0.934769415956893</v>
      </c>
      <c r="D871">
        <v>0.92336199384362905</v>
      </c>
      <c r="E871">
        <v>0.62473481416667997</v>
      </c>
      <c r="F871">
        <v>0.38139709065490801</v>
      </c>
      <c r="G871">
        <v>0.31305187506281601</v>
      </c>
      <c r="H871">
        <v>0.20040637344378601</v>
      </c>
      <c r="I871">
        <v>0.24062572747257899</v>
      </c>
      <c r="J871">
        <v>0.239496416914386</v>
      </c>
      <c r="K871">
        <v>0.198143082359479</v>
      </c>
      <c r="L871">
        <v>1049.72152888443</v>
      </c>
      <c r="M871">
        <v>21.011778896394901</v>
      </c>
      <c r="N871">
        <v>51.362471665741801</v>
      </c>
      <c r="O871">
        <v>49.512803401783799</v>
      </c>
      <c r="P871">
        <v>-8.2920097873582094E-2</v>
      </c>
      <c r="Q871">
        <v>0.218439032651353</v>
      </c>
      <c r="R871">
        <v>0.99321580905870299</v>
      </c>
      <c r="S871" t="s">
        <v>7323</v>
      </c>
      <c r="T871" t="s">
        <v>12902</v>
      </c>
      <c r="U871" t="s">
        <v>12902</v>
      </c>
      <c r="V871" t="s">
        <v>12902</v>
      </c>
      <c r="W871" t="s">
        <v>13759</v>
      </c>
      <c r="X871">
        <v>1</v>
      </c>
      <c r="Y871" t="s">
        <v>20150</v>
      </c>
      <c r="Z871" t="s">
        <v>26446</v>
      </c>
      <c r="AA871">
        <v>0.48776096433190969</v>
      </c>
      <c r="AB871" t="str">
        <f>HYPERLINK("Melting_Curves/meltCurve_H0YEI0_RASSF7.pdf", "Melting_Curves/meltCurve_H0YEI0_RASSF7.pdf")</f>
        <v>Melting_Curves/meltCurve_H0YEI0_RASSF7.pdf</v>
      </c>
    </row>
    <row r="872" spans="1:28" x14ac:dyDescent="0.25">
      <c r="A872" t="s">
        <v>876</v>
      </c>
      <c r="B872">
        <v>0.99673306730245903</v>
      </c>
      <c r="C872">
        <v>0.80131628438506897</v>
      </c>
      <c r="D872">
        <v>0.23451679202706099</v>
      </c>
      <c r="E872">
        <v>0.38823010997160301</v>
      </c>
      <c r="F872">
        <v>0.22030717881240899</v>
      </c>
      <c r="G872">
        <v>0.150878595970141</v>
      </c>
      <c r="H872">
        <v>6.3770339067817997E-2</v>
      </c>
      <c r="I872">
        <v>3.4958224065981897E-2</v>
      </c>
      <c r="J872">
        <v>2.2598193836324498E-2</v>
      </c>
      <c r="K872">
        <v>2.3521577012309301E-2</v>
      </c>
      <c r="L872">
        <v>797.34461299978398</v>
      </c>
      <c r="M872">
        <v>17.725443306405399</v>
      </c>
      <c r="N872">
        <v>45.403463757265797</v>
      </c>
      <c r="O872">
        <v>44.422234689640703</v>
      </c>
      <c r="P872">
        <v>-9.2210313926954904E-2</v>
      </c>
      <c r="Q872">
        <v>7.5684954928664394E-2</v>
      </c>
      <c r="R872">
        <v>0.90041779632123797</v>
      </c>
      <c r="S872" t="s">
        <v>7324</v>
      </c>
      <c r="T872" t="s">
        <v>12902</v>
      </c>
      <c r="U872" t="s">
        <v>12902</v>
      </c>
      <c r="V872" t="s">
        <v>12902</v>
      </c>
      <c r="W872" t="s">
        <v>13760</v>
      </c>
      <c r="X872">
        <v>1</v>
      </c>
      <c r="Y872" t="s">
        <v>20151</v>
      </c>
      <c r="Z872" t="s">
        <v>26447</v>
      </c>
      <c r="AA872">
        <v>0.2498930495350071</v>
      </c>
      <c r="AB872" t="str">
        <f>HYPERLINK("Melting_Curves/meltCurve_H0YEM6_PELI3.pdf", "Melting_Curves/meltCurve_H0YEM6_PELI3.pdf")</f>
        <v>Melting_Curves/meltCurve_H0YEM6_PELI3.pdf</v>
      </c>
    </row>
    <row r="873" spans="1:28" x14ac:dyDescent="0.25">
      <c r="A873" t="s">
        <v>877</v>
      </c>
      <c r="B873">
        <v>0.99673306730245903</v>
      </c>
      <c r="C873">
        <v>1.0254642984723199</v>
      </c>
      <c r="D873">
        <v>0.97076710498430596</v>
      </c>
      <c r="E873">
        <v>0.84402144996650996</v>
      </c>
      <c r="F873">
        <v>0.92026237037325498</v>
      </c>
      <c r="G873">
        <v>0.57246601146924903</v>
      </c>
      <c r="H873">
        <v>0.37079303187784901</v>
      </c>
      <c r="I873">
        <v>0.28779335928690503</v>
      </c>
      <c r="J873">
        <v>0.1645749957239</v>
      </c>
      <c r="K873">
        <v>0.118925391120762</v>
      </c>
      <c r="L873">
        <v>874.29648566845697</v>
      </c>
      <c r="M873">
        <v>15.001663097138</v>
      </c>
      <c r="N873">
        <v>58.7453887317957</v>
      </c>
      <c r="O873">
        <v>57.273786949814401</v>
      </c>
      <c r="P873">
        <v>-6.1819468441913702E-2</v>
      </c>
      <c r="Q873">
        <v>5.6030646655659502E-2</v>
      </c>
      <c r="R873">
        <v>0.98020721413496703</v>
      </c>
      <c r="S873" t="s">
        <v>7325</v>
      </c>
      <c r="T873" t="s">
        <v>12902</v>
      </c>
      <c r="U873" t="s">
        <v>12902</v>
      </c>
      <c r="V873" t="s">
        <v>12902</v>
      </c>
      <c r="W873" t="s">
        <v>13761</v>
      </c>
      <c r="X873">
        <v>4</v>
      </c>
      <c r="Y873" t="s">
        <v>20152</v>
      </c>
      <c r="Z873" t="s">
        <v>26448</v>
      </c>
      <c r="AA873">
        <v>0.64317871361978285</v>
      </c>
      <c r="AB873" t="str">
        <f>HYPERLINK("Melting_Curves/meltCurve_H0YEP5_SMPD1.pdf", "Melting_Curves/meltCurve_H0YEP5_SMPD1.pdf")</f>
        <v>Melting_Curves/meltCurve_H0YEP5_SMPD1.pdf</v>
      </c>
    </row>
    <row r="874" spans="1:28" x14ac:dyDescent="0.25">
      <c r="A874" t="s">
        <v>878</v>
      </c>
      <c r="B874">
        <v>0.99673306730245903</v>
      </c>
      <c r="C874">
        <v>0.97216712063162203</v>
      </c>
      <c r="D874">
        <v>0.956075931213764</v>
      </c>
      <c r="E874">
        <v>0.83652841646490705</v>
      </c>
      <c r="F874">
        <v>0.78259275236223602</v>
      </c>
      <c r="G874">
        <v>0.70757794711614297</v>
      </c>
      <c r="H874">
        <v>0.547030931424491</v>
      </c>
      <c r="I874">
        <v>0.730609180615309</v>
      </c>
      <c r="J874">
        <v>0.73142170321594302</v>
      </c>
      <c r="K874">
        <v>0.74671942976421202</v>
      </c>
      <c r="L874">
        <v>1074.8020024759101</v>
      </c>
      <c r="M874">
        <v>21.659780571325399</v>
      </c>
      <c r="O874">
        <v>49.204867956608702</v>
      </c>
      <c r="P874">
        <v>-3.3923617653606603E-2</v>
      </c>
      <c r="Q874">
        <v>0.69174815277615798</v>
      </c>
      <c r="R874">
        <v>0.83320495999432898</v>
      </c>
      <c r="S874" t="s">
        <v>7326</v>
      </c>
      <c r="T874" t="s">
        <v>12902</v>
      </c>
      <c r="U874" t="s">
        <v>12902</v>
      </c>
      <c r="V874" t="s">
        <v>12902</v>
      </c>
      <c r="W874" t="s">
        <v>13762</v>
      </c>
      <c r="X874">
        <v>13</v>
      </c>
      <c r="Y874" t="s">
        <v>20153</v>
      </c>
      <c r="Z874" t="s">
        <v>26449</v>
      </c>
      <c r="AA874">
        <v>0.79428180996722353</v>
      </c>
      <c r="AB874" t="str">
        <f>HYPERLINK("Melting_Curves/meltCurve_H0YGA7_CADM1.pdf", "Melting_Curves/meltCurve_H0YGA7_CADM1.pdf")</f>
        <v>Melting_Curves/meltCurve_H0YGA7_CADM1.pdf</v>
      </c>
    </row>
    <row r="875" spans="1:28" x14ac:dyDescent="0.25">
      <c r="A875" t="s">
        <v>879</v>
      </c>
      <c r="B875">
        <v>0.99673306730245903</v>
      </c>
      <c r="C875">
        <v>1.0240932729316901</v>
      </c>
      <c r="D875">
        <v>1.00516862917387</v>
      </c>
      <c r="E875">
        <v>0.96163488005172404</v>
      </c>
      <c r="F875">
        <v>0.86274109866987903</v>
      </c>
      <c r="G875">
        <v>0.80544388899740904</v>
      </c>
      <c r="H875">
        <v>0.64708559600926296</v>
      </c>
      <c r="I875">
        <v>0.85113358364982294</v>
      </c>
      <c r="J875">
        <v>1.04751100663107</v>
      </c>
      <c r="K875">
        <v>0.74289294634441205</v>
      </c>
      <c r="L875">
        <v>2144.1853996746599</v>
      </c>
      <c r="M875">
        <v>41.729941265369497</v>
      </c>
      <c r="O875">
        <v>51.264846479049702</v>
      </c>
      <c r="P875">
        <v>-3.6760586746879799E-2</v>
      </c>
      <c r="Q875">
        <v>0.819360161964936</v>
      </c>
      <c r="R875">
        <v>0.44770693726826599</v>
      </c>
      <c r="S875" t="s">
        <v>7327</v>
      </c>
      <c r="T875" t="s">
        <v>12902</v>
      </c>
      <c r="U875" t="s">
        <v>12902</v>
      </c>
      <c r="V875" t="s">
        <v>12902</v>
      </c>
      <c r="W875" t="s">
        <v>13763</v>
      </c>
      <c r="X875">
        <v>13</v>
      </c>
      <c r="Y875" t="s">
        <v>20154</v>
      </c>
      <c r="Z875" t="s">
        <v>26450</v>
      </c>
      <c r="AA875">
        <v>0.88848648778641592</v>
      </c>
      <c r="AB875" t="str">
        <f>HYPERLINK("Melting_Curves/meltCurve_H0YGR4_REXO2.pdf", "Melting_Curves/meltCurve_H0YGR4_REXO2.pdf")</f>
        <v>Melting_Curves/meltCurve_H0YGR4_REXO2.pdf</v>
      </c>
    </row>
    <row r="876" spans="1:28" x14ac:dyDescent="0.25">
      <c r="A876" t="s">
        <v>880</v>
      </c>
      <c r="B876">
        <v>0.99673306730245903</v>
      </c>
      <c r="C876">
        <v>0.998380295656492</v>
      </c>
      <c r="D876">
        <v>1.0670659247402501</v>
      </c>
      <c r="E876">
        <v>1.0342099037883301</v>
      </c>
      <c r="F876">
        <v>1.1113253438395501</v>
      </c>
      <c r="G876">
        <v>0.88318746032015505</v>
      </c>
      <c r="H876">
        <v>1.21619290811001</v>
      </c>
      <c r="I876">
        <v>1.2495428061232701</v>
      </c>
      <c r="J876">
        <v>1.73192219936113</v>
      </c>
      <c r="K876">
        <v>1.6375423525919901</v>
      </c>
      <c r="L876">
        <v>2661.9084200769098</v>
      </c>
      <c r="M876">
        <v>42.841799798649397</v>
      </c>
      <c r="O876">
        <v>61.998527260972203</v>
      </c>
      <c r="P876">
        <v>8.6376793520330106E-2</v>
      </c>
      <c r="Q876">
        <v>1.5</v>
      </c>
      <c r="R876">
        <v>0.79996143448627899</v>
      </c>
      <c r="S876" t="s">
        <v>7328</v>
      </c>
      <c r="T876" t="s">
        <v>12902</v>
      </c>
      <c r="U876" t="s">
        <v>12902</v>
      </c>
      <c r="V876" t="s">
        <v>12902</v>
      </c>
      <c r="W876" t="s">
        <v>13608</v>
      </c>
      <c r="X876">
        <v>14</v>
      </c>
      <c r="Z876" t="s">
        <v>26451</v>
      </c>
      <c r="AA876">
        <v>1.1295009948616019</v>
      </c>
      <c r="AB876" t="str">
        <f>HYPERLINK("Melting_Curves/meltCurve_H0YHG0_.pdf", "Melting_Curves/meltCurve_H0YHG0_.pdf")</f>
        <v>Melting_Curves/meltCurve_H0YHG0_.pdf</v>
      </c>
    </row>
    <row r="877" spans="1:28" x14ac:dyDescent="0.25">
      <c r="A877" t="s">
        <v>881</v>
      </c>
      <c r="B877">
        <v>0.99673306730245903</v>
      </c>
      <c r="C877">
        <v>0.83580337722815901</v>
      </c>
      <c r="D877">
        <v>0.62558919101617105</v>
      </c>
      <c r="E877">
        <v>0.33651667412716102</v>
      </c>
      <c r="F877">
        <v>0.25753855235406498</v>
      </c>
      <c r="G877">
        <v>0.16333499895782799</v>
      </c>
      <c r="H877">
        <v>0.105530747194376</v>
      </c>
      <c r="I877">
        <v>8.5137448203157801E-2</v>
      </c>
      <c r="J877">
        <v>6.86479716400515E-2</v>
      </c>
      <c r="K877">
        <v>6.02411937937447E-2</v>
      </c>
      <c r="L877">
        <v>727.584165611971</v>
      </c>
      <c r="M877">
        <v>15.4057308536424</v>
      </c>
      <c r="N877">
        <v>47.723359793231197</v>
      </c>
      <c r="O877">
        <v>46.453855798809997</v>
      </c>
      <c r="P877">
        <v>-7.6791445002547698E-2</v>
      </c>
      <c r="Q877">
        <v>7.3868565411821893E-2</v>
      </c>
      <c r="R877">
        <v>0.99324810921533702</v>
      </c>
      <c r="S877" t="s">
        <v>7329</v>
      </c>
      <c r="T877" t="s">
        <v>12902</v>
      </c>
      <c r="U877" t="s">
        <v>12902</v>
      </c>
      <c r="V877" t="s">
        <v>12902</v>
      </c>
      <c r="W877" t="s">
        <v>13764</v>
      </c>
      <c r="X877">
        <v>1</v>
      </c>
      <c r="Y877" t="s">
        <v>20155</v>
      </c>
      <c r="Z877" t="s">
        <v>26452</v>
      </c>
      <c r="AA877">
        <v>0.32050425459694493</v>
      </c>
      <c r="AB877" t="str">
        <f>HYPERLINK("Melting_Curves/meltCurve_H0YHQ9_ARHGAP23.pdf", "Melting_Curves/meltCurve_H0YHQ9_ARHGAP23.pdf")</f>
        <v>Melting_Curves/meltCurve_H0YHQ9_ARHGAP23.pdf</v>
      </c>
    </row>
    <row r="878" spans="1:28" x14ac:dyDescent="0.25">
      <c r="A878" t="s">
        <v>882</v>
      </c>
      <c r="B878">
        <v>0.99673306730245903</v>
      </c>
      <c r="C878">
        <v>1.01988702204781</v>
      </c>
      <c r="D878">
        <v>0.98223254760700796</v>
      </c>
      <c r="E878">
        <v>0.87949569034767505</v>
      </c>
      <c r="F878">
        <v>0.78204601376885396</v>
      </c>
      <c r="G878">
        <v>0.72140044106784795</v>
      </c>
      <c r="H878">
        <v>0.52474069956260005</v>
      </c>
      <c r="I878">
        <v>0.43118848983085201</v>
      </c>
      <c r="J878">
        <v>0.19593655496835799</v>
      </c>
      <c r="K878">
        <v>0.10302679866346399</v>
      </c>
      <c r="L878">
        <v>714.71949555211199</v>
      </c>
      <c r="M878">
        <v>11.7679148143442</v>
      </c>
      <c r="N878">
        <v>60.734591247800999</v>
      </c>
      <c r="O878">
        <v>59.060348257737303</v>
      </c>
      <c r="P878">
        <v>-4.9826046121823397E-2</v>
      </c>
      <c r="Q878">
        <v>0</v>
      </c>
      <c r="R878">
        <v>0.97793063144900605</v>
      </c>
      <c r="S878" t="s">
        <v>7330</v>
      </c>
      <c r="T878" t="s">
        <v>12902</v>
      </c>
      <c r="U878" t="s">
        <v>12902</v>
      </c>
      <c r="V878" t="s">
        <v>12902</v>
      </c>
      <c r="W878" t="s">
        <v>13765</v>
      </c>
      <c r="X878">
        <v>9</v>
      </c>
      <c r="Y878" t="s">
        <v>20156</v>
      </c>
      <c r="Z878" t="s">
        <v>26453</v>
      </c>
      <c r="AA878">
        <v>0.68822048263890523</v>
      </c>
      <c r="AB878" t="str">
        <f>HYPERLINK("Melting_Curves/meltCurve_H0YI09_METTL7A.pdf", "Melting_Curves/meltCurve_H0YI09_METTL7A.pdf")</f>
        <v>Melting_Curves/meltCurve_H0YI09_METTL7A.pdf</v>
      </c>
    </row>
    <row r="879" spans="1:28" x14ac:dyDescent="0.25">
      <c r="A879" t="s">
        <v>883</v>
      </c>
      <c r="B879">
        <v>0.99673306730245903</v>
      </c>
      <c r="C879">
        <v>1.00063328038615</v>
      </c>
      <c r="D879">
        <v>0.92867292939882295</v>
      </c>
      <c r="E879">
        <v>0.72654805647292897</v>
      </c>
      <c r="F879">
        <v>0.17950915838637399</v>
      </c>
      <c r="G879">
        <v>6.9774952676015703E-2</v>
      </c>
      <c r="H879">
        <v>3.1501487387376299E-2</v>
      </c>
      <c r="I879">
        <v>2.82744483494154E-2</v>
      </c>
      <c r="J879">
        <v>2.80794086098408E-2</v>
      </c>
      <c r="K879">
        <v>2.7826624902419699E-2</v>
      </c>
      <c r="L879">
        <v>1804.91808160921</v>
      </c>
      <c r="M879">
        <v>35.520413575174203</v>
      </c>
      <c r="N879">
        <v>50.9020977121789</v>
      </c>
      <c r="O879">
        <v>50.653299132198903</v>
      </c>
      <c r="P879">
        <v>-0.170060142520152</v>
      </c>
      <c r="Q879">
        <v>2.99574918197568E-2</v>
      </c>
      <c r="R879">
        <v>0.99831979893789202</v>
      </c>
      <c r="S879" t="s">
        <v>7331</v>
      </c>
      <c r="T879" t="s">
        <v>12902</v>
      </c>
      <c r="U879" t="s">
        <v>12902</v>
      </c>
      <c r="V879" t="s">
        <v>12902</v>
      </c>
      <c r="W879" t="s">
        <v>13766</v>
      </c>
      <c r="X879">
        <v>3</v>
      </c>
      <c r="Y879" t="s">
        <v>20157</v>
      </c>
      <c r="Z879" t="s">
        <v>26454</v>
      </c>
      <c r="AA879">
        <v>0.38393928154892643</v>
      </c>
      <c r="AB879" t="str">
        <f>HYPERLINK("Melting_Curves/meltCurve_H0YI20_OAS1.pdf", "Melting_Curves/meltCurve_H0YI20_OAS1.pdf")</f>
        <v>Melting_Curves/meltCurve_H0YI20_OAS1.pdf</v>
      </c>
    </row>
    <row r="880" spans="1:28" x14ac:dyDescent="0.25">
      <c r="A880" t="s">
        <v>884</v>
      </c>
      <c r="B880">
        <v>0.99673306730245903</v>
      </c>
      <c r="C880">
        <v>0.87678387174081296</v>
      </c>
      <c r="D880">
        <v>0.68140185202359405</v>
      </c>
      <c r="E880">
        <v>0.53132167725648605</v>
      </c>
      <c r="F880">
        <v>0.160202089489795</v>
      </c>
      <c r="G880">
        <v>0.126075001596584</v>
      </c>
      <c r="H880">
        <v>6.3815431271448897E-2</v>
      </c>
      <c r="I880">
        <v>4.1836771314758402E-2</v>
      </c>
      <c r="J880">
        <v>0</v>
      </c>
      <c r="K880">
        <v>4.7954411113818499E-2</v>
      </c>
      <c r="L880">
        <v>742.06366487746504</v>
      </c>
      <c r="M880">
        <v>15.1870045029716</v>
      </c>
      <c r="N880">
        <v>48.926465456244898</v>
      </c>
      <c r="O880">
        <v>48.038064992884301</v>
      </c>
      <c r="P880">
        <v>-7.8257950254290498E-2</v>
      </c>
      <c r="Q880">
        <v>9.94331841951877E-3</v>
      </c>
      <c r="R880">
        <v>0.98750425361858396</v>
      </c>
      <c r="S880" t="s">
        <v>7332</v>
      </c>
      <c r="T880" t="s">
        <v>12902</v>
      </c>
      <c r="U880" t="s">
        <v>12902</v>
      </c>
      <c r="V880" t="s">
        <v>12902</v>
      </c>
      <c r="W880" t="s">
        <v>13767</v>
      </c>
      <c r="X880">
        <v>2</v>
      </c>
      <c r="Y880" t="s">
        <v>20158</v>
      </c>
      <c r="Z880" t="s">
        <v>26455</v>
      </c>
      <c r="AA880">
        <v>0.32638949218741931</v>
      </c>
      <c r="AB880" t="str">
        <f>HYPERLINK("Melting_Curves/meltCurve_H0YIE9_FBXO21.pdf", "Melting_Curves/meltCurve_H0YIE9_FBXO21.pdf")</f>
        <v>Melting_Curves/meltCurve_H0YIE9_FBXO21.pdf</v>
      </c>
    </row>
    <row r="881" spans="1:28" x14ac:dyDescent="0.25">
      <c r="A881" t="s">
        <v>885</v>
      </c>
      <c r="B881">
        <v>0.99673306730245903</v>
      </c>
      <c r="C881">
        <v>0.978556078325032</v>
      </c>
      <c r="D881">
        <v>0.87646102325526998</v>
      </c>
      <c r="E881">
        <v>0.66176284182892997</v>
      </c>
      <c r="F881">
        <v>0.35175149634505098</v>
      </c>
      <c r="G881">
        <v>0.22491751024673101</v>
      </c>
      <c r="H881">
        <v>0.16448225873414399</v>
      </c>
      <c r="I881">
        <v>0.19664147418345501</v>
      </c>
      <c r="J881">
        <v>0.28677736533100301</v>
      </c>
      <c r="K881">
        <v>0.26059014687646798</v>
      </c>
      <c r="L881">
        <v>1238.04603235081</v>
      </c>
      <c r="M881">
        <v>24.8192655421574</v>
      </c>
      <c r="N881">
        <v>51.0600918995017</v>
      </c>
      <c r="O881">
        <v>49.562009509170203</v>
      </c>
      <c r="P881">
        <v>-9.7912119698692193E-2</v>
      </c>
      <c r="Q881">
        <v>0.21792139045527301</v>
      </c>
      <c r="R881">
        <v>0.98681724662514103</v>
      </c>
      <c r="S881" t="s">
        <v>7333</v>
      </c>
      <c r="T881" t="s">
        <v>12902</v>
      </c>
      <c r="U881" t="s">
        <v>12902</v>
      </c>
      <c r="V881" t="s">
        <v>12902</v>
      </c>
      <c r="W881" t="s">
        <v>13608</v>
      </c>
      <c r="X881">
        <v>7</v>
      </c>
      <c r="Z881" t="s">
        <v>26456</v>
      </c>
      <c r="AA881">
        <v>0.48263475727441918</v>
      </c>
      <c r="AB881" t="str">
        <f>HYPERLINK("Melting_Curves/meltCurve_H0YIV9_.pdf", "Melting_Curves/meltCurve_H0YIV9_.pdf")</f>
        <v>Melting_Curves/meltCurve_H0YIV9_.pdf</v>
      </c>
    </row>
    <row r="882" spans="1:28" x14ac:dyDescent="0.25">
      <c r="A882" t="s">
        <v>886</v>
      </c>
      <c r="B882">
        <v>0.99673306730245903</v>
      </c>
      <c r="C882">
        <v>0.91588871602506094</v>
      </c>
      <c r="D882">
        <v>0.68469314425730199</v>
      </c>
      <c r="E882">
        <v>0.52323806754468105</v>
      </c>
      <c r="F882">
        <v>0.417389967652884</v>
      </c>
      <c r="G882">
        <v>0.36391762739918199</v>
      </c>
      <c r="H882">
        <v>0.29977708851843898</v>
      </c>
      <c r="I882">
        <v>0.44406786975549001</v>
      </c>
      <c r="J882">
        <v>0.507125488757453</v>
      </c>
      <c r="K882">
        <v>0.45849081107804901</v>
      </c>
      <c r="L882">
        <v>1148.7780676092</v>
      </c>
      <c r="M882">
        <v>25.040849321930502</v>
      </c>
      <c r="N882">
        <v>49.362152702736601</v>
      </c>
      <c r="O882">
        <v>45.586609398413501</v>
      </c>
      <c r="P882">
        <v>-8.0378207166287699E-2</v>
      </c>
      <c r="Q882">
        <v>0.41469731473803501</v>
      </c>
      <c r="R882">
        <v>0.93983171207586902</v>
      </c>
      <c r="S882" t="s">
        <v>7334</v>
      </c>
      <c r="T882" t="s">
        <v>12902</v>
      </c>
      <c r="U882" t="s">
        <v>12902</v>
      </c>
      <c r="V882" t="s">
        <v>12902</v>
      </c>
      <c r="W882" t="s">
        <v>13768</v>
      </c>
      <c r="X882">
        <v>3</v>
      </c>
      <c r="Y882" t="s">
        <v>20159</v>
      </c>
      <c r="Z882" t="s">
        <v>26457</v>
      </c>
      <c r="AA882">
        <v>0.53476451198162112</v>
      </c>
      <c r="AB882" t="str">
        <f>HYPERLINK("Melting_Curves/meltCurve_H0YJ17_NGDN.pdf", "Melting_Curves/meltCurve_H0YJ17_NGDN.pdf")</f>
        <v>Melting_Curves/meltCurve_H0YJ17_NGDN.pdf</v>
      </c>
    </row>
    <row r="883" spans="1:28" x14ac:dyDescent="0.25">
      <c r="A883" t="s">
        <v>887</v>
      </c>
      <c r="B883">
        <v>0.99673306730245903</v>
      </c>
      <c r="C883">
        <v>0.97947323082096305</v>
      </c>
      <c r="D883">
        <v>0.91306428852586097</v>
      </c>
      <c r="E883">
        <v>0.71230600389755605</v>
      </c>
      <c r="F883">
        <v>0.505582847187102</v>
      </c>
      <c r="G883">
        <v>0.420111667230814</v>
      </c>
      <c r="H883">
        <v>0.236305854458043</v>
      </c>
      <c r="I883">
        <v>0.313366062935792</v>
      </c>
      <c r="J883">
        <v>0.54029420729311295</v>
      </c>
      <c r="K883">
        <v>0.639576238009822</v>
      </c>
      <c r="L883">
        <v>1385.16595604342</v>
      </c>
      <c r="M883">
        <v>28.033058256425502</v>
      </c>
      <c r="N883">
        <v>53.1037867580187</v>
      </c>
      <c r="O883">
        <v>49.162480285920203</v>
      </c>
      <c r="P883">
        <v>-8.1428907023417998E-2</v>
      </c>
      <c r="Q883">
        <v>0.42878684913999698</v>
      </c>
      <c r="R883">
        <v>0.83494829781590596</v>
      </c>
      <c r="S883" t="s">
        <v>7335</v>
      </c>
      <c r="T883" t="s">
        <v>12902</v>
      </c>
      <c r="U883" t="s">
        <v>12902</v>
      </c>
      <c r="V883" t="s">
        <v>12902</v>
      </c>
      <c r="W883" t="s">
        <v>13769</v>
      </c>
      <c r="X883">
        <v>1</v>
      </c>
      <c r="Y883" t="s">
        <v>20160</v>
      </c>
      <c r="Z883" t="s">
        <v>26458</v>
      </c>
      <c r="AA883">
        <v>0.6120125296891622</v>
      </c>
      <c r="AB883" t="str">
        <f>HYPERLINK("Melting_Curves/meltCurve_H0YJE3_CEP128.pdf", "Melting_Curves/meltCurve_H0YJE3_CEP128.pdf")</f>
        <v>Melting_Curves/meltCurve_H0YJE3_CEP128.pdf</v>
      </c>
    </row>
    <row r="884" spans="1:28" x14ac:dyDescent="0.25">
      <c r="A884" t="s">
        <v>888</v>
      </c>
      <c r="B884">
        <v>0.99673306730245903</v>
      </c>
      <c r="C884">
        <v>0.985865925032262</v>
      </c>
      <c r="D884">
        <v>0.97919204034325502</v>
      </c>
      <c r="E884">
        <v>1.06894649423581</v>
      </c>
      <c r="F884">
        <v>0.85646124326553397</v>
      </c>
      <c r="G884">
        <v>0.66720260668128695</v>
      </c>
      <c r="H884">
        <v>0.25312174145879102</v>
      </c>
      <c r="I884">
        <v>9.1197075771973404E-2</v>
      </c>
      <c r="J884">
        <v>6.0329930074910297E-2</v>
      </c>
      <c r="K884">
        <v>5.3230521069774203E-2</v>
      </c>
      <c r="L884">
        <v>1485.3395787049101</v>
      </c>
      <c r="M884">
        <v>25.6054474471205</v>
      </c>
      <c r="N884">
        <v>58.141303787515298</v>
      </c>
      <c r="O884">
        <v>57.658384504150497</v>
      </c>
      <c r="P884">
        <v>-0.107875377352268</v>
      </c>
      <c r="Q884">
        <v>2.8356152298818601E-2</v>
      </c>
      <c r="R884">
        <v>0.99329107101705105</v>
      </c>
      <c r="S884" t="s">
        <v>7336</v>
      </c>
      <c r="T884" t="s">
        <v>12902</v>
      </c>
      <c r="U884" t="s">
        <v>12902</v>
      </c>
      <c r="V884" t="s">
        <v>12902</v>
      </c>
      <c r="W884" t="s">
        <v>13770</v>
      </c>
      <c r="X884">
        <v>8</v>
      </c>
      <c r="Y884" t="s">
        <v>20161</v>
      </c>
      <c r="Z884" t="s">
        <v>26459</v>
      </c>
      <c r="AA884">
        <v>0.61979340218538248</v>
      </c>
      <c r="AB884" t="str">
        <f>HYPERLINK("Melting_Curves/meltCurve_H0YKD8_RPL28.pdf", "Melting_Curves/meltCurve_H0YKD8_RPL28.pdf")</f>
        <v>Melting_Curves/meltCurve_H0YKD8_RPL28.pdf</v>
      </c>
    </row>
    <row r="885" spans="1:28" x14ac:dyDescent="0.25">
      <c r="A885" t="s">
        <v>889</v>
      </c>
      <c r="B885">
        <v>0.99673306730245903</v>
      </c>
      <c r="C885">
        <v>0.87575601667476499</v>
      </c>
      <c r="D885">
        <v>0.93333868011462295</v>
      </c>
      <c r="E885">
        <v>0.831844411987813</v>
      </c>
      <c r="F885">
        <v>0.80127747649933101</v>
      </c>
      <c r="G885">
        <v>0.73628758562613805</v>
      </c>
      <c r="H885">
        <v>0.828669189492378</v>
      </c>
      <c r="I885">
        <v>1.1920089865977199</v>
      </c>
      <c r="J885">
        <v>1.39599570548175</v>
      </c>
      <c r="K885">
        <v>1.5131198909958701</v>
      </c>
      <c r="L885">
        <v>4882.0255861892601</v>
      </c>
      <c r="M885">
        <v>75.756453387106802</v>
      </c>
      <c r="O885">
        <v>64.398811539952504</v>
      </c>
      <c r="P885">
        <v>0.138149509024908</v>
      </c>
      <c r="Q885">
        <v>1.4697508775179899</v>
      </c>
      <c r="R885">
        <v>0.69922838383721797</v>
      </c>
      <c r="S885" t="s">
        <v>7337</v>
      </c>
      <c r="T885" t="s">
        <v>12902</v>
      </c>
      <c r="U885" t="s">
        <v>12902</v>
      </c>
      <c r="V885" t="s">
        <v>12902</v>
      </c>
      <c r="W885" t="s">
        <v>13771</v>
      </c>
      <c r="X885">
        <v>1</v>
      </c>
      <c r="Y885" t="s">
        <v>20162</v>
      </c>
      <c r="Z885" t="s">
        <v>26460</v>
      </c>
      <c r="AA885">
        <v>1.0864623763184149</v>
      </c>
      <c r="AB885" t="str">
        <f>HYPERLINK("Melting_Curves/meltCurve_H0YKJ9_TSPAN3.pdf", "Melting_Curves/meltCurve_H0YKJ9_TSPAN3.pdf")</f>
        <v>Melting_Curves/meltCurve_H0YKJ9_TSPAN3.pdf</v>
      </c>
    </row>
    <row r="886" spans="1:28" x14ac:dyDescent="0.25">
      <c r="A886" t="s">
        <v>890</v>
      </c>
      <c r="B886">
        <v>0.99673306730245903</v>
      </c>
      <c r="C886">
        <v>1.00526340892701</v>
      </c>
      <c r="D886">
        <v>1.27619646198931</v>
      </c>
      <c r="E886">
        <v>1.3910770186983299</v>
      </c>
      <c r="F886">
        <v>1.19198230853674</v>
      </c>
      <c r="G886">
        <v>0.39894177479308401</v>
      </c>
      <c r="H886">
        <v>0.22986406456797501</v>
      </c>
      <c r="I886">
        <v>0.1759757491575</v>
      </c>
      <c r="J886">
        <v>0.18858472098842199</v>
      </c>
      <c r="K886">
        <v>0.15100899882522401</v>
      </c>
      <c r="L886">
        <v>14140.964557707401</v>
      </c>
      <c r="M886">
        <v>250</v>
      </c>
      <c r="N886">
        <v>56.669571769812897</v>
      </c>
      <c r="O886">
        <v>56.560238535306098</v>
      </c>
      <c r="P886">
        <v>-0.89908748928592497</v>
      </c>
      <c r="Q886">
        <v>0.186358355457137</v>
      </c>
      <c r="R886">
        <v>0.88691505430073403</v>
      </c>
      <c r="S886" t="s">
        <v>7338</v>
      </c>
      <c r="T886" t="s">
        <v>12902</v>
      </c>
      <c r="U886" t="s">
        <v>12902</v>
      </c>
      <c r="V886" t="s">
        <v>12902</v>
      </c>
      <c r="W886" t="s">
        <v>13772</v>
      </c>
      <c r="X886">
        <v>35</v>
      </c>
      <c r="Y886" t="s">
        <v>20163</v>
      </c>
      <c r="Z886" t="s">
        <v>26461</v>
      </c>
      <c r="AA886">
        <v>0.63567395296159346</v>
      </c>
      <c r="AB886" t="str">
        <f>HYPERLINK("Melting_Curves/meltCurve_H0YL33_ANXA2.pdf", "Melting_Curves/meltCurve_H0YL33_ANXA2.pdf")</f>
        <v>Melting_Curves/meltCurve_H0YL33_ANXA2.pdf</v>
      </c>
    </row>
    <row r="887" spans="1:28" x14ac:dyDescent="0.25">
      <c r="A887" t="s">
        <v>891</v>
      </c>
      <c r="B887">
        <v>0.99673306730245903</v>
      </c>
      <c r="C887">
        <v>0.93850377839343702</v>
      </c>
      <c r="D887">
        <v>0.99840041550691105</v>
      </c>
      <c r="E887">
        <v>0.99608468807103401</v>
      </c>
      <c r="F887">
        <v>0.73888095404911303</v>
      </c>
      <c r="G887">
        <v>0.48068319202688098</v>
      </c>
      <c r="H887">
        <v>0.19880814314546499</v>
      </c>
      <c r="I887">
        <v>0.159983131518288</v>
      </c>
      <c r="J887">
        <v>0.182255811479964</v>
      </c>
      <c r="K887">
        <v>0.17228534493359099</v>
      </c>
      <c r="L887">
        <v>1399.1788902250801</v>
      </c>
      <c r="M887">
        <v>25.284219352659601</v>
      </c>
      <c r="N887">
        <v>56.151601153471802</v>
      </c>
      <c r="O887">
        <v>54.995354690178402</v>
      </c>
      <c r="P887">
        <v>-9.7311551305125601E-2</v>
      </c>
      <c r="Q887">
        <v>0.15336690473322001</v>
      </c>
      <c r="R887">
        <v>0.99243606945240803</v>
      </c>
      <c r="S887" t="s">
        <v>7339</v>
      </c>
      <c r="T887" t="s">
        <v>12902</v>
      </c>
      <c r="U887" t="s">
        <v>12902</v>
      </c>
      <c r="V887" t="s">
        <v>12902</v>
      </c>
      <c r="W887" t="s">
        <v>13773</v>
      </c>
      <c r="X887">
        <v>18</v>
      </c>
      <c r="Y887" t="s">
        <v>20164</v>
      </c>
      <c r="Z887" t="s">
        <v>26462</v>
      </c>
      <c r="AA887">
        <v>0.59389160710048283</v>
      </c>
      <c r="AB887" t="str">
        <f>HYPERLINK("Melting_Curves/meltCurve_H0YL70_TLE3.pdf", "Melting_Curves/meltCurve_H0YL70_TLE3.pdf")</f>
        <v>Melting_Curves/meltCurve_H0YL70_TLE3.pdf</v>
      </c>
    </row>
    <row r="888" spans="1:28" x14ac:dyDescent="0.25">
      <c r="A888" t="s">
        <v>892</v>
      </c>
      <c r="B888">
        <v>0.99673306730245903</v>
      </c>
      <c r="C888">
        <v>0.95550092272556697</v>
      </c>
      <c r="D888">
        <v>0.74341996688460499</v>
      </c>
      <c r="E888">
        <v>0.48895155746519398</v>
      </c>
      <c r="F888">
        <v>0.366098753698818</v>
      </c>
      <c r="G888">
        <v>0.29979041692187502</v>
      </c>
      <c r="H888">
        <v>0.261281798858648</v>
      </c>
      <c r="I888">
        <v>0.19905083216300701</v>
      </c>
      <c r="J888">
        <v>6.9400762959638304E-2</v>
      </c>
      <c r="K888">
        <v>5.8476090782732401E-2</v>
      </c>
      <c r="L888">
        <v>606.70652427525999</v>
      </c>
      <c r="M888">
        <v>12.1937454537387</v>
      </c>
      <c r="N888">
        <v>50.617826927148002</v>
      </c>
      <c r="O888">
        <v>48.474091292695697</v>
      </c>
      <c r="P888">
        <v>-5.70030301668598E-2</v>
      </c>
      <c r="Q888">
        <v>9.37830330266399E-2</v>
      </c>
      <c r="R888">
        <v>0.97293241182068602</v>
      </c>
      <c r="S888" t="s">
        <v>7340</v>
      </c>
      <c r="T888" t="s">
        <v>12902</v>
      </c>
      <c r="U888" t="s">
        <v>12902</v>
      </c>
      <c r="V888" t="s">
        <v>12902</v>
      </c>
      <c r="W888" t="s">
        <v>13774</v>
      </c>
      <c r="X888">
        <v>7</v>
      </c>
      <c r="Y888" t="s">
        <v>20165</v>
      </c>
      <c r="Z888" t="s">
        <v>26463</v>
      </c>
      <c r="AA888">
        <v>0.41949157734169679</v>
      </c>
      <c r="AB888" t="str">
        <f>HYPERLINK("Melting_Curves/meltCurve_H0YLB5_POU2F1.pdf", "Melting_Curves/meltCurve_H0YLB5_POU2F1.pdf")</f>
        <v>Melting_Curves/meltCurve_H0YLB5_POU2F1.pdf</v>
      </c>
    </row>
    <row r="889" spans="1:28" x14ac:dyDescent="0.25">
      <c r="A889" t="s">
        <v>893</v>
      </c>
      <c r="B889">
        <v>0.99673306730245903</v>
      </c>
      <c r="C889">
        <v>0.77365412251546295</v>
      </c>
      <c r="D889">
        <v>0.55959946310389597</v>
      </c>
      <c r="E889">
        <v>0.50364522631938102</v>
      </c>
      <c r="F889">
        <v>0.388555726904385</v>
      </c>
      <c r="G889">
        <v>0.242778409957671</v>
      </c>
      <c r="H889">
        <v>0.121090682430452</v>
      </c>
      <c r="I889">
        <v>0.109935074231943</v>
      </c>
      <c r="J889">
        <v>3.9050724457700699E-2</v>
      </c>
      <c r="K889">
        <v>4.6806743985111497E-2</v>
      </c>
      <c r="L889">
        <v>458.56047660614303</v>
      </c>
      <c r="M889">
        <v>9.3211629006764607</v>
      </c>
      <c r="N889">
        <v>49.195629558663597</v>
      </c>
      <c r="O889">
        <v>47.090474954357397</v>
      </c>
      <c r="P889">
        <v>-4.9516841699616398E-2</v>
      </c>
      <c r="Q889">
        <v>0</v>
      </c>
      <c r="R889">
        <v>0.97255693901768603</v>
      </c>
      <c r="S889" t="s">
        <v>7341</v>
      </c>
      <c r="T889" t="s">
        <v>12902</v>
      </c>
      <c r="U889" t="s">
        <v>12902</v>
      </c>
      <c r="V889" t="s">
        <v>12902</v>
      </c>
      <c r="W889" t="s">
        <v>13775</v>
      </c>
      <c r="X889">
        <v>2</v>
      </c>
      <c r="Y889" t="s">
        <v>20166</v>
      </c>
      <c r="Z889" t="s">
        <v>26464</v>
      </c>
      <c r="AA889">
        <v>0.35974485697092601</v>
      </c>
      <c r="AB889" t="str">
        <f>HYPERLINK("Melting_Curves/meltCurve_H0YLX2_RFX7.pdf", "Melting_Curves/meltCurve_H0YLX2_RFX7.pdf")</f>
        <v>Melting_Curves/meltCurve_H0YLX2_RFX7.pdf</v>
      </c>
    </row>
    <row r="890" spans="1:28" x14ac:dyDescent="0.25">
      <c r="A890" t="s">
        <v>894</v>
      </c>
      <c r="B890">
        <v>0.99673306730245903</v>
      </c>
      <c r="C890">
        <v>0.96047530689342597</v>
      </c>
      <c r="D890">
        <v>1.06977547765817</v>
      </c>
      <c r="E890">
        <v>1.2093416659040399</v>
      </c>
      <c r="F890">
        <v>1.1807470109263201</v>
      </c>
      <c r="G890">
        <v>1.2133593371672999</v>
      </c>
      <c r="H890">
        <v>1.17414814897899</v>
      </c>
      <c r="I890">
        <v>1.3196918792466199</v>
      </c>
      <c r="J890">
        <v>1.4566573513729</v>
      </c>
      <c r="K890">
        <v>0.88504311874059105</v>
      </c>
      <c r="L890">
        <v>11530.629500766499</v>
      </c>
      <c r="M890">
        <v>250</v>
      </c>
      <c r="O890">
        <v>46.119568096800897</v>
      </c>
      <c r="P890">
        <v>0.27858266584994801</v>
      </c>
      <c r="Q890">
        <v>1.20556978815427</v>
      </c>
      <c r="R890">
        <v>0.32025287019085502</v>
      </c>
      <c r="S890" t="s">
        <v>7342</v>
      </c>
      <c r="T890" t="s">
        <v>12902</v>
      </c>
      <c r="U890" t="s">
        <v>12902</v>
      </c>
      <c r="V890" t="s">
        <v>12902</v>
      </c>
      <c r="W890" t="s">
        <v>13776</v>
      </c>
      <c r="X890">
        <v>13</v>
      </c>
      <c r="Y890" t="s">
        <v>20167</v>
      </c>
      <c r="Z890" t="s">
        <v>26465</v>
      </c>
      <c r="AA890">
        <v>1.163599657489373</v>
      </c>
      <c r="AB890" t="str">
        <f>HYPERLINK("Melting_Curves/meltCurve_H0YMB3_GMPR2.pdf", "Melting_Curves/meltCurve_H0YMB3_GMPR2.pdf")</f>
        <v>Melting_Curves/meltCurve_H0YMB3_GMPR2.pdf</v>
      </c>
    </row>
    <row r="891" spans="1:28" x14ac:dyDescent="0.25">
      <c r="A891" t="s">
        <v>895</v>
      </c>
      <c r="B891">
        <v>0.99673306730245903</v>
      </c>
      <c r="C891">
        <v>0.96705298598244305</v>
      </c>
      <c r="D891">
        <v>0.77838065026346503</v>
      </c>
      <c r="E891">
        <v>0.42703159348627401</v>
      </c>
      <c r="F891">
        <v>0.26736585943166902</v>
      </c>
      <c r="G891">
        <v>0.18414782858446399</v>
      </c>
      <c r="H891">
        <v>0.113138754161504</v>
      </c>
      <c r="I891">
        <v>0.14740118272248301</v>
      </c>
      <c r="J891">
        <v>0.12954592804016099</v>
      </c>
      <c r="K891">
        <v>0.13818770532359501</v>
      </c>
      <c r="L891">
        <v>1039.35008538639</v>
      </c>
      <c r="M891">
        <v>21.527987933834599</v>
      </c>
      <c r="N891">
        <v>48.995663333878198</v>
      </c>
      <c r="O891">
        <v>47.868227121815401</v>
      </c>
      <c r="P891">
        <v>-9.7250312343241996E-2</v>
      </c>
      <c r="Q891">
        <v>0.135063333001951</v>
      </c>
      <c r="R891">
        <v>0.99733291914779199</v>
      </c>
      <c r="S891" t="s">
        <v>7343</v>
      </c>
      <c r="T891" t="s">
        <v>12902</v>
      </c>
      <c r="U891" t="s">
        <v>12902</v>
      </c>
      <c r="V891" t="s">
        <v>12902</v>
      </c>
      <c r="W891" t="s">
        <v>13777</v>
      </c>
      <c r="X891">
        <v>2</v>
      </c>
      <c r="Y891" t="s">
        <v>20168</v>
      </c>
      <c r="Z891" t="s">
        <v>26466</v>
      </c>
      <c r="AA891">
        <v>0.38423247193028692</v>
      </c>
      <c r="AB891" t="str">
        <f>HYPERLINK("Melting_Curves/meltCurve_H0YME5_EIF2AK4.pdf", "Melting_Curves/meltCurve_H0YME5_EIF2AK4.pdf")</f>
        <v>Melting_Curves/meltCurve_H0YME5_EIF2AK4.pdf</v>
      </c>
    </row>
    <row r="892" spans="1:28" x14ac:dyDescent="0.25">
      <c r="A892" t="s">
        <v>896</v>
      </c>
      <c r="B892">
        <v>0.99673306730245903</v>
      </c>
      <c r="C892">
        <v>0.86261253045436903</v>
      </c>
      <c r="D892">
        <v>0.90465186224192695</v>
      </c>
      <c r="E892">
        <v>0.94154994826664296</v>
      </c>
      <c r="F892">
        <v>0.654522445332546</v>
      </c>
      <c r="G892">
        <v>0.143340392135127</v>
      </c>
      <c r="H892">
        <v>6.13739807864873E-2</v>
      </c>
      <c r="I892">
        <v>5.9971212283727503E-2</v>
      </c>
      <c r="J892">
        <v>7.2347031108146997E-2</v>
      </c>
      <c r="K892">
        <v>8.1297598996926901E-2</v>
      </c>
      <c r="L892">
        <v>2293.6798206182598</v>
      </c>
      <c r="M892">
        <v>42.618581466571399</v>
      </c>
      <c r="N892">
        <v>53.9942123942674</v>
      </c>
      <c r="O892">
        <v>53.700686578702197</v>
      </c>
      <c r="P892">
        <v>-0.18557904265616501</v>
      </c>
      <c r="Q892">
        <v>6.4660942744617894E-2</v>
      </c>
      <c r="R892">
        <v>0.98175548970966897</v>
      </c>
      <c r="S892" t="s">
        <v>7344</v>
      </c>
      <c r="T892" t="s">
        <v>12902</v>
      </c>
      <c r="U892" t="s">
        <v>12902</v>
      </c>
      <c r="V892" t="s">
        <v>12902</v>
      </c>
      <c r="W892" t="s">
        <v>13778</v>
      </c>
      <c r="X892">
        <v>3</v>
      </c>
      <c r="Y892" t="s">
        <v>20169</v>
      </c>
      <c r="Z892" t="s">
        <v>26467</v>
      </c>
      <c r="AA892">
        <v>0.49856127177431969</v>
      </c>
      <c r="AB892" t="str">
        <f>HYPERLINK("Melting_Curves/meltCurve_H0YMG7_ALDH1A2.pdf", "Melting_Curves/meltCurve_H0YMG7_ALDH1A2.pdf")</f>
        <v>Melting_Curves/meltCurve_H0YMG7_ALDH1A2.pdf</v>
      </c>
    </row>
    <row r="893" spans="1:28" x14ac:dyDescent="0.25">
      <c r="A893" t="s">
        <v>897</v>
      </c>
      <c r="B893">
        <v>0.99673306730245903</v>
      </c>
      <c r="C893">
        <v>0.82255350290414497</v>
      </c>
      <c r="D893">
        <v>0.67588114292314105</v>
      </c>
      <c r="E893">
        <v>0.45386571982071899</v>
      </c>
      <c r="F893">
        <v>0.214783559474097</v>
      </c>
      <c r="G893">
        <v>0.135403329676513</v>
      </c>
      <c r="H893">
        <v>8.6026044761978407E-2</v>
      </c>
      <c r="I893">
        <v>8.9425183789785007E-2</v>
      </c>
      <c r="J893">
        <v>0.122902591679818</v>
      </c>
      <c r="K893">
        <v>0.12325589962851601</v>
      </c>
      <c r="L893">
        <v>750.78696781342296</v>
      </c>
      <c r="M893">
        <v>15.720840481949701</v>
      </c>
      <c r="N893">
        <v>48.336085296655199</v>
      </c>
      <c r="O893">
        <v>47.004708273444898</v>
      </c>
      <c r="P893">
        <v>-7.6447497489322003E-2</v>
      </c>
      <c r="Q893">
        <v>8.57765290899387E-2</v>
      </c>
      <c r="R893">
        <v>0.99156579828612001</v>
      </c>
      <c r="S893" t="s">
        <v>7345</v>
      </c>
      <c r="T893" t="s">
        <v>12902</v>
      </c>
      <c r="U893" t="s">
        <v>12902</v>
      </c>
      <c r="V893" t="s">
        <v>12902</v>
      </c>
      <c r="W893" t="s">
        <v>13779</v>
      </c>
      <c r="X893">
        <v>7</v>
      </c>
      <c r="Y893" t="s">
        <v>20170</v>
      </c>
      <c r="Z893" t="s">
        <v>26468</v>
      </c>
      <c r="AA893">
        <v>0.34383155178185432</v>
      </c>
      <c r="AB893" t="str">
        <f>HYPERLINK("Melting_Curves/meltCurve_H0YMJ0_MORF4L1.pdf", "Melting_Curves/meltCurve_H0YMJ0_MORF4L1.pdf")</f>
        <v>Melting_Curves/meltCurve_H0YMJ0_MORF4L1.pdf</v>
      </c>
    </row>
    <row r="894" spans="1:28" x14ac:dyDescent="0.25">
      <c r="A894" t="s">
        <v>898</v>
      </c>
      <c r="B894">
        <v>0.99673306730245903</v>
      </c>
      <c r="C894">
        <v>0.88673687657923805</v>
      </c>
      <c r="D894">
        <v>0.80010026917653798</v>
      </c>
      <c r="E894">
        <v>0.56010349646592805</v>
      </c>
      <c r="F894">
        <v>0.30541961947058299</v>
      </c>
      <c r="G894">
        <v>0.189528909559738</v>
      </c>
      <c r="H894">
        <v>0.100437605132772</v>
      </c>
      <c r="I894">
        <v>0.112732338762442</v>
      </c>
      <c r="J894">
        <v>9.5025998165908704E-2</v>
      </c>
      <c r="K894">
        <v>8.3745586064462293E-2</v>
      </c>
      <c r="L894">
        <v>767.82603565351496</v>
      </c>
      <c r="M894">
        <v>15.4463176176373</v>
      </c>
      <c r="N894">
        <v>50.205427356129697</v>
      </c>
      <c r="O894">
        <v>48.898498532601401</v>
      </c>
      <c r="P894">
        <v>-7.3388578640749699E-2</v>
      </c>
      <c r="Q894">
        <v>7.0777066040482201E-2</v>
      </c>
      <c r="R894">
        <v>0.99735802587348099</v>
      </c>
      <c r="S894" t="s">
        <v>7346</v>
      </c>
      <c r="T894" t="s">
        <v>12902</v>
      </c>
      <c r="U894" t="s">
        <v>12902</v>
      </c>
      <c r="V894" t="s">
        <v>12902</v>
      </c>
      <c r="W894" t="s">
        <v>13780</v>
      </c>
      <c r="X894">
        <v>1</v>
      </c>
      <c r="Y894" t="s">
        <v>20171</v>
      </c>
      <c r="Z894" t="s">
        <v>26469</v>
      </c>
      <c r="AA894">
        <v>0.39272526343261999</v>
      </c>
      <c r="AB894" t="str">
        <f>HYPERLINK("Melting_Curves/meltCurve_H0YMJ1_ASB7.pdf", "Melting_Curves/meltCurve_H0YMJ1_ASB7.pdf")</f>
        <v>Melting_Curves/meltCurve_H0YMJ1_ASB7.pdf</v>
      </c>
    </row>
    <row r="895" spans="1:28" x14ac:dyDescent="0.25">
      <c r="A895" t="s">
        <v>899</v>
      </c>
      <c r="B895">
        <v>0.99673306730245903</v>
      </c>
      <c r="C895">
        <v>0.95722711616162803</v>
      </c>
      <c r="D895">
        <v>0.93912411898954795</v>
      </c>
      <c r="E895">
        <v>0.76788278829594503</v>
      </c>
      <c r="F895">
        <v>0.69842331876776698</v>
      </c>
      <c r="G895">
        <v>0.55481356262114601</v>
      </c>
      <c r="H895">
        <v>0.42972379597772797</v>
      </c>
      <c r="I895">
        <v>0.35702347149080998</v>
      </c>
      <c r="J895">
        <v>0.833133346776182</v>
      </c>
      <c r="K895">
        <v>0.61424778772849198</v>
      </c>
      <c r="L895">
        <v>1103.35679727658</v>
      </c>
      <c r="M895">
        <v>22.2094164148237</v>
      </c>
      <c r="O895">
        <v>49.282176371782001</v>
      </c>
      <c r="P895">
        <v>-4.9716521365149202E-2</v>
      </c>
      <c r="Q895">
        <v>0.55873028857913398</v>
      </c>
      <c r="R895">
        <v>0.68181999110244196</v>
      </c>
      <c r="S895" t="s">
        <v>7347</v>
      </c>
      <c r="T895" t="s">
        <v>12902</v>
      </c>
      <c r="U895" t="s">
        <v>12902</v>
      </c>
      <c r="V895" t="s">
        <v>12902</v>
      </c>
      <c r="W895" t="s">
        <v>13781</v>
      </c>
      <c r="X895">
        <v>3</v>
      </c>
      <c r="Y895" t="s">
        <v>20172</v>
      </c>
      <c r="Z895" t="s">
        <v>26470</v>
      </c>
      <c r="AA895">
        <v>0.70610092351885378</v>
      </c>
      <c r="AB895" t="str">
        <f>HYPERLINK("Melting_Curves/meltCurve_H0YN78_C15orf57.pdf", "Melting_Curves/meltCurve_H0YN78_C15orf57.pdf")</f>
        <v>Melting_Curves/meltCurve_H0YN78_C15orf57.pdf</v>
      </c>
    </row>
    <row r="896" spans="1:28" x14ac:dyDescent="0.25">
      <c r="A896" t="s">
        <v>900</v>
      </c>
      <c r="B896">
        <v>0.99673306730245903</v>
      </c>
      <c r="C896">
        <v>0.94952317428852795</v>
      </c>
      <c r="D896">
        <v>1.1131239997115201</v>
      </c>
      <c r="E896">
        <v>1.07630780345777</v>
      </c>
      <c r="F896">
        <v>1.18329162507508</v>
      </c>
      <c r="G896">
        <v>0.82199360530144905</v>
      </c>
      <c r="H896">
        <v>0.57475713319993005</v>
      </c>
      <c r="I896">
        <v>0.421763089581559</v>
      </c>
      <c r="J896">
        <v>0.384993762303521</v>
      </c>
      <c r="K896">
        <v>0.22345612428433301</v>
      </c>
      <c r="L896">
        <v>1635.5092159405201</v>
      </c>
      <c r="M896">
        <v>27.194702551945099</v>
      </c>
      <c r="N896">
        <v>62.014698939935499</v>
      </c>
      <c r="O896">
        <v>59.818348410298199</v>
      </c>
      <c r="P896">
        <v>-8.1812747241685593E-2</v>
      </c>
      <c r="Q896">
        <v>0.28017505669352699</v>
      </c>
      <c r="R896">
        <v>0.929022625749512</v>
      </c>
      <c r="S896" t="s">
        <v>7348</v>
      </c>
      <c r="T896" t="s">
        <v>12902</v>
      </c>
      <c r="U896" t="s">
        <v>12902</v>
      </c>
      <c r="V896" t="s">
        <v>12902</v>
      </c>
      <c r="W896" t="s">
        <v>13782</v>
      </c>
      <c r="X896">
        <v>1</v>
      </c>
      <c r="Y896" t="s">
        <v>20173</v>
      </c>
      <c r="Z896" t="s">
        <v>26471</v>
      </c>
      <c r="AA896">
        <v>0.76828249342182764</v>
      </c>
      <c r="AB896" t="str">
        <f>HYPERLINK("Melting_Curves/meltCurve_H0YNA7_SPPL2A.pdf", "Melting_Curves/meltCurve_H0YNA7_SPPL2A.pdf")</f>
        <v>Melting_Curves/meltCurve_H0YNA7_SPPL2A.pdf</v>
      </c>
    </row>
    <row r="897" spans="1:28" x14ac:dyDescent="0.25">
      <c r="A897" t="s">
        <v>901</v>
      </c>
      <c r="B897">
        <v>0.99673306730245903</v>
      </c>
      <c r="C897">
        <v>0.93764413309276096</v>
      </c>
      <c r="D897">
        <v>0.87241998203842097</v>
      </c>
      <c r="E897">
        <v>0.69640910210321905</v>
      </c>
      <c r="F897">
        <v>0.58718697072035497</v>
      </c>
      <c r="G897">
        <v>0.45158635919903201</v>
      </c>
      <c r="H897">
        <v>0.42753791700865901</v>
      </c>
      <c r="I897">
        <v>0.32122664715855398</v>
      </c>
      <c r="J897">
        <v>0.17245398549287899</v>
      </c>
      <c r="K897">
        <v>0.13521193975002799</v>
      </c>
      <c r="L897">
        <v>444.73477569335199</v>
      </c>
      <c r="M897">
        <v>7.9231134265659504</v>
      </c>
      <c r="N897">
        <v>56.131315018943504</v>
      </c>
      <c r="O897">
        <v>52.893417015256098</v>
      </c>
      <c r="P897">
        <v>-3.7492402155677597E-2</v>
      </c>
      <c r="Q897">
        <v>0</v>
      </c>
      <c r="R897">
        <v>0.98155302581076298</v>
      </c>
      <c r="S897" t="s">
        <v>7349</v>
      </c>
      <c r="T897" t="s">
        <v>12902</v>
      </c>
      <c r="U897" t="s">
        <v>12902</v>
      </c>
      <c r="V897" t="s">
        <v>12902</v>
      </c>
      <c r="W897" t="s">
        <v>13783</v>
      </c>
      <c r="X897">
        <v>5</v>
      </c>
      <c r="Y897" t="s">
        <v>20174</v>
      </c>
      <c r="Z897" t="s">
        <v>26472</v>
      </c>
      <c r="AA897">
        <v>0.55640099520767961</v>
      </c>
      <c r="AB897" t="str">
        <f>HYPERLINK("Melting_Curves/meltCurve_H0YNE9_RAB8B.pdf", "Melting_Curves/meltCurve_H0YNE9_RAB8B.pdf")</f>
        <v>Melting_Curves/meltCurve_H0YNE9_RAB8B.pdf</v>
      </c>
    </row>
    <row r="898" spans="1:28" x14ac:dyDescent="0.25">
      <c r="A898" t="s">
        <v>902</v>
      </c>
      <c r="B898">
        <v>0.99673306730245903</v>
      </c>
      <c r="C898">
        <v>0.89407553892085501</v>
      </c>
      <c r="D898">
        <v>0.82874243836039196</v>
      </c>
      <c r="E898">
        <v>0.64116341235585905</v>
      </c>
      <c r="F898">
        <v>0.36145352978746198</v>
      </c>
      <c r="G898">
        <v>0.165759941737781</v>
      </c>
      <c r="H898">
        <v>8.3691819971798198E-2</v>
      </c>
      <c r="I898">
        <v>7.9709159503080801E-2</v>
      </c>
      <c r="J898">
        <v>8.4788985569674999E-2</v>
      </c>
      <c r="K898">
        <v>7.7489866665486601E-2</v>
      </c>
      <c r="L898">
        <v>800.46418208930004</v>
      </c>
      <c r="M898">
        <v>15.7800003780705</v>
      </c>
      <c r="N898">
        <v>51.037406794069902</v>
      </c>
      <c r="O898">
        <v>49.932808186986499</v>
      </c>
      <c r="P898">
        <v>-7.5391874544254403E-2</v>
      </c>
      <c r="Q898">
        <v>4.5826061507497101E-2</v>
      </c>
      <c r="R898">
        <v>0.99473928868347405</v>
      </c>
      <c r="S898" t="s">
        <v>7350</v>
      </c>
      <c r="T898" t="s">
        <v>12902</v>
      </c>
      <c r="U898" t="s">
        <v>12902</v>
      </c>
      <c r="V898" t="s">
        <v>12902</v>
      </c>
      <c r="W898" t="s">
        <v>13784</v>
      </c>
      <c r="X898">
        <v>9</v>
      </c>
      <c r="Y898" t="s">
        <v>20175</v>
      </c>
      <c r="Z898" t="s">
        <v>26473</v>
      </c>
      <c r="AA898">
        <v>0.40738249862487902</v>
      </c>
      <c r="AB898" t="str">
        <f>HYPERLINK("Melting_Curves/meltCurve_H0YNG3_SEC11A.pdf", "Melting_Curves/meltCurve_H0YNG3_SEC11A.pdf")</f>
        <v>Melting_Curves/meltCurve_H0YNG3_SEC11A.pdf</v>
      </c>
    </row>
    <row r="899" spans="1:28" x14ac:dyDescent="0.25">
      <c r="A899" t="s">
        <v>903</v>
      </c>
      <c r="B899">
        <v>0.99673306730245903</v>
      </c>
      <c r="C899">
        <v>0.94167816602782295</v>
      </c>
      <c r="D899">
        <v>0.90505877252433098</v>
      </c>
      <c r="E899">
        <v>0.78365409402800801</v>
      </c>
      <c r="F899">
        <v>0.59536223159686097</v>
      </c>
      <c r="G899">
        <v>0.39951311130212502</v>
      </c>
      <c r="H899">
        <v>0.147109260621854</v>
      </c>
      <c r="I899">
        <v>5.7660476303177298E-2</v>
      </c>
      <c r="J899">
        <v>3.8712641314596397E-2</v>
      </c>
      <c r="K899">
        <v>3.2509173864190999E-2</v>
      </c>
      <c r="L899">
        <v>796.47955939578003</v>
      </c>
      <c r="M899">
        <v>14.645222238542599</v>
      </c>
      <c r="N899">
        <v>54.384941913257599</v>
      </c>
      <c r="O899">
        <v>53.401126144069003</v>
      </c>
      <c r="P899">
        <v>-6.8569936009878499E-2</v>
      </c>
      <c r="Q899">
        <v>0</v>
      </c>
      <c r="R899">
        <v>0.99409328172475897</v>
      </c>
      <c r="S899" t="s">
        <v>7351</v>
      </c>
      <c r="T899" t="s">
        <v>12902</v>
      </c>
      <c r="U899" t="s">
        <v>12902</v>
      </c>
      <c r="V899" t="s">
        <v>12902</v>
      </c>
      <c r="W899" t="s">
        <v>13785</v>
      </c>
      <c r="X899">
        <v>1</v>
      </c>
      <c r="Y899" t="s">
        <v>20176</v>
      </c>
      <c r="Z899" t="s">
        <v>26474</v>
      </c>
      <c r="AA899">
        <v>0.5001355591291694</v>
      </c>
      <c r="AB899" t="str">
        <f>HYPERLINK("Melting_Curves/meltCurve_H0YNH6_EMC9.pdf", "Melting_Curves/meltCurve_H0YNH6_EMC9.pdf")</f>
        <v>Melting_Curves/meltCurve_H0YNH6_EMC9.pdf</v>
      </c>
    </row>
    <row r="900" spans="1:28" x14ac:dyDescent="0.25">
      <c r="A900" t="s">
        <v>904</v>
      </c>
      <c r="B900">
        <v>0.99673306730245903</v>
      </c>
      <c r="C900">
        <v>0.61575296486451303</v>
      </c>
      <c r="D900">
        <v>0.31804098463387498</v>
      </c>
      <c r="E900">
        <v>0.25676913588619799</v>
      </c>
      <c r="F900">
        <v>0.214225172558731</v>
      </c>
      <c r="G900">
        <v>0.16052410121278399</v>
      </c>
      <c r="H900">
        <v>0.116274158805943</v>
      </c>
      <c r="I900">
        <v>0.13743326648263501</v>
      </c>
      <c r="J900">
        <v>0.17978074990636</v>
      </c>
      <c r="K900">
        <v>0.174582996333874</v>
      </c>
      <c r="L900">
        <v>1250.5232113675499</v>
      </c>
      <c r="M900">
        <v>28.843763005619</v>
      </c>
      <c r="N900">
        <v>44.004144133905697</v>
      </c>
      <c r="O900">
        <v>43.148278600286503</v>
      </c>
      <c r="P900">
        <v>-0.13816509587531101</v>
      </c>
      <c r="Q900">
        <v>0.17326462468368001</v>
      </c>
      <c r="R900">
        <v>0.97798290186600301</v>
      </c>
      <c r="S900" t="s">
        <v>7352</v>
      </c>
      <c r="T900" t="s">
        <v>12902</v>
      </c>
      <c r="U900" t="s">
        <v>12902</v>
      </c>
      <c r="V900" t="s">
        <v>12902</v>
      </c>
      <c r="W900" t="s">
        <v>13786</v>
      </c>
      <c r="X900">
        <v>9</v>
      </c>
      <c r="Y900" t="s">
        <v>20177</v>
      </c>
      <c r="Z900" t="s">
        <v>26475</v>
      </c>
      <c r="AA900">
        <v>0.27335321219453662</v>
      </c>
      <c r="AB900" t="str">
        <f>HYPERLINK("Melting_Curves/meltCurve_H0YNH8_UACA.pdf", "Melting_Curves/meltCurve_H0YNH8_UACA.pdf")</f>
        <v>Melting_Curves/meltCurve_H0YNH8_UACA.pdf</v>
      </c>
    </row>
    <row r="901" spans="1:28" x14ac:dyDescent="0.25">
      <c r="A901" t="s">
        <v>905</v>
      </c>
      <c r="B901">
        <v>0.99673306730245903</v>
      </c>
      <c r="C901">
        <v>0.92463512616813803</v>
      </c>
      <c r="D901">
        <v>0.74102632812825697</v>
      </c>
      <c r="E901">
        <v>0.74361537750745299</v>
      </c>
      <c r="F901">
        <v>0.56892373494567505</v>
      </c>
      <c r="G901">
        <v>0.46160578260431701</v>
      </c>
      <c r="H901">
        <v>0.31576266582109003</v>
      </c>
      <c r="I901">
        <v>0.19007744068378599</v>
      </c>
      <c r="J901">
        <v>8.2477665698950903E-2</v>
      </c>
      <c r="K901">
        <v>6.3810083706158996E-2</v>
      </c>
      <c r="L901">
        <v>508.03668160573102</v>
      </c>
      <c r="M901">
        <v>9.3133197530079901</v>
      </c>
      <c r="N901">
        <v>54.549472634135199</v>
      </c>
      <c r="O901">
        <v>52.211577832270898</v>
      </c>
      <c r="P901">
        <v>-4.4622575164978598E-2</v>
      </c>
      <c r="Q901">
        <v>0</v>
      </c>
      <c r="R901">
        <v>0.97629864913935305</v>
      </c>
      <c r="S901" t="s">
        <v>7353</v>
      </c>
      <c r="T901" t="s">
        <v>12902</v>
      </c>
      <c r="U901" t="s">
        <v>12902</v>
      </c>
      <c r="V901" t="s">
        <v>12902</v>
      </c>
      <c r="W901" t="s">
        <v>13306</v>
      </c>
      <c r="X901">
        <v>1</v>
      </c>
      <c r="Z901" t="s">
        <v>26476</v>
      </c>
      <c r="AA901">
        <v>0.51382527366717734</v>
      </c>
      <c r="AB901" t="str">
        <f>HYPERLINK("Melting_Curves/meltCurve_H0YNN9_.pdf", "Melting_Curves/meltCurve_H0YNN9_.pdf")</f>
        <v>Melting_Curves/meltCurve_H0YNN9_.pdf</v>
      </c>
    </row>
    <row r="902" spans="1:28" x14ac:dyDescent="0.25">
      <c r="A902" t="s">
        <v>906</v>
      </c>
      <c r="B902">
        <v>0.99673306730245903</v>
      </c>
      <c r="C902">
        <v>0.97625437272011295</v>
      </c>
      <c r="D902">
        <v>0.94521080646941902</v>
      </c>
      <c r="E902">
        <v>1.0249147776407901</v>
      </c>
      <c r="F902">
        <v>0.45673394977931198</v>
      </c>
      <c r="G902">
        <v>0.17538965560493799</v>
      </c>
      <c r="H902">
        <v>0.105150259407403</v>
      </c>
      <c r="I902">
        <v>8.6082013368430896E-2</v>
      </c>
      <c r="J902">
        <v>9.6242695706407005E-2</v>
      </c>
      <c r="K902">
        <v>8.0416807913017904E-2</v>
      </c>
      <c r="L902">
        <v>3265.1588729239802</v>
      </c>
      <c r="M902">
        <v>61.783122086789199</v>
      </c>
      <c r="N902">
        <v>53.0521242580324</v>
      </c>
      <c r="O902">
        <v>52.793457591378697</v>
      </c>
      <c r="P902">
        <v>-0.26171652670245199</v>
      </c>
      <c r="Q902">
        <v>0.105457343537353</v>
      </c>
      <c r="R902">
        <v>0.994379724789065</v>
      </c>
      <c r="S902" t="s">
        <v>7354</v>
      </c>
      <c r="T902" t="s">
        <v>12902</v>
      </c>
      <c r="U902" t="s">
        <v>12902</v>
      </c>
      <c r="V902" t="s">
        <v>12902</v>
      </c>
      <c r="W902" t="s">
        <v>13787</v>
      </c>
      <c r="X902">
        <v>3</v>
      </c>
      <c r="Y902" t="s">
        <v>20178</v>
      </c>
      <c r="Z902" t="s">
        <v>26477</v>
      </c>
      <c r="AA902">
        <v>0.48994470291519943</v>
      </c>
      <c r="AB902" t="str">
        <f>HYPERLINK("Melting_Curves/meltCurve_H0YNU5_BLM.pdf", "Melting_Curves/meltCurve_H0YNU5_BLM.pdf")</f>
        <v>Melting_Curves/meltCurve_H0YNU5_BLM.pdf</v>
      </c>
    </row>
    <row r="903" spans="1:28" x14ac:dyDescent="0.25">
      <c r="A903" t="s">
        <v>907</v>
      </c>
      <c r="B903">
        <v>0.99673306730245903</v>
      </c>
      <c r="C903">
        <v>0.95871010417856495</v>
      </c>
      <c r="D903">
        <v>0.97288840031650403</v>
      </c>
      <c r="E903">
        <v>0.84929526008517597</v>
      </c>
      <c r="F903">
        <v>0.89046000139432901</v>
      </c>
      <c r="G903">
        <v>0.59211636940178503</v>
      </c>
      <c r="H903">
        <v>0.463250393192641</v>
      </c>
      <c r="I903">
        <v>0.39719817963012899</v>
      </c>
      <c r="J903">
        <v>0.33067775167378199</v>
      </c>
      <c r="K903">
        <v>0.25470701656887501</v>
      </c>
      <c r="L903">
        <v>717.41328926769302</v>
      </c>
      <c r="M903">
        <v>12.385802671932099</v>
      </c>
      <c r="N903">
        <v>60.184910691097798</v>
      </c>
      <c r="O903">
        <v>56.474463296085197</v>
      </c>
      <c r="P903">
        <v>-4.4632940564672999E-2</v>
      </c>
      <c r="Q903">
        <v>0.18613784860453</v>
      </c>
      <c r="R903">
        <v>0.977852497379465</v>
      </c>
      <c r="S903" t="s">
        <v>7355</v>
      </c>
      <c r="T903" t="s">
        <v>12902</v>
      </c>
      <c r="U903" t="s">
        <v>12902</v>
      </c>
      <c r="V903" t="s">
        <v>12902</v>
      </c>
      <c r="W903" t="s">
        <v>13788</v>
      </c>
      <c r="X903">
        <v>4</v>
      </c>
      <c r="Y903" t="s">
        <v>20179</v>
      </c>
      <c r="Z903" t="s">
        <v>26478</v>
      </c>
      <c r="AA903">
        <v>0.68316673777014325</v>
      </c>
      <c r="AB903" t="str">
        <f>HYPERLINK("Melting_Curves/meltCurve_H3BLV0_CD55.pdf", "Melting_Curves/meltCurve_H3BLV0_CD55.pdf")</f>
        <v>Melting_Curves/meltCurve_H3BLV0_CD55.pdf</v>
      </c>
    </row>
    <row r="904" spans="1:28" x14ac:dyDescent="0.25">
      <c r="A904" t="s">
        <v>908</v>
      </c>
      <c r="B904">
        <v>0.99673306730245903</v>
      </c>
      <c r="C904">
        <v>1.0418082912823701</v>
      </c>
      <c r="D904">
        <v>0.95910949441547699</v>
      </c>
      <c r="E904">
        <v>0.86118376011842102</v>
      </c>
      <c r="F904">
        <v>0.88719463380734498</v>
      </c>
      <c r="G904">
        <v>0.56470158335950005</v>
      </c>
      <c r="H904">
        <v>0.36406564843532901</v>
      </c>
      <c r="I904">
        <v>0.585016475219169</v>
      </c>
      <c r="J904">
        <v>0.84523822681458405</v>
      </c>
      <c r="K904">
        <v>0.84153052624851599</v>
      </c>
      <c r="L904">
        <v>13341.712196947999</v>
      </c>
      <c r="M904">
        <v>250</v>
      </c>
      <c r="O904">
        <v>53.363433860005898</v>
      </c>
      <c r="P904">
        <v>-0.42150763853496898</v>
      </c>
      <c r="Q904">
        <v>0.640110481900239</v>
      </c>
      <c r="R904">
        <v>0.55642214642465804</v>
      </c>
      <c r="S904" t="s">
        <v>7356</v>
      </c>
      <c r="T904" t="s">
        <v>12902</v>
      </c>
      <c r="U904" t="s">
        <v>12902</v>
      </c>
      <c r="V904" t="s">
        <v>12902</v>
      </c>
      <c r="W904" t="s">
        <v>13789</v>
      </c>
      <c r="X904">
        <v>3</v>
      </c>
      <c r="Y904" t="s">
        <v>20180</v>
      </c>
      <c r="Z904" t="s">
        <v>26479</v>
      </c>
      <c r="AA904">
        <v>0.80049714738714561</v>
      </c>
      <c r="AB904" t="str">
        <f>HYPERLINK("Melting_Curves/meltCurve_H3BLZ2_DBNDD1.pdf", "Melting_Curves/meltCurve_H3BLZ2_DBNDD1.pdf")</f>
        <v>Melting_Curves/meltCurve_H3BLZ2_DBNDD1.pdf</v>
      </c>
    </row>
    <row r="905" spans="1:28" x14ac:dyDescent="0.25">
      <c r="A905" t="s">
        <v>909</v>
      </c>
      <c r="B905">
        <v>0.99673306730245903</v>
      </c>
      <c r="C905">
        <v>1.06807133860617</v>
      </c>
      <c r="D905">
        <v>0.55890229672744396</v>
      </c>
      <c r="E905">
        <v>0.63610231425688801</v>
      </c>
      <c r="F905">
        <v>0.131792908658143</v>
      </c>
      <c r="G905">
        <v>9.8129515259865602E-2</v>
      </c>
      <c r="H905">
        <v>6.15784950881113E-2</v>
      </c>
      <c r="I905">
        <v>5.5846366182523199E-2</v>
      </c>
      <c r="J905">
        <v>4.8412745996593502E-2</v>
      </c>
      <c r="K905">
        <v>4.3159482860733199E-2</v>
      </c>
      <c r="L905">
        <v>836.03707714342897</v>
      </c>
      <c r="M905">
        <v>17.061170613770901</v>
      </c>
      <c r="N905">
        <v>49.164315941150299</v>
      </c>
      <c r="O905">
        <v>48.3439744842197</v>
      </c>
      <c r="P905">
        <v>-8.5821838819518104E-2</v>
      </c>
      <c r="Q905">
        <v>2.7331418991728501E-2</v>
      </c>
      <c r="R905">
        <v>0.93315833896935596</v>
      </c>
      <c r="S905" t="s">
        <v>7357</v>
      </c>
      <c r="T905" t="s">
        <v>12902</v>
      </c>
      <c r="U905" t="s">
        <v>12902</v>
      </c>
      <c r="V905" t="s">
        <v>12902</v>
      </c>
      <c r="W905" t="s">
        <v>13790</v>
      </c>
      <c r="X905">
        <v>48</v>
      </c>
      <c r="Y905" t="s">
        <v>20181</v>
      </c>
      <c r="Z905" t="s">
        <v>26480</v>
      </c>
      <c r="AA905">
        <v>0.33793963551444189</v>
      </c>
      <c r="AB905" t="str">
        <f>HYPERLINK("Melting_Curves/meltCurve_H3BLZ8_DDX17.pdf", "Melting_Curves/meltCurve_H3BLZ8_DDX17.pdf")</f>
        <v>Melting_Curves/meltCurve_H3BLZ8_DDX17.pdf</v>
      </c>
    </row>
    <row r="906" spans="1:28" x14ac:dyDescent="0.25">
      <c r="A906" t="s">
        <v>910</v>
      </c>
      <c r="B906">
        <v>0.99673306730245903</v>
      </c>
      <c r="C906">
        <v>0.83320884549329</v>
      </c>
      <c r="D906">
        <v>0.44064724022157697</v>
      </c>
      <c r="E906">
        <v>0.19307575862663501</v>
      </c>
      <c r="F906">
        <v>0.14485367230534801</v>
      </c>
      <c r="G906">
        <v>9.1126092198642303E-2</v>
      </c>
      <c r="H906">
        <v>5.5193162986695597E-2</v>
      </c>
      <c r="I906">
        <v>5.49850102743615E-2</v>
      </c>
      <c r="J906">
        <v>6.9761398237951605E-2</v>
      </c>
      <c r="K906">
        <v>4.8886673931693103E-2</v>
      </c>
      <c r="L906">
        <v>1108.3917132419899</v>
      </c>
      <c r="M906">
        <v>24.4057985989126</v>
      </c>
      <c r="N906">
        <v>45.706186281875198</v>
      </c>
      <c r="O906">
        <v>45.113485131943001</v>
      </c>
      <c r="P906">
        <v>-0.125513776385096</v>
      </c>
      <c r="Q906">
        <v>7.1977898794127304E-2</v>
      </c>
      <c r="R906">
        <v>0.99503794257830802</v>
      </c>
      <c r="S906" t="s">
        <v>7358</v>
      </c>
      <c r="T906" t="s">
        <v>12902</v>
      </c>
      <c r="U906" t="s">
        <v>12902</v>
      </c>
      <c r="V906" t="s">
        <v>12902</v>
      </c>
      <c r="W906" t="s">
        <v>13791</v>
      </c>
      <c r="X906">
        <v>8</v>
      </c>
      <c r="Y906" t="s">
        <v>20182</v>
      </c>
      <c r="Z906" t="s">
        <v>26481</v>
      </c>
      <c r="AA906">
        <v>0.24891367400626199</v>
      </c>
      <c r="AB906" t="str">
        <f>HYPERLINK("Melting_Curves/meltCurve_H3BM14_NUB1.pdf", "Melting_Curves/meltCurve_H3BM14_NUB1.pdf")</f>
        <v>Melting_Curves/meltCurve_H3BM14_NUB1.pdf</v>
      </c>
    </row>
    <row r="907" spans="1:28" x14ac:dyDescent="0.25">
      <c r="A907" t="s">
        <v>911</v>
      </c>
      <c r="B907">
        <v>0.99673306730245903</v>
      </c>
      <c r="C907">
        <v>0.62769494802991499</v>
      </c>
      <c r="D907">
        <v>1.00469041087961</v>
      </c>
      <c r="E907">
        <v>0.46144323234796297</v>
      </c>
      <c r="F907">
        <v>0.10219070948216501</v>
      </c>
      <c r="G907">
        <v>8.5417538034915294E-2</v>
      </c>
      <c r="H907">
        <v>0</v>
      </c>
      <c r="I907">
        <v>3.3382444492374902E-2</v>
      </c>
      <c r="J907">
        <v>8.1179733764824E-2</v>
      </c>
      <c r="K907">
        <v>4.0184149520484401E-2</v>
      </c>
      <c r="L907">
        <v>2157.80024453026</v>
      </c>
      <c r="M907">
        <v>43.741099437454999</v>
      </c>
      <c r="N907">
        <v>49.449287827055102</v>
      </c>
      <c r="O907">
        <v>49.228408777917302</v>
      </c>
      <c r="P907">
        <v>-0.21111610913978099</v>
      </c>
      <c r="Q907">
        <v>4.9599110283423398E-2</v>
      </c>
      <c r="R907">
        <v>0.900810067691449</v>
      </c>
      <c r="S907" t="s">
        <v>7359</v>
      </c>
      <c r="T907" t="s">
        <v>12902</v>
      </c>
      <c r="U907" t="s">
        <v>12902</v>
      </c>
      <c r="V907" t="s">
        <v>12902</v>
      </c>
      <c r="W907" t="s">
        <v>13792</v>
      </c>
      <c r="X907">
        <v>40</v>
      </c>
      <c r="Y907" t="s">
        <v>20183</v>
      </c>
      <c r="Z907" t="s">
        <v>26482</v>
      </c>
      <c r="AA907">
        <v>0.34791893182632122</v>
      </c>
      <c r="AB907" t="str">
        <f>HYPERLINK("Melting_Curves/meltCurve_H3BM42_GLG1.pdf", "Melting_Curves/meltCurve_H3BM42_GLG1.pdf")</f>
        <v>Melting_Curves/meltCurve_H3BM42_GLG1.pdf</v>
      </c>
    </row>
    <row r="908" spans="1:28" x14ac:dyDescent="0.25">
      <c r="A908" t="s">
        <v>912</v>
      </c>
      <c r="B908">
        <v>0.99673306730245903</v>
      </c>
      <c r="C908">
        <v>0.96799019408783205</v>
      </c>
      <c r="D908">
        <v>0.94451889583146698</v>
      </c>
      <c r="E908">
        <v>0.80498547665018405</v>
      </c>
      <c r="F908">
        <v>0.64524060541954797</v>
      </c>
      <c r="G908">
        <v>0.51184854713524797</v>
      </c>
      <c r="H908">
        <v>0.35586831473259101</v>
      </c>
      <c r="I908">
        <v>0.42603166503432699</v>
      </c>
      <c r="J908">
        <v>0.533276911388195</v>
      </c>
      <c r="K908">
        <v>0.47024738835798502</v>
      </c>
      <c r="L908">
        <v>1077.9650596592201</v>
      </c>
      <c r="M908">
        <v>21.045283294819502</v>
      </c>
      <c r="N908">
        <v>57.153014085025099</v>
      </c>
      <c r="O908">
        <v>50.765462778613198</v>
      </c>
      <c r="P908">
        <v>-5.7654369987813002E-2</v>
      </c>
      <c r="Q908">
        <v>0.44371891749461601</v>
      </c>
      <c r="R908">
        <v>0.95936787811879998</v>
      </c>
      <c r="S908" t="s">
        <v>7360</v>
      </c>
      <c r="T908" t="s">
        <v>12902</v>
      </c>
      <c r="U908" t="s">
        <v>12902</v>
      </c>
      <c r="V908" t="s">
        <v>12902</v>
      </c>
      <c r="W908" t="s">
        <v>13793</v>
      </c>
      <c r="X908">
        <v>6</v>
      </c>
      <c r="Y908" t="s">
        <v>20184</v>
      </c>
      <c r="Z908" t="s">
        <v>26483</v>
      </c>
      <c r="AA908">
        <v>0.65880726562232406</v>
      </c>
      <c r="AB908" t="str">
        <f>HYPERLINK("Melting_Curves/meltCurve_H3BM67_NOL3.pdf", "Melting_Curves/meltCurve_H3BM67_NOL3.pdf")</f>
        <v>Melting_Curves/meltCurve_H3BM67_NOL3.pdf</v>
      </c>
    </row>
    <row r="909" spans="1:28" x14ac:dyDescent="0.25">
      <c r="A909" t="s">
        <v>913</v>
      </c>
      <c r="B909">
        <v>0.99673306730245903</v>
      </c>
      <c r="C909">
        <v>0.92447594686680501</v>
      </c>
      <c r="D909">
        <v>0.83476535184774603</v>
      </c>
      <c r="E909">
        <v>0.78811439450313003</v>
      </c>
      <c r="F909">
        <v>0.43554005205555302</v>
      </c>
      <c r="G909">
        <v>0.17905617519343101</v>
      </c>
      <c r="H909">
        <v>7.8287899655570897E-2</v>
      </c>
      <c r="I909">
        <v>5.8279581857257297E-2</v>
      </c>
      <c r="J909">
        <v>7.1199396922463506E-2</v>
      </c>
      <c r="K909">
        <v>8.0663130604899005E-2</v>
      </c>
      <c r="L909">
        <v>969.90812140501305</v>
      </c>
      <c r="M909">
        <v>18.616912568878099</v>
      </c>
      <c r="N909">
        <v>52.336054658698004</v>
      </c>
      <c r="O909">
        <v>51.508275194253002</v>
      </c>
      <c r="P909">
        <v>-8.6697624393000203E-2</v>
      </c>
      <c r="Q909">
        <v>4.0560123293062397E-2</v>
      </c>
      <c r="R909">
        <v>0.98748889577104404</v>
      </c>
      <c r="S909" t="s">
        <v>7361</v>
      </c>
      <c r="T909" t="s">
        <v>12902</v>
      </c>
      <c r="U909" t="s">
        <v>12902</v>
      </c>
      <c r="V909" t="s">
        <v>12902</v>
      </c>
      <c r="W909" t="s">
        <v>13794</v>
      </c>
      <c r="X909">
        <v>1</v>
      </c>
      <c r="Y909" t="s">
        <v>20185</v>
      </c>
      <c r="Z909" t="s">
        <v>26484</v>
      </c>
      <c r="AA909">
        <v>0.44252829234054342</v>
      </c>
      <c r="AB909" t="str">
        <f>HYPERLINK("Melting_Curves/meltCurve_H3BM91_COMMD4.pdf", "Melting_Curves/meltCurve_H3BM91_COMMD4.pdf")</f>
        <v>Melting_Curves/meltCurve_H3BM91_COMMD4.pdf</v>
      </c>
    </row>
    <row r="910" spans="1:28" x14ac:dyDescent="0.25">
      <c r="A910" t="s">
        <v>914</v>
      </c>
      <c r="B910">
        <v>0.99673306730245903</v>
      </c>
      <c r="C910">
        <v>1.0000686831941701</v>
      </c>
      <c r="D910">
        <v>1.0027823163874801</v>
      </c>
      <c r="E910">
        <v>0.92702493441830003</v>
      </c>
      <c r="F910">
        <v>0.78924630145585895</v>
      </c>
      <c r="G910">
        <v>0.58606556114641595</v>
      </c>
      <c r="H910">
        <v>0.45448823084989498</v>
      </c>
      <c r="I910">
        <v>0.44445075896745001</v>
      </c>
      <c r="J910">
        <v>0.33756772484239</v>
      </c>
      <c r="K910">
        <v>0.206876988677169</v>
      </c>
      <c r="L910">
        <v>707.90711069343195</v>
      </c>
      <c r="M910">
        <v>12.251663015923899</v>
      </c>
      <c r="N910">
        <v>59.984087298698697</v>
      </c>
      <c r="O910">
        <v>56.3058072854896</v>
      </c>
      <c r="P910">
        <v>-4.4550235919223399E-2</v>
      </c>
      <c r="Q910">
        <v>0.18121184466825499</v>
      </c>
      <c r="R910">
        <v>0.98285394831250905</v>
      </c>
      <c r="S910" t="s">
        <v>7362</v>
      </c>
      <c r="T910" t="s">
        <v>12902</v>
      </c>
      <c r="U910" t="s">
        <v>12902</v>
      </c>
      <c r="V910" t="s">
        <v>12902</v>
      </c>
      <c r="W910" t="s">
        <v>13795</v>
      </c>
      <c r="X910">
        <v>5</v>
      </c>
      <c r="Y910" t="s">
        <v>20186</v>
      </c>
      <c r="Z910" t="s">
        <v>26485</v>
      </c>
      <c r="AA910">
        <v>0.6777988120725833</v>
      </c>
      <c r="AB910" t="str">
        <f>HYPERLINK("Melting_Curves/meltCurve_H3BMF4_SPNS1.pdf", "Melting_Curves/meltCurve_H3BMF4_SPNS1.pdf")</f>
        <v>Melting_Curves/meltCurve_H3BMF4_SPNS1.pdf</v>
      </c>
    </row>
    <row r="911" spans="1:28" x14ac:dyDescent="0.25">
      <c r="A911" t="s">
        <v>915</v>
      </c>
      <c r="B911">
        <v>0.99673306730245903</v>
      </c>
      <c r="C911">
        <v>0.96362494421801903</v>
      </c>
      <c r="D911">
        <v>0.86837473137814203</v>
      </c>
      <c r="E911">
        <v>0.83504899594070603</v>
      </c>
      <c r="F911">
        <v>0.65493255357733304</v>
      </c>
      <c r="G911">
        <v>0.57827105856481698</v>
      </c>
      <c r="H911">
        <v>0.460150010012919</v>
      </c>
      <c r="I911">
        <v>0.79718156263802797</v>
      </c>
      <c r="J911">
        <v>0.64551092638994201</v>
      </c>
      <c r="K911">
        <v>0.59070432428332498</v>
      </c>
      <c r="L911">
        <v>973.90114700371998</v>
      </c>
      <c r="M911">
        <v>19.953843982879899</v>
      </c>
      <c r="O911">
        <v>48.3254236750034</v>
      </c>
      <c r="P911">
        <v>-4.0256576525312802E-2</v>
      </c>
      <c r="Q911">
        <v>0.61002966789630497</v>
      </c>
      <c r="R911">
        <v>0.76009334805748496</v>
      </c>
      <c r="S911" t="s">
        <v>7363</v>
      </c>
      <c r="T911" t="s">
        <v>12902</v>
      </c>
      <c r="U911" t="s">
        <v>12902</v>
      </c>
      <c r="V911" t="s">
        <v>12902</v>
      </c>
      <c r="W911" t="s">
        <v>13796</v>
      </c>
      <c r="X911">
        <v>1</v>
      </c>
      <c r="Y911" t="s">
        <v>20187</v>
      </c>
      <c r="Z911" t="s">
        <v>26486</v>
      </c>
      <c r="AA911">
        <v>0.73002024443167357</v>
      </c>
      <c r="AB911" t="str">
        <f>HYPERLINK("Melting_Curves/meltCurve_H3BML8_TMEM219.pdf", "Melting_Curves/meltCurve_H3BML8_TMEM219.pdf")</f>
        <v>Melting_Curves/meltCurve_H3BML8_TMEM219.pdf</v>
      </c>
    </row>
    <row r="912" spans="1:28" x14ac:dyDescent="0.25">
      <c r="A912" t="s">
        <v>916</v>
      </c>
      <c r="B912">
        <v>0.99673306730245903</v>
      </c>
      <c r="C912">
        <v>0.87009901779640297</v>
      </c>
      <c r="D912">
        <v>0.73222464290599598</v>
      </c>
      <c r="E912">
        <v>0.40026080800018199</v>
      </c>
      <c r="F912">
        <v>0.127945453280011</v>
      </c>
      <c r="G912">
        <v>8.8865979630597794E-2</v>
      </c>
      <c r="H912">
        <v>6.8995130384613995E-2</v>
      </c>
      <c r="I912">
        <v>3.3930431198836902E-2</v>
      </c>
      <c r="J912">
        <v>3.4893128335515097E-2</v>
      </c>
      <c r="K912">
        <v>2.8506653099347901E-2</v>
      </c>
      <c r="L912">
        <v>912.17636262211101</v>
      </c>
      <c r="M912">
        <v>18.945209432493598</v>
      </c>
      <c r="N912">
        <v>48.3024045190298</v>
      </c>
      <c r="O912">
        <v>47.621298339688998</v>
      </c>
      <c r="P912">
        <v>-9.6542087935021101E-2</v>
      </c>
      <c r="Q912">
        <v>2.9353731754543401E-2</v>
      </c>
      <c r="R912">
        <v>0.99645269244825496</v>
      </c>
      <c r="S912" t="s">
        <v>7364</v>
      </c>
      <c r="T912" t="s">
        <v>12902</v>
      </c>
      <c r="U912" t="s">
        <v>12902</v>
      </c>
      <c r="V912" t="s">
        <v>12902</v>
      </c>
      <c r="W912" t="s">
        <v>13306</v>
      </c>
      <c r="X912">
        <v>6</v>
      </c>
      <c r="Z912" t="s">
        <v>26487</v>
      </c>
      <c r="AA912">
        <v>0.30839761976164132</v>
      </c>
      <c r="AB912" t="str">
        <f>HYPERLINK("Melting_Curves/meltCurve_H3BMM5_.pdf", "Melting_Curves/meltCurve_H3BMM5_.pdf")</f>
        <v>Melting_Curves/meltCurve_H3BMM5_.pdf</v>
      </c>
    </row>
    <row r="913" spans="1:28" x14ac:dyDescent="0.25">
      <c r="A913" t="s">
        <v>917</v>
      </c>
      <c r="B913">
        <v>0.99673306730245903</v>
      </c>
      <c r="C913">
        <v>0.99766101010036401</v>
      </c>
      <c r="D913">
        <v>0.94924757351979605</v>
      </c>
      <c r="E913">
        <v>0.86684165004994995</v>
      </c>
      <c r="F913">
        <v>0.81275103531292203</v>
      </c>
      <c r="G913">
        <v>0.60722687321319602</v>
      </c>
      <c r="H913">
        <v>0.453551067191173</v>
      </c>
      <c r="I913">
        <v>0.45863152436921101</v>
      </c>
      <c r="J913">
        <v>0.446482675590962</v>
      </c>
      <c r="K913">
        <v>0.42864047809758599</v>
      </c>
      <c r="L913">
        <v>899.62679424698399</v>
      </c>
      <c r="M913">
        <v>16.480852920154199</v>
      </c>
      <c r="N913">
        <v>60.6969709295307</v>
      </c>
      <c r="O913">
        <v>53.801502062380202</v>
      </c>
      <c r="P913">
        <v>-4.5580129777681298E-2</v>
      </c>
      <c r="Q913">
        <v>0.40485888937708198</v>
      </c>
      <c r="R913">
        <v>0.98785495834082004</v>
      </c>
      <c r="S913" t="s">
        <v>7365</v>
      </c>
      <c r="T913" t="s">
        <v>12902</v>
      </c>
      <c r="U913" t="s">
        <v>12902</v>
      </c>
      <c r="V913" t="s">
        <v>12902</v>
      </c>
      <c r="W913" t="s">
        <v>13608</v>
      </c>
      <c r="X913">
        <v>9</v>
      </c>
      <c r="Z913" t="s">
        <v>26488</v>
      </c>
      <c r="AA913">
        <v>0.70474810068274352</v>
      </c>
      <c r="AB913" t="str">
        <f>HYPERLINK("Melting_Curves/meltCurve_H3BN98_.pdf", "Melting_Curves/meltCurve_H3BN98_.pdf")</f>
        <v>Melting_Curves/meltCurve_H3BN98_.pdf</v>
      </c>
    </row>
    <row r="914" spans="1:28" x14ac:dyDescent="0.25">
      <c r="A914" t="s">
        <v>918</v>
      </c>
      <c r="B914">
        <v>0.99673306730245903</v>
      </c>
      <c r="C914">
        <v>0.83956062395404596</v>
      </c>
      <c r="D914">
        <v>0.62292919089136201</v>
      </c>
      <c r="E914">
        <v>0.46404066878113798</v>
      </c>
      <c r="F914">
        <v>0.63696414719915995</v>
      </c>
      <c r="G914">
        <v>0.41264652705049598</v>
      </c>
      <c r="H914">
        <v>0.23169455816177301</v>
      </c>
      <c r="I914">
        <v>0.27717366409648803</v>
      </c>
      <c r="J914">
        <v>0.35538544197991601</v>
      </c>
      <c r="K914">
        <v>0.66603848952994305</v>
      </c>
      <c r="L914">
        <v>866.70378523950501</v>
      </c>
      <c r="M914">
        <v>19.235117174968298</v>
      </c>
      <c r="N914">
        <v>49.584267377475904</v>
      </c>
      <c r="O914">
        <v>44.579877827747303</v>
      </c>
      <c r="P914">
        <v>-6.3255886183652493E-2</v>
      </c>
      <c r="Q914">
        <v>0.41360740786023997</v>
      </c>
      <c r="R914">
        <v>0.70461875457836398</v>
      </c>
      <c r="S914" t="s">
        <v>7366</v>
      </c>
      <c r="T914" t="s">
        <v>12902</v>
      </c>
      <c r="U914" t="s">
        <v>12902</v>
      </c>
      <c r="V914" t="s">
        <v>12902</v>
      </c>
      <c r="W914" t="s">
        <v>13797</v>
      </c>
      <c r="X914">
        <v>2</v>
      </c>
      <c r="Y914" t="s">
        <v>20188</v>
      </c>
      <c r="Z914" t="s">
        <v>26489</v>
      </c>
      <c r="AA914">
        <v>0.52327718688033742</v>
      </c>
      <c r="AB914" t="str">
        <f>HYPERLINK("Melting_Curves/meltCurve_H3BNM4_INO80E.pdf", "Melting_Curves/meltCurve_H3BNM4_INO80E.pdf")</f>
        <v>Melting_Curves/meltCurve_H3BNM4_INO80E.pdf</v>
      </c>
    </row>
    <row r="915" spans="1:28" x14ac:dyDescent="0.25">
      <c r="A915" t="s">
        <v>919</v>
      </c>
      <c r="B915">
        <v>0.99673306730245903</v>
      </c>
      <c r="C915">
        <v>0.88094786109700596</v>
      </c>
      <c r="D915">
        <v>1.05648123065134</v>
      </c>
      <c r="E915">
        <v>0.75339186534528901</v>
      </c>
      <c r="F915">
        <v>0.456408063562255</v>
      </c>
      <c r="G915">
        <v>0.32823458844604703</v>
      </c>
      <c r="H915">
        <v>0.17171043862070001</v>
      </c>
      <c r="I915">
        <v>0.26686634137567999</v>
      </c>
      <c r="J915">
        <v>0.38648073151956802</v>
      </c>
      <c r="K915">
        <v>0.45285660406662998</v>
      </c>
      <c r="L915">
        <v>1748.84740167633</v>
      </c>
      <c r="M915">
        <v>34.548778401447599</v>
      </c>
      <c r="N915">
        <v>52.1739020092933</v>
      </c>
      <c r="O915">
        <v>50.450966624560003</v>
      </c>
      <c r="P915">
        <v>-0.11618466021660399</v>
      </c>
      <c r="Q915">
        <v>0.32135294867041603</v>
      </c>
      <c r="R915">
        <v>0.92514837684249196</v>
      </c>
      <c r="S915" t="s">
        <v>7367</v>
      </c>
      <c r="T915" t="s">
        <v>12902</v>
      </c>
      <c r="U915" t="s">
        <v>12902</v>
      </c>
      <c r="V915" t="s">
        <v>12902</v>
      </c>
      <c r="W915" t="s">
        <v>13798</v>
      </c>
      <c r="X915">
        <v>1</v>
      </c>
      <c r="Y915" t="s">
        <v>20189</v>
      </c>
      <c r="Z915" t="s">
        <v>26490</v>
      </c>
      <c r="AA915">
        <v>0.56477718138848465</v>
      </c>
      <c r="AB915" t="str">
        <f>HYPERLINK("Melting_Curves/meltCurve_H3BNT4_MPHOSPH6.pdf", "Melting_Curves/meltCurve_H3BNT4_MPHOSPH6.pdf")</f>
        <v>Melting_Curves/meltCurve_H3BNT4_MPHOSPH6.pdf</v>
      </c>
    </row>
    <row r="916" spans="1:28" x14ac:dyDescent="0.25">
      <c r="A916" t="s">
        <v>920</v>
      </c>
      <c r="B916">
        <v>0.99673306730245903</v>
      </c>
      <c r="C916">
        <v>0.91574193109394897</v>
      </c>
      <c r="D916">
        <v>1.0648466566947901</v>
      </c>
      <c r="E916">
        <v>1.1129324126967901</v>
      </c>
      <c r="F916">
        <v>1.0261405703586901</v>
      </c>
      <c r="G916">
        <v>0.77084713385898396</v>
      </c>
      <c r="H916">
        <v>0.52458735306278903</v>
      </c>
      <c r="I916">
        <v>0.62751334584465202</v>
      </c>
      <c r="J916">
        <v>1.1584184403192299</v>
      </c>
      <c r="K916">
        <v>2.49007691711296</v>
      </c>
      <c r="L916">
        <v>15000</v>
      </c>
      <c r="M916">
        <v>222.786998720892</v>
      </c>
      <c r="O916">
        <v>67.323458735172494</v>
      </c>
      <c r="P916">
        <v>0.41365038909683499</v>
      </c>
      <c r="Q916">
        <v>1.5</v>
      </c>
      <c r="R916">
        <v>0.46120874125654399</v>
      </c>
      <c r="S916" t="s">
        <v>7368</v>
      </c>
      <c r="T916" t="s">
        <v>12902</v>
      </c>
      <c r="U916" t="s">
        <v>12902</v>
      </c>
      <c r="V916" t="s">
        <v>12902</v>
      </c>
      <c r="W916" t="s">
        <v>13799</v>
      </c>
      <c r="X916">
        <v>7</v>
      </c>
      <c r="Y916" t="s">
        <v>20190</v>
      </c>
      <c r="Z916" t="s">
        <v>26491</v>
      </c>
      <c r="AA916">
        <v>1.0444453167454939</v>
      </c>
      <c r="AB916" t="str">
        <f>HYPERLINK("Melting_Curves/meltCurve_H3BNU9_CARHSP1.pdf", "Melting_Curves/meltCurve_H3BNU9_CARHSP1.pdf")</f>
        <v>Melting_Curves/meltCurve_H3BNU9_CARHSP1.pdf</v>
      </c>
    </row>
    <row r="917" spans="1:28" x14ac:dyDescent="0.25">
      <c r="A917" t="s">
        <v>921</v>
      </c>
      <c r="B917">
        <v>0.99673306730245903</v>
      </c>
      <c r="C917">
        <v>0.98250512160918202</v>
      </c>
      <c r="D917">
        <v>0.83351922836585801</v>
      </c>
      <c r="E917">
        <v>0.52857362014652498</v>
      </c>
      <c r="F917">
        <v>0.21282099735910701</v>
      </c>
      <c r="G917">
        <v>0.12126729677183599</v>
      </c>
      <c r="H917">
        <v>6.9003391571207204E-2</v>
      </c>
      <c r="I917">
        <v>4.4958873914335798E-2</v>
      </c>
      <c r="J917">
        <v>4.9115395587652301E-2</v>
      </c>
      <c r="K917">
        <v>4.3897272958694201E-2</v>
      </c>
      <c r="L917">
        <v>1050.1204541484001</v>
      </c>
      <c r="M917">
        <v>21.185087787088602</v>
      </c>
      <c r="N917">
        <v>49.791723966045097</v>
      </c>
      <c r="O917">
        <v>49.133506519657402</v>
      </c>
      <c r="P917">
        <v>-0.102920115633688</v>
      </c>
      <c r="Q917">
        <v>4.5234727997401199E-2</v>
      </c>
      <c r="R917">
        <v>0.99928545687902104</v>
      </c>
      <c r="S917" t="s">
        <v>7369</v>
      </c>
      <c r="T917" t="s">
        <v>12902</v>
      </c>
      <c r="U917" t="s">
        <v>12902</v>
      </c>
      <c r="V917" t="s">
        <v>12902</v>
      </c>
      <c r="W917" t="s">
        <v>13800</v>
      </c>
      <c r="X917">
        <v>1</v>
      </c>
      <c r="Y917" t="s">
        <v>20191</v>
      </c>
      <c r="Z917" t="s">
        <v>26492</v>
      </c>
      <c r="AA917">
        <v>0.36164175113748293</v>
      </c>
      <c r="AB917" t="str">
        <f>HYPERLINK("Melting_Curves/meltCurve_H3BP13_TRAPPC2L.pdf", "Melting_Curves/meltCurve_H3BP13_TRAPPC2L.pdf")</f>
        <v>Melting_Curves/meltCurve_H3BP13_TRAPPC2L.pdf</v>
      </c>
    </row>
    <row r="918" spans="1:28" x14ac:dyDescent="0.25">
      <c r="A918" t="s">
        <v>922</v>
      </c>
      <c r="B918">
        <v>0.99673306730245903</v>
      </c>
      <c r="C918">
        <v>1.0003320505133599</v>
      </c>
      <c r="D918">
        <v>1.0038177747671899</v>
      </c>
      <c r="E918">
        <v>1.02267509700279</v>
      </c>
      <c r="F918">
        <v>0.740853729272688</v>
      </c>
      <c r="G918">
        <v>0.505047072012347</v>
      </c>
      <c r="H918">
        <v>0.18411984627174199</v>
      </c>
      <c r="I918">
        <v>0.118708925415621</v>
      </c>
      <c r="J918">
        <v>0.12606367873838201</v>
      </c>
      <c r="K918">
        <v>0.101067361032077</v>
      </c>
      <c r="L918">
        <v>1326.67226233975</v>
      </c>
      <c r="M918">
        <v>23.709678372379798</v>
      </c>
      <c r="N918">
        <v>56.426037687050503</v>
      </c>
      <c r="O918">
        <v>55.561391506682902</v>
      </c>
      <c r="P918">
        <v>-9.7103306369707904E-2</v>
      </c>
      <c r="Q918">
        <v>8.9805417170347498E-2</v>
      </c>
      <c r="R918">
        <v>0.99370768500213602</v>
      </c>
      <c r="S918" t="s">
        <v>7370</v>
      </c>
      <c r="T918" t="s">
        <v>12902</v>
      </c>
      <c r="U918" t="s">
        <v>12902</v>
      </c>
      <c r="V918" t="s">
        <v>12902</v>
      </c>
      <c r="W918" t="s">
        <v>13801</v>
      </c>
      <c r="X918">
        <v>18</v>
      </c>
      <c r="Y918" t="s">
        <v>20192</v>
      </c>
      <c r="Z918" t="s">
        <v>26493</v>
      </c>
      <c r="AA918">
        <v>0.58299043415022178</v>
      </c>
      <c r="AB918" t="str">
        <f>HYPERLINK("Melting_Curves/meltCurve_H3BP20_HEXA.pdf", "Melting_Curves/meltCurve_H3BP20_HEXA.pdf")</f>
        <v>Melting_Curves/meltCurve_H3BP20_HEXA.pdf</v>
      </c>
    </row>
    <row r="919" spans="1:28" x14ac:dyDescent="0.25">
      <c r="A919" t="s">
        <v>923</v>
      </c>
      <c r="B919">
        <v>0.99673306730245903</v>
      </c>
      <c r="C919">
        <v>1.0073149663215599</v>
      </c>
      <c r="D919">
        <v>1.0279030760533301</v>
      </c>
      <c r="E919">
        <v>0.95164171255029595</v>
      </c>
      <c r="F919">
        <v>0.73708857661738003</v>
      </c>
      <c r="G919">
        <v>0.572886569441732</v>
      </c>
      <c r="H919">
        <v>0.30496459836767997</v>
      </c>
      <c r="I919">
        <v>0.161319522727293</v>
      </c>
      <c r="J919">
        <v>0.147099376958994</v>
      </c>
      <c r="K919">
        <v>0.152904339464463</v>
      </c>
      <c r="L919">
        <v>1022.98985086302</v>
      </c>
      <c r="M919">
        <v>18.0750797309903</v>
      </c>
      <c r="N919">
        <v>57.307923935475003</v>
      </c>
      <c r="O919">
        <v>55.9175825504202</v>
      </c>
      <c r="P919">
        <v>-7.2695602545163496E-2</v>
      </c>
      <c r="Q919">
        <v>0.10047089704901099</v>
      </c>
      <c r="R919">
        <v>0.99411225060795905</v>
      </c>
      <c r="S919" t="s">
        <v>7371</v>
      </c>
      <c r="T919" t="s">
        <v>12902</v>
      </c>
      <c r="U919" t="s">
        <v>12902</v>
      </c>
      <c r="V919" t="s">
        <v>12902</v>
      </c>
      <c r="W919" t="s">
        <v>13802</v>
      </c>
      <c r="X919">
        <v>13</v>
      </c>
      <c r="Y919" t="s">
        <v>20193</v>
      </c>
      <c r="Z919" t="s">
        <v>26494</v>
      </c>
      <c r="AA919">
        <v>0.61079732462503245</v>
      </c>
      <c r="AB919" t="str">
        <f>HYPERLINK("Melting_Curves/meltCurve_H3BP28_COQ7.pdf", "Melting_Curves/meltCurve_H3BP28_COQ7.pdf")</f>
        <v>Melting_Curves/meltCurve_H3BP28_COQ7.pdf</v>
      </c>
    </row>
    <row r="920" spans="1:28" x14ac:dyDescent="0.25">
      <c r="A920" t="s">
        <v>924</v>
      </c>
      <c r="B920">
        <v>0.99673306730245903</v>
      </c>
      <c r="C920">
        <v>1.00854545225384</v>
      </c>
      <c r="D920">
        <v>0.96182021012083996</v>
      </c>
      <c r="E920">
        <v>1.1287011179531801</v>
      </c>
      <c r="F920">
        <v>0.79879566041842998</v>
      </c>
      <c r="G920">
        <v>0.57896588236500501</v>
      </c>
      <c r="H920">
        <v>0.36007888936226101</v>
      </c>
      <c r="I920">
        <v>0.35884501878887398</v>
      </c>
      <c r="J920">
        <v>0.15523537062523299</v>
      </c>
      <c r="K920">
        <v>4.7009238931828401E-2</v>
      </c>
      <c r="L920">
        <v>909.78705206024995</v>
      </c>
      <c r="M920">
        <v>15.522256825737101</v>
      </c>
      <c r="N920">
        <v>58.902911641132199</v>
      </c>
      <c r="O920">
        <v>57.664804173649401</v>
      </c>
      <c r="P920">
        <v>-6.4815983016681206E-2</v>
      </c>
      <c r="Q920">
        <v>3.6925646564423098E-2</v>
      </c>
      <c r="R920">
        <v>0.95876435051520303</v>
      </c>
      <c r="S920" t="s">
        <v>7372</v>
      </c>
      <c r="T920" t="s">
        <v>12902</v>
      </c>
      <c r="U920" t="s">
        <v>12902</v>
      </c>
      <c r="V920" t="s">
        <v>12902</v>
      </c>
      <c r="W920" t="s">
        <v>13803</v>
      </c>
      <c r="X920">
        <v>3</v>
      </c>
      <c r="Y920" t="s">
        <v>20194</v>
      </c>
      <c r="Z920" t="s">
        <v>26495</v>
      </c>
      <c r="AA920">
        <v>0.64571730647329106</v>
      </c>
      <c r="AB920" t="str">
        <f>HYPERLINK("Melting_Curves/meltCurve_H3BP77_TK2.pdf", "Melting_Curves/meltCurve_H3BP77_TK2.pdf")</f>
        <v>Melting_Curves/meltCurve_H3BP77_TK2.pdf</v>
      </c>
    </row>
    <row r="921" spans="1:28" x14ac:dyDescent="0.25">
      <c r="A921" t="s">
        <v>925</v>
      </c>
      <c r="B921">
        <v>0.99673306730245903</v>
      </c>
      <c r="C921">
        <v>0.90302988059210998</v>
      </c>
      <c r="D921">
        <v>0.70327032895184405</v>
      </c>
      <c r="E921">
        <v>0.31266062903526698</v>
      </c>
      <c r="F921">
        <v>0.207581813681741</v>
      </c>
      <c r="G921">
        <v>0.13191375832310701</v>
      </c>
      <c r="H921">
        <v>0.11036397564577</v>
      </c>
      <c r="I921">
        <v>8.7339003163982007E-2</v>
      </c>
      <c r="J921">
        <v>8.6585041238439894E-2</v>
      </c>
      <c r="K921">
        <v>8.0221179441070004E-2</v>
      </c>
      <c r="L921">
        <v>1016.40129594676</v>
      </c>
      <c r="M921">
        <v>21.4580453225722</v>
      </c>
      <c r="N921">
        <v>47.832623669076199</v>
      </c>
      <c r="O921">
        <v>46.961284178898403</v>
      </c>
      <c r="P921">
        <v>-0.103466185689437</v>
      </c>
      <c r="Q921">
        <v>9.4272539837619601E-2</v>
      </c>
      <c r="R921">
        <v>0.99715278314943501</v>
      </c>
      <c r="S921" t="s">
        <v>7373</v>
      </c>
      <c r="T921" t="s">
        <v>12902</v>
      </c>
      <c r="U921" t="s">
        <v>12902</v>
      </c>
      <c r="V921" t="s">
        <v>12902</v>
      </c>
      <c r="W921" t="s">
        <v>13804</v>
      </c>
      <c r="X921">
        <v>56</v>
      </c>
      <c r="Y921" t="s">
        <v>20195</v>
      </c>
      <c r="Z921" t="s">
        <v>26496</v>
      </c>
      <c r="AA921">
        <v>0.32790860498791879</v>
      </c>
      <c r="AB921" t="str">
        <f>HYPERLINK("Melting_Curves/meltCurve_H3BPE1_MACF1.pdf", "Melting_Curves/meltCurve_H3BPE1_MACF1.pdf")</f>
        <v>Melting_Curves/meltCurve_H3BPE1_MACF1.pdf</v>
      </c>
    </row>
    <row r="922" spans="1:28" x14ac:dyDescent="0.25">
      <c r="A922" t="s">
        <v>926</v>
      </c>
      <c r="B922">
        <v>0.99673306730245903</v>
      </c>
      <c r="C922">
        <v>0.80834447888761396</v>
      </c>
      <c r="D922">
        <v>0.69908814415125897</v>
      </c>
      <c r="E922">
        <v>0.34729961251818497</v>
      </c>
      <c r="F922">
        <v>0.15511104046295099</v>
      </c>
      <c r="G922">
        <v>0.104972777695271</v>
      </c>
      <c r="H922">
        <v>7.9993297839020594E-2</v>
      </c>
      <c r="I922">
        <v>0.14032189857748001</v>
      </c>
      <c r="J922">
        <v>0.27244362885571</v>
      </c>
      <c r="K922">
        <v>0.51680108491356902</v>
      </c>
      <c r="L922">
        <v>1137.6861330613599</v>
      </c>
      <c r="M922">
        <v>24.537662566480801</v>
      </c>
      <c r="N922">
        <v>47.405217292025</v>
      </c>
      <c r="O922">
        <v>46.060239273046598</v>
      </c>
      <c r="P922">
        <v>-0.10545754936422801</v>
      </c>
      <c r="Q922">
        <v>0.208183811638771</v>
      </c>
      <c r="R922">
        <v>0.84032115118514805</v>
      </c>
      <c r="S922" t="s">
        <v>7374</v>
      </c>
      <c r="T922" t="s">
        <v>12902</v>
      </c>
      <c r="U922" t="s">
        <v>12902</v>
      </c>
      <c r="V922" t="s">
        <v>12902</v>
      </c>
      <c r="W922" t="s">
        <v>13805</v>
      </c>
      <c r="X922">
        <v>7</v>
      </c>
      <c r="Y922" t="s">
        <v>20196</v>
      </c>
      <c r="Z922" t="s">
        <v>26497</v>
      </c>
      <c r="AA922">
        <v>0.38368691366367702</v>
      </c>
      <c r="AB922" t="str">
        <f>HYPERLINK("Melting_Curves/meltCurve_H3BPJ7_TCF4.pdf", "Melting_Curves/meltCurve_H3BPJ7_TCF4.pdf")</f>
        <v>Melting_Curves/meltCurve_H3BPJ7_TCF4.pdf</v>
      </c>
    </row>
    <row r="923" spans="1:28" x14ac:dyDescent="0.25">
      <c r="A923" t="s">
        <v>927</v>
      </c>
      <c r="B923">
        <v>0.99673306730245903</v>
      </c>
      <c r="C923">
        <v>1.04103927636454</v>
      </c>
      <c r="D923">
        <v>0.87904000511948699</v>
      </c>
      <c r="E923">
        <v>0.91730500085425004</v>
      </c>
      <c r="F923">
        <v>0.66297839102676004</v>
      </c>
      <c r="G923">
        <v>0.538416897939757</v>
      </c>
      <c r="H923">
        <v>0.47292836834789398</v>
      </c>
      <c r="I923">
        <v>0.69316816017034799</v>
      </c>
      <c r="J923">
        <v>0.53264546071909102</v>
      </c>
      <c r="K923">
        <v>0.50101124743946102</v>
      </c>
      <c r="L923">
        <v>1694.8731988764901</v>
      </c>
      <c r="M923">
        <v>32.911379929300999</v>
      </c>
      <c r="O923">
        <v>51.3090589082327</v>
      </c>
      <c r="P923">
        <v>-7.3180296975457401E-2</v>
      </c>
      <c r="Q923">
        <v>0.54364764885641204</v>
      </c>
      <c r="R923">
        <v>0.89446890256302203</v>
      </c>
      <c r="S923" t="s">
        <v>7375</v>
      </c>
      <c r="T923" t="s">
        <v>12902</v>
      </c>
      <c r="U923" t="s">
        <v>12902</v>
      </c>
      <c r="V923" t="s">
        <v>12902</v>
      </c>
      <c r="W923" t="s">
        <v>13806</v>
      </c>
      <c r="X923">
        <v>1</v>
      </c>
      <c r="Y923" t="s">
        <v>20197</v>
      </c>
      <c r="Z923" t="s">
        <v>26498</v>
      </c>
      <c r="AA923">
        <v>0.72095731485320846</v>
      </c>
      <c r="AB923" t="str">
        <f>HYPERLINK("Melting_Curves/meltCurve_H3BPL0_CLN3.pdf", "Melting_Curves/meltCurve_H3BPL0_CLN3.pdf")</f>
        <v>Melting_Curves/meltCurve_H3BPL0_CLN3.pdf</v>
      </c>
    </row>
    <row r="924" spans="1:28" x14ac:dyDescent="0.25">
      <c r="A924" t="s">
        <v>928</v>
      </c>
      <c r="B924">
        <v>0.99673306730245903</v>
      </c>
      <c r="C924">
        <v>0.97767537290550199</v>
      </c>
      <c r="D924">
        <v>1.0844310793343099</v>
      </c>
      <c r="E924">
        <v>1.02962891078985</v>
      </c>
      <c r="F924">
        <v>1.3874154186380701</v>
      </c>
      <c r="G924">
        <v>0.88874608134491395</v>
      </c>
      <c r="H924">
        <v>1.2594598654603399</v>
      </c>
      <c r="I924">
        <v>0.55517846075222299</v>
      </c>
      <c r="J924">
        <v>0.21872926636940701</v>
      </c>
      <c r="K924">
        <v>0.17853978852949101</v>
      </c>
      <c r="L924">
        <v>15000</v>
      </c>
      <c r="M924">
        <v>234.596158262035</v>
      </c>
      <c r="N924">
        <v>64.077942129047003</v>
      </c>
      <c r="O924">
        <v>63.9350201988211</v>
      </c>
      <c r="P924">
        <v>-0.73511781132821197</v>
      </c>
      <c r="Q924">
        <v>0.19862675031334501</v>
      </c>
      <c r="R924">
        <v>0.84255715617623705</v>
      </c>
      <c r="S924" t="s">
        <v>7376</v>
      </c>
      <c r="T924" t="s">
        <v>12902</v>
      </c>
      <c r="U924" t="s">
        <v>12902</v>
      </c>
      <c r="V924" t="s">
        <v>12902</v>
      </c>
      <c r="W924" t="s">
        <v>13807</v>
      </c>
      <c r="X924">
        <v>31</v>
      </c>
      <c r="Y924" t="s">
        <v>20198</v>
      </c>
      <c r="Z924" t="s">
        <v>26499</v>
      </c>
      <c r="AA924">
        <v>0.83821580557164344</v>
      </c>
      <c r="AB924" t="str">
        <f>HYPERLINK("Melting_Curves/meltCurve_H3BPS8_ALDOA.pdf", "Melting_Curves/meltCurve_H3BPS8_ALDOA.pdf")</f>
        <v>Melting_Curves/meltCurve_H3BPS8_ALDOA.pdf</v>
      </c>
    </row>
    <row r="925" spans="1:28" x14ac:dyDescent="0.25">
      <c r="A925" t="s">
        <v>929</v>
      </c>
      <c r="B925">
        <v>0.99673306730245903</v>
      </c>
      <c r="C925">
        <v>0.78451516404466903</v>
      </c>
      <c r="D925">
        <v>0.70652288642698202</v>
      </c>
      <c r="E925">
        <v>0.63243032025669899</v>
      </c>
      <c r="F925">
        <v>0.605672295886719</v>
      </c>
      <c r="G925">
        <v>0.60195426219037196</v>
      </c>
      <c r="H925">
        <v>0.607024495636735</v>
      </c>
      <c r="I925">
        <v>0.99302117673137902</v>
      </c>
      <c r="J925">
        <v>1.8444271257870899</v>
      </c>
      <c r="K925">
        <v>1.7716544514282899</v>
      </c>
      <c r="L925">
        <v>15000</v>
      </c>
      <c r="M925">
        <v>230.485367834816</v>
      </c>
      <c r="O925">
        <v>65.075153286842493</v>
      </c>
      <c r="P925">
        <v>0.44272920571295599</v>
      </c>
      <c r="Q925">
        <v>1.5</v>
      </c>
      <c r="R925">
        <v>0.54091681748678799</v>
      </c>
      <c r="S925" t="s">
        <v>7377</v>
      </c>
      <c r="T925" t="s">
        <v>12902</v>
      </c>
      <c r="U925" t="s">
        <v>12902</v>
      </c>
      <c r="V925" t="s">
        <v>12902</v>
      </c>
      <c r="W925" t="s">
        <v>13808</v>
      </c>
      <c r="X925">
        <v>2</v>
      </c>
      <c r="Y925" t="s">
        <v>20199</v>
      </c>
      <c r="Z925" t="s">
        <v>26500</v>
      </c>
      <c r="AA925">
        <v>1.0819319243733601</v>
      </c>
      <c r="AB925" t="str">
        <f>HYPERLINK("Melting_Curves/meltCurve_H3BQA0_SNAPC5.pdf", "Melting_Curves/meltCurve_H3BQA0_SNAPC5.pdf")</f>
        <v>Melting_Curves/meltCurve_H3BQA0_SNAPC5.pdf</v>
      </c>
    </row>
    <row r="926" spans="1:28" x14ac:dyDescent="0.25">
      <c r="A926" t="s">
        <v>930</v>
      </c>
      <c r="B926">
        <v>0.99673306730245903</v>
      </c>
      <c r="C926">
        <v>1.1158275792151999</v>
      </c>
      <c r="D926">
        <v>1.1075949570697099</v>
      </c>
      <c r="E926">
        <v>1.05085065649913</v>
      </c>
      <c r="F926">
        <v>0.82102878354323205</v>
      </c>
      <c r="G926">
        <v>0.57140919640222299</v>
      </c>
      <c r="H926">
        <v>0.52981733545106002</v>
      </c>
      <c r="I926">
        <v>0.75943463050201099</v>
      </c>
      <c r="J926">
        <v>1.13937858266641</v>
      </c>
      <c r="K926">
        <v>1.0647417825433201</v>
      </c>
      <c r="L926">
        <v>13135.1493138773</v>
      </c>
      <c r="M926">
        <v>250</v>
      </c>
      <c r="O926">
        <v>52.537242946179099</v>
      </c>
      <c r="P926">
        <v>-0.22251334637621401</v>
      </c>
      <c r="Q926">
        <v>0.81295622462481199</v>
      </c>
      <c r="R926">
        <v>0.28615966298656798</v>
      </c>
      <c r="S926" t="s">
        <v>7378</v>
      </c>
      <c r="T926" t="s">
        <v>12902</v>
      </c>
      <c r="U926" t="s">
        <v>12902</v>
      </c>
      <c r="V926" t="s">
        <v>12902</v>
      </c>
      <c r="W926" t="s">
        <v>13809</v>
      </c>
      <c r="X926">
        <v>2</v>
      </c>
      <c r="Y926" t="s">
        <v>20200</v>
      </c>
      <c r="Z926" t="s">
        <v>26501</v>
      </c>
      <c r="AA926">
        <v>0.89116149341525253</v>
      </c>
      <c r="AB926" t="str">
        <f>HYPERLINK("Melting_Curves/meltCurve_H3BQA7_OBSCN.pdf", "Melting_Curves/meltCurve_H3BQA7_OBSCN.pdf")</f>
        <v>Melting_Curves/meltCurve_H3BQA7_OBSCN.pdf</v>
      </c>
    </row>
    <row r="927" spans="1:28" x14ac:dyDescent="0.25">
      <c r="A927" t="s">
        <v>931</v>
      </c>
      <c r="B927">
        <v>0.99673306730245903</v>
      </c>
      <c r="C927">
        <v>0.93286306217701498</v>
      </c>
      <c r="D927">
        <v>0.67333963913719197</v>
      </c>
      <c r="E927">
        <v>0.83360351641451402</v>
      </c>
      <c r="F927">
        <v>0.30906427330226</v>
      </c>
      <c r="G927">
        <v>0.14437268990772201</v>
      </c>
      <c r="H927">
        <v>6.3927455619305101E-2</v>
      </c>
      <c r="I927">
        <v>5.4195952701288401E-2</v>
      </c>
      <c r="J927">
        <v>5.4403384476338398E-2</v>
      </c>
      <c r="K927">
        <v>4.6290098235451202E-2</v>
      </c>
      <c r="L927">
        <v>792.509657885465</v>
      </c>
      <c r="M927">
        <v>15.4261921224126</v>
      </c>
      <c r="N927">
        <v>51.4014307742897</v>
      </c>
      <c r="O927">
        <v>50.534175502590202</v>
      </c>
      <c r="P927">
        <v>-7.6012971931669504E-2</v>
      </c>
      <c r="Q927">
        <v>4.0561822594167001E-3</v>
      </c>
      <c r="R927">
        <v>0.94347952083285702</v>
      </c>
      <c r="S927" t="s">
        <v>7379</v>
      </c>
      <c r="T927" t="s">
        <v>12902</v>
      </c>
      <c r="U927" t="s">
        <v>12902</v>
      </c>
      <c r="V927" t="s">
        <v>12902</v>
      </c>
      <c r="W927" t="s">
        <v>13810</v>
      </c>
      <c r="X927">
        <v>6</v>
      </c>
      <c r="Y927" t="s">
        <v>20201</v>
      </c>
      <c r="Z927" t="s">
        <v>26502</v>
      </c>
      <c r="AA927">
        <v>0.40338938985619888</v>
      </c>
      <c r="AB927" t="str">
        <f>HYPERLINK("Melting_Curves/meltCurve_H3BQQ9_UBE2I.pdf", "Melting_Curves/meltCurve_H3BQQ9_UBE2I.pdf")</f>
        <v>Melting_Curves/meltCurve_H3BQQ9_UBE2I.pdf</v>
      </c>
    </row>
    <row r="928" spans="1:28" x14ac:dyDescent="0.25">
      <c r="A928" t="s">
        <v>932</v>
      </c>
      <c r="B928">
        <v>0.99673306730245903</v>
      </c>
      <c r="C928">
        <v>0.97351468116927897</v>
      </c>
      <c r="D928">
        <v>0.86644752400839298</v>
      </c>
      <c r="E928">
        <v>0.79420294077324605</v>
      </c>
      <c r="F928">
        <v>0.77222536123726504</v>
      </c>
      <c r="G928">
        <v>0.56402592828550102</v>
      </c>
      <c r="H928">
        <v>0.375662918235036</v>
      </c>
      <c r="I928">
        <v>0.33526982868816602</v>
      </c>
      <c r="J928">
        <v>0.27507956144782503</v>
      </c>
      <c r="K928">
        <v>0.26338480236709</v>
      </c>
      <c r="L928">
        <v>547.82060748835897</v>
      </c>
      <c r="M928">
        <v>9.6418034004475803</v>
      </c>
      <c r="N928">
        <v>58.415288692582003</v>
      </c>
      <c r="O928">
        <v>54.534548549834497</v>
      </c>
      <c r="P928">
        <v>-3.9098373497285302E-2</v>
      </c>
      <c r="Q928">
        <v>0.11592438377884901</v>
      </c>
      <c r="R928">
        <v>0.98420387264175702</v>
      </c>
      <c r="S928" t="s">
        <v>7380</v>
      </c>
      <c r="T928" t="s">
        <v>12902</v>
      </c>
      <c r="U928" t="s">
        <v>12902</v>
      </c>
      <c r="V928" t="s">
        <v>12902</v>
      </c>
      <c r="W928" t="s">
        <v>13811</v>
      </c>
      <c r="X928">
        <v>1</v>
      </c>
      <c r="Y928" t="s">
        <v>20202</v>
      </c>
      <c r="Z928" t="s">
        <v>26503</v>
      </c>
      <c r="AA928">
        <v>0.6260626872314099</v>
      </c>
      <c r="AB928" t="str">
        <f>HYPERLINK("Melting_Curves/meltCurve_H3BQT8_TMEM170A.pdf", "Melting_Curves/meltCurve_H3BQT8_TMEM170A.pdf")</f>
        <v>Melting_Curves/meltCurve_H3BQT8_TMEM170A.pdf</v>
      </c>
    </row>
    <row r="929" spans="1:28" x14ac:dyDescent="0.25">
      <c r="A929" t="s">
        <v>933</v>
      </c>
      <c r="B929">
        <v>0.99673306730245903</v>
      </c>
      <c r="C929">
        <v>1.0518471807932901</v>
      </c>
      <c r="D929">
        <v>0.92361165997257599</v>
      </c>
      <c r="E929">
        <v>0.88328020938931795</v>
      </c>
      <c r="F929">
        <v>0.69803499968747895</v>
      </c>
      <c r="G929">
        <v>0.32167531514790199</v>
      </c>
      <c r="H929">
        <v>0.22091921815900001</v>
      </c>
      <c r="I929">
        <v>0.24421010525804801</v>
      </c>
      <c r="J929">
        <v>0.22637165909420301</v>
      </c>
      <c r="K929">
        <v>0.17637477110385399</v>
      </c>
      <c r="L929">
        <v>1420.7896682958601</v>
      </c>
      <c r="M929">
        <v>26.4157806607674</v>
      </c>
      <c r="N929">
        <v>54.842893447203302</v>
      </c>
      <c r="O929">
        <v>53.480247317441297</v>
      </c>
      <c r="P929">
        <v>-9.8846943571512899E-2</v>
      </c>
      <c r="Q929">
        <v>0.19952383886653599</v>
      </c>
      <c r="R929">
        <v>0.98830094057868501</v>
      </c>
      <c r="S929" t="s">
        <v>7381</v>
      </c>
      <c r="T929" t="s">
        <v>12902</v>
      </c>
      <c r="U929" t="s">
        <v>12902</v>
      </c>
      <c r="V929" t="s">
        <v>12902</v>
      </c>
      <c r="W929" t="s">
        <v>13812</v>
      </c>
      <c r="X929">
        <v>3</v>
      </c>
      <c r="Y929" t="s">
        <v>20203</v>
      </c>
      <c r="Z929" t="s">
        <v>26504</v>
      </c>
      <c r="AA929">
        <v>0.57404360513514241</v>
      </c>
      <c r="AB929" t="str">
        <f>HYPERLINK("Melting_Curves/meltCurve_H3BQV3_COG8.pdf", "Melting_Curves/meltCurve_H3BQV3_COG8.pdf")</f>
        <v>Melting_Curves/meltCurve_H3BQV3_COG8.pdf</v>
      </c>
    </row>
    <row r="930" spans="1:28" x14ac:dyDescent="0.25">
      <c r="A930" t="s">
        <v>934</v>
      </c>
      <c r="B930">
        <v>0.99673306730245903</v>
      </c>
      <c r="C930">
        <v>0.918254619928069</v>
      </c>
      <c r="D930">
        <v>1.1494420126973199</v>
      </c>
      <c r="E930">
        <v>1.0142154181048599</v>
      </c>
      <c r="F930">
        <v>0.68546766158599404</v>
      </c>
      <c r="G930">
        <v>0.40212305227765499</v>
      </c>
      <c r="H930">
        <v>0.28936105440214599</v>
      </c>
      <c r="I930">
        <v>0.22289577562995699</v>
      </c>
      <c r="J930">
        <v>0.25038088539872599</v>
      </c>
      <c r="K930">
        <v>0.206091691071875</v>
      </c>
      <c r="L930">
        <v>1685.7662803145899</v>
      </c>
      <c r="M930">
        <v>31.147506278351901</v>
      </c>
      <c r="N930">
        <v>55.257005642893397</v>
      </c>
      <c r="O930">
        <v>53.9003877560937</v>
      </c>
      <c r="P930">
        <v>-0.110331811023786</v>
      </c>
      <c r="Q930">
        <v>0.236292492073754</v>
      </c>
      <c r="R930">
        <v>0.97133345095214696</v>
      </c>
      <c r="S930" t="s">
        <v>7382</v>
      </c>
      <c r="T930" t="s">
        <v>12902</v>
      </c>
      <c r="U930" t="s">
        <v>12902</v>
      </c>
      <c r="V930" t="s">
        <v>12902</v>
      </c>
      <c r="W930" t="s">
        <v>13813</v>
      </c>
      <c r="X930">
        <v>21</v>
      </c>
      <c r="Y930" t="s">
        <v>19963</v>
      </c>
      <c r="Z930" t="s">
        <v>26505</v>
      </c>
      <c r="AA930">
        <v>0.60046791475576877</v>
      </c>
      <c r="AB930" t="str">
        <f>HYPERLINK("Melting_Curves/meltCurve_H3BR01_SPINT1.pdf", "Melting_Curves/meltCurve_H3BR01_SPINT1.pdf")</f>
        <v>Melting_Curves/meltCurve_H3BR01_SPINT1.pdf</v>
      </c>
    </row>
    <row r="931" spans="1:28" x14ac:dyDescent="0.25">
      <c r="A931" t="s">
        <v>935</v>
      </c>
      <c r="B931">
        <v>0.99673306730245903</v>
      </c>
      <c r="C931">
        <v>0.96818231545461497</v>
      </c>
      <c r="D931">
        <v>1.0333274518800499</v>
      </c>
      <c r="E931">
        <v>1.00108758229977</v>
      </c>
      <c r="F931">
        <v>0.84820594345091604</v>
      </c>
      <c r="G931">
        <v>0.70840426509237198</v>
      </c>
      <c r="H931">
        <v>0.53840395939708396</v>
      </c>
      <c r="I931">
        <v>0.63634697802644902</v>
      </c>
      <c r="J931">
        <v>0.38776010339091799</v>
      </c>
      <c r="K931">
        <v>0.14180336423109499</v>
      </c>
      <c r="L931">
        <v>664.05312970210605</v>
      </c>
      <c r="M931">
        <v>10.502862596239799</v>
      </c>
      <c r="N931">
        <v>63.225930547124001</v>
      </c>
      <c r="O931">
        <v>61.062833667324497</v>
      </c>
      <c r="P931">
        <v>-4.30175555555549E-2</v>
      </c>
      <c r="Q931">
        <v>0</v>
      </c>
      <c r="R931">
        <v>0.92696561726374904</v>
      </c>
      <c r="S931" t="s">
        <v>7383</v>
      </c>
      <c r="T931" t="s">
        <v>12902</v>
      </c>
      <c r="U931" t="s">
        <v>12902</v>
      </c>
      <c r="V931" t="s">
        <v>12902</v>
      </c>
      <c r="W931" t="s">
        <v>13814</v>
      </c>
      <c r="X931">
        <v>4</v>
      </c>
      <c r="Y931" t="s">
        <v>20204</v>
      </c>
      <c r="Z931" t="s">
        <v>26506</v>
      </c>
      <c r="AA931">
        <v>0.74401878173725799</v>
      </c>
      <c r="AB931" t="str">
        <f>HYPERLINK("Melting_Curves/meltCurve_H3BR94_DCTN5.pdf", "Melting_Curves/meltCurve_H3BR94_DCTN5.pdf")</f>
        <v>Melting_Curves/meltCurve_H3BR94_DCTN5.pdf</v>
      </c>
    </row>
    <row r="932" spans="1:28" x14ac:dyDescent="0.25">
      <c r="A932" t="s">
        <v>936</v>
      </c>
      <c r="B932">
        <v>0.99673306730245903</v>
      </c>
      <c r="C932">
        <v>1.0130974575079701</v>
      </c>
      <c r="D932">
        <v>1.06036740204669</v>
      </c>
      <c r="E932">
        <v>0.972433822248993</v>
      </c>
      <c r="F932">
        <v>0.85815548595094704</v>
      </c>
      <c r="G932">
        <v>0.64068713292091495</v>
      </c>
      <c r="H932">
        <v>0.51761940392091299</v>
      </c>
      <c r="I932">
        <v>0.55589531617761501</v>
      </c>
      <c r="J932">
        <v>0.61179704066596896</v>
      </c>
      <c r="K932">
        <v>0.56528697879989298</v>
      </c>
      <c r="L932">
        <v>2047.01971857535</v>
      </c>
      <c r="M932">
        <v>37.736477008518698</v>
      </c>
      <c r="O932">
        <v>54.093460067262903</v>
      </c>
      <c r="P932">
        <v>-7.6280588767137003E-2</v>
      </c>
      <c r="Q932">
        <v>0.56262263820403302</v>
      </c>
      <c r="R932">
        <v>0.97837485791791601</v>
      </c>
      <c r="S932" t="s">
        <v>7384</v>
      </c>
      <c r="T932" t="s">
        <v>12902</v>
      </c>
      <c r="U932" t="s">
        <v>12902</v>
      </c>
      <c r="V932" t="s">
        <v>12902</v>
      </c>
      <c r="W932" t="s">
        <v>13815</v>
      </c>
      <c r="X932">
        <v>11</v>
      </c>
      <c r="Y932" t="s">
        <v>20205</v>
      </c>
      <c r="Z932" t="s">
        <v>26507</v>
      </c>
      <c r="AA932">
        <v>0.77214324504535881</v>
      </c>
      <c r="AB932" t="str">
        <f>HYPERLINK("Melting_Curves/meltCurve_H3BRF9_ZFYVE19.pdf", "Melting_Curves/meltCurve_H3BRF9_ZFYVE19.pdf")</f>
        <v>Melting_Curves/meltCurve_H3BRF9_ZFYVE19.pdf</v>
      </c>
    </row>
    <row r="933" spans="1:28" x14ac:dyDescent="0.25">
      <c r="A933" t="s">
        <v>937</v>
      </c>
      <c r="B933">
        <v>0.99673306730245903</v>
      </c>
      <c r="C933">
        <v>0.89875483316808402</v>
      </c>
      <c r="D933">
        <v>0.87113417075718202</v>
      </c>
      <c r="E933">
        <v>0.80998119034078597</v>
      </c>
      <c r="F933">
        <v>0.31951571659161798</v>
      </c>
      <c r="G933">
        <v>0.159233923968225</v>
      </c>
      <c r="H933">
        <v>9.4125841318973599E-2</v>
      </c>
      <c r="I933">
        <v>8.7922761338959293E-2</v>
      </c>
      <c r="J933">
        <v>8.7359727362719103E-2</v>
      </c>
      <c r="K933">
        <v>8.3631760770326205E-2</v>
      </c>
      <c r="L933">
        <v>1427.79052055125</v>
      </c>
      <c r="M933">
        <v>27.732635502730599</v>
      </c>
      <c r="N933">
        <v>51.824302640182701</v>
      </c>
      <c r="O933">
        <v>51.218661487441899</v>
      </c>
      <c r="P933">
        <v>-0.124100714177325</v>
      </c>
      <c r="Q933">
        <v>8.3215027651631204E-2</v>
      </c>
      <c r="R933">
        <v>0.98454993837925198</v>
      </c>
      <c r="S933" t="s">
        <v>7385</v>
      </c>
      <c r="T933" t="s">
        <v>12902</v>
      </c>
      <c r="U933" t="s">
        <v>12902</v>
      </c>
      <c r="V933" t="s">
        <v>12902</v>
      </c>
      <c r="W933" t="s">
        <v>13816</v>
      </c>
      <c r="X933">
        <v>12</v>
      </c>
      <c r="Y933" t="s">
        <v>20206</v>
      </c>
      <c r="Z933" t="s">
        <v>26508</v>
      </c>
      <c r="AA933">
        <v>0.44095544397678882</v>
      </c>
      <c r="AB933" t="str">
        <f>HYPERLINK("Melting_Curves/meltCurve_H3BRL3_UBFD1.pdf", "Melting_Curves/meltCurve_H3BRL3_UBFD1.pdf")</f>
        <v>Melting_Curves/meltCurve_H3BRL3_UBFD1.pdf</v>
      </c>
    </row>
    <row r="934" spans="1:28" x14ac:dyDescent="0.25">
      <c r="A934" t="s">
        <v>938</v>
      </c>
      <c r="B934">
        <v>0.99673306730245903</v>
      </c>
      <c r="C934">
        <v>0.98196364538202596</v>
      </c>
      <c r="D934">
        <v>0.99877958982724502</v>
      </c>
      <c r="E934">
        <v>0.95100849253875697</v>
      </c>
      <c r="F934">
        <v>0.87230572806004003</v>
      </c>
      <c r="G934">
        <v>0.70785259900803499</v>
      </c>
      <c r="H934">
        <v>0.47859857905103598</v>
      </c>
      <c r="I934">
        <v>0.28862236425278698</v>
      </c>
      <c r="J934">
        <v>0.20764586652488601</v>
      </c>
      <c r="K934">
        <v>0.159237391557775</v>
      </c>
      <c r="L934">
        <v>923.36524144146495</v>
      </c>
      <c r="M934">
        <v>15.4807941380871</v>
      </c>
      <c r="N934">
        <v>60.196976307880298</v>
      </c>
      <c r="O934">
        <v>58.677163429289301</v>
      </c>
      <c r="P934">
        <v>-6.1605024954162903E-2</v>
      </c>
      <c r="Q934">
        <v>6.6072337081297797E-2</v>
      </c>
      <c r="R934">
        <v>0.99904172217392495</v>
      </c>
      <c r="S934" t="s">
        <v>7386</v>
      </c>
      <c r="T934" t="s">
        <v>12902</v>
      </c>
      <c r="U934" t="s">
        <v>12902</v>
      </c>
      <c r="V934" t="s">
        <v>12902</v>
      </c>
      <c r="W934" t="s">
        <v>13817</v>
      </c>
      <c r="X934">
        <v>20</v>
      </c>
      <c r="Y934" t="s">
        <v>20207</v>
      </c>
      <c r="Z934" t="s">
        <v>26509</v>
      </c>
      <c r="AA934">
        <v>0.68562142127498238</v>
      </c>
      <c r="AB934" t="str">
        <f>HYPERLINK("Melting_Curves/meltCurve_H3BRN4_ABAT.pdf", "Melting_Curves/meltCurve_H3BRN4_ABAT.pdf")</f>
        <v>Melting_Curves/meltCurve_H3BRN4_ABAT.pdf</v>
      </c>
    </row>
    <row r="935" spans="1:28" x14ac:dyDescent="0.25">
      <c r="A935" t="s">
        <v>939</v>
      </c>
      <c r="B935">
        <v>0.99673306730245903</v>
      </c>
      <c r="C935">
        <v>0.94559987534215995</v>
      </c>
      <c r="D935">
        <v>0.579035720614131</v>
      </c>
      <c r="E935">
        <v>0.35257292948617103</v>
      </c>
      <c r="F935">
        <v>0.303822756305418</v>
      </c>
      <c r="G935">
        <v>0.15050827830625901</v>
      </c>
      <c r="H935">
        <v>0.12643792916923899</v>
      </c>
      <c r="I935">
        <v>0.10136243837169399</v>
      </c>
      <c r="J935">
        <v>0.13259459047524799</v>
      </c>
      <c r="K935">
        <v>0.12208713240590199</v>
      </c>
      <c r="L935">
        <v>884.47132924008997</v>
      </c>
      <c r="M935">
        <v>18.850732237279502</v>
      </c>
      <c r="N935">
        <v>47.669449198586101</v>
      </c>
      <c r="O935">
        <v>46.401280380252402</v>
      </c>
      <c r="P935">
        <v>-8.8538488027779402E-2</v>
      </c>
      <c r="Q935">
        <v>0.12828208146435399</v>
      </c>
      <c r="R935">
        <v>0.98111372556546705</v>
      </c>
      <c r="S935" t="s">
        <v>7387</v>
      </c>
      <c r="T935" t="s">
        <v>12902</v>
      </c>
      <c r="U935" t="s">
        <v>12902</v>
      </c>
      <c r="V935" t="s">
        <v>12902</v>
      </c>
      <c r="W935" t="s">
        <v>13818</v>
      </c>
      <c r="X935">
        <v>2</v>
      </c>
      <c r="Y935" t="s">
        <v>20208</v>
      </c>
      <c r="Z935" t="s">
        <v>26510</v>
      </c>
      <c r="AA935">
        <v>0.34394341258545402</v>
      </c>
      <c r="AB935" t="str">
        <f>HYPERLINK("Melting_Curves/meltCurve_H3BRS1_NFATC3.pdf", "Melting_Curves/meltCurve_H3BRS1_NFATC3.pdf")</f>
        <v>Melting_Curves/meltCurve_H3BRS1_NFATC3.pdf</v>
      </c>
    </row>
    <row r="936" spans="1:28" x14ac:dyDescent="0.25">
      <c r="A936" t="s">
        <v>940</v>
      </c>
      <c r="B936">
        <v>0.99673306730245903</v>
      </c>
      <c r="C936">
        <v>0.97430940324403303</v>
      </c>
      <c r="D936">
        <v>0.95477501573637202</v>
      </c>
      <c r="E936">
        <v>0.85452557755337699</v>
      </c>
      <c r="F936">
        <v>0.74295810737714996</v>
      </c>
      <c r="G936">
        <v>0.65603304062144097</v>
      </c>
      <c r="H936">
        <v>0.62274077019894802</v>
      </c>
      <c r="I936">
        <v>1.0208973621008199</v>
      </c>
      <c r="J936">
        <v>1.0769487234470201</v>
      </c>
      <c r="K936">
        <v>1.3344151481985</v>
      </c>
      <c r="L936">
        <v>11507.7793518248</v>
      </c>
      <c r="M936">
        <v>250</v>
      </c>
      <c r="O936">
        <v>46.028171476012801</v>
      </c>
      <c r="P936">
        <v>-0.13413393762315101</v>
      </c>
      <c r="Q936">
        <v>0.90121696148300301</v>
      </c>
      <c r="R936">
        <v>2.8593670318100201E-2</v>
      </c>
      <c r="S936" t="s">
        <v>7388</v>
      </c>
      <c r="T936" t="s">
        <v>12902</v>
      </c>
      <c r="U936" t="s">
        <v>12902</v>
      </c>
      <c r="V936" t="s">
        <v>12902</v>
      </c>
      <c r="W936" t="s">
        <v>13819</v>
      </c>
      <c r="X936">
        <v>2</v>
      </c>
      <c r="Y936" t="s">
        <v>20209</v>
      </c>
      <c r="Z936" t="s">
        <v>26511</v>
      </c>
      <c r="AA936">
        <v>0.92108401166643838</v>
      </c>
      <c r="AB936" t="str">
        <f>HYPERLINK("Melting_Curves/meltCurve_H3BRU1_FAM219B.pdf", "Melting_Curves/meltCurve_H3BRU1_FAM219B.pdf")</f>
        <v>Melting_Curves/meltCurve_H3BRU1_FAM219B.pdf</v>
      </c>
    </row>
    <row r="937" spans="1:28" x14ac:dyDescent="0.25">
      <c r="A937" t="s">
        <v>941</v>
      </c>
      <c r="B937">
        <v>0.99673306730245903</v>
      </c>
      <c r="C937">
        <v>0.94656400607942703</v>
      </c>
      <c r="D937">
        <v>0.96586675424047297</v>
      </c>
      <c r="E937">
        <v>0.44058794467514201</v>
      </c>
      <c r="F937">
        <v>0.21696798868636499</v>
      </c>
      <c r="G937">
        <v>0.14308078843889999</v>
      </c>
      <c r="H937">
        <v>9.79616072213461E-2</v>
      </c>
      <c r="I937">
        <v>9.98472595420863E-2</v>
      </c>
      <c r="J937">
        <v>0.11640480625808899</v>
      </c>
      <c r="K937">
        <v>0.11962074609947899</v>
      </c>
      <c r="L937">
        <v>1841.9057853183999</v>
      </c>
      <c r="M937">
        <v>37.598220955658498</v>
      </c>
      <c r="N937">
        <v>49.356886188871101</v>
      </c>
      <c r="O937">
        <v>48.851208258131898</v>
      </c>
      <c r="P937">
        <v>-0.16890843812815201</v>
      </c>
      <c r="Q937">
        <v>0.122154343967923</v>
      </c>
      <c r="R937">
        <v>0.99413387696607403</v>
      </c>
      <c r="S937" t="s">
        <v>7389</v>
      </c>
      <c r="T937" t="s">
        <v>12902</v>
      </c>
      <c r="U937" t="s">
        <v>12902</v>
      </c>
      <c r="V937" t="s">
        <v>12902</v>
      </c>
      <c r="W937" t="s">
        <v>13820</v>
      </c>
      <c r="X937">
        <v>29</v>
      </c>
      <c r="Y937" t="s">
        <v>20210</v>
      </c>
      <c r="Z937" t="s">
        <v>26512</v>
      </c>
      <c r="AA937">
        <v>0.3885648828761904</v>
      </c>
      <c r="AB937" t="str">
        <f>HYPERLINK("Melting_Curves/meltCurve_H3BRV0_EIF3C.pdf", "Melting_Curves/meltCurve_H3BRV0_EIF3C.pdf")</f>
        <v>Melting_Curves/meltCurve_H3BRV0_EIF3C.pdf</v>
      </c>
    </row>
    <row r="938" spans="1:28" x14ac:dyDescent="0.25">
      <c r="A938" t="s">
        <v>942</v>
      </c>
      <c r="B938">
        <v>0.99673306730245903</v>
      </c>
      <c r="C938">
        <v>0.997508575037797</v>
      </c>
      <c r="D938">
        <v>0.96981145081439402</v>
      </c>
      <c r="E938">
        <v>0.92103977186685004</v>
      </c>
      <c r="F938">
        <v>0.34417406860438099</v>
      </c>
      <c r="G938">
        <v>0.24220288106309401</v>
      </c>
      <c r="H938">
        <v>9.3251332846618101E-2</v>
      </c>
      <c r="I938">
        <v>7.01176788102751E-2</v>
      </c>
      <c r="J938">
        <v>6.1882315559203802E-2</v>
      </c>
      <c r="K938">
        <v>4.6558066176354898E-2</v>
      </c>
      <c r="L938">
        <v>1894.85114232198</v>
      </c>
      <c r="M938">
        <v>36.323271317097898</v>
      </c>
      <c r="N938">
        <v>52.440729104979198</v>
      </c>
      <c r="O938">
        <v>52.008953298968002</v>
      </c>
      <c r="P938">
        <v>-0.159489414834219</v>
      </c>
      <c r="Q938">
        <v>8.6552280658158398E-2</v>
      </c>
      <c r="R938">
        <v>0.98892419143282195</v>
      </c>
      <c r="S938" t="s">
        <v>7390</v>
      </c>
      <c r="T938" t="s">
        <v>12902</v>
      </c>
      <c r="U938" t="s">
        <v>12902</v>
      </c>
      <c r="V938" t="s">
        <v>12902</v>
      </c>
      <c r="W938" t="s">
        <v>13821</v>
      </c>
      <c r="X938">
        <v>4</v>
      </c>
      <c r="Y938" t="s">
        <v>20211</v>
      </c>
      <c r="Z938" t="s">
        <v>26513</v>
      </c>
      <c r="AA938">
        <v>0.46099064314155302</v>
      </c>
      <c r="AB938" t="str">
        <f>HYPERLINK("Melting_Curves/meltCurve_H3BRY6_VWA9.pdf", "Melting_Curves/meltCurve_H3BRY6_VWA9.pdf")</f>
        <v>Melting_Curves/meltCurve_H3BRY6_VWA9.pdf</v>
      </c>
    </row>
    <row r="939" spans="1:28" x14ac:dyDescent="0.25">
      <c r="A939" t="s">
        <v>943</v>
      </c>
      <c r="B939">
        <v>0.99673306730245903</v>
      </c>
      <c r="C939">
        <v>1.04897553309434</v>
      </c>
      <c r="D939">
        <v>0.90352787969287995</v>
      </c>
      <c r="E939">
        <v>0.972878568313012</v>
      </c>
      <c r="F939">
        <v>0.76349865902629799</v>
      </c>
      <c r="G939">
        <v>0.57831288075626497</v>
      </c>
      <c r="H939">
        <v>0.50539053667563305</v>
      </c>
      <c r="I939">
        <v>0.47065218104124901</v>
      </c>
      <c r="J939">
        <v>0.55610403909982298</v>
      </c>
      <c r="K939">
        <v>0.72136346540242302</v>
      </c>
      <c r="L939">
        <v>2386.8639919676002</v>
      </c>
      <c r="M939">
        <v>45.058486269824499</v>
      </c>
      <c r="O939">
        <v>52.8685498981636</v>
      </c>
      <c r="P939">
        <v>-9.3238856231986994E-2</v>
      </c>
      <c r="Q939">
        <v>0.56240014694645202</v>
      </c>
      <c r="R939">
        <v>0.88618871551490996</v>
      </c>
      <c r="S939" t="s">
        <v>7391</v>
      </c>
      <c r="T939" t="s">
        <v>12902</v>
      </c>
      <c r="U939" t="s">
        <v>12902</v>
      </c>
      <c r="V939" t="s">
        <v>12902</v>
      </c>
      <c r="W939" t="s">
        <v>13822</v>
      </c>
      <c r="X939">
        <v>1</v>
      </c>
      <c r="Y939" t="s">
        <v>20212</v>
      </c>
      <c r="Z939" t="s">
        <v>26514</v>
      </c>
      <c r="AA939">
        <v>0.7528868812613545</v>
      </c>
      <c r="AB939" t="str">
        <f>HYPERLINK("Melting_Curves/meltCurve_H3BS42_ZNF768.pdf", "Melting_Curves/meltCurve_H3BS42_ZNF768.pdf")</f>
        <v>Melting_Curves/meltCurve_H3BS42_ZNF768.pdf</v>
      </c>
    </row>
    <row r="940" spans="1:28" x14ac:dyDescent="0.25">
      <c r="A940" t="s">
        <v>944</v>
      </c>
      <c r="B940">
        <v>0.99673306730245903</v>
      </c>
      <c r="C940">
        <v>0.97194699735882895</v>
      </c>
      <c r="D940">
        <v>0.89427126445717797</v>
      </c>
      <c r="E940">
        <v>0.79261329516339196</v>
      </c>
      <c r="F940">
        <v>0.48919302403197301</v>
      </c>
      <c r="G940">
        <v>0.27355011935411999</v>
      </c>
      <c r="H940">
        <v>0.15533568497856201</v>
      </c>
      <c r="I940">
        <v>0.123527110101848</v>
      </c>
      <c r="J940">
        <v>0.1127012809593</v>
      </c>
      <c r="K940">
        <v>0.101938549300491</v>
      </c>
      <c r="L940">
        <v>936.49024416883901</v>
      </c>
      <c r="M940">
        <v>17.821623830731699</v>
      </c>
      <c r="N940">
        <v>53.124202153601502</v>
      </c>
      <c r="O940">
        <v>51.899756163630798</v>
      </c>
      <c r="P940">
        <v>-7.8305745935527193E-2</v>
      </c>
      <c r="Q940">
        <v>8.7885619440276994E-2</v>
      </c>
      <c r="R940">
        <v>0.99808430620130295</v>
      </c>
      <c r="S940" t="s">
        <v>7392</v>
      </c>
      <c r="T940" t="s">
        <v>12902</v>
      </c>
      <c r="U940" t="s">
        <v>12902</v>
      </c>
      <c r="V940" t="s">
        <v>12902</v>
      </c>
      <c r="W940" t="s">
        <v>13823</v>
      </c>
      <c r="X940">
        <v>6</v>
      </c>
      <c r="Y940" t="s">
        <v>20213</v>
      </c>
      <c r="Z940" t="s">
        <v>26515</v>
      </c>
      <c r="AA940">
        <v>0.48469495281026292</v>
      </c>
      <c r="AB940" t="str">
        <f>HYPERLINK("Melting_Curves/meltCurve_H3BSM5_GABARAPL2.pdf", "Melting_Curves/meltCurve_H3BSM5_GABARAPL2.pdf")</f>
        <v>Melting_Curves/meltCurve_H3BSM5_GABARAPL2.pdf</v>
      </c>
    </row>
    <row r="941" spans="1:28" x14ac:dyDescent="0.25">
      <c r="A941" t="s">
        <v>945</v>
      </c>
      <c r="B941">
        <v>0.99673306730245903</v>
      </c>
      <c r="C941">
        <v>0.904917377980617</v>
      </c>
      <c r="D941">
        <v>0.84120022980636999</v>
      </c>
      <c r="E941">
        <v>0.67200481109741195</v>
      </c>
      <c r="F941">
        <v>0.52393966818265802</v>
      </c>
      <c r="G941">
        <v>0.31936221786128499</v>
      </c>
      <c r="H941">
        <v>0.16814164428307499</v>
      </c>
      <c r="I941">
        <v>0.175975967791351</v>
      </c>
      <c r="J941">
        <v>0.209688843269386</v>
      </c>
      <c r="K941">
        <v>0.18204804954453499</v>
      </c>
      <c r="L941">
        <v>676.65017557522106</v>
      </c>
      <c r="M941">
        <v>13.1368333454049</v>
      </c>
      <c r="N941">
        <v>52.740909676227801</v>
      </c>
      <c r="O941">
        <v>50.358163103269497</v>
      </c>
      <c r="P941">
        <v>-5.66034644737489E-2</v>
      </c>
      <c r="Q941">
        <v>0.13222218697452201</v>
      </c>
      <c r="R941">
        <v>0.989010758157439</v>
      </c>
      <c r="S941" t="s">
        <v>7393</v>
      </c>
      <c r="T941" t="s">
        <v>12902</v>
      </c>
      <c r="U941" t="s">
        <v>12902</v>
      </c>
      <c r="V941" t="s">
        <v>12902</v>
      </c>
      <c r="W941" t="s">
        <v>13824</v>
      </c>
      <c r="X941">
        <v>10</v>
      </c>
      <c r="Y941" t="s">
        <v>20214</v>
      </c>
      <c r="Z941" t="s">
        <v>26516</v>
      </c>
      <c r="AA941">
        <v>0.4892419030108236</v>
      </c>
      <c r="AB941" t="str">
        <f>HYPERLINK("Melting_Curves/meltCurve_H3BSM7_C16orf58.pdf", "Melting_Curves/meltCurve_H3BSM7_C16orf58.pdf")</f>
        <v>Melting_Curves/meltCurve_H3BSM7_C16orf58.pdf</v>
      </c>
    </row>
    <row r="942" spans="1:28" x14ac:dyDescent="0.25">
      <c r="A942" t="s">
        <v>946</v>
      </c>
      <c r="B942">
        <v>0.99673306730245903</v>
      </c>
      <c r="C942">
        <v>0.89396163166002596</v>
      </c>
      <c r="D942">
        <v>1.2236973600055601</v>
      </c>
      <c r="E942">
        <v>1.0612720275322101</v>
      </c>
      <c r="F942">
        <v>1.08179906574624</v>
      </c>
      <c r="G942">
        <v>0.72656018478558404</v>
      </c>
      <c r="H942">
        <v>0.482794607351825</v>
      </c>
      <c r="I942">
        <v>0.26515437204736098</v>
      </c>
      <c r="J942">
        <v>0.134574127727173</v>
      </c>
      <c r="K942">
        <v>0.12626181571916201</v>
      </c>
      <c r="L942">
        <v>1463.7517461786199</v>
      </c>
      <c r="M942">
        <v>24.491196494866301</v>
      </c>
      <c r="N942">
        <v>60.312422166270501</v>
      </c>
      <c r="O942">
        <v>59.372246298592302</v>
      </c>
      <c r="P942">
        <v>-9.2873726287166697E-2</v>
      </c>
      <c r="Q942">
        <v>9.9424620299296398E-2</v>
      </c>
      <c r="R942">
        <v>0.94316197874132601</v>
      </c>
      <c r="S942" t="s">
        <v>7394</v>
      </c>
      <c r="T942" t="s">
        <v>12902</v>
      </c>
      <c r="U942" t="s">
        <v>12902</v>
      </c>
      <c r="V942" t="s">
        <v>12902</v>
      </c>
      <c r="W942" t="s">
        <v>13825</v>
      </c>
      <c r="X942">
        <v>3</v>
      </c>
      <c r="Y942" t="s">
        <v>20215</v>
      </c>
      <c r="Z942" t="s">
        <v>26517</v>
      </c>
      <c r="AA942">
        <v>0.69980169562723904</v>
      </c>
      <c r="AB942" t="str">
        <f>HYPERLINK("Melting_Curves/meltCurve_H3BST1_BLOC1S6.pdf", "Melting_Curves/meltCurve_H3BST1_BLOC1S6.pdf")</f>
        <v>Melting_Curves/meltCurve_H3BST1_BLOC1S6.pdf</v>
      </c>
    </row>
    <row r="943" spans="1:28" x14ac:dyDescent="0.25">
      <c r="A943" t="s">
        <v>947</v>
      </c>
      <c r="B943">
        <v>0.99673306730245903</v>
      </c>
      <c r="C943">
        <v>0.97781879008995398</v>
      </c>
      <c r="D943">
        <v>0.95970118312143204</v>
      </c>
      <c r="E943">
        <v>0.96234898859109996</v>
      </c>
      <c r="F943">
        <v>0.68444667328983</v>
      </c>
      <c r="G943">
        <v>0.40028713566325702</v>
      </c>
      <c r="H943">
        <v>0.159253434692708</v>
      </c>
      <c r="I943">
        <v>0.109440043680924</v>
      </c>
      <c r="J943">
        <v>9.9326223065763594E-2</v>
      </c>
      <c r="K943">
        <v>8.7101696995113401E-2</v>
      </c>
      <c r="L943">
        <v>1247.97012064604</v>
      </c>
      <c r="M943">
        <v>22.6876011279229</v>
      </c>
      <c r="N943">
        <v>55.419060467503101</v>
      </c>
      <c r="O943">
        <v>54.584678759449702</v>
      </c>
      <c r="P943">
        <v>-9.5841696142761904E-2</v>
      </c>
      <c r="Q943">
        <v>7.7666026381966E-2</v>
      </c>
      <c r="R943">
        <v>0.99758152691334701</v>
      </c>
      <c r="S943" t="s">
        <v>7395</v>
      </c>
      <c r="T943" t="s">
        <v>12902</v>
      </c>
      <c r="U943" t="s">
        <v>12902</v>
      </c>
      <c r="V943" t="s">
        <v>12902</v>
      </c>
      <c r="W943" t="s">
        <v>13826</v>
      </c>
      <c r="X943">
        <v>8</v>
      </c>
      <c r="Y943" t="s">
        <v>20216</v>
      </c>
      <c r="Z943" t="s">
        <v>26518</v>
      </c>
      <c r="AA943">
        <v>0.54910496515894602</v>
      </c>
      <c r="AB943" t="str">
        <f>HYPERLINK("Melting_Curves/meltCurve_H3BSW6_CTU2.pdf", "Melting_Curves/meltCurve_H3BSW6_CTU2.pdf")</f>
        <v>Melting_Curves/meltCurve_H3BSW6_CTU2.pdf</v>
      </c>
    </row>
    <row r="944" spans="1:28" x14ac:dyDescent="0.25">
      <c r="A944" t="s">
        <v>948</v>
      </c>
      <c r="B944">
        <v>0.99673306730245903</v>
      </c>
      <c r="C944">
        <v>0.87211548694448104</v>
      </c>
      <c r="D944">
        <v>0.99538948570907604</v>
      </c>
      <c r="E944">
        <v>0.81394029479855101</v>
      </c>
      <c r="F944">
        <v>0.46392445148850903</v>
      </c>
      <c r="G944">
        <v>0.244863559410751</v>
      </c>
      <c r="H944">
        <v>0.12533820160650599</v>
      </c>
      <c r="I944">
        <v>0.15989193857756101</v>
      </c>
      <c r="J944">
        <v>0.155743939376492</v>
      </c>
      <c r="K944">
        <v>0.13761651835239899</v>
      </c>
      <c r="L944">
        <v>1314.08948745219</v>
      </c>
      <c r="M944">
        <v>25.194041887473301</v>
      </c>
      <c r="N944">
        <v>52.834960266886597</v>
      </c>
      <c r="O944">
        <v>51.833459963950098</v>
      </c>
      <c r="P944">
        <v>-0.104769303730916</v>
      </c>
      <c r="Q944">
        <v>0.13781449232890899</v>
      </c>
      <c r="R944">
        <v>0.98632965669222195</v>
      </c>
      <c r="S944" t="s">
        <v>7396</v>
      </c>
      <c r="T944" t="s">
        <v>12902</v>
      </c>
      <c r="U944" t="s">
        <v>12902</v>
      </c>
      <c r="V944" t="s">
        <v>12902</v>
      </c>
      <c r="W944" t="s">
        <v>13827</v>
      </c>
      <c r="X944">
        <v>4</v>
      </c>
      <c r="Y944" t="s">
        <v>20217</v>
      </c>
      <c r="Z944" t="s">
        <v>26519</v>
      </c>
      <c r="AA944">
        <v>0.49501759008324869</v>
      </c>
      <c r="AB944" t="str">
        <f>HYPERLINK("Melting_Curves/meltCurve_H3BTL1_MAP1LC3B.pdf", "Melting_Curves/meltCurve_H3BTL1_MAP1LC3B.pdf")</f>
        <v>Melting_Curves/meltCurve_H3BTL1_MAP1LC3B.pdf</v>
      </c>
    </row>
    <row r="945" spans="1:28" x14ac:dyDescent="0.25">
      <c r="A945" t="s">
        <v>949</v>
      </c>
      <c r="B945">
        <v>0.99673306730245903</v>
      </c>
      <c r="C945">
        <v>0.92118950921028397</v>
      </c>
      <c r="D945">
        <v>1.09708296080763</v>
      </c>
      <c r="E945">
        <v>1.0601945341480301</v>
      </c>
      <c r="F945">
        <v>1.4563340082785099</v>
      </c>
      <c r="G945">
        <v>0.88800155428900696</v>
      </c>
      <c r="H945">
        <v>0.70086840443838305</v>
      </c>
      <c r="I945">
        <v>0.118731043397901</v>
      </c>
      <c r="J945">
        <v>9.7792145651716303E-2</v>
      </c>
      <c r="K945">
        <v>7.0583780729365803E-2</v>
      </c>
      <c r="L945">
        <v>4316.6935562996596</v>
      </c>
      <c r="M945">
        <v>70.284613932507099</v>
      </c>
      <c r="N945">
        <v>61.5665769047217</v>
      </c>
      <c r="O945">
        <v>61.367668900913699</v>
      </c>
      <c r="P945">
        <v>-0.26389922859204901</v>
      </c>
      <c r="Q945">
        <v>7.8325907058143004E-2</v>
      </c>
      <c r="R945">
        <v>0.88641134033718305</v>
      </c>
      <c r="S945" t="s">
        <v>7397</v>
      </c>
      <c r="T945" t="s">
        <v>12902</v>
      </c>
      <c r="U945" t="s">
        <v>12902</v>
      </c>
      <c r="V945" t="s">
        <v>12902</v>
      </c>
      <c r="W945" t="s">
        <v>13828</v>
      </c>
      <c r="X945">
        <v>59</v>
      </c>
      <c r="Y945" t="s">
        <v>20218</v>
      </c>
      <c r="Z945" t="s">
        <v>26520</v>
      </c>
      <c r="AA945">
        <v>0.73757291738411168</v>
      </c>
      <c r="AB945" t="str">
        <f>HYPERLINK("Melting_Curves/meltCurve_H3BTN5_PKM.pdf", "Melting_Curves/meltCurve_H3BTN5_PKM.pdf")</f>
        <v>Melting_Curves/meltCurve_H3BTN5_PKM.pdf</v>
      </c>
    </row>
    <row r="946" spans="1:28" x14ac:dyDescent="0.25">
      <c r="A946" t="s">
        <v>950</v>
      </c>
      <c r="B946">
        <v>0.99673306730245903</v>
      </c>
      <c r="C946">
        <v>0.79335743882264698</v>
      </c>
      <c r="D946">
        <v>0.33305507785970101</v>
      </c>
      <c r="E946">
        <v>0.21389740515149</v>
      </c>
      <c r="F946">
        <v>0.18948656085503501</v>
      </c>
      <c r="G946">
        <v>0.11819112732854201</v>
      </c>
      <c r="H946">
        <v>6.8235684654075396E-2</v>
      </c>
      <c r="I946">
        <v>5.7576435121647597E-2</v>
      </c>
      <c r="J946">
        <v>2.82714211842982E-2</v>
      </c>
      <c r="K946">
        <v>1.89605117861768E-2</v>
      </c>
      <c r="L946">
        <v>1152.0756234646501</v>
      </c>
      <c r="M946">
        <v>25.748112792414901</v>
      </c>
      <c r="N946">
        <v>45.055803893719798</v>
      </c>
      <c r="O946">
        <v>44.476800429980301</v>
      </c>
      <c r="P946">
        <v>-0.132921327632711</v>
      </c>
      <c r="Q946">
        <v>8.1587888363660405E-2</v>
      </c>
      <c r="R946">
        <v>0.97504777897513195</v>
      </c>
      <c r="S946" t="s">
        <v>7398</v>
      </c>
      <c r="T946" t="s">
        <v>12902</v>
      </c>
      <c r="U946" t="s">
        <v>12902</v>
      </c>
      <c r="V946" t="s">
        <v>12902</v>
      </c>
      <c r="W946" t="s">
        <v>13829</v>
      </c>
      <c r="X946">
        <v>3</v>
      </c>
      <c r="Y946" t="s">
        <v>20219</v>
      </c>
      <c r="Z946" t="s">
        <v>26521</v>
      </c>
      <c r="AA946">
        <v>0.2355894959714393</v>
      </c>
      <c r="AB946" t="str">
        <f>HYPERLINK("Melting_Curves/meltCurve_H3BTQ7_ORC6.pdf", "Melting_Curves/meltCurve_H3BTQ7_ORC6.pdf")</f>
        <v>Melting_Curves/meltCurve_H3BTQ7_ORC6.pdf</v>
      </c>
    </row>
    <row r="947" spans="1:28" x14ac:dyDescent="0.25">
      <c r="A947" t="s">
        <v>951</v>
      </c>
      <c r="B947">
        <v>0.99673306730245903</v>
      </c>
      <c r="C947">
        <v>0.87127240110108095</v>
      </c>
      <c r="D947">
        <v>0.81580135455840197</v>
      </c>
      <c r="E947">
        <v>0.72506677949690101</v>
      </c>
      <c r="F947">
        <v>0.642100489941272</v>
      </c>
      <c r="G947">
        <v>0.63214912952893398</v>
      </c>
      <c r="H947">
        <v>0.71991355119887201</v>
      </c>
      <c r="I947">
        <v>0.98841128787775301</v>
      </c>
      <c r="J947">
        <v>1.5722105738332901</v>
      </c>
      <c r="K947">
        <v>1.6092350679158101</v>
      </c>
      <c r="L947">
        <v>15000</v>
      </c>
      <c r="M947">
        <v>229.71975752180799</v>
      </c>
      <c r="O947">
        <v>65.292003090872697</v>
      </c>
      <c r="P947">
        <v>0.43979305745680802</v>
      </c>
      <c r="Q947">
        <v>1.5</v>
      </c>
      <c r="R947">
        <v>0.57723686130474905</v>
      </c>
      <c r="S947" t="s">
        <v>7399</v>
      </c>
      <c r="T947" t="s">
        <v>12902</v>
      </c>
      <c r="U947" t="s">
        <v>12902</v>
      </c>
      <c r="V947" t="s">
        <v>12902</v>
      </c>
      <c r="W947" t="s">
        <v>13608</v>
      </c>
      <c r="X947">
        <v>4</v>
      </c>
      <c r="Z947" t="s">
        <v>26522</v>
      </c>
      <c r="AA947">
        <v>1.0783162693464661</v>
      </c>
      <c r="AB947" t="str">
        <f>HYPERLINK("Melting_Curves/meltCurve_H3BTX0_.pdf", "Melting_Curves/meltCurve_H3BTX0_.pdf")</f>
        <v>Melting_Curves/meltCurve_H3BTX0_.pdf</v>
      </c>
    </row>
    <row r="948" spans="1:28" x14ac:dyDescent="0.25">
      <c r="A948" t="s">
        <v>952</v>
      </c>
      <c r="B948">
        <v>0.99673306730245903</v>
      </c>
      <c r="C948">
        <v>0.81463518378946598</v>
      </c>
      <c r="D948">
        <v>0.45277411056997702</v>
      </c>
      <c r="E948">
        <v>0.27569245914957602</v>
      </c>
      <c r="F948">
        <v>0.2166454368804</v>
      </c>
      <c r="G948">
        <v>0.12830896943533099</v>
      </c>
      <c r="H948">
        <v>0.104631166425821</v>
      </c>
      <c r="I948">
        <v>0.100770073714872</v>
      </c>
      <c r="J948">
        <v>0.14358533684222</v>
      </c>
      <c r="K948">
        <v>0.148479271753861</v>
      </c>
      <c r="L948">
        <v>1011.05714423889</v>
      </c>
      <c r="M948">
        <v>22.342648777845699</v>
      </c>
      <c r="N948">
        <v>45.898398508885897</v>
      </c>
      <c r="O948">
        <v>44.894490214276303</v>
      </c>
      <c r="P948">
        <v>-0.10763336021263099</v>
      </c>
      <c r="Q948">
        <v>0.13491992102266201</v>
      </c>
      <c r="R948">
        <v>0.98934477765080497</v>
      </c>
      <c r="S948" t="s">
        <v>7400</v>
      </c>
      <c r="T948" t="s">
        <v>12902</v>
      </c>
      <c r="U948" t="s">
        <v>12902</v>
      </c>
      <c r="V948" t="s">
        <v>12902</v>
      </c>
      <c r="W948" t="s">
        <v>13830</v>
      </c>
      <c r="X948">
        <v>2</v>
      </c>
      <c r="Y948" t="s">
        <v>20220</v>
      </c>
      <c r="Z948" t="s">
        <v>26523</v>
      </c>
      <c r="AA948">
        <v>0.2973651612361819</v>
      </c>
      <c r="AB948" t="str">
        <f>HYPERLINK("Melting_Curves/meltCurve_H3BU23_CDR2.pdf", "Melting_Curves/meltCurve_H3BU23_CDR2.pdf")</f>
        <v>Melting_Curves/meltCurve_H3BU23_CDR2.pdf</v>
      </c>
    </row>
    <row r="949" spans="1:28" x14ac:dyDescent="0.25">
      <c r="A949" t="s">
        <v>953</v>
      </c>
      <c r="B949">
        <v>0.99673306730245903</v>
      </c>
      <c r="C949">
        <v>0.99628989756585995</v>
      </c>
      <c r="D949">
        <v>0.69185694588661995</v>
      </c>
      <c r="E949">
        <v>0.41012894208200001</v>
      </c>
      <c r="F949">
        <v>0.244277995797894</v>
      </c>
      <c r="G949">
        <v>0.117305219877298</v>
      </c>
      <c r="H949">
        <v>6.8026862113180694E-2</v>
      </c>
      <c r="I949">
        <v>6.6433179749409099E-2</v>
      </c>
      <c r="J949">
        <v>7.0236203006965398E-2</v>
      </c>
      <c r="K949">
        <v>5.63239624342717E-2</v>
      </c>
      <c r="L949">
        <v>907.08498035873299</v>
      </c>
      <c r="M949">
        <v>18.776423164213</v>
      </c>
      <c r="N949">
        <v>48.654890403991502</v>
      </c>
      <c r="O949">
        <v>47.771817898438599</v>
      </c>
      <c r="P949">
        <v>-9.2138653963212205E-2</v>
      </c>
      <c r="Q949">
        <v>6.2345988322864199E-2</v>
      </c>
      <c r="R949">
        <v>0.992428471056225</v>
      </c>
      <c r="S949" t="s">
        <v>7401</v>
      </c>
      <c r="T949" t="s">
        <v>12902</v>
      </c>
      <c r="U949" t="s">
        <v>12902</v>
      </c>
      <c r="V949" t="s">
        <v>12902</v>
      </c>
      <c r="W949" t="s">
        <v>13831</v>
      </c>
      <c r="X949">
        <v>1</v>
      </c>
      <c r="Y949" t="s">
        <v>20221</v>
      </c>
      <c r="Z949" t="s">
        <v>26524</v>
      </c>
      <c r="AA949">
        <v>0.33718237107470611</v>
      </c>
      <c r="AB949" t="str">
        <f>HYPERLINK("Melting_Curves/meltCurve_H3BU49_ARL2BP.pdf", "Melting_Curves/meltCurve_H3BU49_ARL2BP.pdf")</f>
        <v>Melting_Curves/meltCurve_H3BU49_ARL2BP.pdf</v>
      </c>
    </row>
    <row r="950" spans="1:28" x14ac:dyDescent="0.25">
      <c r="A950" t="s">
        <v>954</v>
      </c>
      <c r="B950">
        <v>0.99673306730245903</v>
      </c>
      <c r="C950">
        <v>0.95587988453671502</v>
      </c>
      <c r="D950">
        <v>0.81455133092373699</v>
      </c>
      <c r="E950">
        <v>0.75214008398987098</v>
      </c>
      <c r="F950">
        <v>0.55512501838558703</v>
      </c>
      <c r="G950">
        <v>0.45774900806864399</v>
      </c>
      <c r="H950">
        <v>0.31256435170147701</v>
      </c>
      <c r="I950">
        <v>0.37022252281875301</v>
      </c>
      <c r="J950">
        <v>0.28407458229310101</v>
      </c>
      <c r="K950">
        <v>0.15548074152286201</v>
      </c>
      <c r="L950">
        <v>512.20707145702897</v>
      </c>
      <c r="M950">
        <v>9.5718180992005308</v>
      </c>
      <c r="N950">
        <v>55.452240106206901</v>
      </c>
      <c r="O950">
        <v>51.332643800272002</v>
      </c>
      <c r="P950">
        <v>-4.00059998554795E-2</v>
      </c>
      <c r="Q950">
        <v>0.14230126923923</v>
      </c>
      <c r="R950">
        <v>0.97726281396876602</v>
      </c>
      <c r="S950" t="s">
        <v>7402</v>
      </c>
      <c r="T950" t="s">
        <v>12902</v>
      </c>
      <c r="U950" t="s">
        <v>12902</v>
      </c>
      <c r="V950" t="s">
        <v>12902</v>
      </c>
      <c r="W950" t="s">
        <v>13832</v>
      </c>
      <c r="X950">
        <v>2</v>
      </c>
      <c r="Y950" t="s">
        <v>20222</v>
      </c>
      <c r="Z950" t="s">
        <v>26525</v>
      </c>
      <c r="AA950">
        <v>0.55716773714516643</v>
      </c>
      <c r="AB950" t="str">
        <f>HYPERLINK("Melting_Curves/meltCurve_H3BUJ1_ITFG1.pdf", "Melting_Curves/meltCurve_H3BUJ1_ITFG1.pdf")</f>
        <v>Melting_Curves/meltCurve_H3BUJ1_ITFG1.pdf</v>
      </c>
    </row>
    <row r="951" spans="1:28" x14ac:dyDescent="0.25">
      <c r="A951" t="s">
        <v>955</v>
      </c>
      <c r="B951">
        <v>0.99673306730245903</v>
      </c>
      <c r="C951">
        <v>0.79491204606263899</v>
      </c>
      <c r="D951">
        <v>0.63547641341059602</v>
      </c>
      <c r="E951">
        <v>0.79746360543209205</v>
      </c>
      <c r="F951">
        <v>0.59644854944578896</v>
      </c>
      <c r="G951">
        <v>0.43944591617115902</v>
      </c>
      <c r="H951">
        <v>0.21192020629524799</v>
      </c>
      <c r="I951">
        <v>8.6300408191499797E-2</v>
      </c>
      <c r="J951">
        <v>6.4593340237728794E-2</v>
      </c>
      <c r="K951">
        <v>4.2613673370781702E-2</v>
      </c>
      <c r="L951">
        <v>508.47832760636499</v>
      </c>
      <c r="M951">
        <v>9.5089608182317402</v>
      </c>
      <c r="N951">
        <v>53.473595234525</v>
      </c>
      <c r="O951">
        <v>51.268881789425599</v>
      </c>
      <c r="P951">
        <v>-4.63954330686547E-2</v>
      </c>
      <c r="Q951">
        <v>0</v>
      </c>
      <c r="R951">
        <v>0.91519417210496901</v>
      </c>
      <c r="S951" t="s">
        <v>7403</v>
      </c>
      <c r="T951" t="s">
        <v>12902</v>
      </c>
      <c r="U951" t="s">
        <v>12902</v>
      </c>
      <c r="V951" t="s">
        <v>12902</v>
      </c>
      <c r="W951" t="s">
        <v>13833</v>
      </c>
      <c r="X951">
        <v>10</v>
      </c>
      <c r="Y951" t="s">
        <v>20223</v>
      </c>
      <c r="Z951" t="s">
        <v>26526</v>
      </c>
      <c r="AA951">
        <v>0.48275332519660319</v>
      </c>
      <c r="AB951" t="str">
        <f>HYPERLINK("Melting_Curves/meltCurve_H3BUQ2_OGFOD1.pdf", "Melting_Curves/meltCurve_H3BUQ2_OGFOD1.pdf")</f>
        <v>Melting_Curves/meltCurve_H3BUQ2_OGFOD1.pdf</v>
      </c>
    </row>
    <row r="952" spans="1:28" x14ac:dyDescent="0.25">
      <c r="A952" t="s">
        <v>956</v>
      </c>
      <c r="B952">
        <v>0.99673306730245903</v>
      </c>
      <c r="C952">
        <v>0.91026833495742698</v>
      </c>
      <c r="D952">
        <v>0.77898755535931796</v>
      </c>
      <c r="E952">
        <v>0.46219980031689201</v>
      </c>
      <c r="F952">
        <v>0.22903439547936399</v>
      </c>
      <c r="G952">
        <v>0.18241461413971899</v>
      </c>
      <c r="H952">
        <v>9.8180730743107097E-2</v>
      </c>
      <c r="I952">
        <v>6.9427070873999103E-2</v>
      </c>
      <c r="J952">
        <v>3.4832342247171702E-2</v>
      </c>
      <c r="K952">
        <v>3.2738969363710499E-2</v>
      </c>
      <c r="L952">
        <v>810.80991631921404</v>
      </c>
      <c r="M952">
        <v>16.533762539755099</v>
      </c>
      <c r="N952">
        <v>49.3227770237188</v>
      </c>
      <c r="O952">
        <v>48.339100023735199</v>
      </c>
      <c r="P952">
        <v>-8.1643703387428407E-2</v>
      </c>
      <c r="Q952">
        <v>4.5272064201895397E-2</v>
      </c>
      <c r="R952">
        <v>0.99632970102441798</v>
      </c>
      <c r="S952" t="s">
        <v>7404</v>
      </c>
      <c r="T952" t="s">
        <v>12902</v>
      </c>
      <c r="U952" t="s">
        <v>12902</v>
      </c>
      <c r="V952" t="s">
        <v>12902</v>
      </c>
      <c r="W952" t="s">
        <v>13834</v>
      </c>
      <c r="X952">
        <v>1</v>
      </c>
      <c r="Y952" t="s">
        <v>20224</v>
      </c>
      <c r="Z952" t="s">
        <v>26527</v>
      </c>
      <c r="AA952">
        <v>0.35248479182943471</v>
      </c>
      <c r="AB952" t="str">
        <f>HYPERLINK("Melting_Curves/meltCurve_H3BUY0_MRPL21.pdf", "Melting_Curves/meltCurve_H3BUY0_MRPL21.pdf")</f>
        <v>Melting_Curves/meltCurve_H3BUY0_MRPL21.pdf</v>
      </c>
    </row>
    <row r="953" spans="1:28" x14ac:dyDescent="0.25">
      <c r="A953" t="s">
        <v>957</v>
      </c>
      <c r="B953">
        <v>0.99673306730245903</v>
      </c>
      <c r="C953">
        <v>0.96657909612980097</v>
      </c>
      <c r="D953">
        <v>0.94267960165420905</v>
      </c>
      <c r="E953">
        <v>0.87833517431839203</v>
      </c>
      <c r="F953">
        <v>0.41493870825608797</v>
      </c>
      <c r="G953">
        <v>0.25965479454219997</v>
      </c>
      <c r="H953">
        <v>0.182197812531491</v>
      </c>
      <c r="I953">
        <v>0.193412229201393</v>
      </c>
      <c r="J953">
        <v>0.26391360883764903</v>
      </c>
      <c r="K953">
        <v>0.402051522795421</v>
      </c>
      <c r="L953">
        <v>2156.7258719910401</v>
      </c>
      <c r="M953">
        <v>41.8739495553192</v>
      </c>
      <c r="N953">
        <v>52.410913191296899</v>
      </c>
      <c r="O953">
        <v>51.388142636129501</v>
      </c>
      <c r="P953">
        <v>-0.151256731573197</v>
      </c>
      <c r="Q953">
        <v>0.25750600519445099</v>
      </c>
      <c r="R953">
        <v>0.96833253720985701</v>
      </c>
      <c r="S953" t="s">
        <v>7405</v>
      </c>
      <c r="T953" t="s">
        <v>12902</v>
      </c>
      <c r="U953" t="s">
        <v>12902</v>
      </c>
      <c r="V953" t="s">
        <v>12902</v>
      </c>
      <c r="W953" t="s">
        <v>13835</v>
      </c>
      <c r="X953">
        <v>7</v>
      </c>
      <c r="Y953" t="s">
        <v>20225</v>
      </c>
      <c r="Z953" t="s">
        <v>26528</v>
      </c>
      <c r="AA953">
        <v>0.54466733015736635</v>
      </c>
      <c r="AB953" t="str">
        <f>HYPERLINK("Melting_Curves/meltCurve_H3BV80_RNPS1.pdf", "Melting_Curves/meltCurve_H3BV80_RNPS1.pdf")</f>
        <v>Melting_Curves/meltCurve_H3BV80_RNPS1.pdf</v>
      </c>
    </row>
    <row r="954" spans="1:28" x14ac:dyDescent="0.25">
      <c r="A954" t="s">
        <v>958</v>
      </c>
      <c r="B954">
        <v>0.99673306730245903</v>
      </c>
      <c r="C954">
        <v>0.74810081205960299</v>
      </c>
      <c r="D954">
        <v>0.91650095683202004</v>
      </c>
      <c r="E954">
        <v>0.76928519746205803</v>
      </c>
      <c r="F954">
        <v>0.6920550074795</v>
      </c>
      <c r="G954">
        <v>0.54283736205823596</v>
      </c>
      <c r="H954">
        <v>0.67889281264485901</v>
      </c>
      <c r="I954">
        <v>0.96012682908066005</v>
      </c>
      <c r="J954">
        <v>1.7978323713829201</v>
      </c>
      <c r="K954">
        <v>1.8187408716103199</v>
      </c>
      <c r="L954">
        <v>15000</v>
      </c>
      <c r="M954">
        <v>229.91084946474601</v>
      </c>
      <c r="O954">
        <v>65.237745376971802</v>
      </c>
      <c r="P954">
        <v>0.44052498833494602</v>
      </c>
      <c r="Q954">
        <v>1.5</v>
      </c>
      <c r="R954">
        <v>0.60646496402603001</v>
      </c>
      <c r="S954" t="s">
        <v>7406</v>
      </c>
      <c r="T954" t="s">
        <v>12902</v>
      </c>
      <c r="U954" t="s">
        <v>12902</v>
      </c>
      <c r="V954" t="s">
        <v>12902</v>
      </c>
      <c r="W954" t="s">
        <v>13836</v>
      </c>
      <c r="X954">
        <v>1</v>
      </c>
      <c r="Y954" t="s">
        <v>20226</v>
      </c>
      <c r="Z954" t="s">
        <v>26529</v>
      </c>
      <c r="AA954">
        <v>1.079220971582127</v>
      </c>
      <c r="AB954" t="str">
        <f>HYPERLINK("Melting_Curves/meltCurve_H3BVI4_LMF1.pdf", "Melting_Curves/meltCurve_H3BVI4_LMF1.pdf")</f>
        <v>Melting_Curves/meltCurve_H3BVI4_LMF1.pdf</v>
      </c>
    </row>
    <row r="955" spans="1:28" x14ac:dyDescent="0.25">
      <c r="A955" t="s">
        <v>959</v>
      </c>
      <c r="B955">
        <v>0.99673306730245903</v>
      </c>
      <c r="C955">
        <v>0.889573225589814</v>
      </c>
      <c r="D955">
        <v>0.86419266523613403</v>
      </c>
      <c r="E955">
        <v>0.67475179810220698</v>
      </c>
      <c r="F955">
        <v>0.338583860177185</v>
      </c>
      <c r="G955">
        <v>0.21200378890659899</v>
      </c>
      <c r="H955">
        <v>9.6762456037572803E-2</v>
      </c>
      <c r="I955">
        <v>4.6753860072175399E-2</v>
      </c>
      <c r="J955">
        <v>5.3632630584068301E-2</v>
      </c>
      <c r="K955">
        <v>3.6257796512120903E-2</v>
      </c>
      <c r="L955">
        <v>794.68488207778398</v>
      </c>
      <c r="M955">
        <v>15.490339886262101</v>
      </c>
      <c r="N955">
        <v>51.420560622362302</v>
      </c>
      <c r="O955">
        <v>50.469782516736601</v>
      </c>
      <c r="P955">
        <v>-7.5391012876461105E-2</v>
      </c>
      <c r="Q955">
        <v>1.7547921359392302E-2</v>
      </c>
      <c r="R955">
        <v>0.99435760698921505</v>
      </c>
      <c r="S955" t="s">
        <v>7407</v>
      </c>
      <c r="T955" t="s">
        <v>12902</v>
      </c>
      <c r="U955" t="s">
        <v>12902</v>
      </c>
      <c r="V955" t="s">
        <v>12902</v>
      </c>
      <c r="W955" t="s">
        <v>13837</v>
      </c>
      <c r="X955">
        <v>3</v>
      </c>
      <c r="Y955" t="s">
        <v>20227</v>
      </c>
      <c r="Z955" t="s">
        <v>26530</v>
      </c>
      <c r="AA955">
        <v>0.40900164631017172</v>
      </c>
      <c r="AB955" t="str">
        <f>HYPERLINK("Melting_Curves/meltCurve_H6UMI1_GABARAP.pdf", "Melting_Curves/meltCurve_H6UMI1_GABARAP.pdf")</f>
        <v>Melting_Curves/meltCurve_H6UMI1_GABARAP.pdf</v>
      </c>
    </row>
    <row r="956" spans="1:28" x14ac:dyDescent="0.25">
      <c r="A956" t="s">
        <v>960</v>
      </c>
      <c r="B956">
        <v>0.99673306730245903</v>
      </c>
      <c r="C956">
        <v>1.0206464945209099</v>
      </c>
      <c r="D956">
        <v>0.488810248553395</v>
      </c>
      <c r="E956">
        <v>0.72993582769365895</v>
      </c>
      <c r="F956">
        <v>0.24426693437652999</v>
      </c>
      <c r="G956">
        <v>0.132352500980047</v>
      </c>
      <c r="H956">
        <v>7.3326637323416002E-2</v>
      </c>
      <c r="I956">
        <v>6.4795037799850297E-2</v>
      </c>
      <c r="J956">
        <v>5.6894113784206002E-2</v>
      </c>
      <c r="K956">
        <v>4.4301864412844998E-2</v>
      </c>
      <c r="L956">
        <v>649.42715155623296</v>
      </c>
      <c r="M956">
        <v>13.0454603268879</v>
      </c>
      <c r="N956">
        <v>49.830778135411698</v>
      </c>
      <c r="O956">
        <v>48.655644040086102</v>
      </c>
      <c r="P956">
        <v>-6.6614586474402895E-2</v>
      </c>
      <c r="Q956">
        <v>6.3637272877227497E-3</v>
      </c>
      <c r="R956">
        <v>0.90308835813557198</v>
      </c>
      <c r="S956" t="s">
        <v>7408</v>
      </c>
      <c r="T956" t="s">
        <v>12902</v>
      </c>
      <c r="U956" t="s">
        <v>12902</v>
      </c>
      <c r="V956" t="s">
        <v>12902</v>
      </c>
      <c r="W956" t="s">
        <v>13838</v>
      </c>
      <c r="X956">
        <v>7</v>
      </c>
      <c r="Y956" t="s">
        <v>20228</v>
      </c>
      <c r="Z956" t="s">
        <v>26531</v>
      </c>
      <c r="AA956">
        <v>0.36075661190940361</v>
      </c>
      <c r="AB956" t="str">
        <f>HYPERLINK("Melting_Curves/meltCurve_H7BXD5_GCA.pdf", "Melting_Curves/meltCurve_H7BXD5_GCA.pdf")</f>
        <v>Melting_Curves/meltCurve_H7BXD5_GCA.pdf</v>
      </c>
    </row>
    <row r="957" spans="1:28" x14ac:dyDescent="0.25">
      <c r="A957" t="s">
        <v>961</v>
      </c>
      <c r="B957">
        <v>0.99673306730245903</v>
      </c>
      <c r="C957">
        <v>0.80230546581406204</v>
      </c>
      <c r="D957">
        <v>0.69136563239342697</v>
      </c>
      <c r="E957">
        <v>0.46708506281443402</v>
      </c>
      <c r="F957">
        <v>0.35517711067208302</v>
      </c>
      <c r="G957">
        <v>0.24405948961069901</v>
      </c>
      <c r="H957">
        <v>0.176725923068111</v>
      </c>
      <c r="I957">
        <v>0.22400772120670101</v>
      </c>
      <c r="J957">
        <v>0.295934176159456</v>
      </c>
      <c r="K957">
        <v>0.43961896557964197</v>
      </c>
      <c r="L957">
        <v>815.97705926847698</v>
      </c>
      <c r="M957">
        <v>17.577473411400899</v>
      </c>
      <c r="N957">
        <v>48.594871428482897</v>
      </c>
      <c r="O957">
        <v>45.8334321058461</v>
      </c>
      <c r="P957">
        <v>-6.9785004100067397E-2</v>
      </c>
      <c r="Q957">
        <v>0.27217947651847002</v>
      </c>
      <c r="R957">
        <v>0.924515878396307</v>
      </c>
      <c r="S957" t="s">
        <v>7409</v>
      </c>
      <c r="T957" t="s">
        <v>12902</v>
      </c>
      <c r="U957" t="s">
        <v>12902</v>
      </c>
      <c r="V957" t="s">
        <v>12902</v>
      </c>
      <c r="W957" t="s">
        <v>13839</v>
      </c>
      <c r="X957">
        <v>3</v>
      </c>
      <c r="Y957" t="s">
        <v>20229</v>
      </c>
      <c r="Z957" t="s">
        <v>26532</v>
      </c>
      <c r="AA957">
        <v>0.44259620076275369</v>
      </c>
      <c r="AB957" t="str">
        <f>HYPERLINK("Melting_Curves/meltCurve_H7BXF5_SAP130.pdf", "Melting_Curves/meltCurve_H7BXF5_SAP130.pdf")</f>
        <v>Melting_Curves/meltCurve_H7BXF5_SAP130.pdf</v>
      </c>
    </row>
    <row r="958" spans="1:28" x14ac:dyDescent="0.25">
      <c r="A958" t="s">
        <v>962</v>
      </c>
      <c r="B958">
        <v>0.99673306730245903</v>
      </c>
      <c r="C958">
        <v>0.912362891963301</v>
      </c>
      <c r="D958">
        <v>0.93259881497785901</v>
      </c>
      <c r="E958">
        <v>1.0137202624341699</v>
      </c>
      <c r="F958">
        <v>0.82079603779142196</v>
      </c>
      <c r="G958">
        <v>0.33548882995108298</v>
      </c>
      <c r="H958">
        <v>0.14520030636018</v>
      </c>
      <c r="I958">
        <v>0.14100677468834999</v>
      </c>
      <c r="J958">
        <v>0.132310363156496</v>
      </c>
      <c r="K958">
        <v>0.11606405789560199</v>
      </c>
      <c r="L958">
        <v>2143.91048225023</v>
      </c>
      <c r="M958">
        <v>38.918288057642897</v>
      </c>
      <c r="N958">
        <v>55.506241934337197</v>
      </c>
      <c r="O958">
        <v>54.942638157852699</v>
      </c>
      <c r="P958">
        <v>-0.15455687297301901</v>
      </c>
      <c r="Q958">
        <v>0.12722340620827599</v>
      </c>
      <c r="R958">
        <v>0.99129665630928399</v>
      </c>
      <c r="S958" t="s">
        <v>7410</v>
      </c>
      <c r="T958" t="s">
        <v>12902</v>
      </c>
      <c r="U958" t="s">
        <v>12902</v>
      </c>
      <c r="V958" t="s">
        <v>12902</v>
      </c>
      <c r="W958" t="s">
        <v>13840</v>
      </c>
      <c r="X958">
        <v>13</v>
      </c>
      <c r="Y958" t="s">
        <v>20230</v>
      </c>
      <c r="Z958" t="s">
        <v>26533</v>
      </c>
      <c r="AA958">
        <v>0.56965234553313415</v>
      </c>
      <c r="AB958" t="str">
        <f>HYPERLINK("Melting_Curves/meltCurve_H7BXH2_PPP6R3.pdf", "Melting_Curves/meltCurve_H7BXH2_PPP6R3.pdf")</f>
        <v>Melting_Curves/meltCurve_H7BXH2_PPP6R3.pdf</v>
      </c>
    </row>
    <row r="959" spans="1:28" x14ac:dyDescent="0.25">
      <c r="A959" t="s">
        <v>963</v>
      </c>
      <c r="B959">
        <v>0.99673306730245903</v>
      </c>
      <c r="C959">
        <v>1.00969476713116</v>
      </c>
      <c r="D959">
        <v>1.07987303556629</v>
      </c>
      <c r="E959">
        <v>1.07344008983112</v>
      </c>
      <c r="F959">
        <v>0.95393628621783899</v>
      </c>
      <c r="G959">
        <v>0.550088047232133</v>
      </c>
      <c r="H959">
        <v>0.20345601823786799</v>
      </c>
      <c r="I959">
        <v>0.142688648130535</v>
      </c>
      <c r="J959">
        <v>6.0515430026968603E-2</v>
      </c>
      <c r="K959">
        <v>4.4648205110416797E-2</v>
      </c>
      <c r="L959">
        <v>1893.57064484998</v>
      </c>
      <c r="M959">
        <v>33.179469487705198</v>
      </c>
      <c r="N959">
        <v>57.351211230529103</v>
      </c>
      <c r="O959">
        <v>56.864447880152198</v>
      </c>
      <c r="P959">
        <v>-0.13493976983842401</v>
      </c>
      <c r="Q959">
        <v>7.4941166066811601E-2</v>
      </c>
      <c r="R959">
        <v>0.99031269524692001</v>
      </c>
      <c r="S959" t="s">
        <v>7411</v>
      </c>
      <c r="T959" t="s">
        <v>12902</v>
      </c>
      <c r="U959" t="s">
        <v>12902</v>
      </c>
      <c r="V959" t="s">
        <v>12902</v>
      </c>
      <c r="W959" t="s">
        <v>13841</v>
      </c>
      <c r="X959">
        <v>1</v>
      </c>
      <c r="Y959" t="s">
        <v>20231</v>
      </c>
      <c r="Z959" t="s">
        <v>26534</v>
      </c>
      <c r="AA959">
        <v>0.60645533582508171</v>
      </c>
      <c r="AB959" t="str">
        <f>HYPERLINK("Melting_Curves/meltCurve_H7BXH9_METTL21A.pdf", "Melting_Curves/meltCurve_H7BXH9_METTL21A.pdf")</f>
        <v>Melting_Curves/meltCurve_H7BXH9_METTL21A.pdf</v>
      </c>
    </row>
    <row r="960" spans="1:28" x14ac:dyDescent="0.25">
      <c r="A960" t="s">
        <v>964</v>
      </c>
      <c r="B960">
        <v>0.99673306730245903</v>
      </c>
      <c r="C960">
        <v>0.93863621340490599</v>
      </c>
      <c r="D960">
        <v>0.80989623454397797</v>
      </c>
      <c r="E960">
        <v>0.56887454713641195</v>
      </c>
      <c r="F960">
        <v>0.28365214012040602</v>
      </c>
      <c r="G960">
        <v>0.160452601391603</v>
      </c>
      <c r="H960">
        <v>0.101510600808803</v>
      </c>
      <c r="I960">
        <v>9.4085535635612894E-2</v>
      </c>
      <c r="J960">
        <v>9.9396751650949397E-2</v>
      </c>
      <c r="K960">
        <v>9.8616991967795803E-2</v>
      </c>
      <c r="L960">
        <v>899.18991332478697</v>
      </c>
      <c r="M960">
        <v>18.102972663241001</v>
      </c>
      <c r="N960">
        <v>50.164411689105101</v>
      </c>
      <c r="O960">
        <v>49.076622658375598</v>
      </c>
      <c r="P960">
        <v>-8.4699114222826999E-2</v>
      </c>
      <c r="Q960">
        <v>8.1577008168197601E-2</v>
      </c>
      <c r="R960">
        <v>0.99884846013736495</v>
      </c>
      <c r="S960" t="s">
        <v>7412</v>
      </c>
      <c r="T960" t="s">
        <v>12902</v>
      </c>
      <c r="U960" t="s">
        <v>12902</v>
      </c>
      <c r="V960" t="s">
        <v>12902</v>
      </c>
      <c r="W960" t="s">
        <v>13842</v>
      </c>
      <c r="X960">
        <v>18</v>
      </c>
      <c r="Y960" t="s">
        <v>20232</v>
      </c>
      <c r="Z960" t="s">
        <v>26535</v>
      </c>
      <c r="AA960">
        <v>0.3932019805073127</v>
      </c>
      <c r="AB960" t="str">
        <f>HYPERLINK("Melting_Curves/meltCurve_H7BXI1_ESYT2.pdf", "Melting_Curves/meltCurve_H7BXI1_ESYT2.pdf")</f>
        <v>Melting_Curves/meltCurve_H7BXI1_ESYT2.pdf</v>
      </c>
    </row>
    <row r="961" spans="1:28" x14ac:dyDescent="0.25">
      <c r="A961" t="s">
        <v>965</v>
      </c>
      <c r="B961">
        <v>0.99673306730245903</v>
      </c>
      <c r="C961">
        <v>0.93349095763863199</v>
      </c>
      <c r="D961">
        <v>0.928608597845753</v>
      </c>
      <c r="E961">
        <v>0.77835956456903899</v>
      </c>
      <c r="F961">
        <v>0.60690070994329104</v>
      </c>
      <c r="G961">
        <v>0.38743640929548401</v>
      </c>
      <c r="H961">
        <v>0.16638599928623901</v>
      </c>
      <c r="I961">
        <v>0.13530439567213501</v>
      </c>
      <c r="J961">
        <v>0.15187981065957801</v>
      </c>
      <c r="K961">
        <v>0.13320388474079001</v>
      </c>
      <c r="L961">
        <v>803.525409525545</v>
      </c>
      <c r="M961">
        <v>14.941161160507299</v>
      </c>
      <c r="N961">
        <v>54.430784102137899</v>
      </c>
      <c r="O961">
        <v>52.8435152764294</v>
      </c>
      <c r="P961">
        <v>-6.4905093392097504E-2</v>
      </c>
      <c r="Q961">
        <v>8.1875523014358298E-2</v>
      </c>
      <c r="R961">
        <v>0.99307949694513897</v>
      </c>
      <c r="S961" t="s">
        <v>7413</v>
      </c>
      <c r="T961" t="s">
        <v>12902</v>
      </c>
      <c r="U961" t="s">
        <v>12902</v>
      </c>
      <c r="V961" t="s">
        <v>12902</v>
      </c>
      <c r="W961" t="s">
        <v>13843</v>
      </c>
      <c r="X961">
        <v>10</v>
      </c>
      <c r="Y961" t="s">
        <v>20233</v>
      </c>
      <c r="Z961" t="s">
        <v>26536</v>
      </c>
      <c r="AA961">
        <v>0.52273197590953646</v>
      </c>
      <c r="AB961" t="str">
        <f>HYPERLINK("Melting_Curves/meltCurve_H7BXI5_ERGIC3.pdf", "Melting_Curves/meltCurve_H7BXI5_ERGIC3.pdf")</f>
        <v>Melting_Curves/meltCurve_H7BXI5_ERGIC3.pdf</v>
      </c>
    </row>
    <row r="962" spans="1:28" x14ac:dyDescent="0.25">
      <c r="A962" t="s">
        <v>966</v>
      </c>
      <c r="B962">
        <v>0.99673306730245903</v>
      </c>
      <c r="C962">
        <v>0.86912251562716303</v>
      </c>
      <c r="D962">
        <v>1.04547132079746</v>
      </c>
      <c r="E962">
        <v>0.74980224634527404</v>
      </c>
      <c r="F962">
        <v>0.624523042732678</v>
      </c>
      <c r="G962">
        <v>0.49965950123646502</v>
      </c>
      <c r="H962">
        <v>0.54868913299153699</v>
      </c>
      <c r="I962">
        <v>1.1044415818639099</v>
      </c>
      <c r="J962">
        <v>1.1985890220983</v>
      </c>
      <c r="K962">
        <v>0.790885561465688</v>
      </c>
      <c r="L962">
        <v>11938.9225591472</v>
      </c>
      <c r="M962">
        <v>250</v>
      </c>
      <c r="O962">
        <v>47.752626706154402</v>
      </c>
      <c r="P962">
        <v>-0.27736364122193802</v>
      </c>
      <c r="Q962">
        <v>0.78808248822051596</v>
      </c>
      <c r="R962">
        <v>0.128327656418047</v>
      </c>
      <c r="S962" t="s">
        <v>7414</v>
      </c>
      <c r="T962" t="s">
        <v>12902</v>
      </c>
      <c r="U962" t="s">
        <v>12902</v>
      </c>
      <c r="V962" t="s">
        <v>12902</v>
      </c>
      <c r="W962" t="s">
        <v>13844</v>
      </c>
      <c r="X962">
        <v>3</v>
      </c>
      <c r="Y962" t="s">
        <v>20234</v>
      </c>
      <c r="Z962" t="s">
        <v>26537</v>
      </c>
      <c r="AA962">
        <v>0.84288580170068761</v>
      </c>
      <c r="AB962" t="str">
        <f>HYPERLINK("Melting_Curves/meltCurve_H7BXW7_MPC1.pdf", "Melting_Curves/meltCurve_H7BXW7_MPC1.pdf")</f>
        <v>Melting_Curves/meltCurve_H7BXW7_MPC1.pdf</v>
      </c>
    </row>
    <row r="963" spans="1:28" x14ac:dyDescent="0.25">
      <c r="A963" t="s">
        <v>967</v>
      </c>
      <c r="B963">
        <v>0.99673306730245903</v>
      </c>
      <c r="C963">
        <v>0.91639267616910602</v>
      </c>
      <c r="D963">
        <v>0.80599921616386605</v>
      </c>
      <c r="E963">
        <v>0.52574030275237804</v>
      </c>
      <c r="F963">
        <v>0.32044871228526201</v>
      </c>
      <c r="G963">
        <v>0.25624559252775098</v>
      </c>
      <c r="H963">
        <v>0.19586820946307501</v>
      </c>
      <c r="I963">
        <v>9.4634599396023394E-2</v>
      </c>
      <c r="J963">
        <v>0.15694180211797101</v>
      </c>
      <c r="K963">
        <v>0.12457111710065499</v>
      </c>
      <c r="L963">
        <v>783.35929113544</v>
      </c>
      <c r="M963">
        <v>15.889290797693601</v>
      </c>
      <c r="N963">
        <v>50.218591926376902</v>
      </c>
      <c r="O963">
        <v>48.540009128224703</v>
      </c>
      <c r="P963">
        <v>-7.1532059415978302E-2</v>
      </c>
      <c r="Q963">
        <v>0.125980751351075</v>
      </c>
      <c r="R963">
        <v>0.99403471827392698</v>
      </c>
      <c r="S963" t="s">
        <v>7415</v>
      </c>
      <c r="T963" t="s">
        <v>12902</v>
      </c>
      <c r="U963" t="s">
        <v>12902</v>
      </c>
      <c r="V963" t="s">
        <v>12902</v>
      </c>
      <c r="W963" t="s">
        <v>13845</v>
      </c>
      <c r="X963">
        <v>3</v>
      </c>
      <c r="Y963" t="s">
        <v>20235</v>
      </c>
      <c r="Z963" t="s">
        <v>26538</v>
      </c>
      <c r="AA963">
        <v>0.41611624239616901</v>
      </c>
      <c r="AB963" t="str">
        <f>HYPERLINK("Melting_Curves/meltCurve_H7BXY3_DHX30.pdf", "Melting_Curves/meltCurve_H7BXY3_DHX30.pdf")</f>
        <v>Melting_Curves/meltCurve_H7BXY3_DHX30.pdf</v>
      </c>
    </row>
    <row r="964" spans="1:28" x14ac:dyDescent="0.25">
      <c r="A964" t="s">
        <v>968</v>
      </c>
      <c r="B964">
        <v>0.99673306730245903</v>
      </c>
      <c r="C964">
        <v>0.93248404772025495</v>
      </c>
      <c r="D964">
        <v>0.927239299186851</v>
      </c>
      <c r="E964">
        <v>0.82059223069359599</v>
      </c>
      <c r="F964">
        <v>0.66483162196729195</v>
      </c>
      <c r="G964">
        <v>0.57713299887593095</v>
      </c>
      <c r="H964">
        <v>0.39529535572000402</v>
      </c>
      <c r="I964">
        <v>0.45056402426782199</v>
      </c>
      <c r="J964">
        <v>0.61736365445063002</v>
      </c>
      <c r="K964">
        <v>0.57335105658360697</v>
      </c>
      <c r="L964">
        <v>1016.43795765039</v>
      </c>
      <c r="M964">
        <v>20.037747014031599</v>
      </c>
      <c r="O964">
        <v>50.229039792785699</v>
      </c>
      <c r="P964">
        <v>-4.8916238539719402E-2</v>
      </c>
      <c r="Q964">
        <v>0.50953839786738697</v>
      </c>
      <c r="R964">
        <v>0.89969619940877299</v>
      </c>
      <c r="S964" t="s">
        <v>7416</v>
      </c>
      <c r="T964" t="s">
        <v>12902</v>
      </c>
      <c r="U964" t="s">
        <v>12902</v>
      </c>
      <c r="V964" t="s">
        <v>12902</v>
      </c>
      <c r="W964" t="s">
        <v>13846</v>
      </c>
      <c r="X964">
        <v>7</v>
      </c>
      <c r="Y964" t="s">
        <v>19388</v>
      </c>
      <c r="Z964" t="s">
        <v>26539</v>
      </c>
      <c r="AA964">
        <v>0.69168605530098626</v>
      </c>
      <c r="AB964" t="str">
        <f>HYPERLINK("Melting_Curves/meltCurve_H7BY36_EWSR1.pdf", "Melting_Curves/meltCurve_H7BY36_EWSR1.pdf")</f>
        <v>Melting_Curves/meltCurve_H7BY36_EWSR1.pdf</v>
      </c>
    </row>
    <row r="965" spans="1:28" x14ac:dyDescent="0.25">
      <c r="A965" t="s">
        <v>969</v>
      </c>
      <c r="B965">
        <v>0.99673306730245903</v>
      </c>
      <c r="C965">
        <v>1.00802791763411</v>
      </c>
      <c r="D965">
        <v>0.94788124246467698</v>
      </c>
      <c r="E965">
        <v>0.89521226123470499</v>
      </c>
      <c r="F965">
        <v>0.48216429369253899</v>
      </c>
      <c r="G965">
        <v>0.14169714003759401</v>
      </c>
      <c r="H965">
        <v>8.3007912003243201E-2</v>
      </c>
      <c r="I965">
        <v>7.0505468058728496E-2</v>
      </c>
      <c r="J965">
        <v>8.2834667295773101E-2</v>
      </c>
      <c r="K965">
        <v>7.1254662036238606E-2</v>
      </c>
      <c r="L965">
        <v>1716.12695127098</v>
      </c>
      <c r="M965">
        <v>32.516398258534402</v>
      </c>
      <c r="N965">
        <v>53.025004404899398</v>
      </c>
      <c r="O965">
        <v>52.578861614648297</v>
      </c>
      <c r="P965">
        <v>-0.14371342495283501</v>
      </c>
      <c r="Q965">
        <v>7.0468691565650499E-2</v>
      </c>
      <c r="R965">
        <v>0.99857524811016196</v>
      </c>
      <c r="S965" t="s">
        <v>7417</v>
      </c>
      <c r="T965" t="s">
        <v>12902</v>
      </c>
      <c r="U965" t="s">
        <v>12902</v>
      </c>
      <c r="V965" t="s">
        <v>12902</v>
      </c>
      <c r="W965" t="s">
        <v>13847</v>
      </c>
      <c r="X965">
        <v>17</v>
      </c>
      <c r="Y965" t="s">
        <v>20236</v>
      </c>
      <c r="Z965" t="s">
        <v>26540</v>
      </c>
      <c r="AA965">
        <v>0.4714898260787051</v>
      </c>
      <c r="AB965" t="str">
        <f>HYPERLINK("Melting_Curves/meltCurve_H7BY58_PCMT1.pdf", "Melting_Curves/meltCurve_H7BY58_PCMT1.pdf")</f>
        <v>Melting_Curves/meltCurve_H7BY58_PCMT1.pdf</v>
      </c>
    </row>
    <row r="966" spans="1:28" x14ac:dyDescent="0.25">
      <c r="A966" t="s">
        <v>970</v>
      </c>
      <c r="B966">
        <v>0.99673306730245903</v>
      </c>
      <c r="C966">
        <v>0.98971950957505095</v>
      </c>
      <c r="D966">
        <v>0.87810782236460005</v>
      </c>
      <c r="E966">
        <v>0.66765697331886398</v>
      </c>
      <c r="F966">
        <v>0.36255803259386798</v>
      </c>
      <c r="G966">
        <v>0.20116072032071999</v>
      </c>
      <c r="H966">
        <v>0.124695358391051</v>
      </c>
      <c r="I966">
        <v>0.126858510908851</v>
      </c>
      <c r="J966">
        <v>0.16455816985185201</v>
      </c>
      <c r="K966">
        <v>0.11244427680656501</v>
      </c>
      <c r="L966">
        <v>1034.3341618305701</v>
      </c>
      <c r="M966">
        <v>20.412014923710299</v>
      </c>
      <c r="N966">
        <v>51.358815123184797</v>
      </c>
      <c r="O966">
        <v>50.193975588515698</v>
      </c>
      <c r="P966">
        <v>-8.9537844621962695E-2</v>
      </c>
      <c r="Q966">
        <v>0.119317627640316</v>
      </c>
      <c r="R966">
        <v>0.99763256619362595</v>
      </c>
      <c r="S966" t="s">
        <v>7418</v>
      </c>
      <c r="T966" t="s">
        <v>12902</v>
      </c>
      <c r="U966" t="s">
        <v>12902</v>
      </c>
      <c r="V966" t="s">
        <v>12902</v>
      </c>
      <c r="W966" t="s">
        <v>13848</v>
      </c>
      <c r="X966">
        <v>4</v>
      </c>
      <c r="Y966" t="s">
        <v>20237</v>
      </c>
      <c r="Z966" t="s">
        <v>26541</v>
      </c>
      <c r="AA966">
        <v>0.44439899177795589</v>
      </c>
      <c r="AB966" t="str">
        <f>HYPERLINK("Melting_Curves/meltCurve_H7BYJ1_RNF34.pdf", "Melting_Curves/meltCurve_H7BYJ1_RNF34.pdf")</f>
        <v>Melting_Curves/meltCurve_H7BYJ1_RNF34.pdf</v>
      </c>
    </row>
    <row r="967" spans="1:28" x14ac:dyDescent="0.25">
      <c r="A967" t="s">
        <v>971</v>
      </c>
      <c r="B967">
        <v>0.99673306730245903</v>
      </c>
      <c r="C967">
        <v>0.92093349847310302</v>
      </c>
      <c r="D967">
        <v>0.96381917475879397</v>
      </c>
      <c r="E967">
        <v>1.1444519832332201</v>
      </c>
      <c r="F967">
        <v>1.0759491271128001</v>
      </c>
      <c r="G967">
        <v>0.22942568237974201</v>
      </c>
      <c r="H967">
        <v>0.110261073880271</v>
      </c>
      <c r="I967">
        <v>8.9657288242776703E-2</v>
      </c>
      <c r="J967">
        <v>0.109167533961657</v>
      </c>
      <c r="K967">
        <v>9.4712015817276701E-2</v>
      </c>
      <c r="L967">
        <v>14098.2490362068</v>
      </c>
      <c r="M967">
        <v>250</v>
      </c>
      <c r="N967">
        <v>56.443914735636298</v>
      </c>
      <c r="O967">
        <v>56.389387342970899</v>
      </c>
      <c r="P967">
        <v>-0.99647581084007597</v>
      </c>
      <c r="Q967">
        <v>0.100949433062984</v>
      </c>
      <c r="R967">
        <v>0.98309633624329296</v>
      </c>
      <c r="S967" t="s">
        <v>7419</v>
      </c>
      <c r="T967" t="s">
        <v>12902</v>
      </c>
      <c r="U967" t="s">
        <v>12902</v>
      </c>
      <c r="V967" t="s">
        <v>12902</v>
      </c>
      <c r="W967" t="s">
        <v>13849</v>
      </c>
      <c r="X967">
        <v>5</v>
      </c>
      <c r="Y967" t="s">
        <v>20238</v>
      </c>
      <c r="Z967" t="s">
        <v>26542</v>
      </c>
      <c r="AA967">
        <v>0.59230949363965324</v>
      </c>
      <c r="AB967" t="str">
        <f>HYPERLINK("Melting_Curves/meltCurve_H7BYQ6_INTS9.pdf", "Melting_Curves/meltCurve_H7BYQ6_INTS9.pdf")</f>
        <v>Melting_Curves/meltCurve_H7BYQ6_INTS9.pdf</v>
      </c>
    </row>
    <row r="968" spans="1:28" x14ac:dyDescent="0.25">
      <c r="A968" t="s">
        <v>972</v>
      </c>
      <c r="B968">
        <v>0.99673306730245903</v>
      </c>
      <c r="C968">
        <v>0.96281558584086402</v>
      </c>
      <c r="D968">
        <v>0.92728884567681003</v>
      </c>
      <c r="E968">
        <v>0.85617534060013101</v>
      </c>
      <c r="F968">
        <v>0.89724731183787099</v>
      </c>
      <c r="G968">
        <v>0.75946178244161</v>
      </c>
      <c r="H968">
        <v>0.68524132193664899</v>
      </c>
      <c r="I968">
        <v>1.0934240057840401</v>
      </c>
      <c r="J968">
        <v>1.71652951950961</v>
      </c>
      <c r="K968">
        <v>1.71080666156051</v>
      </c>
      <c r="L968">
        <v>15000</v>
      </c>
      <c r="M968">
        <v>232.90596453028499</v>
      </c>
      <c r="O968">
        <v>64.398926380953199</v>
      </c>
      <c r="P968">
        <v>0.45207656846226002</v>
      </c>
      <c r="Q968">
        <v>1.5</v>
      </c>
      <c r="R968">
        <v>0.75859471261079503</v>
      </c>
      <c r="S968" t="s">
        <v>7420</v>
      </c>
      <c r="T968" t="s">
        <v>12902</v>
      </c>
      <c r="U968" t="s">
        <v>12902</v>
      </c>
      <c r="V968" t="s">
        <v>12902</v>
      </c>
      <c r="W968" t="s">
        <v>13850</v>
      </c>
      <c r="X968">
        <v>39</v>
      </c>
      <c r="Y968" t="s">
        <v>20239</v>
      </c>
      <c r="Z968" t="s">
        <v>26543</v>
      </c>
      <c r="AA968">
        <v>1.0932069706666161</v>
      </c>
      <c r="AB968" t="str">
        <f>HYPERLINK("Melting_Curves/meltCurve_H7BYY1_TPM1.pdf", "Melting_Curves/meltCurve_H7BYY1_TPM1.pdf")</f>
        <v>Melting_Curves/meltCurve_H7BYY1_TPM1.pdf</v>
      </c>
    </row>
    <row r="969" spans="1:28" x14ac:dyDescent="0.25">
      <c r="A969" t="s">
        <v>973</v>
      </c>
      <c r="B969">
        <v>0.99673306730245903</v>
      </c>
      <c r="C969">
        <v>0.82998074468205496</v>
      </c>
      <c r="D969">
        <v>0.82999900452986597</v>
      </c>
      <c r="E969">
        <v>0.72263872198110901</v>
      </c>
      <c r="F969">
        <v>0.40418226617360598</v>
      </c>
      <c r="G969">
        <v>0.23979403767516</v>
      </c>
      <c r="H969">
        <v>0.227757581325751</v>
      </c>
      <c r="I969">
        <v>0.425127203908576</v>
      </c>
      <c r="J969">
        <v>0.41180925892741499</v>
      </c>
      <c r="K969">
        <v>0.37912981444403598</v>
      </c>
      <c r="L969">
        <v>969.48614406162699</v>
      </c>
      <c r="M969">
        <v>19.799507908243299</v>
      </c>
      <c r="N969">
        <v>51.7495451113749</v>
      </c>
      <c r="O969">
        <v>48.473879356725298</v>
      </c>
      <c r="P969">
        <v>-6.8654796182613304E-2</v>
      </c>
      <c r="Q969">
        <v>0.32769005197692502</v>
      </c>
      <c r="R969">
        <v>0.88602534038057701</v>
      </c>
      <c r="S969" t="s">
        <v>7421</v>
      </c>
      <c r="T969" t="s">
        <v>12902</v>
      </c>
      <c r="U969" t="s">
        <v>12902</v>
      </c>
      <c r="V969" t="s">
        <v>12902</v>
      </c>
      <c r="W969" t="s">
        <v>13851</v>
      </c>
      <c r="X969">
        <v>50</v>
      </c>
      <c r="Y969" t="s">
        <v>20240</v>
      </c>
      <c r="Z969" t="s">
        <v>26544</v>
      </c>
      <c r="AA969">
        <v>0.53821806666013361</v>
      </c>
      <c r="AB969" t="str">
        <f>HYPERLINK("Melting_Curves/meltCurve_H7BZ94_P4HB.pdf", "Melting_Curves/meltCurve_H7BZ94_P4HB.pdf")</f>
        <v>Melting_Curves/meltCurve_H7BZ94_P4HB.pdf</v>
      </c>
    </row>
    <row r="970" spans="1:28" x14ac:dyDescent="0.25">
      <c r="A970" t="s">
        <v>974</v>
      </c>
      <c r="B970">
        <v>0.99673306730245903</v>
      </c>
      <c r="C970">
        <v>1.0315180230549801</v>
      </c>
      <c r="D970">
        <v>0.92590814512961805</v>
      </c>
      <c r="E970">
        <v>0.56478131475414095</v>
      </c>
      <c r="F970">
        <v>0.38795250735846498</v>
      </c>
      <c r="G970">
        <v>0.20949070625347299</v>
      </c>
      <c r="H970">
        <v>0.143924122569136</v>
      </c>
      <c r="I970">
        <v>0.14269756691368199</v>
      </c>
      <c r="J970">
        <v>0.14831622095896899</v>
      </c>
      <c r="K970">
        <v>0.12495559217501299</v>
      </c>
      <c r="L970">
        <v>1050.7641758053801</v>
      </c>
      <c r="M970">
        <v>20.9291663333365</v>
      </c>
      <c r="N970">
        <v>50.9783979688576</v>
      </c>
      <c r="O970">
        <v>49.754123752065098</v>
      </c>
      <c r="P970">
        <v>-9.0872669242996501E-2</v>
      </c>
      <c r="Q970">
        <v>0.13591071681966399</v>
      </c>
      <c r="R970">
        <v>0.99195270733127106</v>
      </c>
      <c r="S970" t="s">
        <v>7422</v>
      </c>
      <c r="T970" t="s">
        <v>12902</v>
      </c>
      <c r="U970" t="s">
        <v>12902</v>
      </c>
      <c r="V970" t="s">
        <v>12902</v>
      </c>
      <c r="W970" t="s">
        <v>13852</v>
      </c>
      <c r="X970">
        <v>11</v>
      </c>
      <c r="Y970" t="s">
        <v>20241</v>
      </c>
      <c r="Z970" t="s">
        <v>26545</v>
      </c>
      <c r="AA970">
        <v>0.4408710866806077</v>
      </c>
      <c r="AB970" t="str">
        <f>HYPERLINK("Melting_Curves/meltCurve_H7BZJ3_PDIA3.pdf", "Melting_Curves/meltCurve_H7BZJ3_PDIA3.pdf")</f>
        <v>Melting_Curves/meltCurve_H7BZJ3_PDIA3.pdf</v>
      </c>
    </row>
    <row r="971" spans="1:28" x14ac:dyDescent="0.25">
      <c r="A971" t="s">
        <v>975</v>
      </c>
      <c r="B971">
        <v>0.99673306730245903</v>
      </c>
      <c r="C971">
        <v>0.97422923502107395</v>
      </c>
      <c r="D971">
        <v>1.02070765158776</v>
      </c>
      <c r="E971">
        <v>1.2244547288393499</v>
      </c>
      <c r="F971">
        <v>0.94635622263153996</v>
      </c>
      <c r="G971">
        <v>0.64405849465379095</v>
      </c>
      <c r="H971">
        <v>0.29172013591808899</v>
      </c>
      <c r="I971">
        <v>0.169009847068612</v>
      </c>
      <c r="J971">
        <v>0.180651581842034</v>
      </c>
      <c r="K971">
        <v>0.107489189779266</v>
      </c>
      <c r="L971">
        <v>1880.56665547734</v>
      </c>
      <c r="M971">
        <v>32.683364067952802</v>
      </c>
      <c r="N971">
        <v>58.1388590191536</v>
      </c>
      <c r="O971">
        <v>57.324831261981501</v>
      </c>
      <c r="P971">
        <v>-0.122134898513475</v>
      </c>
      <c r="Q971">
        <v>0.143132279390184</v>
      </c>
      <c r="R971">
        <v>0.96573625005257102</v>
      </c>
      <c r="S971" t="s">
        <v>7423</v>
      </c>
      <c r="T971" t="s">
        <v>12902</v>
      </c>
      <c r="U971" t="s">
        <v>12902</v>
      </c>
      <c r="V971" t="s">
        <v>12902</v>
      </c>
      <c r="W971" t="s">
        <v>13853</v>
      </c>
      <c r="X971">
        <v>1</v>
      </c>
      <c r="Y971" t="s">
        <v>20242</v>
      </c>
      <c r="Z971" t="s">
        <v>26546</v>
      </c>
      <c r="AA971">
        <v>0.6489738952917824</v>
      </c>
      <c r="AB971" t="str">
        <f>HYPERLINK("Melting_Curves/meltCurve_H7BZK6_USP46.pdf", "Melting_Curves/meltCurve_H7BZK6_USP46.pdf")</f>
        <v>Melting_Curves/meltCurve_H7BZK6_USP46.pdf</v>
      </c>
    </row>
    <row r="972" spans="1:28" x14ac:dyDescent="0.25">
      <c r="A972" t="s">
        <v>976</v>
      </c>
      <c r="B972">
        <v>0.99673306730245903</v>
      </c>
      <c r="C972">
        <v>0.99887366655021503</v>
      </c>
      <c r="D972">
        <v>0.82687808213248104</v>
      </c>
      <c r="E972">
        <v>0.59491711081980703</v>
      </c>
      <c r="F972">
        <v>0.59739236083793201</v>
      </c>
      <c r="G972">
        <v>0.58540174237028897</v>
      </c>
      <c r="H972">
        <v>0.50917037471525695</v>
      </c>
      <c r="I972">
        <v>0.77115653439330001</v>
      </c>
      <c r="J972">
        <v>1.0436360803143501</v>
      </c>
      <c r="K972">
        <v>0.95494509648630899</v>
      </c>
      <c r="L972">
        <v>11476.780497908199</v>
      </c>
      <c r="M972">
        <v>250</v>
      </c>
      <c r="O972">
        <v>45.904184611194701</v>
      </c>
      <c r="P972">
        <v>-0.37799633488799</v>
      </c>
      <c r="Q972">
        <v>0.72237418594331704</v>
      </c>
      <c r="R972">
        <v>0.31876855586708402</v>
      </c>
      <c r="S972" t="s">
        <v>7424</v>
      </c>
      <c r="T972" t="s">
        <v>12902</v>
      </c>
      <c r="U972" t="s">
        <v>12902</v>
      </c>
      <c r="V972" t="s">
        <v>12902</v>
      </c>
      <c r="W972" t="s">
        <v>13306</v>
      </c>
      <c r="X972">
        <v>4</v>
      </c>
      <c r="Z972" t="s">
        <v>26547</v>
      </c>
      <c r="AA972">
        <v>0.77706220494564127</v>
      </c>
      <c r="AB972" t="str">
        <f>HYPERLINK("Melting_Curves/meltCurve_H7BZT4_.pdf", "Melting_Curves/meltCurve_H7BZT4_.pdf")</f>
        <v>Melting_Curves/meltCurve_H7BZT4_.pdf</v>
      </c>
    </row>
    <row r="973" spans="1:28" x14ac:dyDescent="0.25">
      <c r="A973" t="s">
        <v>977</v>
      </c>
      <c r="B973">
        <v>0.99673306730245903</v>
      </c>
      <c r="C973">
        <v>1.0093711153200899</v>
      </c>
      <c r="D973">
        <v>1.10714141496451</v>
      </c>
      <c r="E973">
        <v>1.8188767376327599</v>
      </c>
      <c r="F973">
        <v>1.5504482963741499</v>
      </c>
      <c r="G973">
        <v>0.591532316718413</v>
      </c>
      <c r="H973">
        <v>0.128610370277629</v>
      </c>
      <c r="I973">
        <v>0.104883038325122</v>
      </c>
      <c r="J973">
        <v>9.8619721650227699E-2</v>
      </c>
      <c r="K973">
        <v>7.3395515199046593E-2</v>
      </c>
      <c r="L973">
        <v>14210.3551909581</v>
      </c>
      <c r="M973">
        <v>250</v>
      </c>
      <c r="N973">
        <v>56.892987316439999</v>
      </c>
      <c r="O973">
        <v>56.837784411507499</v>
      </c>
      <c r="P973">
        <v>-0.98814424054638905</v>
      </c>
      <c r="Q973">
        <v>0.101377149794144</v>
      </c>
      <c r="R973">
        <v>0.73677279406022</v>
      </c>
      <c r="S973" t="s">
        <v>7425</v>
      </c>
      <c r="T973" t="s">
        <v>12902</v>
      </c>
      <c r="U973" t="s">
        <v>12902</v>
      </c>
      <c r="V973" t="s">
        <v>12902</v>
      </c>
      <c r="W973" t="s">
        <v>13854</v>
      </c>
      <c r="X973">
        <v>1</v>
      </c>
      <c r="Y973" t="s">
        <v>20243</v>
      </c>
      <c r="Z973" t="s">
        <v>26548</v>
      </c>
      <c r="AA973">
        <v>0.60593631025373751</v>
      </c>
      <c r="AB973" t="str">
        <f>HYPERLINK("Melting_Curves/meltCurve_H7C0G7_NHEJ1.pdf", "Melting_Curves/meltCurve_H7C0G7_NHEJ1.pdf")</f>
        <v>Melting_Curves/meltCurve_H7C0G7_NHEJ1.pdf</v>
      </c>
    </row>
    <row r="974" spans="1:28" x14ac:dyDescent="0.25">
      <c r="A974" t="s">
        <v>978</v>
      </c>
      <c r="B974">
        <v>0.99673306730245903</v>
      </c>
      <c r="C974">
        <v>0.749652003500617</v>
      </c>
      <c r="D974">
        <v>0.56587317303726503</v>
      </c>
      <c r="E974">
        <v>0.27132903605229602</v>
      </c>
      <c r="F974">
        <v>0.121307825797762</v>
      </c>
      <c r="G974">
        <v>9.8836016045505695E-2</v>
      </c>
      <c r="H974">
        <v>5.0447670992759999E-2</v>
      </c>
      <c r="I974">
        <v>5.5249898138807201E-2</v>
      </c>
      <c r="J974">
        <v>8.3921928847159197E-2</v>
      </c>
      <c r="K974">
        <v>8.2066631015479896E-2</v>
      </c>
      <c r="L974">
        <v>824.07795185378995</v>
      </c>
      <c r="M974">
        <v>17.878782896379999</v>
      </c>
      <c r="N974">
        <v>46.431535383775199</v>
      </c>
      <c r="O974">
        <v>45.527470891660499</v>
      </c>
      <c r="P974">
        <v>-9.2172954807422797E-2</v>
      </c>
      <c r="Q974">
        <v>6.11913852978309E-2</v>
      </c>
      <c r="R974">
        <v>0.99195013547420796</v>
      </c>
      <c r="S974" t="s">
        <v>7426</v>
      </c>
      <c r="T974" t="s">
        <v>12902</v>
      </c>
      <c r="U974" t="s">
        <v>12902</v>
      </c>
      <c r="V974" t="s">
        <v>12902</v>
      </c>
      <c r="W974" t="s">
        <v>13855</v>
      </c>
      <c r="X974">
        <v>5</v>
      </c>
      <c r="Y974" t="s">
        <v>20244</v>
      </c>
      <c r="Z974" t="s">
        <v>26549</v>
      </c>
      <c r="AA974">
        <v>0.27042990681348772</v>
      </c>
      <c r="AB974" t="str">
        <f>HYPERLINK("Melting_Curves/meltCurve_H7C107_IQSEC1.pdf", "Melting_Curves/meltCurve_H7C107_IQSEC1.pdf")</f>
        <v>Melting_Curves/meltCurve_H7C107_IQSEC1.pdf</v>
      </c>
    </row>
    <row r="975" spans="1:28" x14ac:dyDescent="0.25">
      <c r="A975" t="s">
        <v>979</v>
      </c>
      <c r="B975">
        <v>0.99673306730245903</v>
      </c>
      <c r="C975">
        <v>0.97533436849466704</v>
      </c>
      <c r="D975">
        <v>0.90394655159733805</v>
      </c>
      <c r="E975">
        <v>1.0387544962022699</v>
      </c>
      <c r="F975">
        <v>0.78584719956225701</v>
      </c>
      <c r="G975">
        <v>0.520730496710333</v>
      </c>
      <c r="H975">
        <v>0.24122682196002401</v>
      </c>
      <c r="I975">
        <v>0.45166501759251598</v>
      </c>
      <c r="J975">
        <v>0.46620582469635502</v>
      </c>
      <c r="K975">
        <v>0.40749761972291498</v>
      </c>
      <c r="L975">
        <v>2170.5416627446998</v>
      </c>
      <c r="M975">
        <v>40.064288302169999</v>
      </c>
      <c r="N975">
        <v>56.4082182397892</v>
      </c>
      <c r="O975">
        <v>54.042008018210403</v>
      </c>
      <c r="P975">
        <v>-0.111659818894009</v>
      </c>
      <c r="Q975">
        <v>0.39753730833828299</v>
      </c>
      <c r="R975">
        <v>0.93604357170618502</v>
      </c>
      <c r="S975" t="s">
        <v>7427</v>
      </c>
      <c r="T975" t="s">
        <v>12902</v>
      </c>
      <c r="U975" t="s">
        <v>12902</v>
      </c>
      <c r="V975" t="s">
        <v>12902</v>
      </c>
      <c r="W975" t="s">
        <v>13856</v>
      </c>
      <c r="X975">
        <v>27</v>
      </c>
      <c r="Y975" t="s">
        <v>20245</v>
      </c>
      <c r="Z975" t="s">
        <v>26550</v>
      </c>
      <c r="AA975">
        <v>0.68447424075912955</v>
      </c>
      <c r="AB975" t="str">
        <f>HYPERLINK("Melting_Curves/meltCurve_H7C144_ACTN4.pdf", "Melting_Curves/meltCurve_H7C144_ACTN4.pdf")</f>
        <v>Melting_Curves/meltCurve_H7C144_ACTN4.pdf</v>
      </c>
    </row>
    <row r="976" spans="1:28" x14ac:dyDescent="0.25">
      <c r="A976" t="s">
        <v>980</v>
      </c>
      <c r="B976">
        <v>0.99673306730245903</v>
      </c>
      <c r="C976">
        <v>0.89579350256189505</v>
      </c>
      <c r="D976">
        <v>0.69331573261068702</v>
      </c>
      <c r="E976">
        <v>0.338217296813204</v>
      </c>
      <c r="F976">
        <v>0.23857256403627899</v>
      </c>
      <c r="G976">
        <v>0.18183601748032399</v>
      </c>
      <c r="H976">
        <v>0.13175744783666901</v>
      </c>
      <c r="I976">
        <v>7.9405312729517605E-2</v>
      </c>
      <c r="J976">
        <v>7.8317064366735106E-2</v>
      </c>
      <c r="K976">
        <v>6.97309755478462E-2</v>
      </c>
      <c r="L976">
        <v>870.70269013905704</v>
      </c>
      <c r="M976">
        <v>18.3147220522327</v>
      </c>
      <c r="N976">
        <v>48.084576121436399</v>
      </c>
      <c r="O976">
        <v>46.985244681630697</v>
      </c>
      <c r="P976">
        <v>-8.8343339527439599E-2</v>
      </c>
      <c r="Q976">
        <v>9.3485516051305104E-2</v>
      </c>
      <c r="R976">
        <v>0.99319620626138805</v>
      </c>
      <c r="S976" t="s">
        <v>7428</v>
      </c>
      <c r="T976" t="s">
        <v>12902</v>
      </c>
      <c r="U976" t="s">
        <v>12902</v>
      </c>
      <c r="V976" t="s">
        <v>12902</v>
      </c>
      <c r="W976" t="s">
        <v>13857</v>
      </c>
      <c r="X976">
        <v>3</v>
      </c>
      <c r="Y976" t="s">
        <v>20246</v>
      </c>
      <c r="Z976" t="s">
        <v>26551</v>
      </c>
      <c r="AA976">
        <v>0.33710089103996238</v>
      </c>
      <c r="AB976" t="str">
        <f>HYPERLINK("Melting_Curves/meltCurve_H7C155_RAF1.pdf", "Melting_Curves/meltCurve_H7C155_RAF1.pdf")</f>
        <v>Melting_Curves/meltCurve_H7C155_RAF1.pdf</v>
      </c>
    </row>
    <row r="977" spans="1:28" x14ac:dyDescent="0.25">
      <c r="A977" t="s">
        <v>981</v>
      </c>
      <c r="B977">
        <v>0.99673306730245903</v>
      </c>
      <c r="C977">
        <v>0.92751048102662703</v>
      </c>
      <c r="D977">
        <v>0.90372123511475699</v>
      </c>
      <c r="E977">
        <v>0.43735876406234198</v>
      </c>
      <c r="F977">
        <v>0.20744948333954299</v>
      </c>
      <c r="G977">
        <v>0.12959588247846501</v>
      </c>
      <c r="H977">
        <v>6.9974861194498306E-2</v>
      </c>
      <c r="I977">
        <v>4.8510855633959599E-2</v>
      </c>
      <c r="J977">
        <v>7.1036001559825507E-2</v>
      </c>
      <c r="K977">
        <v>6.8356633515979107E-2</v>
      </c>
      <c r="L977">
        <v>1269.8701211304899</v>
      </c>
      <c r="M977">
        <v>25.887488454294399</v>
      </c>
      <c r="N977">
        <v>49.350500487395799</v>
      </c>
      <c r="O977">
        <v>48.763524845020903</v>
      </c>
      <c r="P977">
        <v>-0.123145517879598</v>
      </c>
      <c r="Q977">
        <v>7.2148041188408105E-2</v>
      </c>
      <c r="R977">
        <v>0.99443663846115704</v>
      </c>
      <c r="S977" t="s">
        <v>7429</v>
      </c>
      <c r="T977" t="s">
        <v>12902</v>
      </c>
      <c r="U977" t="s">
        <v>12902</v>
      </c>
      <c r="V977" t="s">
        <v>12902</v>
      </c>
      <c r="W977" t="s">
        <v>13858</v>
      </c>
      <c r="X977">
        <v>2</v>
      </c>
      <c r="Y977" t="s">
        <v>20247</v>
      </c>
      <c r="Z977" t="s">
        <v>26552</v>
      </c>
      <c r="AA977">
        <v>0.3598114547883825</v>
      </c>
      <c r="AB977" t="str">
        <f>HYPERLINK("Melting_Curves/meltCurve_H7C1F9_RALGAPA2.pdf", "Melting_Curves/meltCurve_H7C1F9_RALGAPA2.pdf")</f>
        <v>Melting_Curves/meltCurve_H7C1F9_RALGAPA2.pdf</v>
      </c>
    </row>
    <row r="978" spans="1:28" x14ac:dyDescent="0.25">
      <c r="A978" t="s">
        <v>982</v>
      </c>
      <c r="B978">
        <v>0.99673306730245903</v>
      </c>
      <c r="C978">
        <v>0.92175715806035796</v>
      </c>
      <c r="D978">
        <v>0.79678765782002103</v>
      </c>
      <c r="E978">
        <v>0.629165680463593</v>
      </c>
      <c r="F978">
        <v>0.37920374636498599</v>
      </c>
      <c r="G978">
        <v>0.27183486489213599</v>
      </c>
      <c r="H978">
        <v>0.14564231497626501</v>
      </c>
      <c r="I978">
        <v>0.108267771308052</v>
      </c>
      <c r="J978">
        <v>0.15435107346076901</v>
      </c>
      <c r="K978">
        <v>0.21732942744613201</v>
      </c>
      <c r="L978">
        <v>765.61021345912604</v>
      </c>
      <c r="M978">
        <v>15.2866821338263</v>
      </c>
      <c r="N978">
        <v>51.121260488989101</v>
      </c>
      <c r="O978">
        <v>49.249873674489599</v>
      </c>
      <c r="P978">
        <v>-6.7252708347147902E-2</v>
      </c>
      <c r="Q978">
        <v>0.133395628924321</v>
      </c>
      <c r="R978">
        <v>0.98816860538772999</v>
      </c>
      <c r="S978" t="s">
        <v>7430</v>
      </c>
      <c r="T978" t="s">
        <v>12902</v>
      </c>
      <c r="U978" t="s">
        <v>12902</v>
      </c>
      <c r="V978" t="s">
        <v>12902</v>
      </c>
      <c r="W978" t="s">
        <v>13859</v>
      </c>
      <c r="X978">
        <v>2</v>
      </c>
      <c r="Y978" t="s">
        <v>20248</v>
      </c>
      <c r="Z978" t="s">
        <v>26553</v>
      </c>
      <c r="AA978">
        <v>0.44460608907844101</v>
      </c>
      <c r="AB978" t="str">
        <f>HYPERLINK("Melting_Curves/meltCurve_H7C1I0_SLC35E1.pdf", "Melting_Curves/meltCurve_H7C1I0_SLC35E1.pdf")</f>
        <v>Melting_Curves/meltCurve_H7C1I0_SLC35E1.pdf</v>
      </c>
    </row>
    <row r="979" spans="1:28" x14ac:dyDescent="0.25">
      <c r="A979" t="s">
        <v>983</v>
      </c>
      <c r="B979">
        <v>0.99673306730245903</v>
      </c>
      <c r="C979">
        <v>0.91526002737310597</v>
      </c>
      <c r="D979">
        <v>0.86987948266674398</v>
      </c>
      <c r="E979">
        <v>0.68150379906394798</v>
      </c>
      <c r="F979">
        <v>0.494001418154492</v>
      </c>
      <c r="G979">
        <v>0.378794419550532</v>
      </c>
      <c r="H979">
        <v>0.24879079424474901</v>
      </c>
      <c r="I979">
        <v>0.26962081808521698</v>
      </c>
      <c r="J979">
        <v>0.27993255910540299</v>
      </c>
      <c r="K979">
        <v>0.27230627910509603</v>
      </c>
      <c r="L979">
        <v>757.15614751488204</v>
      </c>
      <c r="M979">
        <v>14.962479791012401</v>
      </c>
      <c r="N979">
        <v>52.950767706952902</v>
      </c>
      <c r="O979">
        <v>49.725548702031702</v>
      </c>
      <c r="P979">
        <v>-5.6995893458079899E-2</v>
      </c>
      <c r="Q979">
        <v>0.24240821361168699</v>
      </c>
      <c r="R979">
        <v>0.993810604290983</v>
      </c>
      <c r="S979" t="s">
        <v>7431</v>
      </c>
      <c r="T979" t="s">
        <v>12902</v>
      </c>
      <c r="U979" t="s">
        <v>12902</v>
      </c>
      <c r="V979" t="s">
        <v>12902</v>
      </c>
      <c r="W979" t="s">
        <v>13860</v>
      </c>
      <c r="X979">
        <v>2</v>
      </c>
      <c r="Y979" t="s">
        <v>20249</v>
      </c>
      <c r="Z979" t="s">
        <v>26554</v>
      </c>
      <c r="AA979">
        <v>0.52798197016574966</v>
      </c>
      <c r="AB979" t="str">
        <f>HYPERLINK("Melting_Curves/meltCurve_H7C1N3_BET1.pdf", "Melting_Curves/meltCurve_H7C1N3_BET1.pdf")</f>
        <v>Melting_Curves/meltCurve_H7C1N3_BET1.pdf</v>
      </c>
    </row>
    <row r="980" spans="1:28" x14ac:dyDescent="0.25">
      <c r="A980" t="s">
        <v>984</v>
      </c>
      <c r="B980">
        <v>0.99673306730245903</v>
      </c>
      <c r="C980">
        <v>0.95578726555715099</v>
      </c>
      <c r="D980">
        <v>0.89726942514565</v>
      </c>
      <c r="E980">
        <v>0.64509914846282701</v>
      </c>
      <c r="F980">
        <v>0.40082687919450299</v>
      </c>
      <c r="G980">
        <v>0.28016098687730601</v>
      </c>
      <c r="H980">
        <v>0.221869528156424</v>
      </c>
      <c r="I980">
        <v>0.197542763832803</v>
      </c>
      <c r="J980">
        <v>0.187966830373515</v>
      </c>
      <c r="K980">
        <v>0.15908887361210999</v>
      </c>
      <c r="L980">
        <v>919.47297224425097</v>
      </c>
      <c r="M980">
        <v>18.2206639575822</v>
      </c>
      <c r="N980">
        <v>51.688851828213103</v>
      </c>
      <c r="O980">
        <v>49.867127666173097</v>
      </c>
      <c r="P980">
        <v>-7.5326325187329499E-2</v>
      </c>
      <c r="Q980">
        <v>0.17541296126268499</v>
      </c>
      <c r="R980">
        <v>0.99881720549665898</v>
      </c>
      <c r="S980" t="s">
        <v>7432</v>
      </c>
      <c r="T980" t="s">
        <v>12902</v>
      </c>
      <c r="U980" t="s">
        <v>12902</v>
      </c>
      <c r="V980" t="s">
        <v>12902</v>
      </c>
      <c r="W980" t="s">
        <v>13861</v>
      </c>
      <c r="X980">
        <v>8</v>
      </c>
      <c r="Y980" t="s">
        <v>20250</v>
      </c>
      <c r="Z980" t="s">
        <v>26555</v>
      </c>
      <c r="AA980">
        <v>0.47667518961707078</v>
      </c>
      <c r="AB980" t="str">
        <f>HYPERLINK("Melting_Curves/meltCurve_H7C1U3_CC2D1B.pdf", "Melting_Curves/meltCurve_H7C1U3_CC2D1B.pdf")</f>
        <v>Melting_Curves/meltCurve_H7C1U3_CC2D1B.pdf</v>
      </c>
    </row>
    <row r="981" spans="1:28" x14ac:dyDescent="0.25">
      <c r="A981" t="s">
        <v>985</v>
      </c>
      <c r="B981">
        <v>0.99673306730245903</v>
      </c>
      <c r="C981">
        <v>1.0015406636530599</v>
      </c>
      <c r="D981">
        <v>0.93499692368154896</v>
      </c>
      <c r="E981">
        <v>0.83909961575055003</v>
      </c>
      <c r="F981">
        <v>0.70850320648198695</v>
      </c>
      <c r="G981">
        <v>0.725394825536813</v>
      </c>
      <c r="H981">
        <v>0.63113839613184797</v>
      </c>
      <c r="I981">
        <v>0.91109964274440303</v>
      </c>
      <c r="J981">
        <v>0.82825274169044505</v>
      </c>
      <c r="K981">
        <v>0.66792113207469495</v>
      </c>
      <c r="L981">
        <v>1527.3721570103601</v>
      </c>
      <c r="M981">
        <v>31.769050224390199</v>
      </c>
      <c r="O981">
        <v>47.888088005197098</v>
      </c>
      <c r="P981">
        <v>-4.2148907188696301E-2</v>
      </c>
      <c r="Q981">
        <v>0.74586343505679598</v>
      </c>
      <c r="R981">
        <v>0.65615362811945999</v>
      </c>
      <c r="S981" t="s">
        <v>7433</v>
      </c>
      <c r="T981" t="s">
        <v>12902</v>
      </c>
      <c r="U981" t="s">
        <v>12902</v>
      </c>
      <c r="V981" t="s">
        <v>12902</v>
      </c>
      <c r="W981" t="s">
        <v>13862</v>
      </c>
      <c r="X981">
        <v>6</v>
      </c>
      <c r="Y981" t="s">
        <v>20251</v>
      </c>
      <c r="Z981" t="s">
        <v>26556</v>
      </c>
      <c r="AA981">
        <v>0.81564724981191594</v>
      </c>
      <c r="AB981" t="str">
        <f>HYPERLINK("Melting_Curves/meltCurve_H7C1U8_APOO.pdf", "Melting_Curves/meltCurve_H7C1U8_APOO.pdf")</f>
        <v>Melting_Curves/meltCurve_H7C1U8_APOO.pdf</v>
      </c>
    </row>
    <row r="982" spans="1:28" x14ac:dyDescent="0.25">
      <c r="A982" t="s">
        <v>986</v>
      </c>
      <c r="B982">
        <v>0.99673306730245903</v>
      </c>
      <c r="C982">
        <v>0.81826551449289697</v>
      </c>
      <c r="D982">
        <v>0.37579524612485699</v>
      </c>
      <c r="E982">
        <v>0.35472694679272698</v>
      </c>
      <c r="F982">
        <v>0.33530066988149898</v>
      </c>
      <c r="G982">
        <v>0.26404885186030302</v>
      </c>
      <c r="H982">
        <v>0.20275441925238499</v>
      </c>
      <c r="I982">
        <v>0.25467369272386903</v>
      </c>
      <c r="J982">
        <v>0.24761800969814901</v>
      </c>
      <c r="K982">
        <v>0.228399137383583</v>
      </c>
      <c r="L982">
        <v>1692.5626224722801</v>
      </c>
      <c r="M982">
        <v>38.374834186544398</v>
      </c>
      <c r="N982">
        <v>44.997180321444198</v>
      </c>
      <c r="O982">
        <v>43.9867942433075</v>
      </c>
      <c r="P982">
        <v>-0.160053833574577</v>
      </c>
      <c r="Q982">
        <v>0.266160963712887</v>
      </c>
      <c r="R982">
        <v>0.974457789030857</v>
      </c>
      <c r="S982" t="s">
        <v>7434</v>
      </c>
      <c r="T982" t="s">
        <v>12902</v>
      </c>
      <c r="U982" t="s">
        <v>12902</v>
      </c>
      <c r="V982" t="s">
        <v>12902</v>
      </c>
      <c r="W982" t="s">
        <v>13863</v>
      </c>
      <c r="X982">
        <v>1</v>
      </c>
      <c r="Y982" t="s">
        <v>20252</v>
      </c>
      <c r="Z982" t="s">
        <v>26557</v>
      </c>
      <c r="AA982">
        <v>0.36945971877560868</v>
      </c>
      <c r="AB982" t="str">
        <f>HYPERLINK("Melting_Curves/meltCurve_H7C224_IRAK1.pdf", "Melting_Curves/meltCurve_H7C224_IRAK1.pdf")</f>
        <v>Melting_Curves/meltCurve_H7C224_IRAK1.pdf</v>
      </c>
    </row>
    <row r="983" spans="1:28" x14ac:dyDescent="0.25">
      <c r="A983" t="s">
        <v>987</v>
      </c>
      <c r="B983">
        <v>0.99673306730245903</v>
      </c>
      <c r="C983">
        <v>0.95584491200139499</v>
      </c>
      <c r="D983">
        <v>0.78856514832581703</v>
      </c>
      <c r="E983">
        <v>0.43865440704678199</v>
      </c>
      <c r="F983">
        <v>0.23099958188174699</v>
      </c>
      <c r="G983">
        <v>0.162322879113871</v>
      </c>
      <c r="H983">
        <v>0.14768460326531299</v>
      </c>
      <c r="I983">
        <v>0.15142902404508199</v>
      </c>
      <c r="J983">
        <v>0.15182327659768899</v>
      </c>
      <c r="K983">
        <v>0.14061128951622301</v>
      </c>
      <c r="L983">
        <v>1127.5582290012801</v>
      </c>
      <c r="M983">
        <v>23.385994843386101</v>
      </c>
      <c r="N983">
        <v>48.9258906646415</v>
      </c>
      <c r="O983">
        <v>47.866708074629898</v>
      </c>
      <c r="P983">
        <v>-0.10455162479149099</v>
      </c>
      <c r="Q983">
        <v>0.14402544122681099</v>
      </c>
      <c r="R983">
        <v>0.99987184963949105</v>
      </c>
      <c r="S983" t="s">
        <v>7435</v>
      </c>
      <c r="T983" t="s">
        <v>12902</v>
      </c>
      <c r="U983" t="s">
        <v>12902</v>
      </c>
      <c r="V983" t="s">
        <v>12902</v>
      </c>
      <c r="W983" t="s">
        <v>13864</v>
      </c>
      <c r="X983">
        <v>1</v>
      </c>
      <c r="Y983" t="s">
        <v>20253</v>
      </c>
      <c r="Z983" t="s">
        <v>26558</v>
      </c>
      <c r="AA983">
        <v>0.38713136476422871</v>
      </c>
      <c r="AB983" t="str">
        <f>HYPERLINK("Melting_Curves/meltCurve_H7C270_CTDSP1.pdf", "Melting_Curves/meltCurve_H7C270_CTDSP1.pdf")</f>
        <v>Melting_Curves/meltCurve_H7C270_CTDSP1.pdf</v>
      </c>
    </row>
    <row r="984" spans="1:28" x14ac:dyDescent="0.25">
      <c r="A984" t="s">
        <v>988</v>
      </c>
      <c r="B984">
        <v>0.99673306730245903</v>
      </c>
      <c r="C984">
        <v>0.98300010092304901</v>
      </c>
      <c r="D984">
        <v>0.78534241457111698</v>
      </c>
      <c r="E984">
        <v>0.68390102510908202</v>
      </c>
      <c r="F984">
        <v>0.46438286726459999</v>
      </c>
      <c r="G984">
        <v>0.36962355456896401</v>
      </c>
      <c r="H984">
        <v>0.254512494680395</v>
      </c>
      <c r="I984">
        <v>0.31829721341118999</v>
      </c>
      <c r="J984">
        <v>0.207988246626163</v>
      </c>
      <c r="K984">
        <v>0.143090577514742</v>
      </c>
      <c r="L984">
        <v>629.16403281355804</v>
      </c>
      <c r="M984">
        <v>12.2973886273041</v>
      </c>
      <c r="N984">
        <v>52.9470205280928</v>
      </c>
      <c r="O984">
        <v>49.8659217928384</v>
      </c>
      <c r="P984">
        <v>-5.1203559108097201E-2</v>
      </c>
      <c r="Q984">
        <v>0.169660145270635</v>
      </c>
      <c r="R984">
        <v>0.98108721941536203</v>
      </c>
      <c r="S984" t="s">
        <v>7436</v>
      </c>
      <c r="T984" t="s">
        <v>12902</v>
      </c>
      <c r="U984" t="s">
        <v>12902</v>
      </c>
      <c r="V984" t="s">
        <v>12902</v>
      </c>
      <c r="W984" t="s">
        <v>13865</v>
      </c>
      <c r="X984">
        <v>2</v>
      </c>
      <c r="Y984" t="s">
        <v>20254</v>
      </c>
      <c r="Z984" t="s">
        <v>26559</v>
      </c>
      <c r="AA984">
        <v>0.50450958964655768</v>
      </c>
      <c r="AB984" t="str">
        <f>HYPERLINK("Melting_Curves/meltCurve_H7C285_TSPAN15.pdf", "Melting_Curves/meltCurve_H7C285_TSPAN15.pdf")</f>
        <v>Melting_Curves/meltCurve_H7C285_TSPAN15.pdf</v>
      </c>
    </row>
    <row r="985" spans="1:28" x14ac:dyDescent="0.25">
      <c r="A985" t="s">
        <v>989</v>
      </c>
      <c r="B985">
        <v>0.99673306730245903</v>
      </c>
      <c r="C985">
        <v>0.99452242199165097</v>
      </c>
      <c r="D985">
        <v>1.08934778151235</v>
      </c>
      <c r="E985">
        <v>1.1422975742483199</v>
      </c>
      <c r="F985">
        <v>0.97709783974878595</v>
      </c>
      <c r="G985">
        <v>0.82817641049329305</v>
      </c>
      <c r="H985">
        <v>0.612758425711597</v>
      </c>
      <c r="I985">
        <v>0.68842441886488603</v>
      </c>
      <c r="J985">
        <v>0.83046044657251605</v>
      </c>
      <c r="K985">
        <v>1.1121479198489199</v>
      </c>
      <c r="L985">
        <v>4112.2848258787999</v>
      </c>
      <c r="M985">
        <v>75.194061320001097</v>
      </c>
      <c r="O985">
        <v>54.650313647950099</v>
      </c>
      <c r="P985">
        <v>-6.4623824330299798E-2</v>
      </c>
      <c r="Q985">
        <v>0.81212815918128101</v>
      </c>
      <c r="R985">
        <v>0.40829298004409897</v>
      </c>
      <c r="S985" t="s">
        <v>7437</v>
      </c>
      <c r="T985" t="s">
        <v>12902</v>
      </c>
      <c r="U985" t="s">
        <v>12902</v>
      </c>
      <c r="V985" t="s">
        <v>12902</v>
      </c>
      <c r="W985" t="s">
        <v>13866</v>
      </c>
      <c r="X985">
        <v>2</v>
      </c>
      <c r="Y985" t="s">
        <v>20255</v>
      </c>
      <c r="Z985" t="s">
        <v>26560</v>
      </c>
      <c r="AA985">
        <v>0.90431597239438111</v>
      </c>
      <c r="AB985" t="str">
        <f>HYPERLINK("Melting_Curves/meltCurve_H7C2G2_ART4.pdf", "Melting_Curves/meltCurve_H7C2G2_ART4.pdf")</f>
        <v>Melting_Curves/meltCurve_H7C2G2_ART4.pdf</v>
      </c>
    </row>
    <row r="986" spans="1:28" x14ac:dyDescent="0.25">
      <c r="A986" t="s">
        <v>990</v>
      </c>
      <c r="B986">
        <v>0.99673306730245903</v>
      </c>
      <c r="C986">
        <v>0.95223718925714695</v>
      </c>
      <c r="D986">
        <v>0.94877218233003602</v>
      </c>
      <c r="E986">
        <v>0.948030585349252</v>
      </c>
      <c r="F986">
        <v>0.71460379742803304</v>
      </c>
      <c r="G986">
        <v>0.54433834015094096</v>
      </c>
      <c r="H986">
        <v>0.44384436444883602</v>
      </c>
      <c r="I986">
        <v>0.370161996626448</v>
      </c>
      <c r="J986">
        <v>0.47783154448454701</v>
      </c>
      <c r="K986">
        <v>0.44625543896946801</v>
      </c>
      <c r="L986">
        <v>1378.9869235368501</v>
      </c>
      <c r="M986">
        <v>25.841193641807202</v>
      </c>
      <c r="N986">
        <v>57.708532836708699</v>
      </c>
      <c r="O986">
        <v>53.047401947060202</v>
      </c>
      <c r="P986">
        <v>-6.95952058955326E-2</v>
      </c>
      <c r="Q986">
        <v>0.428540130646409</v>
      </c>
      <c r="R986">
        <v>0.98021070347689399</v>
      </c>
      <c r="S986" t="s">
        <v>7438</v>
      </c>
      <c r="T986" t="s">
        <v>12902</v>
      </c>
      <c r="U986" t="s">
        <v>12902</v>
      </c>
      <c r="V986" t="s">
        <v>12902</v>
      </c>
      <c r="W986" t="s">
        <v>13867</v>
      </c>
      <c r="X986">
        <v>2</v>
      </c>
      <c r="Y986" t="s">
        <v>20256</v>
      </c>
      <c r="Z986" t="s">
        <v>26561</v>
      </c>
      <c r="AA986">
        <v>0.6880621119448509</v>
      </c>
      <c r="AB986" t="str">
        <f>HYPERLINK("Melting_Curves/meltCurve_H7C2Q8_EBNA1BP2.pdf", "Melting_Curves/meltCurve_H7C2Q8_EBNA1BP2.pdf")</f>
        <v>Melting_Curves/meltCurve_H7C2Q8_EBNA1BP2.pdf</v>
      </c>
    </row>
    <row r="987" spans="1:28" x14ac:dyDescent="0.25">
      <c r="A987" t="s">
        <v>991</v>
      </c>
      <c r="B987">
        <v>0.99673306730245903</v>
      </c>
      <c r="C987">
        <v>0.93287834797722602</v>
      </c>
      <c r="D987">
        <v>0.94451105626993903</v>
      </c>
      <c r="E987">
        <v>0.89746152840428695</v>
      </c>
      <c r="F987">
        <v>0.638467478574967</v>
      </c>
      <c r="G987">
        <v>0.38665373996310498</v>
      </c>
      <c r="H987">
        <v>0.23329653310665199</v>
      </c>
      <c r="I987">
        <v>0.173263331198555</v>
      </c>
      <c r="J987">
        <v>0.232029886439205</v>
      </c>
      <c r="K987">
        <v>0.23699251080866099</v>
      </c>
      <c r="L987">
        <v>1220.41642274216</v>
      </c>
      <c r="M987">
        <v>22.7564862672446</v>
      </c>
      <c r="N987">
        <v>54.8681663789121</v>
      </c>
      <c r="O987">
        <v>53.22040226451</v>
      </c>
      <c r="P987">
        <v>-8.5424917353737598E-2</v>
      </c>
      <c r="Q987">
        <v>0.200885473315316</v>
      </c>
      <c r="R987">
        <v>0.99099966265977002</v>
      </c>
      <c r="S987" t="s">
        <v>7439</v>
      </c>
      <c r="T987" t="s">
        <v>12902</v>
      </c>
      <c r="U987" t="s">
        <v>12902</v>
      </c>
      <c r="V987" t="s">
        <v>12902</v>
      </c>
      <c r="W987" t="s">
        <v>13868</v>
      </c>
      <c r="X987">
        <v>5</v>
      </c>
      <c r="Y987" t="s">
        <v>20257</v>
      </c>
      <c r="Z987" t="s">
        <v>26562</v>
      </c>
      <c r="AA987">
        <v>0.57268701353219131</v>
      </c>
      <c r="AB987" t="str">
        <f>HYPERLINK("Melting_Curves/meltCurve_H7C2W9_RPL31.pdf", "Melting_Curves/meltCurve_H7C2W9_RPL31.pdf")</f>
        <v>Melting_Curves/meltCurve_H7C2W9_RPL31.pdf</v>
      </c>
    </row>
    <row r="988" spans="1:28" x14ac:dyDescent="0.25">
      <c r="A988" t="s">
        <v>992</v>
      </c>
      <c r="B988">
        <v>0.99673306730245903</v>
      </c>
      <c r="C988">
        <v>0.99985958549546805</v>
      </c>
      <c r="D988">
        <v>0.97604192591010397</v>
      </c>
      <c r="E988">
        <v>1.00520064124734</v>
      </c>
      <c r="F988">
        <v>0.84471826137511996</v>
      </c>
      <c r="G988">
        <v>0.58452238508093302</v>
      </c>
      <c r="H988">
        <v>0.202804487066502</v>
      </c>
      <c r="I988">
        <v>0.105845979878623</v>
      </c>
      <c r="J988">
        <v>9.8297500142820807E-2</v>
      </c>
      <c r="K988">
        <v>7.7275691442795794E-2</v>
      </c>
      <c r="L988">
        <v>1484.61036984625</v>
      </c>
      <c r="M988">
        <v>26.0213167019838</v>
      </c>
      <c r="N988">
        <v>57.361209185906198</v>
      </c>
      <c r="O988">
        <v>56.719860966915199</v>
      </c>
      <c r="P988">
        <v>-0.107224863099333</v>
      </c>
      <c r="Q988">
        <v>6.5118859546635904E-2</v>
      </c>
      <c r="R988">
        <v>0.99786970862253499</v>
      </c>
      <c r="S988" t="s">
        <v>7440</v>
      </c>
      <c r="T988" t="s">
        <v>12902</v>
      </c>
      <c r="U988" t="s">
        <v>12902</v>
      </c>
      <c r="V988" t="s">
        <v>12902</v>
      </c>
      <c r="W988" t="s">
        <v>13869</v>
      </c>
      <c r="X988">
        <v>13</v>
      </c>
      <c r="Y988" t="s">
        <v>20258</v>
      </c>
      <c r="Z988" t="s">
        <v>26563</v>
      </c>
      <c r="AA988">
        <v>0.60445493777179649</v>
      </c>
      <c r="AB988" t="str">
        <f>HYPERLINK("Melting_Curves/meltCurve_H7C3G9_NAGK.pdf", "Melting_Curves/meltCurve_H7C3G9_NAGK.pdf")</f>
        <v>Melting_Curves/meltCurve_H7C3G9_NAGK.pdf</v>
      </c>
    </row>
    <row r="989" spans="1:28" x14ac:dyDescent="0.25">
      <c r="A989" t="s">
        <v>993</v>
      </c>
      <c r="B989">
        <v>0.99673306730245903</v>
      </c>
      <c r="C989">
        <v>1.0341792366748199</v>
      </c>
      <c r="D989">
        <v>1.0155457908509999</v>
      </c>
      <c r="E989">
        <v>1.03146986410827</v>
      </c>
      <c r="F989">
        <v>0.91588316394425195</v>
      </c>
      <c r="G989">
        <v>0.87856146863283102</v>
      </c>
      <c r="H989">
        <v>0.62794691245704204</v>
      </c>
      <c r="I989">
        <v>0.42215254481574999</v>
      </c>
      <c r="J989">
        <v>0.19166799590610201</v>
      </c>
      <c r="K989">
        <v>0.13916206202765899</v>
      </c>
      <c r="L989">
        <v>1152.91606167276</v>
      </c>
      <c r="M989">
        <v>18.419613872250999</v>
      </c>
      <c r="N989">
        <v>62.591762176617699</v>
      </c>
      <c r="O989">
        <v>61.867988924566802</v>
      </c>
      <c r="P989">
        <v>-7.4434446197807994E-2</v>
      </c>
      <c r="Q989">
        <v>0</v>
      </c>
      <c r="R989">
        <v>0.99368756097335198</v>
      </c>
      <c r="S989" t="s">
        <v>7441</v>
      </c>
      <c r="T989" t="s">
        <v>12902</v>
      </c>
      <c r="U989" t="s">
        <v>12902</v>
      </c>
      <c r="V989" t="s">
        <v>12902</v>
      </c>
      <c r="W989" t="s">
        <v>13870</v>
      </c>
      <c r="X989">
        <v>13</v>
      </c>
      <c r="Y989" t="s">
        <v>20259</v>
      </c>
      <c r="Z989" t="s">
        <v>26564</v>
      </c>
      <c r="AA989">
        <v>0.75238414941526011</v>
      </c>
      <c r="AB989" t="str">
        <f>HYPERLINK("Melting_Curves/meltCurve_H7C3P4_GNS.pdf", "Melting_Curves/meltCurve_H7C3P4_GNS.pdf")</f>
        <v>Melting_Curves/meltCurve_H7C3P4_GNS.pdf</v>
      </c>
    </row>
    <row r="990" spans="1:28" x14ac:dyDescent="0.25">
      <c r="A990" t="s">
        <v>994</v>
      </c>
      <c r="B990">
        <v>0.99673306730245903</v>
      </c>
      <c r="C990">
        <v>1.0025184169439401</v>
      </c>
      <c r="D990">
        <v>1.0001164025572999</v>
      </c>
      <c r="E990">
        <v>0.76040126779228001</v>
      </c>
      <c r="F990">
        <v>0.39960160103787201</v>
      </c>
      <c r="G990">
        <v>0.27685274103498098</v>
      </c>
      <c r="H990">
        <v>0.167702632089645</v>
      </c>
      <c r="I990">
        <v>0.11633100273355999</v>
      </c>
      <c r="J990">
        <v>0.109400089121388</v>
      </c>
      <c r="K990">
        <v>0.13147934473318701</v>
      </c>
      <c r="L990">
        <v>1198.8412598313</v>
      </c>
      <c r="M990">
        <v>23.172107101421499</v>
      </c>
      <c r="N990">
        <v>52.400824335714603</v>
      </c>
      <c r="O990">
        <v>51.355699829647598</v>
      </c>
      <c r="P990">
        <v>-9.84448394719286E-2</v>
      </c>
      <c r="Q990">
        <v>0.12729356462654901</v>
      </c>
      <c r="R990">
        <v>0.99515852109032299</v>
      </c>
      <c r="S990" t="s">
        <v>7442</v>
      </c>
      <c r="T990" t="s">
        <v>12902</v>
      </c>
      <c r="U990" t="s">
        <v>12902</v>
      </c>
      <c r="V990" t="s">
        <v>12902</v>
      </c>
      <c r="W990" t="s">
        <v>13871</v>
      </c>
      <c r="X990">
        <v>5</v>
      </c>
      <c r="Y990" t="s">
        <v>20260</v>
      </c>
      <c r="Z990" t="s">
        <v>26565</v>
      </c>
      <c r="AA990">
        <v>0.47790076160430373</v>
      </c>
      <c r="AB990" t="str">
        <f>HYPERLINK("Melting_Curves/meltCurve_H7C3Q6_MITD1.pdf", "Melting_Curves/meltCurve_H7C3Q6_MITD1.pdf")</f>
        <v>Melting_Curves/meltCurve_H7C3Q6_MITD1.pdf</v>
      </c>
    </row>
    <row r="991" spans="1:28" x14ac:dyDescent="0.25">
      <c r="A991" t="s">
        <v>995</v>
      </c>
      <c r="B991">
        <v>0.99673306730245903</v>
      </c>
      <c r="C991">
        <v>0.90908560772047298</v>
      </c>
      <c r="D991">
        <v>0.949841728350026</v>
      </c>
      <c r="E991">
        <v>0.74283473774203701</v>
      </c>
      <c r="F991">
        <v>0.64265820335217805</v>
      </c>
      <c r="G991">
        <v>0.41719398888280002</v>
      </c>
      <c r="H991">
        <v>0.221289487121173</v>
      </c>
      <c r="I991">
        <v>0.19797114429326401</v>
      </c>
      <c r="J991">
        <v>0.222200721215285</v>
      </c>
      <c r="K991">
        <v>0.22553036856901701</v>
      </c>
      <c r="L991">
        <v>770.64697874072704</v>
      </c>
      <c r="M991">
        <v>14.4508512937311</v>
      </c>
      <c r="N991">
        <v>54.797286839820401</v>
      </c>
      <c r="O991">
        <v>52.338796560621702</v>
      </c>
      <c r="P991">
        <v>-5.7950927044949398E-2</v>
      </c>
      <c r="Q991">
        <v>0.16054024555636001</v>
      </c>
      <c r="R991">
        <v>0.98294408935490296</v>
      </c>
      <c r="S991" t="s">
        <v>7443</v>
      </c>
      <c r="T991" t="s">
        <v>12902</v>
      </c>
      <c r="U991" t="s">
        <v>12902</v>
      </c>
      <c r="V991" t="s">
        <v>12902</v>
      </c>
      <c r="W991" t="s">
        <v>13872</v>
      </c>
      <c r="X991">
        <v>2</v>
      </c>
      <c r="Y991" t="s">
        <v>20261</v>
      </c>
      <c r="Z991" t="s">
        <v>26566</v>
      </c>
      <c r="AA991">
        <v>0.55221183635861526</v>
      </c>
      <c r="AB991" t="str">
        <f>HYPERLINK("Melting_Curves/meltCurve_H7C3T2_ATG2A.pdf", "Melting_Curves/meltCurve_H7C3T2_ATG2A.pdf")</f>
        <v>Melting_Curves/meltCurve_H7C3T2_ATG2A.pdf</v>
      </c>
    </row>
    <row r="992" spans="1:28" x14ac:dyDescent="0.25">
      <c r="A992" t="s">
        <v>996</v>
      </c>
      <c r="B992">
        <v>0.99673306730245903</v>
      </c>
      <c r="C992">
        <v>0.93563338887228098</v>
      </c>
      <c r="D992">
        <v>0.89568927914719898</v>
      </c>
      <c r="E992">
        <v>0.52267339800719403</v>
      </c>
      <c r="F992">
        <v>0.24295446653103001</v>
      </c>
      <c r="G992">
        <v>0.16605880998768099</v>
      </c>
      <c r="H992">
        <v>0.15265536912970501</v>
      </c>
      <c r="I992">
        <v>0.179993883215671</v>
      </c>
      <c r="J992">
        <v>0.194587834255496</v>
      </c>
      <c r="K992">
        <v>0.19206890326334999</v>
      </c>
      <c r="L992">
        <v>1421.56971191313</v>
      </c>
      <c r="M992">
        <v>29.000807669222599</v>
      </c>
      <c r="N992">
        <v>49.744945278904503</v>
      </c>
      <c r="O992">
        <v>48.786994290657098</v>
      </c>
      <c r="P992">
        <v>-0.12294979228507701</v>
      </c>
      <c r="Q992">
        <v>0.172670694445203</v>
      </c>
      <c r="R992">
        <v>0.99600504424496805</v>
      </c>
      <c r="S992" t="s">
        <v>7444</v>
      </c>
      <c r="T992" t="s">
        <v>12902</v>
      </c>
      <c r="U992" t="s">
        <v>12902</v>
      </c>
      <c r="V992" t="s">
        <v>12902</v>
      </c>
      <c r="W992" t="s">
        <v>13608</v>
      </c>
      <c r="X992">
        <v>9</v>
      </c>
      <c r="Z992" t="s">
        <v>26567</v>
      </c>
      <c r="AA992">
        <v>0.42677645441165152</v>
      </c>
      <c r="AB992" t="str">
        <f>HYPERLINK("Melting_Curves/meltCurve_H7C417_.pdf", "Melting_Curves/meltCurve_H7C417_.pdf")</f>
        <v>Melting_Curves/meltCurve_H7C417_.pdf</v>
      </c>
    </row>
    <row r="993" spans="1:28" x14ac:dyDescent="0.25">
      <c r="A993" t="s">
        <v>997</v>
      </c>
      <c r="B993">
        <v>0.99673306730245903</v>
      </c>
      <c r="C993">
        <v>0.89446912412598001</v>
      </c>
      <c r="D993">
        <v>0.843199740586276</v>
      </c>
      <c r="E993">
        <v>0.64154505628055003</v>
      </c>
      <c r="F993">
        <v>0.36430911763707402</v>
      </c>
      <c r="G993">
        <v>0.24453548016517301</v>
      </c>
      <c r="H993">
        <v>0.126185732389687</v>
      </c>
      <c r="I993">
        <v>5.7990491057466599E-2</v>
      </c>
      <c r="J993">
        <v>6.9403429070091102E-2</v>
      </c>
      <c r="K993">
        <v>4.8532434592766703E-2</v>
      </c>
      <c r="L993">
        <v>699.55688505868602</v>
      </c>
      <c r="M993">
        <v>13.63810894341</v>
      </c>
      <c r="N993">
        <v>51.446272434493999</v>
      </c>
      <c r="O993">
        <v>50.229156516822002</v>
      </c>
      <c r="P993">
        <v>-6.6548843093795801E-2</v>
      </c>
      <c r="Q993">
        <v>1.9746547212088499E-2</v>
      </c>
      <c r="R993">
        <v>0.996604680296998</v>
      </c>
      <c r="S993" t="s">
        <v>7445</v>
      </c>
      <c r="T993" t="s">
        <v>12902</v>
      </c>
      <c r="U993" t="s">
        <v>12902</v>
      </c>
      <c r="V993" t="s">
        <v>12902</v>
      </c>
      <c r="W993" t="s">
        <v>13873</v>
      </c>
      <c r="X993">
        <v>1</v>
      </c>
      <c r="Y993" t="s">
        <v>20262</v>
      </c>
      <c r="Z993" t="s">
        <v>26568</v>
      </c>
      <c r="AA993">
        <v>0.41484464137317262</v>
      </c>
      <c r="AB993" t="str">
        <f>HYPERLINK("Melting_Curves/meltCurve_H7C484_ARV1.pdf", "Melting_Curves/meltCurve_H7C484_ARV1.pdf")</f>
        <v>Melting_Curves/meltCurve_H7C484_ARV1.pdf</v>
      </c>
    </row>
    <row r="994" spans="1:28" x14ac:dyDescent="0.25">
      <c r="A994" t="s">
        <v>998</v>
      </c>
      <c r="B994">
        <v>0.99673306730245903</v>
      </c>
      <c r="C994">
        <v>0.97156023577952</v>
      </c>
      <c r="D994">
        <v>0.74906320830984496</v>
      </c>
      <c r="E994">
        <v>0.37119412135475099</v>
      </c>
      <c r="F994">
        <v>0.30533916469845002</v>
      </c>
      <c r="G994">
        <v>0.18746989250212601</v>
      </c>
      <c r="H994">
        <v>0.12445329238177601</v>
      </c>
      <c r="I994">
        <v>8.4001219997627899E-2</v>
      </c>
      <c r="J994">
        <v>5.6323887998707599E-2</v>
      </c>
      <c r="K994">
        <v>3.4886684995217999E-2</v>
      </c>
      <c r="L994">
        <v>837.960389000894</v>
      </c>
      <c r="M994">
        <v>17.267230155210498</v>
      </c>
      <c r="N994">
        <v>48.9876921156932</v>
      </c>
      <c r="O994">
        <v>47.892081500797502</v>
      </c>
      <c r="P994">
        <v>-8.3412122144830597E-2</v>
      </c>
      <c r="Q994">
        <v>7.4652287210965798E-2</v>
      </c>
      <c r="R994">
        <v>0.98477643971161899</v>
      </c>
      <c r="S994" t="s">
        <v>7446</v>
      </c>
      <c r="T994" t="s">
        <v>12902</v>
      </c>
      <c r="U994" t="s">
        <v>12902</v>
      </c>
      <c r="V994" t="s">
        <v>12902</v>
      </c>
      <c r="W994" t="s">
        <v>13874</v>
      </c>
      <c r="X994">
        <v>2</v>
      </c>
      <c r="Y994" t="s">
        <v>20263</v>
      </c>
      <c r="Z994" t="s">
        <v>26569</v>
      </c>
      <c r="AA994">
        <v>0.35533871480084661</v>
      </c>
      <c r="AB994" t="str">
        <f>HYPERLINK("Melting_Curves/meltCurve_H7C4K1_STK19.pdf", "Melting_Curves/meltCurve_H7C4K1_STK19.pdf")</f>
        <v>Melting_Curves/meltCurve_H7C4K1_STK19.pdf</v>
      </c>
    </row>
    <row r="995" spans="1:28" x14ac:dyDescent="0.25">
      <c r="A995" t="s">
        <v>999</v>
      </c>
      <c r="B995">
        <v>0.99673306730245903</v>
      </c>
      <c r="C995">
        <v>1.1805349238927001</v>
      </c>
      <c r="D995">
        <v>1.1015181247919501</v>
      </c>
      <c r="E995">
        <v>0</v>
      </c>
      <c r="F995">
        <v>9.6348931697927807</v>
      </c>
      <c r="G995">
        <v>1.03530768303758</v>
      </c>
      <c r="H995">
        <v>0.75771203740633897</v>
      </c>
      <c r="I995">
        <v>0.60874548984696597</v>
      </c>
      <c r="J995">
        <v>0.16679371259386999</v>
      </c>
      <c r="K995">
        <v>6.4580766724880695E-2</v>
      </c>
      <c r="L995">
        <v>2482.8949628581599</v>
      </c>
      <c r="M995">
        <v>38.593155008940201</v>
      </c>
      <c r="N995">
        <v>64.399623433580302</v>
      </c>
      <c r="O995">
        <v>64.163103995188706</v>
      </c>
      <c r="P995">
        <v>-0.14752043826735001</v>
      </c>
      <c r="Q995">
        <v>1.89610955757284E-2</v>
      </c>
      <c r="R995">
        <v>-1.7846751833592099E-2</v>
      </c>
      <c r="S995" t="s">
        <v>7447</v>
      </c>
      <c r="T995" t="s">
        <v>12902</v>
      </c>
      <c r="U995" t="s">
        <v>12902</v>
      </c>
      <c r="V995" t="s">
        <v>12902</v>
      </c>
      <c r="W995" t="s">
        <v>13875</v>
      </c>
      <c r="X995">
        <v>1</v>
      </c>
      <c r="Y995" t="s">
        <v>20264</v>
      </c>
      <c r="Z995" t="s">
        <v>26570</v>
      </c>
      <c r="AA995">
        <v>0.8164883508855848</v>
      </c>
      <c r="AB995" t="str">
        <f>HYPERLINK("Melting_Curves/meltCurve_H7C4W1_ITGB5.pdf", "Melting_Curves/meltCurve_H7C4W1_ITGB5.pdf")</f>
        <v>Melting_Curves/meltCurve_H7C4W1_ITGB5.pdf</v>
      </c>
    </row>
    <row r="996" spans="1:28" x14ac:dyDescent="0.25">
      <c r="A996" t="s">
        <v>1000</v>
      </c>
      <c r="B996">
        <v>0.99673306730245903</v>
      </c>
      <c r="C996">
        <v>0.89922808813119404</v>
      </c>
      <c r="D996">
        <v>0.66815937455180596</v>
      </c>
      <c r="E996">
        <v>0.38422494808871699</v>
      </c>
      <c r="F996">
        <v>0.36542038409479899</v>
      </c>
      <c r="G996">
        <v>0.234914713478796</v>
      </c>
      <c r="H996">
        <v>0.195259427415337</v>
      </c>
      <c r="I996">
        <v>0.20753317155371201</v>
      </c>
      <c r="J996">
        <v>0.23218295321217899</v>
      </c>
      <c r="K996">
        <v>0.246961928856341</v>
      </c>
      <c r="L996">
        <v>927.03411224655304</v>
      </c>
      <c r="M996">
        <v>19.828301641794699</v>
      </c>
      <c r="N996">
        <v>48.2109150881763</v>
      </c>
      <c r="O996">
        <v>46.285325405949003</v>
      </c>
      <c r="P996">
        <v>-8.2952521617776803E-2</v>
      </c>
      <c r="Q996">
        <v>0.22547977701616601</v>
      </c>
      <c r="R996">
        <v>0.98800758059460003</v>
      </c>
      <c r="S996" t="s">
        <v>7448</v>
      </c>
      <c r="T996" t="s">
        <v>12902</v>
      </c>
      <c r="U996" t="s">
        <v>12902</v>
      </c>
      <c r="V996" t="s">
        <v>12902</v>
      </c>
      <c r="W996" t="s">
        <v>13876</v>
      </c>
      <c r="X996">
        <v>7</v>
      </c>
      <c r="Y996" t="s">
        <v>20265</v>
      </c>
      <c r="Z996" t="s">
        <v>26571</v>
      </c>
      <c r="AA996">
        <v>0.41150957354696333</v>
      </c>
      <c r="AB996" t="str">
        <f>HYPERLINK("Melting_Curves/meltCurve_H7C4X9_ZMYND8.pdf", "Melting_Curves/meltCurve_H7C4X9_ZMYND8.pdf")</f>
        <v>Melting_Curves/meltCurve_H7C4X9_ZMYND8.pdf</v>
      </c>
    </row>
    <row r="997" spans="1:28" x14ac:dyDescent="0.25">
      <c r="A997" t="s">
        <v>1001</v>
      </c>
      <c r="B997">
        <v>0.99673306730245903</v>
      </c>
      <c r="C997">
        <v>0.93312750906668196</v>
      </c>
      <c r="D997">
        <v>0.85075705988482397</v>
      </c>
      <c r="E997">
        <v>0.75191033239161198</v>
      </c>
      <c r="F997">
        <v>0.64015536601070699</v>
      </c>
      <c r="G997">
        <v>0.51069829698606695</v>
      </c>
      <c r="H997">
        <v>0.41162005683543201</v>
      </c>
      <c r="I997">
        <v>0.38563634754883303</v>
      </c>
      <c r="J997">
        <v>0.542103788288818</v>
      </c>
      <c r="K997">
        <v>0.57010741335980397</v>
      </c>
      <c r="L997">
        <v>776.16356525036599</v>
      </c>
      <c r="M997">
        <v>15.684156669560901</v>
      </c>
      <c r="N997">
        <v>60.064133217341698</v>
      </c>
      <c r="O997">
        <v>48.703566924979903</v>
      </c>
      <c r="P997">
        <v>-4.2800662214294398E-2</v>
      </c>
      <c r="Q997">
        <v>0.46841437136840203</v>
      </c>
      <c r="R997">
        <v>0.91858959838658805</v>
      </c>
      <c r="S997" t="s">
        <v>7449</v>
      </c>
      <c r="T997" t="s">
        <v>12902</v>
      </c>
      <c r="U997" t="s">
        <v>12902</v>
      </c>
      <c r="V997" t="s">
        <v>12902</v>
      </c>
      <c r="W997" t="s">
        <v>13877</v>
      </c>
      <c r="X997">
        <v>1</v>
      </c>
      <c r="Y997" t="s">
        <v>20266</v>
      </c>
      <c r="Z997" t="s">
        <v>26572</v>
      </c>
      <c r="AA997">
        <v>0.64839625636156439</v>
      </c>
      <c r="AB997" t="str">
        <f>HYPERLINK("Melting_Curves/meltCurve_H7C5F7_NDFIP2.pdf", "Melting_Curves/meltCurve_H7C5F7_NDFIP2.pdf")</f>
        <v>Melting_Curves/meltCurve_H7C5F7_NDFIP2.pdf</v>
      </c>
    </row>
    <row r="998" spans="1:28" x14ac:dyDescent="0.25">
      <c r="A998" t="s">
        <v>1002</v>
      </c>
      <c r="B998">
        <v>0.99673306730245903</v>
      </c>
      <c r="C998">
        <v>0.96807867285478799</v>
      </c>
      <c r="D998">
        <v>1.0100784960995901</v>
      </c>
      <c r="E998">
        <v>1.00313130422013</v>
      </c>
      <c r="F998">
        <v>0.84483259484983597</v>
      </c>
      <c r="G998">
        <v>0.75400378181382199</v>
      </c>
      <c r="H998">
        <v>0.67257588264478596</v>
      </c>
      <c r="I998">
        <v>0.589034146940564</v>
      </c>
      <c r="J998">
        <v>0.19983669811739199</v>
      </c>
      <c r="K998">
        <v>0.13262452534840599</v>
      </c>
      <c r="L998">
        <v>900.65296254504301</v>
      </c>
      <c r="M998">
        <v>14.286547092416001</v>
      </c>
      <c r="N998">
        <v>63.042022836107101</v>
      </c>
      <c r="O998">
        <v>61.845446989926003</v>
      </c>
      <c r="P998">
        <v>-5.7758066404442997E-2</v>
      </c>
      <c r="Q998">
        <v>0</v>
      </c>
      <c r="R998">
        <v>0.94716024671716403</v>
      </c>
      <c r="S998" t="s">
        <v>7450</v>
      </c>
      <c r="T998" t="s">
        <v>12902</v>
      </c>
      <c r="U998" t="s">
        <v>12902</v>
      </c>
      <c r="V998" t="s">
        <v>12902</v>
      </c>
      <c r="W998" t="s">
        <v>13878</v>
      </c>
      <c r="X998">
        <v>7</v>
      </c>
      <c r="Y998" t="s">
        <v>20267</v>
      </c>
      <c r="Z998" t="s">
        <v>26573</v>
      </c>
      <c r="AA998">
        <v>0.75662451310976597</v>
      </c>
      <c r="AB998" t="str">
        <f>HYPERLINK("Melting_Curves/meltCurve_H7C5G1_IAH1.pdf", "Melting_Curves/meltCurve_H7C5G1_IAH1.pdf")</f>
        <v>Melting_Curves/meltCurve_H7C5G1_IAH1.pdf</v>
      </c>
    </row>
    <row r="999" spans="1:28" x14ac:dyDescent="0.25">
      <c r="A999" t="s">
        <v>1003</v>
      </c>
      <c r="B999">
        <v>0.99673306730245903</v>
      </c>
      <c r="C999">
        <v>0.94949608654863704</v>
      </c>
      <c r="D999">
        <v>0.95112072230736999</v>
      </c>
      <c r="E999">
        <v>0.79107905592832395</v>
      </c>
      <c r="F999">
        <v>0.636503779343635</v>
      </c>
      <c r="G999">
        <v>0.4554128144988</v>
      </c>
      <c r="H999">
        <v>0.26025547410224498</v>
      </c>
      <c r="I999">
        <v>0.2897573183896</v>
      </c>
      <c r="J999">
        <v>0.221182546445472</v>
      </c>
      <c r="K999">
        <v>0.17403930865349801</v>
      </c>
      <c r="L999">
        <v>732.89309719027096</v>
      </c>
      <c r="M999">
        <v>13.549689643215901</v>
      </c>
      <c r="N999">
        <v>55.6045598196703</v>
      </c>
      <c r="O999">
        <v>52.951924088406898</v>
      </c>
      <c r="P999">
        <v>-5.4104481780179701E-2</v>
      </c>
      <c r="Q999">
        <v>0.15437022199462599</v>
      </c>
      <c r="R999">
        <v>0.993530338725784</v>
      </c>
      <c r="S999" t="s">
        <v>7451</v>
      </c>
      <c r="T999" t="s">
        <v>12902</v>
      </c>
      <c r="U999" t="s">
        <v>12902</v>
      </c>
      <c r="V999" t="s">
        <v>12902</v>
      </c>
      <c r="W999" t="s">
        <v>13879</v>
      </c>
      <c r="X999">
        <v>3</v>
      </c>
      <c r="Y999" t="s">
        <v>20268</v>
      </c>
      <c r="Z999" t="s">
        <v>26574</v>
      </c>
      <c r="AA999">
        <v>0.57092640043034493</v>
      </c>
      <c r="AB999" t="str">
        <f>HYPERLINK("Melting_Curves/meltCurve_H7C5R4_GK5.pdf", "Melting_Curves/meltCurve_H7C5R4_GK5.pdf")</f>
        <v>Melting_Curves/meltCurve_H7C5R4_GK5.pdf</v>
      </c>
    </row>
    <row r="1000" spans="1:28" x14ac:dyDescent="0.25">
      <c r="A1000" t="s">
        <v>1004</v>
      </c>
      <c r="B1000">
        <v>0.99673306730245903</v>
      </c>
      <c r="C1000">
        <v>0.48003051633803301</v>
      </c>
      <c r="D1000">
        <v>0.18733157154326899</v>
      </c>
      <c r="E1000">
        <v>0.15741585454613799</v>
      </c>
      <c r="F1000">
        <v>0.12631325740900601</v>
      </c>
      <c r="G1000">
        <v>7.74223469957631E-2</v>
      </c>
      <c r="H1000">
        <v>4.1743845559778101E-2</v>
      </c>
      <c r="I1000">
        <v>4.5949443535710302E-2</v>
      </c>
      <c r="J1000">
        <v>2.4940196832353202E-2</v>
      </c>
      <c r="K1000">
        <v>1.12926782612766E-2</v>
      </c>
      <c r="L1000">
        <v>1604.9305261581701</v>
      </c>
      <c r="M1000">
        <v>37.524000901289597</v>
      </c>
      <c r="N1000">
        <v>42.952949427696801</v>
      </c>
      <c r="O1000">
        <v>42.649838808449502</v>
      </c>
      <c r="P1000">
        <v>-0.20377366405472599</v>
      </c>
      <c r="Q1000">
        <v>7.3564536402432601E-2</v>
      </c>
      <c r="R1000">
        <v>0.97142684252850098</v>
      </c>
      <c r="S1000" t="s">
        <v>7452</v>
      </c>
      <c r="T1000" t="s">
        <v>12902</v>
      </c>
      <c r="U1000" t="s">
        <v>12902</v>
      </c>
      <c r="V1000" t="s">
        <v>12902</v>
      </c>
      <c r="W1000" t="s">
        <v>13880</v>
      </c>
      <c r="X1000">
        <v>3</v>
      </c>
      <c r="Y1000" t="s">
        <v>20269</v>
      </c>
      <c r="Z1000" t="s">
        <v>26575</v>
      </c>
      <c r="AA1000">
        <v>0.16434919010119789</v>
      </c>
      <c r="AB1000" t="str">
        <f>HYPERLINK("Melting_Curves/meltCurve_H7C5R8_PARP14.pdf", "Melting_Curves/meltCurve_H7C5R8_PARP14.pdf")</f>
        <v>Melting_Curves/meltCurve_H7C5R8_PARP14.pdf</v>
      </c>
    </row>
    <row r="1001" spans="1:28" x14ac:dyDescent="0.25">
      <c r="A1001" t="s">
        <v>1005</v>
      </c>
      <c r="B1001">
        <v>0.99673306730245903</v>
      </c>
      <c r="C1001">
        <v>0.989426556904066</v>
      </c>
      <c r="D1001">
        <v>1.1492358263081499</v>
      </c>
      <c r="E1001">
        <v>1.1730070053100401</v>
      </c>
      <c r="F1001">
        <v>1.6700681333392</v>
      </c>
      <c r="G1001">
        <v>1.64983155590818</v>
      </c>
      <c r="H1001">
        <v>2.40196376251181</v>
      </c>
      <c r="I1001">
        <v>1.2714206722069099</v>
      </c>
      <c r="J1001">
        <v>0.347096610618154</v>
      </c>
      <c r="K1001">
        <v>0.236395088499296</v>
      </c>
      <c r="L1001">
        <v>15000</v>
      </c>
      <c r="M1001">
        <v>225.31707140368999</v>
      </c>
      <c r="N1001">
        <v>66.762312993803505</v>
      </c>
      <c r="O1001">
        <v>66.567607206915497</v>
      </c>
      <c r="P1001">
        <v>-0.64632719568075603</v>
      </c>
      <c r="Q1001">
        <v>0.236197159429333</v>
      </c>
      <c r="R1001">
        <v>0.18080772378309501</v>
      </c>
      <c r="S1001" t="s">
        <v>7453</v>
      </c>
      <c r="T1001" t="s">
        <v>12902</v>
      </c>
      <c r="U1001" t="s">
        <v>12902</v>
      </c>
      <c r="V1001" t="s">
        <v>12902</v>
      </c>
      <c r="W1001" t="s">
        <v>13881</v>
      </c>
      <c r="X1001">
        <v>2</v>
      </c>
      <c r="Y1001" t="s">
        <v>20270</v>
      </c>
      <c r="Z1001" t="s">
        <v>26576</v>
      </c>
      <c r="AA1001">
        <v>0.91285421275462597</v>
      </c>
      <c r="AB1001" t="str">
        <f>HYPERLINK("Melting_Curves/meltCurve_H7C5W6_HEATR5A.pdf", "Melting_Curves/meltCurve_H7C5W6_HEATR5A.pdf")</f>
        <v>Melting_Curves/meltCurve_H7C5W6_HEATR5A.pdf</v>
      </c>
    </row>
    <row r="1002" spans="1:28" x14ac:dyDescent="0.25">
      <c r="A1002" t="s">
        <v>1006</v>
      </c>
      <c r="B1002">
        <v>0.99673306730245903</v>
      </c>
      <c r="C1002">
        <v>1.0959611737005699</v>
      </c>
      <c r="D1002">
        <v>0.98509354020375195</v>
      </c>
      <c r="E1002">
        <v>1.0789297798962201</v>
      </c>
      <c r="F1002">
        <v>1.01107163421876</v>
      </c>
      <c r="G1002">
        <v>1.0628304205960699</v>
      </c>
      <c r="H1002">
        <v>0.71231805092728595</v>
      </c>
      <c r="I1002">
        <v>1.3947698918278</v>
      </c>
      <c r="J1002">
        <v>1.64035463838978</v>
      </c>
      <c r="K1002">
        <v>1.5515047068535399</v>
      </c>
      <c r="L1002">
        <v>15000</v>
      </c>
      <c r="M1002">
        <v>235.69686412022401</v>
      </c>
      <c r="O1002">
        <v>63.636485503995203</v>
      </c>
      <c r="P1002">
        <v>0.462975097167593</v>
      </c>
      <c r="Q1002">
        <v>1.5</v>
      </c>
      <c r="R1002">
        <v>0.83095022813138497</v>
      </c>
      <c r="S1002" t="s">
        <v>7454</v>
      </c>
      <c r="T1002" t="s">
        <v>12902</v>
      </c>
      <c r="U1002" t="s">
        <v>12902</v>
      </c>
      <c r="V1002" t="s">
        <v>12902</v>
      </c>
      <c r="W1002" t="s">
        <v>13882</v>
      </c>
      <c r="X1002">
        <v>3</v>
      </c>
      <c r="Y1002" t="s">
        <v>20271</v>
      </c>
      <c r="Z1002" t="s">
        <v>26577</v>
      </c>
      <c r="AA1002">
        <v>1.1059193813706001</v>
      </c>
      <c r="AB1002" t="str">
        <f>HYPERLINK("Melting_Curves/meltCurve_H9KV70_LCN2.pdf", "Melting_Curves/meltCurve_H9KV70_LCN2.pdf")</f>
        <v>Melting_Curves/meltCurve_H9KV70_LCN2.pdf</v>
      </c>
    </row>
    <row r="1003" spans="1:28" x14ac:dyDescent="0.25">
      <c r="A1003" t="s">
        <v>1007</v>
      </c>
      <c r="B1003">
        <v>0.99673306730245903</v>
      </c>
      <c r="C1003">
        <v>0.87039297262739102</v>
      </c>
      <c r="D1003">
        <v>0.75307779416431897</v>
      </c>
      <c r="E1003">
        <v>0.225476368597683</v>
      </c>
      <c r="F1003">
        <v>0.139871769133144</v>
      </c>
      <c r="G1003">
        <v>8.4155591442808195E-2</v>
      </c>
      <c r="H1003">
        <v>7.2956871057809597E-2</v>
      </c>
      <c r="I1003">
        <v>8.4340998387442301E-2</v>
      </c>
      <c r="J1003">
        <v>0.10227835110919301</v>
      </c>
      <c r="K1003">
        <v>9.7029894758561094E-2</v>
      </c>
      <c r="L1003">
        <v>1432.6081797929101</v>
      </c>
      <c r="M1003">
        <v>30.3536595983065</v>
      </c>
      <c r="N1003">
        <v>47.498642447170198</v>
      </c>
      <c r="O1003">
        <v>46.993779704676001</v>
      </c>
      <c r="P1003">
        <v>-0.14733185362737</v>
      </c>
      <c r="Q1003">
        <v>8.7604247913767405E-2</v>
      </c>
      <c r="R1003">
        <v>0.99088570869706205</v>
      </c>
      <c r="S1003" t="s">
        <v>7455</v>
      </c>
      <c r="T1003" t="s">
        <v>12902</v>
      </c>
      <c r="U1003" t="s">
        <v>12902</v>
      </c>
      <c r="V1003" t="s">
        <v>12902</v>
      </c>
      <c r="W1003" t="s">
        <v>13883</v>
      </c>
      <c r="X1003">
        <v>2</v>
      </c>
      <c r="Y1003" t="s">
        <v>20272</v>
      </c>
      <c r="Z1003" t="s">
        <v>26578</v>
      </c>
      <c r="AA1003">
        <v>0.31183025897653111</v>
      </c>
      <c r="AB1003" t="str">
        <f>HYPERLINK("Melting_Curves/meltCurve_H9KVB4_TNRC18.pdf", "Melting_Curves/meltCurve_H9KVB4_TNRC18.pdf")</f>
        <v>Melting_Curves/meltCurve_H9KVB4_TNRC18.pdf</v>
      </c>
    </row>
    <row r="1004" spans="1:28" x14ac:dyDescent="0.25">
      <c r="A1004" t="s">
        <v>1008</v>
      </c>
      <c r="B1004">
        <v>0.99673306730245903</v>
      </c>
      <c r="C1004">
        <v>0.86192619428942896</v>
      </c>
      <c r="D1004">
        <v>0.91120153677504601</v>
      </c>
      <c r="E1004">
        <v>0.67811205323587997</v>
      </c>
      <c r="F1004">
        <v>0.38460155359828202</v>
      </c>
      <c r="G1004">
        <v>0.30612484328688799</v>
      </c>
      <c r="H1004">
        <v>0.26163334133022698</v>
      </c>
      <c r="I1004">
        <v>0.39562592308577199</v>
      </c>
      <c r="J1004">
        <v>0.590823536752073</v>
      </c>
      <c r="K1004">
        <v>0.525069549106714</v>
      </c>
      <c r="L1004">
        <v>1704.8507688796899</v>
      </c>
      <c r="M1004">
        <v>34.779483079833</v>
      </c>
      <c r="N1004">
        <v>51.5122246827056</v>
      </c>
      <c r="O1004">
        <v>48.857655496173798</v>
      </c>
      <c r="P1004">
        <v>-0.105509060437509</v>
      </c>
      <c r="Q1004">
        <v>0.407132467271064</v>
      </c>
      <c r="R1004">
        <v>0.83288829244669804</v>
      </c>
      <c r="S1004" t="s">
        <v>7456</v>
      </c>
      <c r="T1004" t="s">
        <v>12902</v>
      </c>
      <c r="U1004" t="s">
        <v>12902</v>
      </c>
      <c r="V1004" t="s">
        <v>12902</v>
      </c>
      <c r="W1004" t="s">
        <v>13884</v>
      </c>
      <c r="X1004">
        <v>5</v>
      </c>
      <c r="Y1004" t="s">
        <v>20273</v>
      </c>
      <c r="Z1004" t="s">
        <v>26579</v>
      </c>
      <c r="AA1004">
        <v>0.58803627031721173</v>
      </c>
      <c r="AB1004" t="str">
        <f>HYPERLINK("Melting_Curves/meltCurve_H9KVB8_MICU1.pdf", "Melting_Curves/meltCurve_H9KVB8_MICU1.pdf")</f>
        <v>Melting_Curves/meltCurve_H9KVB8_MICU1.pdf</v>
      </c>
    </row>
    <row r="1005" spans="1:28" x14ac:dyDescent="0.25">
      <c r="A1005" t="s">
        <v>1009</v>
      </c>
      <c r="B1005">
        <v>0.99673306730245903</v>
      </c>
      <c r="C1005">
        <v>0.93500257141549203</v>
      </c>
      <c r="D1005">
        <v>0.81251712643126095</v>
      </c>
      <c r="E1005">
        <v>0.579942825791258</v>
      </c>
      <c r="F1005">
        <v>0.219078938811338</v>
      </c>
      <c r="G1005">
        <v>0.112820676895358</v>
      </c>
      <c r="H1005">
        <v>6.7851682727294804E-2</v>
      </c>
      <c r="I1005">
        <v>7.4670225361505693E-2</v>
      </c>
      <c r="J1005">
        <v>0.108518967431439</v>
      </c>
      <c r="K1005">
        <v>0.10196967771696799</v>
      </c>
      <c r="L1005">
        <v>1040.2015180210301</v>
      </c>
      <c r="M1005">
        <v>20.996422155424401</v>
      </c>
      <c r="N1005">
        <v>49.920777758173699</v>
      </c>
      <c r="O1005">
        <v>49.098997452344697</v>
      </c>
      <c r="P1005">
        <v>-9.9036106154774206E-2</v>
      </c>
      <c r="Q1005">
        <v>7.3662232362443097E-2</v>
      </c>
      <c r="R1005">
        <v>0.99394643987306797</v>
      </c>
      <c r="S1005" t="s">
        <v>7457</v>
      </c>
      <c r="T1005" t="s">
        <v>12902</v>
      </c>
      <c r="U1005" t="s">
        <v>12902</v>
      </c>
      <c r="V1005" t="s">
        <v>12902</v>
      </c>
      <c r="W1005" t="s">
        <v>13306</v>
      </c>
      <c r="X1005">
        <v>5</v>
      </c>
      <c r="Z1005" t="s">
        <v>26580</v>
      </c>
      <c r="AA1005">
        <v>0.38002338707012312</v>
      </c>
      <c r="AB1005" t="str">
        <f>HYPERLINK("Melting_Curves/meltCurve_I3L097_.pdf", "Melting_Curves/meltCurve_I3L097_.pdf")</f>
        <v>Melting_Curves/meltCurve_I3L097_.pdf</v>
      </c>
    </row>
    <row r="1006" spans="1:28" x14ac:dyDescent="0.25">
      <c r="A1006" t="s">
        <v>1010</v>
      </c>
      <c r="B1006">
        <v>0.99673306730245903</v>
      </c>
      <c r="C1006">
        <v>0.99232762865171797</v>
      </c>
      <c r="D1006">
        <v>0.93028418225289899</v>
      </c>
      <c r="E1006">
        <v>0.878263956926434</v>
      </c>
      <c r="F1006">
        <v>0.74141166280959103</v>
      </c>
      <c r="G1006">
        <v>0.608661525260634</v>
      </c>
      <c r="H1006">
        <v>0.43504339437607897</v>
      </c>
      <c r="I1006">
        <v>0.21287297480459599</v>
      </c>
      <c r="J1006">
        <v>0.107666106739592</v>
      </c>
      <c r="K1006">
        <v>0.101728028436621</v>
      </c>
      <c r="L1006">
        <v>734.31595367771502</v>
      </c>
      <c r="M1006">
        <v>12.6015331099779</v>
      </c>
      <c r="N1006">
        <v>58.271953704922197</v>
      </c>
      <c r="O1006">
        <v>56.862914859772403</v>
      </c>
      <c r="P1006">
        <v>-5.5414167633573597E-2</v>
      </c>
      <c r="Q1006">
        <v>0</v>
      </c>
      <c r="R1006">
        <v>0.99063343591308295</v>
      </c>
      <c r="S1006" t="s">
        <v>7458</v>
      </c>
      <c r="T1006" t="s">
        <v>12902</v>
      </c>
      <c r="U1006" t="s">
        <v>12902</v>
      </c>
      <c r="V1006" t="s">
        <v>12902</v>
      </c>
      <c r="W1006" t="s">
        <v>13885</v>
      </c>
      <c r="X1006">
        <v>4</v>
      </c>
      <c r="Y1006" t="s">
        <v>20274</v>
      </c>
      <c r="Z1006" t="s">
        <v>26581</v>
      </c>
      <c r="AA1006">
        <v>0.62104747746782851</v>
      </c>
      <c r="AB1006" t="str">
        <f>HYPERLINK("Melting_Curves/meltCurve_I3L0B8_SLC25A52.pdf", "Melting_Curves/meltCurve_I3L0B8_SLC25A52.pdf")</f>
        <v>Melting_Curves/meltCurve_I3L0B8_SLC25A52.pdf</v>
      </c>
    </row>
    <row r="1007" spans="1:28" x14ac:dyDescent="0.25">
      <c r="A1007" t="s">
        <v>1011</v>
      </c>
      <c r="B1007">
        <v>0.99673306730245903</v>
      </c>
      <c r="C1007">
        <v>0.88946297997819701</v>
      </c>
      <c r="D1007">
        <v>0.91589208853231396</v>
      </c>
      <c r="E1007">
        <v>0.42598976469636202</v>
      </c>
      <c r="F1007">
        <v>0.30638700700819799</v>
      </c>
      <c r="G1007">
        <v>0.18385267057683899</v>
      </c>
      <c r="H1007">
        <v>0.144675006884395</v>
      </c>
      <c r="I1007">
        <v>0.123201959745213</v>
      </c>
      <c r="J1007">
        <v>9.8533157601480098E-2</v>
      </c>
      <c r="K1007">
        <v>7.3906492323057002E-2</v>
      </c>
      <c r="L1007">
        <v>1041.78240106059</v>
      </c>
      <c r="M1007">
        <v>21.2373100806747</v>
      </c>
      <c r="N1007">
        <v>49.6528173361163</v>
      </c>
      <c r="O1007">
        <v>48.625623619132597</v>
      </c>
      <c r="P1007">
        <v>-9.6860963723003707E-2</v>
      </c>
      <c r="Q1007">
        <v>0.11291897810069</v>
      </c>
      <c r="R1007">
        <v>0.98027169608432796</v>
      </c>
      <c r="S1007" t="s">
        <v>7459</v>
      </c>
      <c r="T1007" t="s">
        <v>12902</v>
      </c>
      <c r="U1007" t="s">
        <v>12902</v>
      </c>
      <c r="V1007" t="s">
        <v>12902</v>
      </c>
      <c r="W1007" t="s">
        <v>13886</v>
      </c>
      <c r="X1007">
        <v>3</v>
      </c>
      <c r="Y1007" t="s">
        <v>20275</v>
      </c>
      <c r="Z1007" t="s">
        <v>26582</v>
      </c>
      <c r="AA1007">
        <v>0.39164137081180928</v>
      </c>
      <c r="AB1007" t="str">
        <f>HYPERLINK("Melting_Curves/meltCurve_I3L0C1_SMG1.pdf", "Melting_Curves/meltCurve_I3L0C1_SMG1.pdf")</f>
        <v>Melting_Curves/meltCurve_I3L0C1_SMG1.pdf</v>
      </c>
    </row>
    <row r="1008" spans="1:28" x14ac:dyDescent="0.25">
      <c r="A1008" t="s">
        <v>1012</v>
      </c>
      <c r="B1008">
        <v>0.99673306730245903</v>
      </c>
      <c r="C1008">
        <v>0.83960730287824903</v>
      </c>
      <c r="D1008">
        <v>0.858342891100493</v>
      </c>
      <c r="E1008">
        <v>0.81077026135616903</v>
      </c>
      <c r="F1008">
        <v>0.63361463596897305</v>
      </c>
      <c r="G1008">
        <v>0.38100106184402899</v>
      </c>
      <c r="H1008">
        <v>0.211451505781177</v>
      </c>
      <c r="I1008">
        <v>0.17998930298350199</v>
      </c>
      <c r="J1008">
        <v>0.15131008397700901</v>
      </c>
      <c r="K1008">
        <v>0.255539320717936</v>
      </c>
      <c r="L1008">
        <v>713.28800585889405</v>
      </c>
      <c r="M1008">
        <v>13.3482429823025</v>
      </c>
      <c r="N1008">
        <v>54.625844255057601</v>
      </c>
      <c r="O1008">
        <v>52.280237561177302</v>
      </c>
      <c r="P1008">
        <v>-5.5792034320148898E-2</v>
      </c>
      <c r="Q1008">
        <v>0.12607044337303799</v>
      </c>
      <c r="R1008">
        <v>0.96032102243130602</v>
      </c>
      <c r="S1008" t="s">
        <v>7460</v>
      </c>
      <c r="T1008" t="s">
        <v>12902</v>
      </c>
      <c r="U1008" t="s">
        <v>12902</v>
      </c>
      <c r="V1008" t="s">
        <v>12902</v>
      </c>
      <c r="W1008" t="s">
        <v>13887</v>
      </c>
      <c r="X1008">
        <v>4</v>
      </c>
      <c r="Y1008" t="s">
        <v>20276</v>
      </c>
      <c r="Z1008" t="s">
        <v>26583</v>
      </c>
      <c r="AA1008">
        <v>0.53884411107919594</v>
      </c>
      <c r="AB1008" t="str">
        <f>HYPERLINK("Melting_Curves/meltCurve_I3L0K1_GOSR2.pdf", "Melting_Curves/meltCurve_I3L0K1_GOSR2.pdf")</f>
        <v>Melting_Curves/meltCurve_I3L0K1_GOSR2.pdf</v>
      </c>
    </row>
    <row r="1009" spans="1:28" x14ac:dyDescent="0.25">
      <c r="A1009" t="s">
        <v>1013</v>
      </c>
      <c r="B1009">
        <v>0.99673306730245903</v>
      </c>
      <c r="C1009">
        <v>1.1553573030711299</v>
      </c>
      <c r="D1009">
        <v>0.55677275929394099</v>
      </c>
      <c r="E1009">
        <v>0.67281688531963402</v>
      </c>
      <c r="F1009">
        <v>0.15538528518980399</v>
      </c>
      <c r="G1009">
        <v>0.12897259006147799</v>
      </c>
      <c r="H1009">
        <v>7.6367443105808397E-2</v>
      </c>
      <c r="I1009">
        <v>6.6184564950886607E-2</v>
      </c>
      <c r="J1009">
        <v>5.7837181343249E-2</v>
      </c>
      <c r="K1009">
        <v>4.75586092529467E-2</v>
      </c>
      <c r="L1009">
        <v>871.82051258059403</v>
      </c>
      <c r="M1009">
        <v>17.653318785783899</v>
      </c>
      <c r="N1009">
        <v>49.622255187180002</v>
      </c>
      <c r="O1009">
        <v>48.764996961685497</v>
      </c>
      <c r="P1009">
        <v>-8.6853510380232299E-2</v>
      </c>
      <c r="Q1009">
        <v>4.0365020688554701E-2</v>
      </c>
      <c r="R1009">
        <v>0.91177393429043196</v>
      </c>
      <c r="S1009" t="s">
        <v>7461</v>
      </c>
      <c r="T1009" t="s">
        <v>12902</v>
      </c>
      <c r="U1009" t="s">
        <v>12902</v>
      </c>
      <c r="V1009" t="s">
        <v>12902</v>
      </c>
      <c r="W1009" t="s">
        <v>13888</v>
      </c>
      <c r="X1009">
        <v>43</v>
      </c>
      <c r="Y1009" t="s">
        <v>20277</v>
      </c>
      <c r="Z1009" t="s">
        <v>26584</v>
      </c>
      <c r="AA1009">
        <v>0.35774098219192152</v>
      </c>
      <c r="AB1009" t="str">
        <f>HYPERLINK("Melting_Curves/meltCurve_I3L0N3_NSF.pdf", "Melting_Curves/meltCurve_I3L0N3_NSF.pdf")</f>
        <v>Melting_Curves/meltCurve_I3L0N3_NSF.pdf</v>
      </c>
    </row>
    <row r="1010" spans="1:28" x14ac:dyDescent="0.25">
      <c r="A1010" t="s">
        <v>1014</v>
      </c>
      <c r="B1010">
        <v>0.99673306730245903</v>
      </c>
      <c r="C1010">
        <v>0.80574332228193202</v>
      </c>
      <c r="D1010">
        <v>0.75873854194490398</v>
      </c>
      <c r="E1010">
        <v>0.68793156881699002</v>
      </c>
      <c r="F1010">
        <v>0.52713582932053404</v>
      </c>
      <c r="G1010">
        <v>0.31013437991502402</v>
      </c>
      <c r="H1010">
        <v>0.16619343043257501</v>
      </c>
      <c r="I1010">
        <v>0.194710640026096</v>
      </c>
      <c r="J1010">
        <v>0.31823643074286401</v>
      </c>
      <c r="K1010">
        <v>0.26816912789957098</v>
      </c>
      <c r="L1010">
        <v>568.26403657311198</v>
      </c>
      <c r="M1010">
        <v>11.3238450221078</v>
      </c>
      <c r="N1010">
        <v>52.309894921799703</v>
      </c>
      <c r="O1010">
        <v>48.694351979535199</v>
      </c>
      <c r="P1010">
        <v>-4.7425679632551301E-2</v>
      </c>
      <c r="Q1010">
        <v>0.184493884359447</v>
      </c>
      <c r="R1010">
        <v>0.93696509199117095</v>
      </c>
      <c r="S1010" t="s">
        <v>7462</v>
      </c>
      <c r="T1010" t="s">
        <v>12902</v>
      </c>
      <c r="U1010" t="s">
        <v>12902</v>
      </c>
      <c r="V1010" t="s">
        <v>12902</v>
      </c>
      <c r="W1010" t="s">
        <v>13889</v>
      </c>
      <c r="X1010">
        <v>3</v>
      </c>
      <c r="Y1010" t="s">
        <v>20278</v>
      </c>
      <c r="Z1010" t="s">
        <v>26585</v>
      </c>
      <c r="AA1010">
        <v>0.49178270620507392</v>
      </c>
      <c r="AB1010" t="str">
        <f>HYPERLINK("Melting_Curves/meltCurve_I3L0U5_CCDC137.pdf", "Melting_Curves/meltCurve_I3L0U5_CCDC137.pdf")</f>
        <v>Melting_Curves/meltCurve_I3L0U5_CCDC137.pdf</v>
      </c>
    </row>
    <row r="1011" spans="1:28" x14ac:dyDescent="0.25">
      <c r="A1011" t="s">
        <v>1015</v>
      </c>
      <c r="B1011">
        <v>0.99673306730245903</v>
      </c>
      <c r="C1011">
        <v>0.94006762552093004</v>
      </c>
      <c r="D1011">
        <v>0.88558601318262398</v>
      </c>
      <c r="E1011">
        <v>0.73172588073672395</v>
      </c>
      <c r="F1011">
        <v>0.37165908227825201</v>
      </c>
      <c r="G1011">
        <v>0.218720093548367</v>
      </c>
      <c r="H1011">
        <v>7.5840063321980095E-2</v>
      </c>
      <c r="I1011">
        <v>5.9929876556965397E-2</v>
      </c>
      <c r="J1011">
        <v>4.74850537082879E-2</v>
      </c>
      <c r="K1011">
        <v>3.1761840381737502E-2</v>
      </c>
      <c r="L1011">
        <v>906.87500072150704</v>
      </c>
      <c r="M1011">
        <v>17.493631316279501</v>
      </c>
      <c r="N1011">
        <v>51.979380502941297</v>
      </c>
      <c r="O1011">
        <v>51.177104002873101</v>
      </c>
      <c r="P1011">
        <v>-8.3506961771475E-2</v>
      </c>
      <c r="Q1011">
        <v>2.2865306017614301E-2</v>
      </c>
      <c r="R1011">
        <v>0.99681642585980901</v>
      </c>
      <c r="S1011" t="s">
        <v>7463</v>
      </c>
      <c r="T1011" t="s">
        <v>12902</v>
      </c>
      <c r="U1011" t="s">
        <v>12902</v>
      </c>
      <c r="V1011" t="s">
        <v>12902</v>
      </c>
      <c r="W1011" t="s">
        <v>13890</v>
      </c>
      <c r="X1011">
        <v>2</v>
      </c>
      <c r="Y1011" t="s">
        <v>20279</v>
      </c>
      <c r="Z1011" t="s">
        <v>26586</v>
      </c>
      <c r="AA1011">
        <v>0.42562739029592073</v>
      </c>
      <c r="AB1011" t="str">
        <f>HYPERLINK("Melting_Curves/meltCurve_I3L112_DGKE.pdf", "Melting_Curves/meltCurve_I3L112_DGKE.pdf")</f>
        <v>Melting_Curves/meltCurve_I3L112_DGKE.pdf</v>
      </c>
    </row>
    <row r="1012" spans="1:28" x14ac:dyDescent="0.25">
      <c r="A1012" t="s">
        <v>1016</v>
      </c>
      <c r="B1012">
        <v>0.99673306730245903</v>
      </c>
      <c r="C1012">
        <v>1.0036260083698501</v>
      </c>
      <c r="D1012">
        <v>1.0067083076244401</v>
      </c>
      <c r="E1012">
        <v>1.02942263360761</v>
      </c>
      <c r="F1012">
        <v>0.74450515051533095</v>
      </c>
      <c r="G1012">
        <v>0.47114188496947201</v>
      </c>
      <c r="H1012">
        <v>0.167415806745801</v>
      </c>
      <c r="I1012">
        <v>9.68214131123529E-2</v>
      </c>
      <c r="J1012">
        <v>7.7158602387029596E-2</v>
      </c>
      <c r="K1012">
        <v>5.9215069399363697E-2</v>
      </c>
      <c r="L1012">
        <v>1337.1332898549399</v>
      </c>
      <c r="M1012">
        <v>23.8821416370055</v>
      </c>
      <c r="N1012">
        <v>56.255553040302303</v>
      </c>
      <c r="O1012">
        <v>55.600705772343701</v>
      </c>
      <c r="P1012">
        <v>-0.10163585411569701</v>
      </c>
      <c r="Q1012">
        <v>5.3529761568638597E-2</v>
      </c>
      <c r="R1012">
        <v>0.99529589797320905</v>
      </c>
      <c r="S1012" t="s">
        <v>7464</v>
      </c>
      <c r="T1012" t="s">
        <v>12902</v>
      </c>
      <c r="U1012" t="s">
        <v>12902</v>
      </c>
      <c r="V1012" t="s">
        <v>12902</v>
      </c>
      <c r="W1012" t="s">
        <v>13891</v>
      </c>
      <c r="X1012">
        <v>3</v>
      </c>
      <c r="Y1012" t="s">
        <v>20280</v>
      </c>
      <c r="Z1012" t="s">
        <v>26587</v>
      </c>
      <c r="AA1012">
        <v>0.56732645422892047</v>
      </c>
      <c r="AB1012" t="str">
        <f>HYPERLINK("Melting_Curves/meltCurve_I3L1H5_DPH1.pdf", "Melting_Curves/meltCurve_I3L1H5_DPH1.pdf")</f>
        <v>Melting_Curves/meltCurve_I3L1H5_DPH1.pdf</v>
      </c>
    </row>
    <row r="1013" spans="1:28" x14ac:dyDescent="0.25">
      <c r="A1013" t="s">
        <v>1017</v>
      </c>
      <c r="B1013">
        <v>0.99673306730245903</v>
      </c>
      <c r="C1013">
        <v>0.97516689001477297</v>
      </c>
      <c r="D1013">
        <v>0.92447857161897096</v>
      </c>
      <c r="E1013">
        <v>0.87188067794077095</v>
      </c>
      <c r="F1013">
        <v>0.75414469995214395</v>
      </c>
      <c r="G1013">
        <v>0.71064510236623102</v>
      </c>
      <c r="H1013">
        <v>0.65997423301970903</v>
      </c>
      <c r="I1013">
        <v>1.0451425133629699</v>
      </c>
      <c r="J1013">
        <v>1.15451357990074</v>
      </c>
      <c r="K1013">
        <v>1.3826744694694399</v>
      </c>
      <c r="L1013">
        <v>3957.35526602046</v>
      </c>
      <c r="M1013">
        <v>58.377861215323797</v>
      </c>
      <c r="O1013">
        <v>67.709221576335096</v>
      </c>
      <c r="P1013">
        <v>9.5434886846559402E-2</v>
      </c>
      <c r="Q1013">
        <v>1.4427581801360301</v>
      </c>
      <c r="R1013">
        <v>0.33567019666798897</v>
      </c>
      <c r="S1013" t="s">
        <v>7465</v>
      </c>
      <c r="T1013" t="s">
        <v>12902</v>
      </c>
      <c r="U1013" t="s">
        <v>12902</v>
      </c>
      <c r="V1013" t="s">
        <v>12902</v>
      </c>
      <c r="W1013" t="s">
        <v>13892</v>
      </c>
      <c r="X1013">
        <v>16</v>
      </c>
      <c r="Y1013" t="s">
        <v>20281</v>
      </c>
      <c r="Z1013" t="s">
        <v>26588</v>
      </c>
      <c r="AA1013">
        <v>1.034454255022984</v>
      </c>
      <c r="AB1013" t="str">
        <f>HYPERLINK("Melting_Curves/meltCurve_I3L1P8_SLC25A11.pdf", "Melting_Curves/meltCurve_I3L1P8_SLC25A11.pdf")</f>
        <v>Melting_Curves/meltCurve_I3L1P8_SLC25A11.pdf</v>
      </c>
    </row>
    <row r="1014" spans="1:28" x14ac:dyDescent="0.25">
      <c r="A1014" t="s">
        <v>1018</v>
      </c>
      <c r="B1014">
        <v>0.99673306730245903</v>
      </c>
      <c r="C1014">
        <v>0.92132279695084696</v>
      </c>
      <c r="D1014">
        <v>0.97929709094413098</v>
      </c>
      <c r="E1014">
        <v>1.0821825795971101</v>
      </c>
      <c r="F1014">
        <v>1.1000592904509701</v>
      </c>
      <c r="G1014">
        <v>0.89559989862038003</v>
      </c>
      <c r="H1014">
        <v>0.63013232767481397</v>
      </c>
      <c r="I1014">
        <v>0.645862257884253</v>
      </c>
      <c r="J1014">
        <v>0.51246692212797296</v>
      </c>
      <c r="K1014">
        <v>0.29511071063680699</v>
      </c>
      <c r="L1014">
        <v>975.65829552418404</v>
      </c>
      <c r="M1014">
        <v>15.172792578862801</v>
      </c>
      <c r="N1014">
        <v>65.904437755139099</v>
      </c>
      <c r="O1014">
        <v>63.217180699838401</v>
      </c>
      <c r="P1014">
        <v>-5.0757040529298199E-2</v>
      </c>
      <c r="Q1014">
        <v>0.15416833858350201</v>
      </c>
      <c r="R1014">
        <v>0.91280400304589504</v>
      </c>
      <c r="S1014" t="s">
        <v>7466</v>
      </c>
      <c r="T1014" t="s">
        <v>12902</v>
      </c>
      <c r="U1014" t="s">
        <v>12902</v>
      </c>
      <c r="V1014" t="s">
        <v>12902</v>
      </c>
      <c r="W1014" t="s">
        <v>13893</v>
      </c>
      <c r="X1014">
        <v>4</v>
      </c>
      <c r="Y1014" t="s">
        <v>20282</v>
      </c>
      <c r="Z1014" t="s">
        <v>26589</v>
      </c>
      <c r="AA1014">
        <v>0.82361570517311411</v>
      </c>
      <c r="AB1014" t="str">
        <f>HYPERLINK("Melting_Curves/meltCurve_I3L1Q3_ELP5.pdf", "Melting_Curves/meltCurve_I3L1Q3_ELP5.pdf")</f>
        <v>Melting_Curves/meltCurve_I3L1Q3_ELP5.pdf</v>
      </c>
    </row>
    <row r="1015" spans="1:28" x14ac:dyDescent="0.25">
      <c r="A1015" t="s">
        <v>1019</v>
      </c>
      <c r="B1015">
        <v>0.99673306730245903</v>
      </c>
      <c r="C1015">
        <v>0.850903673122404</v>
      </c>
      <c r="D1015">
        <v>0.88438177415597197</v>
      </c>
      <c r="E1015">
        <v>1.1197636354682099</v>
      </c>
      <c r="F1015">
        <v>0.68531893115980902</v>
      </c>
      <c r="G1015">
        <v>0.26757174506512099</v>
      </c>
      <c r="H1015">
        <v>0.24266134855885599</v>
      </c>
      <c r="I1015">
        <v>0.229879053387858</v>
      </c>
      <c r="J1015">
        <v>0</v>
      </c>
      <c r="K1015">
        <v>7.3966988918407001E-2</v>
      </c>
      <c r="L1015">
        <v>2066.2284598003398</v>
      </c>
      <c r="M1015">
        <v>38.126883216699397</v>
      </c>
      <c r="N1015">
        <v>54.633044373132797</v>
      </c>
      <c r="O1015">
        <v>54.045037884510897</v>
      </c>
      <c r="P1015">
        <v>-0.15307049283362301</v>
      </c>
      <c r="Q1015">
        <v>0.13208959424268599</v>
      </c>
      <c r="R1015">
        <v>0.93760883050144805</v>
      </c>
      <c r="S1015" t="s">
        <v>7467</v>
      </c>
      <c r="T1015" t="s">
        <v>12902</v>
      </c>
      <c r="U1015" t="s">
        <v>12902</v>
      </c>
      <c r="V1015" t="s">
        <v>12902</v>
      </c>
      <c r="W1015" t="s">
        <v>13894</v>
      </c>
      <c r="X1015">
        <v>1</v>
      </c>
      <c r="Y1015" t="s">
        <v>20283</v>
      </c>
      <c r="Z1015" t="s">
        <v>26590</v>
      </c>
      <c r="AA1015">
        <v>0.54628119510142337</v>
      </c>
      <c r="AB1015" t="str">
        <f>HYPERLINK("Melting_Curves/meltCurve_I3L232_B3GNTL1.pdf", "Melting_Curves/meltCurve_I3L232_B3GNTL1.pdf")</f>
        <v>Melting_Curves/meltCurve_I3L232_B3GNTL1.pdf</v>
      </c>
    </row>
    <row r="1016" spans="1:28" x14ac:dyDescent="0.25">
      <c r="A1016" t="s">
        <v>1020</v>
      </c>
      <c r="B1016">
        <v>0.99673306730245903</v>
      </c>
      <c r="C1016">
        <v>0.88298086839668999</v>
      </c>
      <c r="D1016">
        <v>0.82519271189462196</v>
      </c>
      <c r="E1016">
        <v>0.39636666663725501</v>
      </c>
      <c r="F1016">
        <v>8.8109104320588605E-2</v>
      </c>
      <c r="G1016">
        <v>5.5972600841831199E-2</v>
      </c>
      <c r="H1016">
        <v>2.5157410257535599E-2</v>
      </c>
      <c r="I1016">
        <v>2.3219386511047501E-2</v>
      </c>
      <c r="J1016">
        <v>3.07924528916458E-2</v>
      </c>
      <c r="K1016">
        <v>2.8773962134778001E-2</v>
      </c>
      <c r="L1016">
        <v>1207.13127684489</v>
      </c>
      <c r="M1016">
        <v>24.855728388482099</v>
      </c>
      <c r="N1016">
        <v>48.649218150952997</v>
      </c>
      <c r="O1016">
        <v>48.254411955891001</v>
      </c>
      <c r="P1016">
        <v>-0.126080612372061</v>
      </c>
      <c r="Q1016">
        <v>2.0931638711017799E-2</v>
      </c>
      <c r="R1016">
        <v>0.994301663194325</v>
      </c>
      <c r="S1016" t="s">
        <v>7468</v>
      </c>
      <c r="T1016" t="s">
        <v>12902</v>
      </c>
      <c r="U1016" t="s">
        <v>12902</v>
      </c>
      <c r="V1016" t="s">
        <v>12902</v>
      </c>
      <c r="W1016" t="s">
        <v>13895</v>
      </c>
      <c r="X1016">
        <v>20</v>
      </c>
      <c r="Y1016" t="s">
        <v>20284</v>
      </c>
      <c r="Z1016" t="s">
        <v>26591</v>
      </c>
      <c r="AA1016">
        <v>0.30923481467167541</v>
      </c>
      <c r="AB1016" t="str">
        <f>HYPERLINK("Melting_Curves/meltCurve_I3L2B0_CLUH.pdf", "Melting_Curves/meltCurve_I3L2B0_CLUH.pdf")</f>
        <v>Melting_Curves/meltCurve_I3L2B0_CLUH.pdf</v>
      </c>
    </row>
    <row r="1017" spans="1:28" x14ac:dyDescent="0.25">
      <c r="A1017" t="s">
        <v>1021</v>
      </c>
      <c r="B1017">
        <v>0.99673306730245903</v>
      </c>
      <c r="C1017">
        <v>0.69441891895227104</v>
      </c>
      <c r="D1017">
        <v>0.46844234806578799</v>
      </c>
      <c r="E1017">
        <v>0.26499706086931701</v>
      </c>
      <c r="F1017">
        <v>0.161049236857331</v>
      </c>
      <c r="G1017">
        <v>0.10657182726313399</v>
      </c>
      <c r="H1017">
        <v>7.0321396468225897E-2</v>
      </c>
      <c r="I1017">
        <v>6.2661617215529195E-2</v>
      </c>
      <c r="J1017">
        <v>5.7143560965801601E-2</v>
      </c>
      <c r="K1017">
        <v>6.0866053851126402E-2</v>
      </c>
      <c r="L1017">
        <v>759.15419867423896</v>
      </c>
      <c r="M1017">
        <v>16.7319403571734</v>
      </c>
      <c r="N1017">
        <v>45.751816607339101</v>
      </c>
      <c r="O1017">
        <v>44.738320766478999</v>
      </c>
      <c r="P1017">
        <v>-8.7435234423213798E-2</v>
      </c>
      <c r="Q1017">
        <v>6.4914611117002904E-2</v>
      </c>
      <c r="R1017">
        <v>0.98833848042172101</v>
      </c>
      <c r="S1017" t="s">
        <v>7469</v>
      </c>
      <c r="T1017" t="s">
        <v>12902</v>
      </c>
      <c r="U1017" t="s">
        <v>12902</v>
      </c>
      <c r="V1017" t="s">
        <v>12902</v>
      </c>
      <c r="W1017" t="s">
        <v>13896</v>
      </c>
      <c r="X1017">
        <v>3</v>
      </c>
      <c r="Y1017" t="s">
        <v>20285</v>
      </c>
      <c r="Z1017" t="s">
        <v>26592</v>
      </c>
      <c r="AA1017">
        <v>0.25517583821528828</v>
      </c>
      <c r="AB1017" t="str">
        <f>HYPERLINK("Melting_Curves/meltCurve_I3L2C7_GEMIN4.pdf", "Melting_Curves/meltCurve_I3L2C7_GEMIN4.pdf")</f>
        <v>Melting_Curves/meltCurve_I3L2C7_GEMIN4.pdf</v>
      </c>
    </row>
    <row r="1018" spans="1:28" x14ac:dyDescent="0.25">
      <c r="A1018" t="s">
        <v>1022</v>
      </c>
      <c r="B1018">
        <v>0.99673306730245903</v>
      </c>
      <c r="C1018">
        <v>1.0650930765642399</v>
      </c>
      <c r="D1018">
        <v>0.99324486927242495</v>
      </c>
      <c r="E1018">
        <v>0.96054840981408096</v>
      </c>
      <c r="F1018">
        <v>1.3249458874492099</v>
      </c>
      <c r="G1018">
        <v>1.0147396507589601</v>
      </c>
      <c r="H1018">
        <v>0.87902161721512795</v>
      </c>
      <c r="I1018">
        <v>1.26522598243844</v>
      </c>
      <c r="J1018">
        <v>1.9061733045118801</v>
      </c>
      <c r="K1018">
        <v>1.8158047797424399</v>
      </c>
      <c r="L1018">
        <v>15000</v>
      </c>
      <c r="M1018">
        <v>234.497169322708</v>
      </c>
      <c r="O1018">
        <v>63.9620039059172</v>
      </c>
      <c r="P1018">
        <v>0.45827435269427702</v>
      </c>
      <c r="Q1018">
        <v>1.5</v>
      </c>
      <c r="R1018">
        <v>0.67136649804890902</v>
      </c>
      <c r="S1018" t="s">
        <v>7470</v>
      </c>
      <c r="T1018" t="s">
        <v>12902</v>
      </c>
      <c r="U1018" t="s">
        <v>12902</v>
      </c>
      <c r="V1018" t="s">
        <v>12902</v>
      </c>
      <c r="W1018" t="s">
        <v>13897</v>
      </c>
      <c r="X1018">
        <v>3</v>
      </c>
      <c r="Y1018" t="s">
        <v>20286</v>
      </c>
      <c r="Z1018" t="s">
        <v>26593</v>
      </c>
      <c r="AA1018">
        <v>1.1004919173552481</v>
      </c>
      <c r="AB1018" t="str">
        <f>HYPERLINK("Melting_Curves/meltCurve_I3L2J0_CIC.pdf", "Melting_Curves/meltCurve_I3L2J0_CIC.pdf")</f>
        <v>Melting_Curves/meltCurve_I3L2J0_CIC.pdf</v>
      </c>
    </row>
    <row r="1019" spans="1:28" x14ac:dyDescent="0.25">
      <c r="A1019" t="s">
        <v>1023</v>
      </c>
      <c r="B1019">
        <v>0.99673306730245903</v>
      </c>
      <c r="C1019">
        <v>0.854877135735016</v>
      </c>
      <c r="D1019">
        <v>0.64407448656329702</v>
      </c>
      <c r="E1019">
        <v>0.41422503424198998</v>
      </c>
      <c r="F1019">
        <v>0.26352825043255101</v>
      </c>
      <c r="G1019">
        <v>0.17929476740383299</v>
      </c>
      <c r="H1019">
        <v>0.124720278145508</v>
      </c>
      <c r="I1019">
        <v>0.106878366526204</v>
      </c>
      <c r="J1019">
        <v>0.14406936690345701</v>
      </c>
      <c r="K1019">
        <v>0.13681023802901701</v>
      </c>
      <c r="L1019">
        <v>759.12061558794198</v>
      </c>
      <c r="M1019">
        <v>16.029227184279598</v>
      </c>
      <c r="N1019">
        <v>48.1774495570466</v>
      </c>
      <c r="O1019">
        <v>46.639847654595997</v>
      </c>
      <c r="P1019">
        <v>-7.5680185580408399E-2</v>
      </c>
      <c r="Q1019">
        <v>0.11924994894794699</v>
      </c>
      <c r="R1019">
        <v>0.99617385474926701</v>
      </c>
      <c r="S1019" t="s">
        <v>7471</v>
      </c>
      <c r="T1019" t="s">
        <v>12902</v>
      </c>
      <c r="U1019" t="s">
        <v>12902</v>
      </c>
      <c r="V1019" t="s">
        <v>12902</v>
      </c>
      <c r="W1019" t="s">
        <v>13898</v>
      </c>
      <c r="X1019">
        <v>9</v>
      </c>
      <c r="Y1019" t="s">
        <v>20287</v>
      </c>
      <c r="Z1019" t="s">
        <v>26594</v>
      </c>
      <c r="AA1019">
        <v>0.355719816995622</v>
      </c>
      <c r="AB1019" t="str">
        <f>HYPERLINK("Melting_Curves/meltCurve_I3L2J8_AZI1.pdf", "Melting_Curves/meltCurve_I3L2J8_AZI1.pdf")</f>
        <v>Melting_Curves/meltCurve_I3L2J8_AZI1.pdf</v>
      </c>
    </row>
    <row r="1020" spans="1:28" x14ac:dyDescent="0.25">
      <c r="A1020" t="s">
        <v>1024</v>
      </c>
      <c r="B1020">
        <v>0.99673306730245903</v>
      </c>
      <c r="C1020">
        <v>0.94335848524384303</v>
      </c>
      <c r="D1020">
        <v>0.93277583204322201</v>
      </c>
      <c r="E1020">
        <v>0.81132917736431498</v>
      </c>
      <c r="F1020">
        <v>0.645117521367914</v>
      </c>
      <c r="G1020">
        <v>0.50034290591699704</v>
      </c>
      <c r="H1020">
        <v>0.407554050912937</v>
      </c>
      <c r="I1020">
        <v>0.56275016204376105</v>
      </c>
      <c r="J1020">
        <v>0.94657931540187001</v>
      </c>
      <c r="K1020">
        <v>0.87765489641868</v>
      </c>
      <c r="L1020">
        <v>1715.94982872337</v>
      </c>
      <c r="M1020">
        <v>35.110031206002297</v>
      </c>
      <c r="O1020">
        <v>48.715756245985098</v>
      </c>
      <c r="P1020">
        <v>-6.2031280339652099E-2</v>
      </c>
      <c r="Q1020">
        <v>0.65572343892476503</v>
      </c>
      <c r="R1020">
        <v>0.43358421872196001</v>
      </c>
      <c r="S1020" t="s">
        <v>7472</v>
      </c>
      <c r="T1020" t="s">
        <v>12902</v>
      </c>
      <c r="U1020" t="s">
        <v>12902</v>
      </c>
      <c r="V1020" t="s">
        <v>12902</v>
      </c>
      <c r="W1020" t="s">
        <v>13899</v>
      </c>
      <c r="X1020">
        <v>3</v>
      </c>
      <c r="Y1020" t="s">
        <v>20288</v>
      </c>
      <c r="Z1020" t="s">
        <v>26595</v>
      </c>
      <c r="AA1020">
        <v>0.75907202431854826</v>
      </c>
      <c r="AB1020" t="str">
        <f>HYPERLINK("Melting_Curves/meltCurve_I3L2L5_FAM195B.pdf", "Melting_Curves/meltCurve_I3L2L5_FAM195B.pdf")</f>
        <v>Melting_Curves/meltCurve_I3L2L5_FAM195B.pdf</v>
      </c>
    </row>
    <row r="1021" spans="1:28" x14ac:dyDescent="0.25">
      <c r="A1021" t="s">
        <v>1025</v>
      </c>
      <c r="B1021">
        <v>0.99673306730245903</v>
      </c>
      <c r="C1021">
        <v>0.93520072903905405</v>
      </c>
      <c r="D1021">
        <v>0.79129197831786702</v>
      </c>
      <c r="E1021">
        <v>0.80175247165105601</v>
      </c>
      <c r="F1021">
        <v>0.66597691318942598</v>
      </c>
      <c r="G1021">
        <v>0.52956177554431005</v>
      </c>
      <c r="H1021">
        <v>0.413807294719996</v>
      </c>
      <c r="I1021">
        <v>0.433488171839915</v>
      </c>
      <c r="J1021">
        <v>0.25522333967618599</v>
      </c>
      <c r="K1021">
        <v>0.143528819280099</v>
      </c>
      <c r="L1021">
        <v>423.090510627566</v>
      </c>
      <c r="M1021">
        <v>7.2914483368514196</v>
      </c>
      <c r="N1021">
        <v>58.0255914613779</v>
      </c>
      <c r="O1021">
        <v>54.1387930459804</v>
      </c>
      <c r="P1021">
        <v>-3.3723899490999597E-2</v>
      </c>
      <c r="Q1021">
        <v>0</v>
      </c>
      <c r="R1021">
        <v>0.96736055559286405</v>
      </c>
      <c r="S1021" t="s">
        <v>7473</v>
      </c>
      <c r="T1021" t="s">
        <v>12902</v>
      </c>
      <c r="U1021" t="s">
        <v>12902</v>
      </c>
      <c r="V1021" t="s">
        <v>12902</v>
      </c>
      <c r="W1021" t="s">
        <v>13900</v>
      </c>
      <c r="X1021">
        <v>1</v>
      </c>
      <c r="Y1021" t="s">
        <v>20289</v>
      </c>
      <c r="Z1021" t="s">
        <v>26596</v>
      </c>
      <c r="AA1021">
        <v>0.60069761692395673</v>
      </c>
      <c r="AB1021" t="str">
        <f>HYPERLINK("Melting_Curves/meltCurve_I3L2R4_SLC2A4.pdf", "Melting_Curves/meltCurve_I3L2R4_SLC2A4.pdf")</f>
        <v>Melting_Curves/meltCurve_I3L2R4_SLC2A4.pdf</v>
      </c>
    </row>
    <row r="1022" spans="1:28" x14ac:dyDescent="0.25">
      <c r="A1022" t="s">
        <v>1026</v>
      </c>
      <c r="B1022">
        <v>0.99673306730245903</v>
      </c>
      <c r="C1022">
        <v>0.98852514354113596</v>
      </c>
      <c r="D1022">
        <v>0.78538704896504896</v>
      </c>
      <c r="E1022">
        <v>0.483746447633562</v>
      </c>
      <c r="F1022">
        <v>0.21326707877510301</v>
      </c>
      <c r="G1022">
        <v>0.15189115177800799</v>
      </c>
      <c r="H1022">
        <v>0.10202102794451701</v>
      </c>
      <c r="I1022">
        <v>0.108943565968491</v>
      </c>
      <c r="J1022">
        <v>0.12948423126797001</v>
      </c>
      <c r="K1022">
        <v>0.123247424456102</v>
      </c>
      <c r="L1022">
        <v>1090.18559002252</v>
      </c>
      <c r="M1022">
        <v>22.393995874864899</v>
      </c>
      <c r="N1022">
        <v>49.238337051890198</v>
      </c>
      <c r="O1022">
        <v>48.2988357019563</v>
      </c>
      <c r="P1022">
        <v>-0.102960473165139</v>
      </c>
      <c r="Q1022">
        <v>0.11176775017627499</v>
      </c>
      <c r="R1022">
        <v>0.99771615953997095</v>
      </c>
      <c r="S1022" t="s">
        <v>7474</v>
      </c>
      <c r="T1022" t="s">
        <v>12902</v>
      </c>
      <c r="U1022" t="s">
        <v>12902</v>
      </c>
      <c r="V1022" t="s">
        <v>12902</v>
      </c>
      <c r="W1022" t="s">
        <v>13901</v>
      </c>
      <c r="X1022">
        <v>14</v>
      </c>
      <c r="Y1022" t="s">
        <v>20290</v>
      </c>
      <c r="Z1022" t="s">
        <v>26597</v>
      </c>
      <c r="AA1022">
        <v>0.37870233977819301</v>
      </c>
      <c r="AB1022" t="str">
        <f>HYPERLINK("Melting_Curves/meltCurve_I3L397_EIF5A.pdf", "Melting_Curves/meltCurve_I3L397_EIF5A.pdf")</f>
        <v>Melting_Curves/meltCurve_I3L397_EIF5A.pdf</v>
      </c>
    </row>
    <row r="1023" spans="1:28" x14ac:dyDescent="0.25">
      <c r="A1023" t="s">
        <v>1027</v>
      </c>
      <c r="B1023">
        <v>0.99673306730245903</v>
      </c>
      <c r="C1023">
        <v>1.0040213779642899</v>
      </c>
      <c r="D1023">
        <v>1.28189783129751</v>
      </c>
      <c r="E1023">
        <v>1.65952000955999</v>
      </c>
      <c r="F1023">
        <v>2.21647751088517</v>
      </c>
      <c r="G1023">
        <v>0.82839584017199397</v>
      </c>
      <c r="H1023">
        <v>0.20632562024047901</v>
      </c>
      <c r="I1023">
        <v>0.155120449669303</v>
      </c>
      <c r="J1023">
        <v>0.17311069006461699</v>
      </c>
      <c r="K1023">
        <v>0.153599346145536</v>
      </c>
      <c r="L1023">
        <v>14276.1980651635</v>
      </c>
      <c r="M1023">
        <v>250</v>
      </c>
      <c r="N1023">
        <v>57.201280907987602</v>
      </c>
      <c r="O1023">
        <v>57.101139470000803</v>
      </c>
      <c r="P1023">
        <v>-0.90624403337858095</v>
      </c>
      <c r="Q1023">
        <v>0.172038952150807</v>
      </c>
      <c r="R1023">
        <v>0.56532266844514101</v>
      </c>
      <c r="S1023" t="s">
        <v>7475</v>
      </c>
      <c r="T1023" t="s">
        <v>12902</v>
      </c>
      <c r="U1023" t="s">
        <v>12902</v>
      </c>
      <c r="V1023" t="s">
        <v>12902</v>
      </c>
      <c r="W1023" t="s">
        <v>13902</v>
      </c>
      <c r="X1023">
        <v>13</v>
      </c>
      <c r="Y1023" t="s">
        <v>20291</v>
      </c>
      <c r="Z1023" t="s">
        <v>26598</v>
      </c>
      <c r="AA1023">
        <v>0.64419198621483764</v>
      </c>
      <c r="AB1023" t="str">
        <f>HYPERLINK("Melting_Curves/meltCurve_I3L3A8_PELP1.pdf", "Melting_Curves/meltCurve_I3L3A8_PELP1.pdf")</f>
        <v>Melting_Curves/meltCurve_I3L3A8_PELP1.pdf</v>
      </c>
    </row>
    <row r="1024" spans="1:28" x14ac:dyDescent="0.25">
      <c r="A1024" t="s">
        <v>1028</v>
      </c>
      <c r="B1024">
        <v>0.99673306730245903</v>
      </c>
      <c r="C1024">
        <v>0.93164557691088901</v>
      </c>
      <c r="D1024">
        <v>0.87234903071659498</v>
      </c>
      <c r="E1024">
        <v>0.735535971490207</v>
      </c>
      <c r="F1024">
        <v>0.50703338014802102</v>
      </c>
      <c r="G1024">
        <v>0.37410358858137499</v>
      </c>
      <c r="H1024">
        <v>0.19665808608944199</v>
      </c>
      <c r="I1024">
        <v>0.15651174618800401</v>
      </c>
      <c r="J1024">
        <v>0.136153642491079</v>
      </c>
      <c r="K1024">
        <v>9.6199526537966498E-2</v>
      </c>
      <c r="L1024">
        <v>644.935989640608</v>
      </c>
      <c r="M1024">
        <v>12.127546443861</v>
      </c>
      <c r="N1024">
        <v>53.649425794877601</v>
      </c>
      <c r="O1024">
        <v>51.795445321761797</v>
      </c>
      <c r="P1024">
        <v>-5.5598737074495801E-2</v>
      </c>
      <c r="Q1024">
        <v>5.0394848071023901E-2</v>
      </c>
      <c r="R1024">
        <v>0.99785528735707096</v>
      </c>
      <c r="S1024" t="s">
        <v>7476</v>
      </c>
      <c r="T1024" t="s">
        <v>12902</v>
      </c>
      <c r="U1024" t="s">
        <v>12902</v>
      </c>
      <c r="V1024" t="s">
        <v>12902</v>
      </c>
      <c r="W1024" t="s">
        <v>13608</v>
      </c>
      <c r="X1024">
        <v>1</v>
      </c>
      <c r="Z1024" t="s">
        <v>26599</v>
      </c>
      <c r="AA1024">
        <v>0.49391750908241211</v>
      </c>
      <c r="AB1024" t="str">
        <f>HYPERLINK("Melting_Curves/meltCurve_I3L3B4_.pdf", "Melting_Curves/meltCurve_I3L3B4_.pdf")</f>
        <v>Melting_Curves/meltCurve_I3L3B4_.pdf</v>
      </c>
    </row>
    <row r="1025" spans="1:28" x14ac:dyDescent="0.25">
      <c r="A1025" t="s">
        <v>1029</v>
      </c>
      <c r="B1025">
        <v>0.99673306730245903</v>
      </c>
      <c r="C1025">
        <v>1.0251110237402701</v>
      </c>
      <c r="D1025">
        <v>0.91713338272106104</v>
      </c>
      <c r="E1025">
        <v>0.99889020558443098</v>
      </c>
      <c r="F1025">
        <v>1.0208178868383899</v>
      </c>
      <c r="G1025">
        <v>0.61995600030742404</v>
      </c>
      <c r="H1025">
        <v>0.25365120024697602</v>
      </c>
      <c r="I1025">
        <v>0.14302141010213201</v>
      </c>
      <c r="J1025">
        <v>0.116787185747393</v>
      </c>
      <c r="K1025">
        <v>9.2646935762583302E-2</v>
      </c>
      <c r="L1025">
        <v>2068.35730640985</v>
      </c>
      <c r="M1025">
        <v>35.996409885915199</v>
      </c>
      <c r="N1025">
        <v>57.878838173799302</v>
      </c>
      <c r="O1025">
        <v>57.283627059052201</v>
      </c>
      <c r="P1025">
        <v>-0.139089004413738</v>
      </c>
      <c r="Q1025">
        <v>0.11463422303142801</v>
      </c>
      <c r="R1025">
        <v>0.99089815091769795</v>
      </c>
      <c r="S1025" t="s">
        <v>7477</v>
      </c>
      <c r="T1025" t="s">
        <v>12902</v>
      </c>
      <c r="U1025" t="s">
        <v>12902</v>
      </c>
      <c r="V1025" t="s">
        <v>12902</v>
      </c>
      <c r="W1025" t="s">
        <v>13903</v>
      </c>
      <c r="X1025">
        <v>9</v>
      </c>
      <c r="Y1025" t="s">
        <v>20292</v>
      </c>
      <c r="Z1025" t="s">
        <v>26600</v>
      </c>
      <c r="AA1025">
        <v>0.63415370988631592</v>
      </c>
      <c r="AB1025" t="str">
        <f>HYPERLINK("Melting_Curves/meltCurve_I3L3P7_RPS15A.pdf", "Melting_Curves/meltCurve_I3L3P7_RPS15A.pdf")</f>
        <v>Melting_Curves/meltCurve_I3L3P7_RPS15A.pdf</v>
      </c>
    </row>
    <row r="1026" spans="1:28" x14ac:dyDescent="0.25">
      <c r="A1026" t="s">
        <v>1030</v>
      </c>
      <c r="B1026">
        <v>0.99673306730245903</v>
      </c>
      <c r="C1026">
        <v>0.983908066159774</v>
      </c>
      <c r="D1026">
        <v>0.94503531629452897</v>
      </c>
      <c r="E1026">
        <v>0.79393224760427805</v>
      </c>
      <c r="F1026">
        <v>0.46554020634854798</v>
      </c>
      <c r="G1026">
        <v>0.218248311391155</v>
      </c>
      <c r="H1026">
        <v>0.113138722471192</v>
      </c>
      <c r="I1026">
        <v>9.5121385189345597E-2</v>
      </c>
      <c r="J1026">
        <v>8.6496843322794795E-2</v>
      </c>
      <c r="K1026">
        <v>7.0845474074354306E-2</v>
      </c>
      <c r="L1026">
        <v>1123.80996499142</v>
      </c>
      <c r="M1026">
        <v>21.433256405161099</v>
      </c>
      <c r="N1026">
        <v>52.813606740751403</v>
      </c>
      <c r="O1026">
        <v>51.982968110660003</v>
      </c>
      <c r="P1026">
        <v>-9.5704226838686901E-2</v>
      </c>
      <c r="Q1026">
        <v>7.1561216521692797E-2</v>
      </c>
      <c r="R1026">
        <v>0.99977931736506698</v>
      </c>
      <c r="S1026" t="s">
        <v>7478</v>
      </c>
      <c r="T1026" t="s">
        <v>12902</v>
      </c>
      <c r="U1026" t="s">
        <v>12902</v>
      </c>
      <c r="V1026" t="s">
        <v>12902</v>
      </c>
      <c r="W1026" t="s">
        <v>13904</v>
      </c>
      <c r="X1026">
        <v>6</v>
      </c>
      <c r="Y1026" t="s">
        <v>20293</v>
      </c>
      <c r="Z1026" t="s">
        <v>26601</v>
      </c>
      <c r="AA1026">
        <v>0.46766928859721357</v>
      </c>
      <c r="AB1026" t="str">
        <f>HYPERLINK("Melting_Curves/meltCurve_I3L448_ATPAF1.pdf", "Melting_Curves/meltCurve_I3L448_ATPAF1.pdf")</f>
        <v>Melting_Curves/meltCurve_I3L448_ATPAF1.pdf</v>
      </c>
    </row>
    <row r="1027" spans="1:28" x14ac:dyDescent="0.25">
      <c r="A1027" t="s">
        <v>1031</v>
      </c>
      <c r="B1027">
        <v>0.99673306730245903</v>
      </c>
      <c r="C1027">
        <v>0.97755955430920705</v>
      </c>
      <c r="D1027">
        <v>0.95043519786680197</v>
      </c>
      <c r="E1027">
        <v>0.90058356299537901</v>
      </c>
      <c r="F1027">
        <v>0.75820836425813698</v>
      </c>
      <c r="G1027">
        <v>0.55825818070850297</v>
      </c>
      <c r="H1027">
        <v>0.33316235876608702</v>
      </c>
      <c r="I1027">
        <v>0.24070730903333101</v>
      </c>
      <c r="J1027">
        <v>0.14367752581271401</v>
      </c>
      <c r="K1027">
        <v>0.11342959746753301</v>
      </c>
      <c r="L1027">
        <v>763.73687107914998</v>
      </c>
      <c r="M1027">
        <v>13.2715595214377</v>
      </c>
      <c r="N1027">
        <v>57.769880898146901</v>
      </c>
      <c r="O1027">
        <v>56.287380880308802</v>
      </c>
      <c r="P1027">
        <v>-5.7483106890397401E-2</v>
      </c>
      <c r="Q1027">
        <v>2.4968446909040199E-2</v>
      </c>
      <c r="R1027">
        <v>0.99923854217972297</v>
      </c>
      <c r="S1027" t="s">
        <v>7479</v>
      </c>
      <c r="T1027" t="s">
        <v>12902</v>
      </c>
      <c r="U1027" t="s">
        <v>12902</v>
      </c>
      <c r="V1027" t="s">
        <v>12902</v>
      </c>
      <c r="W1027" t="s">
        <v>13905</v>
      </c>
      <c r="X1027">
        <v>14</v>
      </c>
      <c r="Y1027" t="s">
        <v>20294</v>
      </c>
      <c r="Z1027" t="s">
        <v>26602</v>
      </c>
      <c r="AA1027">
        <v>0.60981006293376161</v>
      </c>
      <c r="AB1027" t="str">
        <f>HYPERLINK("Melting_Curves/meltCurve_I3L4X2_ABCC1.pdf", "Melting_Curves/meltCurve_I3L4X2_ABCC1.pdf")</f>
        <v>Melting_Curves/meltCurve_I3L4X2_ABCC1.pdf</v>
      </c>
    </row>
    <row r="1028" spans="1:28" x14ac:dyDescent="0.25">
      <c r="A1028" t="s">
        <v>1032</v>
      </c>
      <c r="B1028">
        <v>0.99673306730245903</v>
      </c>
      <c r="C1028">
        <v>0.90678639774601599</v>
      </c>
      <c r="D1028">
        <v>0.81769787508959302</v>
      </c>
      <c r="E1028">
        <v>0.39882185388609298</v>
      </c>
      <c r="F1028">
        <v>0.16427856765916099</v>
      </c>
      <c r="G1028">
        <v>0.102262005405395</v>
      </c>
      <c r="H1028">
        <v>6.3408055832923194E-2</v>
      </c>
      <c r="I1028">
        <v>8.1953414154462098E-2</v>
      </c>
      <c r="J1028">
        <v>0.109867940284544</v>
      </c>
      <c r="K1028">
        <v>9.1751020200180097E-2</v>
      </c>
      <c r="L1028">
        <v>1194.9187686578</v>
      </c>
      <c r="M1028">
        <v>24.718163768497899</v>
      </c>
      <c r="N1028">
        <v>48.6975420655099</v>
      </c>
      <c r="O1028">
        <v>48.0286479186626</v>
      </c>
      <c r="P1028">
        <v>-0.118035381245174</v>
      </c>
      <c r="Q1028">
        <v>8.2617768545633505E-2</v>
      </c>
      <c r="R1028">
        <v>0.99628130068980503</v>
      </c>
      <c r="S1028" t="s">
        <v>7480</v>
      </c>
      <c r="T1028" t="s">
        <v>12902</v>
      </c>
      <c r="U1028" t="s">
        <v>12902</v>
      </c>
      <c r="V1028" t="s">
        <v>12902</v>
      </c>
      <c r="W1028" t="s">
        <v>13906</v>
      </c>
      <c r="X1028">
        <v>3</v>
      </c>
      <c r="Y1028" t="s">
        <v>20295</v>
      </c>
      <c r="Z1028" t="s">
        <v>26603</v>
      </c>
      <c r="AA1028">
        <v>0.34600560704573319</v>
      </c>
      <c r="AB1028" t="str">
        <f>HYPERLINK("Melting_Curves/meltCurve_I3L4X3_NFKBIB.pdf", "Melting_Curves/meltCurve_I3L4X3_NFKBIB.pdf")</f>
        <v>Melting_Curves/meltCurve_I3L4X3_NFKBIB.pdf</v>
      </c>
    </row>
    <row r="1029" spans="1:28" x14ac:dyDescent="0.25">
      <c r="A1029" t="s">
        <v>1033</v>
      </c>
      <c r="B1029">
        <v>0.99673306730245903</v>
      </c>
      <c r="C1029">
        <v>1.0179867327645999</v>
      </c>
      <c r="D1029">
        <v>1.05025391692199</v>
      </c>
      <c r="E1029">
        <v>1.2466663436633401</v>
      </c>
      <c r="F1029">
        <v>1.25389442521076</v>
      </c>
      <c r="G1029">
        <v>1.65177144894714</v>
      </c>
      <c r="H1029">
        <v>0.96271103457935603</v>
      </c>
      <c r="I1029">
        <v>0.90925356844740601</v>
      </c>
      <c r="J1029">
        <v>0.800779602534329</v>
      </c>
      <c r="K1029">
        <v>0.70296189300166401</v>
      </c>
      <c r="L1029">
        <v>2616.8229784350601</v>
      </c>
      <c r="M1029">
        <v>39.703174316859197</v>
      </c>
      <c r="O1029">
        <v>65.743143384880298</v>
      </c>
      <c r="P1029">
        <v>-4.8160963258059498E-2</v>
      </c>
      <c r="Q1029">
        <v>0.68100833802955696</v>
      </c>
      <c r="R1029">
        <v>0.15328776457950899</v>
      </c>
      <c r="S1029" t="s">
        <v>7481</v>
      </c>
      <c r="T1029" t="s">
        <v>12902</v>
      </c>
      <c r="U1029" t="s">
        <v>12902</v>
      </c>
      <c r="V1029" t="s">
        <v>12902</v>
      </c>
      <c r="W1029" t="s">
        <v>13907</v>
      </c>
      <c r="X1029">
        <v>2</v>
      </c>
      <c r="Y1029" t="s">
        <v>20296</v>
      </c>
      <c r="Z1029" t="s">
        <v>26604</v>
      </c>
      <c r="AA1029">
        <v>0.95600500961182988</v>
      </c>
      <c r="AB1029" t="str">
        <f>HYPERLINK("Melting_Curves/meltCurve_I3L505_NDUFAB1.pdf", "Melting_Curves/meltCurve_I3L505_NDUFAB1.pdf")</f>
        <v>Melting_Curves/meltCurve_I3L505_NDUFAB1.pdf</v>
      </c>
    </row>
    <row r="1030" spans="1:28" x14ac:dyDescent="0.25">
      <c r="A1030" t="s">
        <v>1034</v>
      </c>
      <c r="B1030">
        <v>0.99673306730245903</v>
      </c>
      <c r="C1030">
        <v>0.98171065453595396</v>
      </c>
      <c r="D1030">
        <v>1.00664365828667</v>
      </c>
      <c r="E1030">
        <v>1.15550177322543</v>
      </c>
      <c r="F1030">
        <v>0.94567274557006897</v>
      </c>
      <c r="G1030">
        <v>0.53109163289997297</v>
      </c>
      <c r="H1030">
        <v>0.239033142968755</v>
      </c>
      <c r="I1030">
        <v>0.21732095429339299</v>
      </c>
      <c r="J1030">
        <v>0.28580409718181898</v>
      </c>
      <c r="K1030">
        <v>0.28144954520679299</v>
      </c>
      <c r="L1030">
        <v>2973.2621071619301</v>
      </c>
      <c r="M1030">
        <v>52.899556850034003</v>
      </c>
      <c r="N1030">
        <v>56.965200728170402</v>
      </c>
      <c r="O1030">
        <v>56.125653662218397</v>
      </c>
      <c r="P1030">
        <v>-0.176015960656208</v>
      </c>
      <c r="Q1030">
        <v>0.25299910122250702</v>
      </c>
      <c r="R1030">
        <v>0.97821297991943901</v>
      </c>
      <c r="S1030" t="s">
        <v>7482</v>
      </c>
      <c r="T1030" t="s">
        <v>12902</v>
      </c>
      <c r="U1030" t="s">
        <v>12902</v>
      </c>
      <c r="V1030" t="s">
        <v>12902</v>
      </c>
      <c r="W1030" t="s">
        <v>13908</v>
      </c>
      <c r="X1030">
        <v>19</v>
      </c>
      <c r="Y1030" t="s">
        <v>20297</v>
      </c>
      <c r="Z1030" t="s">
        <v>26605</v>
      </c>
      <c r="AA1030">
        <v>0.65817637376819449</v>
      </c>
      <c r="AB1030" t="str">
        <f>HYPERLINK("Melting_Curves/meltCurve_I6L8B7_FABP5.pdf", "Melting_Curves/meltCurve_I6L8B7_FABP5.pdf")</f>
        <v>Melting_Curves/meltCurve_I6L8B7_FABP5.pdf</v>
      </c>
    </row>
    <row r="1031" spans="1:28" x14ac:dyDescent="0.25">
      <c r="A1031" t="s">
        <v>1035</v>
      </c>
      <c r="B1031">
        <v>0.99673306730245903</v>
      </c>
      <c r="C1031">
        <v>0.89146282426158097</v>
      </c>
      <c r="D1031">
        <v>0.89037719358376599</v>
      </c>
      <c r="E1031">
        <v>0.653879662660932</v>
      </c>
      <c r="F1031">
        <v>0.34424158508680103</v>
      </c>
      <c r="G1031">
        <v>0.236743181389486</v>
      </c>
      <c r="H1031">
        <v>0.152463918737165</v>
      </c>
      <c r="I1031">
        <v>0.15726637023047399</v>
      </c>
      <c r="J1031">
        <v>0.168661843497486</v>
      </c>
      <c r="K1031">
        <v>0.13589912918704</v>
      </c>
      <c r="L1031">
        <v>953.68108144602002</v>
      </c>
      <c r="M1031">
        <v>18.936380038579699</v>
      </c>
      <c r="N1031">
        <v>51.2399356946894</v>
      </c>
      <c r="O1031">
        <v>49.810813510105802</v>
      </c>
      <c r="P1031">
        <v>-8.1882836214562701E-2</v>
      </c>
      <c r="Q1031">
        <v>0.13848667432021</v>
      </c>
      <c r="R1031">
        <v>0.99271966126056099</v>
      </c>
      <c r="S1031" t="s">
        <v>7483</v>
      </c>
      <c r="T1031" t="s">
        <v>12902</v>
      </c>
      <c r="U1031" t="s">
        <v>12902</v>
      </c>
      <c r="V1031" t="s">
        <v>12902</v>
      </c>
      <c r="W1031" t="s">
        <v>13909</v>
      </c>
      <c r="X1031">
        <v>7</v>
      </c>
      <c r="Y1031" t="s">
        <v>20298</v>
      </c>
      <c r="Z1031" t="s">
        <v>26606</v>
      </c>
      <c r="AA1031">
        <v>0.44935971552144488</v>
      </c>
      <c r="AB1031" t="str">
        <f>HYPERLINK("Melting_Curves/meltCurve_J3KMW8_CACTIN.pdf", "Melting_Curves/meltCurve_J3KMW8_CACTIN.pdf")</f>
        <v>Melting_Curves/meltCurve_J3KMW8_CACTIN.pdf</v>
      </c>
    </row>
    <row r="1032" spans="1:28" x14ac:dyDescent="0.25">
      <c r="A1032" t="s">
        <v>1036</v>
      </c>
      <c r="B1032">
        <v>0.99673306730245903</v>
      </c>
      <c r="C1032">
        <v>0.82040679369430902</v>
      </c>
      <c r="D1032">
        <v>0.61501088553791705</v>
      </c>
      <c r="E1032">
        <v>0.28153367723137301</v>
      </c>
      <c r="F1032">
        <v>0.16413328081261799</v>
      </c>
      <c r="G1032">
        <v>9.9384019854321506E-2</v>
      </c>
      <c r="H1032">
        <v>0.115936060818317</v>
      </c>
      <c r="I1032">
        <v>9.2679035871892898E-2</v>
      </c>
      <c r="J1032">
        <v>0.204756862183788</v>
      </c>
      <c r="K1032">
        <v>0.12849307698627399</v>
      </c>
      <c r="L1032">
        <v>995.31583176311801</v>
      </c>
      <c r="M1032">
        <v>21.518949128794102</v>
      </c>
      <c r="N1032">
        <v>46.863568731214301</v>
      </c>
      <c r="O1032">
        <v>45.859113282169503</v>
      </c>
      <c r="P1032">
        <v>-0.102971714546482</v>
      </c>
      <c r="Q1032">
        <v>0.122247725163614</v>
      </c>
      <c r="R1032">
        <v>0.98740222914371101</v>
      </c>
      <c r="S1032" t="s">
        <v>7484</v>
      </c>
      <c r="T1032" t="s">
        <v>12902</v>
      </c>
      <c r="U1032" t="s">
        <v>12902</v>
      </c>
      <c r="V1032" t="s">
        <v>12902</v>
      </c>
      <c r="W1032" t="s">
        <v>13910</v>
      </c>
      <c r="X1032">
        <v>4</v>
      </c>
      <c r="Y1032" t="s">
        <v>20299</v>
      </c>
      <c r="Z1032" t="s">
        <v>26607</v>
      </c>
      <c r="AA1032">
        <v>0.31649266855369618</v>
      </c>
      <c r="AB1032" t="str">
        <f>HYPERLINK("Melting_Curves/meltCurve_J3KMX2_SMARCD2.pdf", "Melting_Curves/meltCurve_J3KMX2_SMARCD2.pdf")</f>
        <v>Melting_Curves/meltCurve_J3KMX2_SMARCD2.pdf</v>
      </c>
    </row>
    <row r="1033" spans="1:28" x14ac:dyDescent="0.25">
      <c r="A1033" t="s">
        <v>1037</v>
      </c>
      <c r="B1033">
        <v>0.99673306730245903</v>
      </c>
      <c r="C1033">
        <v>1.02522848211666</v>
      </c>
      <c r="D1033">
        <v>1.00284286292208</v>
      </c>
      <c r="E1033">
        <v>1.0536598423177199</v>
      </c>
      <c r="F1033">
        <v>1.0785154042751599</v>
      </c>
      <c r="G1033">
        <v>0.92789057501618499</v>
      </c>
      <c r="H1033">
        <v>0.79006323159514202</v>
      </c>
      <c r="I1033">
        <v>1.3588805396446499</v>
      </c>
      <c r="J1033">
        <v>1.0566087932944199</v>
      </c>
      <c r="K1033">
        <v>0.61712851235532995</v>
      </c>
      <c r="L1033">
        <v>15000</v>
      </c>
      <c r="M1033">
        <v>213.80827654266099</v>
      </c>
      <c r="Q1033">
        <v>0</v>
      </c>
      <c r="R1033">
        <v>0.43280568863905999</v>
      </c>
      <c r="S1033" t="s">
        <v>7485</v>
      </c>
      <c r="T1033" t="s">
        <v>12902</v>
      </c>
      <c r="U1033" t="s">
        <v>12902</v>
      </c>
      <c r="V1033" t="s">
        <v>12902</v>
      </c>
      <c r="W1033" t="s">
        <v>13911</v>
      </c>
      <c r="X1033">
        <v>10</v>
      </c>
      <c r="Y1033" t="s">
        <v>20300</v>
      </c>
      <c r="Z1033" t="s">
        <v>26608</v>
      </c>
      <c r="AA1033">
        <v>0.99479890127605108</v>
      </c>
      <c r="AB1033" t="str">
        <f>HYPERLINK("Melting_Curves/meltCurve_J3KMY5_NPC2.pdf", "Melting_Curves/meltCurve_J3KMY5_NPC2.pdf")</f>
        <v>Melting_Curves/meltCurve_J3KMY5_NPC2.pdf</v>
      </c>
    </row>
    <row r="1034" spans="1:28" x14ac:dyDescent="0.25">
      <c r="A1034" t="s">
        <v>1038</v>
      </c>
      <c r="B1034">
        <v>0.99673306730245903</v>
      </c>
      <c r="C1034">
        <v>0.98575059559428202</v>
      </c>
      <c r="D1034">
        <v>0.95344644477571805</v>
      </c>
      <c r="E1034">
        <v>0.88525954058675405</v>
      </c>
      <c r="F1034">
        <v>0.41143959318892498</v>
      </c>
      <c r="G1034">
        <v>0.20194247614093</v>
      </c>
      <c r="H1034">
        <v>0.122446746380609</v>
      </c>
      <c r="I1034">
        <v>5.8054964593600898E-2</v>
      </c>
      <c r="J1034">
        <v>5.28544456229562E-2</v>
      </c>
      <c r="K1034">
        <v>3.02547900266051E-2</v>
      </c>
      <c r="L1034">
        <v>1446.64137647333</v>
      </c>
      <c r="M1034">
        <v>27.5432836486229</v>
      </c>
      <c r="N1034">
        <v>52.774614184461697</v>
      </c>
      <c r="O1034">
        <v>52.247970379259101</v>
      </c>
      <c r="P1034">
        <v>-0.123667261372944</v>
      </c>
      <c r="Q1034">
        <v>6.16512035464176E-2</v>
      </c>
      <c r="R1034">
        <v>0.99521121555675596</v>
      </c>
      <c r="S1034" t="s">
        <v>7486</v>
      </c>
      <c r="T1034" t="s">
        <v>12902</v>
      </c>
      <c r="U1034" t="s">
        <v>12902</v>
      </c>
      <c r="V1034" t="s">
        <v>12902</v>
      </c>
      <c r="W1034" t="s">
        <v>13912</v>
      </c>
      <c r="X1034">
        <v>2</v>
      </c>
      <c r="Y1034" t="s">
        <v>20301</v>
      </c>
      <c r="Z1034" t="s">
        <v>26609</v>
      </c>
      <c r="AA1034">
        <v>0.4604767316789215</v>
      </c>
      <c r="AB1034" t="str">
        <f>HYPERLINK("Melting_Curves/meltCurve_J3KMZ7_INTS2.pdf", "Melting_Curves/meltCurve_J3KMZ7_INTS2.pdf")</f>
        <v>Melting_Curves/meltCurve_J3KMZ7_INTS2.pdf</v>
      </c>
    </row>
    <row r="1035" spans="1:28" x14ac:dyDescent="0.25">
      <c r="A1035" t="s">
        <v>1039</v>
      </c>
      <c r="B1035">
        <v>0.99673306730245903</v>
      </c>
      <c r="C1035">
        <v>0.83530740158370698</v>
      </c>
      <c r="D1035">
        <v>0.68077006963717801</v>
      </c>
      <c r="E1035">
        <v>0.52024639252282301</v>
      </c>
      <c r="F1035">
        <v>0.44345199294786197</v>
      </c>
      <c r="G1035">
        <v>0.28080632923805199</v>
      </c>
      <c r="H1035">
        <v>0.163192101958679</v>
      </c>
      <c r="I1035">
        <v>0.147821985167992</v>
      </c>
      <c r="J1035">
        <v>0.149903439378337</v>
      </c>
      <c r="K1035">
        <v>0.15606872820977699</v>
      </c>
      <c r="L1035">
        <v>525.35956225811594</v>
      </c>
      <c r="M1035">
        <v>10.635427268325</v>
      </c>
      <c r="N1035">
        <v>50.391530318384</v>
      </c>
      <c r="O1035">
        <v>47.7467310472016</v>
      </c>
      <c r="P1035">
        <v>-5.0434910229118897E-2</v>
      </c>
      <c r="Q1035">
        <v>9.4656967590104293E-2</v>
      </c>
      <c r="R1035">
        <v>0.98606835024650197</v>
      </c>
      <c r="S1035" t="s">
        <v>7487</v>
      </c>
      <c r="T1035" t="s">
        <v>12902</v>
      </c>
      <c r="U1035" t="s">
        <v>12902</v>
      </c>
      <c r="V1035" t="s">
        <v>12902</v>
      </c>
      <c r="W1035" t="s">
        <v>13913</v>
      </c>
      <c r="X1035">
        <v>5</v>
      </c>
      <c r="Y1035" t="s">
        <v>20302</v>
      </c>
      <c r="Z1035" t="s">
        <v>26610</v>
      </c>
      <c r="AA1035">
        <v>0.41748223371303073</v>
      </c>
      <c r="AB1035" t="str">
        <f>HYPERLINK("Melting_Curves/meltCurve_J3KMZ8_DPF2.pdf", "Melting_Curves/meltCurve_J3KMZ8_DPF2.pdf")</f>
        <v>Melting_Curves/meltCurve_J3KMZ8_DPF2.pdf</v>
      </c>
    </row>
    <row r="1036" spans="1:28" x14ac:dyDescent="0.25">
      <c r="A1036" t="s">
        <v>1040</v>
      </c>
      <c r="B1036">
        <v>0.99673306730245903</v>
      </c>
      <c r="C1036">
        <v>0.99090610119982003</v>
      </c>
      <c r="D1036">
        <v>0.94868494940754799</v>
      </c>
      <c r="E1036">
        <v>0.827278739001718</v>
      </c>
      <c r="F1036">
        <v>0.67327221030776396</v>
      </c>
      <c r="G1036">
        <v>0.51503789337301598</v>
      </c>
      <c r="H1036">
        <v>0.35670032643642402</v>
      </c>
      <c r="I1036">
        <v>0.31596782475306801</v>
      </c>
      <c r="J1036">
        <v>0.26669558519589598</v>
      </c>
      <c r="K1036">
        <v>0.17230669635013299</v>
      </c>
      <c r="L1036">
        <v>655.51347152063795</v>
      </c>
      <c r="M1036">
        <v>11.7882838065599</v>
      </c>
      <c r="N1036">
        <v>57.181029380709397</v>
      </c>
      <c r="O1036">
        <v>54.079356487999803</v>
      </c>
      <c r="P1036">
        <v>-4.69576583974829E-2</v>
      </c>
      <c r="Q1036">
        <v>0.138539824311254</v>
      </c>
      <c r="R1036">
        <v>0.99616784046878903</v>
      </c>
      <c r="S1036" t="s">
        <v>7488</v>
      </c>
      <c r="T1036" t="s">
        <v>12902</v>
      </c>
      <c r="U1036" t="s">
        <v>12902</v>
      </c>
      <c r="V1036" t="s">
        <v>12902</v>
      </c>
      <c r="W1036" t="s">
        <v>13914</v>
      </c>
      <c r="X1036">
        <v>20</v>
      </c>
      <c r="Y1036" t="s">
        <v>20303</v>
      </c>
      <c r="Z1036" t="s">
        <v>26611</v>
      </c>
      <c r="AA1036">
        <v>0.60551692655631884</v>
      </c>
      <c r="AB1036" t="str">
        <f>HYPERLINK("Melting_Curves/meltCurve_J3KMZ9_LDLR.pdf", "Melting_Curves/meltCurve_J3KMZ9_LDLR.pdf")</f>
        <v>Melting_Curves/meltCurve_J3KMZ9_LDLR.pdf</v>
      </c>
    </row>
    <row r="1037" spans="1:28" x14ac:dyDescent="0.25">
      <c r="A1037" t="s">
        <v>1041</v>
      </c>
      <c r="B1037">
        <v>0.99673306730245903</v>
      </c>
      <c r="C1037">
        <v>1.0470768945670501</v>
      </c>
      <c r="D1037">
        <v>0.97413264254644305</v>
      </c>
      <c r="E1037">
        <v>0.90855821779700097</v>
      </c>
      <c r="F1037">
        <v>0.64670004726889996</v>
      </c>
      <c r="G1037">
        <v>0.47901244845531099</v>
      </c>
      <c r="H1037">
        <v>0.33478624578774802</v>
      </c>
      <c r="I1037">
        <v>0.273416652536973</v>
      </c>
      <c r="J1037">
        <v>0.27749070273156301</v>
      </c>
      <c r="K1037">
        <v>0.240754767226106</v>
      </c>
      <c r="L1037">
        <v>1039.1764482404701</v>
      </c>
      <c r="M1037">
        <v>19.2365808371319</v>
      </c>
      <c r="N1037">
        <v>56.008770053053297</v>
      </c>
      <c r="O1037">
        <v>53.447219116328398</v>
      </c>
      <c r="P1037">
        <v>-6.7721849603584294E-2</v>
      </c>
      <c r="Q1037">
        <v>0.247390745143203</v>
      </c>
      <c r="R1037">
        <v>0.99475966210136602</v>
      </c>
      <c r="S1037" t="s">
        <v>7489</v>
      </c>
      <c r="T1037" t="s">
        <v>12902</v>
      </c>
      <c r="U1037" t="s">
        <v>12902</v>
      </c>
      <c r="V1037" t="s">
        <v>12902</v>
      </c>
      <c r="W1037" t="s">
        <v>13915</v>
      </c>
      <c r="X1037">
        <v>7</v>
      </c>
      <c r="Y1037" t="s">
        <v>20304</v>
      </c>
      <c r="Z1037" t="s">
        <v>26612</v>
      </c>
      <c r="AA1037">
        <v>0.61000806383504813</v>
      </c>
      <c r="AB1037" t="str">
        <f>HYPERLINK("Melting_Curves/meltCurve_J3KN00_NDUFA13.pdf", "Melting_Curves/meltCurve_J3KN00_NDUFA13.pdf")</f>
        <v>Melting_Curves/meltCurve_J3KN00_NDUFA13.pdf</v>
      </c>
    </row>
    <row r="1038" spans="1:28" x14ac:dyDescent="0.25">
      <c r="A1038" t="s">
        <v>1042</v>
      </c>
      <c r="B1038">
        <v>0.99673306730245903</v>
      </c>
      <c r="C1038">
        <v>0.94512311094120305</v>
      </c>
      <c r="D1038">
        <v>0.88185411864820396</v>
      </c>
      <c r="E1038">
        <v>0.41825073981628302</v>
      </c>
      <c r="F1038">
        <v>0.16663683021271899</v>
      </c>
      <c r="G1038">
        <v>0.10921497698973499</v>
      </c>
      <c r="H1038">
        <v>6.1445014374907403E-2</v>
      </c>
      <c r="I1038">
        <v>5.5955138014084999E-2</v>
      </c>
      <c r="J1038">
        <v>6.3615899134324E-2</v>
      </c>
      <c r="K1038">
        <v>6.013504182045E-2</v>
      </c>
      <c r="L1038">
        <v>1359.4727359595299</v>
      </c>
      <c r="M1038">
        <v>27.8361635229159</v>
      </c>
      <c r="N1038">
        <v>49.088918877249597</v>
      </c>
      <c r="O1038">
        <v>48.588402852228597</v>
      </c>
      <c r="P1038">
        <v>-0.13374082585063901</v>
      </c>
      <c r="Q1038">
        <v>6.6222576643758094E-2</v>
      </c>
      <c r="R1038">
        <v>0.99786510733677503</v>
      </c>
      <c r="S1038" t="s">
        <v>7490</v>
      </c>
      <c r="T1038" t="s">
        <v>12902</v>
      </c>
      <c r="U1038" t="s">
        <v>12902</v>
      </c>
      <c r="V1038" t="s">
        <v>12902</v>
      </c>
      <c r="W1038" t="s">
        <v>13916</v>
      </c>
      <c r="X1038">
        <v>57</v>
      </c>
      <c r="Y1038" t="s">
        <v>20305</v>
      </c>
      <c r="Z1038" t="s">
        <v>26613</v>
      </c>
      <c r="AA1038">
        <v>0.34794499563733072</v>
      </c>
      <c r="AB1038" t="str">
        <f>HYPERLINK("Melting_Curves/meltCurve_J3KN16_KIAA0368.pdf", "Melting_Curves/meltCurve_J3KN16_KIAA0368.pdf")</f>
        <v>Melting_Curves/meltCurve_J3KN16_KIAA0368.pdf</v>
      </c>
    </row>
    <row r="1039" spans="1:28" x14ac:dyDescent="0.25">
      <c r="A1039" t="s">
        <v>1043</v>
      </c>
      <c r="B1039">
        <v>0.99673306730245903</v>
      </c>
      <c r="C1039">
        <v>0.96549051815244502</v>
      </c>
      <c r="D1039">
        <v>0.92943350632662203</v>
      </c>
      <c r="E1039">
        <v>0.85494901711674098</v>
      </c>
      <c r="F1039">
        <v>0.72753730295352503</v>
      </c>
      <c r="G1039">
        <v>0.73195568326307603</v>
      </c>
      <c r="H1039">
        <v>0.56185663912080097</v>
      </c>
      <c r="I1039">
        <v>0.71091953515960105</v>
      </c>
      <c r="J1039">
        <v>0.96644533779635</v>
      </c>
      <c r="K1039">
        <v>0.95548919605561</v>
      </c>
      <c r="L1039">
        <v>1387.8353599581001</v>
      </c>
      <c r="M1039">
        <v>29.296934241047101</v>
      </c>
      <c r="O1039">
        <v>47.152294110807198</v>
      </c>
      <c r="P1039">
        <v>-3.4498274682147702E-2</v>
      </c>
      <c r="Q1039">
        <v>0.77790702280240698</v>
      </c>
      <c r="R1039">
        <v>0.35947252620152997</v>
      </c>
      <c r="S1039" t="s">
        <v>7491</v>
      </c>
      <c r="T1039" t="s">
        <v>12902</v>
      </c>
      <c r="U1039" t="s">
        <v>12902</v>
      </c>
      <c r="V1039" t="s">
        <v>12902</v>
      </c>
      <c r="W1039" t="s">
        <v>13917</v>
      </c>
      <c r="X1039">
        <v>14</v>
      </c>
      <c r="Y1039" t="s">
        <v>20306</v>
      </c>
      <c r="Z1039" t="s">
        <v>26614</v>
      </c>
      <c r="AA1039">
        <v>0.83387874648872329</v>
      </c>
      <c r="AB1039" t="str">
        <f>HYPERLINK("Melting_Curves/meltCurve_J3KN29_PSMD9.pdf", "Melting_Curves/meltCurve_J3KN29_PSMD9.pdf")</f>
        <v>Melting_Curves/meltCurve_J3KN29_PSMD9.pdf</v>
      </c>
    </row>
    <row r="1040" spans="1:28" x14ac:dyDescent="0.25">
      <c r="A1040" t="s">
        <v>1044</v>
      </c>
      <c r="B1040">
        <v>0.99673306730245903</v>
      </c>
      <c r="C1040">
        <v>0.81415034208970205</v>
      </c>
      <c r="D1040">
        <v>0.71348177744899899</v>
      </c>
      <c r="E1040">
        <v>0.45109925310996601</v>
      </c>
      <c r="F1040">
        <v>0.19035169368066601</v>
      </c>
      <c r="G1040">
        <v>0.119059984580004</v>
      </c>
      <c r="H1040">
        <v>7.8672588542808397E-2</v>
      </c>
      <c r="I1040">
        <v>7.5009679139858995E-2</v>
      </c>
      <c r="J1040">
        <v>8.5189157349633296E-2</v>
      </c>
      <c r="K1040">
        <v>7.13879865418523E-2</v>
      </c>
      <c r="L1040">
        <v>759.24733977591404</v>
      </c>
      <c r="M1040">
        <v>15.7764833106992</v>
      </c>
      <c r="N1040">
        <v>48.480486117473703</v>
      </c>
      <c r="O1040">
        <v>47.371945152155803</v>
      </c>
      <c r="P1040">
        <v>-7.8720318937043898E-2</v>
      </c>
      <c r="Q1040">
        <v>5.4586471001509797E-2</v>
      </c>
      <c r="R1040">
        <v>0.99221504640887903</v>
      </c>
      <c r="S1040" t="s">
        <v>7492</v>
      </c>
      <c r="T1040" t="s">
        <v>12902</v>
      </c>
      <c r="U1040" t="s">
        <v>12902</v>
      </c>
      <c r="V1040" t="s">
        <v>12902</v>
      </c>
      <c r="W1040" t="s">
        <v>13918</v>
      </c>
      <c r="X1040">
        <v>8</v>
      </c>
      <c r="Y1040" t="s">
        <v>20307</v>
      </c>
      <c r="Z1040" t="s">
        <v>26615</v>
      </c>
      <c r="AA1040">
        <v>0.33252450690890378</v>
      </c>
      <c r="AB1040" t="str">
        <f>HYPERLINK("Melting_Curves/meltCurve_J3KN32_RCOR1.pdf", "Melting_Curves/meltCurve_J3KN32_RCOR1.pdf")</f>
        <v>Melting_Curves/meltCurve_J3KN32_RCOR1.pdf</v>
      </c>
    </row>
    <row r="1041" spans="1:28" x14ac:dyDescent="0.25">
      <c r="A1041" t="s">
        <v>1045</v>
      </c>
      <c r="B1041">
        <v>0.99673306730245903</v>
      </c>
      <c r="C1041">
        <v>0.89720939954005396</v>
      </c>
      <c r="D1041">
        <v>0.65209869561652301</v>
      </c>
      <c r="E1041">
        <v>0.41052912898391603</v>
      </c>
      <c r="F1041">
        <v>0.203240622387593</v>
      </c>
      <c r="G1041">
        <v>0.15057382658326701</v>
      </c>
      <c r="H1041">
        <v>9.8036218161141803E-2</v>
      </c>
      <c r="I1041">
        <v>9.3598671883794102E-2</v>
      </c>
      <c r="J1041">
        <v>8.2026284993552606E-2</v>
      </c>
      <c r="K1041">
        <v>6.5871125357691004E-2</v>
      </c>
      <c r="L1041">
        <v>812.95170682462003</v>
      </c>
      <c r="M1041">
        <v>17.037428302451801</v>
      </c>
      <c r="N1041">
        <v>48.185913166112499</v>
      </c>
      <c r="O1041">
        <v>47.072822154414602</v>
      </c>
      <c r="P1041">
        <v>-8.3558843726211293E-2</v>
      </c>
      <c r="Q1041">
        <v>7.6595472944000195E-2</v>
      </c>
      <c r="R1041">
        <v>0.99752253764230403</v>
      </c>
      <c r="S1041" t="s">
        <v>7493</v>
      </c>
      <c r="T1041" t="s">
        <v>12902</v>
      </c>
      <c r="U1041" t="s">
        <v>12902</v>
      </c>
      <c r="V1041" t="s">
        <v>12902</v>
      </c>
      <c r="W1041" t="s">
        <v>13919</v>
      </c>
      <c r="X1041">
        <v>9</v>
      </c>
      <c r="Y1041" t="s">
        <v>20308</v>
      </c>
      <c r="Z1041" t="s">
        <v>26616</v>
      </c>
      <c r="AA1041">
        <v>0.33264494239848269</v>
      </c>
      <c r="AB1041" t="str">
        <f>HYPERLINK("Melting_Curves/meltCurve_J3KN39_NLRP2.pdf", "Melting_Curves/meltCurve_J3KN39_NLRP2.pdf")</f>
        <v>Melting_Curves/meltCurve_J3KN39_NLRP2.pdf</v>
      </c>
    </row>
    <row r="1042" spans="1:28" x14ac:dyDescent="0.25">
      <c r="A1042" t="s">
        <v>1046</v>
      </c>
      <c r="B1042">
        <v>0.99673306730245903</v>
      </c>
      <c r="C1042">
        <v>0.93366888336026599</v>
      </c>
      <c r="D1042">
        <v>0.91651069633031701</v>
      </c>
      <c r="E1042">
        <v>0.79160208603073001</v>
      </c>
      <c r="F1042">
        <v>0.78277374308995096</v>
      </c>
      <c r="G1042">
        <v>0.44058580235356598</v>
      </c>
      <c r="H1042">
        <v>0.14329200702341599</v>
      </c>
      <c r="I1042">
        <v>0.12527856541996399</v>
      </c>
      <c r="J1042">
        <v>0.17002089615146099</v>
      </c>
      <c r="K1042">
        <v>0.13867491168653701</v>
      </c>
      <c r="L1042">
        <v>1004.69212431085</v>
      </c>
      <c r="M1042">
        <v>18.2145585511139</v>
      </c>
      <c r="N1042">
        <v>55.753467693040903</v>
      </c>
      <c r="O1042">
        <v>54.506785645460397</v>
      </c>
      <c r="P1042">
        <v>-7.6170003408463194E-2</v>
      </c>
      <c r="Q1042">
        <v>8.8292797605037998E-2</v>
      </c>
      <c r="R1042">
        <v>0.96964019581391303</v>
      </c>
      <c r="S1042" t="s">
        <v>7494</v>
      </c>
      <c r="T1042" t="s">
        <v>12902</v>
      </c>
      <c r="U1042" t="s">
        <v>12902</v>
      </c>
      <c r="V1042" t="s">
        <v>12902</v>
      </c>
      <c r="W1042" t="s">
        <v>13920</v>
      </c>
      <c r="X1042">
        <v>20</v>
      </c>
      <c r="Y1042" t="s">
        <v>20309</v>
      </c>
      <c r="Z1042" t="s">
        <v>26617</v>
      </c>
      <c r="AA1042">
        <v>0.56276219277024375</v>
      </c>
      <c r="AB1042" t="str">
        <f>HYPERLINK("Melting_Curves/meltCurve_J3KN66_TOR1AIP1.pdf", "Melting_Curves/meltCurve_J3KN66_TOR1AIP1.pdf")</f>
        <v>Melting_Curves/meltCurve_J3KN66_TOR1AIP1.pdf</v>
      </c>
    </row>
    <row r="1043" spans="1:28" x14ac:dyDescent="0.25">
      <c r="A1043" t="s">
        <v>1047</v>
      </c>
      <c r="B1043">
        <v>0.99673306730245903</v>
      </c>
      <c r="C1043">
        <v>1.00695572446447</v>
      </c>
      <c r="D1043">
        <v>1.0207661803771999</v>
      </c>
      <c r="E1043">
        <v>1.0045193698013599</v>
      </c>
      <c r="F1043">
        <v>1.0399495923589901</v>
      </c>
      <c r="G1043">
        <v>0.959108913708272</v>
      </c>
      <c r="H1043">
        <v>0.85562228753200698</v>
      </c>
      <c r="I1043">
        <v>1.2571337293395699</v>
      </c>
      <c r="J1043">
        <v>1.9064464586582199</v>
      </c>
      <c r="K1043">
        <v>1.87960011503909</v>
      </c>
      <c r="L1043">
        <v>15000</v>
      </c>
      <c r="M1043">
        <v>234.43230782641299</v>
      </c>
      <c r="O1043">
        <v>63.979690554931203</v>
      </c>
      <c r="P1043">
        <v>0.45802089036504301</v>
      </c>
      <c r="Q1043">
        <v>1.5</v>
      </c>
      <c r="R1043">
        <v>0.74602714090606104</v>
      </c>
      <c r="S1043" t="s">
        <v>7495</v>
      </c>
      <c r="T1043" t="s">
        <v>12902</v>
      </c>
      <c r="U1043" t="s">
        <v>12902</v>
      </c>
      <c r="V1043" t="s">
        <v>12902</v>
      </c>
      <c r="W1043" t="s">
        <v>13921</v>
      </c>
      <c r="X1043">
        <v>56</v>
      </c>
      <c r="Y1043" t="s">
        <v>20310</v>
      </c>
      <c r="Z1043" t="s">
        <v>26618</v>
      </c>
      <c r="AA1043">
        <v>1.1001968984144519</v>
      </c>
      <c r="AB1043" t="str">
        <f>HYPERLINK("Melting_Curves/meltCurve_J3KN67_TPM3.pdf", "Melting_Curves/meltCurve_J3KN67_TPM3.pdf")</f>
        <v>Melting_Curves/meltCurve_J3KN67_TPM3.pdf</v>
      </c>
    </row>
    <row r="1044" spans="1:28" x14ac:dyDescent="0.25">
      <c r="A1044" t="s">
        <v>1048</v>
      </c>
      <c r="B1044">
        <v>0.99673306730245903</v>
      </c>
      <c r="C1044">
        <v>1.02758336987795</v>
      </c>
      <c r="D1044">
        <v>1.05020090553009</v>
      </c>
      <c r="E1044">
        <v>0.88495244580621701</v>
      </c>
      <c r="F1044">
        <v>0.83664167934248301</v>
      </c>
      <c r="G1044">
        <v>0.65399735903873801</v>
      </c>
      <c r="H1044">
        <v>0.32439920984373899</v>
      </c>
      <c r="I1044">
        <v>0.168215405876286</v>
      </c>
      <c r="J1044">
        <v>0.17517496272173999</v>
      </c>
      <c r="K1044">
        <v>0.17644979351073101</v>
      </c>
      <c r="L1044">
        <v>1159.34561609667</v>
      </c>
      <c r="M1044">
        <v>20.188210020943298</v>
      </c>
      <c r="N1044">
        <v>58.225014614237601</v>
      </c>
      <c r="O1044">
        <v>56.8723055180076</v>
      </c>
      <c r="P1044">
        <v>-7.8019218504245202E-2</v>
      </c>
      <c r="Q1044">
        <v>0.120874320257974</v>
      </c>
      <c r="R1044">
        <v>0.98723379763344898</v>
      </c>
      <c r="S1044" t="s">
        <v>7496</v>
      </c>
      <c r="T1044" t="s">
        <v>12902</v>
      </c>
      <c r="U1044" t="s">
        <v>12902</v>
      </c>
      <c r="V1044" t="s">
        <v>12902</v>
      </c>
      <c r="W1044" t="s">
        <v>13922</v>
      </c>
      <c r="X1044">
        <v>7</v>
      </c>
      <c r="Y1044" t="s">
        <v>20311</v>
      </c>
      <c r="Z1044" t="s">
        <v>26619</v>
      </c>
      <c r="AA1044">
        <v>0.64189917670542751</v>
      </c>
      <c r="AB1044" t="str">
        <f>HYPERLINK("Melting_Curves/meltCurve_J3KN69_NCEH1.pdf", "Melting_Curves/meltCurve_J3KN69_NCEH1.pdf")</f>
        <v>Melting_Curves/meltCurve_J3KN69_NCEH1.pdf</v>
      </c>
    </row>
    <row r="1045" spans="1:28" x14ac:dyDescent="0.25">
      <c r="A1045" t="s">
        <v>1049</v>
      </c>
      <c r="B1045">
        <v>0.99673306730245903</v>
      </c>
      <c r="C1045">
        <v>0.83894603246815003</v>
      </c>
      <c r="D1045">
        <v>0.72680846003102995</v>
      </c>
      <c r="E1045">
        <v>0.59502703381914901</v>
      </c>
      <c r="F1045">
        <v>0.16794345873461899</v>
      </c>
      <c r="G1045">
        <v>0.10402855292933</v>
      </c>
      <c r="H1045">
        <v>5.8510099760415199E-2</v>
      </c>
      <c r="I1045">
        <v>5.1520727878031601E-2</v>
      </c>
      <c r="J1045">
        <v>4.9883276045899198E-2</v>
      </c>
      <c r="K1045">
        <v>4.4711832433545297E-2</v>
      </c>
      <c r="L1045">
        <v>768.31622126373998</v>
      </c>
      <c r="M1045">
        <v>15.5952744183293</v>
      </c>
      <c r="N1045">
        <v>49.372238869158998</v>
      </c>
      <c r="O1045">
        <v>48.477239841543799</v>
      </c>
      <c r="P1045">
        <v>-7.9105100377860602E-2</v>
      </c>
      <c r="Q1045">
        <v>1.6506059389159802E-2</v>
      </c>
      <c r="R1045">
        <v>0.97880412770008496</v>
      </c>
      <c r="S1045" t="s">
        <v>7497</v>
      </c>
      <c r="T1045" t="s">
        <v>12902</v>
      </c>
      <c r="U1045" t="s">
        <v>12902</v>
      </c>
      <c r="V1045" t="s">
        <v>12902</v>
      </c>
      <c r="W1045" t="s">
        <v>13923</v>
      </c>
      <c r="X1045">
        <v>10</v>
      </c>
      <c r="Y1045" t="s">
        <v>20312</v>
      </c>
      <c r="Z1045" t="s">
        <v>26620</v>
      </c>
      <c r="AA1045">
        <v>0.34262777497228281</v>
      </c>
      <c r="AB1045" t="str">
        <f>HYPERLINK("Melting_Curves/meltCurve_J3KN75_TBC1D8B.pdf", "Melting_Curves/meltCurve_J3KN75_TBC1D8B.pdf")</f>
        <v>Melting_Curves/meltCurve_J3KN75_TBC1D8B.pdf</v>
      </c>
    </row>
    <row r="1046" spans="1:28" x14ac:dyDescent="0.25">
      <c r="A1046" t="s">
        <v>1050</v>
      </c>
      <c r="B1046">
        <v>0.99673306730245903</v>
      </c>
      <c r="C1046">
        <v>0.98697848863623605</v>
      </c>
      <c r="D1046">
        <v>1.01095254702362</v>
      </c>
      <c r="E1046">
        <v>1.0394033423481399</v>
      </c>
      <c r="F1046">
        <v>0.98043628573430897</v>
      </c>
      <c r="G1046">
        <v>0.92084924826747605</v>
      </c>
      <c r="H1046">
        <v>0.82390382082871305</v>
      </c>
      <c r="I1046">
        <v>0.98129608625002296</v>
      </c>
      <c r="J1046">
        <v>1.20375922653233</v>
      </c>
      <c r="K1046">
        <v>0.93247526969661798</v>
      </c>
      <c r="L1046">
        <v>993.52399003313303</v>
      </c>
      <c r="M1046">
        <v>11.478792000538199</v>
      </c>
      <c r="Q1046">
        <v>1.14440957208973</v>
      </c>
      <c r="R1046">
        <v>-1.59442380536041E-2</v>
      </c>
      <c r="S1046" t="s">
        <v>7498</v>
      </c>
      <c r="T1046" t="s">
        <v>12902</v>
      </c>
      <c r="U1046" t="s">
        <v>12902</v>
      </c>
      <c r="V1046" t="s">
        <v>12902</v>
      </c>
      <c r="W1046" t="s">
        <v>13924</v>
      </c>
      <c r="X1046">
        <v>11</v>
      </c>
      <c r="Y1046" t="s">
        <v>20313</v>
      </c>
      <c r="Z1046" t="s">
        <v>26621</v>
      </c>
      <c r="AA1046">
        <v>1.00134134513496</v>
      </c>
      <c r="AB1046" t="str">
        <f>HYPERLINK("Melting_Curves/meltCurve_J3KN82_APIP.pdf", "Melting_Curves/meltCurve_J3KN82_APIP.pdf")</f>
        <v>Melting_Curves/meltCurve_J3KN82_APIP.pdf</v>
      </c>
    </row>
    <row r="1047" spans="1:28" x14ac:dyDescent="0.25">
      <c r="A1047" t="s">
        <v>1051</v>
      </c>
      <c r="B1047">
        <v>0.99673306730245903</v>
      </c>
      <c r="C1047">
        <v>0.96050111483334399</v>
      </c>
      <c r="D1047">
        <v>0.92584479626737604</v>
      </c>
      <c r="E1047">
        <v>0.82690729299153498</v>
      </c>
      <c r="F1047">
        <v>0.61078984426178895</v>
      </c>
      <c r="G1047">
        <v>0.39385786185229499</v>
      </c>
      <c r="H1047">
        <v>0.14379930312384501</v>
      </c>
      <c r="I1047">
        <v>8.3109364114116097E-2</v>
      </c>
      <c r="J1047">
        <v>7.2582915055481395E-2</v>
      </c>
      <c r="K1047">
        <v>6.7791611959113901E-2</v>
      </c>
      <c r="L1047">
        <v>842.31033064599205</v>
      </c>
      <c r="M1047">
        <v>15.4171212757307</v>
      </c>
      <c r="N1047">
        <v>54.7111545460087</v>
      </c>
      <c r="O1047">
        <v>53.740282786829802</v>
      </c>
      <c r="P1047">
        <v>-7.0962973703336402E-2</v>
      </c>
      <c r="Q1047">
        <v>1.0652108760648499E-2</v>
      </c>
      <c r="R1047">
        <v>0.99678106717031401</v>
      </c>
      <c r="S1047" t="s">
        <v>7499</v>
      </c>
      <c r="T1047" t="s">
        <v>12902</v>
      </c>
      <c r="U1047" t="s">
        <v>12902</v>
      </c>
      <c r="V1047" t="s">
        <v>12902</v>
      </c>
      <c r="W1047" t="s">
        <v>13925</v>
      </c>
      <c r="X1047">
        <v>9</v>
      </c>
      <c r="Y1047" t="s">
        <v>20314</v>
      </c>
      <c r="Z1047" t="s">
        <v>26622</v>
      </c>
      <c r="AA1047">
        <v>0.51222664823770292</v>
      </c>
      <c r="AB1047" t="str">
        <f>HYPERLINK("Melting_Curves/meltCurve_J3KNA0_OXA1L.pdf", "Melting_Curves/meltCurve_J3KNA0_OXA1L.pdf")</f>
        <v>Melting_Curves/meltCurve_J3KNA0_OXA1L.pdf</v>
      </c>
    </row>
    <row r="1048" spans="1:28" x14ac:dyDescent="0.25">
      <c r="A1048" t="s">
        <v>1052</v>
      </c>
      <c r="B1048">
        <v>0.99673306730245903</v>
      </c>
      <c r="C1048">
        <v>0.92823076225022105</v>
      </c>
      <c r="D1048">
        <v>0.61012376413999103</v>
      </c>
      <c r="E1048">
        <v>0.30873072908062899</v>
      </c>
      <c r="F1048">
        <v>0.24705738370097399</v>
      </c>
      <c r="G1048">
        <v>7.4966514512830804E-2</v>
      </c>
      <c r="H1048">
        <v>8.5454475292050996E-2</v>
      </c>
      <c r="I1048">
        <v>6.4992943490241997E-2</v>
      </c>
      <c r="J1048">
        <v>3.5785842861446801E-2</v>
      </c>
      <c r="K1048">
        <v>2.2637304240197598E-2</v>
      </c>
      <c r="L1048">
        <v>862.93078813201805</v>
      </c>
      <c r="M1048">
        <v>18.2319932302313</v>
      </c>
      <c r="N1048">
        <v>47.613636452192203</v>
      </c>
      <c r="O1048">
        <v>46.772189022663902</v>
      </c>
      <c r="P1048">
        <v>-9.2450289074991698E-2</v>
      </c>
      <c r="Q1048">
        <v>5.1359936750534498E-2</v>
      </c>
      <c r="R1048">
        <v>0.98800649619875702</v>
      </c>
      <c r="S1048" t="s">
        <v>7500</v>
      </c>
      <c r="T1048" t="s">
        <v>12902</v>
      </c>
      <c r="U1048" t="s">
        <v>12902</v>
      </c>
      <c r="V1048" t="s">
        <v>12902</v>
      </c>
      <c r="W1048" t="s">
        <v>13926</v>
      </c>
      <c r="X1048">
        <v>5</v>
      </c>
      <c r="Y1048" t="s">
        <v>20315</v>
      </c>
      <c r="Z1048" t="s">
        <v>26623</v>
      </c>
      <c r="AA1048">
        <v>0.2999346998509308</v>
      </c>
      <c r="AB1048" t="str">
        <f>HYPERLINK("Melting_Curves/meltCurve_J3KND1_SAAL1.pdf", "Melting_Curves/meltCurve_J3KND1_SAAL1.pdf")</f>
        <v>Melting_Curves/meltCurve_J3KND1_SAAL1.pdf</v>
      </c>
    </row>
    <row r="1049" spans="1:28" x14ac:dyDescent="0.25">
      <c r="A1049" t="s">
        <v>1053</v>
      </c>
      <c r="B1049">
        <v>0.99673306730245903</v>
      </c>
      <c r="C1049">
        <v>1.0075078439885601</v>
      </c>
      <c r="D1049">
        <v>1.0211395271561201</v>
      </c>
      <c r="E1049">
        <v>1.0003848138431599</v>
      </c>
      <c r="F1049">
        <v>0.59530572436820295</v>
      </c>
      <c r="G1049">
        <v>0.64587910638513202</v>
      </c>
      <c r="H1049">
        <v>0.49066816457306001</v>
      </c>
      <c r="I1049">
        <v>0.54480247466831</v>
      </c>
      <c r="J1049">
        <v>0.85805827737179796</v>
      </c>
      <c r="K1049">
        <v>0.77941445101033302</v>
      </c>
      <c r="L1049">
        <v>12727.9055760098</v>
      </c>
      <c r="M1049">
        <v>250</v>
      </c>
      <c r="O1049">
        <v>50.908363116143903</v>
      </c>
      <c r="P1049">
        <v>-0.42680380475996099</v>
      </c>
      <c r="Q1049">
        <v>0.65235386318130895</v>
      </c>
      <c r="R1049">
        <v>0.75049766225895398</v>
      </c>
      <c r="S1049" t="s">
        <v>7501</v>
      </c>
      <c r="T1049" t="s">
        <v>12902</v>
      </c>
      <c r="U1049" t="s">
        <v>12902</v>
      </c>
      <c r="V1049" t="s">
        <v>12902</v>
      </c>
      <c r="W1049" t="s">
        <v>13927</v>
      </c>
      <c r="X1049">
        <v>12</v>
      </c>
      <c r="Y1049" t="s">
        <v>20316</v>
      </c>
      <c r="Z1049" t="s">
        <v>26624</v>
      </c>
      <c r="AA1049">
        <v>0.77883103639987838</v>
      </c>
      <c r="AB1049" t="str">
        <f>HYPERLINK("Melting_Curves/meltCurve_J3KND3_MYL6.pdf", "Melting_Curves/meltCurve_J3KND3_MYL6.pdf")</f>
        <v>Melting_Curves/meltCurve_J3KND3_MYL6.pdf</v>
      </c>
    </row>
    <row r="1050" spans="1:28" x14ac:dyDescent="0.25">
      <c r="A1050" t="s">
        <v>1054</v>
      </c>
      <c r="B1050">
        <v>0.99673306730245903</v>
      </c>
      <c r="C1050">
        <v>0.91701423458513398</v>
      </c>
      <c r="D1050">
        <v>0.88400152251612196</v>
      </c>
      <c r="E1050">
        <v>0.70414785712225503</v>
      </c>
      <c r="F1050">
        <v>0.20934154194207499</v>
      </c>
      <c r="G1050">
        <v>0.108512308432633</v>
      </c>
      <c r="H1050">
        <v>6.5797270933367805E-2</v>
      </c>
      <c r="I1050">
        <v>6.6269475095056499E-2</v>
      </c>
      <c r="J1050">
        <v>8.9911717585430095E-2</v>
      </c>
      <c r="K1050">
        <v>7.7316304126300694E-2</v>
      </c>
      <c r="L1050">
        <v>1521.44794932626</v>
      </c>
      <c r="M1050">
        <v>30.085682865571801</v>
      </c>
      <c r="N1050">
        <v>50.824715743708502</v>
      </c>
      <c r="O1050">
        <v>50.348650325084797</v>
      </c>
      <c r="P1050">
        <v>-0.13895237106863501</v>
      </c>
      <c r="Q1050">
        <v>6.9854016914950204E-2</v>
      </c>
      <c r="R1050">
        <v>0.99047268901354701</v>
      </c>
      <c r="S1050" t="s">
        <v>7502</v>
      </c>
      <c r="T1050" t="s">
        <v>12902</v>
      </c>
      <c r="U1050" t="s">
        <v>12902</v>
      </c>
      <c r="V1050" t="s">
        <v>12902</v>
      </c>
      <c r="W1050" t="s">
        <v>13928</v>
      </c>
      <c r="X1050">
        <v>5</v>
      </c>
      <c r="Y1050" t="s">
        <v>20317</v>
      </c>
      <c r="Z1050" t="s">
        <v>26625</v>
      </c>
      <c r="AA1050">
        <v>0.40336471361576148</v>
      </c>
      <c r="AB1050" t="str">
        <f>HYPERLINK("Melting_Curves/meltCurve_J3KND8_PAH.pdf", "Melting_Curves/meltCurve_J3KND8_PAH.pdf")</f>
        <v>Melting_Curves/meltCurve_J3KND8_PAH.pdf</v>
      </c>
    </row>
    <row r="1051" spans="1:28" x14ac:dyDescent="0.25">
      <c r="A1051" t="s">
        <v>1055</v>
      </c>
      <c r="B1051">
        <v>0.99673306730245903</v>
      </c>
      <c r="C1051">
        <v>0.93756095946406903</v>
      </c>
      <c r="D1051">
        <v>0.75136191783141903</v>
      </c>
      <c r="E1051">
        <v>0.56345409288970205</v>
      </c>
      <c r="F1051">
        <v>0.455773726240844</v>
      </c>
      <c r="G1051">
        <v>0.46657422156681699</v>
      </c>
      <c r="H1051">
        <v>0.180722868898441</v>
      </c>
      <c r="I1051">
        <v>0.14121104396655099</v>
      </c>
      <c r="J1051">
        <v>9.78976048033742E-2</v>
      </c>
      <c r="K1051">
        <v>5.7732809770569403E-2</v>
      </c>
      <c r="L1051">
        <v>489.61610417854803</v>
      </c>
      <c r="M1051">
        <v>9.3322786808082299</v>
      </c>
      <c r="N1051">
        <v>52.464793938431001</v>
      </c>
      <c r="O1051">
        <v>50.224742569778499</v>
      </c>
      <c r="P1051">
        <v>-4.6482001119536501E-2</v>
      </c>
      <c r="Q1051">
        <v>0</v>
      </c>
      <c r="R1051">
        <v>0.96996858359042004</v>
      </c>
      <c r="S1051" t="s">
        <v>7503</v>
      </c>
      <c r="T1051" t="s">
        <v>12902</v>
      </c>
      <c r="U1051" t="s">
        <v>12902</v>
      </c>
      <c r="V1051" t="s">
        <v>12902</v>
      </c>
      <c r="W1051" t="s">
        <v>13929</v>
      </c>
      <c r="X1051">
        <v>9</v>
      </c>
      <c r="Y1051" t="s">
        <v>20318</v>
      </c>
      <c r="Z1051" t="s">
        <v>26626</v>
      </c>
      <c r="AA1051">
        <v>0.45423581792345519</v>
      </c>
      <c r="AB1051" t="str">
        <f>HYPERLINK("Melting_Curves/meltCurve_J3KNE0_RGPD3.pdf", "Melting_Curves/meltCurve_J3KNE0_RGPD3.pdf")</f>
        <v>Melting_Curves/meltCurve_J3KNE0_RGPD3.pdf</v>
      </c>
    </row>
    <row r="1052" spans="1:28" x14ac:dyDescent="0.25">
      <c r="A1052" t="s">
        <v>1056</v>
      </c>
      <c r="B1052">
        <v>0.99673306730245903</v>
      </c>
      <c r="C1052">
        <v>0.986511048275858</v>
      </c>
      <c r="D1052">
        <v>0.91765479227369595</v>
      </c>
      <c r="E1052">
        <v>0.66691649363869698</v>
      </c>
      <c r="F1052">
        <v>0.44645783840357001</v>
      </c>
      <c r="G1052">
        <v>0.29558714982078299</v>
      </c>
      <c r="H1052">
        <v>0.17429765076397999</v>
      </c>
      <c r="I1052">
        <v>0.19704241312411699</v>
      </c>
      <c r="J1052">
        <v>0.21568224769327299</v>
      </c>
      <c r="K1052">
        <v>0.21901459629507</v>
      </c>
      <c r="L1052">
        <v>993.27868873401906</v>
      </c>
      <c r="M1052">
        <v>19.5651761981681</v>
      </c>
      <c r="N1052">
        <v>52.064341882241699</v>
      </c>
      <c r="O1052">
        <v>50.246234200397097</v>
      </c>
      <c r="P1052">
        <v>-7.8576069039817106E-2</v>
      </c>
      <c r="Q1052">
        <v>0.192849074040158</v>
      </c>
      <c r="R1052">
        <v>0.99589153285862098</v>
      </c>
      <c r="S1052" t="s">
        <v>7504</v>
      </c>
      <c r="T1052" t="s">
        <v>12902</v>
      </c>
      <c r="U1052" t="s">
        <v>12902</v>
      </c>
      <c r="V1052" t="s">
        <v>12902</v>
      </c>
      <c r="W1052" t="s">
        <v>13930</v>
      </c>
      <c r="X1052">
        <v>8</v>
      </c>
      <c r="Y1052" t="s">
        <v>20319</v>
      </c>
      <c r="Z1052" t="s">
        <v>26627</v>
      </c>
      <c r="AA1052">
        <v>0.49423887898464641</v>
      </c>
      <c r="AB1052" t="str">
        <f>HYPERLINK("Melting_Curves/meltCurve_J3KNF4_CCS.pdf", "Melting_Curves/meltCurve_J3KNF4_CCS.pdf")</f>
        <v>Melting_Curves/meltCurve_J3KNF4_CCS.pdf</v>
      </c>
    </row>
    <row r="1053" spans="1:28" x14ac:dyDescent="0.25">
      <c r="A1053" t="s">
        <v>1057</v>
      </c>
      <c r="B1053">
        <v>0.99673306730245903</v>
      </c>
      <c r="C1053">
        <v>0.87898686165989004</v>
      </c>
      <c r="D1053">
        <v>0.99481064203876701</v>
      </c>
      <c r="E1053">
        <v>1.0078440973683001</v>
      </c>
      <c r="F1053">
        <v>0.99256371835747403</v>
      </c>
      <c r="G1053">
        <v>1.3442646442473001</v>
      </c>
      <c r="H1053">
        <v>1.9030253105629</v>
      </c>
      <c r="I1053">
        <v>1.47267512615408</v>
      </c>
      <c r="J1053">
        <v>4.0398043691434102</v>
      </c>
      <c r="K1053">
        <v>9.3715864660823396</v>
      </c>
      <c r="S1053" t="s">
        <v>7505</v>
      </c>
      <c r="T1053" t="s">
        <v>12902</v>
      </c>
      <c r="U1053" t="s">
        <v>12903</v>
      </c>
      <c r="V1053" t="s">
        <v>12902</v>
      </c>
      <c r="W1053" t="s">
        <v>13931</v>
      </c>
      <c r="X1053">
        <v>2</v>
      </c>
      <c r="Y1053" t="s">
        <v>20320</v>
      </c>
      <c r="Z1053" t="s">
        <v>26628</v>
      </c>
      <c r="AB1053" t="str">
        <f>HYPERLINK("Melting_Curves/meltCurve_J3KNF5_CEP290.pdf", "Melting_Curves/meltCurve_J3KNF5_CEP290.pdf")</f>
        <v>Melting_Curves/meltCurve_J3KNF5_CEP290.pdf</v>
      </c>
    </row>
    <row r="1054" spans="1:28" x14ac:dyDescent="0.25">
      <c r="A1054" t="s">
        <v>1058</v>
      </c>
      <c r="B1054">
        <v>0.99673306730245903</v>
      </c>
      <c r="C1054">
        <v>1.0443557220628099</v>
      </c>
      <c r="D1054">
        <v>0.92260628685846202</v>
      </c>
      <c r="E1054">
        <v>0.81317192663330196</v>
      </c>
      <c r="F1054">
        <v>0.65354253708379695</v>
      </c>
      <c r="G1054">
        <v>0.550421956418785</v>
      </c>
      <c r="H1054">
        <v>0.42535145892977599</v>
      </c>
      <c r="I1054">
        <v>0.66392241861942503</v>
      </c>
      <c r="J1054">
        <v>0.66142563064687299</v>
      </c>
      <c r="K1054">
        <v>0.56023328777492198</v>
      </c>
      <c r="L1054">
        <v>1353.6448859817201</v>
      </c>
      <c r="M1054">
        <v>27.135503755098298</v>
      </c>
      <c r="O1054">
        <v>49.616084216969398</v>
      </c>
      <c r="P1054">
        <v>-5.8567476063095099E-2</v>
      </c>
      <c r="Q1054">
        <v>0.571651889049274</v>
      </c>
      <c r="R1054">
        <v>0.88405626612188004</v>
      </c>
      <c r="S1054" t="s">
        <v>7506</v>
      </c>
      <c r="T1054" t="s">
        <v>12902</v>
      </c>
      <c r="U1054" t="s">
        <v>12902</v>
      </c>
      <c r="V1054" t="s">
        <v>12902</v>
      </c>
      <c r="W1054" t="s">
        <v>13932</v>
      </c>
      <c r="X1054">
        <v>1</v>
      </c>
      <c r="Y1054" t="s">
        <v>20321</v>
      </c>
      <c r="Z1054" t="s">
        <v>26629</v>
      </c>
      <c r="AA1054">
        <v>0.71602794721151208</v>
      </c>
      <c r="AB1054" t="str">
        <f>HYPERLINK("Melting_Curves/meltCurve_J3KNF8_CYB5B.pdf", "Melting_Curves/meltCurve_J3KNF8_CYB5B.pdf")</f>
        <v>Melting_Curves/meltCurve_J3KNF8_CYB5B.pdf</v>
      </c>
    </row>
    <row r="1055" spans="1:28" x14ac:dyDescent="0.25">
      <c r="A1055" t="s">
        <v>1059</v>
      </c>
      <c r="B1055">
        <v>0.99673306730245903</v>
      </c>
      <c r="C1055">
        <v>0.76807603215423903</v>
      </c>
      <c r="D1055">
        <v>0.41796491983253198</v>
      </c>
      <c r="E1055">
        <v>0.20701596611547399</v>
      </c>
      <c r="F1055">
        <v>0.166284722886788</v>
      </c>
      <c r="G1055">
        <v>0.102807226158661</v>
      </c>
      <c r="H1055">
        <v>7.8260893549429694E-2</v>
      </c>
      <c r="I1055">
        <v>8.8461690311954805E-2</v>
      </c>
      <c r="J1055">
        <v>8.4398387437088995E-2</v>
      </c>
      <c r="K1055">
        <v>7.4248699091097103E-2</v>
      </c>
      <c r="L1055">
        <v>1024.2595750130899</v>
      </c>
      <c r="M1055">
        <v>22.768579059347299</v>
      </c>
      <c r="N1055">
        <v>45.397396610587897</v>
      </c>
      <c r="O1055">
        <v>44.642954685737401</v>
      </c>
      <c r="P1055">
        <v>-0.115611541475529</v>
      </c>
      <c r="Q1055">
        <v>9.3287274098810796E-2</v>
      </c>
      <c r="R1055">
        <v>0.99405081477466395</v>
      </c>
      <c r="S1055" t="s">
        <v>7507</v>
      </c>
      <c r="T1055" t="s">
        <v>12902</v>
      </c>
      <c r="U1055" t="s">
        <v>12902</v>
      </c>
      <c r="V1055" t="s">
        <v>12902</v>
      </c>
      <c r="W1055" t="s">
        <v>13933</v>
      </c>
      <c r="X1055">
        <v>10</v>
      </c>
      <c r="Y1055" t="s">
        <v>20322</v>
      </c>
      <c r="Z1055" t="s">
        <v>26630</v>
      </c>
      <c r="AA1055">
        <v>0.25529224190146399</v>
      </c>
      <c r="AB1055" t="str">
        <f>HYPERLINK("Melting_Curves/meltCurve_J3KNI1_COG4.pdf", "Melting_Curves/meltCurve_J3KNI1_COG4.pdf")</f>
        <v>Melting_Curves/meltCurve_J3KNI1_COG4.pdf</v>
      </c>
    </row>
    <row r="1056" spans="1:28" x14ac:dyDescent="0.25">
      <c r="A1056" t="s">
        <v>1060</v>
      </c>
      <c r="B1056">
        <v>0.99673306730245903</v>
      </c>
      <c r="C1056">
        <v>0.977645863679107</v>
      </c>
      <c r="D1056">
        <v>0.98065855387916101</v>
      </c>
      <c r="E1056">
        <v>0.73606479119993695</v>
      </c>
      <c r="F1056">
        <v>0.19798388105445799</v>
      </c>
      <c r="G1056">
        <v>0.12226490448534</v>
      </c>
      <c r="H1056">
        <v>0.10250452602466301</v>
      </c>
      <c r="I1056">
        <v>8.5722611745109603E-2</v>
      </c>
      <c r="J1056">
        <v>8.9525156845013998E-2</v>
      </c>
      <c r="K1056">
        <v>6.6936782874441297E-2</v>
      </c>
      <c r="L1056">
        <v>2074.3988264894701</v>
      </c>
      <c r="M1056">
        <v>40.939139167695899</v>
      </c>
      <c r="N1056">
        <v>50.9172252281762</v>
      </c>
      <c r="O1056">
        <v>50.549856998831601</v>
      </c>
      <c r="P1056">
        <v>-0.184240456252138</v>
      </c>
      <c r="Q1056">
        <v>9.0033513437385596E-2</v>
      </c>
      <c r="R1056">
        <v>0.99896594307730202</v>
      </c>
      <c r="S1056" t="s">
        <v>7508</v>
      </c>
      <c r="T1056" t="s">
        <v>12902</v>
      </c>
      <c r="U1056" t="s">
        <v>12902</v>
      </c>
      <c r="V1056" t="s">
        <v>12902</v>
      </c>
      <c r="W1056" t="s">
        <v>13934</v>
      </c>
      <c r="X1056">
        <v>7</v>
      </c>
      <c r="Y1056" t="s">
        <v>20323</v>
      </c>
      <c r="Z1056" t="s">
        <v>26631</v>
      </c>
      <c r="AA1056">
        <v>0.41672932484770608</v>
      </c>
      <c r="AB1056" t="str">
        <f>HYPERLINK("Melting_Curves/meltCurve_J3KNL3_CHID1.pdf", "Melting_Curves/meltCurve_J3KNL3_CHID1.pdf")</f>
        <v>Melting_Curves/meltCurve_J3KNL3_CHID1.pdf</v>
      </c>
    </row>
    <row r="1057" spans="1:28" x14ac:dyDescent="0.25">
      <c r="A1057" t="s">
        <v>1061</v>
      </c>
      <c r="B1057">
        <v>0.99673306730245903</v>
      </c>
      <c r="C1057">
        <v>0.90589901003472195</v>
      </c>
      <c r="D1057">
        <v>0.92401715931956396</v>
      </c>
      <c r="E1057">
        <v>0.67862413477455397</v>
      </c>
      <c r="F1057">
        <v>0.396466320239096</v>
      </c>
      <c r="G1057">
        <v>0.25316506052129001</v>
      </c>
      <c r="H1057">
        <v>0.19277924423448101</v>
      </c>
      <c r="I1057">
        <v>0.26942147588322402</v>
      </c>
      <c r="J1057">
        <v>0.42986508872860801</v>
      </c>
      <c r="K1057">
        <v>0.38990927417981203</v>
      </c>
      <c r="L1057">
        <v>1494.7468952259001</v>
      </c>
      <c r="M1057">
        <v>30.067886238264201</v>
      </c>
      <c r="N1057">
        <v>51.323134596603502</v>
      </c>
      <c r="O1057">
        <v>49.494064633193197</v>
      </c>
      <c r="P1057">
        <v>-0.10549449098660101</v>
      </c>
      <c r="Q1057">
        <v>0.30539614625751499</v>
      </c>
      <c r="R1057">
        <v>0.94013467198702605</v>
      </c>
      <c r="S1057" t="s">
        <v>7509</v>
      </c>
      <c r="T1057" t="s">
        <v>12902</v>
      </c>
      <c r="U1057" t="s">
        <v>12902</v>
      </c>
      <c r="V1057" t="s">
        <v>12902</v>
      </c>
      <c r="W1057" t="s">
        <v>13935</v>
      </c>
      <c r="X1057">
        <v>7</v>
      </c>
      <c r="Y1057" t="s">
        <v>20324</v>
      </c>
      <c r="Z1057" t="s">
        <v>26632</v>
      </c>
      <c r="AA1057">
        <v>0.53452879968848377</v>
      </c>
      <c r="AB1057" t="str">
        <f>HYPERLINK("Melting_Curves/meltCurve_J3KNL6_SEC16A.pdf", "Melting_Curves/meltCurve_J3KNL6_SEC16A.pdf")</f>
        <v>Melting_Curves/meltCurve_J3KNL6_SEC16A.pdf</v>
      </c>
    </row>
    <row r="1058" spans="1:28" x14ac:dyDescent="0.25">
      <c r="A1058" t="s">
        <v>1062</v>
      </c>
      <c r="B1058">
        <v>0.99673306730245903</v>
      </c>
      <c r="C1058">
        <v>0.976877622399556</v>
      </c>
      <c r="D1058">
        <v>0.95088731238665403</v>
      </c>
      <c r="E1058">
        <v>0.84960932735238104</v>
      </c>
      <c r="F1058">
        <v>0.70944033700678</v>
      </c>
      <c r="G1058">
        <v>0.56879546230017697</v>
      </c>
      <c r="H1058">
        <v>0.50494028154934301</v>
      </c>
      <c r="I1058">
        <v>0.62842520326158002</v>
      </c>
      <c r="J1058">
        <v>0.88935411349691496</v>
      </c>
      <c r="K1058">
        <v>0.82797830703182096</v>
      </c>
      <c r="L1058">
        <v>1873.7807877154701</v>
      </c>
      <c r="M1058">
        <v>37.817246416437598</v>
      </c>
      <c r="O1058">
        <v>49.410375810287903</v>
      </c>
      <c r="P1058">
        <v>-6.0317605245428001E-2</v>
      </c>
      <c r="Q1058">
        <v>0.68476735164562996</v>
      </c>
      <c r="R1058">
        <v>0.59558994336896798</v>
      </c>
      <c r="S1058" t="s">
        <v>7510</v>
      </c>
      <c r="T1058" t="s">
        <v>12902</v>
      </c>
      <c r="U1058" t="s">
        <v>12902</v>
      </c>
      <c r="V1058" t="s">
        <v>12902</v>
      </c>
      <c r="W1058" t="s">
        <v>13936</v>
      </c>
      <c r="X1058">
        <v>2</v>
      </c>
      <c r="Y1058" t="s">
        <v>20325</v>
      </c>
      <c r="Z1058" t="s">
        <v>26633</v>
      </c>
      <c r="AA1058">
        <v>0.78630875761228891</v>
      </c>
      <c r="AB1058" t="str">
        <f>HYPERLINK("Melting_Curves/meltCurve_J3KNM5_YAF2.pdf", "Melting_Curves/meltCurve_J3KNM5_YAF2.pdf")</f>
        <v>Melting_Curves/meltCurve_J3KNM5_YAF2.pdf</v>
      </c>
    </row>
    <row r="1059" spans="1:28" x14ac:dyDescent="0.25">
      <c r="A1059" t="s">
        <v>1063</v>
      </c>
      <c r="B1059">
        <v>0.99673306730245903</v>
      </c>
      <c r="C1059">
        <v>0.84428409049563302</v>
      </c>
      <c r="D1059">
        <v>0.67718260291868304</v>
      </c>
      <c r="E1059">
        <v>0.38410930326163101</v>
      </c>
      <c r="F1059">
        <v>0.23723104017557001</v>
      </c>
      <c r="G1059">
        <v>0.14711485321470799</v>
      </c>
      <c r="H1059">
        <v>0.104991680291342</v>
      </c>
      <c r="I1059">
        <v>9.4223757362280905E-2</v>
      </c>
      <c r="J1059">
        <v>9.38435568678158E-2</v>
      </c>
      <c r="K1059">
        <v>8.0535002309639905E-2</v>
      </c>
      <c r="L1059">
        <v>769.80218777920402</v>
      </c>
      <c r="M1059">
        <v>16.169324403667002</v>
      </c>
      <c r="N1059">
        <v>48.140122703664296</v>
      </c>
      <c r="O1059">
        <v>46.898465973174702</v>
      </c>
      <c r="P1059">
        <v>-7.91554007474395E-2</v>
      </c>
      <c r="Q1059">
        <v>8.1721205037800795E-2</v>
      </c>
      <c r="R1059">
        <v>0.99776954859551403</v>
      </c>
      <c r="S1059" t="s">
        <v>7511</v>
      </c>
      <c r="T1059" t="s">
        <v>12902</v>
      </c>
      <c r="U1059" t="s">
        <v>12902</v>
      </c>
      <c r="V1059" t="s">
        <v>12902</v>
      </c>
      <c r="W1059" t="s">
        <v>13937</v>
      </c>
      <c r="X1059">
        <v>8</v>
      </c>
      <c r="Y1059" t="s">
        <v>20326</v>
      </c>
      <c r="Z1059" t="s">
        <v>26634</v>
      </c>
      <c r="AA1059">
        <v>0.33529345829585111</v>
      </c>
      <c r="AB1059" t="str">
        <f>HYPERLINK("Melting_Curves/meltCurve_J3KNN5_DDX41.pdf", "Melting_Curves/meltCurve_J3KNN5_DDX41.pdf")</f>
        <v>Melting_Curves/meltCurve_J3KNN5_DDX41.pdf</v>
      </c>
    </row>
    <row r="1060" spans="1:28" x14ac:dyDescent="0.25">
      <c r="A1060" t="s">
        <v>1064</v>
      </c>
      <c r="B1060">
        <v>0.99673306730245903</v>
      </c>
      <c r="C1060">
        <v>0.95547119090390897</v>
      </c>
      <c r="D1060">
        <v>0.98102390107400905</v>
      </c>
      <c r="E1060">
        <v>0.78081298452929104</v>
      </c>
      <c r="F1060">
        <v>0.40895818595468503</v>
      </c>
      <c r="G1060">
        <v>0.29025884793865298</v>
      </c>
      <c r="H1060">
        <v>0.23980831802123201</v>
      </c>
      <c r="I1060">
        <v>0.246576306617562</v>
      </c>
      <c r="J1060">
        <v>0.24210791196297399</v>
      </c>
      <c r="K1060">
        <v>0.19550892873444001</v>
      </c>
      <c r="L1060">
        <v>1486.9971514645299</v>
      </c>
      <c r="M1060">
        <v>29.0809032188202</v>
      </c>
      <c r="N1060">
        <v>52.248246792160799</v>
      </c>
      <c r="O1060">
        <v>50.8931541964944</v>
      </c>
      <c r="P1060">
        <v>-0.109825158663656</v>
      </c>
      <c r="Q1060">
        <v>0.231205796823161</v>
      </c>
      <c r="R1060">
        <v>0.99645691560990202</v>
      </c>
      <c r="S1060" t="s">
        <v>7512</v>
      </c>
      <c r="T1060" t="s">
        <v>12902</v>
      </c>
      <c r="U1060" t="s">
        <v>12902</v>
      </c>
      <c r="V1060" t="s">
        <v>12902</v>
      </c>
      <c r="W1060" t="s">
        <v>13938</v>
      </c>
      <c r="X1060">
        <v>6</v>
      </c>
      <c r="Y1060" t="s">
        <v>20327</v>
      </c>
      <c r="Z1060" t="s">
        <v>26635</v>
      </c>
      <c r="AA1060">
        <v>0.52166331708117042</v>
      </c>
      <c r="AB1060" t="str">
        <f>HYPERLINK("Melting_Curves/meltCurve_J3KNP4_SEMA4B.pdf", "Melting_Curves/meltCurve_J3KNP4_SEMA4B.pdf")</f>
        <v>Melting_Curves/meltCurve_J3KNP4_SEMA4B.pdf</v>
      </c>
    </row>
    <row r="1061" spans="1:28" x14ac:dyDescent="0.25">
      <c r="A1061" t="s">
        <v>1065</v>
      </c>
      <c r="B1061">
        <v>0.99673306730245903</v>
      </c>
      <c r="C1061">
        <v>0.87468519073430295</v>
      </c>
      <c r="D1061">
        <v>0.791049587175369</v>
      </c>
      <c r="E1061">
        <v>0.62661622463931699</v>
      </c>
      <c r="F1061">
        <v>0.24737113221118401</v>
      </c>
      <c r="G1061">
        <v>0.17129710769088299</v>
      </c>
      <c r="H1061">
        <v>0.14361607019643299</v>
      </c>
      <c r="I1061">
        <v>0.14137689406679199</v>
      </c>
      <c r="J1061">
        <v>0.14110779340507601</v>
      </c>
      <c r="K1061">
        <v>0.143802799599209</v>
      </c>
      <c r="L1061">
        <v>885.09354418228497</v>
      </c>
      <c r="M1061">
        <v>17.913539534012202</v>
      </c>
      <c r="N1061">
        <v>50.166487948099402</v>
      </c>
      <c r="O1061">
        <v>48.805797860932699</v>
      </c>
      <c r="P1061">
        <v>-8.0892744067355499E-2</v>
      </c>
      <c r="Q1061">
        <v>0.118468712568954</v>
      </c>
      <c r="R1061">
        <v>0.98399990803661697</v>
      </c>
      <c r="S1061" t="s">
        <v>7513</v>
      </c>
      <c r="T1061" t="s">
        <v>12902</v>
      </c>
      <c r="U1061" t="s">
        <v>12902</v>
      </c>
      <c r="V1061" t="s">
        <v>12902</v>
      </c>
      <c r="W1061" t="s">
        <v>13939</v>
      </c>
      <c r="X1061">
        <v>5</v>
      </c>
      <c r="Y1061" t="s">
        <v>20328</v>
      </c>
      <c r="Z1061" t="s">
        <v>26636</v>
      </c>
      <c r="AA1061">
        <v>0.41025645125090282</v>
      </c>
      <c r="AB1061" t="str">
        <f>HYPERLINK("Melting_Curves/meltCurve_J3KNR0_MARK3.pdf", "Melting_Curves/meltCurve_J3KNR0_MARK3.pdf")</f>
        <v>Melting_Curves/meltCurve_J3KNR0_MARK3.pdf</v>
      </c>
    </row>
    <row r="1062" spans="1:28" x14ac:dyDescent="0.25">
      <c r="A1062" t="s">
        <v>1066</v>
      </c>
      <c r="B1062">
        <v>0.99673306730245903</v>
      </c>
      <c r="C1062">
        <v>0.79432098164424703</v>
      </c>
      <c r="D1062">
        <v>0.72844075780209705</v>
      </c>
      <c r="E1062">
        <v>0.64878496731824198</v>
      </c>
      <c r="F1062">
        <v>0.51387829821026398</v>
      </c>
      <c r="G1062">
        <v>0.37404969968825602</v>
      </c>
      <c r="H1062">
        <v>0.27015712365862199</v>
      </c>
      <c r="I1062">
        <v>0.22850487469469899</v>
      </c>
      <c r="J1062">
        <v>0.216854377507611</v>
      </c>
      <c r="K1062">
        <v>0.18649162332517599</v>
      </c>
      <c r="L1062">
        <v>420.74808280117901</v>
      </c>
      <c r="M1062">
        <v>8.1291477092309794</v>
      </c>
      <c r="N1062">
        <v>52.899272825977803</v>
      </c>
      <c r="O1062">
        <v>48.9084242750695</v>
      </c>
      <c r="P1062">
        <v>-3.82512715305433E-2</v>
      </c>
      <c r="Q1062">
        <v>8.0435650295530597E-2</v>
      </c>
      <c r="R1062">
        <v>0.983260288520315</v>
      </c>
      <c r="S1062" t="s">
        <v>7514</v>
      </c>
      <c r="T1062" t="s">
        <v>12902</v>
      </c>
      <c r="U1062" t="s">
        <v>12902</v>
      </c>
      <c r="V1062" t="s">
        <v>12902</v>
      </c>
      <c r="W1062" t="s">
        <v>13940</v>
      </c>
      <c r="X1062">
        <v>2</v>
      </c>
      <c r="Y1062" t="s">
        <v>20329</v>
      </c>
      <c r="Z1062" t="s">
        <v>26637</v>
      </c>
      <c r="AA1062">
        <v>0.48492506894863502</v>
      </c>
      <c r="AB1062" t="str">
        <f>HYPERLINK("Melting_Curves/meltCurve_J3KNT4_FGFR1.pdf", "Melting_Curves/meltCurve_J3KNT4_FGFR1.pdf")</f>
        <v>Melting_Curves/meltCurve_J3KNT4_FGFR1.pdf</v>
      </c>
    </row>
    <row r="1063" spans="1:28" x14ac:dyDescent="0.25">
      <c r="A1063" t="s">
        <v>1067</v>
      </c>
      <c r="B1063">
        <v>0.99673306730245903</v>
      </c>
      <c r="C1063">
        <v>0.88471834938262495</v>
      </c>
      <c r="D1063">
        <v>0.90879455323438196</v>
      </c>
      <c r="E1063">
        <v>0.84183819337061705</v>
      </c>
      <c r="F1063">
        <v>0.12568521849174</v>
      </c>
      <c r="G1063">
        <v>0.10681204588373</v>
      </c>
      <c r="H1063">
        <v>6.5666703380865096E-2</v>
      </c>
      <c r="I1063">
        <v>7.3589865661509601E-2</v>
      </c>
      <c r="J1063">
        <v>4.3150093082309597E-2</v>
      </c>
      <c r="K1063">
        <v>5.9795387857306898E-2</v>
      </c>
      <c r="L1063">
        <v>3087.5508923756702</v>
      </c>
      <c r="M1063">
        <v>60.6816713431107</v>
      </c>
      <c r="N1063">
        <v>51.005225967748501</v>
      </c>
      <c r="O1063">
        <v>50.8259480279225</v>
      </c>
      <c r="P1063">
        <v>-0.27799338528405199</v>
      </c>
      <c r="Q1063">
        <v>6.8630164730294901E-2</v>
      </c>
      <c r="R1063">
        <v>0.98591726514744005</v>
      </c>
      <c r="S1063" t="s">
        <v>7515</v>
      </c>
      <c r="T1063" t="s">
        <v>12902</v>
      </c>
      <c r="U1063" t="s">
        <v>12902</v>
      </c>
      <c r="V1063" t="s">
        <v>12902</v>
      </c>
      <c r="W1063" t="s">
        <v>13941</v>
      </c>
      <c r="X1063">
        <v>1</v>
      </c>
      <c r="Y1063" t="s">
        <v>20330</v>
      </c>
      <c r="Z1063" t="s">
        <v>26638</v>
      </c>
      <c r="AA1063">
        <v>0.40785811340578032</v>
      </c>
      <c r="AB1063" t="str">
        <f>HYPERLINK("Melting_Curves/meltCurve_J3KNV1_ZNF292.pdf", "Melting_Curves/meltCurve_J3KNV1_ZNF292.pdf")</f>
        <v>Melting_Curves/meltCurve_J3KNV1_ZNF292.pdf</v>
      </c>
    </row>
    <row r="1064" spans="1:28" x14ac:dyDescent="0.25">
      <c r="A1064" t="s">
        <v>1068</v>
      </c>
      <c r="B1064">
        <v>0.99673306730245903</v>
      </c>
      <c r="C1064">
        <v>0.96625598333952001</v>
      </c>
      <c r="D1064">
        <v>0.83600699839440895</v>
      </c>
      <c r="E1064">
        <v>0.79498487196077205</v>
      </c>
      <c r="F1064">
        <v>0.83256465058451901</v>
      </c>
      <c r="G1064">
        <v>1.10382855856311</v>
      </c>
      <c r="H1064">
        <v>1.8881820519099699</v>
      </c>
      <c r="I1064">
        <v>4.68920464219996</v>
      </c>
      <c r="J1064">
        <v>7.3008933805205096</v>
      </c>
      <c r="K1064">
        <v>7.1637828345681198</v>
      </c>
      <c r="L1064">
        <v>14276.0608455074</v>
      </c>
      <c r="M1064">
        <v>250</v>
      </c>
      <c r="O1064">
        <v>57.100590339156597</v>
      </c>
      <c r="P1064">
        <v>0.54727981855971197</v>
      </c>
      <c r="Q1064">
        <v>1.5</v>
      </c>
      <c r="R1064">
        <v>-0.17627851099248901</v>
      </c>
      <c r="S1064" t="s">
        <v>7516</v>
      </c>
      <c r="T1064" t="s">
        <v>12902</v>
      </c>
      <c r="U1064" t="s">
        <v>12902</v>
      </c>
      <c r="V1064" t="s">
        <v>12902</v>
      </c>
      <c r="W1064" t="s">
        <v>13942</v>
      </c>
      <c r="X1064">
        <v>4</v>
      </c>
      <c r="Y1064" t="s">
        <v>20331</v>
      </c>
      <c r="Z1064" t="s">
        <v>26639</v>
      </c>
      <c r="AA1064">
        <v>1.2148791684369751</v>
      </c>
      <c r="AB1064" t="str">
        <f>HYPERLINK("Melting_Curves/meltCurve_J3KNW7_CCDC41.pdf", "Melting_Curves/meltCurve_J3KNW7_CCDC41.pdf")</f>
        <v>Melting_Curves/meltCurve_J3KNW7_CCDC41.pdf</v>
      </c>
    </row>
    <row r="1065" spans="1:28" x14ac:dyDescent="0.25">
      <c r="A1065" t="s">
        <v>1069</v>
      </c>
      <c r="B1065">
        <v>0.99673306730245903</v>
      </c>
      <c r="C1065">
        <v>0.99470792759186599</v>
      </c>
      <c r="D1065">
        <v>1.1966119953151899</v>
      </c>
      <c r="E1065">
        <v>1.2593977102698699</v>
      </c>
      <c r="F1065">
        <v>1.7058125563528499</v>
      </c>
      <c r="G1065">
        <v>1.80952323417313</v>
      </c>
      <c r="H1065">
        <v>2.5659685295928898</v>
      </c>
      <c r="I1065">
        <v>1.3740872430390401</v>
      </c>
      <c r="J1065">
        <v>0.42202637899656997</v>
      </c>
      <c r="K1065">
        <v>0.38175739041603401</v>
      </c>
      <c r="L1065">
        <v>15000</v>
      </c>
      <c r="M1065">
        <v>226.13958918708099</v>
      </c>
      <c r="N1065">
        <v>66.753029267397594</v>
      </c>
      <c r="O1065">
        <v>66.325525571868297</v>
      </c>
      <c r="P1065">
        <v>-0.52811459943082895</v>
      </c>
      <c r="Q1065">
        <v>0.380427320951024</v>
      </c>
      <c r="R1065">
        <v>-4.2843274515256304E-3</v>
      </c>
      <c r="S1065" t="s">
        <v>7517</v>
      </c>
      <c r="T1065" t="s">
        <v>12902</v>
      </c>
      <c r="U1065" t="s">
        <v>12902</v>
      </c>
      <c r="V1065" t="s">
        <v>12902</v>
      </c>
      <c r="W1065" t="s">
        <v>13943</v>
      </c>
      <c r="X1065">
        <v>7</v>
      </c>
      <c r="Y1065" t="s">
        <v>20332</v>
      </c>
      <c r="Z1065" t="s">
        <v>26640</v>
      </c>
      <c r="AA1065">
        <v>0.9243084197079825</v>
      </c>
      <c r="AB1065" t="str">
        <f>HYPERLINK("Melting_Curves/meltCurve_J3KNX9_MYO18A.pdf", "Melting_Curves/meltCurve_J3KNX9_MYO18A.pdf")</f>
        <v>Melting_Curves/meltCurve_J3KNX9_MYO18A.pdf</v>
      </c>
    </row>
    <row r="1066" spans="1:28" x14ac:dyDescent="0.25">
      <c r="A1066" t="s">
        <v>1070</v>
      </c>
      <c r="B1066">
        <v>0.99673306730245903</v>
      </c>
      <c r="C1066">
        <v>0.96901053517442604</v>
      </c>
      <c r="D1066">
        <v>0.95625386497227804</v>
      </c>
      <c r="E1066">
        <v>0.76698910554593902</v>
      </c>
      <c r="F1066">
        <v>0.57880398477921202</v>
      </c>
      <c r="G1066">
        <v>0.33818814467264902</v>
      </c>
      <c r="H1066">
        <v>0.19069309039288099</v>
      </c>
      <c r="I1066">
        <v>0.15058760207145599</v>
      </c>
      <c r="J1066">
        <v>0.149349032673328</v>
      </c>
      <c r="K1066">
        <v>0.117848885731883</v>
      </c>
      <c r="L1066">
        <v>867.34799653397295</v>
      </c>
      <c r="M1066">
        <v>16.2792670631136</v>
      </c>
      <c r="N1066">
        <v>54.029855272881903</v>
      </c>
      <c r="O1066">
        <v>52.494785635682398</v>
      </c>
      <c r="P1066">
        <v>-6.9687455245631205E-2</v>
      </c>
      <c r="Q1066">
        <v>0.10119776417057399</v>
      </c>
      <c r="R1066">
        <v>0.99808449595940896</v>
      </c>
      <c r="S1066" t="s">
        <v>7518</v>
      </c>
      <c r="T1066" t="s">
        <v>12902</v>
      </c>
      <c r="U1066" t="s">
        <v>12902</v>
      </c>
      <c r="V1066" t="s">
        <v>12902</v>
      </c>
      <c r="W1066" t="s">
        <v>13944</v>
      </c>
      <c r="X1066">
        <v>3</v>
      </c>
      <c r="Y1066" t="s">
        <v>20333</v>
      </c>
      <c r="Z1066" t="s">
        <v>26641</v>
      </c>
      <c r="AA1066">
        <v>0.51608231920023495</v>
      </c>
      <c r="AB1066" t="str">
        <f>HYPERLINK("Melting_Curves/meltCurve_J3KP26_ANKRD46.pdf", "Melting_Curves/meltCurve_J3KP26_ANKRD46.pdf")</f>
        <v>Melting_Curves/meltCurve_J3KP26_ANKRD46.pdf</v>
      </c>
    </row>
    <row r="1067" spans="1:28" x14ac:dyDescent="0.25">
      <c r="A1067" t="s">
        <v>1071</v>
      </c>
      <c r="B1067">
        <v>0.99673306730245903</v>
      </c>
      <c r="C1067">
        <v>0.82837120948993603</v>
      </c>
      <c r="D1067">
        <v>0.526079465834701</v>
      </c>
      <c r="E1067">
        <v>0.360168482858303</v>
      </c>
      <c r="F1067">
        <v>0.179917724478694</v>
      </c>
      <c r="G1067">
        <v>0.124613397560975</v>
      </c>
      <c r="H1067">
        <v>9.0184575540657105E-2</v>
      </c>
      <c r="I1067">
        <v>8.7219224611226706E-2</v>
      </c>
      <c r="J1067">
        <v>8.51290336204861E-2</v>
      </c>
      <c r="K1067">
        <v>9.8335984628836401E-2</v>
      </c>
      <c r="L1067">
        <v>792.54863173262902</v>
      </c>
      <c r="M1067">
        <v>17.077731236428502</v>
      </c>
      <c r="N1067">
        <v>46.9292403883411</v>
      </c>
      <c r="O1067">
        <v>45.785978790945499</v>
      </c>
      <c r="P1067">
        <v>-8.5201556339668E-2</v>
      </c>
      <c r="Q1067">
        <v>8.6342136723972895E-2</v>
      </c>
      <c r="R1067">
        <v>0.992319188947969</v>
      </c>
      <c r="S1067" t="s">
        <v>7519</v>
      </c>
      <c r="T1067" t="s">
        <v>12902</v>
      </c>
      <c r="U1067" t="s">
        <v>12902</v>
      </c>
      <c r="V1067" t="s">
        <v>12902</v>
      </c>
      <c r="W1067" t="s">
        <v>13945</v>
      </c>
      <c r="X1067">
        <v>1</v>
      </c>
      <c r="Y1067" t="s">
        <v>20334</v>
      </c>
      <c r="Z1067" t="s">
        <v>26642</v>
      </c>
      <c r="AA1067">
        <v>0.30108128209282098</v>
      </c>
      <c r="AB1067" t="str">
        <f>HYPERLINK("Melting_Curves/meltCurve_J3KPD4_MCF2L.pdf", "Melting_Curves/meltCurve_J3KPD4_MCF2L.pdf")</f>
        <v>Melting_Curves/meltCurve_J3KPD4_MCF2L.pdf</v>
      </c>
    </row>
    <row r="1068" spans="1:28" x14ac:dyDescent="0.25">
      <c r="A1068" t="s">
        <v>1072</v>
      </c>
      <c r="B1068">
        <v>0.99673306730245903</v>
      </c>
      <c r="C1068">
        <v>0.92412606974022804</v>
      </c>
      <c r="D1068">
        <v>1.1122366605821901</v>
      </c>
      <c r="E1068">
        <v>0.66381139554326096</v>
      </c>
      <c r="F1068">
        <v>0.31416679712873702</v>
      </c>
      <c r="G1068">
        <v>0.22952102961225601</v>
      </c>
      <c r="H1068">
        <v>0.15470112849327999</v>
      </c>
      <c r="I1068">
        <v>0.173456637658401</v>
      </c>
      <c r="J1068">
        <v>0.199210094077589</v>
      </c>
      <c r="K1068">
        <v>0.16443897675991101</v>
      </c>
      <c r="L1068">
        <v>1887.3057397099201</v>
      </c>
      <c r="M1068">
        <v>37.529778594423703</v>
      </c>
      <c r="N1068">
        <v>50.920708034564001</v>
      </c>
      <c r="O1068">
        <v>50.146076898062098</v>
      </c>
      <c r="P1068">
        <v>-0.15224621085687101</v>
      </c>
      <c r="Q1068">
        <v>0.18629631757953199</v>
      </c>
      <c r="R1068">
        <v>0.97846494325986899</v>
      </c>
      <c r="S1068" t="s">
        <v>7520</v>
      </c>
      <c r="T1068" t="s">
        <v>12902</v>
      </c>
      <c r="U1068" t="s">
        <v>12902</v>
      </c>
      <c r="V1068" t="s">
        <v>12902</v>
      </c>
      <c r="W1068" t="s">
        <v>13946</v>
      </c>
      <c r="X1068">
        <v>6</v>
      </c>
      <c r="Y1068" t="s">
        <v>20335</v>
      </c>
      <c r="Z1068" t="s">
        <v>26643</v>
      </c>
      <c r="AA1068">
        <v>0.46856575791151728</v>
      </c>
      <c r="AB1068" t="str">
        <f>HYPERLINK("Melting_Curves/meltCurve_J3KPF9_KIF3A.pdf", "Melting_Curves/meltCurve_J3KPF9_KIF3A.pdf")</f>
        <v>Melting_Curves/meltCurve_J3KPF9_KIF3A.pdf</v>
      </c>
    </row>
    <row r="1069" spans="1:28" x14ac:dyDescent="0.25">
      <c r="A1069" t="s">
        <v>1073</v>
      </c>
      <c r="B1069">
        <v>0.99673306730245903</v>
      </c>
      <c r="C1069">
        <v>0.91114998362565802</v>
      </c>
      <c r="D1069">
        <v>0.78659312377612101</v>
      </c>
      <c r="E1069">
        <v>0.67788885934355603</v>
      </c>
      <c r="F1069">
        <v>0.44138338942880601</v>
      </c>
      <c r="G1069">
        <v>0.35100614332583102</v>
      </c>
      <c r="H1069">
        <v>0.292514421693577</v>
      </c>
      <c r="I1069">
        <v>0.20672582652065499</v>
      </c>
      <c r="J1069">
        <v>0.157542818298088</v>
      </c>
      <c r="K1069">
        <v>0.135681544435486</v>
      </c>
      <c r="L1069">
        <v>548.74545617851697</v>
      </c>
      <c r="M1069">
        <v>10.612940530227</v>
      </c>
      <c r="N1069">
        <v>52.785473709073202</v>
      </c>
      <c r="O1069">
        <v>49.9708758856099</v>
      </c>
      <c r="P1069">
        <v>-4.7931782932009101E-2</v>
      </c>
      <c r="Q1069">
        <v>9.7605026778220805E-2</v>
      </c>
      <c r="R1069">
        <v>0.99311030911954201</v>
      </c>
      <c r="S1069" t="s">
        <v>7521</v>
      </c>
      <c r="T1069" t="s">
        <v>12902</v>
      </c>
      <c r="U1069" t="s">
        <v>12902</v>
      </c>
      <c r="V1069" t="s">
        <v>12902</v>
      </c>
      <c r="W1069" t="s">
        <v>13947</v>
      </c>
      <c r="X1069">
        <v>1</v>
      </c>
      <c r="Y1069" t="s">
        <v>20336</v>
      </c>
      <c r="Z1069" t="s">
        <v>26644</v>
      </c>
      <c r="AA1069">
        <v>0.48257728279603218</v>
      </c>
      <c r="AB1069" t="str">
        <f>HYPERLINK("Melting_Curves/meltCurve_J3KPK1_SYNJ1.pdf", "Melting_Curves/meltCurve_J3KPK1_SYNJ1.pdf")</f>
        <v>Melting_Curves/meltCurve_J3KPK1_SYNJ1.pdf</v>
      </c>
    </row>
    <row r="1070" spans="1:28" x14ac:dyDescent="0.25">
      <c r="A1070" t="s">
        <v>1074</v>
      </c>
      <c r="B1070">
        <v>0.99673306730245903</v>
      </c>
      <c r="C1070">
        <v>0.84129916412209205</v>
      </c>
      <c r="D1070">
        <v>0.75465688295913602</v>
      </c>
      <c r="E1070">
        <v>0.56882510815006304</v>
      </c>
      <c r="F1070">
        <v>0.27504475175964399</v>
      </c>
      <c r="G1070">
        <v>0.167103373460081</v>
      </c>
      <c r="H1070">
        <v>0.107362120086268</v>
      </c>
      <c r="I1070">
        <v>9.3366567833324296E-2</v>
      </c>
      <c r="J1070">
        <v>7.7641891232481997E-2</v>
      </c>
      <c r="K1070">
        <v>6.7103183608148195E-2</v>
      </c>
      <c r="L1070">
        <v>688.26861578245496</v>
      </c>
      <c r="M1070">
        <v>13.899759548459601</v>
      </c>
      <c r="N1070">
        <v>49.856964201277698</v>
      </c>
      <c r="O1070">
        <v>48.525438673342002</v>
      </c>
      <c r="P1070">
        <v>-6.8378460692828005E-2</v>
      </c>
      <c r="Q1070">
        <v>4.5265980099554702E-2</v>
      </c>
      <c r="R1070">
        <v>0.99260645810051595</v>
      </c>
      <c r="S1070" t="s">
        <v>7522</v>
      </c>
      <c r="T1070" t="s">
        <v>12902</v>
      </c>
      <c r="U1070" t="s">
        <v>12902</v>
      </c>
      <c r="V1070" t="s">
        <v>12902</v>
      </c>
      <c r="W1070" t="s">
        <v>13948</v>
      </c>
      <c r="X1070">
        <v>6</v>
      </c>
      <c r="Y1070" t="s">
        <v>20337</v>
      </c>
      <c r="Z1070" t="s">
        <v>26645</v>
      </c>
      <c r="AA1070">
        <v>0.37464784045400629</v>
      </c>
      <c r="AB1070" t="str">
        <f>HYPERLINK("Melting_Curves/meltCurve_J3KPL2_KDM1B.pdf", "Melting_Curves/meltCurve_J3KPL2_KDM1B.pdf")</f>
        <v>Melting_Curves/meltCurve_J3KPL2_KDM1B.pdf</v>
      </c>
    </row>
    <row r="1071" spans="1:28" x14ac:dyDescent="0.25">
      <c r="A1071" t="s">
        <v>1075</v>
      </c>
      <c r="B1071">
        <v>0.99673306730245903</v>
      </c>
      <c r="C1071">
        <v>1.0264549509015699</v>
      </c>
      <c r="D1071">
        <v>0.95051745871134397</v>
      </c>
      <c r="E1071">
        <v>0.87679147693910098</v>
      </c>
      <c r="F1071">
        <v>0.21011507220244299</v>
      </c>
      <c r="G1071">
        <v>7.6144753783136496E-2</v>
      </c>
      <c r="H1071">
        <v>3.8345940144814003E-2</v>
      </c>
      <c r="I1071">
        <v>3.2253565146745898E-2</v>
      </c>
      <c r="J1071">
        <v>2.49361111946758E-2</v>
      </c>
      <c r="K1071">
        <v>3.3276847209070502E-2</v>
      </c>
      <c r="L1071">
        <v>2462.4615160558001</v>
      </c>
      <c r="M1071">
        <v>47.774216470945099</v>
      </c>
      <c r="N1071">
        <v>51.628637292936702</v>
      </c>
      <c r="O1071">
        <v>51.453664680891897</v>
      </c>
      <c r="P1071">
        <v>-0.22335455363972401</v>
      </c>
      <c r="Q1071">
        <v>3.7773994147835901E-2</v>
      </c>
      <c r="R1071">
        <v>0.99802198599649605</v>
      </c>
      <c r="S1071" t="s">
        <v>7523</v>
      </c>
      <c r="T1071" t="s">
        <v>12902</v>
      </c>
      <c r="U1071" t="s">
        <v>12902</v>
      </c>
      <c r="V1071" t="s">
        <v>12902</v>
      </c>
      <c r="W1071" t="s">
        <v>13949</v>
      </c>
      <c r="X1071">
        <v>17</v>
      </c>
      <c r="Y1071" t="s">
        <v>20338</v>
      </c>
      <c r="Z1071" t="s">
        <v>26646</v>
      </c>
      <c r="AA1071">
        <v>0.41042745122375018</v>
      </c>
      <c r="AB1071" t="str">
        <f>HYPERLINK("Melting_Curves/meltCurve_J3KPP4_LUC7L3.pdf", "Melting_Curves/meltCurve_J3KPP4_LUC7L3.pdf")</f>
        <v>Melting_Curves/meltCurve_J3KPP4_LUC7L3.pdf</v>
      </c>
    </row>
    <row r="1072" spans="1:28" x14ac:dyDescent="0.25">
      <c r="A1072" t="s">
        <v>1076</v>
      </c>
      <c r="B1072">
        <v>0.99673306730245903</v>
      </c>
      <c r="C1072">
        <v>0.85065970778712297</v>
      </c>
      <c r="D1072">
        <v>0.77606302976077102</v>
      </c>
      <c r="E1072">
        <v>0.60567824891863797</v>
      </c>
      <c r="F1072">
        <v>0.41719981755264701</v>
      </c>
      <c r="G1072">
        <v>0.234424378114064</v>
      </c>
      <c r="H1072">
        <v>0.166092102849041</v>
      </c>
      <c r="I1072">
        <v>0.16260200931649299</v>
      </c>
      <c r="J1072">
        <v>0.202983440226398</v>
      </c>
      <c r="K1072">
        <v>0.158919788154296</v>
      </c>
      <c r="L1072">
        <v>649.75603640910595</v>
      </c>
      <c r="M1072">
        <v>13.0421968348729</v>
      </c>
      <c r="N1072">
        <v>50.9803140064639</v>
      </c>
      <c r="O1072">
        <v>48.691920581321597</v>
      </c>
      <c r="P1072">
        <v>-5.8370703908536603E-2</v>
      </c>
      <c r="Q1072">
        <v>0.12846404002936801</v>
      </c>
      <c r="R1072">
        <v>0.98870867529548301</v>
      </c>
      <c r="S1072" t="s">
        <v>7524</v>
      </c>
      <c r="T1072" t="s">
        <v>12902</v>
      </c>
      <c r="U1072" t="s">
        <v>12902</v>
      </c>
      <c r="V1072" t="s">
        <v>12902</v>
      </c>
      <c r="W1072" t="s">
        <v>13950</v>
      </c>
      <c r="X1072">
        <v>3</v>
      </c>
      <c r="Y1072" t="s">
        <v>20339</v>
      </c>
      <c r="Z1072" t="s">
        <v>26647</v>
      </c>
      <c r="AA1072">
        <v>0.4403646328164722</v>
      </c>
      <c r="AB1072" t="str">
        <f>HYPERLINK("Melting_Curves/meltCurve_J3KPS0_DNAJB12.pdf", "Melting_Curves/meltCurve_J3KPS0_DNAJB12.pdf")</f>
        <v>Melting_Curves/meltCurve_J3KPS0_DNAJB12.pdf</v>
      </c>
    </row>
    <row r="1073" spans="1:28" x14ac:dyDescent="0.25">
      <c r="A1073" t="s">
        <v>1077</v>
      </c>
      <c r="B1073">
        <v>0.99673306730245903</v>
      </c>
      <c r="C1073">
        <v>0.98069243528390404</v>
      </c>
      <c r="D1073">
        <v>0.85374983718380104</v>
      </c>
      <c r="E1073">
        <v>0.71394795244873799</v>
      </c>
      <c r="F1073">
        <v>0.393297410994773</v>
      </c>
      <c r="G1073">
        <v>0.20258971505894</v>
      </c>
      <c r="H1073">
        <v>0.11581738308678</v>
      </c>
      <c r="I1073">
        <v>0.120825092892025</v>
      </c>
      <c r="J1073">
        <v>0.15196588406383599</v>
      </c>
      <c r="K1073">
        <v>0.14193314214233299</v>
      </c>
      <c r="L1073">
        <v>1005.6875665625701</v>
      </c>
      <c r="M1073">
        <v>19.700046258918199</v>
      </c>
      <c r="N1073">
        <v>51.735731100868598</v>
      </c>
      <c r="O1073">
        <v>50.532694292741702</v>
      </c>
      <c r="P1073">
        <v>-8.6266309208090697E-2</v>
      </c>
      <c r="Q1073">
        <v>0.11490162861742199</v>
      </c>
      <c r="R1073">
        <v>0.99442089208208495</v>
      </c>
      <c r="S1073" t="s">
        <v>7525</v>
      </c>
      <c r="T1073" t="s">
        <v>12902</v>
      </c>
      <c r="U1073" t="s">
        <v>12902</v>
      </c>
      <c r="V1073" t="s">
        <v>12902</v>
      </c>
      <c r="W1073" t="s">
        <v>13951</v>
      </c>
      <c r="X1073">
        <v>12</v>
      </c>
      <c r="Y1073" t="s">
        <v>20340</v>
      </c>
      <c r="Z1073" t="s">
        <v>26648</v>
      </c>
      <c r="AA1073">
        <v>0.45354903824387</v>
      </c>
      <c r="AB1073" t="str">
        <f>HYPERLINK("Melting_Curves/meltCurve_J3KPT4_TRABD.pdf", "Melting_Curves/meltCurve_J3KPT4_TRABD.pdf")</f>
        <v>Melting_Curves/meltCurve_J3KPT4_TRABD.pdf</v>
      </c>
    </row>
    <row r="1074" spans="1:28" x14ac:dyDescent="0.25">
      <c r="A1074" t="s">
        <v>1078</v>
      </c>
      <c r="B1074">
        <v>0.99673306730245903</v>
      </c>
      <c r="C1074">
        <v>0.89873803225204396</v>
      </c>
      <c r="D1074">
        <v>0.92702334680060305</v>
      </c>
      <c r="E1074">
        <v>0.72361785528005296</v>
      </c>
      <c r="F1074">
        <v>0.66927476432605204</v>
      </c>
      <c r="G1074">
        <v>0.49336622337799602</v>
      </c>
      <c r="H1074">
        <v>0.396896618736989</v>
      </c>
      <c r="I1074">
        <v>0.66461644042604096</v>
      </c>
      <c r="J1074">
        <v>1.06886178550086</v>
      </c>
      <c r="K1074">
        <v>0.80032681985779897</v>
      </c>
      <c r="L1074">
        <v>1689.71192028926</v>
      </c>
      <c r="M1074">
        <v>35.825923768625103</v>
      </c>
      <c r="O1074">
        <v>47.018277776246798</v>
      </c>
      <c r="P1074">
        <v>-6.0734957771060999E-2</v>
      </c>
      <c r="Q1074">
        <v>0.68116453260098297</v>
      </c>
      <c r="R1074">
        <v>0.31124188742765302</v>
      </c>
      <c r="S1074" t="s">
        <v>7526</v>
      </c>
      <c r="T1074" t="s">
        <v>12902</v>
      </c>
      <c r="U1074" t="s">
        <v>12902</v>
      </c>
      <c r="V1074" t="s">
        <v>12902</v>
      </c>
      <c r="W1074" t="s">
        <v>13952</v>
      </c>
      <c r="X1074">
        <v>1</v>
      </c>
      <c r="Y1074" t="s">
        <v>20341</v>
      </c>
      <c r="Z1074" t="s">
        <v>26649</v>
      </c>
      <c r="AA1074">
        <v>0.75862222445739569</v>
      </c>
      <c r="AB1074" t="str">
        <f>HYPERLINK("Melting_Curves/meltCurve_J3KPV1_CHCHD7.pdf", "Melting_Curves/meltCurve_J3KPV1_CHCHD7.pdf")</f>
        <v>Melting_Curves/meltCurve_J3KPV1_CHCHD7.pdf</v>
      </c>
    </row>
    <row r="1075" spans="1:28" x14ac:dyDescent="0.25">
      <c r="A1075" t="s">
        <v>1079</v>
      </c>
      <c r="B1075">
        <v>0.99673306730245903</v>
      </c>
      <c r="C1075">
        <v>1.1886300378683501</v>
      </c>
      <c r="D1075">
        <v>0.70552366479043804</v>
      </c>
      <c r="E1075">
        <v>0.692577058596345</v>
      </c>
      <c r="F1075">
        <v>0.197538562105531</v>
      </c>
      <c r="G1075">
        <v>0.12522474547939499</v>
      </c>
      <c r="H1075">
        <v>7.23093948750827E-2</v>
      </c>
      <c r="I1075">
        <v>6.4077024381523406E-2</v>
      </c>
      <c r="J1075">
        <v>7.1468975099051396E-2</v>
      </c>
      <c r="K1075">
        <v>5.8410027860720699E-2</v>
      </c>
      <c r="L1075">
        <v>1102.92560595195</v>
      </c>
      <c r="M1075">
        <v>21.974645432241001</v>
      </c>
      <c r="N1075">
        <v>50.448497288530803</v>
      </c>
      <c r="O1075">
        <v>49.780717690777003</v>
      </c>
      <c r="P1075">
        <v>-0.10450133189506899</v>
      </c>
      <c r="Q1075">
        <v>5.3084208159927801E-2</v>
      </c>
      <c r="R1075">
        <v>0.94568072025384597</v>
      </c>
      <c r="S1075" t="s">
        <v>7527</v>
      </c>
      <c r="T1075" t="s">
        <v>12902</v>
      </c>
      <c r="U1075" t="s">
        <v>12902</v>
      </c>
      <c r="V1075" t="s">
        <v>12902</v>
      </c>
      <c r="W1075" t="s">
        <v>13953</v>
      </c>
      <c r="X1075">
        <v>20</v>
      </c>
      <c r="Y1075" t="s">
        <v>20342</v>
      </c>
      <c r="Z1075" t="s">
        <v>26650</v>
      </c>
      <c r="AA1075">
        <v>0.38570518231116629</v>
      </c>
      <c r="AB1075" t="str">
        <f>HYPERLINK("Melting_Curves/meltCurve_J3KPV7_MPST.pdf", "Melting_Curves/meltCurve_J3KPV7_MPST.pdf")</f>
        <v>Melting_Curves/meltCurve_J3KPV7_MPST.pdf</v>
      </c>
    </row>
    <row r="1076" spans="1:28" x14ac:dyDescent="0.25">
      <c r="A1076" t="s">
        <v>1080</v>
      </c>
      <c r="B1076">
        <v>0.99673306730245903</v>
      </c>
      <c r="C1076">
        <v>0.90112293781532804</v>
      </c>
      <c r="D1076">
        <v>0.83861807992097503</v>
      </c>
      <c r="E1076">
        <v>0.80348637967160297</v>
      </c>
      <c r="F1076">
        <v>0.44762910856417698</v>
      </c>
      <c r="G1076">
        <v>0.19731032952712299</v>
      </c>
      <c r="H1076">
        <v>9.3666476958732606E-2</v>
      </c>
      <c r="I1076">
        <v>8.37150138573063E-2</v>
      </c>
      <c r="J1076">
        <v>9.5183144201473099E-2</v>
      </c>
      <c r="K1076">
        <v>8.0851109671517193E-2</v>
      </c>
      <c r="L1076">
        <v>962.12172726681194</v>
      </c>
      <c r="M1076">
        <v>18.437126041226499</v>
      </c>
      <c r="N1076">
        <v>52.518612046974503</v>
      </c>
      <c r="O1076">
        <v>51.581649687264502</v>
      </c>
      <c r="P1076">
        <v>-8.4409886525127806E-2</v>
      </c>
      <c r="Q1076">
        <v>5.5426369037445397E-2</v>
      </c>
      <c r="R1076">
        <v>0.98446889430912499</v>
      </c>
      <c r="S1076" t="s">
        <v>7528</v>
      </c>
      <c r="T1076" t="s">
        <v>12902</v>
      </c>
      <c r="U1076" t="s">
        <v>12902</v>
      </c>
      <c r="V1076" t="s">
        <v>12902</v>
      </c>
      <c r="W1076" t="s">
        <v>13954</v>
      </c>
      <c r="X1076">
        <v>14</v>
      </c>
      <c r="Y1076" t="s">
        <v>20343</v>
      </c>
      <c r="Z1076" t="s">
        <v>26651</v>
      </c>
      <c r="AA1076">
        <v>0.45409882540982238</v>
      </c>
      <c r="AB1076" t="str">
        <f>HYPERLINK("Melting_Curves/meltCurve_J3KPW7_HDAC2.pdf", "Melting_Curves/meltCurve_J3KPW7_HDAC2.pdf")</f>
        <v>Melting_Curves/meltCurve_J3KPW7_HDAC2.pdf</v>
      </c>
    </row>
    <row r="1077" spans="1:28" x14ac:dyDescent="0.25">
      <c r="A1077" t="s">
        <v>1081</v>
      </c>
      <c r="B1077">
        <v>0.99673306730245903</v>
      </c>
      <c r="C1077">
        <v>0.88567639867107095</v>
      </c>
      <c r="D1077">
        <v>0.92057348463458899</v>
      </c>
      <c r="E1077">
        <v>0.343214275696337</v>
      </c>
      <c r="F1077">
        <v>9.3001618155371293E-2</v>
      </c>
      <c r="G1077">
        <v>4.2694109402779297E-2</v>
      </c>
      <c r="H1077">
        <v>2.4878817194871901E-2</v>
      </c>
      <c r="I1077">
        <v>2.3111032745342298E-2</v>
      </c>
      <c r="J1077">
        <v>1.7552212515502302E-2</v>
      </c>
      <c r="K1077">
        <v>1.3241950763221801E-2</v>
      </c>
      <c r="L1077">
        <v>1756.84468639237</v>
      </c>
      <c r="M1077">
        <v>36.090268624619</v>
      </c>
      <c r="N1077">
        <v>48.7519112135478</v>
      </c>
      <c r="O1077">
        <v>48.530447193463502</v>
      </c>
      <c r="P1077">
        <v>-0.181043567432602</v>
      </c>
      <c r="Q1077">
        <v>2.62086510434149E-2</v>
      </c>
      <c r="R1077">
        <v>0.99186770373134203</v>
      </c>
      <c r="S1077" t="s">
        <v>7529</v>
      </c>
      <c r="T1077" t="s">
        <v>12902</v>
      </c>
      <c r="U1077" t="s">
        <v>12902</v>
      </c>
      <c r="V1077" t="s">
        <v>12902</v>
      </c>
      <c r="W1077" t="s">
        <v>13955</v>
      </c>
      <c r="X1077">
        <v>1</v>
      </c>
      <c r="Y1077" t="s">
        <v>20344</v>
      </c>
      <c r="Z1077" t="s">
        <v>26652</v>
      </c>
      <c r="AA1077">
        <v>0.31197635469121188</v>
      </c>
      <c r="AB1077" t="str">
        <f>HYPERLINK("Melting_Curves/meltCurve_J3KPX5_DNA2.pdf", "Melting_Curves/meltCurve_J3KPX5_DNA2.pdf")</f>
        <v>Melting_Curves/meltCurve_J3KPX5_DNA2.pdf</v>
      </c>
    </row>
    <row r="1078" spans="1:28" x14ac:dyDescent="0.25">
      <c r="A1078" t="s">
        <v>1082</v>
      </c>
      <c r="B1078">
        <v>0.99673306730245903</v>
      </c>
      <c r="C1078">
        <v>0.86196454089834695</v>
      </c>
      <c r="D1078">
        <v>0.73522025106805999</v>
      </c>
      <c r="E1078">
        <v>0.917554690965103</v>
      </c>
      <c r="F1078">
        <v>0.70446853382526797</v>
      </c>
      <c r="G1078">
        <v>0.45343679577428703</v>
      </c>
      <c r="H1078">
        <v>0.33005203490336199</v>
      </c>
      <c r="I1078">
        <v>0.34886624001898597</v>
      </c>
      <c r="J1078">
        <v>0.405277849340759</v>
      </c>
      <c r="K1078">
        <v>0.42306895022375002</v>
      </c>
      <c r="L1078">
        <v>573.89676415025997</v>
      </c>
      <c r="M1078">
        <v>10.9100339372956</v>
      </c>
      <c r="N1078">
        <v>57.562852844705901</v>
      </c>
      <c r="O1078">
        <v>50.927971206555299</v>
      </c>
      <c r="P1078">
        <v>-3.72501034216733E-2</v>
      </c>
      <c r="Q1078">
        <v>0.304709263486177</v>
      </c>
      <c r="R1078">
        <v>0.85874252965606201</v>
      </c>
      <c r="S1078" t="s">
        <v>7530</v>
      </c>
      <c r="T1078" t="s">
        <v>12902</v>
      </c>
      <c r="U1078" t="s">
        <v>12902</v>
      </c>
      <c r="V1078" t="s">
        <v>12902</v>
      </c>
      <c r="W1078" t="s">
        <v>13956</v>
      </c>
      <c r="X1078">
        <v>2</v>
      </c>
      <c r="Y1078" t="s">
        <v>20345</v>
      </c>
      <c r="Z1078" t="s">
        <v>26653</v>
      </c>
      <c r="AA1078">
        <v>0.61950995166338041</v>
      </c>
      <c r="AB1078" t="str">
        <f>HYPERLINK("Melting_Curves/meltCurve_J3KPZ4_C1D.pdf", "Melting_Curves/meltCurve_J3KPZ4_C1D.pdf")</f>
        <v>Melting_Curves/meltCurve_J3KPZ4_C1D.pdf</v>
      </c>
    </row>
    <row r="1079" spans="1:28" x14ac:dyDescent="0.25">
      <c r="A1079" t="s">
        <v>1083</v>
      </c>
      <c r="B1079">
        <v>0.99673306730245903</v>
      </c>
      <c r="C1079">
        <v>0.85928612042275498</v>
      </c>
      <c r="D1079">
        <v>0.69140170475015705</v>
      </c>
      <c r="E1079">
        <v>0.53450367509091301</v>
      </c>
      <c r="F1079">
        <v>0.17187038404785701</v>
      </c>
      <c r="G1079">
        <v>9.76278933371965E-2</v>
      </c>
      <c r="H1079">
        <v>6.0959547047786798E-2</v>
      </c>
      <c r="I1079">
        <v>4.9713936247207602E-2</v>
      </c>
      <c r="J1079">
        <v>7.8454040049940998E-2</v>
      </c>
      <c r="K1079">
        <v>3.2050061231122202E-2</v>
      </c>
      <c r="L1079">
        <v>760.86622888879799</v>
      </c>
      <c r="M1079">
        <v>15.6096243319257</v>
      </c>
      <c r="N1079">
        <v>48.906461704360403</v>
      </c>
      <c r="O1079">
        <v>47.964444134729</v>
      </c>
      <c r="P1079">
        <v>-7.9304253852450796E-2</v>
      </c>
      <c r="Q1079">
        <v>2.53562337685765E-2</v>
      </c>
      <c r="R1079">
        <v>0.98685600609272495</v>
      </c>
      <c r="S1079" t="s">
        <v>7531</v>
      </c>
      <c r="T1079" t="s">
        <v>12902</v>
      </c>
      <c r="U1079" t="s">
        <v>12902</v>
      </c>
      <c r="V1079" t="s">
        <v>12902</v>
      </c>
      <c r="W1079" t="s">
        <v>13957</v>
      </c>
      <c r="X1079">
        <v>1</v>
      </c>
      <c r="Y1079" t="s">
        <v>20346</v>
      </c>
      <c r="Z1079" t="s">
        <v>26654</v>
      </c>
      <c r="AA1079">
        <v>0.33191421425716638</v>
      </c>
      <c r="AB1079" t="str">
        <f>HYPERLINK("Melting_Curves/meltCurve_J3KPZ8_RFXANK.pdf", "Melting_Curves/meltCurve_J3KPZ8_RFXANK.pdf")</f>
        <v>Melting_Curves/meltCurve_J3KPZ8_RFXANK.pdf</v>
      </c>
    </row>
    <row r="1080" spans="1:28" x14ac:dyDescent="0.25">
      <c r="A1080" t="s">
        <v>1084</v>
      </c>
      <c r="B1080">
        <v>0.99673306730245903</v>
      </c>
      <c r="C1080">
        <v>0.86383559800505305</v>
      </c>
      <c r="D1080">
        <v>0.99030887477287799</v>
      </c>
      <c r="E1080">
        <v>1.06637580688747</v>
      </c>
      <c r="F1080">
        <v>0.29909888069403701</v>
      </c>
      <c r="G1080">
        <v>0.104000418487758</v>
      </c>
      <c r="H1080">
        <v>5.4850638341481399E-2</v>
      </c>
      <c r="I1080">
        <v>4.49933207872188E-2</v>
      </c>
      <c r="J1080">
        <v>5.0698367958476098E-2</v>
      </c>
      <c r="K1080">
        <v>4.1253743596670701E-2</v>
      </c>
      <c r="L1080">
        <v>13242.9706921244</v>
      </c>
      <c r="M1080">
        <v>250</v>
      </c>
      <c r="N1080">
        <v>52.998578163771697</v>
      </c>
      <c r="O1080">
        <v>52.968505877912101</v>
      </c>
      <c r="P1080">
        <v>-1.11014192382739</v>
      </c>
      <c r="Q1080">
        <v>5.91592861165176E-2</v>
      </c>
      <c r="R1080">
        <v>0.98670600098719496</v>
      </c>
      <c r="S1080" t="s">
        <v>7532</v>
      </c>
      <c r="T1080" t="s">
        <v>12902</v>
      </c>
      <c r="U1080" t="s">
        <v>12902</v>
      </c>
      <c r="V1080" t="s">
        <v>12902</v>
      </c>
      <c r="W1080" t="s">
        <v>13958</v>
      </c>
      <c r="X1080">
        <v>24</v>
      </c>
      <c r="Y1080" t="s">
        <v>20347</v>
      </c>
      <c r="Z1080" t="s">
        <v>26655</v>
      </c>
      <c r="AA1080">
        <v>0.46606259935758959</v>
      </c>
      <c r="AB1080" t="str">
        <f>HYPERLINK("Melting_Curves/meltCurve_J3KQ32_OLA1.pdf", "Melting_Curves/meltCurve_J3KQ32_OLA1.pdf")</f>
        <v>Melting_Curves/meltCurve_J3KQ32_OLA1.pdf</v>
      </c>
    </row>
    <row r="1081" spans="1:28" x14ac:dyDescent="0.25">
      <c r="A1081" t="s">
        <v>1085</v>
      </c>
      <c r="B1081">
        <v>0.99673306730245903</v>
      </c>
      <c r="C1081">
        <v>0.98502814248439996</v>
      </c>
      <c r="D1081">
        <v>1.02445815786699</v>
      </c>
      <c r="E1081">
        <v>1.1416555526457399</v>
      </c>
      <c r="F1081">
        <v>0.858923394723213</v>
      </c>
      <c r="G1081">
        <v>0.29853468451069298</v>
      </c>
      <c r="H1081">
        <v>0.17332784157331799</v>
      </c>
      <c r="I1081">
        <v>0.135331863955619</v>
      </c>
      <c r="J1081">
        <v>0.14296589466019899</v>
      </c>
      <c r="K1081">
        <v>0.117474324317787</v>
      </c>
      <c r="L1081">
        <v>2696.55110146692</v>
      </c>
      <c r="M1081">
        <v>48.978256012289897</v>
      </c>
      <c r="N1081">
        <v>55.428157542720001</v>
      </c>
      <c r="O1081">
        <v>54.964525060100499</v>
      </c>
      <c r="P1081">
        <v>-0.19156245316044901</v>
      </c>
      <c r="Q1081">
        <v>0.140097441412419</v>
      </c>
      <c r="R1081">
        <v>0.98688140508074096</v>
      </c>
      <c r="S1081" t="s">
        <v>7533</v>
      </c>
      <c r="T1081" t="s">
        <v>12902</v>
      </c>
      <c r="U1081" t="s">
        <v>12902</v>
      </c>
      <c r="V1081" t="s">
        <v>12902</v>
      </c>
      <c r="W1081" t="s">
        <v>13959</v>
      </c>
      <c r="X1081">
        <v>9</v>
      </c>
      <c r="Y1081" t="s">
        <v>20348</v>
      </c>
      <c r="Z1081" t="s">
        <v>26656</v>
      </c>
      <c r="AA1081">
        <v>0.57383164059666814</v>
      </c>
      <c r="AB1081" t="str">
        <f>HYPERLINK("Melting_Curves/meltCurve_J3KQ34_COPS7B.pdf", "Melting_Curves/meltCurve_J3KQ34_COPS7B.pdf")</f>
        <v>Melting_Curves/meltCurve_J3KQ34_COPS7B.pdf</v>
      </c>
    </row>
    <row r="1082" spans="1:28" x14ac:dyDescent="0.25">
      <c r="A1082" t="s">
        <v>1086</v>
      </c>
      <c r="B1082">
        <v>0.99673306730245903</v>
      </c>
      <c r="C1082">
        <v>0.93764796783395898</v>
      </c>
      <c r="D1082">
        <v>0.65776939728541906</v>
      </c>
      <c r="E1082">
        <v>0.44939395605556498</v>
      </c>
      <c r="F1082">
        <v>0.42458521644569103</v>
      </c>
      <c r="G1082">
        <v>0.27621275200513701</v>
      </c>
      <c r="H1082">
        <v>0.18069258874667399</v>
      </c>
      <c r="I1082">
        <v>0.115888843629066</v>
      </c>
      <c r="J1082">
        <v>0.12639768970902501</v>
      </c>
      <c r="K1082">
        <v>0.13915967500691401</v>
      </c>
      <c r="L1082">
        <v>610.34044148877297</v>
      </c>
      <c r="M1082">
        <v>12.4978017834142</v>
      </c>
      <c r="N1082">
        <v>49.845927967098099</v>
      </c>
      <c r="O1082">
        <v>47.636071875980001</v>
      </c>
      <c r="P1082">
        <v>-5.8264594659929503E-2</v>
      </c>
      <c r="Q1082">
        <v>0.111867798833027</v>
      </c>
      <c r="R1082">
        <v>0.97536159016284096</v>
      </c>
      <c r="S1082" t="s">
        <v>7534</v>
      </c>
      <c r="T1082" t="s">
        <v>12902</v>
      </c>
      <c r="U1082" t="s">
        <v>12902</v>
      </c>
      <c r="V1082" t="s">
        <v>12902</v>
      </c>
      <c r="W1082" t="s">
        <v>13960</v>
      </c>
      <c r="X1082">
        <v>1</v>
      </c>
      <c r="Y1082" t="s">
        <v>20349</v>
      </c>
      <c r="Z1082" t="s">
        <v>26657</v>
      </c>
      <c r="AA1082">
        <v>0.40418859873077168</v>
      </c>
      <c r="AB1082" t="str">
        <f>HYPERLINK("Melting_Curves/meltCurve_J3KQ40_TBC1D8.pdf", "Melting_Curves/meltCurve_J3KQ40_TBC1D8.pdf")</f>
        <v>Melting_Curves/meltCurve_J3KQ40_TBC1D8.pdf</v>
      </c>
    </row>
    <row r="1083" spans="1:28" x14ac:dyDescent="0.25">
      <c r="A1083" t="s">
        <v>1087</v>
      </c>
      <c r="B1083">
        <v>0.99673306730245903</v>
      </c>
      <c r="C1083">
        <v>0.97654531455929205</v>
      </c>
      <c r="D1083">
        <v>1.00588028694177</v>
      </c>
      <c r="E1083">
        <v>0.79522652527904003</v>
      </c>
      <c r="F1083">
        <v>0.565685849204978</v>
      </c>
      <c r="G1083">
        <v>0.28413992252091302</v>
      </c>
      <c r="H1083">
        <v>0.113837790388553</v>
      </c>
      <c r="I1083">
        <v>8.1030492822150899E-2</v>
      </c>
      <c r="J1083">
        <v>8.34917543191009E-2</v>
      </c>
      <c r="K1083">
        <v>6.7359329921744801E-2</v>
      </c>
      <c r="L1083">
        <v>1045.2809716910999</v>
      </c>
      <c r="M1083">
        <v>19.554825128727401</v>
      </c>
      <c r="N1083">
        <v>53.758506946585399</v>
      </c>
      <c r="O1083">
        <v>52.904287032044401</v>
      </c>
      <c r="P1083">
        <v>-8.75632905093605E-2</v>
      </c>
      <c r="Q1083">
        <v>5.24472827012612E-2</v>
      </c>
      <c r="R1083">
        <v>0.99716470730972995</v>
      </c>
      <c r="S1083" t="s">
        <v>7535</v>
      </c>
      <c r="T1083" t="s">
        <v>12902</v>
      </c>
      <c r="U1083" t="s">
        <v>12902</v>
      </c>
      <c r="V1083" t="s">
        <v>12902</v>
      </c>
      <c r="W1083" t="s">
        <v>13961</v>
      </c>
      <c r="X1083">
        <v>11</v>
      </c>
      <c r="Y1083" t="s">
        <v>20350</v>
      </c>
      <c r="Z1083" t="s">
        <v>26658</v>
      </c>
      <c r="AA1083">
        <v>0.49085439301274342</v>
      </c>
      <c r="AB1083" t="str">
        <f>HYPERLINK("Melting_Curves/meltCurve_J3KQ48_PTRH2.pdf", "Melting_Curves/meltCurve_J3KQ48_PTRH2.pdf")</f>
        <v>Melting_Curves/meltCurve_J3KQ48_PTRH2.pdf</v>
      </c>
    </row>
    <row r="1084" spans="1:28" x14ac:dyDescent="0.25">
      <c r="A1084" t="s">
        <v>1088</v>
      </c>
      <c r="B1084">
        <v>0.99673306730245903</v>
      </c>
      <c r="C1084">
        <v>1.03650620846815</v>
      </c>
      <c r="D1084">
        <v>0.96336184162038696</v>
      </c>
      <c r="E1084">
        <v>0.74468888753067397</v>
      </c>
      <c r="F1084">
        <v>0.22936572481317699</v>
      </c>
      <c r="G1084">
        <v>0.13135720697025999</v>
      </c>
      <c r="H1084">
        <v>8.1950708856346394E-2</v>
      </c>
      <c r="I1084">
        <v>7.4916517588120096E-2</v>
      </c>
      <c r="J1084">
        <v>9.3014620876094301E-2</v>
      </c>
      <c r="K1084">
        <v>7.6142835400274195E-2</v>
      </c>
      <c r="L1084">
        <v>1850.0608112606601</v>
      </c>
      <c r="M1084">
        <v>36.379436881391499</v>
      </c>
      <c r="N1084">
        <v>51.118008691330502</v>
      </c>
      <c r="O1084">
        <v>50.701653016115699</v>
      </c>
      <c r="P1084">
        <v>-0.16404751044541799</v>
      </c>
      <c r="Q1084">
        <v>8.5477514718266007E-2</v>
      </c>
      <c r="R1084">
        <v>0.99833046430810501</v>
      </c>
      <c r="S1084" t="s">
        <v>7536</v>
      </c>
      <c r="T1084" t="s">
        <v>12902</v>
      </c>
      <c r="U1084" t="s">
        <v>12902</v>
      </c>
      <c r="V1084" t="s">
        <v>12902</v>
      </c>
      <c r="W1084" t="s">
        <v>13962</v>
      </c>
      <c r="X1084">
        <v>6</v>
      </c>
      <c r="Y1084" t="s">
        <v>20351</v>
      </c>
      <c r="Z1084" t="s">
        <v>26659</v>
      </c>
      <c r="AA1084">
        <v>0.42026126047238932</v>
      </c>
      <c r="AB1084" t="str">
        <f>HYPERLINK("Melting_Curves/meltCurve_J3KQ88_C6orf203.pdf", "Melting_Curves/meltCurve_J3KQ88_C6orf203.pdf")</f>
        <v>Melting_Curves/meltCurve_J3KQ88_C6orf203.pdf</v>
      </c>
    </row>
    <row r="1085" spans="1:28" x14ac:dyDescent="0.25">
      <c r="A1085" t="s">
        <v>1089</v>
      </c>
      <c r="B1085">
        <v>0.99673306730245903</v>
      </c>
      <c r="C1085">
        <v>0.95374030365328899</v>
      </c>
      <c r="D1085">
        <v>0.70227267050794595</v>
      </c>
      <c r="E1085">
        <v>0.411316538161828</v>
      </c>
      <c r="F1085">
        <v>0.44995401344573099</v>
      </c>
      <c r="G1085">
        <v>0.37470011909695</v>
      </c>
      <c r="H1085">
        <v>0.60507524737881102</v>
      </c>
      <c r="I1085">
        <v>0.59337167270999003</v>
      </c>
      <c r="J1085">
        <v>0.14949760623011099</v>
      </c>
      <c r="K1085">
        <v>0.10972668454321401</v>
      </c>
      <c r="L1085">
        <v>1529.8114939558</v>
      </c>
      <c r="M1085">
        <v>33.179964814384498</v>
      </c>
      <c r="N1085">
        <v>48.128837593570303</v>
      </c>
      <c r="O1085">
        <v>45.939979348654902</v>
      </c>
      <c r="P1085">
        <v>-0.112673444964179</v>
      </c>
      <c r="Q1085">
        <v>0.37598583234066502</v>
      </c>
      <c r="R1085">
        <v>0.71757289881229303</v>
      </c>
      <c r="S1085" t="s">
        <v>7537</v>
      </c>
      <c r="T1085" t="s">
        <v>12902</v>
      </c>
      <c r="U1085" t="s">
        <v>12902</v>
      </c>
      <c r="V1085" t="s">
        <v>12902</v>
      </c>
      <c r="W1085" t="s">
        <v>13963</v>
      </c>
      <c r="X1085">
        <v>2</v>
      </c>
      <c r="Y1085" t="s">
        <v>20352</v>
      </c>
      <c r="Z1085" t="s">
        <v>26660</v>
      </c>
      <c r="AA1085">
        <v>0.50603585523175132</v>
      </c>
      <c r="AB1085" t="str">
        <f>HYPERLINK("Melting_Curves/meltCurve_J3KQ98_PPP1R37.pdf", "Melting_Curves/meltCurve_J3KQ98_PPP1R37.pdf")</f>
        <v>Melting_Curves/meltCurve_J3KQ98_PPP1R37.pdf</v>
      </c>
    </row>
    <row r="1086" spans="1:28" x14ac:dyDescent="0.25">
      <c r="A1086" t="s">
        <v>1090</v>
      </c>
      <c r="B1086">
        <v>0.99673306730245903</v>
      </c>
      <c r="C1086">
        <v>1.00166205176121</v>
      </c>
      <c r="D1086">
        <v>0.99063569689475295</v>
      </c>
      <c r="E1086">
        <v>0.95225469398051799</v>
      </c>
      <c r="F1086">
        <v>0.77341487391524899</v>
      </c>
      <c r="G1086">
        <v>0.64100821653195506</v>
      </c>
      <c r="H1086">
        <v>0.65170211238507703</v>
      </c>
      <c r="I1086">
        <v>0.25840935203760701</v>
      </c>
      <c r="J1086">
        <v>9.0310310864537599E-2</v>
      </c>
      <c r="K1086">
        <v>7.6507361461118098E-2</v>
      </c>
      <c r="L1086">
        <v>852.82644126942796</v>
      </c>
      <c r="M1086">
        <v>14.1946083784943</v>
      </c>
      <c r="N1086">
        <v>60.081012513360001</v>
      </c>
      <c r="O1086">
        <v>58.926279689560403</v>
      </c>
      <c r="P1086">
        <v>-6.0229443977491103E-2</v>
      </c>
      <c r="Q1086">
        <v>0</v>
      </c>
      <c r="R1086">
        <v>0.95222291830708095</v>
      </c>
      <c r="S1086" t="s">
        <v>7538</v>
      </c>
      <c r="T1086" t="s">
        <v>12902</v>
      </c>
      <c r="U1086" t="s">
        <v>12902</v>
      </c>
      <c r="V1086" t="s">
        <v>12902</v>
      </c>
      <c r="W1086" t="s">
        <v>13964</v>
      </c>
      <c r="X1086">
        <v>3</v>
      </c>
      <c r="Y1086" t="s">
        <v>20353</v>
      </c>
      <c r="Z1086" t="s">
        <v>26661</v>
      </c>
      <c r="AA1086">
        <v>0.67507648093236716</v>
      </c>
      <c r="AB1086" t="str">
        <f>HYPERLINK("Melting_Curves/meltCurve_J3KQA0_SYT1.pdf", "Melting_Curves/meltCurve_J3KQA0_SYT1.pdf")</f>
        <v>Melting_Curves/meltCurve_J3KQA0_SYT1.pdf</v>
      </c>
    </row>
    <row r="1087" spans="1:28" x14ac:dyDescent="0.25">
      <c r="A1087" t="s">
        <v>1091</v>
      </c>
      <c r="B1087">
        <v>0.99673306730245903</v>
      </c>
      <c r="C1087">
        <v>0.96852812873594696</v>
      </c>
      <c r="D1087">
        <v>0.88138112929352097</v>
      </c>
      <c r="E1087">
        <v>0.55098388029934398</v>
      </c>
      <c r="F1087">
        <v>0.30086894006027498</v>
      </c>
      <c r="G1087">
        <v>0.183868743285618</v>
      </c>
      <c r="H1087">
        <v>0.101446898256094</v>
      </c>
      <c r="I1087">
        <v>5.3732305381508701E-2</v>
      </c>
      <c r="J1087">
        <v>3.3679736058230998E-2</v>
      </c>
      <c r="K1087">
        <v>3.5832677295486302E-2</v>
      </c>
      <c r="L1087">
        <v>900.897196164202</v>
      </c>
      <c r="M1087">
        <v>17.904134117591799</v>
      </c>
      <c r="N1087">
        <v>50.558621642445502</v>
      </c>
      <c r="O1087">
        <v>49.702717739649302</v>
      </c>
      <c r="P1087">
        <v>-8.6380075963402497E-2</v>
      </c>
      <c r="Q1087">
        <v>4.0867954641451099E-2</v>
      </c>
      <c r="R1087">
        <v>0.99720697890236498</v>
      </c>
      <c r="S1087" t="s">
        <v>7539</v>
      </c>
      <c r="T1087" t="s">
        <v>12902</v>
      </c>
      <c r="U1087" t="s">
        <v>12902</v>
      </c>
      <c r="V1087" t="s">
        <v>12902</v>
      </c>
      <c r="W1087" t="s">
        <v>13965</v>
      </c>
      <c r="X1087">
        <v>2</v>
      </c>
      <c r="Y1087" t="s">
        <v>20354</v>
      </c>
      <c r="Z1087" t="s">
        <v>26662</v>
      </c>
      <c r="AA1087">
        <v>0.38719450407729028</v>
      </c>
      <c r="AB1087" t="str">
        <f>HYPERLINK("Melting_Curves/meltCurve_J3KQA6_CYTH2.pdf", "Melting_Curves/meltCurve_J3KQA6_CYTH2.pdf")</f>
        <v>Melting_Curves/meltCurve_J3KQA6_CYTH2.pdf</v>
      </c>
    </row>
    <row r="1088" spans="1:28" x14ac:dyDescent="0.25">
      <c r="A1088" t="s">
        <v>1092</v>
      </c>
      <c r="B1088">
        <v>0.99673306730245903</v>
      </c>
      <c r="C1088">
        <v>0.99757228235284301</v>
      </c>
      <c r="D1088">
        <v>1.03773638355466</v>
      </c>
      <c r="E1088">
        <v>1.0496987745574899</v>
      </c>
      <c r="F1088">
        <v>0.78008332698733596</v>
      </c>
      <c r="G1088">
        <v>0.428676865598835</v>
      </c>
      <c r="H1088">
        <v>0.182930030737227</v>
      </c>
      <c r="I1088">
        <v>0.128021606095687</v>
      </c>
      <c r="J1088">
        <v>8.0586089542394101E-2</v>
      </c>
      <c r="K1088">
        <v>6.4909810122569203E-2</v>
      </c>
      <c r="L1088">
        <v>1516.73945725926</v>
      </c>
      <c r="M1088">
        <v>27.198015968971902</v>
      </c>
      <c r="N1088">
        <v>56.131967944934203</v>
      </c>
      <c r="O1088">
        <v>55.4676880872426</v>
      </c>
      <c r="P1088">
        <v>-0.112639637581679</v>
      </c>
      <c r="Q1088">
        <v>8.1138842333584496E-2</v>
      </c>
      <c r="R1088">
        <v>0.99431490160611802</v>
      </c>
      <c r="S1088" t="s">
        <v>7540</v>
      </c>
      <c r="T1088" t="s">
        <v>12902</v>
      </c>
      <c r="U1088" t="s">
        <v>12902</v>
      </c>
      <c r="V1088" t="s">
        <v>12902</v>
      </c>
      <c r="W1088" t="s">
        <v>13966</v>
      </c>
      <c r="X1088">
        <v>17</v>
      </c>
      <c r="Y1088" t="s">
        <v>20355</v>
      </c>
      <c r="Z1088" t="s">
        <v>26663</v>
      </c>
      <c r="AA1088">
        <v>0.57135929826532272</v>
      </c>
      <c r="AB1088" t="str">
        <f>HYPERLINK("Melting_Curves/meltCurve_J3KQB0_THUMPD1.pdf", "Melting_Curves/meltCurve_J3KQB0_THUMPD1.pdf")</f>
        <v>Melting_Curves/meltCurve_J3KQB0_THUMPD1.pdf</v>
      </c>
    </row>
    <row r="1089" spans="1:28" x14ac:dyDescent="0.25">
      <c r="A1089" t="s">
        <v>1093</v>
      </c>
      <c r="B1089">
        <v>0.99673306730245903</v>
      </c>
      <c r="C1089">
        <v>1.0188769599327301</v>
      </c>
      <c r="D1089">
        <v>0.98783248536181301</v>
      </c>
      <c r="E1089">
        <v>0.73403604964511304</v>
      </c>
      <c r="F1089">
        <v>0.30173337869641098</v>
      </c>
      <c r="G1089">
        <v>0.18936229876945801</v>
      </c>
      <c r="H1089">
        <v>0.13523760826599501</v>
      </c>
      <c r="I1089">
        <v>0.10375243259381201</v>
      </c>
      <c r="J1089">
        <v>7.7324394141888894E-2</v>
      </c>
      <c r="K1089">
        <v>7.4696715292335805E-2</v>
      </c>
      <c r="L1089">
        <v>1473.8753590486799</v>
      </c>
      <c r="M1089">
        <v>28.846032653858401</v>
      </c>
      <c r="N1089">
        <v>51.498417448795898</v>
      </c>
      <c r="O1089">
        <v>50.850891238126898</v>
      </c>
      <c r="P1089">
        <v>-0.12746211386133999</v>
      </c>
      <c r="Q1089">
        <v>0.101226461753115</v>
      </c>
      <c r="R1089">
        <v>0.99683006629564996</v>
      </c>
      <c r="S1089" t="s">
        <v>7541</v>
      </c>
      <c r="T1089" t="s">
        <v>12902</v>
      </c>
      <c r="U1089" t="s">
        <v>12902</v>
      </c>
      <c r="V1089" t="s">
        <v>12902</v>
      </c>
      <c r="W1089" t="s">
        <v>13967</v>
      </c>
      <c r="X1089">
        <v>7</v>
      </c>
      <c r="Y1089" t="s">
        <v>20356</v>
      </c>
      <c r="Z1089" t="s">
        <v>26664</v>
      </c>
      <c r="AA1089">
        <v>0.43973097663661992</v>
      </c>
      <c r="AB1089" t="str">
        <f>HYPERLINK("Melting_Curves/meltCurve_J3KQE0_SUN2.pdf", "Melting_Curves/meltCurve_J3KQE0_SUN2.pdf")</f>
        <v>Melting_Curves/meltCurve_J3KQE0_SUN2.pdf</v>
      </c>
    </row>
    <row r="1090" spans="1:28" x14ac:dyDescent="0.25">
      <c r="A1090" t="s">
        <v>1094</v>
      </c>
      <c r="B1090">
        <v>0.99673306730245903</v>
      </c>
      <c r="C1090">
        <v>0.967451542486222</v>
      </c>
      <c r="D1090">
        <v>0.96572912959337498</v>
      </c>
      <c r="E1090">
        <v>0.936343017942598</v>
      </c>
      <c r="F1090">
        <v>0.81886173131047801</v>
      </c>
      <c r="G1090">
        <v>0.68704135011576495</v>
      </c>
      <c r="H1090">
        <v>0.19885846131462101</v>
      </c>
      <c r="I1090">
        <v>6.5926350023950794E-2</v>
      </c>
      <c r="J1090">
        <v>6.1499001182117E-2</v>
      </c>
      <c r="K1090">
        <v>5.26296116256414E-2</v>
      </c>
      <c r="L1090">
        <v>1424.17031834455</v>
      </c>
      <c r="M1090">
        <v>24.6269668640555</v>
      </c>
      <c r="N1090">
        <v>57.892076884080602</v>
      </c>
      <c r="O1090">
        <v>57.4524412255941</v>
      </c>
      <c r="P1090">
        <v>-0.105760510281539</v>
      </c>
      <c r="Q1090">
        <v>1.3096038737601399E-2</v>
      </c>
      <c r="R1090">
        <v>0.98813148905605597</v>
      </c>
      <c r="S1090" t="s">
        <v>7542</v>
      </c>
      <c r="T1090" t="s">
        <v>12902</v>
      </c>
      <c r="U1090" t="s">
        <v>12902</v>
      </c>
      <c r="V1090" t="s">
        <v>12902</v>
      </c>
      <c r="W1090" t="s">
        <v>13968</v>
      </c>
      <c r="X1090">
        <v>20</v>
      </c>
      <c r="Y1090" t="s">
        <v>20357</v>
      </c>
      <c r="Z1090" t="s">
        <v>26665</v>
      </c>
      <c r="AA1090">
        <v>0.60846972046859138</v>
      </c>
      <c r="AB1090" t="str">
        <f>HYPERLINK("Melting_Curves/meltCurve_J3KQE5_RAN.pdf", "Melting_Curves/meltCurve_J3KQE5_RAN.pdf")</f>
        <v>Melting_Curves/meltCurve_J3KQE5_RAN.pdf</v>
      </c>
    </row>
    <row r="1091" spans="1:28" x14ac:dyDescent="0.25">
      <c r="A1091" t="s">
        <v>1095</v>
      </c>
      <c r="B1091">
        <v>0.99673306730245903</v>
      </c>
      <c r="C1091">
        <v>0.95732924341610304</v>
      </c>
      <c r="D1091">
        <v>0.91865705048337698</v>
      </c>
      <c r="E1091">
        <v>0.86107989597381895</v>
      </c>
      <c r="F1091">
        <v>0.76489840704660605</v>
      </c>
      <c r="G1091">
        <v>0.60435365007302599</v>
      </c>
      <c r="H1091">
        <v>0.43239703782088101</v>
      </c>
      <c r="I1091">
        <v>0.18596141072019001</v>
      </c>
      <c r="J1091">
        <v>0.160010263180904</v>
      </c>
      <c r="K1091">
        <v>0.128976636258406</v>
      </c>
      <c r="L1091">
        <v>696.06036429383096</v>
      </c>
      <c r="M1091">
        <v>11.935797132568</v>
      </c>
      <c r="N1091">
        <v>58.317045627829998</v>
      </c>
      <c r="O1091">
        <v>56.752388671835298</v>
      </c>
      <c r="P1091">
        <v>-5.2591353604396901E-2</v>
      </c>
      <c r="Q1091">
        <v>0</v>
      </c>
      <c r="R1091">
        <v>0.98886776885826</v>
      </c>
      <c r="S1091" t="s">
        <v>7543</v>
      </c>
      <c r="T1091" t="s">
        <v>12902</v>
      </c>
      <c r="U1091" t="s">
        <v>12902</v>
      </c>
      <c r="V1091" t="s">
        <v>12902</v>
      </c>
      <c r="W1091" t="s">
        <v>13969</v>
      </c>
      <c r="X1091">
        <v>13</v>
      </c>
      <c r="Y1091" t="s">
        <v>20358</v>
      </c>
      <c r="Z1091" t="s">
        <v>26666</v>
      </c>
      <c r="AA1091">
        <v>0.62176127481014676</v>
      </c>
      <c r="AB1091" t="str">
        <f>HYPERLINK("Melting_Curves/meltCurve_J3KQG4_GBA.pdf", "Melting_Curves/meltCurve_J3KQG4_GBA.pdf")</f>
        <v>Melting_Curves/meltCurve_J3KQG4_GBA.pdf</v>
      </c>
    </row>
    <row r="1092" spans="1:28" x14ac:dyDescent="0.25">
      <c r="A1092" t="s">
        <v>1096</v>
      </c>
      <c r="B1092">
        <v>0.99673306730245903</v>
      </c>
      <c r="C1092">
        <v>0.98756465262205795</v>
      </c>
      <c r="D1092">
        <v>0.92692718332833002</v>
      </c>
      <c r="E1092">
        <v>0.681243410876892</v>
      </c>
      <c r="F1092">
        <v>0.314591502837337</v>
      </c>
      <c r="G1092">
        <v>0.18730054078927</v>
      </c>
      <c r="H1092">
        <v>0.14708572244940701</v>
      </c>
      <c r="I1092">
        <v>0.13898518131446699</v>
      </c>
      <c r="J1092">
        <v>0.17499779595048201</v>
      </c>
      <c r="K1092">
        <v>0.15098199548197999</v>
      </c>
      <c r="L1092">
        <v>1360.28292250718</v>
      </c>
      <c r="M1092">
        <v>26.953850723917899</v>
      </c>
      <c r="N1092">
        <v>51.138058078325599</v>
      </c>
      <c r="O1092">
        <v>50.191771614168701</v>
      </c>
      <c r="P1092">
        <v>-0.11425996664914299</v>
      </c>
      <c r="Q1092">
        <v>0.14893749081973501</v>
      </c>
      <c r="R1092">
        <v>0.99903479269584605</v>
      </c>
      <c r="S1092" t="s">
        <v>7544</v>
      </c>
      <c r="T1092" t="s">
        <v>12902</v>
      </c>
      <c r="U1092" t="s">
        <v>12902</v>
      </c>
      <c r="V1092" t="s">
        <v>12902</v>
      </c>
      <c r="W1092" t="s">
        <v>13970</v>
      </c>
      <c r="X1092">
        <v>11</v>
      </c>
      <c r="Y1092" t="s">
        <v>20359</v>
      </c>
      <c r="Z1092" t="s">
        <v>26667</v>
      </c>
      <c r="AA1092">
        <v>0.4524536467198968</v>
      </c>
      <c r="AB1092" t="str">
        <f>HYPERLINK("Melting_Curves/meltCurve_J3KQJ1_SUMF2.pdf", "Melting_Curves/meltCurve_J3KQJ1_SUMF2.pdf")</f>
        <v>Melting_Curves/meltCurve_J3KQJ1_SUMF2.pdf</v>
      </c>
    </row>
    <row r="1093" spans="1:28" x14ac:dyDescent="0.25">
      <c r="A1093" t="s">
        <v>1097</v>
      </c>
      <c r="B1093">
        <v>0.99673306730245903</v>
      </c>
      <c r="C1093">
        <v>0.90825579217025898</v>
      </c>
      <c r="D1093">
        <v>0.897031488874099</v>
      </c>
      <c r="E1093">
        <v>0.66956333394864698</v>
      </c>
      <c r="F1093">
        <v>0.36151797240510902</v>
      </c>
      <c r="G1093">
        <v>0.29071955593644599</v>
      </c>
      <c r="H1093">
        <v>0.20273997026968299</v>
      </c>
      <c r="I1093">
        <v>0.229129098162178</v>
      </c>
      <c r="J1093">
        <v>0.26566785257089598</v>
      </c>
      <c r="K1093">
        <v>0.28179790266981197</v>
      </c>
      <c r="L1093">
        <v>1146.5114508018601</v>
      </c>
      <c r="M1093">
        <v>22.989339547475002</v>
      </c>
      <c r="N1093">
        <v>51.326943017889597</v>
      </c>
      <c r="O1093">
        <v>49.498683168692899</v>
      </c>
      <c r="P1093">
        <v>-8.8306547377568101E-2</v>
      </c>
      <c r="Q1093">
        <v>0.239477794026899</v>
      </c>
      <c r="R1093">
        <v>0.98734152901064898</v>
      </c>
      <c r="S1093" t="s">
        <v>7545</v>
      </c>
      <c r="T1093" t="s">
        <v>12902</v>
      </c>
      <c r="U1093" t="s">
        <v>12902</v>
      </c>
      <c r="V1093" t="s">
        <v>12902</v>
      </c>
      <c r="W1093" t="s">
        <v>13971</v>
      </c>
      <c r="X1093">
        <v>1</v>
      </c>
      <c r="Y1093" t="s">
        <v>20360</v>
      </c>
      <c r="Z1093" t="s">
        <v>26668</v>
      </c>
      <c r="AA1093">
        <v>0.49776113074942219</v>
      </c>
      <c r="AB1093" t="str">
        <f>HYPERLINK("Melting_Curves/meltCurve_J3KQL8_APOL2.pdf", "Melting_Curves/meltCurve_J3KQL8_APOL2.pdf")</f>
        <v>Melting_Curves/meltCurve_J3KQL8_APOL2.pdf</v>
      </c>
    </row>
    <row r="1094" spans="1:28" x14ac:dyDescent="0.25">
      <c r="A1094" t="s">
        <v>1098</v>
      </c>
      <c r="B1094">
        <v>0.99673306730245903</v>
      </c>
      <c r="C1094">
        <v>0.95413376392967597</v>
      </c>
      <c r="D1094">
        <v>0.94733117524590704</v>
      </c>
      <c r="E1094">
        <v>0.95594910728916105</v>
      </c>
      <c r="F1094">
        <v>0.95174966184917098</v>
      </c>
      <c r="G1094">
        <v>0.83345441445576696</v>
      </c>
      <c r="H1094">
        <v>0.59520103760326104</v>
      </c>
      <c r="I1094">
        <v>0.330252281345286</v>
      </c>
      <c r="J1094">
        <v>0.22157048976647101</v>
      </c>
      <c r="K1094">
        <v>0.18377134970360801</v>
      </c>
      <c r="L1094">
        <v>1258.2005992619199</v>
      </c>
      <c r="M1094">
        <v>20.6338302206692</v>
      </c>
      <c r="N1094">
        <v>61.731521837310403</v>
      </c>
      <c r="O1094">
        <v>60.413481182346104</v>
      </c>
      <c r="P1094">
        <v>-7.5877801693421398E-2</v>
      </c>
      <c r="Q1094">
        <v>0.11137965853482901</v>
      </c>
      <c r="R1094">
        <v>0.99231162571266995</v>
      </c>
      <c r="S1094" t="s">
        <v>7546</v>
      </c>
      <c r="T1094" t="s">
        <v>12902</v>
      </c>
      <c r="U1094" t="s">
        <v>12902</v>
      </c>
      <c r="V1094" t="s">
        <v>12902</v>
      </c>
      <c r="W1094" t="s">
        <v>13972</v>
      </c>
      <c r="X1094">
        <v>8</v>
      </c>
      <c r="Y1094" t="s">
        <v>20361</v>
      </c>
      <c r="Z1094" t="s">
        <v>26669</v>
      </c>
      <c r="AA1094">
        <v>0.73831624538298946</v>
      </c>
      <c r="AB1094" t="str">
        <f>HYPERLINK("Melting_Curves/meltCurve_J3KQS6_BABAM1.pdf", "Melting_Curves/meltCurve_J3KQS6_BABAM1.pdf")</f>
        <v>Melting_Curves/meltCurve_J3KQS6_BABAM1.pdf</v>
      </c>
    </row>
    <row r="1095" spans="1:28" x14ac:dyDescent="0.25">
      <c r="A1095" t="s">
        <v>1099</v>
      </c>
      <c r="B1095">
        <v>0.99673306730245903</v>
      </c>
      <c r="C1095">
        <v>0.95376726267712797</v>
      </c>
      <c r="D1095">
        <v>0.90078557177781804</v>
      </c>
      <c r="E1095">
        <v>0.92166018035917396</v>
      </c>
      <c r="F1095">
        <v>1.11567060757226</v>
      </c>
      <c r="G1095">
        <v>1.1401467047274501</v>
      </c>
      <c r="H1095">
        <v>1.0470372138867099</v>
      </c>
      <c r="I1095">
        <v>1.57484400930415</v>
      </c>
      <c r="J1095">
        <v>2.3240952472960101</v>
      </c>
      <c r="K1095">
        <v>2.16690280878323</v>
      </c>
      <c r="L1095">
        <v>15000</v>
      </c>
      <c r="M1095">
        <v>244.44652596068099</v>
      </c>
      <c r="O1095">
        <v>61.359006601510302</v>
      </c>
      <c r="P1095">
        <v>0.49798419970831898</v>
      </c>
      <c r="Q1095">
        <v>1.5</v>
      </c>
      <c r="R1095">
        <v>0.52994236519828797</v>
      </c>
      <c r="S1095" t="s">
        <v>7547</v>
      </c>
      <c r="T1095" t="s">
        <v>12902</v>
      </c>
      <c r="U1095" t="s">
        <v>12902</v>
      </c>
      <c r="V1095" t="s">
        <v>12902</v>
      </c>
      <c r="W1095" t="s">
        <v>13973</v>
      </c>
      <c r="X1095">
        <v>10</v>
      </c>
      <c r="Y1095" t="s">
        <v>20362</v>
      </c>
      <c r="Z1095" t="s">
        <v>26670</v>
      </c>
      <c r="AA1095">
        <v>1.14389178207738</v>
      </c>
      <c r="AB1095" t="str">
        <f>HYPERLINK("Melting_Curves/meltCurve_J3KR35_CCDC12.pdf", "Melting_Curves/meltCurve_J3KR35_CCDC12.pdf")</f>
        <v>Melting_Curves/meltCurve_J3KR35_CCDC12.pdf</v>
      </c>
    </row>
    <row r="1096" spans="1:28" x14ac:dyDescent="0.25">
      <c r="A1096" t="s">
        <v>1100</v>
      </c>
      <c r="B1096">
        <v>0.99673306730245903</v>
      </c>
      <c r="C1096">
        <v>0.90488087239968895</v>
      </c>
      <c r="D1096">
        <v>0.88448797718709204</v>
      </c>
      <c r="E1096">
        <v>0.49216957951496398</v>
      </c>
      <c r="F1096">
        <v>0.198617940048677</v>
      </c>
      <c r="G1096">
        <v>0.129763181822806</v>
      </c>
      <c r="H1096">
        <v>8.6217101348844194E-2</v>
      </c>
      <c r="I1096">
        <v>8.0135135719075906E-2</v>
      </c>
      <c r="J1096">
        <v>7.9875064516912397E-2</v>
      </c>
      <c r="K1096">
        <v>7.4238004292832796E-2</v>
      </c>
      <c r="L1096">
        <v>1189.45075219873</v>
      </c>
      <c r="M1096">
        <v>24.1644557998724</v>
      </c>
      <c r="N1096">
        <v>49.572094449737698</v>
      </c>
      <c r="O1096">
        <v>48.8897649408798</v>
      </c>
      <c r="P1096">
        <v>-0.113904064841664</v>
      </c>
      <c r="Q1096">
        <v>7.8206896475500803E-2</v>
      </c>
      <c r="R1096">
        <v>0.99562239009363596</v>
      </c>
      <c r="S1096" t="s">
        <v>7548</v>
      </c>
      <c r="T1096" t="s">
        <v>12902</v>
      </c>
      <c r="U1096" t="s">
        <v>12902</v>
      </c>
      <c r="V1096" t="s">
        <v>12902</v>
      </c>
      <c r="W1096" t="s">
        <v>13974</v>
      </c>
      <c r="X1096">
        <v>21</v>
      </c>
      <c r="Y1096" t="s">
        <v>20363</v>
      </c>
      <c r="Z1096" t="s">
        <v>26671</v>
      </c>
      <c r="AA1096">
        <v>0.37037258683468671</v>
      </c>
      <c r="AB1096" t="str">
        <f>HYPERLINK("Melting_Curves/meltCurve_J3KR97_TBCD.pdf", "Melting_Curves/meltCurve_J3KR97_TBCD.pdf")</f>
        <v>Melting_Curves/meltCurve_J3KR97_TBCD.pdf</v>
      </c>
    </row>
    <row r="1097" spans="1:28" x14ac:dyDescent="0.25">
      <c r="A1097" t="s">
        <v>1101</v>
      </c>
      <c r="B1097">
        <v>0.99673306730245903</v>
      </c>
      <c r="C1097">
        <v>0.89805571173437304</v>
      </c>
      <c r="D1097">
        <v>0.98582810954764499</v>
      </c>
      <c r="E1097">
        <v>0.82204633618719203</v>
      </c>
      <c r="F1097">
        <v>0.55404398253475895</v>
      </c>
      <c r="G1097">
        <v>0.55899638852132005</v>
      </c>
      <c r="H1097">
        <v>0.429087194425951</v>
      </c>
      <c r="I1097">
        <v>0.53696870442503297</v>
      </c>
      <c r="J1097">
        <v>0.70226955999047602</v>
      </c>
      <c r="K1097">
        <v>0.72434345047225301</v>
      </c>
      <c r="L1097">
        <v>12414.371333688399</v>
      </c>
      <c r="M1097">
        <v>250</v>
      </c>
      <c r="O1097">
        <v>49.654312487789902</v>
      </c>
      <c r="P1097">
        <v>-0.52326165624833798</v>
      </c>
      <c r="Q1097">
        <v>0.58428487679499896</v>
      </c>
      <c r="R1097">
        <v>0.80065491291377799</v>
      </c>
      <c r="S1097" t="s">
        <v>7549</v>
      </c>
      <c r="T1097" t="s">
        <v>12902</v>
      </c>
      <c r="U1097" t="s">
        <v>12902</v>
      </c>
      <c r="V1097" t="s">
        <v>12902</v>
      </c>
      <c r="W1097" t="s">
        <v>13975</v>
      </c>
      <c r="X1097">
        <v>2</v>
      </c>
      <c r="Y1097" t="s">
        <v>20364</v>
      </c>
      <c r="Z1097" t="s">
        <v>26672</v>
      </c>
      <c r="AA1097">
        <v>0.71814652911016974</v>
      </c>
      <c r="AB1097" t="str">
        <f>HYPERLINK("Melting_Curves/meltCurve_J3KRC8_C16orf55.pdf", "Melting_Curves/meltCurve_J3KRC8_C16orf55.pdf")</f>
        <v>Melting_Curves/meltCurve_J3KRC8_C16orf55.pdf</v>
      </c>
    </row>
    <row r="1098" spans="1:28" x14ac:dyDescent="0.25">
      <c r="A1098" t="s">
        <v>1102</v>
      </c>
      <c r="B1098">
        <v>0.99673306730245903</v>
      </c>
      <c r="C1098">
        <v>0.862923553455609</v>
      </c>
      <c r="D1098">
        <v>0.69686605915131905</v>
      </c>
      <c r="E1098">
        <v>0.612490978028428</v>
      </c>
      <c r="F1098">
        <v>0.48438757833304602</v>
      </c>
      <c r="G1098">
        <v>0.37771301859873702</v>
      </c>
      <c r="H1098">
        <v>0.29224053168476799</v>
      </c>
      <c r="I1098">
        <v>0.45732019527978401</v>
      </c>
      <c r="J1098">
        <v>0.52968833905586898</v>
      </c>
      <c r="K1098">
        <v>0.64597724209514595</v>
      </c>
      <c r="L1098">
        <v>910.960450877261</v>
      </c>
      <c r="M1098">
        <v>19.969839822884001</v>
      </c>
      <c r="N1098">
        <v>52.531817397343801</v>
      </c>
      <c r="O1098">
        <v>45.166775794127297</v>
      </c>
      <c r="P1098">
        <v>-5.92575553684637E-2</v>
      </c>
      <c r="Q1098">
        <v>0.46391462529923799</v>
      </c>
      <c r="R1098">
        <v>0.804887135920199</v>
      </c>
      <c r="S1098" t="s">
        <v>7550</v>
      </c>
      <c r="T1098" t="s">
        <v>12902</v>
      </c>
      <c r="U1098" t="s">
        <v>12902</v>
      </c>
      <c r="V1098" t="s">
        <v>12902</v>
      </c>
      <c r="W1098" t="s">
        <v>13976</v>
      </c>
      <c r="X1098">
        <v>3</v>
      </c>
      <c r="Y1098" t="s">
        <v>20365</v>
      </c>
      <c r="Z1098" t="s">
        <v>26673</v>
      </c>
      <c r="AA1098">
        <v>0.57285255888438369</v>
      </c>
      <c r="AB1098" t="str">
        <f>HYPERLINK("Melting_Curves/meltCurve_J3KRP6_SS18.pdf", "Melting_Curves/meltCurve_J3KRP6_SS18.pdf")</f>
        <v>Melting_Curves/meltCurve_J3KRP6_SS18.pdf</v>
      </c>
    </row>
    <row r="1099" spans="1:28" x14ac:dyDescent="0.25">
      <c r="A1099" t="s">
        <v>1103</v>
      </c>
      <c r="B1099">
        <v>0.99673306730245903</v>
      </c>
      <c r="C1099">
        <v>1.0108628235208399</v>
      </c>
      <c r="D1099">
        <v>0.95329995347917296</v>
      </c>
      <c r="E1099">
        <v>0.78550688338291397</v>
      </c>
      <c r="F1099">
        <v>0.546895899141155</v>
      </c>
      <c r="G1099">
        <v>0.35303175821441402</v>
      </c>
      <c r="H1099">
        <v>0.196572588285408</v>
      </c>
      <c r="I1099">
        <v>0.228889178932942</v>
      </c>
      <c r="J1099">
        <v>0.328281923162976</v>
      </c>
      <c r="K1099">
        <v>0.28189098906433602</v>
      </c>
      <c r="L1099">
        <v>1171.30465616675</v>
      </c>
      <c r="M1099">
        <v>22.587507789817401</v>
      </c>
      <c r="N1099">
        <v>53.530683698014499</v>
      </c>
      <c r="O1099">
        <v>51.454976925893902</v>
      </c>
      <c r="P1099">
        <v>-8.1945254996498004E-2</v>
      </c>
      <c r="Q1099">
        <v>0.25332065009330901</v>
      </c>
      <c r="R1099">
        <v>0.98518895664538697</v>
      </c>
      <c r="S1099" t="s">
        <v>7551</v>
      </c>
      <c r="T1099" t="s">
        <v>12902</v>
      </c>
      <c r="U1099" t="s">
        <v>12902</v>
      </c>
      <c r="V1099" t="s">
        <v>12902</v>
      </c>
      <c r="W1099" t="s">
        <v>13977</v>
      </c>
      <c r="X1099">
        <v>4</v>
      </c>
      <c r="Y1099" t="s">
        <v>20366</v>
      </c>
      <c r="Z1099" t="s">
        <v>26674</v>
      </c>
      <c r="AA1099">
        <v>0.55667654866529293</v>
      </c>
      <c r="AB1099" t="str">
        <f>HYPERLINK("Melting_Curves/meltCurve_J3KS05_CBX1.pdf", "Melting_Curves/meltCurve_J3KS05_CBX1.pdf")</f>
        <v>Melting_Curves/meltCurve_J3KS05_CBX1.pdf</v>
      </c>
    </row>
    <row r="1100" spans="1:28" x14ac:dyDescent="0.25">
      <c r="A1100" t="s">
        <v>1104</v>
      </c>
      <c r="B1100">
        <v>0.99673306730245903</v>
      </c>
      <c r="C1100">
        <v>1.1224738286298199</v>
      </c>
      <c r="D1100">
        <v>0.80674163484127204</v>
      </c>
      <c r="E1100">
        <v>0.55341161487148105</v>
      </c>
      <c r="F1100">
        <v>0.293567029009835</v>
      </c>
      <c r="G1100">
        <v>0.18007679235967899</v>
      </c>
      <c r="H1100">
        <v>0.130219598566336</v>
      </c>
      <c r="I1100">
        <v>0.141724237199579</v>
      </c>
      <c r="J1100">
        <v>0.227647573318946</v>
      </c>
      <c r="K1100">
        <v>0.24070617826261401</v>
      </c>
      <c r="L1100">
        <v>1235.67726799343</v>
      </c>
      <c r="M1100">
        <v>25.1881537981448</v>
      </c>
      <c r="N1100">
        <v>49.944560102044598</v>
      </c>
      <c r="O1100">
        <v>48.751764515581499</v>
      </c>
      <c r="P1100">
        <v>-0.105880102010126</v>
      </c>
      <c r="Q1100">
        <v>0.18028499851145599</v>
      </c>
      <c r="R1100">
        <v>0.97126401112310301</v>
      </c>
      <c r="S1100" t="s">
        <v>7552</v>
      </c>
      <c r="T1100" t="s">
        <v>12902</v>
      </c>
      <c r="U1100" t="s">
        <v>12902</v>
      </c>
      <c r="V1100" t="s">
        <v>12902</v>
      </c>
      <c r="W1100" t="s">
        <v>13978</v>
      </c>
      <c r="X1100">
        <v>2</v>
      </c>
      <c r="Y1100" t="s">
        <v>20367</v>
      </c>
      <c r="Z1100" t="s">
        <v>26675</v>
      </c>
      <c r="AA1100">
        <v>0.43493619117577992</v>
      </c>
      <c r="AB1100" t="str">
        <f>HYPERLINK("Melting_Curves/meltCurve_J3KS15_ICT1.pdf", "Melting_Curves/meltCurve_J3KS15_ICT1.pdf")</f>
        <v>Melting_Curves/meltCurve_J3KS15_ICT1.pdf</v>
      </c>
    </row>
    <row r="1101" spans="1:28" x14ac:dyDescent="0.25">
      <c r="A1101" t="s">
        <v>1105</v>
      </c>
      <c r="B1101">
        <v>0.99673306730245903</v>
      </c>
      <c r="C1101">
        <v>0.98525854604565399</v>
      </c>
      <c r="D1101">
        <v>1.08133171730765</v>
      </c>
      <c r="E1101">
        <v>0.83765895261225798</v>
      </c>
      <c r="F1101">
        <v>0.75038804450007901</v>
      </c>
      <c r="G1101">
        <v>0.54629120279867505</v>
      </c>
      <c r="H1101">
        <v>0.54484603114426899</v>
      </c>
      <c r="I1101">
        <v>0.48695064891616702</v>
      </c>
      <c r="J1101">
        <v>0.85654674507482398</v>
      </c>
      <c r="K1101">
        <v>0.70560238456383395</v>
      </c>
      <c r="L1101">
        <v>1761.0717765637701</v>
      </c>
      <c r="M1101">
        <v>34.863201379950503</v>
      </c>
      <c r="O1101">
        <v>50.348447191682503</v>
      </c>
      <c r="P1101">
        <v>-6.3133397937831695E-2</v>
      </c>
      <c r="Q1101">
        <v>0.635299522645563</v>
      </c>
      <c r="R1101">
        <v>0.72504878699410602</v>
      </c>
      <c r="S1101" t="s">
        <v>7553</v>
      </c>
      <c r="T1101" t="s">
        <v>12902</v>
      </c>
      <c r="U1101" t="s">
        <v>12902</v>
      </c>
      <c r="V1101" t="s">
        <v>12902</v>
      </c>
      <c r="W1101" t="s">
        <v>13979</v>
      </c>
      <c r="X1101">
        <v>4</v>
      </c>
      <c r="Y1101" t="s">
        <v>20368</v>
      </c>
      <c r="Z1101" t="s">
        <v>26676</v>
      </c>
      <c r="AA1101">
        <v>0.76479250974135837</v>
      </c>
      <c r="AB1101" t="str">
        <f>HYPERLINK("Melting_Curves/meltCurve_J3KS94_MBP.pdf", "Melting_Curves/meltCurve_J3KS94_MBP.pdf")</f>
        <v>Melting_Curves/meltCurve_J3KS94_MBP.pdf</v>
      </c>
    </row>
    <row r="1102" spans="1:28" x14ac:dyDescent="0.25">
      <c r="A1102" t="s">
        <v>1106</v>
      </c>
      <c r="B1102">
        <v>0.99673306730245903</v>
      </c>
      <c r="C1102">
        <v>0.87357714434638001</v>
      </c>
      <c r="D1102">
        <v>0.64120280447226996</v>
      </c>
      <c r="E1102">
        <v>0.39758024039054402</v>
      </c>
      <c r="F1102">
        <v>0.31428910429112999</v>
      </c>
      <c r="G1102">
        <v>0.15303436142555099</v>
      </c>
      <c r="H1102">
        <v>0.10407186961232</v>
      </c>
      <c r="I1102">
        <v>8.6774752497357804E-2</v>
      </c>
      <c r="J1102">
        <v>9.1035425190525904E-2</v>
      </c>
      <c r="K1102">
        <v>7.2541446254666797E-2</v>
      </c>
      <c r="L1102">
        <v>687.899954135759</v>
      </c>
      <c r="M1102">
        <v>14.351667578031901</v>
      </c>
      <c r="N1102">
        <v>48.4492171566595</v>
      </c>
      <c r="O1102">
        <v>47.029935386209701</v>
      </c>
      <c r="P1102">
        <v>-7.0877141618078204E-2</v>
      </c>
      <c r="Q1102">
        <v>7.1063950677054399E-2</v>
      </c>
      <c r="R1102">
        <v>0.99212100825792005</v>
      </c>
      <c r="S1102" t="s">
        <v>7554</v>
      </c>
      <c r="T1102" t="s">
        <v>12902</v>
      </c>
      <c r="U1102" t="s">
        <v>12902</v>
      </c>
      <c r="V1102" t="s">
        <v>12902</v>
      </c>
      <c r="W1102" t="s">
        <v>13980</v>
      </c>
      <c r="X1102">
        <v>1</v>
      </c>
      <c r="Y1102" t="s">
        <v>20369</v>
      </c>
      <c r="Z1102" t="s">
        <v>26677</v>
      </c>
      <c r="AA1102">
        <v>0.34282616238455871</v>
      </c>
      <c r="AB1102" t="str">
        <f>HYPERLINK("Melting_Curves/meltCurve_J3KSH1_AMZ2.pdf", "Melting_Curves/meltCurve_J3KSH1_AMZ2.pdf")</f>
        <v>Melting_Curves/meltCurve_J3KSH1_AMZ2.pdf</v>
      </c>
    </row>
    <row r="1103" spans="1:28" x14ac:dyDescent="0.25">
      <c r="A1103" t="s">
        <v>1107</v>
      </c>
      <c r="B1103">
        <v>0.99673306730245903</v>
      </c>
      <c r="C1103">
        <v>1.01226787321686</v>
      </c>
      <c r="D1103">
        <v>0.77081660056969203</v>
      </c>
      <c r="E1103">
        <v>0.378079304518183</v>
      </c>
      <c r="F1103">
        <v>0.21527155509225701</v>
      </c>
      <c r="G1103">
        <v>0.145828710552206</v>
      </c>
      <c r="H1103">
        <v>0.108923747296607</v>
      </c>
      <c r="I1103">
        <v>9.8440637164001005E-2</v>
      </c>
      <c r="J1103">
        <v>0.117505358740467</v>
      </c>
      <c r="K1103">
        <v>0.129759112826139</v>
      </c>
      <c r="L1103">
        <v>1240.90402983938</v>
      </c>
      <c r="M1103">
        <v>25.850805998821698</v>
      </c>
      <c r="N1103">
        <v>48.517112526299499</v>
      </c>
      <c r="O1103">
        <v>47.718040251190203</v>
      </c>
      <c r="P1103">
        <v>-0.11919758908332199</v>
      </c>
      <c r="Q1103">
        <v>0.119902451713085</v>
      </c>
      <c r="R1103">
        <v>0.99635170617973401</v>
      </c>
      <c r="S1103" t="s">
        <v>7555</v>
      </c>
      <c r="T1103" t="s">
        <v>12902</v>
      </c>
      <c r="U1103" t="s">
        <v>12902</v>
      </c>
      <c r="V1103" t="s">
        <v>12902</v>
      </c>
      <c r="W1103" t="s">
        <v>13981</v>
      </c>
      <c r="X1103">
        <v>5</v>
      </c>
      <c r="Y1103" t="s">
        <v>20370</v>
      </c>
      <c r="Z1103" t="s">
        <v>26678</v>
      </c>
      <c r="AA1103">
        <v>0.36191503764075172</v>
      </c>
      <c r="AB1103" t="str">
        <f>HYPERLINK("Melting_Curves/meltCurve_J3KSS7_GGA3.pdf", "Melting_Curves/meltCurve_J3KSS7_GGA3.pdf")</f>
        <v>Melting_Curves/meltCurve_J3KSS7_GGA3.pdf</v>
      </c>
    </row>
    <row r="1104" spans="1:28" x14ac:dyDescent="0.25">
      <c r="A1104" t="s">
        <v>1108</v>
      </c>
      <c r="B1104">
        <v>0.99673306730245903</v>
      </c>
      <c r="C1104">
        <v>0.95620602170798896</v>
      </c>
      <c r="D1104">
        <v>0.87001987855267104</v>
      </c>
      <c r="E1104">
        <v>0.70549231921222599</v>
      </c>
      <c r="F1104">
        <v>0.33058104191458099</v>
      </c>
      <c r="G1104">
        <v>0.211612055016417</v>
      </c>
      <c r="H1104">
        <v>0.148075605359865</v>
      </c>
      <c r="I1104">
        <v>0.125308027635541</v>
      </c>
      <c r="J1104">
        <v>4.41744487352278E-2</v>
      </c>
      <c r="K1104">
        <v>3.4434597058517202E-2</v>
      </c>
      <c r="L1104">
        <v>897.39128915582205</v>
      </c>
      <c r="M1104">
        <v>17.5133145890102</v>
      </c>
      <c r="N1104">
        <v>51.600840852008297</v>
      </c>
      <c r="O1104">
        <v>50.586449727380597</v>
      </c>
      <c r="P1104">
        <v>-8.1574400194856206E-2</v>
      </c>
      <c r="Q1104">
        <v>5.7555505030262202E-2</v>
      </c>
      <c r="R1104">
        <v>0.99307630647851797</v>
      </c>
      <c r="S1104" t="s">
        <v>7556</v>
      </c>
      <c r="T1104" t="s">
        <v>12902</v>
      </c>
      <c r="U1104" t="s">
        <v>12902</v>
      </c>
      <c r="V1104" t="s">
        <v>12902</v>
      </c>
      <c r="W1104" t="s">
        <v>13982</v>
      </c>
      <c r="X1104">
        <v>3</v>
      </c>
      <c r="Y1104" t="s">
        <v>20371</v>
      </c>
      <c r="Z1104" t="s">
        <v>26679</v>
      </c>
      <c r="AA1104">
        <v>0.42729621830573022</v>
      </c>
      <c r="AB1104" t="str">
        <f>HYPERLINK("Melting_Curves/meltCurve_J3KTA1_FBXL20.pdf", "Melting_Curves/meltCurve_J3KTA1_FBXL20.pdf")</f>
        <v>Melting_Curves/meltCurve_J3KTA1_FBXL20.pdf</v>
      </c>
    </row>
    <row r="1105" spans="1:28" x14ac:dyDescent="0.25">
      <c r="A1105" t="s">
        <v>1109</v>
      </c>
      <c r="B1105">
        <v>0.99673306730245903</v>
      </c>
      <c r="C1105">
        <v>0.918653297783392</v>
      </c>
      <c r="D1105">
        <v>0.66401786522669504</v>
      </c>
      <c r="E1105">
        <v>0.43597025712123599</v>
      </c>
      <c r="F1105">
        <v>0.170910819848517</v>
      </c>
      <c r="G1105">
        <v>0.10837692959423501</v>
      </c>
      <c r="H1105">
        <v>9.1017490793115094E-2</v>
      </c>
      <c r="I1105">
        <v>7.3561637052341006E-2</v>
      </c>
      <c r="J1105">
        <v>5.6620205200277697E-2</v>
      </c>
      <c r="K1105">
        <v>4.8061530626659597E-2</v>
      </c>
      <c r="L1105">
        <v>849.196393950318</v>
      </c>
      <c r="M1105">
        <v>17.681589222250999</v>
      </c>
      <c r="N1105">
        <v>48.337815835025197</v>
      </c>
      <c r="O1105">
        <v>47.425466572473397</v>
      </c>
      <c r="P1105">
        <v>-8.8205579451937494E-2</v>
      </c>
      <c r="Q1105">
        <v>5.3711890826140897E-2</v>
      </c>
      <c r="R1105">
        <v>0.99601074630367803</v>
      </c>
      <c r="S1105" t="s">
        <v>7557</v>
      </c>
      <c r="T1105" t="s">
        <v>12902</v>
      </c>
      <c r="U1105" t="s">
        <v>12902</v>
      </c>
      <c r="V1105" t="s">
        <v>12902</v>
      </c>
      <c r="W1105" t="s">
        <v>13983</v>
      </c>
      <c r="X1105">
        <v>51</v>
      </c>
      <c r="Y1105" t="s">
        <v>20372</v>
      </c>
      <c r="Z1105" t="s">
        <v>26680</v>
      </c>
      <c r="AA1105">
        <v>0.3243228456321669</v>
      </c>
      <c r="AB1105" t="str">
        <f>HYPERLINK("Melting_Curves/meltCurve_J3KTA4_DDX5.pdf", "Melting_Curves/meltCurve_J3KTA4_DDX5.pdf")</f>
        <v>Melting_Curves/meltCurve_J3KTA4_DDX5.pdf</v>
      </c>
    </row>
    <row r="1106" spans="1:28" x14ac:dyDescent="0.25">
      <c r="A1106" t="s">
        <v>1110</v>
      </c>
      <c r="B1106">
        <v>0.99673306730245903</v>
      </c>
      <c r="C1106">
        <v>0.99679524022934896</v>
      </c>
      <c r="D1106">
        <v>0.97580892537624397</v>
      </c>
      <c r="E1106">
        <v>1.31396092175816</v>
      </c>
      <c r="F1106">
        <v>1.3108050678779</v>
      </c>
      <c r="G1106">
        <v>0.93849604823364396</v>
      </c>
      <c r="H1106">
        <v>0.186906431707524</v>
      </c>
      <c r="I1106">
        <v>0.13130120089347999</v>
      </c>
      <c r="J1106">
        <v>0.14619674273187699</v>
      </c>
      <c r="K1106">
        <v>0.107206521182082</v>
      </c>
      <c r="L1106">
        <v>4566.8932294413098</v>
      </c>
      <c r="M1106">
        <v>77.769208772741095</v>
      </c>
      <c r="N1106">
        <v>58.9481693449315</v>
      </c>
      <c r="O1106">
        <v>58.684870523459701</v>
      </c>
      <c r="P1106">
        <v>-0.28883630191440901</v>
      </c>
      <c r="Q1106">
        <v>0.128173243743886</v>
      </c>
      <c r="R1106">
        <v>0.91457256610401005</v>
      </c>
      <c r="S1106" t="s">
        <v>7558</v>
      </c>
      <c r="T1106" t="s">
        <v>12902</v>
      </c>
      <c r="U1106" t="s">
        <v>12902</v>
      </c>
      <c r="V1106" t="s">
        <v>12902</v>
      </c>
      <c r="W1106" t="s">
        <v>13984</v>
      </c>
      <c r="X1106">
        <v>1</v>
      </c>
      <c r="Y1106" t="s">
        <v>20373</v>
      </c>
      <c r="Z1106" t="s">
        <v>26681</v>
      </c>
      <c r="AA1106">
        <v>0.67323005584157514</v>
      </c>
      <c r="AB1106" t="str">
        <f>HYPERLINK("Melting_Curves/meltCurve_J3KTD2_RTTN.pdf", "Melting_Curves/meltCurve_J3KTD2_RTTN.pdf")</f>
        <v>Melting_Curves/meltCurve_J3KTD2_RTTN.pdf</v>
      </c>
    </row>
    <row r="1107" spans="1:28" x14ac:dyDescent="0.25">
      <c r="A1107" t="s">
        <v>1111</v>
      </c>
      <c r="B1107">
        <v>0.99673306730245903</v>
      </c>
      <c r="C1107">
        <v>1.0250718806785799</v>
      </c>
      <c r="D1107">
        <v>1.0317082346716799</v>
      </c>
      <c r="E1107">
        <v>1.06500959063437</v>
      </c>
      <c r="F1107">
        <v>0.78012048538927403</v>
      </c>
      <c r="G1107">
        <v>0.47651530058818597</v>
      </c>
      <c r="H1107">
        <v>0.30116691296750298</v>
      </c>
      <c r="I1107">
        <v>0.389971819187445</v>
      </c>
      <c r="J1107">
        <v>0.438041372303133</v>
      </c>
      <c r="K1107">
        <v>0.45459901112365803</v>
      </c>
      <c r="L1107">
        <v>2614.0027220727702</v>
      </c>
      <c r="M1107">
        <v>48.503437849555802</v>
      </c>
      <c r="N1107">
        <v>55.7582646162194</v>
      </c>
      <c r="O1107">
        <v>53.801759673869803</v>
      </c>
      <c r="P1107">
        <v>-0.13493702814317601</v>
      </c>
      <c r="Q1107">
        <v>0.40129242181087399</v>
      </c>
      <c r="R1107">
        <v>0.97385122173563199</v>
      </c>
      <c r="S1107" t="s">
        <v>7559</v>
      </c>
      <c r="T1107" t="s">
        <v>12902</v>
      </c>
      <c r="U1107" t="s">
        <v>12902</v>
      </c>
      <c r="V1107" t="s">
        <v>12902</v>
      </c>
      <c r="W1107" t="s">
        <v>13985</v>
      </c>
      <c r="X1107">
        <v>2</v>
      </c>
      <c r="Y1107" t="s">
        <v>20374</v>
      </c>
      <c r="Z1107" t="s">
        <v>26682</v>
      </c>
      <c r="AA1107">
        <v>0.68006919421144496</v>
      </c>
      <c r="AB1107" t="str">
        <f>HYPERLINK("Melting_Curves/meltCurve_J3KTE9_CDH3.pdf", "Melting_Curves/meltCurve_J3KTE9_CDH3.pdf")</f>
        <v>Melting_Curves/meltCurve_J3KTE9_CDH3.pdf</v>
      </c>
    </row>
    <row r="1108" spans="1:28" x14ac:dyDescent="0.25">
      <c r="A1108" t="s">
        <v>1112</v>
      </c>
      <c r="B1108">
        <v>0.99673306730245903</v>
      </c>
      <c r="C1108">
        <v>0.98730551897101504</v>
      </c>
      <c r="D1108">
        <v>0.94771667515817404</v>
      </c>
      <c r="E1108">
        <v>0.87860829476472502</v>
      </c>
      <c r="F1108">
        <v>0.70215708099696195</v>
      </c>
      <c r="G1108">
        <v>0.57447473210518396</v>
      </c>
      <c r="H1108">
        <v>0.49642189533705799</v>
      </c>
      <c r="I1108">
        <v>0.97619083602155399</v>
      </c>
      <c r="J1108">
        <v>1.9931430333029401</v>
      </c>
      <c r="K1108">
        <v>2.68885257615965</v>
      </c>
      <c r="L1108">
        <v>15000</v>
      </c>
      <c r="M1108">
        <v>230.33804724423399</v>
      </c>
      <c r="O1108">
        <v>65.116765282514706</v>
      </c>
      <c r="P1108">
        <v>0.44216346588550198</v>
      </c>
      <c r="Q1108">
        <v>1.5</v>
      </c>
      <c r="R1108">
        <v>0.47960371905724303</v>
      </c>
      <c r="S1108" t="s">
        <v>7560</v>
      </c>
      <c r="T1108" t="s">
        <v>12902</v>
      </c>
      <c r="U1108" t="s">
        <v>12902</v>
      </c>
      <c r="V1108" t="s">
        <v>12902</v>
      </c>
      <c r="W1108" t="s">
        <v>13986</v>
      </c>
      <c r="X1108">
        <v>24</v>
      </c>
      <c r="Y1108" t="s">
        <v>20375</v>
      </c>
      <c r="Z1108" t="s">
        <v>26683</v>
      </c>
      <c r="AA1108">
        <v>1.0812380591292849</v>
      </c>
      <c r="AB1108" t="str">
        <f>HYPERLINK("Melting_Curves/meltCurve_J3KTL2_SRSF1.pdf", "Melting_Curves/meltCurve_J3KTL2_SRSF1.pdf")</f>
        <v>Melting_Curves/meltCurve_J3KTL2_SRSF1.pdf</v>
      </c>
    </row>
    <row r="1109" spans="1:28" x14ac:dyDescent="0.25">
      <c r="A1109" t="s">
        <v>1113</v>
      </c>
      <c r="B1109">
        <v>0.99673306730245903</v>
      </c>
      <c r="C1109">
        <v>0.79008831939978996</v>
      </c>
      <c r="D1109">
        <v>0.55692311485545498</v>
      </c>
      <c r="E1109">
        <v>0.29935265763020502</v>
      </c>
      <c r="F1109">
        <v>0.212629062840204</v>
      </c>
      <c r="G1109">
        <v>0.14958184120191501</v>
      </c>
      <c r="H1109">
        <v>0.12618657906908501</v>
      </c>
      <c r="I1109">
        <v>0.13949466599014701</v>
      </c>
      <c r="J1109">
        <v>0.12448166246395601</v>
      </c>
      <c r="K1109">
        <v>0.16792180057599701</v>
      </c>
      <c r="L1109">
        <v>879.26124982553495</v>
      </c>
      <c r="M1109">
        <v>19.191345374464799</v>
      </c>
      <c r="N1109">
        <v>46.599233634366897</v>
      </c>
      <c r="O1109">
        <v>45.326753750722602</v>
      </c>
      <c r="P1109">
        <v>-9.1253698622184798E-2</v>
      </c>
      <c r="Q1109">
        <v>0.13792904219742899</v>
      </c>
      <c r="R1109">
        <v>0.994706905835544</v>
      </c>
      <c r="S1109" t="s">
        <v>7561</v>
      </c>
      <c r="T1109" t="s">
        <v>12902</v>
      </c>
      <c r="U1109" t="s">
        <v>12902</v>
      </c>
      <c r="V1109" t="s">
        <v>12902</v>
      </c>
      <c r="W1109" t="s">
        <v>13987</v>
      </c>
      <c r="X1109">
        <v>15</v>
      </c>
      <c r="Y1109" t="s">
        <v>20376</v>
      </c>
      <c r="Z1109" t="s">
        <v>26684</v>
      </c>
      <c r="AA1109">
        <v>0.31989293454506079</v>
      </c>
      <c r="AB1109" t="str">
        <f>HYPERLINK("Melting_Curves/meltCurve_J3QK89_CHERP.pdf", "Melting_Curves/meltCurve_J3QK89_CHERP.pdf")</f>
        <v>Melting_Curves/meltCurve_J3QK89_CHERP.pdf</v>
      </c>
    </row>
    <row r="1110" spans="1:28" x14ac:dyDescent="0.25">
      <c r="A1110" t="s">
        <v>1114</v>
      </c>
      <c r="B1110">
        <v>0.99673306730245903</v>
      </c>
      <c r="C1110">
        <v>1.18265684473428</v>
      </c>
      <c r="D1110">
        <v>0.64249806891171402</v>
      </c>
      <c r="E1110">
        <v>0.744049546803627</v>
      </c>
      <c r="F1110">
        <v>0.239536998036287</v>
      </c>
      <c r="G1110">
        <v>0.14265469644930201</v>
      </c>
      <c r="H1110">
        <v>9.5582732107353505E-2</v>
      </c>
      <c r="I1110">
        <v>0.105594387022122</v>
      </c>
      <c r="J1110">
        <v>0.12714117491374299</v>
      </c>
      <c r="K1110">
        <v>0.121652676717668</v>
      </c>
      <c r="L1110">
        <v>1015.58692246199</v>
      </c>
      <c r="M1110">
        <v>20.248049590217999</v>
      </c>
      <c r="N1110">
        <v>50.665144286109403</v>
      </c>
      <c r="O1110">
        <v>49.675727437404902</v>
      </c>
      <c r="P1110">
        <v>-9.2544612872661303E-2</v>
      </c>
      <c r="Q1110">
        <v>9.1847716755100103E-2</v>
      </c>
      <c r="R1110">
        <v>0.917848485409272</v>
      </c>
      <c r="S1110" t="s">
        <v>7562</v>
      </c>
      <c r="T1110" t="s">
        <v>12902</v>
      </c>
      <c r="U1110" t="s">
        <v>12902</v>
      </c>
      <c r="V1110" t="s">
        <v>12902</v>
      </c>
      <c r="W1110" t="s">
        <v>13988</v>
      </c>
      <c r="X1110">
        <v>19</v>
      </c>
      <c r="Y1110" t="s">
        <v>20377</v>
      </c>
      <c r="Z1110" t="s">
        <v>26685</v>
      </c>
      <c r="AA1110">
        <v>0.4116628445258218</v>
      </c>
      <c r="AB1110" t="str">
        <f>HYPERLINK("Melting_Curves/meltCurve_J3QK90_NSFL1C.pdf", "Melting_Curves/meltCurve_J3QK90_NSFL1C.pdf")</f>
        <v>Melting_Curves/meltCurve_J3QK90_NSFL1C.pdf</v>
      </c>
    </row>
    <row r="1111" spans="1:28" x14ac:dyDescent="0.25">
      <c r="A1111" t="s">
        <v>1115</v>
      </c>
      <c r="B1111">
        <v>0.99673306730245903</v>
      </c>
      <c r="C1111">
        <v>0.83486516628136198</v>
      </c>
      <c r="D1111">
        <v>0.65417459762674701</v>
      </c>
      <c r="E1111">
        <v>0.38817227145202698</v>
      </c>
      <c r="F1111">
        <v>0.27051076018105003</v>
      </c>
      <c r="G1111">
        <v>0.19347290834252001</v>
      </c>
      <c r="H1111">
        <v>0.1308784541496</v>
      </c>
      <c r="I1111">
        <v>0.14369708825192501</v>
      </c>
      <c r="J1111">
        <v>0.18770925947831099</v>
      </c>
      <c r="K1111">
        <v>0.172621793616376</v>
      </c>
      <c r="L1111">
        <v>807.52135458542102</v>
      </c>
      <c r="M1111">
        <v>17.213611073466598</v>
      </c>
      <c r="N1111">
        <v>47.936976060827</v>
      </c>
      <c r="O1111">
        <v>46.292377229747402</v>
      </c>
      <c r="P1111">
        <v>-7.8651127967312204E-2</v>
      </c>
      <c r="Q1111">
        <v>0.153986894148361</v>
      </c>
      <c r="R1111">
        <v>0.99401538517036303</v>
      </c>
      <c r="S1111" t="s">
        <v>7563</v>
      </c>
      <c r="T1111" t="s">
        <v>12902</v>
      </c>
      <c r="U1111" t="s">
        <v>12902</v>
      </c>
      <c r="V1111" t="s">
        <v>12902</v>
      </c>
      <c r="W1111" t="s">
        <v>13989</v>
      </c>
      <c r="X1111">
        <v>6</v>
      </c>
      <c r="Y1111" t="s">
        <v>20378</v>
      </c>
      <c r="Z1111" t="s">
        <v>26686</v>
      </c>
      <c r="AA1111">
        <v>0.36617784139506282</v>
      </c>
      <c r="AB1111" t="str">
        <f>HYPERLINK("Melting_Curves/meltCurve_J3QKS7_SMARCE1.pdf", "Melting_Curves/meltCurve_J3QKS7_SMARCE1.pdf")</f>
        <v>Melting_Curves/meltCurve_J3QKS7_SMARCE1.pdf</v>
      </c>
    </row>
    <row r="1112" spans="1:28" x14ac:dyDescent="0.25">
      <c r="A1112" t="s">
        <v>1116</v>
      </c>
      <c r="B1112">
        <v>0.99673306730245903</v>
      </c>
      <c r="C1112">
        <v>0.93341267398487804</v>
      </c>
      <c r="D1112">
        <v>0.92266733277372504</v>
      </c>
      <c r="E1112">
        <v>0.71374489146282305</v>
      </c>
      <c r="F1112">
        <v>0.57538548072889495</v>
      </c>
      <c r="G1112">
        <v>0.44361688440580899</v>
      </c>
      <c r="H1112">
        <v>0.32916821177990102</v>
      </c>
      <c r="I1112">
        <v>0.21177054420722799</v>
      </c>
      <c r="J1112">
        <v>0.12789467632596199</v>
      </c>
      <c r="K1112">
        <v>0.114609826083756</v>
      </c>
      <c r="L1112">
        <v>534.42460554091599</v>
      </c>
      <c r="M1112">
        <v>9.6690036900225493</v>
      </c>
      <c r="N1112">
        <v>55.271941410823899</v>
      </c>
      <c r="O1112">
        <v>53.063000583770901</v>
      </c>
      <c r="P1112">
        <v>-4.5579552628505403E-2</v>
      </c>
      <c r="Q1112">
        <v>0</v>
      </c>
      <c r="R1112">
        <v>0.99381888216999603</v>
      </c>
      <c r="S1112" t="s">
        <v>7564</v>
      </c>
      <c r="T1112" t="s">
        <v>12902</v>
      </c>
      <c r="U1112" t="s">
        <v>12902</v>
      </c>
      <c r="V1112" t="s">
        <v>12902</v>
      </c>
      <c r="W1112" t="s">
        <v>13990</v>
      </c>
      <c r="X1112">
        <v>1</v>
      </c>
      <c r="Y1112" t="s">
        <v>20379</v>
      </c>
      <c r="Z1112" t="s">
        <v>26687</v>
      </c>
      <c r="AA1112">
        <v>0.5339060713461915</v>
      </c>
      <c r="AB1112" t="str">
        <f>HYPERLINK("Melting_Curves/meltCurve_J3QKZ6_C17orf62.pdf", "Melting_Curves/meltCurve_J3QKZ6_C17orf62.pdf")</f>
        <v>Melting_Curves/meltCurve_J3QKZ6_C17orf62.pdf</v>
      </c>
    </row>
    <row r="1113" spans="1:28" x14ac:dyDescent="0.25">
      <c r="A1113" t="s">
        <v>1117</v>
      </c>
      <c r="B1113">
        <v>0.99673306730245903</v>
      </c>
      <c r="C1113">
        <v>0.859513138976299</v>
      </c>
      <c r="D1113">
        <v>0.68788292968158904</v>
      </c>
      <c r="E1113">
        <v>0.50589853263668305</v>
      </c>
      <c r="F1113">
        <v>0.15846844990078901</v>
      </c>
      <c r="G1113">
        <v>0.102980003665465</v>
      </c>
      <c r="H1113">
        <v>5.7027692250463002E-2</v>
      </c>
      <c r="I1113">
        <v>5.2713325878583302E-2</v>
      </c>
      <c r="J1113">
        <v>6.2722070111440695E-2</v>
      </c>
      <c r="K1113">
        <v>5.8767180670604699E-2</v>
      </c>
      <c r="L1113">
        <v>782.12584579387806</v>
      </c>
      <c r="M1113">
        <v>16.134854654338099</v>
      </c>
      <c r="N1113">
        <v>48.681636417716099</v>
      </c>
      <c r="O1113">
        <v>47.748028276873903</v>
      </c>
      <c r="P1113">
        <v>-8.1680277362062598E-2</v>
      </c>
      <c r="Q1113">
        <v>3.3204494105777298E-2</v>
      </c>
      <c r="R1113">
        <v>0.98942889898319297</v>
      </c>
      <c r="S1113" t="s">
        <v>7565</v>
      </c>
      <c r="T1113" t="s">
        <v>12902</v>
      </c>
      <c r="U1113" t="s">
        <v>12902</v>
      </c>
      <c r="V1113" t="s">
        <v>12902</v>
      </c>
      <c r="W1113" t="s">
        <v>13991</v>
      </c>
      <c r="X1113">
        <v>2</v>
      </c>
      <c r="Y1113" t="s">
        <v>20380</v>
      </c>
      <c r="Z1113" t="s">
        <v>26688</v>
      </c>
      <c r="AA1113">
        <v>0.32741634691613131</v>
      </c>
      <c r="AB1113" t="str">
        <f>HYPERLINK("Melting_Curves/meltCurve_J3QL56_SCO1.pdf", "Melting_Curves/meltCurve_J3QL56_SCO1.pdf")</f>
        <v>Melting_Curves/meltCurve_J3QL56_SCO1.pdf</v>
      </c>
    </row>
    <row r="1114" spans="1:28" x14ac:dyDescent="0.25">
      <c r="A1114" t="s">
        <v>1118</v>
      </c>
      <c r="B1114">
        <v>0.99673306730245903</v>
      </c>
      <c r="C1114">
        <v>1.0136555347188401</v>
      </c>
      <c r="D1114">
        <v>0.88247265999146796</v>
      </c>
      <c r="E1114">
        <v>0.60024338744307304</v>
      </c>
      <c r="F1114">
        <v>0.29372089627280801</v>
      </c>
      <c r="G1114">
        <v>0.22569486546985701</v>
      </c>
      <c r="H1114">
        <v>8.3020854079118897E-2</v>
      </c>
      <c r="I1114">
        <v>6.51530752546612E-2</v>
      </c>
      <c r="J1114">
        <v>7.1722125201471407E-2</v>
      </c>
      <c r="K1114">
        <v>4.65176388651556E-2</v>
      </c>
      <c r="L1114">
        <v>963.48112903894696</v>
      </c>
      <c r="M1114">
        <v>19.074017334707499</v>
      </c>
      <c r="N1114">
        <v>50.851374938103099</v>
      </c>
      <c r="O1114">
        <v>49.967356849276598</v>
      </c>
      <c r="P1114">
        <v>-8.9744356384708401E-2</v>
      </c>
      <c r="Q1114">
        <v>5.96396796530929E-2</v>
      </c>
      <c r="R1114">
        <v>0.99488096469628795</v>
      </c>
      <c r="S1114" t="s">
        <v>7566</v>
      </c>
      <c r="T1114" t="s">
        <v>12902</v>
      </c>
      <c r="U1114" t="s">
        <v>12902</v>
      </c>
      <c r="V1114" t="s">
        <v>12902</v>
      </c>
      <c r="W1114" t="s">
        <v>13992</v>
      </c>
      <c r="X1114">
        <v>6</v>
      </c>
      <c r="Y1114" t="s">
        <v>20381</v>
      </c>
      <c r="Z1114" t="s">
        <v>26689</v>
      </c>
      <c r="AA1114">
        <v>0.40346555218847407</v>
      </c>
      <c r="AB1114" t="str">
        <f>HYPERLINK("Melting_Curves/meltCurve_J3QL71_SCRN2.pdf", "Melting_Curves/meltCurve_J3QL71_SCRN2.pdf")</f>
        <v>Melting_Curves/meltCurve_J3QL71_SCRN2.pdf</v>
      </c>
    </row>
    <row r="1115" spans="1:28" x14ac:dyDescent="0.25">
      <c r="A1115" t="s">
        <v>1119</v>
      </c>
      <c r="B1115">
        <v>0.99673306730245903</v>
      </c>
      <c r="C1115">
        <v>0.99538994906770795</v>
      </c>
      <c r="D1115">
        <v>0.91680490453250996</v>
      </c>
      <c r="E1115">
        <v>0.91307051999811395</v>
      </c>
      <c r="F1115">
        <v>0.87000710018764305</v>
      </c>
      <c r="G1115">
        <v>0.76057902901442098</v>
      </c>
      <c r="H1115">
        <v>0.54159945632347795</v>
      </c>
      <c r="I1115">
        <v>0.63019685334671505</v>
      </c>
      <c r="J1115">
        <v>0.402766694161457</v>
      </c>
      <c r="K1115">
        <v>0.220522899797264</v>
      </c>
      <c r="L1115">
        <v>583.64967524283099</v>
      </c>
      <c r="M1115">
        <v>9.1414084407275098</v>
      </c>
      <c r="N1115">
        <v>63.846790804687402</v>
      </c>
      <c r="O1115">
        <v>61.014065305122102</v>
      </c>
      <c r="P1115">
        <v>-3.7481793782107801E-2</v>
      </c>
      <c r="Q1115">
        <v>0</v>
      </c>
      <c r="R1115">
        <v>0.94549797628972398</v>
      </c>
      <c r="S1115" t="s">
        <v>7567</v>
      </c>
      <c r="T1115" t="s">
        <v>12902</v>
      </c>
      <c r="U1115" t="s">
        <v>12902</v>
      </c>
      <c r="V1115" t="s">
        <v>12902</v>
      </c>
      <c r="W1115" t="s">
        <v>13993</v>
      </c>
      <c r="X1115">
        <v>5</v>
      </c>
      <c r="Y1115" t="s">
        <v>20382</v>
      </c>
      <c r="Z1115" t="s">
        <v>26690</v>
      </c>
      <c r="AA1115">
        <v>0.74710671727686784</v>
      </c>
      <c r="AB1115" t="str">
        <f>HYPERLINK("Melting_Curves/meltCurve_J3QLB2_SLC39A11.pdf", "Melting_Curves/meltCurve_J3QLB2_SLC39A11.pdf")</f>
        <v>Melting_Curves/meltCurve_J3QLB2_SLC39A11.pdf</v>
      </c>
    </row>
    <row r="1116" spans="1:28" x14ac:dyDescent="0.25">
      <c r="A1116" t="s">
        <v>1120</v>
      </c>
      <c r="B1116">
        <v>0.99673306730245903</v>
      </c>
      <c r="C1116">
        <v>1.16983752016751</v>
      </c>
      <c r="D1116">
        <v>1.37894663631284</v>
      </c>
      <c r="E1116">
        <v>1.0751002514205099</v>
      </c>
      <c r="F1116">
        <v>1.0947021158489301</v>
      </c>
      <c r="G1116">
        <v>0.81834884083763404</v>
      </c>
      <c r="H1116">
        <v>0.39804897568738801</v>
      </c>
      <c r="I1116">
        <v>3.37867909221264E-2</v>
      </c>
      <c r="J1116">
        <v>2.43359216269361E-2</v>
      </c>
      <c r="K1116">
        <v>0</v>
      </c>
      <c r="L1116">
        <v>2133.5091123125799</v>
      </c>
      <c r="M1116">
        <v>35.667854269185099</v>
      </c>
      <c r="N1116">
        <v>59.816020617146698</v>
      </c>
      <c r="O1116">
        <v>59.628929702177601</v>
      </c>
      <c r="P1116">
        <v>-0.14954138751022</v>
      </c>
      <c r="Q1116">
        <v>0</v>
      </c>
      <c r="R1116">
        <v>0.92323992870251803</v>
      </c>
      <c r="S1116" t="s">
        <v>7568</v>
      </c>
      <c r="T1116" t="s">
        <v>12902</v>
      </c>
      <c r="U1116" t="s">
        <v>12902</v>
      </c>
      <c r="V1116" t="s">
        <v>12902</v>
      </c>
      <c r="W1116" t="s">
        <v>13994</v>
      </c>
      <c r="X1116">
        <v>6</v>
      </c>
      <c r="Y1116" t="s">
        <v>20383</v>
      </c>
      <c r="Z1116" t="s">
        <v>26691</v>
      </c>
      <c r="AA1116">
        <v>0.6652906458267176</v>
      </c>
      <c r="AB1116" t="str">
        <f>HYPERLINK("Melting_Curves/meltCurve_J3QLK4_ELAC2.pdf", "Melting_Curves/meltCurve_J3QLK4_ELAC2.pdf")</f>
        <v>Melting_Curves/meltCurve_J3QLK4_ELAC2.pdf</v>
      </c>
    </row>
    <row r="1117" spans="1:28" x14ac:dyDescent="0.25">
      <c r="A1117" t="s">
        <v>1121</v>
      </c>
      <c r="B1117">
        <v>0.99673306730245903</v>
      </c>
      <c r="C1117">
        <v>0.84442779528886702</v>
      </c>
      <c r="D1117">
        <v>0.677878225770573</v>
      </c>
      <c r="E1117">
        <v>0.51069543813993401</v>
      </c>
      <c r="F1117">
        <v>0.199627482025763</v>
      </c>
      <c r="G1117">
        <v>8.96856716563732E-2</v>
      </c>
      <c r="H1117">
        <v>4.3122862468961201E-2</v>
      </c>
      <c r="I1117">
        <v>3.7394041643146803E-2</v>
      </c>
      <c r="J1117">
        <v>4.0317931517214002E-2</v>
      </c>
      <c r="K1117">
        <v>3.09186722430718E-2</v>
      </c>
      <c r="L1117">
        <v>708.08908564165802</v>
      </c>
      <c r="M1117">
        <v>14.519821803494001</v>
      </c>
      <c r="N1117">
        <v>48.792992368958799</v>
      </c>
      <c r="O1117">
        <v>47.870045714660897</v>
      </c>
      <c r="P1117">
        <v>-7.5546643455796605E-2</v>
      </c>
      <c r="Q1117">
        <v>3.8429756057085699E-3</v>
      </c>
      <c r="R1117">
        <v>0.99154681597888605</v>
      </c>
      <c r="S1117" t="s">
        <v>7569</v>
      </c>
      <c r="T1117" t="s">
        <v>12902</v>
      </c>
      <c r="U1117" t="s">
        <v>12902</v>
      </c>
      <c r="V1117" t="s">
        <v>12902</v>
      </c>
      <c r="W1117" t="s">
        <v>13995</v>
      </c>
      <c r="X1117">
        <v>2</v>
      </c>
      <c r="Y1117" t="s">
        <v>20384</v>
      </c>
      <c r="Z1117" t="s">
        <v>26692</v>
      </c>
      <c r="AA1117">
        <v>0.32133570550020468</v>
      </c>
      <c r="AB1117" t="str">
        <f>HYPERLINK("Melting_Curves/meltCurve_J3QLS3_MRPS7.pdf", "Melting_Curves/meltCurve_J3QLS3_MRPS7.pdf")</f>
        <v>Melting_Curves/meltCurve_J3QLS3_MRPS7.pdf</v>
      </c>
    </row>
    <row r="1118" spans="1:28" x14ac:dyDescent="0.25">
      <c r="A1118" t="s">
        <v>1122</v>
      </c>
      <c r="B1118">
        <v>0.99673306730245903</v>
      </c>
      <c r="C1118">
        <v>1.04451471112264</v>
      </c>
      <c r="D1118">
        <v>0.83376662721239703</v>
      </c>
      <c r="E1118">
        <v>0.606920202008989</v>
      </c>
      <c r="F1118">
        <v>0.36820820738455001</v>
      </c>
      <c r="G1118">
        <v>0.261612278686847</v>
      </c>
      <c r="H1118">
        <v>0.15966877702288201</v>
      </c>
      <c r="I1118">
        <v>0.144714373703523</v>
      </c>
      <c r="J1118">
        <v>0.153962143802784</v>
      </c>
      <c r="K1118">
        <v>0.15267651087930401</v>
      </c>
      <c r="L1118">
        <v>921.68465203740504</v>
      </c>
      <c r="M1118">
        <v>18.3798114657247</v>
      </c>
      <c r="N1118">
        <v>51.087237431967502</v>
      </c>
      <c r="O1118">
        <v>49.564273295033701</v>
      </c>
      <c r="P1118">
        <v>-7.9402311184687102E-2</v>
      </c>
      <c r="Q1118">
        <v>0.143551968972088</v>
      </c>
      <c r="R1118">
        <v>0.99267170758649503</v>
      </c>
      <c r="S1118" t="s">
        <v>7570</v>
      </c>
      <c r="T1118" t="s">
        <v>12902</v>
      </c>
      <c r="U1118" t="s">
        <v>12902</v>
      </c>
      <c r="V1118" t="s">
        <v>12902</v>
      </c>
      <c r="W1118" t="s">
        <v>13996</v>
      </c>
      <c r="X1118">
        <v>2</v>
      </c>
      <c r="Y1118" t="s">
        <v>20385</v>
      </c>
      <c r="Z1118" t="s">
        <v>26693</v>
      </c>
      <c r="AA1118">
        <v>0.44723281712751528</v>
      </c>
      <c r="AB1118" t="str">
        <f>HYPERLINK("Melting_Curves/meltCurve_J3QLV8_SNX11.pdf", "Melting_Curves/meltCurve_J3QLV8_SNX11.pdf")</f>
        <v>Melting_Curves/meltCurve_J3QLV8_SNX11.pdf</v>
      </c>
    </row>
    <row r="1119" spans="1:28" x14ac:dyDescent="0.25">
      <c r="A1119" t="s">
        <v>1123</v>
      </c>
      <c r="B1119">
        <v>0.99673306730245903</v>
      </c>
      <c r="C1119">
        <v>0.97584870954881198</v>
      </c>
      <c r="D1119">
        <v>0.921664414779373</v>
      </c>
      <c r="E1119">
        <v>0.85111677992253398</v>
      </c>
      <c r="F1119">
        <v>0.62526932207147701</v>
      </c>
      <c r="G1119">
        <v>0.52908242643725201</v>
      </c>
      <c r="H1119">
        <v>0.37867280867757802</v>
      </c>
      <c r="I1119">
        <v>0.52179294423137501</v>
      </c>
      <c r="J1119">
        <v>0.78268519595830599</v>
      </c>
      <c r="K1119">
        <v>0.82111810025510101</v>
      </c>
      <c r="L1119">
        <v>2134.8768002393599</v>
      </c>
      <c r="M1119">
        <v>42.663251122058803</v>
      </c>
      <c r="O1119">
        <v>49.930615185516302</v>
      </c>
      <c r="P1119">
        <v>-8.4332258462006704E-2</v>
      </c>
      <c r="Q1119">
        <v>0.60521015308210002</v>
      </c>
      <c r="R1119">
        <v>0.63939213660841498</v>
      </c>
      <c r="S1119" t="s">
        <v>7571</v>
      </c>
      <c r="T1119" t="s">
        <v>12902</v>
      </c>
      <c r="U1119" t="s">
        <v>12902</v>
      </c>
      <c r="V1119" t="s">
        <v>12902</v>
      </c>
      <c r="W1119" t="s">
        <v>13997</v>
      </c>
      <c r="X1119">
        <v>10</v>
      </c>
      <c r="Y1119" t="s">
        <v>20386</v>
      </c>
      <c r="Z1119" t="s">
        <v>26694</v>
      </c>
      <c r="AA1119">
        <v>0.73853501301220326</v>
      </c>
      <c r="AB1119" t="str">
        <f>HYPERLINK("Melting_Curves/meltCurve_J3QQJ0_SAP30BP.pdf", "Melting_Curves/meltCurve_J3QQJ0_SAP30BP.pdf")</f>
        <v>Melting_Curves/meltCurve_J3QQJ0_SAP30BP.pdf</v>
      </c>
    </row>
    <row r="1120" spans="1:28" x14ac:dyDescent="0.25">
      <c r="A1120" t="s">
        <v>1124</v>
      </c>
      <c r="B1120">
        <v>0.99673306730245903</v>
      </c>
      <c r="C1120">
        <v>0.89741844324710096</v>
      </c>
      <c r="D1120">
        <v>0.88653673360281005</v>
      </c>
      <c r="E1120">
        <v>0.59232110688880202</v>
      </c>
      <c r="F1120">
        <v>0.31447018514152603</v>
      </c>
      <c r="G1120">
        <v>0.19937251469591299</v>
      </c>
      <c r="H1120">
        <v>0.165690747861344</v>
      </c>
      <c r="I1120">
        <v>0.17809101969528299</v>
      </c>
      <c r="J1120">
        <v>0.21852455286466199</v>
      </c>
      <c r="K1120">
        <v>0.22685249499690199</v>
      </c>
      <c r="L1120">
        <v>1146.41532122434</v>
      </c>
      <c r="M1120">
        <v>23.1861471928326</v>
      </c>
      <c r="N1120">
        <v>50.464866768354199</v>
      </c>
      <c r="O1120">
        <v>49.080589287082702</v>
      </c>
      <c r="P1120">
        <v>-9.5995074901585403E-2</v>
      </c>
      <c r="Q1120">
        <v>0.18720275756995899</v>
      </c>
      <c r="R1120">
        <v>0.98959931278186897</v>
      </c>
      <c r="S1120" t="s">
        <v>7572</v>
      </c>
      <c r="T1120" t="s">
        <v>12902</v>
      </c>
      <c r="U1120" t="s">
        <v>12902</v>
      </c>
      <c r="V1120" t="s">
        <v>12902</v>
      </c>
      <c r="W1120" t="s">
        <v>13998</v>
      </c>
      <c r="X1120">
        <v>4</v>
      </c>
      <c r="Y1120" t="s">
        <v>20387</v>
      </c>
      <c r="Z1120" t="s">
        <v>26695</v>
      </c>
      <c r="AA1120">
        <v>0.45149388451472239</v>
      </c>
      <c r="AB1120" t="str">
        <f>HYPERLINK("Melting_Curves/meltCurve_J3QQJ5_TRAPPC8.pdf", "Melting_Curves/meltCurve_J3QQJ5_TRAPPC8.pdf")</f>
        <v>Melting_Curves/meltCurve_J3QQJ5_TRAPPC8.pdf</v>
      </c>
    </row>
    <row r="1121" spans="1:28" x14ac:dyDescent="0.25">
      <c r="A1121" t="s">
        <v>1125</v>
      </c>
      <c r="B1121">
        <v>0.99673306730245903</v>
      </c>
      <c r="C1121">
        <v>0.97881452614975295</v>
      </c>
      <c r="D1121">
        <v>0.94401490984976699</v>
      </c>
      <c r="E1121">
        <v>0.50043053349619004</v>
      </c>
      <c r="F1121">
        <v>0.39502549064574899</v>
      </c>
      <c r="G1121">
        <v>0.26003141893480702</v>
      </c>
      <c r="H1121">
        <v>0.19273559146056099</v>
      </c>
      <c r="I1121">
        <v>0.19905790081032099</v>
      </c>
      <c r="J1121">
        <v>0.33987900557964501</v>
      </c>
      <c r="K1121">
        <v>0.44010865287830397</v>
      </c>
      <c r="L1121">
        <v>1817.7460514561701</v>
      </c>
      <c r="M1121">
        <v>37.416016088119697</v>
      </c>
      <c r="N1121">
        <v>49.782799638015803</v>
      </c>
      <c r="O1121">
        <v>48.443878522357302</v>
      </c>
      <c r="P1121">
        <v>-0.135700083496373</v>
      </c>
      <c r="Q1121">
        <v>0.29721854259461999</v>
      </c>
      <c r="R1121">
        <v>0.94661995177987701</v>
      </c>
      <c r="S1121" t="s">
        <v>7573</v>
      </c>
      <c r="T1121" t="s">
        <v>12902</v>
      </c>
      <c r="U1121" t="s">
        <v>12902</v>
      </c>
      <c r="V1121" t="s">
        <v>12902</v>
      </c>
      <c r="W1121" t="s">
        <v>13999</v>
      </c>
      <c r="X1121">
        <v>1</v>
      </c>
      <c r="Y1121" t="s">
        <v>20388</v>
      </c>
      <c r="Z1121" t="s">
        <v>26696</v>
      </c>
      <c r="AA1121">
        <v>0.50096881642931512</v>
      </c>
      <c r="AB1121" t="str">
        <f>HYPERLINK("Melting_Curves/meltCurve_J3QQM4_SMURF2.pdf", "Melting_Curves/meltCurve_J3QQM4_SMURF2.pdf")</f>
        <v>Melting_Curves/meltCurve_J3QQM4_SMURF2.pdf</v>
      </c>
    </row>
    <row r="1122" spans="1:28" x14ac:dyDescent="0.25">
      <c r="A1122" t="s">
        <v>1126</v>
      </c>
      <c r="B1122">
        <v>0.99673306730245903</v>
      </c>
      <c r="C1122">
        <v>0.49728292230821503</v>
      </c>
      <c r="D1122">
        <v>0.89930541695704203</v>
      </c>
      <c r="E1122">
        <v>0.91459174495140505</v>
      </c>
      <c r="F1122">
        <v>0.40930730464032899</v>
      </c>
      <c r="G1122">
        <v>0.232798249651858</v>
      </c>
      <c r="H1122">
        <v>0.103708131363507</v>
      </c>
      <c r="I1122">
        <v>8.7864355415377196E-2</v>
      </c>
      <c r="J1122">
        <v>0.12077797892643199</v>
      </c>
      <c r="K1122">
        <v>0.120339502600079</v>
      </c>
      <c r="L1122">
        <v>605.78722586884305</v>
      </c>
      <c r="M1122">
        <v>11.5187713261183</v>
      </c>
      <c r="N1122">
        <v>52.609644952838998</v>
      </c>
      <c r="O1122">
        <v>51.081143237298697</v>
      </c>
      <c r="P1122">
        <v>-5.6277776241567802E-2</v>
      </c>
      <c r="Q1122">
        <v>2.0041672951742599E-3</v>
      </c>
      <c r="R1122">
        <v>0.77864196419519105</v>
      </c>
      <c r="S1122" t="s">
        <v>7574</v>
      </c>
      <c r="T1122" t="s">
        <v>12902</v>
      </c>
      <c r="U1122" t="s">
        <v>12902</v>
      </c>
      <c r="V1122" t="s">
        <v>12902</v>
      </c>
      <c r="W1122" t="s">
        <v>14000</v>
      </c>
      <c r="X1122">
        <v>9</v>
      </c>
      <c r="Y1122" t="s">
        <v>20389</v>
      </c>
      <c r="Z1122" t="s">
        <v>26697</v>
      </c>
      <c r="AA1122">
        <v>0.45160752771765622</v>
      </c>
      <c r="AB1122" t="str">
        <f>HYPERLINK("Melting_Curves/meltCurve_J3QQT2_RPL17.pdf", "Melting_Curves/meltCurve_J3QQT2_RPL17.pdf")</f>
        <v>Melting_Curves/meltCurve_J3QQT2_RPL17.pdf</v>
      </c>
    </row>
    <row r="1123" spans="1:28" x14ac:dyDescent="0.25">
      <c r="A1123" t="s">
        <v>1127</v>
      </c>
      <c r="B1123">
        <v>0.99673306730245903</v>
      </c>
      <c r="C1123">
        <v>0.99282878556186904</v>
      </c>
      <c r="D1123">
        <v>0.89083737430364995</v>
      </c>
      <c r="E1123">
        <v>0.71268071699690405</v>
      </c>
      <c r="F1123">
        <v>0.61585544590416397</v>
      </c>
      <c r="G1123">
        <v>0.298199303982006</v>
      </c>
      <c r="H1123">
        <v>0.20839167400699601</v>
      </c>
      <c r="I1123">
        <v>0.127719593293876</v>
      </c>
      <c r="J1123">
        <v>0.10912521577050301</v>
      </c>
      <c r="K1123">
        <v>9.4908777154269305E-2</v>
      </c>
      <c r="L1123">
        <v>723.84714531829695</v>
      </c>
      <c r="M1123">
        <v>13.527149129710301</v>
      </c>
      <c r="N1123">
        <v>53.896680967040602</v>
      </c>
      <c r="O1123">
        <v>52.381863270092097</v>
      </c>
      <c r="P1123">
        <v>-6.1589222445822503E-2</v>
      </c>
      <c r="Q1123">
        <v>4.6164100765133803E-2</v>
      </c>
      <c r="R1123">
        <v>0.99160999156763796</v>
      </c>
      <c r="S1123" t="s">
        <v>7575</v>
      </c>
      <c r="T1123" t="s">
        <v>12902</v>
      </c>
      <c r="U1123" t="s">
        <v>12902</v>
      </c>
      <c r="V1123" t="s">
        <v>12902</v>
      </c>
      <c r="W1123" t="s">
        <v>14001</v>
      </c>
      <c r="X1123">
        <v>3</v>
      </c>
      <c r="Y1123" t="s">
        <v>20390</v>
      </c>
      <c r="Z1123" t="s">
        <v>26698</v>
      </c>
      <c r="AA1123">
        <v>0.49855487149212752</v>
      </c>
      <c r="AB1123" t="str">
        <f>HYPERLINK("Melting_Curves/meltCurve_J3QQW9_SUZ12.pdf", "Melting_Curves/meltCurve_J3QQW9_SUZ12.pdf")</f>
        <v>Melting_Curves/meltCurve_J3QQW9_SUZ12.pdf</v>
      </c>
    </row>
    <row r="1124" spans="1:28" x14ac:dyDescent="0.25">
      <c r="A1124" t="s">
        <v>1128</v>
      </c>
      <c r="B1124">
        <v>0.99673306730245903</v>
      </c>
      <c r="C1124">
        <v>0.90951881071865004</v>
      </c>
      <c r="D1124">
        <v>1.01423504913872</v>
      </c>
      <c r="E1124">
        <v>0.74595500828959904</v>
      </c>
      <c r="F1124">
        <v>0.55090172048346098</v>
      </c>
      <c r="G1124">
        <v>0.50977133872029701</v>
      </c>
      <c r="H1124">
        <v>0.51219915748248102</v>
      </c>
      <c r="I1124">
        <v>0.80359155876380395</v>
      </c>
      <c r="J1124">
        <v>1.29999285401289</v>
      </c>
      <c r="K1124">
        <v>1.1168309712647699</v>
      </c>
      <c r="L1124">
        <v>11907.187710047099</v>
      </c>
      <c r="M1124">
        <v>250</v>
      </c>
      <c r="O1124">
        <v>47.625702936086299</v>
      </c>
      <c r="P1124">
        <v>-0.27385483640298802</v>
      </c>
      <c r="Q1124">
        <v>0.79131953495416996</v>
      </c>
      <c r="R1124">
        <v>0.102731814338563</v>
      </c>
      <c r="S1124" t="s">
        <v>7576</v>
      </c>
      <c r="T1124" t="s">
        <v>12902</v>
      </c>
      <c r="U1124" t="s">
        <v>12902</v>
      </c>
      <c r="V1124" t="s">
        <v>12902</v>
      </c>
      <c r="W1124" t="s">
        <v>14002</v>
      </c>
      <c r="X1124">
        <v>4</v>
      </c>
      <c r="Y1124" t="s">
        <v>20391</v>
      </c>
      <c r="Z1124" t="s">
        <v>26699</v>
      </c>
      <c r="AA1124">
        <v>0.84440268717935596</v>
      </c>
      <c r="AB1124" t="str">
        <f>HYPERLINK("Melting_Curves/meltCurve_J3QR07_YTHDC1.pdf", "Melting_Curves/meltCurve_J3QR07_YTHDC1.pdf")</f>
        <v>Melting_Curves/meltCurve_J3QR07_YTHDC1.pdf</v>
      </c>
    </row>
    <row r="1125" spans="1:28" x14ac:dyDescent="0.25">
      <c r="A1125" t="s">
        <v>1129</v>
      </c>
      <c r="B1125">
        <v>0.99673306730245903</v>
      </c>
      <c r="C1125">
        <v>0.95240754425715901</v>
      </c>
      <c r="D1125">
        <v>0.93048855643330797</v>
      </c>
      <c r="E1125">
        <v>0.78824133611373304</v>
      </c>
      <c r="F1125">
        <v>0.64699137620092995</v>
      </c>
      <c r="G1125">
        <v>0.32353806976752097</v>
      </c>
      <c r="H1125">
        <v>0.19641736792631401</v>
      </c>
      <c r="I1125">
        <v>0.14676570919252199</v>
      </c>
      <c r="J1125">
        <v>0.225187329279918</v>
      </c>
      <c r="K1125">
        <v>0.175696226812871</v>
      </c>
      <c r="L1125">
        <v>971.66063792250702</v>
      </c>
      <c r="M1125">
        <v>18.241859524428399</v>
      </c>
      <c r="N1125">
        <v>54.324067243261503</v>
      </c>
      <c r="O1125">
        <v>52.637699068581902</v>
      </c>
      <c r="P1125">
        <v>-7.3682587081439502E-2</v>
      </c>
      <c r="Q1125">
        <v>0.14958222557023701</v>
      </c>
      <c r="R1125">
        <v>0.98689569549464795</v>
      </c>
      <c r="S1125" t="s">
        <v>7577</v>
      </c>
      <c r="T1125" t="s">
        <v>12902</v>
      </c>
      <c r="U1125" t="s">
        <v>12902</v>
      </c>
      <c r="V1125" t="s">
        <v>12902</v>
      </c>
      <c r="W1125" t="s">
        <v>14003</v>
      </c>
      <c r="X1125">
        <v>10</v>
      </c>
      <c r="Y1125" t="s">
        <v>20392</v>
      </c>
      <c r="Z1125" t="s">
        <v>26700</v>
      </c>
      <c r="AA1125">
        <v>0.53918299658732238</v>
      </c>
      <c r="AB1125" t="str">
        <f>HYPERLINK("Melting_Curves/meltCurve_J3QR09_RPL19.pdf", "Melting_Curves/meltCurve_J3QR09_RPL19.pdf")</f>
        <v>Melting_Curves/meltCurve_J3QR09_RPL19.pdf</v>
      </c>
    </row>
    <row r="1126" spans="1:28" x14ac:dyDescent="0.25">
      <c r="A1126" t="s">
        <v>1130</v>
      </c>
      <c r="B1126">
        <v>0.99673306730245903</v>
      </c>
      <c r="C1126">
        <v>0.82541552583685296</v>
      </c>
      <c r="D1126">
        <v>0.64491891579636595</v>
      </c>
      <c r="E1126">
        <v>0.45553751632467798</v>
      </c>
      <c r="F1126">
        <v>0.273050544000838</v>
      </c>
      <c r="G1126">
        <v>0.20932293308650099</v>
      </c>
      <c r="H1126">
        <v>0.15633827715300799</v>
      </c>
      <c r="I1126">
        <v>0.13380934102261899</v>
      </c>
      <c r="J1126">
        <v>0.16871948951771701</v>
      </c>
      <c r="K1126">
        <v>0.13561728055326999</v>
      </c>
      <c r="L1126">
        <v>692.04939019143103</v>
      </c>
      <c r="M1126">
        <v>14.592759409654301</v>
      </c>
      <c r="N1126">
        <v>48.445152874255697</v>
      </c>
      <c r="O1126">
        <v>46.560283125548203</v>
      </c>
      <c r="P1126">
        <v>-6.7989642976987397E-2</v>
      </c>
      <c r="Q1126">
        <v>0.13237516302522001</v>
      </c>
      <c r="R1126">
        <v>0.99444868208431503</v>
      </c>
      <c r="S1126" t="s">
        <v>7578</v>
      </c>
      <c r="T1126" t="s">
        <v>12902</v>
      </c>
      <c r="U1126" t="s">
        <v>12902</v>
      </c>
      <c r="V1126" t="s">
        <v>12902</v>
      </c>
      <c r="W1126" t="s">
        <v>14004</v>
      </c>
      <c r="X1126">
        <v>1</v>
      </c>
      <c r="Y1126" t="s">
        <v>20393</v>
      </c>
      <c r="Z1126" t="s">
        <v>26701</v>
      </c>
      <c r="AA1126">
        <v>0.37139311677888692</v>
      </c>
      <c r="AB1126" t="str">
        <f>HYPERLINK("Melting_Curves/meltCurve_J3QRH2_IFT20.pdf", "Melting_Curves/meltCurve_J3QRH2_IFT20.pdf")</f>
        <v>Melting_Curves/meltCurve_J3QRH2_IFT20.pdf</v>
      </c>
    </row>
    <row r="1127" spans="1:28" x14ac:dyDescent="0.25">
      <c r="A1127" t="s">
        <v>1131</v>
      </c>
      <c r="B1127">
        <v>0.99673306730245903</v>
      </c>
      <c r="C1127">
        <v>0.89749507825470098</v>
      </c>
      <c r="D1127">
        <v>0.98295622837574204</v>
      </c>
      <c r="E1127">
        <v>0.59325891063190705</v>
      </c>
      <c r="F1127">
        <v>0.52326108692241202</v>
      </c>
      <c r="G1127">
        <v>0.265232703627029</v>
      </c>
      <c r="H1127">
        <v>0.23177754057762101</v>
      </c>
      <c r="I1127">
        <v>0.403146643367218</v>
      </c>
      <c r="J1127">
        <v>0.39024374459962502</v>
      </c>
      <c r="K1127">
        <v>0.50861437875624305</v>
      </c>
      <c r="L1127">
        <v>1531.3402969793101</v>
      </c>
      <c r="M1127">
        <v>31.215666523695599</v>
      </c>
      <c r="N1127">
        <v>51.304827158540597</v>
      </c>
      <c r="O1127">
        <v>48.856774993881203</v>
      </c>
      <c r="P1127">
        <v>-0.10020517373535601</v>
      </c>
      <c r="Q1127">
        <v>0.37266444259618198</v>
      </c>
      <c r="R1127">
        <v>0.89500082178025697</v>
      </c>
      <c r="S1127" t="s">
        <v>7579</v>
      </c>
      <c r="T1127" t="s">
        <v>12902</v>
      </c>
      <c r="U1127" t="s">
        <v>12902</v>
      </c>
      <c r="V1127" t="s">
        <v>12902</v>
      </c>
      <c r="W1127" t="s">
        <v>14005</v>
      </c>
      <c r="X1127">
        <v>1</v>
      </c>
      <c r="Y1127" t="s">
        <v>20394</v>
      </c>
      <c r="Z1127" t="s">
        <v>26702</v>
      </c>
      <c r="AA1127">
        <v>0.56557803840540999</v>
      </c>
      <c r="AB1127" t="str">
        <f>HYPERLINK("Melting_Curves/meltCurve_J3QRM9_ORMDL3.pdf", "Melting_Curves/meltCurve_J3QRM9_ORMDL3.pdf")</f>
        <v>Melting_Curves/meltCurve_J3QRM9_ORMDL3.pdf</v>
      </c>
    </row>
    <row r="1128" spans="1:28" x14ac:dyDescent="0.25">
      <c r="A1128" t="s">
        <v>1132</v>
      </c>
      <c r="B1128">
        <v>0.99673306730245903</v>
      </c>
      <c r="C1128">
        <v>1.0173085234509101</v>
      </c>
      <c r="D1128">
        <v>0.95950997457359</v>
      </c>
      <c r="E1128">
        <v>1.07302173087534</v>
      </c>
      <c r="F1128">
        <v>0.55085700059968101</v>
      </c>
      <c r="G1128">
        <v>0.40183537203223602</v>
      </c>
      <c r="H1128">
        <v>0.23396313875284599</v>
      </c>
      <c r="I1128">
        <v>0.32649597396894098</v>
      </c>
      <c r="J1128">
        <v>0.374115370704172</v>
      </c>
      <c r="K1128">
        <v>0.413102018435618</v>
      </c>
      <c r="L1128">
        <v>12108.8315458584</v>
      </c>
      <c r="M1128">
        <v>228.413877083458</v>
      </c>
      <c r="N1128">
        <v>53.293439758279597</v>
      </c>
      <c r="O1128">
        <v>53.008594659126501</v>
      </c>
      <c r="P1128">
        <v>-0.70031696444876601</v>
      </c>
      <c r="Q1128">
        <v>0.34990232787600301</v>
      </c>
      <c r="R1128">
        <v>0.97170355092623695</v>
      </c>
      <c r="S1128" t="s">
        <v>7580</v>
      </c>
      <c r="T1128" t="s">
        <v>12902</v>
      </c>
      <c r="U1128" t="s">
        <v>12902</v>
      </c>
      <c r="V1128" t="s">
        <v>12902</v>
      </c>
      <c r="W1128" t="s">
        <v>14006</v>
      </c>
      <c r="X1128">
        <v>8</v>
      </c>
      <c r="Y1128" t="s">
        <v>20395</v>
      </c>
      <c r="Z1128" t="s">
        <v>26703</v>
      </c>
      <c r="AA1128">
        <v>0.63195853005287472</v>
      </c>
      <c r="AB1128" t="str">
        <f>HYPERLINK("Melting_Curves/meltCurve_J3QRS3_MYL12A.pdf", "Melting_Curves/meltCurve_J3QRS3_MYL12A.pdf")</f>
        <v>Melting_Curves/meltCurve_J3QRS3_MYL12A.pdf</v>
      </c>
    </row>
    <row r="1129" spans="1:28" x14ac:dyDescent="0.25">
      <c r="A1129" t="s">
        <v>1133</v>
      </c>
      <c r="B1129">
        <v>0.99673306730245903</v>
      </c>
      <c r="C1129">
        <v>0.98513938279465796</v>
      </c>
      <c r="D1129">
        <v>0.94589742621075101</v>
      </c>
      <c r="E1129">
        <v>0.90083666044424004</v>
      </c>
      <c r="F1129">
        <v>0.73265757728483205</v>
      </c>
      <c r="G1129">
        <v>0.59165685999845197</v>
      </c>
      <c r="H1129">
        <v>0.381086503932142</v>
      </c>
      <c r="I1129">
        <v>0.312959951277194</v>
      </c>
      <c r="J1129">
        <v>0.24043953639663601</v>
      </c>
      <c r="K1129">
        <v>0.254350978100918</v>
      </c>
      <c r="L1129">
        <v>778.15918701510702</v>
      </c>
      <c r="M1129">
        <v>13.820563597182501</v>
      </c>
      <c r="N1129">
        <v>58.199429336803099</v>
      </c>
      <c r="O1129">
        <v>55.164930403221497</v>
      </c>
      <c r="P1129">
        <v>-5.1291873868036103E-2</v>
      </c>
      <c r="Q1129">
        <v>0.181185924068753</v>
      </c>
      <c r="R1129">
        <v>0.99718565315656404</v>
      </c>
      <c r="S1129" t="s">
        <v>7581</v>
      </c>
      <c r="T1129" t="s">
        <v>12902</v>
      </c>
      <c r="U1129" t="s">
        <v>12902</v>
      </c>
      <c r="V1129" t="s">
        <v>12902</v>
      </c>
      <c r="W1129" t="s">
        <v>14007</v>
      </c>
      <c r="X1129">
        <v>6</v>
      </c>
      <c r="Y1129" t="s">
        <v>20396</v>
      </c>
      <c r="Z1129" t="s">
        <v>26704</v>
      </c>
      <c r="AA1129">
        <v>0.64109366583147076</v>
      </c>
      <c r="AB1129" t="str">
        <f>HYPERLINK("Melting_Curves/meltCurve_J3QRS9_ZNF207.pdf", "Melting_Curves/meltCurve_J3QRS9_ZNF207.pdf")</f>
        <v>Melting_Curves/meltCurve_J3QRS9_ZNF207.pdf</v>
      </c>
    </row>
    <row r="1130" spans="1:28" x14ac:dyDescent="0.25">
      <c r="A1130" t="s">
        <v>1134</v>
      </c>
      <c r="B1130">
        <v>0.99673306730245903</v>
      </c>
      <c r="C1130">
        <v>0.95157800579098994</v>
      </c>
      <c r="D1130">
        <v>0.80575316021486698</v>
      </c>
      <c r="E1130">
        <v>0.55393815915635203</v>
      </c>
      <c r="F1130">
        <v>0.29385127242511599</v>
      </c>
      <c r="G1130">
        <v>0.161863603494036</v>
      </c>
      <c r="H1130">
        <v>0.10899874420126</v>
      </c>
      <c r="I1130">
        <v>9.9848834453428306E-2</v>
      </c>
      <c r="J1130">
        <v>0.115916098456152</v>
      </c>
      <c r="K1130">
        <v>0.100263048230743</v>
      </c>
      <c r="L1130">
        <v>902.70581067716296</v>
      </c>
      <c r="M1130">
        <v>18.218383433659302</v>
      </c>
      <c r="N1130">
        <v>50.100782374368301</v>
      </c>
      <c r="O1130">
        <v>48.963754324833197</v>
      </c>
      <c r="P1130">
        <v>-8.4570667634281296E-2</v>
      </c>
      <c r="Q1130">
        <v>9.08737684766735E-2</v>
      </c>
      <c r="R1130">
        <v>0.999147656374752</v>
      </c>
      <c r="S1130" t="s">
        <v>7582</v>
      </c>
      <c r="T1130" t="s">
        <v>12902</v>
      </c>
      <c r="U1130" t="s">
        <v>12902</v>
      </c>
      <c r="V1130" t="s">
        <v>12902</v>
      </c>
      <c r="W1130" t="s">
        <v>14008</v>
      </c>
      <c r="X1130">
        <v>7</v>
      </c>
      <c r="Y1130" t="s">
        <v>20397</v>
      </c>
      <c r="Z1130" t="s">
        <v>26705</v>
      </c>
      <c r="AA1130">
        <v>0.39549414555397761</v>
      </c>
      <c r="AB1130" t="str">
        <f>HYPERLINK("Melting_Curves/meltCurve_J3QRU1_YES1.pdf", "Melting_Curves/meltCurve_J3QRU1_YES1.pdf")</f>
        <v>Melting_Curves/meltCurve_J3QRU1_YES1.pdf</v>
      </c>
    </row>
    <row r="1131" spans="1:28" x14ac:dyDescent="0.25">
      <c r="A1131" t="s">
        <v>1135</v>
      </c>
      <c r="B1131">
        <v>0.99673306730245903</v>
      </c>
      <c r="C1131">
        <v>0.94279382149923696</v>
      </c>
      <c r="D1131">
        <v>0.79785267043291297</v>
      </c>
      <c r="E1131">
        <v>0.60405086075260095</v>
      </c>
      <c r="F1131">
        <v>0.61422429187190797</v>
      </c>
      <c r="G1131">
        <v>0.45422301777179402</v>
      </c>
      <c r="H1131">
        <v>0.37391715958586202</v>
      </c>
      <c r="I1131">
        <v>0.47677524707364999</v>
      </c>
      <c r="J1131">
        <v>0.50892003674521702</v>
      </c>
      <c r="K1131">
        <v>0.50957728317175599</v>
      </c>
      <c r="L1131">
        <v>873.10266154301496</v>
      </c>
      <c r="M1131">
        <v>18.429270865868101</v>
      </c>
      <c r="N1131">
        <v>55.690524280561803</v>
      </c>
      <c r="O1131">
        <v>46.828612061638999</v>
      </c>
      <c r="P1131">
        <v>-5.23358308080622E-2</v>
      </c>
      <c r="Q1131">
        <v>0.46808433218178003</v>
      </c>
      <c r="R1131">
        <v>0.94345589592141899</v>
      </c>
      <c r="S1131" t="s">
        <v>7583</v>
      </c>
      <c r="T1131" t="s">
        <v>12902</v>
      </c>
      <c r="U1131" t="s">
        <v>12902</v>
      </c>
      <c r="V1131" t="s">
        <v>12902</v>
      </c>
      <c r="W1131" t="s">
        <v>14009</v>
      </c>
      <c r="X1131">
        <v>7</v>
      </c>
      <c r="Y1131" t="s">
        <v>20398</v>
      </c>
      <c r="Z1131" t="s">
        <v>26706</v>
      </c>
      <c r="AA1131">
        <v>0.60803448731645848</v>
      </c>
      <c r="AB1131" t="str">
        <f>HYPERLINK("Melting_Curves/meltCurve_J3QRU4_VAMP2.pdf", "Melting_Curves/meltCurve_J3QRU4_VAMP2.pdf")</f>
        <v>Melting_Curves/meltCurve_J3QRU4_VAMP2.pdf</v>
      </c>
    </row>
    <row r="1132" spans="1:28" x14ac:dyDescent="0.25">
      <c r="A1132" t="s">
        <v>1136</v>
      </c>
      <c r="B1132">
        <v>0.99673306730245903</v>
      </c>
      <c r="C1132">
        <v>0.89648489017629096</v>
      </c>
      <c r="D1132">
        <v>0.83798963781865299</v>
      </c>
      <c r="E1132">
        <v>0.717105404428798</v>
      </c>
      <c r="F1132">
        <v>0.29344344630498298</v>
      </c>
      <c r="G1132">
        <v>0.17554861389829701</v>
      </c>
      <c r="H1132">
        <v>0.107746963748569</v>
      </c>
      <c r="I1132">
        <v>0.103950343192247</v>
      </c>
      <c r="J1132">
        <v>0.108368786429061</v>
      </c>
      <c r="K1132">
        <v>9.3231490552283802E-2</v>
      </c>
      <c r="L1132">
        <v>997.79444331063303</v>
      </c>
      <c r="M1132">
        <v>19.682836783146399</v>
      </c>
      <c r="N1132">
        <v>51.168491317679297</v>
      </c>
      <c r="O1132">
        <v>50.179056701646402</v>
      </c>
      <c r="P1132">
        <v>-8.9880240170173403E-2</v>
      </c>
      <c r="Q1132">
        <v>8.3475752762669594E-2</v>
      </c>
      <c r="R1132">
        <v>0.98611527317014003</v>
      </c>
      <c r="S1132" t="s">
        <v>7584</v>
      </c>
      <c r="T1132" t="s">
        <v>12902</v>
      </c>
      <c r="U1132" t="s">
        <v>12902</v>
      </c>
      <c r="V1132" t="s">
        <v>12902</v>
      </c>
      <c r="W1132" t="s">
        <v>14010</v>
      </c>
      <c r="X1132">
        <v>12</v>
      </c>
      <c r="Y1132" t="s">
        <v>20399</v>
      </c>
      <c r="Z1132" t="s">
        <v>26707</v>
      </c>
      <c r="AA1132">
        <v>0.42329806399812248</v>
      </c>
      <c r="AB1132" t="str">
        <f>HYPERLINK("Melting_Curves/meltCurve_J3QRV5_LLGL2.pdf", "Melting_Curves/meltCurve_J3QRV5_LLGL2.pdf")</f>
        <v>Melting_Curves/meltCurve_J3QRV5_LLGL2.pdf</v>
      </c>
    </row>
    <row r="1133" spans="1:28" x14ac:dyDescent="0.25">
      <c r="A1133" t="s">
        <v>1137</v>
      </c>
      <c r="B1133">
        <v>0.99673306730245903</v>
      </c>
      <c r="C1133">
        <v>0.95954231937206702</v>
      </c>
      <c r="D1133">
        <v>1.09120173418889</v>
      </c>
      <c r="E1133">
        <v>1.2359220705062299</v>
      </c>
      <c r="F1133">
        <v>1.37845967430385</v>
      </c>
      <c r="G1133">
        <v>1.3852960664168601</v>
      </c>
      <c r="H1133">
        <v>1.0022381712695501</v>
      </c>
      <c r="I1133">
        <v>2.0580360364886299</v>
      </c>
      <c r="J1133">
        <v>2.4417488198808002</v>
      </c>
      <c r="K1133">
        <v>2.6988878705536998</v>
      </c>
      <c r="L1133">
        <v>1105.15700807233</v>
      </c>
      <c r="M1133">
        <v>22.029784547085701</v>
      </c>
      <c r="O1133">
        <v>49.758604194004597</v>
      </c>
      <c r="P1133">
        <v>5.5342874527060298E-2</v>
      </c>
      <c r="Q1133">
        <v>1.5</v>
      </c>
      <c r="R1133">
        <v>0.21508921680184501</v>
      </c>
      <c r="S1133" t="s">
        <v>7585</v>
      </c>
      <c r="T1133" t="s">
        <v>12902</v>
      </c>
      <c r="U1133" t="s">
        <v>12902</v>
      </c>
      <c r="V1133" t="s">
        <v>12902</v>
      </c>
      <c r="W1133" t="s">
        <v>14011</v>
      </c>
      <c r="X1133">
        <v>1</v>
      </c>
      <c r="Y1133" t="s">
        <v>20400</v>
      </c>
      <c r="Z1133" t="s">
        <v>26708</v>
      </c>
      <c r="AA1133">
        <v>1.3248007245954101</v>
      </c>
      <c r="AB1133" t="str">
        <f>HYPERLINK("Melting_Curves/meltCurve_J3QRX6_COPRS.pdf", "Melting_Curves/meltCurve_J3QRX6_COPRS.pdf")</f>
        <v>Melting_Curves/meltCurve_J3QRX6_COPRS.pdf</v>
      </c>
    </row>
    <row r="1134" spans="1:28" x14ac:dyDescent="0.25">
      <c r="A1134" t="s">
        <v>1138</v>
      </c>
      <c r="B1134">
        <v>0.99673306730245903</v>
      </c>
      <c r="C1134">
        <v>1.0401955057246</v>
      </c>
      <c r="D1134">
        <v>0.93412639775717798</v>
      </c>
      <c r="E1134">
        <v>0.53922688217658798</v>
      </c>
      <c r="F1134">
        <v>0.72641376038172301</v>
      </c>
      <c r="G1134">
        <v>0.28887651252771601</v>
      </c>
      <c r="H1134">
        <v>0.31028651995668399</v>
      </c>
      <c r="I1134">
        <v>0.40755063980228501</v>
      </c>
      <c r="J1134">
        <v>7.1251557050555803E-2</v>
      </c>
      <c r="K1134">
        <v>7.2756554252764102E-2</v>
      </c>
      <c r="L1134">
        <v>527.44528963940797</v>
      </c>
      <c r="M1134">
        <v>9.6331656196358093</v>
      </c>
      <c r="N1134">
        <v>54.945458084941599</v>
      </c>
      <c r="O1134">
        <v>52.549616193869497</v>
      </c>
      <c r="P1134">
        <v>-4.5094132793987801E-2</v>
      </c>
      <c r="Q1134">
        <v>1.6584609571968102E-2</v>
      </c>
      <c r="R1134">
        <v>0.881674668208277</v>
      </c>
      <c r="S1134" t="s">
        <v>7586</v>
      </c>
      <c r="T1134" t="s">
        <v>12902</v>
      </c>
      <c r="U1134" t="s">
        <v>12902</v>
      </c>
      <c r="V1134" t="s">
        <v>12902</v>
      </c>
      <c r="W1134" t="s">
        <v>14012</v>
      </c>
      <c r="X1134">
        <v>2</v>
      </c>
      <c r="Y1134" t="s">
        <v>20401</v>
      </c>
      <c r="Z1134" t="s">
        <v>26709</v>
      </c>
      <c r="AA1134">
        <v>0.52717109787723149</v>
      </c>
      <c r="AB1134" t="str">
        <f>HYPERLINK("Melting_Curves/meltCurve_J3QS41_HELZ.pdf", "Melting_Curves/meltCurve_J3QS41_HELZ.pdf")</f>
        <v>Melting_Curves/meltCurve_J3QS41_HELZ.pdf</v>
      </c>
    </row>
    <row r="1135" spans="1:28" x14ac:dyDescent="0.25">
      <c r="A1135" t="s">
        <v>1139</v>
      </c>
      <c r="B1135">
        <v>0.99673306730245903</v>
      </c>
      <c r="C1135">
        <v>0.76842541006285403</v>
      </c>
      <c r="D1135">
        <v>0.52413463078946598</v>
      </c>
      <c r="E1135">
        <v>0.37085367640639899</v>
      </c>
      <c r="F1135">
        <v>0.19180328867365001</v>
      </c>
      <c r="G1135">
        <v>0.15890729498408601</v>
      </c>
      <c r="H1135">
        <v>0.103586440140629</v>
      </c>
      <c r="I1135">
        <v>0.104988754952584</v>
      </c>
      <c r="J1135">
        <v>0.14202062341646199</v>
      </c>
      <c r="K1135">
        <v>0.17346120614888499</v>
      </c>
      <c r="L1135">
        <v>775.98692064445902</v>
      </c>
      <c r="M1135">
        <v>16.917194272729201</v>
      </c>
      <c r="N1135">
        <v>46.681531979047698</v>
      </c>
      <c r="O1135">
        <v>45.243156697419401</v>
      </c>
      <c r="P1135">
        <v>-8.1571802076749703E-2</v>
      </c>
      <c r="Q1135">
        <v>0.12743608025330599</v>
      </c>
      <c r="R1135">
        <v>0.98550739461232895</v>
      </c>
      <c r="S1135" t="s">
        <v>7587</v>
      </c>
      <c r="T1135" t="s">
        <v>12902</v>
      </c>
      <c r="U1135" t="s">
        <v>12902</v>
      </c>
      <c r="V1135" t="s">
        <v>12902</v>
      </c>
      <c r="W1135" t="s">
        <v>14013</v>
      </c>
      <c r="X1135">
        <v>4</v>
      </c>
      <c r="Y1135" t="s">
        <v>20402</v>
      </c>
      <c r="Z1135" t="s">
        <v>26710</v>
      </c>
      <c r="AA1135">
        <v>0.31803260424502688</v>
      </c>
      <c r="AB1135" t="str">
        <f>HYPERLINK("Melting_Curves/meltCurve_J3QSH4_VEZF1.pdf", "Melting_Curves/meltCurve_J3QSH4_VEZF1.pdf")</f>
        <v>Melting_Curves/meltCurve_J3QSH4_VEZF1.pdf</v>
      </c>
    </row>
    <row r="1136" spans="1:28" x14ac:dyDescent="0.25">
      <c r="A1136" t="s">
        <v>1140</v>
      </c>
      <c r="B1136">
        <v>0.99673306730245903</v>
      </c>
      <c r="C1136">
        <v>1.0184693122997599</v>
      </c>
      <c r="D1136">
        <v>0.99883727280197698</v>
      </c>
      <c r="E1136">
        <v>1.0730079579115199</v>
      </c>
      <c r="F1136">
        <v>0.66283006559310997</v>
      </c>
      <c r="G1136">
        <v>0.69129690783724496</v>
      </c>
      <c r="H1136">
        <v>0.62885581095396603</v>
      </c>
      <c r="I1136">
        <v>0.87628964216607497</v>
      </c>
      <c r="J1136">
        <v>1.45513067427265</v>
      </c>
      <c r="K1136">
        <v>1.5518351412198499</v>
      </c>
      <c r="L1136">
        <v>15000</v>
      </c>
      <c r="M1136">
        <v>225.856574414617</v>
      </c>
      <c r="O1136">
        <v>66.408631082586595</v>
      </c>
      <c r="P1136">
        <v>0.42512660075289599</v>
      </c>
      <c r="Q1136">
        <v>1.5</v>
      </c>
      <c r="R1136">
        <v>0.57865801060147004</v>
      </c>
      <c r="S1136" t="s">
        <v>7588</v>
      </c>
      <c r="T1136" t="s">
        <v>12902</v>
      </c>
      <c r="U1136" t="s">
        <v>12902</v>
      </c>
      <c r="V1136" t="s">
        <v>12902</v>
      </c>
      <c r="W1136" t="s">
        <v>14014</v>
      </c>
      <c r="X1136">
        <v>5</v>
      </c>
      <c r="Y1136" t="s">
        <v>20403</v>
      </c>
      <c r="Z1136" t="s">
        <v>26711</v>
      </c>
      <c r="AA1136">
        <v>1.0596981554777929</v>
      </c>
      <c r="AB1136" t="str">
        <f>HYPERLINK("Melting_Curves/meltCurve_J3QSS3_ABCA2.pdf", "Melting_Curves/meltCurve_J3QSS3_ABCA2.pdf")</f>
        <v>Melting_Curves/meltCurve_J3QSS3_ABCA2.pdf</v>
      </c>
    </row>
    <row r="1137" spans="1:28" x14ac:dyDescent="0.25">
      <c r="A1137" t="s">
        <v>1141</v>
      </c>
      <c r="B1137">
        <v>0.99673306730245903</v>
      </c>
      <c r="C1137">
        <v>1.11242968176457</v>
      </c>
      <c r="D1137">
        <v>1.22261728258354</v>
      </c>
      <c r="E1137">
        <v>1.52493169525647</v>
      </c>
      <c r="F1137">
        <v>1.0575424710390999</v>
      </c>
      <c r="G1137">
        <v>0.30743402257002</v>
      </c>
      <c r="H1137">
        <v>0.160266448909646</v>
      </c>
      <c r="I1137">
        <v>0.15917137184671601</v>
      </c>
      <c r="J1137">
        <v>0.12720555802030001</v>
      </c>
      <c r="K1137">
        <v>6.1289071926553103</v>
      </c>
      <c r="L1137">
        <v>1458.3714085898</v>
      </c>
      <c r="M1137">
        <v>22.300681421323201</v>
      </c>
      <c r="O1137">
        <v>64.876780793127097</v>
      </c>
      <c r="P1137">
        <v>4.2968287007593399E-2</v>
      </c>
      <c r="Q1137">
        <v>1.5</v>
      </c>
      <c r="R1137">
        <v>7.1722484758898003E-2</v>
      </c>
      <c r="S1137" t="s">
        <v>7589</v>
      </c>
      <c r="T1137" t="s">
        <v>12902</v>
      </c>
      <c r="U1137" t="s">
        <v>12902</v>
      </c>
      <c r="V1137" t="s">
        <v>12902</v>
      </c>
      <c r="W1137" t="s">
        <v>14015</v>
      </c>
      <c r="X1137">
        <v>3</v>
      </c>
      <c r="Y1137" t="s">
        <v>20404</v>
      </c>
      <c r="Z1137" t="s">
        <v>26712</v>
      </c>
      <c r="AA1137">
        <v>1.0823284873640171</v>
      </c>
      <c r="AB1137" t="str">
        <f>HYPERLINK("Melting_Curves/meltCurve_J3QSV6_RSL1D1.pdf", "Melting_Curves/meltCurve_J3QSV6_RSL1D1.pdf")</f>
        <v>Melting_Curves/meltCurve_J3QSV6_RSL1D1.pdf</v>
      </c>
    </row>
    <row r="1138" spans="1:28" x14ac:dyDescent="0.25">
      <c r="A1138" t="s">
        <v>1142</v>
      </c>
      <c r="B1138">
        <v>0.99673306730245903</v>
      </c>
      <c r="C1138">
        <v>1.2859231323579701</v>
      </c>
      <c r="D1138">
        <v>1.23360239389733</v>
      </c>
      <c r="E1138">
        <v>1.6966678113468701</v>
      </c>
      <c r="F1138">
        <v>1.2055664210674799</v>
      </c>
      <c r="G1138">
        <v>1.45109190976737</v>
      </c>
      <c r="H1138">
        <v>1.2175964024618799</v>
      </c>
      <c r="I1138">
        <v>0.97452343707481803</v>
      </c>
      <c r="J1138">
        <v>0.20939042902123101</v>
      </c>
      <c r="K1138">
        <v>3.4901932555405697E-2</v>
      </c>
      <c r="L1138">
        <v>7154.5356054890199</v>
      </c>
      <c r="M1138">
        <v>108.12238657771201</v>
      </c>
      <c r="N1138">
        <v>66.211711658461894</v>
      </c>
      <c r="O1138">
        <v>66.148086769709707</v>
      </c>
      <c r="P1138">
        <v>-0.39540714762485002</v>
      </c>
      <c r="Q1138">
        <v>3.2377064085522003E-2</v>
      </c>
      <c r="R1138">
        <v>0.62851227842019697</v>
      </c>
      <c r="S1138" t="s">
        <v>7590</v>
      </c>
      <c r="T1138" t="s">
        <v>12902</v>
      </c>
      <c r="U1138" t="s">
        <v>12902</v>
      </c>
      <c r="V1138" t="s">
        <v>12902</v>
      </c>
      <c r="W1138" t="s">
        <v>14016</v>
      </c>
      <c r="X1138">
        <v>3</v>
      </c>
      <c r="Y1138" t="s">
        <v>20405</v>
      </c>
      <c r="Z1138" t="s">
        <v>26713</v>
      </c>
      <c r="AA1138">
        <v>0.87703043855007257</v>
      </c>
      <c r="AB1138" t="str">
        <f>HYPERLINK("Melting_Curves/meltCurve_J3QSW3_ZFP62.pdf", "Melting_Curves/meltCurve_J3QSW3_ZFP62.pdf")</f>
        <v>Melting_Curves/meltCurve_J3QSW3_ZFP62.pdf</v>
      </c>
    </row>
    <row r="1139" spans="1:28" x14ac:dyDescent="0.25">
      <c r="A1139" t="s">
        <v>1143</v>
      </c>
      <c r="B1139">
        <v>0.99673306730245903</v>
      </c>
      <c r="C1139">
        <v>0.97353870247321095</v>
      </c>
      <c r="D1139">
        <v>1.0150126807244499</v>
      </c>
      <c r="E1139">
        <v>1.0449618007175101</v>
      </c>
      <c r="F1139">
        <v>0.87212343599716602</v>
      </c>
      <c r="G1139">
        <v>0.46102806207200397</v>
      </c>
      <c r="H1139">
        <v>0.113242629659856</v>
      </c>
      <c r="I1139">
        <v>6.7040268443859699E-2</v>
      </c>
      <c r="J1139">
        <v>5.4395699164974602E-2</v>
      </c>
      <c r="K1139">
        <v>3.9962222405207998E-2</v>
      </c>
      <c r="L1139">
        <v>1905.4981717518799</v>
      </c>
      <c r="M1139">
        <v>33.826873583009998</v>
      </c>
      <c r="N1139">
        <v>56.489734169365803</v>
      </c>
      <c r="O1139">
        <v>56.135121221495702</v>
      </c>
      <c r="P1139">
        <v>-0.143815620594165</v>
      </c>
      <c r="Q1139">
        <v>4.5365558352539102E-2</v>
      </c>
      <c r="R1139">
        <v>0.99774076699948899</v>
      </c>
      <c r="S1139" t="s">
        <v>7591</v>
      </c>
      <c r="T1139" t="s">
        <v>12902</v>
      </c>
      <c r="U1139" t="s">
        <v>12902</v>
      </c>
      <c r="V1139" t="s">
        <v>12902</v>
      </c>
      <c r="W1139" t="s">
        <v>14017</v>
      </c>
      <c r="X1139">
        <v>7</v>
      </c>
      <c r="Y1139" t="s">
        <v>20406</v>
      </c>
      <c r="Z1139" t="s">
        <v>26714</v>
      </c>
      <c r="AA1139">
        <v>0.57013138879924929</v>
      </c>
      <c r="AB1139" t="str">
        <f>HYPERLINK("Melting_Curves/meltCurve_J3QT87_CRBN.pdf", "Melting_Curves/meltCurve_J3QT87_CRBN.pdf")</f>
        <v>Melting_Curves/meltCurve_J3QT87_CRBN.pdf</v>
      </c>
    </row>
    <row r="1140" spans="1:28" x14ac:dyDescent="0.25">
      <c r="A1140" t="s">
        <v>1144</v>
      </c>
      <c r="B1140">
        <v>0.99673306730245903</v>
      </c>
      <c r="C1140">
        <v>1.0347960094376101</v>
      </c>
      <c r="D1140">
        <v>0.952683656944733</v>
      </c>
      <c r="E1140">
        <v>0.88487529529290498</v>
      </c>
      <c r="F1140">
        <v>0.77669397227604098</v>
      </c>
      <c r="G1140">
        <v>0.42379176431313698</v>
      </c>
      <c r="H1140">
        <v>0.21094395466514701</v>
      </c>
      <c r="I1140">
        <v>0.28191426313907902</v>
      </c>
      <c r="J1140">
        <v>0.26872008915415402</v>
      </c>
      <c r="K1140">
        <v>0.28536656413557299</v>
      </c>
      <c r="L1140">
        <v>1598.9813302284299</v>
      </c>
      <c r="M1140">
        <v>29.381420171818899</v>
      </c>
      <c r="N1140">
        <v>55.758189440051197</v>
      </c>
      <c r="O1140">
        <v>54.1712782921973</v>
      </c>
      <c r="P1140">
        <v>-0.10131923533083501</v>
      </c>
      <c r="Q1140">
        <v>0.25278580011690099</v>
      </c>
      <c r="R1140">
        <v>0.98446897016419999</v>
      </c>
      <c r="S1140" t="s">
        <v>7592</v>
      </c>
      <c r="T1140" t="s">
        <v>12902</v>
      </c>
      <c r="U1140" t="s">
        <v>12902</v>
      </c>
      <c r="V1140" t="s">
        <v>12902</v>
      </c>
      <c r="W1140" t="s">
        <v>14018</v>
      </c>
      <c r="X1140">
        <v>2</v>
      </c>
      <c r="Y1140" t="s">
        <v>20407</v>
      </c>
      <c r="Z1140" t="s">
        <v>26715</v>
      </c>
      <c r="AA1140">
        <v>0.61711508011193195</v>
      </c>
      <c r="AB1140" t="str">
        <f>HYPERLINK("Melting_Curves/meltCurve_J3QTA2_BAG1.pdf", "Melting_Curves/meltCurve_J3QTA2_BAG1.pdf")</f>
        <v>Melting_Curves/meltCurve_J3QTA2_BAG1.pdf</v>
      </c>
    </row>
    <row r="1141" spans="1:28" x14ac:dyDescent="0.25">
      <c r="A1141" t="s">
        <v>1145</v>
      </c>
      <c r="B1141">
        <v>0.99673306730245903</v>
      </c>
      <c r="C1141">
        <v>0.95345913826204798</v>
      </c>
      <c r="D1141">
        <v>0.99089163712948203</v>
      </c>
      <c r="E1141">
        <v>0.85193445352478503</v>
      </c>
      <c r="F1141">
        <v>0.75336186898059199</v>
      </c>
      <c r="G1141">
        <v>0.62045766720449402</v>
      </c>
      <c r="H1141">
        <v>0.53974309482080896</v>
      </c>
      <c r="I1141">
        <v>0.70810450980045303</v>
      </c>
      <c r="J1141">
        <v>1.14763494152723</v>
      </c>
      <c r="K1141">
        <v>1.2556412784579101</v>
      </c>
      <c r="L1141">
        <v>3422.9654222982799</v>
      </c>
      <c r="M1141">
        <v>71.492699232865206</v>
      </c>
      <c r="O1141">
        <v>47.841110517532599</v>
      </c>
      <c r="P1141">
        <v>-6.06231117618636E-2</v>
      </c>
      <c r="Q1141">
        <v>0.83773020607579496</v>
      </c>
      <c r="R1141">
        <v>8.5988518840711695E-2</v>
      </c>
      <c r="S1141" t="s">
        <v>7593</v>
      </c>
      <c r="T1141" t="s">
        <v>12902</v>
      </c>
      <c r="U1141" t="s">
        <v>12902</v>
      </c>
      <c r="V1141" t="s">
        <v>12902</v>
      </c>
      <c r="W1141" t="s">
        <v>14019</v>
      </c>
      <c r="X1141">
        <v>12</v>
      </c>
      <c r="Y1141" t="s">
        <v>20408</v>
      </c>
      <c r="Z1141" t="s">
        <v>26716</v>
      </c>
      <c r="AA1141">
        <v>0.88051227295362156</v>
      </c>
      <c r="AB1141" t="str">
        <f>HYPERLINK("Melting_Curves/meltCurve_J3QTA6_CHCHD6.pdf", "Melting_Curves/meltCurve_J3QTA6_CHCHD6.pdf")</f>
        <v>Melting_Curves/meltCurve_J3QTA6_CHCHD6.pdf</v>
      </c>
    </row>
    <row r="1142" spans="1:28" x14ac:dyDescent="0.25">
      <c r="A1142" t="s">
        <v>1146</v>
      </c>
      <c r="B1142">
        <v>0.99673306730245903</v>
      </c>
      <c r="C1142">
        <v>0.98233121385743105</v>
      </c>
      <c r="D1142">
        <v>0.96642247550673299</v>
      </c>
      <c r="E1142">
        <v>0.99816887551368305</v>
      </c>
      <c r="F1142">
        <v>0.62530062069497805</v>
      </c>
      <c r="G1142">
        <v>0.26262379726873702</v>
      </c>
      <c r="H1142">
        <v>0.14458014320688001</v>
      </c>
      <c r="I1142">
        <v>0.112899171039705</v>
      </c>
      <c r="J1142">
        <v>0.12531221216102201</v>
      </c>
      <c r="K1142">
        <v>8.6654849711665205E-2</v>
      </c>
      <c r="L1142">
        <v>1790.63890407127</v>
      </c>
      <c r="M1142">
        <v>33.2562342803975</v>
      </c>
      <c r="N1142">
        <v>54.261879406145297</v>
      </c>
      <c r="O1142">
        <v>53.650144221902998</v>
      </c>
      <c r="P1142">
        <v>-0.137450718173071</v>
      </c>
      <c r="Q1142">
        <v>0.11304237204644101</v>
      </c>
      <c r="R1142">
        <v>0.996810949641178</v>
      </c>
      <c r="S1142" t="s">
        <v>7594</v>
      </c>
      <c r="T1142" t="s">
        <v>12902</v>
      </c>
      <c r="U1142" t="s">
        <v>12902</v>
      </c>
      <c r="V1142" t="s">
        <v>12902</v>
      </c>
      <c r="W1142" t="s">
        <v>14020</v>
      </c>
      <c r="X1142">
        <v>2</v>
      </c>
      <c r="Y1142" t="s">
        <v>20409</v>
      </c>
      <c r="Z1142" t="s">
        <v>26717</v>
      </c>
      <c r="AA1142">
        <v>0.52709068028291217</v>
      </c>
      <c r="AB1142" t="str">
        <f>HYPERLINK("Melting_Curves/meltCurve_J9JIC5_C17orf75.pdf", "Melting_Curves/meltCurve_J9JIC5_C17orf75.pdf")</f>
        <v>Melting_Curves/meltCurve_J9JIC5_C17orf75.pdf</v>
      </c>
    </row>
    <row r="1143" spans="1:28" x14ac:dyDescent="0.25">
      <c r="A1143" t="s">
        <v>1147</v>
      </c>
      <c r="B1143">
        <v>0.99673306730245903</v>
      </c>
      <c r="C1143">
        <v>1.00451132463822</v>
      </c>
      <c r="D1143">
        <v>0.97900440448838799</v>
      </c>
      <c r="E1143">
        <v>0.86380141571944902</v>
      </c>
      <c r="F1143">
        <v>0.46013809192904398</v>
      </c>
      <c r="G1143">
        <v>0.302090224240528</v>
      </c>
      <c r="H1143">
        <v>0.210970970795854</v>
      </c>
      <c r="I1143">
        <v>0.24376446013278999</v>
      </c>
      <c r="J1143">
        <v>0.31262356064598701</v>
      </c>
      <c r="K1143">
        <v>0.287829736885099</v>
      </c>
      <c r="L1143">
        <v>1827.3071928838399</v>
      </c>
      <c r="M1143">
        <v>35.364906734185297</v>
      </c>
      <c r="N1143">
        <v>52.795473471647703</v>
      </c>
      <c r="O1143">
        <v>51.505693383372197</v>
      </c>
      <c r="P1143">
        <v>-0.12621447881638001</v>
      </c>
      <c r="Q1143">
        <v>0.26472399131924201</v>
      </c>
      <c r="R1143">
        <v>0.99374589698744598</v>
      </c>
      <c r="S1143" t="s">
        <v>7595</v>
      </c>
      <c r="T1143" t="s">
        <v>12902</v>
      </c>
      <c r="U1143" t="s">
        <v>12902</v>
      </c>
      <c r="V1143" t="s">
        <v>12902</v>
      </c>
      <c r="W1143" t="s">
        <v>14021</v>
      </c>
      <c r="X1143">
        <v>49</v>
      </c>
      <c r="Y1143" t="s">
        <v>20410</v>
      </c>
      <c r="Z1143" t="s">
        <v>26718</v>
      </c>
      <c r="AA1143">
        <v>0.55411092394495021</v>
      </c>
      <c r="AB1143" t="str">
        <f>HYPERLINK("Melting_Curves/meltCurve_J9JID7_LMNB2.pdf", "Melting_Curves/meltCurve_J9JID7_LMNB2.pdf")</f>
        <v>Melting_Curves/meltCurve_J9JID7_LMNB2.pdf</v>
      </c>
    </row>
    <row r="1144" spans="1:28" x14ac:dyDescent="0.25">
      <c r="A1144" t="s">
        <v>1148</v>
      </c>
      <c r="B1144">
        <v>0.99673306730245903</v>
      </c>
      <c r="C1144">
        <v>0.98037525168806705</v>
      </c>
      <c r="D1144">
        <v>0.89486225768096705</v>
      </c>
      <c r="E1144">
        <v>0.69113471202101395</v>
      </c>
      <c r="F1144">
        <v>0.35515548268842301</v>
      </c>
      <c r="G1144">
        <v>0.26013102697895502</v>
      </c>
      <c r="H1144">
        <v>0.19769651720791401</v>
      </c>
      <c r="I1144">
        <v>0.148675143464405</v>
      </c>
      <c r="J1144">
        <v>0.14308363046026101</v>
      </c>
      <c r="K1144">
        <v>0.113400189843623</v>
      </c>
      <c r="L1144">
        <v>994.10005232188803</v>
      </c>
      <c r="M1144">
        <v>19.556491315455698</v>
      </c>
      <c r="N1144">
        <v>51.674241442183003</v>
      </c>
      <c r="O1144">
        <v>50.309689735122703</v>
      </c>
      <c r="P1144">
        <v>-8.3924328251448299E-2</v>
      </c>
      <c r="Q1144">
        <v>0.13643906298273401</v>
      </c>
      <c r="R1144">
        <v>0.99681582466193097</v>
      </c>
      <c r="S1144" t="s">
        <v>7596</v>
      </c>
      <c r="T1144" t="s">
        <v>12902</v>
      </c>
      <c r="U1144" t="s">
        <v>12902</v>
      </c>
      <c r="V1144" t="s">
        <v>12902</v>
      </c>
      <c r="W1144" t="s">
        <v>14022</v>
      </c>
      <c r="X1144">
        <v>2</v>
      </c>
      <c r="Y1144" t="s">
        <v>20411</v>
      </c>
      <c r="Z1144" t="s">
        <v>26719</v>
      </c>
      <c r="AA1144">
        <v>0.46075727573855019</v>
      </c>
      <c r="AB1144" t="str">
        <f>HYPERLINK("Melting_Curves/meltCurve_J9JID9_PITPNC1.pdf", "Melting_Curves/meltCurve_J9JID9_PITPNC1.pdf")</f>
        <v>Melting_Curves/meltCurve_J9JID9_PITPNC1.pdf</v>
      </c>
    </row>
    <row r="1145" spans="1:28" x14ac:dyDescent="0.25">
      <c r="A1145" t="s">
        <v>1149</v>
      </c>
      <c r="B1145">
        <v>0.99673306730245903</v>
      </c>
      <c r="C1145">
        <v>0.90521182844470305</v>
      </c>
      <c r="D1145">
        <v>0.869042467393358</v>
      </c>
      <c r="E1145">
        <v>0.58150898268704299</v>
      </c>
      <c r="F1145">
        <v>0.38330196379640602</v>
      </c>
      <c r="G1145">
        <v>0.19179042900302701</v>
      </c>
      <c r="H1145">
        <v>0.100461457088751</v>
      </c>
      <c r="I1145">
        <v>8.2693382952767E-2</v>
      </c>
      <c r="J1145">
        <v>0.101318841514136</v>
      </c>
      <c r="K1145">
        <v>9.0555660424858506E-2</v>
      </c>
      <c r="L1145">
        <v>807.10164147555997</v>
      </c>
      <c r="M1145">
        <v>15.968421431244399</v>
      </c>
      <c r="N1145">
        <v>50.989519051829099</v>
      </c>
      <c r="O1145">
        <v>49.770870860618601</v>
      </c>
      <c r="P1145">
        <v>-7.4988590076832104E-2</v>
      </c>
      <c r="Q1145">
        <v>6.5167001621321594E-2</v>
      </c>
      <c r="R1145">
        <v>0.99568157812612401</v>
      </c>
      <c r="S1145" t="s">
        <v>7597</v>
      </c>
      <c r="T1145" t="s">
        <v>12902</v>
      </c>
      <c r="U1145" t="s">
        <v>12902</v>
      </c>
      <c r="V1145" t="s">
        <v>12902</v>
      </c>
      <c r="W1145" t="s">
        <v>14023</v>
      </c>
      <c r="X1145">
        <v>5</v>
      </c>
      <c r="Y1145" t="s">
        <v>20412</v>
      </c>
      <c r="Z1145" t="s">
        <v>26720</v>
      </c>
      <c r="AA1145">
        <v>0.41337508347198409</v>
      </c>
      <c r="AB1145" t="str">
        <f>HYPERLINK("Melting_Curves/meltCurve_J9JIE6_TMCO1.pdf", "Melting_Curves/meltCurve_J9JIE6_TMCO1.pdf")</f>
        <v>Melting_Curves/meltCurve_J9JIE6_TMCO1.pdf</v>
      </c>
    </row>
    <row r="1146" spans="1:28" x14ac:dyDescent="0.25">
      <c r="A1146" t="s">
        <v>1150</v>
      </c>
      <c r="B1146">
        <v>0.99673306730245903</v>
      </c>
      <c r="C1146">
        <v>0.96322287266247197</v>
      </c>
      <c r="D1146">
        <v>0.68027584379452399</v>
      </c>
      <c r="E1146">
        <v>0.42890435291997298</v>
      </c>
      <c r="F1146">
        <v>0.30211876261260601</v>
      </c>
      <c r="G1146">
        <v>0.211276641899801</v>
      </c>
      <c r="H1146">
        <v>0.12717713151631299</v>
      </c>
      <c r="I1146">
        <v>0.124138399331715</v>
      </c>
      <c r="J1146">
        <v>0.17211895454124601</v>
      </c>
      <c r="K1146">
        <v>0.15322908964245199</v>
      </c>
      <c r="L1146">
        <v>877.10245804303702</v>
      </c>
      <c r="M1146">
        <v>18.345905207500898</v>
      </c>
      <c r="N1146">
        <v>48.733272169254398</v>
      </c>
      <c r="O1146">
        <v>47.2519830156441</v>
      </c>
      <c r="P1146">
        <v>-8.2808354057312503E-2</v>
      </c>
      <c r="Q1146">
        <v>0.14690940734191499</v>
      </c>
      <c r="R1146">
        <v>0.99051985935735398</v>
      </c>
      <c r="S1146" t="s">
        <v>7598</v>
      </c>
      <c r="T1146" t="s">
        <v>12902</v>
      </c>
      <c r="U1146" t="s">
        <v>12902</v>
      </c>
      <c r="V1146" t="s">
        <v>12902</v>
      </c>
      <c r="W1146" t="s">
        <v>14024</v>
      </c>
      <c r="X1146">
        <v>3</v>
      </c>
      <c r="Y1146" t="s">
        <v>20413</v>
      </c>
      <c r="Z1146" t="s">
        <v>26721</v>
      </c>
      <c r="AA1146">
        <v>0.38360237031736327</v>
      </c>
      <c r="AB1146" t="str">
        <f>HYPERLINK("Melting_Curves/meltCurve_K4DI92_RWDD4.pdf", "Melting_Curves/meltCurve_K4DI92_RWDD4.pdf")</f>
        <v>Melting_Curves/meltCurve_K4DI92_RWDD4.pdf</v>
      </c>
    </row>
    <row r="1147" spans="1:28" x14ac:dyDescent="0.25">
      <c r="A1147" t="s">
        <v>1151</v>
      </c>
      <c r="B1147">
        <v>0.99673306730245903</v>
      </c>
      <c r="C1147">
        <v>0.64930541337940395</v>
      </c>
      <c r="D1147">
        <v>1.04741240141106</v>
      </c>
      <c r="E1147">
        <v>1.0630390123333999</v>
      </c>
      <c r="F1147">
        <v>0.75587550248333002</v>
      </c>
      <c r="G1147">
        <v>0.35196715260390399</v>
      </c>
      <c r="H1147">
        <v>9.4798313038214496E-2</v>
      </c>
      <c r="I1147">
        <v>8.7982240252617999E-2</v>
      </c>
      <c r="J1147">
        <v>0.10382361627610499</v>
      </c>
      <c r="K1147">
        <v>9.5943779478828803E-2</v>
      </c>
      <c r="L1147">
        <v>1853.07179135054</v>
      </c>
      <c r="M1147">
        <v>33.647382621232602</v>
      </c>
      <c r="N1147">
        <v>55.387950588115601</v>
      </c>
      <c r="O1147">
        <v>54.8798401410914</v>
      </c>
      <c r="P1147">
        <v>-0.13994319555943499</v>
      </c>
      <c r="Q1147">
        <v>8.6998406018107502E-2</v>
      </c>
      <c r="R1147">
        <v>0.91663186929224005</v>
      </c>
      <c r="S1147" t="s">
        <v>7599</v>
      </c>
      <c r="T1147" t="s">
        <v>12902</v>
      </c>
      <c r="U1147" t="s">
        <v>12902</v>
      </c>
      <c r="V1147" t="s">
        <v>12902</v>
      </c>
      <c r="W1147" t="s">
        <v>14025</v>
      </c>
      <c r="X1147">
        <v>27</v>
      </c>
      <c r="Y1147" t="s">
        <v>20414</v>
      </c>
      <c r="Z1147" t="s">
        <v>26722</v>
      </c>
      <c r="AA1147">
        <v>0.55059423677296782</v>
      </c>
      <c r="AB1147" t="str">
        <f>HYPERLINK("Melting_Curves/meltCurve_K4DI93_CUL4B.pdf", "Melting_Curves/meltCurve_K4DI93_CUL4B.pdf")</f>
        <v>Melting_Curves/meltCurve_K4DI93_CUL4B.pdf</v>
      </c>
    </row>
    <row r="1148" spans="1:28" x14ac:dyDescent="0.25">
      <c r="A1148" t="s">
        <v>1152</v>
      </c>
      <c r="B1148">
        <v>0.99673306730245903</v>
      </c>
      <c r="C1148">
        <v>1.04411655641287</v>
      </c>
      <c r="D1148">
        <v>1.03720738329433</v>
      </c>
      <c r="E1148">
        <v>1.0476299261129201</v>
      </c>
      <c r="F1148">
        <v>0.84689516471535198</v>
      </c>
      <c r="G1148">
        <v>0.59382631160362997</v>
      </c>
      <c r="H1148">
        <v>0.348871777347183</v>
      </c>
      <c r="I1148">
        <v>0.36370482388608499</v>
      </c>
      <c r="J1148">
        <v>0.31714667877689201</v>
      </c>
      <c r="K1148">
        <v>0.19229405677283601</v>
      </c>
      <c r="L1148">
        <v>1423.7011861215001</v>
      </c>
      <c r="M1148">
        <v>25.274740600335701</v>
      </c>
      <c r="N1148">
        <v>58.087078840370097</v>
      </c>
      <c r="O1148">
        <v>55.979938046365803</v>
      </c>
      <c r="P1148">
        <v>-8.27013261445773E-2</v>
      </c>
      <c r="Q1148">
        <v>0.26732294896818698</v>
      </c>
      <c r="R1148">
        <v>0.98115002911337401</v>
      </c>
      <c r="S1148" t="s">
        <v>7600</v>
      </c>
      <c r="T1148" t="s">
        <v>12902</v>
      </c>
      <c r="U1148" t="s">
        <v>12902</v>
      </c>
      <c r="V1148" t="s">
        <v>12902</v>
      </c>
      <c r="W1148" t="s">
        <v>14026</v>
      </c>
      <c r="X1148">
        <v>1</v>
      </c>
      <c r="Y1148" t="s">
        <v>20415</v>
      </c>
      <c r="Z1148" t="s">
        <v>26723</v>
      </c>
      <c r="AA1148">
        <v>0.67269467308983766</v>
      </c>
      <c r="AB1148" t="str">
        <f>HYPERLINK("Melting_Curves/meltCurve_K4DIA0_ICOSLG.pdf", "Melting_Curves/meltCurve_K4DIA0_ICOSLG.pdf")</f>
        <v>Melting_Curves/meltCurve_K4DIA0_ICOSLG.pdf</v>
      </c>
    </row>
    <row r="1149" spans="1:28" x14ac:dyDescent="0.25">
      <c r="A1149" t="s">
        <v>1153</v>
      </c>
      <c r="B1149">
        <v>0.99673306730245903</v>
      </c>
      <c r="C1149">
        <v>1.0320615973368299</v>
      </c>
      <c r="D1149">
        <v>0.95755642228143001</v>
      </c>
      <c r="E1149">
        <v>1.07771036762215</v>
      </c>
      <c r="F1149">
        <v>0.654468611181802</v>
      </c>
      <c r="G1149">
        <v>0.38923412475631403</v>
      </c>
      <c r="H1149">
        <v>0.17387524801906601</v>
      </c>
      <c r="I1149">
        <v>0.15911901099077499</v>
      </c>
      <c r="J1149">
        <v>0.17916862193636601</v>
      </c>
      <c r="K1149">
        <v>0.21143982252566701</v>
      </c>
      <c r="L1149">
        <v>1730.22986228113</v>
      </c>
      <c r="M1149">
        <v>31.923004867420101</v>
      </c>
      <c r="N1149">
        <v>54.970992755319998</v>
      </c>
      <c r="O1149">
        <v>53.988734793742402</v>
      </c>
      <c r="P1149">
        <v>-0.12114982510132</v>
      </c>
      <c r="Q1149">
        <v>0.18044151729818</v>
      </c>
      <c r="R1149">
        <v>0.98257304678473101</v>
      </c>
      <c r="S1149" t="s">
        <v>7601</v>
      </c>
      <c r="T1149" t="s">
        <v>12902</v>
      </c>
      <c r="U1149" t="s">
        <v>12902</v>
      </c>
      <c r="V1149" t="s">
        <v>12902</v>
      </c>
      <c r="W1149" t="s">
        <v>14027</v>
      </c>
      <c r="X1149">
        <v>2</v>
      </c>
      <c r="Y1149" t="s">
        <v>20416</v>
      </c>
      <c r="Z1149" t="s">
        <v>26724</v>
      </c>
      <c r="AA1149">
        <v>0.57315290552647447</v>
      </c>
      <c r="AB1149" t="str">
        <f>HYPERLINK("Melting_Curves/meltCurve_K7EIJ0_WBP2.pdf", "Melting_Curves/meltCurve_K7EIJ0_WBP2.pdf")</f>
        <v>Melting_Curves/meltCurve_K7EIJ0_WBP2.pdf</v>
      </c>
    </row>
    <row r="1150" spans="1:28" x14ac:dyDescent="0.25">
      <c r="A1150" t="s">
        <v>1154</v>
      </c>
      <c r="B1150">
        <v>0.99673306730245903</v>
      </c>
      <c r="C1150">
        <v>0.94526054671754201</v>
      </c>
      <c r="D1150">
        <v>1.1173326277282201</v>
      </c>
      <c r="E1150">
        <v>0.93701069757706701</v>
      </c>
      <c r="F1150">
        <v>0.45774278998595003</v>
      </c>
      <c r="G1150">
        <v>0.19279311326601101</v>
      </c>
      <c r="H1150">
        <v>0.128032993953306</v>
      </c>
      <c r="I1150">
        <v>0.111051524314376</v>
      </c>
      <c r="J1150">
        <v>0.12589564374578499</v>
      </c>
      <c r="K1150">
        <v>0.12408690865074801</v>
      </c>
      <c r="L1150">
        <v>2160.59084044376</v>
      </c>
      <c r="M1150">
        <v>41.070312964752098</v>
      </c>
      <c r="N1150">
        <v>52.983406262426897</v>
      </c>
      <c r="O1150">
        <v>52.4828576456188</v>
      </c>
      <c r="P1150">
        <v>-0.17088972971774199</v>
      </c>
      <c r="Q1150">
        <v>0.12649658862865301</v>
      </c>
      <c r="R1150">
        <v>0.98909361681532504</v>
      </c>
      <c r="S1150" t="s">
        <v>7602</v>
      </c>
      <c r="T1150" t="s">
        <v>12902</v>
      </c>
      <c r="U1150" t="s">
        <v>12902</v>
      </c>
      <c r="V1150" t="s">
        <v>12902</v>
      </c>
      <c r="W1150" t="s">
        <v>14028</v>
      </c>
      <c r="X1150">
        <v>6</v>
      </c>
      <c r="Y1150" t="s">
        <v>20417</v>
      </c>
      <c r="Z1150" t="s">
        <v>26725</v>
      </c>
      <c r="AA1150">
        <v>0.49658519218752339</v>
      </c>
      <c r="AB1150" t="str">
        <f>HYPERLINK("Melting_Curves/meltCurve_K7EIN2_NUDT16L1.pdf", "Melting_Curves/meltCurve_K7EIN2_NUDT16L1.pdf")</f>
        <v>Melting_Curves/meltCurve_K7EIN2_NUDT16L1.pdf</v>
      </c>
    </row>
    <row r="1151" spans="1:28" x14ac:dyDescent="0.25">
      <c r="A1151" t="s">
        <v>1155</v>
      </c>
      <c r="B1151">
        <v>0.99673306730245903</v>
      </c>
      <c r="C1151">
        <v>0.85458716859233197</v>
      </c>
      <c r="D1151">
        <v>0.78464879273843702</v>
      </c>
      <c r="E1151">
        <v>0.483070938213427</v>
      </c>
      <c r="F1151">
        <v>0.45052774804764101</v>
      </c>
      <c r="G1151">
        <v>0.26342397558379799</v>
      </c>
      <c r="H1151">
        <v>7.4604612598178896E-2</v>
      </c>
      <c r="I1151">
        <v>6.6598852724551794E-2</v>
      </c>
      <c r="J1151">
        <v>0</v>
      </c>
      <c r="K1151">
        <v>0</v>
      </c>
      <c r="L1151">
        <v>594.32235935154097</v>
      </c>
      <c r="M1151">
        <v>11.736988551824901</v>
      </c>
      <c r="N1151">
        <v>50.636699150013598</v>
      </c>
      <c r="O1151">
        <v>49.233767319256003</v>
      </c>
      <c r="P1151">
        <v>-5.9613892691830497E-2</v>
      </c>
      <c r="Q1151">
        <v>0</v>
      </c>
      <c r="R1151">
        <v>0.979655888666771</v>
      </c>
      <c r="S1151" t="s">
        <v>7603</v>
      </c>
      <c r="T1151" t="s">
        <v>12902</v>
      </c>
      <c r="U1151" t="s">
        <v>12902</v>
      </c>
      <c r="V1151" t="s">
        <v>12902</v>
      </c>
      <c r="W1151" t="s">
        <v>14029</v>
      </c>
      <c r="X1151">
        <v>1</v>
      </c>
      <c r="Y1151" t="s">
        <v>20418</v>
      </c>
      <c r="Z1151" t="s">
        <v>26726</v>
      </c>
      <c r="AA1151">
        <v>0.38899596259312152</v>
      </c>
      <c r="AB1151" t="str">
        <f>HYPERLINK("Melting_Curves/meltCurve_K7EIN7_MKNK2.pdf", "Melting_Curves/meltCurve_K7EIN7_MKNK2.pdf")</f>
        <v>Melting_Curves/meltCurve_K7EIN7_MKNK2.pdf</v>
      </c>
    </row>
    <row r="1152" spans="1:28" x14ac:dyDescent="0.25">
      <c r="A1152" t="s">
        <v>1156</v>
      </c>
      <c r="B1152">
        <v>0.99673306730245903</v>
      </c>
      <c r="C1152">
        <v>0.92614061610541099</v>
      </c>
      <c r="D1152">
        <v>0.89879362726411405</v>
      </c>
      <c r="E1152">
        <v>0.828071396476038</v>
      </c>
      <c r="F1152">
        <v>0.64798579875708695</v>
      </c>
      <c r="G1152">
        <v>0.485718180645836</v>
      </c>
      <c r="H1152">
        <v>0.35379665540123401</v>
      </c>
      <c r="I1152">
        <v>0.34015921944571997</v>
      </c>
      <c r="J1152">
        <v>0.34374067654715201</v>
      </c>
      <c r="K1152">
        <v>0.28711943571397303</v>
      </c>
      <c r="L1152">
        <v>703.11425087376006</v>
      </c>
      <c r="M1152">
        <v>13.186309171783799</v>
      </c>
      <c r="N1152">
        <v>56.567285270281197</v>
      </c>
      <c r="O1152">
        <v>52.139944787676399</v>
      </c>
      <c r="P1152">
        <v>-4.6454961025162299E-2</v>
      </c>
      <c r="Q1152">
        <v>0.26537311211435599</v>
      </c>
      <c r="R1152">
        <v>0.99213905201564401</v>
      </c>
      <c r="S1152" t="s">
        <v>7604</v>
      </c>
      <c r="T1152" t="s">
        <v>12902</v>
      </c>
      <c r="U1152" t="s">
        <v>12902</v>
      </c>
      <c r="V1152" t="s">
        <v>12902</v>
      </c>
      <c r="W1152" t="s">
        <v>14030</v>
      </c>
      <c r="X1152">
        <v>2</v>
      </c>
      <c r="Y1152" t="s">
        <v>20419</v>
      </c>
      <c r="Z1152" t="s">
        <v>26727</v>
      </c>
      <c r="AA1152">
        <v>0.60992615378124526</v>
      </c>
      <c r="AB1152" t="str">
        <f>HYPERLINK("Melting_Curves/meltCurve_K7EIP7_YIPF2.pdf", "Melting_Curves/meltCurve_K7EIP7_YIPF2.pdf")</f>
        <v>Melting_Curves/meltCurve_K7EIP7_YIPF2.pdf</v>
      </c>
    </row>
    <row r="1153" spans="1:28" x14ac:dyDescent="0.25">
      <c r="A1153" t="s">
        <v>1157</v>
      </c>
      <c r="B1153">
        <v>0.99673306730245903</v>
      </c>
      <c r="C1153">
        <v>1.1702012988761501</v>
      </c>
      <c r="D1153">
        <v>0.33981614161423301</v>
      </c>
      <c r="E1153">
        <v>0.73789017751790698</v>
      </c>
      <c r="F1153">
        <v>0.272692070478743</v>
      </c>
      <c r="G1153">
        <v>0.14926916022987299</v>
      </c>
      <c r="H1153">
        <v>7.5301602740159804E-2</v>
      </c>
      <c r="I1153">
        <v>6.4549614607634406E-2</v>
      </c>
      <c r="J1153">
        <v>7.3368942490123698E-2</v>
      </c>
      <c r="K1153">
        <v>7.7060568986536598E-2</v>
      </c>
      <c r="L1153">
        <v>655.79124029035995</v>
      </c>
      <c r="M1153">
        <v>13.2777116645407</v>
      </c>
      <c r="N1153">
        <v>49.640144881898003</v>
      </c>
      <c r="O1153">
        <v>48.310379421546997</v>
      </c>
      <c r="P1153">
        <v>-6.6501099049430301E-2</v>
      </c>
      <c r="Q1153">
        <v>3.2311964630363503E-2</v>
      </c>
      <c r="R1153">
        <v>0.81069967168774204</v>
      </c>
      <c r="S1153" t="s">
        <v>7605</v>
      </c>
      <c r="T1153" t="s">
        <v>12902</v>
      </c>
      <c r="U1153" t="s">
        <v>12902</v>
      </c>
      <c r="V1153" t="s">
        <v>12902</v>
      </c>
      <c r="W1153" t="s">
        <v>14031</v>
      </c>
      <c r="X1153">
        <v>12</v>
      </c>
      <c r="Y1153" t="s">
        <v>20420</v>
      </c>
      <c r="Z1153" t="s">
        <v>26728</v>
      </c>
      <c r="AA1153">
        <v>0.36449847076800768</v>
      </c>
      <c r="AB1153" t="str">
        <f>HYPERLINK("Melting_Curves/meltCurve_K7EIU8_SMAD4.pdf", "Melting_Curves/meltCurve_K7EIU8_SMAD4.pdf")</f>
        <v>Melting_Curves/meltCurve_K7EIU8_SMAD4.pdf</v>
      </c>
    </row>
    <row r="1154" spans="1:28" x14ac:dyDescent="0.25">
      <c r="A1154" t="s">
        <v>1158</v>
      </c>
      <c r="B1154">
        <v>0.99673306730245903</v>
      </c>
      <c r="C1154">
        <v>0.98222298936078301</v>
      </c>
      <c r="D1154">
        <v>0.83607917060930503</v>
      </c>
      <c r="E1154">
        <v>0.50683331529709696</v>
      </c>
      <c r="F1154">
        <v>0.32274597847366099</v>
      </c>
      <c r="G1154">
        <v>0.220419533276208</v>
      </c>
      <c r="H1154">
        <v>0.154318040271477</v>
      </c>
      <c r="I1154">
        <v>0.21738636945850101</v>
      </c>
      <c r="J1154">
        <v>0.27353578299675702</v>
      </c>
      <c r="K1154">
        <v>0.35720861716276098</v>
      </c>
      <c r="L1154">
        <v>1279.29057235809</v>
      </c>
      <c r="M1154">
        <v>26.4529205392557</v>
      </c>
      <c r="N1154">
        <v>49.617861855773398</v>
      </c>
      <c r="O1154">
        <v>48.087206571705103</v>
      </c>
      <c r="P1154">
        <v>-0.103948592903649</v>
      </c>
      <c r="Q1154">
        <v>0.24416021804212501</v>
      </c>
      <c r="R1154">
        <v>0.97433040847741204</v>
      </c>
      <c r="S1154" t="s">
        <v>7606</v>
      </c>
      <c r="T1154" t="s">
        <v>12902</v>
      </c>
      <c r="U1154" t="s">
        <v>12902</v>
      </c>
      <c r="V1154" t="s">
        <v>12902</v>
      </c>
      <c r="W1154" t="s">
        <v>14032</v>
      </c>
      <c r="X1154">
        <v>4</v>
      </c>
      <c r="Y1154" t="s">
        <v>20421</v>
      </c>
      <c r="Z1154" t="s">
        <v>26729</v>
      </c>
      <c r="AA1154">
        <v>0.46074759953622929</v>
      </c>
      <c r="AB1154" t="str">
        <f>HYPERLINK("Melting_Curves/meltCurve_K7EIY4_STX10.pdf", "Melting_Curves/meltCurve_K7EIY4_STX10.pdf")</f>
        <v>Melting_Curves/meltCurve_K7EIY4_STX10.pdf</v>
      </c>
    </row>
    <row r="1155" spans="1:28" x14ac:dyDescent="0.25">
      <c r="A1155" t="s">
        <v>1159</v>
      </c>
      <c r="B1155">
        <v>0.99673306730245903</v>
      </c>
      <c r="C1155">
        <v>1.1876510882253399</v>
      </c>
      <c r="D1155">
        <v>1.08515708873214</v>
      </c>
      <c r="E1155">
        <v>1.2777717763160701</v>
      </c>
      <c r="F1155">
        <v>1.13922110705112</v>
      </c>
      <c r="G1155">
        <v>0.70966455116126403</v>
      </c>
      <c r="H1155">
        <v>0.31408133744224098</v>
      </c>
      <c r="I1155">
        <v>0.28636108713557001</v>
      </c>
      <c r="J1155">
        <v>0.38840520920010702</v>
      </c>
      <c r="K1155">
        <v>0.43351498284740397</v>
      </c>
      <c r="L1155">
        <v>14211.273025573801</v>
      </c>
      <c r="M1155">
        <v>250</v>
      </c>
      <c r="N1155">
        <v>57.128881402113002</v>
      </c>
      <c r="O1155">
        <v>56.841472091573699</v>
      </c>
      <c r="P1155">
        <v>-0.70856007220223705</v>
      </c>
      <c r="Q1155">
        <v>0.35559063931469098</v>
      </c>
      <c r="R1155">
        <v>0.89264238068244595</v>
      </c>
      <c r="S1155" t="s">
        <v>7607</v>
      </c>
      <c r="T1155" t="s">
        <v>12902</v>
      </c>
      <c r="U1155" t="s">
        <v>12902</v>
      </c>
      <c r="V1155" t="s">
        <v>12902</v>
      </c>
      <c r="W1155" t="s">
        <v>14033</v>
      </c>
      <c r="X1155">
        <v>1</v>
      </c>
      <c r="Y1155" t="s">
        <v>20422</v>
      </c>
      <c r="Z1155" t="s">
        <v>26730</v>
      </c>
      <c r="AA1155">
        <v>0.71749276145452057</v>
      </c>
      <c r="AB1155" t="str">
        <f>HYPERLINK("Melting_Curves/meltCurve_K7EJ78_RPS15.pdf", "Melting_Curves/meltCurve_K7EJ78_RPS15.pdf")</f>
        <v>Melting_Curves/meltCurve_K7EJ78_RPS15.pdf</v>
      </c>
    </row>
    <row r="1156" spans="1:28" x14ac:dyDescent="0.25">
      <c r="A1156" t="s">
        <v>1160</v>
      </c>
      <c r="B1156">
        <v>0.99673306730245903</v>
      </c>
      <c r="C1156">
        <v>0.91756728773906904</v>
      </c>
      <c r="D1156">
        <v>1.49229700615119</v>
      </c>
      <c r="E1156">
        <v>1.3707758552990399</v>
      </c>
      <c r="F1156">
        <v>1.4148023173961599</v>
      </c>
      <c r="G1156">
        <v>0.94458582225883503</v>
      </c>
      <c r="H1156">
        <v>1.89053557155844</v>
      </c>
      <c r="I1156">
        <v>1.49657820605989</v>
      </c>
      <c r="J1156">
        <v>1.4204789340272801</v>
      </c>
      <c r="K1156">
        <v>0.81422046574403395</v>
      </c>
      <c r="L1156">
        <v>11089.306422457399</v>
      </c>
      <c r="M1156">
        <v>250</v>
      </c>
      <c r="O1156">
        <v>44.354386899679</v>
      </c>
      <c r="P1156">
        <v>0.500987166491911</v>
      </c>
      <c r="Q1156">
        <v>1.35553565919199</v>
      </c>
      <c r="R1156">
        <v>0.23792480455350801</v>
      </c>
      <c r="S1156" t="s">
        <v>7608</v>
      </c>
      <c r="T1156" t="s">
        <v>12902</v>
      </c>
      <c r="U1156" t="s">
        <v>12902</v>
      </c>
      <c r="V1156" t="s">
        <v>12902</v>
      </c>
      <c r="W1156" t="s">
        <v>14034</v>
      </c>
      <c r="X1156">
        <v>20</v>
      </c>
      <c r="Y1156" t="s">
        <v>20423</v>
      </c>
      <c r="Z1156" t="s">
        <v>26731</v>
      </c>
      <c r="AA1156">
        <v>1.303869678481411</v>
      </c>
      <c r="AB1156" t="str">
        <f>HYPERLINK("Melting_Curves/meltCurve_K7EJB9_CALR.pdf", "Melting_Curves/meltCurve_K7EJB9_CALR.pdf")</f>
        <v>Melting_Curves/meltCurve_K7EJB9_CALR.pdf</v>
      </c>
    </row>
    <row r="1157" spans="1:28" x14ac:dyDescent="0.25">
      <c r="A1157" t="s">
        <v>1161</v>
      </c>
      <c r="B1157">
        <v>0.99673306730245903</v>
      </c>
      <c r="C1157">
        <v>0.97650212143613602</v>
      </c>
      <c r="D1157">
        <v>0.90433155367162499</v>
      </c>
      <c r="E1157">
        <v>0.57661640255308899</v>
      </c>
      <c r="F1157">
        <v>0.51597556471221995</v>
      </c>
      <c r="G1157">
        <v>0.32498768622562701</v>
      </c>
      <c r="H1157">
        <v>0.15093913989795599</v>
      </c>
      <c r="I1157">
        <v>8.6762533452810098E-2</v>
      </c>
      <c r="J1157">
        <v>8.8840226238372802E-2</v>
      </c>
      <c r="K1157">
        <v>7.2983242649297703E-2</v>
      </c>
      <c r="L1157">
        <v>655.80248564190197</v>
      </c>
      <c r="M1157">
        <v>12.5045806071493</v>
      </c>
      <c r="N1157">
        <v>52.6336243521719</v>
      </c>
      <c r="O1157">
        <v>51.157906386436302</v>
      </c>
      <c r="P1157">
        <v>-5.9780852675377E-2</v>
      </c>
      <c r="Q1157">
        <v>2.1915284519937898E-2</v>
      </c>
      <c r="R1157">
        <v>0.98550013069961395</v>
      </c>
      <c r="S1157" t="s">
        <v>7609</v>
      </c>
      <c r="T1157" t="s">
        <v>12902</v>
      </c>
      <c r="U1157" t="s">
        <v>12902</v>
      </c>
      <c r="V1157" t="s">
        <v>12902</v>
      </c>
      <c r="W1157" t="s">
        <v>14035</v>
      </c>
      <c r="X1157">
        <v>10</v>
      </c>
      <c r="Y1157" t="s">
        <v>20424</v>
      </c>
      <c r="Z1157" t="s">
        <v>26732</v>
      </c>
      <c r="AA1157">
        <v>0.4552414155810719</v>
      </c>
      <c r="AB1157" t="str">
        <f>HYPERLINK("Melting_Curves/meltCurve_K7EJL1_AP1M1.pdf", "Melting_Curves/meltCurve_K7EJL1_AP1M1.pdf")</f>
        <v>Melting_Curves/meltCurve_K7EJL1_AP1M1.pdf</v>
      </c>
    </row>
    <row r="1158" spans="1:28" x14ac:dyDescent="0.25">
      <c r="A1158" t="s">
        <v>1162</v>
      </c>
      <c r="B1158">
        <v>0.99673306730245903</v>
      </c>
      <c r="C1158">
        <v>0.94178014857945702</v>
      </c>
      <c r="D1158">
        <v>0.86875184961810703</v>
      </c>
      <c r="E1158">
        <v>0.75309073186317299</v>
      </c>
      <c r="F1158">
        <v>0.41746347397246097</v>
      </c>
      <c r="G1158">
        <v>0.20991866469304801</v>
      </c>
      <c r="H1158">
        <v>0.12632277282618901</v>
      </c>
      <c r="I1158">
        <v>0.12034018221449901</v>
      </c>
      <c r="J1158">
        <v>0.103095437953917</v>
      </c>
      <c r="K1158">
        <v>9.6790610749401707E-2</v>
      </c>
      <c r="L1158">
        <v>957.65788170708799</v>
      </c>
      <c r="M1158">
        <v>18.529760376238201</v>
      </c>
      <c r="N1158">
        <v>52.200148202669801</v>
      </c>
      <c r="O1158">
        <v>51.091496937909099</v>
      </c>
      <c r="P1158">
        <v>-8.3058757657115304E-2</v>
      </c>
      <c r="Q1158">
        <v>8.3979620423227402E-2</v>
      </c>
      <c r="R1158">
        <v>0.99539118081963596</v>
      </c>
      <c r="S1158" t="s">
        <v>7610</v>
      </c>
      <c r="T1158" t="s">
        <v>12902</v>
      </c>
      <c r="U1158" t="s">
        <v>12902</v>
      </c>
      <c r="V1158" t="s">
        <v>12902</v>
      </c>
      <c r="W1158" t="s">
        <v>14036</v>
      </c>
      <c r="X1158">
        <v>9</v>
      </c>
      <c r="Y1158" t="s">
        <v>20425</v>
      </c>
      <c r="Z1158" t="s">
        <v>26733</v>
      </c>
      <c r="AA1158">
        <v>0.45523294760068828</v>
      </c>
      <c r="AB1158" t="str">
        <f>HYPERLINK("Melting_Curves/meltCurve_K7EJQ7_SEC11C.pdf", "Melting_Curves/meltCurve_K7EJQ7_SEC11C.pdf")</f>
        <v>Melting_Curves/meltCurve_K7EJQ7_SEC11C.pdf</v>
      </c>
    </row>
    <row r="1159" spans="1:28" x14ac:dyDescent="0.25">
      <c r="A1159" t="s">
        <v>1163</v>
      </c>
      <c r="B1159">
        <v>0.99673306730245903</v>
      </c>
      <c r="C1159">
        <v>0.93254360651943202</v>
      </c>
      <c r="D1159">
        <v>0.85538564584721599</v>
      </c>
      <c r="E1159">
        <v>0.69893594243586299</v>
      </c>
      <c r="F1159">
        <v>0.65884484856122605</v>
      </c>
      <c r="G1159">
        <v>0.57969331142900005</v>
      </c>
      <c r="H1159">
        <v>0.53302831719672705</v>
      </c>
      <c r="I1159">
        <v>0.78614888718047304</v>
      </c>
      <c r="J1159">
        <v>0.67856989362916098</v>
      </c>
      <c r="K1159">
        <v>0.52560104251355899</v>
      </c>
      <c r="L1159">
        <v>1025.96942504306</v>
      </c>
      <c r="M1159">
        <v>21.961423771916401</v>
      </c>
      <c r="O1159">
        <v>46.334727795702896</v>
      </c>
      <c r="P1159">
        <v>-4.4922259527347901E-2</v>
      </c>
      <c r="Q1159">
        <v>0.62089647789240698</v>
      </c>
      <c r="R1159">
        <v>0.79096420582819105</v>
      </c>
      <c r="S1159" t="s">
        <v>7611</v>
      </c>
      <c r="T1159" t="s">
        <v>12902</v>
      </c>
      <c r="U1159" t="s">
        <v>12902</v>
      </c>
      <c r="V1159" t="s">
        <v>12902</v>
      </c>
      <c r="W1159" t="s">
        <v>14037</v>
      </c>
      <c r="X1159">
        <v>7</v>
      </c>
      <c r="Y1159" t="s">
        <v>20426</v>
      </c>
      <c r="Z1159" t="s">
        <v>26734</v>
      </c>
      <c r="AA1159">
        <v>0.71033225923864052</v>
      </c>
      <c r="AB1159" t="str">
        <f>HYPERLINK("Melting_Curves/meltCurve_K7EK00_FAM210A.pdf", "Melting_Curves/meltCurve_K7EK00_FAM210A.pdf")</f>
        <v>Melting_Curves/meltCurve_K7EK00_FAM210A.pdf</v>
      </c>
    </row>
    <row r="1160" spans="1:28" x14ac:dyDescent="0.25">
      <c r="A1160" t="s">
        <v>1164</v>
      </c>
      <c r="B1160">
        <v>0.99673306730245903</v>
      </c>
      <c r="C1160">
        <v>0.97551097291988098</v>
      </c>
      <c r="D1160">
        <v>0.94491524427143003</v>
      </c>
      <c r="E1160">
        <v>0.85697604913639303</v>
      </c>
      <c r="F1160">
        <v>0.72261807884575402</v>
      </c>
      <c r="G1160">
        <v>0.51401835528664697</v>
      </c>
      <c r="H1160">
        <v>0.54956172915048696</v>
      </c>
      <c r="I1160">
        <v>0.74338048929381595</v>
      </c>
      <c r="J1160">
        <v>0.69268088670097705</v>
      </c>
      <c r="K1160">
        <v>0.54143372669149603</v>
      </c>
      <c r="L1160">
        <v>1449.00281001756</v>
      </c>
      <c r="M1160">
        <v>28.695852778231501</v>
      </c>
      <c r="O1160">
        <v>50.251882945548999</v>
      </c>
      <c r="P1160">
        <v>-5.5515943918230198E-2</v>
      </c>
      <c r="Q1160">
        <v>0.61112722914378403</v>
      </c>
      <c r="R1160">
        <v>0.84038289692363399</v>
      </c>
      <c r="S1160" t="s">
        <v>7612</v>
      </c>
      <c r="T1160" t="s">
        <v>12902</v>
      </c>
      <c r="U1160" t="s">
        <v>12902</v>
      </c>
      <c r="V1160" t="s">
        <v>12902</v>
      </c>
      <c r="W1160" t="s">
        <v>14038</v>
      </c>
      <c r="X1160">
        <v>8</v>
      </c>
      <c r="Y1160" t="s">
        <v>20427</v>
      </c>
      <c r="Z1160" t="s">
        <v>26735</v>
      </c>
      <c r="AA1160">
        <v>0.74982201745703203</v>
      </c>
      <c r="AB1160" t="str">
        <f>HYPERLINK("Melting_Curves/meltCurve_K7EK07_H3F3B.pdf", "Melting_Curves/meltCurve_K7EK07_H3F3B.pdf")</f>
        <v>Melting_Curves/meltCurve_K7EK07_H3F3B.pdf</v>
      </c>
    </row>
    <row r="1161" spans="1:28" x14ac:dyDescent="0.25">
      <c r="A1161" t="s">
        <v>1165</v>
      </c>
      <c r="B1161">
        <v>0.99673306730245903</v>
      </c>
      <c r="C1161">
        <v>0.92652808030299605</v>
      </c>
      <c r="D1161">
        <v>0.97271622620079701</v>
      </c>
      <c r="E1161">
        <v>0.89429149421863097</v>
      </c>
      <c r="F1161">
        <v>0.91285182319449198</v>
      </c>
      <c r="G1161">
        <v>0.70053750249534397</v>
      </c>
      <c r="H1161">
        <v>0.18731634742068201</v>
      </c>
      <c r="I1161">
        <v>8.2477963270782897E-2</v>
      </c>
      <c r="J1161">
        <v>7.8432367983959694E-2</v>
      </c>
      <c r="K1161">
        <v>6.2969834707831004E-2</v>
      </c>
      <c r="L1161">
        <v>2008.70574890798</v>
      </c>
      <c r="M1161">
        <v>34.704027825633197</v>
      </c>
      <c r="N1161">
        <v>58.082028966692</v>
      </c>
      <c r="O1161">
        <v>57.689880194370502</v>
      </c>
      <c r="P1161">
        <v>-0.14188247677431801</v>
      </c>
      <c r="Q1161">
        <v>5.6576069128048898E-2</v>
      </c>
      <c r="R1161">
        <v>0.98755325657124204</v>
      </c>
      <c r="S1161" t="s">
        <v>7613</v>
      </c>
      <c r="T1161" t="s">
        <v>12902</v>
      </c>
      <c r="U1161" t="s">
        <v>12902</v>
      </c>
      <c r="V1161" t="s">
        <v>12902</v>
      </c>
      <c r="W1161" t="s">
        <v>14039</v>
      </c>
      <c r="X1161">
        <v>48</v>
      </c>
      <c r="Y1161" t="s">
        <v>20428</v>
      </c>
      <c r="Z1161" t="s">
        <v>26736</v>
      </c>
      <c r="AA1161">
        <v>0.62371752234009448</v>
      </c>
      <c r="AB1161" t="str">
        <f>HYPERLINK("Melting_Curves/meltCurve_K7EKE6_LONP1.pdf", "Melting_Curves/meltCurve_K7EKE6_LONP1.pdf")</f>
        <v>Melting_Curves/meltCurve_K7EKE6_LONP1.pdf</v>
      </c>
    </row>
    <row r="1162" spans="1:28" x14ac:dyDescent="0.25">
      <c r="A1162" t="s">
        <v>1166</v>
      </c>
      <c r="B1162">
        <v>0.99673306730245903</v>
      </c>
      <c r="C1162">
        <v>0.983958487805773</v>
      </c>
      <c r="D1162">
        <v>0.87395017157759203</v>
      </c>
      <c r="E1162">
        <v>0.76328942951633105</v>
      </c>
      <c r="F1162">
        <v>3.0065026253584599</v>
      </c>
      <c r="G1162">
        <v>0.45491495494295597</v>
      </c>
      <c r="H1162">
        <v>0.213199788032892</v>
      </c>
      <c r="I1162">
        <v>0.20063014198894299</v>
      </c>
      <c r="J1162">
        <v>0.249166396185726</v>
      </c>
      <c r="K1162">
        <v>0.31603264271571202</v>
      </c>
      <c r="L1162">
        <v>14145.8653981507</v>
      </c>
      <c r="M1162">
        <v>250</v>
      </c>
      <c r="N1162">
        <v>56.736067527191601</v>
      </c>
      <c r="O1162">
        <v>56.579840625274002</v>
      </c>
      <c r="P1162">
        <v>-0.83426682239528605</v>
      </c>
      <c r="Q1162">
        <v>0.24475705926934399</v>
      </c>
      <c r="R1162">
        <v>0.34903323360067301</v>
      </c>
      <c r="S1162" t="s">
        <v>7614</v>
      </c>
      <c r="T1162" t="s">
        <v>12902</v>
      </c>
      <c r="U1162" t="s">
        <v>12902</v>
      </c>
      <c r="V1162" t="s">
        <v>12902</v>
      </c>
      <c r="W1162" t="s">
        <v>14040</v>
      </c>
      <c r="X1162">
        <v>2</v>
      </c>
      <c r="Y1162" t="s">
        <v>20429</v>
      </c>
      <c r="Z1162" t="s">
        <v>26737</v>
      </c>
      <c r="AA1162">
        <v>0.66231680058680309</v>
      </c>
      <c r="AB1162" t="str">
        <f>HYPERLINK("Melting_Curves/meltCurve_K7EKI0_EVPL.pdf", "Melting_Curves/meltCurve_K7EKI0_EVPL.pdf")</f>
        <v>Melting_Curves/meltCurve_K7EKI0_EVPL.pdf</v>
      </c>
    </row>
    <row r="1163" spans="1:28" x14ac:dyDescent="0.25">
      <c r="A1163" t="s">
        <v>1167</v>
      </c>
      <c r="B1163">
        <v>0.99673306730245903</v>
      </c>
      <c r="C1163">
        <v>0.99510622894267098</v>
      </c>
      <c r="D1163">
        <v>0.83495933032630298</v>
      </c>
      <c r="E1163">
        <v>0.60031079628026796</v>
      </c>
      <c r="F1163">
        <v>0.46479377750488399</v>
      </c>
      <c r="G1163">
        <v>0.35158073391758399</v>
      </c>
      <c r="H1163">
        <v>0.26432263588162103</v>
      </c>
      <c r="I1163">
        <v>0.31819491500460401</v>
      </c>
      <c r="J1163">
        <v>0.38478451240080203</v>
      </c>
      <c r="K1163">
        <v>0.330203227836601</v>
      </c>
      <c r="L1163">
        <v>995.31338990796803</v>
      </c>
      <c r="M1163">
        <v>20.376503824040299</v>
      </c>
      <c r="N1163">
        <v>51.467204504187897</v>
      </c>
      <c r="O1163">
        <v>48.3829735840974</v>
      </c>
      <c r="P1163">
        <v>-7.1295695263354303E-2</v>
      </c>
      <c r="Q1163">
        <v>0.32286844639801199</v>
      </c>
      <c r="R1163">
        <v>0.98466988572042802</v>
      </c>
      <c r="S1163" t="s">
        <v>7615</v>
      </c>
      <c r="T1163" t="s">
        <v>12902</v>
      </c>
      <c r="U1163" t="s">
        <v>12902</v>
      </c>
      <c r="V1163" t="s">
        <v>12902</v>
      </c>
      <c r="W1163" t="s">
        <v>14041</v>
      </c>
      <c r="X1163">
        <v>32</v>
      </c>
      <c r="Y1163" t="s">
        <v>20430</v>
      </c>
      <c r="Z1163" t="s">
        <v>26738</v>
      </c>
      <c r="AA1163">
        <v>0.53167852821367556</v>
      </c>
      <c r="AB1163" t="str">
        <f>HYPERLINK("Melting_Curves/meltCurve_K7EKI8_PPL.pdf", "Melting_Curves/meltCurve_K7EKI8_PPL.pdf")</f>
        <v>Melting_Curves/meltCurve_K7EKI8_PPL.pdf</v>
      </c>
    </row>
    <row r="1164" spans="1:28" x14ac:dyDescent="0.25">
      <c r="A1164" t="s">
        <v>1168</v>
      </c>
      <c r="B1164">
        <v>0.99673306730245903</v>
      </c>
      <c r="C1164">
        <v>0.96373541308025901</v>
      </c>
      <c r="D1164">
        <v>0.85637965860277299</v>
      </c>
      <c r="E1164">
        <v>0.69352965873488903</v>
      </c>
      <c r="F1164">
        <v>0.62225931931360701</v>
      </c>
      <c r="G1164">
        <v>0.46977952307147403</v>
      </c>
      <c r="H1164">
        <v>0.396172490944736</v>
      </c>
      <c r="I1164">
        <v>0.42384366728848299</v>
      </c>
      <c r="J1164">
        <v>0.47806334956881003</v>
      </c>
      <c r="K1164">
        <v>0.46083023311515398</v>
      </c>
      <c r="L1164">
        <v>792.89849622742202</v>
      </c>
      <c r="M1164">
        <v>16.027240651080401</v>
      </c>
      <c r="N1164">
        <v>56.328921388586501</v>
      </c>
      <c r="O1164">
        <v>48.720969592862403</v>
      </c>
      <c r="P1164">
        <v>-4.6967962746645997E-2</v>
      </c>
      <c r="Q1164">
        <v>0.42893566389200799</v>
      </c>
      <c r="R1164">
        <v>0.97832183081379098</v>
      </c>
      <c r="S1164" t="s">
        <v>7616</v>
      </c>
      <c r="T1164" t="s">
        <v>12902</v>
      </c>
      <c r="U1164" t="s">
        <v>12902</v>
      </c>
      <c r="V1164" t="s">
        <v>12902</v>
      </c>
      <c r="W1164" t="s">
        <v>14042</v>
      </c>
      <c r="X1164">
        <v>3</v>
      </c>
      <c r="Y1164" t="s">
        <v>20431</v>
      </c>
      <c r="Z1164" t="s">
        <v>26739</v>
      </c>
      <c r="AA1164">
        <v>0.62149421713282593</v>
      </c>
      <c r="AB1164" t="str">
        <f>HYPERLINK("Melting_Curves/meltCurve_K7EKW3_TMUB2.pdf", "Melting_Curves/meltCurve_K7EKW3_TMUB2.pdf")</f>
        <v>Melting_Curves/meltCurve_K7EKW3_TMUB2.pdf</v>
      </c>
    </row>
    <row r="1165" spans="1:28" x14ac:dyDescent="0.25">
      <c r="A1165" t="s">
        <v>1169</v>
      </c>
      <c r="B1165">
        <v>0.99673306730245903</v>
      </c>
      <c r="C1165">
        <v>1.0433686903688999</v>
      </c>
      <c r="D1165">
        <v>0.94571155530728501</v>
      </c>
      <c r="E1165">
        <v>0.68623934039776102</v>
      </c>
      <c r="F1165">
        <v>0.33940280255041899</v>
      </c>
      <c r="G1165">
        <v>0.21241256382149501</v>
      </c>
      <c r="H1165">
        <v>0.144207858443159</v>
      </c>
      <c r="I1165">
        <v>0.146026289933054</v>
      </c>
      <c r="J1165">
        <v>0.195291880840858</v>
      </c>
      <c r="K1165">
        <v>0.172890763239127</v>
      </c>
      <c r="L1165">
        <v>1386.58686850457</v>
      </c>
      <c r="M1165">
        <v>27.4237788254359</v>
      </c>
      <c r="N1165">
        <v>51.306771027699</v>
      </c>
      <c r="O1165">
        <v>50.294919403348601</v>
      </c>
      <c r="P1165">
        <v>-0.11392068472304</v>
      </c>
      <c r="Q1165">
        <v>0.164290473339818</v>
      </c>
      <c r="R1165">
        <v>0.99640737866567197</v>
      </c>
      <c r="S1165" t="s">
        <v>7617</v>
      </c>
      <c r="T1165" t="s">
        <v>12902</v>
      </c>
      <c r="U1165" t="s">
        <v>12902</v>
      </c>
      <c r="V1165" t="s">
        <v>12902</v>
      </c>
      <c r="W1165" t="s">
        <v>14043</v>
      </c>
      <c r="X1165">
        <v>9</v>
      </c>
      <c r="Y1165" t="s">
        <v>20432</v>
      </c>
      <c r="Z1165" t="s">
        <v>26740</v>
      </c>
      <c r="AA1165">
        <v>0.46474861947029972</v>
      </c>
      <c r="AB1165" t="str">
        <f>HYPERLINK("Melting_Curves/meltCurve_K7EL21_CAPS.pdf", "Melting_Curves/meltCurve_K7EL21_CAPS.pdf")</f>
        <v>Melting_Curves/meltCurve_K7EL21_CAPS.pdf</v>
      </c>
    </row>
    <row r="1166" spans="1:28" x14ac:dyDescent="0.25">
      <c r="A1166" t="s">
        <v>1170</v>
      </c>
      <c r="B1166">
        <v>0.99673306730245903</v>
      </c>
      <c r="C1166">
        <v>1.0111255324514901</v>
      </c>
      <c r="D1166">
        <v>0.91855683395658805</v>
      </c>
      <c r="E1166">
        <v>0.93822425623571304</v>
      </c>
      <c r="F1166">
        <v>0.74452631545772596</v>
      </c>
      <c r="G1166">
        <v>0.382662460935351</v>
      </c>
      <c r="H1166">
        <v>0.190034222846623</v>
      </c>
      <c r="I1166">
        <v>0.12238503096544601</v>
      </c>
      <c r="J1166">
        <v>7.2406592822364002E-2</v>
      </c>
      <c r="K1166">
        <v>6.2916238284321399E-2</v>
      </c>
      <c r="L1166">
        <v>1211.0120150437999</v>
      </c>
      <c r="M1166">
        <v>21.870777754682901</v>
      </c>
      <c r="N1166">
        <v>55.701875728311698</v>
      </c>
      <c r="O1166">
        <v>54.914551213852398</v>
      </c>
      <c r="P1166">
        <v>-9.3508458591823704E-2</v>
      </c>
      <c r="Q1166">
        <v>6.08733207200935E-2</v>
      </c>
      <c r="R1166">
        <v>0.99579173902767204</v>
      </c>
      <c r="S1166" t="s">
        <v>7618</v>
      </c>
      <c r="T1166" t="s">
        <v>12902</v>
      </c>
      <c r="U1166" t="s">
        <v>12902</v>
      </c>
      <c r="V1166" t="s">
        <v>12902</v>
      </c>
      <c r="W1166" t="s">
        <v>14044</v>
      </c>
      <c r="X1166">
        <v>16</v>
      </c>
      <c r="Y1166" t="s">
        <v>20433</v>
      </c>
      <c r="Z1166" t="s">
        <v>26741</v>
      </c>
      <c r="AA1166">
        <v>0.55286773630030106</v>
      </c>
      <c r="AB1166" t="str">
        <f>HYPERLINK("Melting_Curves/meltCurve_K7EL68_CDC37.pdf", "Melting_Curves/meltCurve_K7EL68_CDC37.pdf")</f>
        <v>Melting_Curves/meltCurve_K7EL68_CDC37.pdf</v>
      </c>
    </row>
    <row r="1167" spans="1:28" x14ac:dyDescent="0.25">
      <c r="A1167" t="s">
        <v>1171</v>
      </c>
      <c r="B1167">
        <v>0.99673306730245903</v>
      </c>
      <c r="C1167">
        <v>0.97337872939284498</v>
      </c>
      <c r="D1167">
        <v>0.97605031611245996</v>
      </c>
      <c r="E1167">
        <v>0.96616481139320598</v>
      </c>
      <c r="F1167">
        <v>0.644365813987684</v>
      </c>
      <c r="G1167">
        <v>0.397038820583411</v>
      </c>
      <c r="H1167">
        <v>0.26601939055728302</v>
      </c>
      <c r="I1167">
        <v>0.33303717274237499</v>
      </c>
      <c r="J1167">
        <v>0.47675338052379301</v>
      </c>
      <c r="K1167">
        <v>0.44610502016300702</v>
      </c>
      <c r="L1167">
        <v>2596.3561765987401</v>
      </c>
      <c r="M1167">
        <v>49.117838888277902</v>
      </c>
      <c r="N1167">
        <v>54.4403558371815</v>
      </c>
      <c r="O1167">
        <v>52.772340155546502</v>
      </c>
      <c r="P1167">
        <v>-0.144295664400755</v>
      </c>
      <c r="Q1167">
        <v>0.37987394237400601</v>
      </c>
      <c r="R1167">
        <v>0.96248136145868401</v>
      </c>
      <c r="S1167" t="s">
        <v>7619</v>
      </c>
      <c r="T1167" t="s">
        <v>12902</v>
      </c>
      <c r="U1167" t="s">
        <v>12902</v>
      </c>
      <c r="V1167" t="s">
        <v>12902</v>
      </c>
      <c r="W1167" t="s">
        <v>14045</v>
      </c>
      <c r="X1167">
        <v>26</v>
      </c>
      <c r="Y1167" t="s">
        <v>20434</v>
      </c>
      <c r="Z1167" t="s">
        <v>26742</v>
      </c>
      <c r="AA1167">
        <v>0.64719432382421749</v>
      </c>
      <c r="AB1167" t="str">
        <f>HYPERLINK("Melting_Curves/meltCurve_K7ELL7_PRKCSH.pdf", "Melting_Curves/meltCurve_K7ELL7_PRKCSH.pdf")</f>
        <v>Melting_Curves/meltCurve_K7ELL7_PRKCSH.pdf</v>
      </c>
    </row>
    <row r="1168" spans="1:28" x14ac:dyDescent="0.25">
      <c r="A1168" t="s">
        <v>1172</v>
      </c>
      <c r="B1168">
        <v>0.99673306730245903</v>
      </c>
      <c r="C1168">
        <v>0.96450115801824399</v>
      </c>
      <c r="D1168">
        <v>1.0450072696053101</v>
      </c>
      <c r="E1168">
        <v>1.2734495658067599</v>
      </c>
      <c r="F1168">
        <v>1.2953528101062</v>
      </c>
      <c r="G1168">
        <v>1.41264490327017</v>
      </c>
      <c r="H1168">
        <v>1.54432372206958</v>
      </c>
      <c r="I1168">
        <v>1.01738928052973</v>
      </c>
      <c r="J1168">
        <v>0.40153811901167102</v>
      </c>
      <c r="K1168">
        <v>0.13513064706804401</v>
      </c>
      <c r="L1168">
        <v>15000</v>
      </c>
      <c r="M1168">
        <v>224.35611703694499</v>
      </c>
      <c r="N1168">
        <v>66.951976033117802</v>
      </c>
      <c r="O1168">
        <v>66.8526820653464</v>
      </c>
      <c r="P1168">
        <v>-0.72565275698010301</v>
      </c>
      <c r="Q1168">
        <v>0.135092306181269</v>
      </c>
      <c r="R1168">
        <v>0.63617778536968095</v>
      </c>
      <c r="S1168" t="s">
        <v>7620</v>
      </c>
      <c r="T1168" t="s">
        <v>12902</v>
      </c>
      <c r="U1168" t="s">
        <v>12902</v>
      </c>
      <c r="V1168" t="s">
        <v>12902</v>
      </c>
      <c r="W1168" t="s">
        <v>14046</v>
      </c>
      <c r="X1168">
        <v>1</v>
      </c>
      <c r="Y1168" t="s">
        <v>20435</v>
      </c>
      <c r="Z1168" t="s">
        <v>26743</v>
      </c>
      <c r="AA1168">
        <v>0.90954078381472536</v>
      </c>
      <c r="AB1168" t="str">
        <f>HYPERLINK("Melting_Curves/meltCurve_K7EM02_KATNAL2.pdf", "Melting_Curves/meltCurve_K7EM02_KATNAL2.pdf")</f>
        <v>Melting_Curves/meltCurve_K7EM02_KATNAL2.pdf</v>
      </c>
    </row>
    <row r="1169" spans="1:28" x14ac:dyDescent="0.25">
      <c r="A1169" t="s">
        <v>1173</v>
      </c>
      <c r="B1169">
        <v>0.99673306730245903</v>
      </c>
      <c r="C1169">
        <v>0.90477315151617499</v>
      </c>
      <c r="D1169">
        <v>0.95045667710227499</v>
      </c>
      <c r="E1169">
        <v>0.71382832564714505</v>
      </c>
      <c r="F1169">
        <v>0.48565782988572598</v>
      </c>
      <c r="G1169">
        <v>0.417355655823823</v>
      </c>
      <c r="H1169">
        <v>0.31407170199997703</v>
      </c>
      <c r="I1169">
        <v>0.36268321012968002</v>
      </c>
      <c r="J1169">
        <v>0.37710511417746501</v>
      </c>
      <c r="K1169">
        <v>0.25444255696448498</v>
      </c>
      <c r="L1169">
        <v>969.89641493507895</v>
      </c>
      <c r="M1169">
        <v>19.210984529531</v>
      </c>
      <c r="N1169">
        <v>53.300626159434998</v>
      </c>
      <c r="O1169">
        <v>49.949049443376197</v>
      </c>
      <c r="P1169">
        <v>-6.5514864531917905E-2</v>
      </c>
      <c r="Q1169">
        <v>0.31866472875180502</v>
      </c>
      <c r="R1169">
        <v>0.97633472925789899</v>
      </c>
      <c r="S1169" t="s">
        <v>7621</v>
      </c>
      <c r="T1169" t="s">
        <v>12902</v>
      </c>
      <c r="U1169" t="s">
        <v>12902</v>
      </c>
      <c r="V1169" t="s">
        <v>12902</v>
      </c>
      <c r="W1169" t="s">
        <v>14047</v>
      </c>
      <c r="X1169">
        <v>4</v>
      </c>
      <c r="Y1169" t="s">
        <v>20436</v>
      </c>
      <c r="Z1169" t="s">
        <v>26744</v>
      </c>
      <c r="AA1169">
        <v>0.56705039441579186</v>
      </c>
      <c r="AB1169" t="str">
        <f>HYPERLINK("Melting_Curves/meltCurve_K7EM09_TMEM205.pdf", "Melting_Curves/meltCurve_K7EM09_TMEM205.pdf")</f>
        <v>Melting_Curves/meltCurve_K7EM09_TMEM205.pdf</v>
      </c>
    </row>
    <row r="1170" spans="1:28" x14ac:dyDescent="0.25">
      <c r="A1170" t="s">
        <v>1174</v>
      </c>
      <c r="B1170">
        <v>0.99673306730245903</v>
      </c>
      <c r="C1170">
        <v>0.96845712766446501</v>
      </c>
      <c r="D1170">
        <v>0.75233892377966005</v>
      </c>
      <c r="E1170">
        <v>0.62755287530048998</v>
      </c>
      <c r="F1170">
        <v>0.43223164783323997</v>
      </c>
      <c r="G1170">
        <v>0.38548733392991802</v>
      </c>
      <c r="H1170">
        <v>0.25754927395963301</v>
      </c>
      <c r="I1170">
        <v>0.35808360368952602</v>
      </c>
      <c r="J1170">
        <v>0.35035200660027299</v>
      </c>
      <c r="K1170">
        <v>0.30149854961946998</v>
      </c>
      <c r="L1170">
        <v>807.63012762051801</v>
      </c>
      <c r="M1170">
        <v>16.6394063677328</v>
      </c>
      <c r="N1170">
        <v>51.543779771290403</v>
      </c>
      <c r="O1170">
        <v>47.852398119147402</v>
      </c>
      <c r="P1170">
        <v>-5.9936791523698699E-2</v>
      </c>
      <c r="Q1170">
        <v>0.31057002586571397</v>
      </c>
      <c r="R1170">
        <v>0.979400751894699</v>
      </c>
      <c r="S1170" t="s">
        <v>7622</v>
      </c>
      <c r="T1170" t="s">
        <v>12902</v>
      </c>
      <c r="U1170" t="s">
        <v>12902</v>
      </c>
      <c r="V1170" t="s">
        <v>12902</v>
      </c>
      <c r="W1170" t="s">
        <v>14048</v>
      </c>
      <c r="X1170">
        <v>3</v>
      </c>
      <c r="Y1170" t="s">
        <v>20437</v>
      </c>
      <c r="Z1170" t="s">
        <v>26745</v>
      </c>
      <c r="AA1170">
        <v>0.52089523412601435</v>
      </c>
      <c r="AB1170" t="str">
        <f>HYPERLINK("Melting_Curves/meltCurve_K7EM88_UBALD1.pdf", "Melting_Curves/meltCurve_K7EM88_UBALD1.pdf")</f>
        <v>Melting_Curves/meltCurve_K7EM88_UBALD1.pdf</v>
      </c>
    </row>
    <row r="1171" spans="1:28" x14ac:dyDescent="0.25">
      <c r="A1171" t="s">
        <v>1175</v>
      </c>
      <c r="B1171">
        <v>0.99673306730245903</v>
      </c>
      <c r="C1171">
        <v>0.874671316713722</v>
      </c>
      <c r="D1171">
        <v>0.94068445043083704</v>
      </c>
      <c r="E1171">
        <v>0.65120084874253903</v>
      </c>
      <c r="F1171">
        <v>0.60616512315028004</v>
      </c>
      <c r="G1171">
        <v>0.36072590567319601</v>
      </c>
      <c r="H1171">
        <v>0.13403610165583801</v>
      </c>
      <c r="I1171">
        <v>0.18250413904510901</v>
      </c>
      <c r="J1171">
        <v>0.204189983589773</v>
      </c>
      <c r="K1171">
        <v>0.29294118313432599</v>
      </c>
      <c r="L1171">
        <v>769.49652724070097</v>
      </c>
      <c r="M1171">
        <v>14.838621235992999</v>
      </c>
      <c r="N1171">
        <v>53.390503709725003</v>
      </c>
      <c r="O1171">
        <v>50.9431714313207</v>
      </c>
      <c r="P1171">
        <v>-6.0195621712227101E-2</v>
      </c>
      <c r="Q1171">
        <v>0.17344537849031999</v>
      </c>
      <c r="R1171">
        <v>0.94795741181913196</v>
      </c>
      <c r="S1171" t="s">
        <v>7623</v>
      </c>
      <c r="T1171" t="s">
        <v>12902</v>
      </c>
      <c r="U1171" t="s">
        <v>12902</v>
      </c>
      <c r="V1171" t="s">
        <v>12902</v>
      </c>
      <c r="W1171" t="s">
        <v>14049</v>
      </c>
      <c r="X1171">
        <v>2</v>
      </c>
      <c r="Y1171" t="s">
        <v>20438</v>
      </c>
      <c r="Z1171" t="s">
        <v>26746</v>
      </c>
      <c r="AA1171">
        <v>0.51902827197359758</v>
      </c>
      <c r="AB1171" t="str">
        <f>HYPERLINK("Melting_Curves/meltCurve_K7EMM8_GLYR1.pdf", "Melting_Curves/meltCurve_K7EMM8_GLYR1.pdf")</f>
        <v>Melting_Curves/meltCurve_K7EMM8_GLYR1.pdf</v>
      </c>
    </row>
    <row r="1172" spans="1:28" x14ac:dyDescent="0.25">
      <c r="A1172" t="s">
        <v>1176</v>
      </c>
      <c r="B1172">
        <v>0.99673306730245903</v>
      </c>
      <c r="C1172">
        <v>0.98881218846762198</v>
      </c>
      <c r="D1172">
        <v>0.91159123718998802</v>
      </c>
      <c r="E1172">
        <v>0.88529429816199801</v>
      </c>
      <c r="F1172">
        <v>0.62304766926664501</v>
      </c>
      <c r="G1172">
        <v>0.54188506131861602</v>
      </c>
      <c r="H1172">
        <v>0.37925086624628701</v>
      </c>
      <c r="I1172">
        <v>0.29368866168899499</v>
      </c>
      <c r="J1172">
        <v>0.30873879663945603</v>
      </c>
      <c r="K1172">
        <v>0.32041782365933902</v>
      </c>
      <c r="L1172">
        <v>811.80272739685597</v>
      </c>
      <c r="M1172">
        <v>15.0853052713673</v>
      </c>
      <c r="N1172">
        <v>56.797255177574598</v>
      </c>
      <c r="O1172">
        <v>52.895041158407601</v>
      </c>
      <c r="P1172">
        <v>-5.1796065905416099E-2</v>
      </c>
      <c r="Q1172">
        <v>0.27360187374999201</v>
      </c>
      <c r="R1172">
        <v>0.98824422495900699</v>
      </c>
      <c r="S1172" t="s">
        <v>7624</v>
      </c>
      <c r="T1172" t="s">
        <v>12902</v>
      </c>
      <c r="U1172" t="s">
        <v>12902</v>
      </c>
      <c r="V1172" t="s">
        <v>12902</v>
      </c>
      <c r="W1172" t="s">
        <v>14050</v>
      </c>
      <c r="X1172">
        <v>2</v>
      </c>
      <c r="Y1172" t="s">
        <v>20439</v>
      </c>
      <c r="Z1172" t="s">
        <v>26747</v>
      </c>
      <c r="AA1172">
        <v>0.62302949641796124</v>
      </c>
      <c r="AB1172" t="str">
        <f>HYPERLINK("Melting_Curves/meltCurve_K7EMR7_RTN2.pdf", "Melting_Curves/meltCurve_K7EMR7_RTN2.pdf")</f>
        <v>Melting_Curves/meltCurve_K7EMR7_RTN2.pdf</v>
      </c>
    </row>
    <row r="1173" spans="1:28" x14ac:dyDescent="0.25">
      <c r="A1173" t="s">
        <v>1177</v>
      </c>
      <c r="B1173">
        <v>0.99673306730245903</v>
      </c>
      <c r="C1173">
        <v>0.94275817183881205</v>
      </c>
      <c r="D1173">
        <v>0.84721684721071899</v>
      </c>
      <c r="E1173">
        <v>0.56870482659399801</v>
      </c>
      <c r="F1173">
        <v>0.31018454421194702</v>
      </c>
      <c r="G1173">
        <v>0.221478735752725</v>
      </c>
      <c r="H1173">
        <v>0.108987330176674</v>
      </c>
      <c r="I1173">
        <v>0.11481531598658801</v>
      </c>
      <c r="J1173">
        <v>0.18070017348515299</v>
      </c>
      <c r="K1173">
        <v>0.207196076549237</v>
      </c>
      <c r="L1173">
        <v>1008.7703322472</v>
      </c>
      <c r="M1173">
        <v>20.398699811318501</v>
      </c>
      <c r="N1173">
        <v>50.325292939384902</v>
      </c>
      <c r="O1173">
        <v>48.984771298256099</v>
      </c>
      <c r="P1173">
        <v>-8.8602519022410106E-2</v>
      </c>
      <c r="Q1173">
        <v>0.14895682925014</v>
      </c>
      <c r="R1173">
        <v>0.99136442945377101</v>
      </c>
      <c r="S1173" t="s">
        <v>7625</v>
      </c>
      <c r="T1173" t="s">
        <v>12902</v>
      </c>
      <c r="U1173" t="s">
        <v>12902</v>
      </c>
      <c r="V1173" t="s">
        <v>12902</v>
      </c>
      <c r="W1173" t="s">
        <v>14051</v>
      </c>
      <c r="X1173">
        <v>1</v>
      </c>
      <c r="Y1173" t="s">
        <v>20440</v>
      </c>
      <c r="Z1173" t="s">
        <v>26748</v>
      </c>
      <c r="AA1173">
        <v>0.42853160911337479</v>
      </c>
      <c r="AB1173" t="str">
        <f>HYPERLINK("Melting_Curves/meltCurve_K7EMV5_ZNF444.pdf", "Melting_Curves/meltCurve_K7EMV5_ZNF444.pdf")</f>
        <v>Melting_Curves/meltCurve_K7EMV5_ZNF444.pdf</v>
      </c>
    </row>
    <row r="1174" spans="1:28" x14ac:dyDescent="0.25">
      <c r="A1174" t="s">
        <v>1178</v>
      </c>
      <c r="B1174">
        <v>0.99673306730245903</v>
      </c>
      <c r="C1174">
        <v>0.98815278635845405</v>
      </c>
      <c r="D1174">
        <v>1.0485508330912201</v>
      </c>
      <c r="E1174">
        <v>0.99416211973077595</v>
      </c>
      <c r="F1174">
        <v>0.88798001891051304</v>
      </c>
      <c r="G1174">
        <v>0.64837608888604203</v>
      </c>
      <c r="H1174">
        <v>0.38706574339612898</v>
      </c>
      <c r="I1174">
        <v>0.266955139923306</v>
      </c>
      <c r="J1174">
        <v>0.22083608734900301</v>
      </c>
      <c r="K1174">
        <v>0.17376625738935</v>
      </c>
      <c r="L1174">
        <v>1239.63252286123</v>
      </c>
      <c r="M1174">
        <v>21.464197929097399</v>
      </c>
      <c r="N1174">
        <v>58.898864317246698</v>
      </c>
      <c r="O1174">
        <v>57.259207872528798</v>
      </c>
      <c r="P1174">
        <v>-7.7727192316912302E-2</v>
      </c>
      <c r="Q1174">
        <v>0.17062116684290499</v>
      </c>
      <c r="R1174">
        <v>0.99690152646888797</v>
      </c>
      <c r="S1174" t="s">
        <v>7626</v>
      </c>
      <c r="T1174" t="s">
        <v>12902</v>
      </c>
      <c r="U1174" t="s">
        <v>12902</v>
      </c>
      <c r="V1174" t="s">
        <v>12902</v>
      </c>
      <c r="W1174" t="s">
        <v>14052</v>
      </c>
      <c r="X1174">
        <v>1</v>
      </c>
      <c r="Y1174" t="s">
        <v>20441</v>
      </c>
      <c r="Z1174" t="s">
        <v>26749</v>
      </c>
      <c r="AA1174">
        <v>0.67032715482259708</v>
      </c>
      <c r="AB1174" t="str">
        <f>HYPERLINK("Melting_Curves/meltCurve_K7EN05_ELOF1.pdf", "Melting_Curves/meltCurve_K7EN05_ELOF1.pdf")</f>
        <v>Melting_Curves/meltCurve_K7EN05_ELOF1.pdf</v>
      </c>
    </row>
    <row r="1175" spans="1:28" x14ac:dyDescent="0.25">
      <c r="A1175" t="s">
        <v>1179</v>
      </c>
      <c r="B1175">
        <v>0.99673306730245903</v>
      </c>
      <c r="C1175">
        <v>0.91204736380219897</v>
      </c>
      <c r="D1175">
        <v>0.83946326141049998</v>
      </c>
      <c r="E1175">
        <v>0.61245712582410405</v>
      </c>
      <c r="F1175">
        <v>0.40559273924800598</v>
      </c>
      <c r="G1175">
        <v>0.22559359913868901</v>
      </c>
      <c r="H1175">
        <v>0.14039499299892999</v>
      </c>
      <c r="I1175">
        <v>0.10490741779899899</v>
      </c>
      <c r="J1175">
        <v>0.116983326513783</v>
      </c>
      <c r="K1175">
        <v>0.10843538105969899</v>
      </c>
      <c r="L1175">
        <v>743.25903155796402</v>
      </c>
      <c r="M1175">
        <v>14.652063631853</v>
      </c>
      <c r="N1175">
        <v>51.325487791010197</v>
      </c>
      <c r="O1175">
        <v>49.810441820747499</v>
      </c>
      <c r="P1175">
        <v>-6.7774113388590199E-2</v>
      </c>
      <c r="Q1175">
        <v>7.8495762058498994E-2</v>
      </c>
      <c r="R1175">
        <v>0.99805301261787005</v>
      </c>
      <c r="S1175" t="s">
        <v>7627</v>
      </c>
      <c r="T1175" t="s">
        <v>12902</v>
      </c>
      <c r="U1175" t="s">
        <v>12902</v>
      </c>
      <c r="V1175" t="s">
        <v>12902</v>
      </c>
      <c r="W1175" t="s">
        <v>14053</v>
      </c>
      <c r="X1175">
        <v>3</v>
      </c>
      <c r="Y1175" t="s">
        <v>20442</v>
      </c>
      <c r="Z1175" t="s">
        <v>26750</v>
      </c>
      <c r="AA1175">
        <v>0.43033906413194478</v>
      </c>
      <c r="AB1175" t="str">
        <f>HYPERLINK("Melting_Curves/meltCurve_K7EN88_hCG_2039718.pdf", "Melting_Curves/meltCurve_K7EN88_hCG_2039718.pdf")</f>
        <v>Melting_Curves/meltCurve_K7EN88_hCG_2039718.pdf</v>
      </c>
    </row>
    <row r="1176" spans="1:28" x14ac:dyDescent="0.25">
      <c r="A1176" t="s">
        <v>1180</v>
      </c>
      <c r="B1176">
        <v>0.99673306730245903</v>
      </c>
      <c r="C1176">
        <v>0.88108702266250505</v>
      </c>
      <c r="D1176">
        <v>0.90926405401184496</v>
      </c>
      <c r="E1176">
        <v>0.69421152099347005</v>
      </c>
      <c r="F1176">
        <v>0.51250202808352396</v>
      </c>
      <c r="G1176">
        <v>0.44122219366407101</v>
      </c>
      <c r="H1176">
        <v>0.31354574155209303</v>
      </c>
      <c r="I1176">
        <v>0.36022082412848</v>
      </c>
      <c r="J1176">
        <v>0.27980742719334001</v>
      </c>
      <c r="K1176">
        <v>0.22336407729566601</v>
      </c>
      <c r="L1176">
        <v>623.06214468498797</v>
      </c>
      <c r="M1176">
        <v>12.1026396438915</v>
      </c>
      <c r="N1176">
        <v>54.307787219728297</v>
      </c>
      <c r="O1176">
        <v>50.136407178070797</v>
      </c>
      <c r="P1176">
        <v>-4.6258125956497198E-2</v>
      </c>
      <c r="Q1176">
        <v>0.23366255402335401</v>
      </c>
      <c r="R1176">
        <v>0.98111168542109595</v>
      </c>
      <c r="S1176" t="s">
        <v>7628</v>
      </c>
      <c r="T1176" t="s">
        <v>12902</v>
      </c>
      <c r="U1176" t="s">
        <v>12902</v>
      </c>
      <c r="V1176" t="s">
        <v>12902</v>
      </c>
      <c r="W1176" t="s">
        <v>14054</v>
      </c>
      <c r="X1176">
        <v>2</v>
      </c>
      <c r="Y1176" t="s">
        <v>20443</v>
      </c>
      <c r="Z1176" t="s">
        <v>26751</v>
      </c>
      <c r="AA1176">
        <v>0.55093025127279105</v>
      </c>
      <c r="AB1176" t="str">
        <f>HYPERLINK("Melting_Curves/meltCurve_K7ENC0_FUT5.pdf", "Melting_Curves/meltCurve_K7ENC0_FUT5.pdf")</f>
        <v>Melting_Curves/meltCurve_K7ENC0_FUT5.pdf</v>
      </c>
    </row>
    <row r="1177" spans="1:28" x14ac:dyDescent="0.25">
      <c r="A1177" t="s">
        <v>1181</v>
      </c>
      <c r="B1177">
        <v>0.99673306730245903</v>
      </c>
      <c r="C1177">
        <v>0.94378148121341499</v>
      </c>
      <c r="D1177">
        <v>0.92522966343232504</v>
      </c>
      <c r="E1177">
        <v>0.96999907146989095</v>
      </c>
      <c r="F1177">
        <v>0.61365974878055096</v>
      </c>
      <c r="G1177">
        <v>0.220551640303109</v>
      </c>
      <c r="H1177">
        <v>5.8580803599420597E-2</v>
      </c>
      <c r="I1177">
        <v>6.0396189996453402E-2</v>
      </c>
      <c r="J1177">
        <v>5.7816462196961502E-2</v>
      </c>
      <c r="K1177">
        <v>5.3412749168630799E-2</v>
      </c>
      <c r="L1177">
        <v>1712.05986123053</v>
      </c>
      <c r="M1177">
        <v>31.760288926973999</v>
      </c>
      <c r="N1177">
        <v>54.089158681903903</v>
      </c>
      <c r="O1177">
        <v>53.693321287561702</v>
      </c>
      <c r="P1177">
        <v>-0.14032698338656799</v>
      </c>
      <c r="Q1177">
        <v>5.1068788110638599E-2</v>
      </c>
      <c r="R1177">
        <v>0.994490572329915</v>
      </c>
      <c r="S1177" t="s">
        <v>7629</v>
      </c>
      <c r="T1177" t="s">
        <v>12902</v>
      </c>
      <c r="U1177" t="s">
        <v>12902</v>
      </c>
      <c r="V1177" t="s">
        <v>12902</v>
      </c>
      <c r="W1177" t="s">
        <v>14055</v>
      </c>
      <c r="X1177">
        <v>4</v>
      </c>
      <c r="Y1177" t="s">
        <v>20444</v>
      </c>
      <c r="Z1177" t="s">
        <v>26752</v>
      </c>
      <c r="AA1177">
        <v>0.49649327235468049</v>
      </c>
      <c r="AB1177" t="str">
        <f>HYPERLINK("Melting_Curves/meltCurve_K7ENF0_NARS.pdf", "Melting_Curves/meltCurve_K7ENF0_NARS.pdf")</f>
        <v>Melting_Curves/meltCurve_K7ENF0_NARS.pdf</v>
      </c>
    </row>
    <row r="1178" spans="1:28" x14ac:dyDescent="0.25">
      <c r="A1178" t="s">
        <v>1182</v>
      </c>
      <c r="B1178">
        <v>0.99673306730245903</v>
      </c>
      <c r="C1178">
        <v>0.885919242618462</v>
      </c>
      <c r="D1178">
        <v>1.1898098014429499</v>
      </c>
      <c r="E1178">
        <v>0.72890265222087003</v>
      </c>
      <c r="F1178">
        <v>0.55710087366199901</v>
      </c>
      <c r="G1178">
        <v>0.44118338692956899</v>
      </c>
      <c r="H1178">
        <v>0.47757476766021101</v>
      </c>
      <c r="I1178">
        <v>0.73462740284291905</v>
      </c>
      <c r="J1178">
        <v>0.92744381933756403</v>
      </c>
      <c r="K1178">
        <v>0.84526150002904699</v>
      </c>
      <c r="L1178">
        <v>12329.1952437703</v>
      </c>
      <c r="M1178">
        <v>250</v>
      </c>
      <c r="O1178">
        <v>49.313615148142098</v>
      </c>
      <c r="P1178">
        <v>-0.42601653022846198</v>
      </c>
      <c r="Q1178">
        <v>0.66386528934265399</v>
      </c>
      <c r="R1178">
        <v>0.50825558809793603</v>
      </c>
      <c r="S1178" t="s">
        <v>7630</v>
      </c>
      <c r="T1178" t="s">
        <v>12902</v>
      </c>
      <c r="U1178" t="s">
        <v>12902</v>
      </c>
      <c r="V1178" t="s">
        <v>12902</v>
      </c>
      <c r="W1178" t="s">
        <v>14056</v>
      </c>
      <c r="X1178">
        <v>1</v>
      </c>
      <c r="Y1178" t="s">
        <v>20445</v>
      </c>
      <c r="Z1178" t="s">
        <v>26753</v>
      </c>
      <c r="AA1178">
        <v>0.76828416444062442</v>
      </c>
      <c r="AB1178" t="str">
        <f>HYPERLINK("Melting_Curves/meltCurve_K7ENH4_PPAP2C.pdf", "Melting_Curves/meltCurve_K7ENH4_PPAP2C.pdf")</f>
        <v>Melting_Curves/meltCurve_K7ENH4_PPAP2C.pdf</v>
      </c>
    </row>
    <row r="1179" spans="1:28" x14ac:dyDescent="0.25">
      <c r="A1179" t="s">
        <v>1183</v>
      </c>
      <c r="B1179">
        <v>0.99673306730245903</v>
      </c>
      <c r="C1179">
        <v>0.96406672024706896</v>
      </c>
      <c r="D1179">
        <v>0.93491791905839705</v>
      </c>
      <c r="E1179">
        <v>0.80080861670050096</v>
      </c>
      <c r="F1179">
        <v>0.21254292999011201</v>
      </c>
      <c r="G1179">
        <v>0.14706386365228999</v>
      </c>
      <c r="H1179">
        <v>8.5199664089596602E-2</v>
      </c>
      <c r="I1179">
        <v>0.11187682000976799</v>
      </c>
      <c r="J1179">
        <v>8.3877608093187395E-2</v>
      </c>
      <c r="K1179">
        <v>5.8975533251859197E-2</v>
      </c>
      <c r="L1179">
        <v>2180.0533858961098</v>
      </c>
      <c r="M1179">
        <v>42.743090044407197</v>
      </c>
      <c r="N1179">
        <v>51.2500501732952</v>
      </c>
      <c r="O1179">
        <v>50.892406302748697</v>
      </c>
      <c r="P1179">
        <v>-0.190465656379606</v>
      </c>
      <c r="Q1179">
        <v>9.2883961323861702E-2</v>
      </c>
      <c r="R1179">
        <v>0.99487472848749103</v>
      </c>
      <c r="S1179" t="s">
        <v>7631</v>
      </c>
      <c r="T1179" t="s">
        <v>12902</v>
      </c>
      <c r="U1179" t="s">
        <v>12902</v>
      </c>
      <c r="V1179" t="s">
        <v>12902</v>
      </c>
      <c r="W1179" t="s">
        <v>14057</v>
      </c>
      <c r="X1179">
        <v>7</v>
      </c>
      <c r="Y1179" t="s">
        <v>20446</v>
      </c>
      <c r="Z1179" t="s">
        <v>26754</v>
      </c>
      <c r="AA1179">
        <v>0.42840134714106343</v>
      </c>
      <c r="AB1179" t="str">
        <f>HYPERLINK("Melting_Curves/meltCurve_K7ENL9_C18orf8.pdf", "Melting_Curves/meltCurve_K7ENL9_C18orf8.pdf")</f>
        <v>Melting_Curves/meltCurve_K7ENL9_C18orf8.pdf</v>
      </c>
    </row>
    <row r="1180" spans="1:28" x14ac:dyDescent="0.25">
      <c r="A1180" t="s">
        <v>1184</v>
      </c>
      <c r="B1180">
        <v>0.99673306730245903</v>
      </c>
      <c r="C1180">
        <v>0.99526042919046098</v>
      </c>
      <c r="D1180">
        <v>1.0571025030285901</v>
      </c>
      <c r="E1180">
        <v>1.1658074837907499</v>
      </c>
      <c r="F1180">
        <v>1.06680723222662</v>
      </c>
      <c r="G1180">
        <v>0.63205790520020599</v>
      </c>
      <c r="H1180">
        <v>0.22309788145263501</v>
      </c>
      <c r="I1180">
        <v>0.10487968149141599</v>
      </c>
      <c r="J1180">
        <v>8.6854244647926807E-2</v>
      </c>
      <c r="K1180">
        <v>6.8470833916806806E-2</v>
      </c>
      <c r="L1180">
        <v>2385.6619581538298</v>
      </c>
      <c r="M1180">
        <v>41.475625918990801</v>
      </c>
      <c r="N1180">
        <v>57.802395378126299</v>
      </c>
      <c r="O1180">
        <v>57.3863959013228</v>
      </c>
      <c r="P1180">
        <v>-0.16409496571601201</v>
      </c>
      <c r="Q1180">
        <v>9.1823303115784002E-2</v>
      </c>
      <c r="R1180">
        <v>0.97772505366430296</v>
      </c>
      <c r="S1180" t="s">
        <v>7632</v>
      </c>
      <c r="T1180" t="s">
        <v>12902</v>
      </c>
      <c r="U1180" t="s">
        <v>12902</v>
      </c>
      <c r="V1180" t="s">
        <v>12902</v>
      </c>
      <c r="W1180" t="s">
        <v>14058</v>
      </c>
      <c r="X1180">
        <v>10</v>
      </c>
      <c r="Y1180" t="s">
        <v>20447</v>
      </c>
      <c r="Z1180" t="s">
        <v>26755</v>
      </c>
      <c r="AA1180">
        <v>0.62550347566063469</v>
      </c>
      <c r="AB1180" t="str">
        <f>HYPERLINK("Melting_Curves/meltCurve_K7ENR6_PSMG2.pdf", "Melting_Curves/meltCurve_K7ENR6_PSMG2.pdf")</f>
        <v>Melting_Curves/meltCurve_K7ENR6_PSMG2.pdf</v>
      </c>
    </row>
    <row r="1181" spans="1:28" x14ac:dyDescent="0.25">
      <c r="A1181" t="s">
        <v>1185</v>
      </c>
      <c r="B1181">
        <v>0.99673306730245903</v>
      </c>
      <c r="C1181">
        <v>0.81090449931649999</v>
      </c>
      <c r="D1181">
        <v>0.62088309713356904</v>
      </c>
      <c r="E1181">
        <v>0.43261691074793601</v>
      </c>
      <c r="F1181">
        <v>0.28185003464816899</v>
      </c>
      <c r="G1181">
        <v>0.20876104482902799</v>
      </c>
      <c r="H1181">
        <v>7.62525374015217E-2</v>
      </c>
      <c r="I1181">
        <v>6.8787742518984896E-2</v>
      </c>
      <c r="J1181">
        <v>6.1692203235485202E-2</v>
      </c>
      <c r="K1181">
        <v>6.13724701499909E-2</v>
      </c>
      <c r="L1181">
        <v>586.02999661101899</v>
      </c>
      <c r="M1181">
        <v>12.1605095949371</v>
      </c>
      <c r="N1181">
        <v>48.478164379463003</v>
      </c>
      <c r="O1181">
        <v>46.9435680622421</v>
      </c>
      <c r="P1181">
        <v>-6.2526964307723906E-2</v>
      </c>
      <c r="Q1181">
        <v>3.4722340068195398E-2</v>
      </c>
      <c r="R1181">
        <v>0.99120576188729803</v>
      </c>
      <c r="S1181" t="s">
        <v>7633</v>
      </c>
      <c r="T1181" t="s">
        <v>12902</v>
      </c>
      <c r="U1181" t="s">
        <v>12902</v>
      </c>
      <c r="V1181" t="s">
        <v>12902</v>
      </c>
      <c r="W1181" t="s">
        <v>14059</v>
      </c>
      <c r="X1181">
        <v>1</v>
      </c>
      <c r="Y1181" t="s">
        <v>20448</v>
      </c>
      <c r="Z1181" t="s">
        <v>26756</v>
      </c>
      <c r="AA1181">
        <v>0.33472556502799222</v>
      </c>
      <c r="AB1181" t="str">
        <f>HYPERLINK("Melting_Curves/meltCurve_K7EP31_ATP5SL.pdf", "Melting_Curves/meltCurve_K7EP31_ATP5SL.pdf")</f>
        <v>Melting_Curves/meltCurve_K7EP31_ATP5SL.pdf</v>
      </c>
    </row>
    <row r="1182" spans="1:28" x14ac:dyDescent="0.25">
      <c r="A1182" t="s">
        <v>1186</v>
      </c>
      <c r="B1182">
        <v>0.99673306730245903</v>
      </c>
      <c r="C1182">
        <v>0.67663021722690397</v>
      </c>
      <c r="D1182">
        <v>0.29573171668173798</v>
      </c>
      <c r="E1182">
        <v>0.22397164462445601</v>
      </c>
      <c r="F1182">
        <v>0.17552139742046499</v>
      </c>
      <c r="G1182">
        <v>0.13608925259651899</v>
      </c>
      <c r="H1182">
        <v>9.9408121136836294E-2</v>
      </c>
      <c r="I1182">
        <v>9.0369844092763094E-2</v>
      </c>
      <c r="J1182">
        <v>0.117479584290214</v>
      </c>
      <c r="K1182">
        <v>8.8976657645737797E-2</v>
      </c>
      <c r="L1182">
        <v>1229.9845346709101</v>
      </c>
      <c r="M1182">
        <v>28.0602330666811</v>
      </c>
      <c r="N1182">
        <v>44.288199733687101</v>
      </c>
      <c r="O1182">
        <v>43.612921237850102</v>
      </c>
      <c r="P1182">
        <v>-0.14072728854762501</v>
      </c>
      <c r="Q1182">
        <v>0.125100016056094</v>
      </c>
      <c r="R1182">
        <v>0.98456921819408805</v>
      </c>
      <c r="S1182" t="s">
        <v>7634</v>
      </c>
      <c r="T1182" t="s">
        <v>12902</v>
      </c>
      <c r="U1182" t="s">
        <v>12902</v>
      </c>
      <c r="V1182" t="s">
        <v>12902</v>
      </c>
      <c r="W1182" t="s">
        <v>14060</v>
      </c>
      <c r="X1182">
        <v>5</v>
      </c>
      <c r="Y1182" t="s">
        <v>20449</v>
      </c>
      <c r="Z1182" t="s">
        <v>26757</v>
      </c>
      <c r="AA1182">
        <v>0.24468208484946069</v>
      </c>
      <c r="AB1182" t="str">
        <f>HYPERLINK("Melting_Curves/meltCurve_K7EP32_UBXN6.pdf", "Melting_Curves/meltCurve_K7EP32_UBXN6.pdf")</f>
        <v>Melting_Curves/meltCurve_K7EP32_UBXN6.pdf</v>
      </c>
    </row>
    <row r="1183" spans="1:28" x14ac:dyDescent="0.25">
      <c r="A1183" t="s">
        <v>1187</v>
      </c>
      <c r="B1183">
        <v>0.99673306730245903</v>
      </c>
      <c r="C1183">
        <v>0.94715254692962003</v>
      </c>
      <c r="D1183">
        <v>0.98360900352837</v>
      </c>
      <c r="E1183">
        <v>0.87405274515866005</v>
      </c>
      <c r="F1183">
        <v>0.61960888460079</v>
      </c>
      <c r="G1183">
        <v>0.42952103005381098</v>
      </c>
      <c r="H1183">
        <v>0.27299885219982301</v>
      </c>
      <c r="I1183">
        <v>0.321950588998905</v>
      </c>
      <c r="J1183">
        <v>0.43329022097954201</v>
      </c>
      <c r="K1183">
        <v>0.41463281467725499</v>
      </c>
      <c r="L1183">
        <v>1485.84833244624</v>
      </c>
      <c r="M1183">
        <v>28.405639696407</v>
      </c>
      <c r="N1183">
        <v>54.766157498047001</v>
      </c>
      <c r="O1183">
        <v>52.051028471547298</v>
      </c>
      <c r="P1183">
        <v>-8.7280743986686504E-2</v>
      </c>
      <c r="Q1183">
        <v>0.36026568581461199</v>
      </c>
      <c r="R1183">
        <v>0.97030125587921301</v>
      </c>
      <c r="S1183" t="s">
        <v>7635</v>
      </c>
      <c r="T1183" t="s">
        <v>12902</v>
      </c>
      <c r="U1183" t="s">
        <v>12902</v>
      </c>
      <c r="V1183" t="s">
        <v>12902</v>
      </c>
      <c r="W1183" t="s">
        <v>14061</v>
      </c>
      <c r="X1183">
        <v>3</v>
      </c>
      <c r="Y1183" t="s">
        <v>20450</v>
      </c>
      <c r="Z1183" t="s">
        <v>26758</v>
      </c>
      <c r="AA1183">
        <v>0.62730502149631195</v>
      </c>
      <c r="AB1183" t="str">
        <f>HYPERLINK("Melting_Curves/meltCurve_K7EP90_RBM42.pdf", "Melting_Curves/meltCurve_K7EP90_RBM42.pdf")</f>
        <v>Melting_Curves/meltCurve_K7EP90_RBM42.pdf</v>
      </c>
    </row>
    <row r="1184" spans="1:28" x14ac:dyDescent="0.25">
      <c r="A1184" t="s">
        <v>1188</v>
      </c>
      <c r="B1184">
        <v>0.99673306730245903</v>
      </c>
      <c r="C1184">
        <v>0.92281026272634004</v>
      </c>
      <c r="D1184">
        <v>0.99010098812177105</v>
      </c>
      <c r="E1184">
        <v>0.86544096502031898</v>
      </c>
      <c r="F1184">
        <v>0.70276488457580599</v>
      </c>
      <c r="G1184">
        <v>0.53553415386490699</v>
      </c>
      <c r="H1184">
        <v>0.46107686870167502</v>
      </c>
      <c r="I1184">
        <v>0.42954934672071998</v>
      </c>
      <c r="J1184">
        <v>0.26691751637139999</v>
      </c>
      <c r="K1184">
        <v>0.17513841294389501</v>
      </c>
      <c r="L1184">
        <v>507.31203274736299</v>
      </c>
      <c r="M1184">
        <v>8.5451127784648406</v>
      </c>
      <c r="N1184">
        <v>59.368675884456501</v>
      </c>
      <c r="O1184">
        <v>56.385288600104303</v>
      </c>
      <c r="P1184">
        <v>-3.7920621489658302E-2</v>
      </c>
      <c r="Q1184">
        <v>0</v>
      </c>
      <c r="R1184">
        <v>0.97687074180229005</v>
      </c>
      <c r="S1184" t="s">
        <v>7636</v>
      </c>
      <c r="T1184" t="s">
        <v>12902</v>
      </c>
      <c r="U1184" t="s">
        <v>12902</v>
      </c>
      <c r="V1184" t="s">
        <v>12902</v>
      </c>
      <c r="W1184" t="s">
        <v>14062</v>
      </c>
      <c r="X1184">
        <v>5</v>
      </c>
      <c r="Y1184" t="s">
        <v>20451</v>
      </c>
      <c r="Z1184" t="s">
        <v>26759</v>
      </c>
      <c r="AA1184">
        <v>0.63990946430107365</v>
      </c>
      <c r="AB1184" t="str">
        <f>HYPERLINK("Melting_Curves/meltCurve_K7EPJ5_MGRN1.pdf", "Melting_Curves/meltCurve_K7EPJ5_MGRN1.pdf")</f>
        <v>Melting_Curves/meltCurve_K7EPJ5_MGRN1.pdf</v>
      </c>
    </row>
    <row r="1185" spans="1:28" x14ac:dyDescent="0.25">
      <c r="A1185" t="s">
        <v>1189</v>
      </c>
      <c r="B1185">
        <v>0.99673306730245903</v>
      </c>
      <c r="C1185">
        <v>1.04336983140079</v>
      </c>
      <c r="D1185">
        <v>1.00617523099593</v>
      </c>
      <c r="E1185">
        <v>0.84092266170708896</v>
      </c>
      <c r="F1185">
        <v>0.24843799748190501</v>
      </c>
      <c r="G1185">
        <v>0.17603895047380899</v>
      </c>
      <c r="H1185">
        <v>0.118376277225479</v>
      </c>
      <c r="I1185">
        <v>0.12232083024982</v>
      </c>
      <c r="J1185">
        <v>0.171088327907471</v>
      </c>
      <c r="K1185">
        <v>0.180421615527355</v>
      </c>
      <c r="L1185">
        <v>2571.4651557778002</v>
      </c>
      <c r="M1185">
        <v>50.3780541242038</v>
      </c>
      <c r="N1185">
        <v>51.414195285045203</v>
      </c>
      <c r="O1185">
        <v>50.963122951072201</v>
      </c>
      <c r="P1185">
        <v>-0.20948407505134201</v>
      </c>
      <c r="Q1185">
        <v>0.152332978195205</v>
      </c>
      <c r="R1185">
        <v>0.99648850120521204</v>
      </c>
      <c r="S1185" t="s">
        <v>7637</v>
      </c>
      <c r="T1185" t="s">
        <v>12902</v>
      </c>
      <c r="U1185" t="s">
        <v>12902</v>
      </c>
      <c r="V1185" t="s">
        <v>12902</v>
      </c>
      <c r="W1185" t="s">
        <v>14063</v>
      </c>
      <c r="X1185">
        <v>1</v>
      </c>
      <c r="Y1185" t="s">
        <v>20452</v>
      </c>
      <c r="Z1185" t="s">
        <v>26760</v>
      </c>
      <c r="AA1185">
        <v>0.46624919522875868</v>
      </c>
      <c r="AB1185" t="str">
        <f>HYPERLINK("Melting_Curves/meltCurve_K7EPU2_NFIX.pdf", "Melting_Curves/meltCurve_K7EPU2_NFIX.pdf")</f>
        <v>Melting_Curves/meltCurve_K7EPU2_NFIX.pdf</v>
      </c>
    </row>
    <row r="1186" spans="1:28" x14ac:dyDescent="0.25">
      <c r="A1186" t="s">
        <v>1190</v>
      </c>
      <c r="B1186">
        <v>0.99673306730245903</v>
      </c>
      <c r="C1186">
        <v>0.97594696637080403</v>
      </c>
      <c r="D1186">
        <v>0.724025034425266</v>
      </c>
      <c r="E1186">
        <v>0.37482780102628099</v>
      </c>
      <c r="F1186">
        <v>7.8617401721934502E-2</v>
      </c>
      <c r="G1186">
        <v>4.9696843663774602E-2</v>
      </c>
      <c r="H1186">
        <v>2.8465205531465601E-2</v>
      </c>
      <c r="I1186">
        <v>2.5845516292037601E-2</v>
      </c>
      <c r="J1186">
        <v>2.8033325395393702E-2</v>
      </c>
      <c r="K1186">
        <v>2.5058375111131601E-2</v>
      </c>
      <c r="L1186">
        <v>1135.46558296082</v>
      </c>
      <c r="M1186">
        <v>23.599041951239801</v>
      </c>
      <c r="N1186">
        <v>48.200682365108797</v>
      </c>
      <c r="O1186">
        <v>47.773401889701397</v>
      </c>
      <c r="P1186">
        <v>-0.12095741657285999</v>
      </c>
      <c r="Q1186">
        <v>2.05620312363122E-2</v>
      </c>
      <c r="R1186">
        <v>0.997456870647914</v>
      </c>
      <c r="S1186" t="s">
        <v>7638</v>
      </c>
      <c r="T1186" t="s">
        <v>12902</v>
      </c>
      <c r="U1186" t="s">
        <v>12902</v>
      </c>
      <c r="V1186" t="s">
        <v>12902</v>
      </c>
      <c r="W1186" t="s">
        <v>14064</v>
      </c>
      <c r="X1186">
        <v>1</v>
      </c>
      <c r="Y1186" t="s">
        <v>20453</v>
      </c>
      <c r="Z1186" t="s">
        <v>26761</v>
      </c>
      <c r="AA1186">
        <v>0.29527672863726789</v>
      </c>
      <c r="AB1186" t="str">
        <f>HYPERLINK("Melting_Curves/meltCurve_K7EPX7_MOB3A.pdf", "Melting_Curves/meltCurve_K7EPX7_MOB3A.pdf")</f>
        <v>Melting_Curves/meltCurve_K7EPX7_MOB3A.pdf</v>
      </c>
    </row>
    <row r="1187" spans="1:28" x14ac:dyDescent="0.25">
      <c r="A1187" t="s">
        <v>1191</v>
      </c>
      <c r="B1187">
        <v>0.99673306730245903</v>
      </c>
      <c r="C1187">
        <v>0.73852961185411803</v>
      </c>
      <c r="D1187">
        <v>0.82563200389156599</v>
      </c>
      <c r="E1187">
        <v>0.66858554091856803</v>
      </c>
      <c r="F1187">
        <v>0.26770459135730401</v>
      </c>
      <c r="G1187">
        <v>0.17377777363694799</v>
      </c>
      <c r="H1187">
        <v>9.3719533689478898E-2</v>
      </c>
      <c r="I1187">
        <v>0.13199910109098301</v>
      </c>
      <c r="J1187">
        <v>0.16319758797846901</v>
      </c>
      <c r="K1187">
        <v>0.10808884631436</v>
      </c>
      <c r="L1187">
        <v>735.22819646198604</v>
      </c>
      <c r="M1187">
        <v>14.761115499897601</v>
      </c>
      <c r="N1187">
        <v>50.433844855790298</v>
      </c>
      <c r="O1187">
        <v>48.9210949029017</v>
      </c>
      <c r="P1187">
        <v>-6.9131919413277607E-2</v>
      </c>
      <c r="Q1187">
        <v>8.3634195096311204E-2</v>
      </c>
      <c r="R1187">
        <v>0.94427117299598395</v>
      </c>
      <c r="S1187" t="s">
        <v>7639</v>
      </c>
      <c r="T1187" t="s">
        <v>12902</v>
      </c>
      <c r="U1187" t="s">
        <v>12902</v>
      </c>
      <c r="V1187" t="s">
        <v>12902</v>
      </c>
      <c r="W1187" t="s">
        <v>14065</v>
      </c>
      <c r="X1187">
        <v>1</v>
      </c>
      <c r="Y1187" t="s">
        <v>20454</v>
      </c>
      <c r="Z1187" t="s">
        <v>26762</v>
      </c>
      <c r="AA1187">
        <v>0.40586661591907852</v>
      </c>
      <c r="AB1187" t="str">
        <f>HYPERLINK("Melting_Curves/meltCurve_K7EQ34_TMEM161A.pdf", "Melting_Curves/meltCurve_K7EQ34_TMEM161A.pdf")</f>
        <v>Melting_Curves/meltCurve_K7EQ34_TMEM161A.pdf</v>
      </c>
    </row>
    <row r="1188" spans="1:28" x14ac:dyDescent="0.25">
      <c r="A1188" t="s">
        <v>1192</v>
      </c>
      <c r="B1188">
        <v>0.99673306730245903</v>
      </c>
      <c r="C1188">
        <v>0.90293849933653603</v>
      </c>
      <c r="D1188">
        <v>0.72014558621834801</v>
      </c>
      <c r="E1188">
        <v>0.60174983592368603</v>
      </c>
      <c r="F1188">
        <v>0.38400636378957098</v>
      </c>
      <c r="G1188">
        <v>0.15636389770821901</v>
      </c>
      <c r="H1188">
        <v>4.2157446576665702E-2</v>
      </c>
      <c r="I1188">
        <v>3.4088533457996797E-2</v>
      </c>
      <c r="J1188">
        <v>3.2743174456736697E-2</v>
      </c>
      <c r="K1188">
        <v>2.94463499296004E-2</v>
      </c>
      <c r="L1188">
        <v>676.27625885312705</v>
      </c>
      <c r="M1188">
        <v>13.393847677276099</v>
      </c>
      <c r="N1188">
        <v>50.491558937693497</v>
      </c>
      <c r="O1188">
        <v>49.405866656356203</v>
      </c>
      <c r="P1188">
        <v>-6.7785240631920596E-2</v>
      </c>
      <c r="Q1188">
        <v>0</v>
      </c>
      <c r="R1188">
        <v>0.99011630175560195</v>
      </c>
      <c r="S1188" t="s">
        <v>7640</v>
      </c>
      <c r="T1188" t="s">
        <v>12902</v>
      </c>
      <c r="U1188" t="s">
        <v>12902</v>
      </c>
      <c r="V1188" t="s">
        <v>12902</v>
      </c>
      <c r="W1188" t="s">
        <v>14066</v>
      </c>
      <c r="X1188">
        <v>1</v>
      </c>
      <c r="Y1188" t="s">
        <v>20455</v>
      </c>
      <c r="Z1188" t="s">
        <v>26763</v>
      </c>
      <c r="AA1188">
        <v>0.37806179851580313</v>
      </c>
      <c r="AB1188" t="str">
        <f>HYPERLINK("Melting_Curves/meltCurve_K7EQH5_AES.pdf", "Melting_Curves/meltCurve_K7EQH5_AES.pdf")</f>
        <v>Melting_Curves/meltCurve_K7EQH5_AES.pdf</v>
      </c>
    </row>
    <row r="1189" spans="1:28" x14ac:dyDescent="0.25">
      <c r="A1189" t="s">
        <v>1193</v>
      </c>
      <c r="B1189">
        <v>0.99673306730245903</v>
      </c>
      <c r="C1189">
        <v>0.93469874917303997</v>
      </c>
      <c r="D1189">
        <v>0.89190419814572997</v>
      </c>
      <c r="E1189">
        <v>0.70082123312979505</v>
      </c>
      <c r="F1189">
        <v>0.459895677597916</v>
      </c>
      <c r="G1189">
        <v>0.33659816923295099</v>
      </c>
      <c r="H1189">
        <v>0.25850408435661398</v>
      </c>
      <c r="I1189">
        <v>0.29669355513624301</v>
      </c>
      <c r="J1189">
        <v>0.44517994850482201</v>
      </c>
      <c r="K1189">
        <v>0.37183452856892502</v>
      </c>
      <c r="L1189">
        <v>1150.4423664324199</v>
      </c>
      <c r="M1189">
        <v>23.127292459754202</v>
      </c>
      <c r="N1189">
        <v>52.236436128242602</v>
      </c>
      <c r="O1189">
        <v>49.376492808033198</v>
      </c>
      <c r="P1189">
        <v>-7.7969961436081606E-2</v>
      </c>
      <c r="Q1189">
        <v>0.33415245755329298</v>
      </c>
      <c r="R1189">
        <v>0.96328647267695</v>
      </c>
      <c r="S1189" t="s">
        <v>7641</v>
      </c>
      <c r="T1189" t="s">
        <v>12902</v>
      </c>
      <c r="U1189" t="s">
        <v>12902</v>
      </c>
      <c r="V1189" t="s">
        <v>12902</v>
      </c>
      <c r="W1189" t="s">
        <v>14067</v>
      </c>
      <c r="X1189">
        <v>10</v>
      </c>
      <c r="Y1189" t="s">
        <v>20456</v>
      </c>
      <c r="Z1189" t="s">
        <v>26764</v>
      </c>
      <c r="AA1189">
        <v>0.55736415879803047</v>
      </c>
      <c r="AB1189" t="str">
        <f>HYPERLINK("Melting_Curves/meltCurve_K7EQW8_TPM4.pdf", "Melting_Curves/meltCurve_K7EQW8_TPM4.pdf")</f>
        <v>Melting_Curves/meltCurve_K7EQW8_TPM4.pdf</v>
      </c>
    </row>
    <row r="1190" spans="1:28" x14ac:dyDescent="0.25">
      <c r="A1190" t="s">
        <v>1194</v>
      </c>
      <c r="B1190">
        <v>0.99673306730245903</v>
      </c>
      <c r="C1190">
        <v>0.91009949015935299</v>
      </c>
      <c r="D1190">
        <v>0.89842884056946304</v>
      </c>
      <c r="E1190">
        <v>0.60105674739935699</v>
      </c>
      <c r="F1190">
        <v>0.18426044070335301</v>
      </c>
      <c r="G1190">
        <v>0.127936424898933</v>
      </c>
      <c r="H1190">
        <v>8.3679771610676995E-2</v>
      </c>
      <c r="I1190">
        <v>7.7550545554845807E-2</v>
      </c>
      <c r="J1190">
        <v>6.9375080448809703E-2</v>
      </c>
      <c r="K1190">
        <v>5.81341321389056E-2</v>
      </c>
      <c r="L1190">
        <v>1311.2893172419699</v>
      </c>
      <c r="M1190">
        <v>26.263258943143502</v>
      </c>
      <c r="N1190">
        <v>50.2107214588113</v>
      </c>
      <c r="O1190">
        <v>49.641884767371501</v>
      </c>
      <c r="P1190">
        <v>-0.123193841066709</v>
      </c>
      <c r="Q1190">
        <v>6.8583705460853697E-2</v>
      </c>
      <c r="R1190">
        <v>0.99378745502587995</v>
      </c>
      <c r="S1190" t="s">
        <v>7642</v>
      </c>
      <c r="T1190" t="s">
        <v>12902</v>
      </c>
      <c r="U1190" t="s">
        <v>12902</v>
      </c>
      <c r="V1190" t="s">
        <v>12902</v>
      </c>
      <c r="W1190" t="s">
        <v>14068</v>
      </c>
      <c r="X1190">
        <v>19</v>
      </c>
      <c r="Y1190" t="s">
        <v>20457</v>
      </c>
      <c r="Z1190" t="s">
        <v>26765</v>
      </c>
      <c r="AA1190">
        <v>0.38437236852245099</v>
      </c>
      <c r="AB1190" t="str">
        <f>HYPERLINK("Melting_Curves/meltCurve_K7ER00_FARSA.pdf", "Melting_Curves/meltCurve_K7ER00_FARSA.pdf")</f>
        <v>Melting_Curves/meltCurve_K7ER00_FARSA.pdf</v>
      </c>
    </row>
    <row r="1191" spans="1:28" x14ac:dyDescent="0.25">
      <c r="A1191" t="s">
        <v>1195</v>
      </c>
      <c r="B1191">
        <v>0.99673306730245903</v>
      </c>
      <c r="C1191">
        <v>0.98278063805251803</v>
      </c>
      <c r="D1191">
        <v>0.99654511395248202</v>
      </c>
      <c r="E1191">
        <v>1.6370456353589999</v>
      </c>
      <c r="F1191">
        <v>0.71164582919360497</v>
      </c>
      <c r="G1191">
        <v>0.206065349446724</v>
      </c>
      <c r="H1191">
        <v>9.7707035109921E-2</v>
      </c>
      <c r="I1191">
        <v>8.2048758101800207E-2</v>
      </c>
      <c r="J1191">
        <v>8.9032770526756996E-2</v>
      </c>
      <c r="K1191">
        <v>6.91052038547149E-2</v>
      </c>
      <c r="L1191">
        <v>3568.80988469151</v>
      </c>
      <c r="M1191">
        <v>66.222690221695899</v>
      </c>
      <c r="N1191">
        <v>54.076328659836399</v>
      </c>
      <c r="O1191">
        <v>53.841964573812199</v>
      </c>
      <c r="P1191">
        <v>-0.276276505403318</v>
      </c>
      <c r="Q1191">
        <v>0.101500382292339</v>
      </c>
      <c r="R1191">
        <v>0.849031729355052</v>
      </c>
      <c r="S1191" t="s">
        <v>7643</v>
      </c>
      <c r="T1191" t="s">
        <v>12902</v>
      </c>
      <c r="U1191" t="s">
        <v>12902</v>
      </c>
      <c r="V1191" t="s">
        <v>12902</v>
      </c>
      <c r="W1191" t="s">
        <v>14069</v>
      </c>
      <c r="X1191">
        <v>6</v>
      </c>
      <c r="Y1191" t="s">
        <v>20458</v>
      </c>
      <c r="Z1191" t="s">
        <v>26766</v>
      </c>
      <c r="AA1191">
        <v>0.51875160849324919</v>
      </c>
      <c r="AB1191" t="str">
        <f>HYPERLINK("Melting_Curves/meltCurve_K7ERF1_EIF3K.pdf", "Melting_Curves/meltCurve_K7ERF1_EIF3K.pdf")</f>
        <v>Melting_Curves/meltCurve_K7ERF1_EIF3K.pdf</v>
      </c>
    </row>
    <row r="1192" spans="1:28" x14ac:dyDescent="0.25">
      <c r="A1192" t="s">
        <v>1196</v>
      </c>
      <c r="B1192">
        <v>0.99673306730245903</v>
      </c>
      <c r="C1192">
        <v>0.991045249793158</v>
      </c>
      <c r="D1192">
        <v>0.93007879126890602</v>
      </c>
      <c r="E1192">
        <v>0.61896795151520101</v>
      </c>
      <c r="F1192">
        <v>0.34820368144911801</v>
      </c>
      <c r="G1192">
        <v>0.22139226385163399</v>
      </c>
      <c r="H1192">
        <v>0.14478535294973599</v>
      </c>
      <c r="I1192">
        <v>0.126419724098537</v>
      </c>
      <c r="J1192">
        <v>0.16250472416599901</v>
      </c>
      <c r="K1192">
        <v>0.15552482450574101</v>
      </c>
      <c r="L1192">
        <v>1141.43381968433</v>
      </c>
      <c r="M1192">
        <v>22.6989145109657</v>
      </c>
      <c r="N1192">
        <v>51.058208791191099</v>
      </c>
      <c r="O1192">
        <v>49.900422473293503</v>
      </c>
      <c r="P1192">
        <v>-9.7197643120782606E-2</v>
      </c>
      <c r="Q1192">
        <v>0.14531457830076</v>
      </c>
      <c r="R1192">
        <v>0.99795716744006802</v>
      </c>
      <c r="S1192" t="s">
        <v>7644</v>
      </c>
      <c r="T1192" t="s">
        <v>12902</v>
      </c>
      <c r="U1192" t="s">
        <v>12902</v>
      </c>
      <c r="V1192" t="s">
        <v>12902</v>
      </c>
      <c r="W1192" t="s">
        <v>14070</v>
      </c>
      <c r="X1192">
        <v>27</v>
      </c>
      <c r="Y1192" t="s">
        <v>20459</v>
      </c>
      <c r="Z1192" t="s">
        <v>26767</v>
      </c>
      <c r="AA1192">
        <v>0.44763557826523692</v>
      </c>
      <c r="AB1192" t="str">
        <f>HYPERLINK("Melting_Curves/meltCurve_K7ES11_UBE2O.pdf", "Melting_Curves/meltCurve_K7ES11_UBE2O.pdf")</f>
        <v>Melting_Curves/meltCurve_K7ES11_UBE2O.pdf</v>
      </c>
    </row>
    <row r="1193" spans="1:28" x14ac:dyDescent="0.25">
      <c r="A1193" t="s">
        <v>1197</v>
      </c>
      <c r="B1193">
        <v>0.99673306730245903</v>
      </c>
      <c r="C1193">
        <v>1.0308948310938599</v>
      </c>
      <c r="D1193">
        <v>1.1051900022121799</v>
      </c>
      <c r="E1193">
        <v>1.34012249452375</v>
      </c>
      <c r="F1193">
        <v>1.63655373882412</v>
      </c>
      <c r="G1193">
        <v>1.22855587816043</v>
      </c>
      <c r="H1193">
        <v>0.94063912801079896</v>
      </c>
      <c r="I1193">
        <v>0.61538297970910505</v>
      </c>
      <c r="J1193">
        <v>0.78304757718453899</v>
      </c>
      <c r="K1193">
        <v>0.564350085189393</v>
      </c>
      <c r="L1193">
        <v>15000</v>
      </c>
      <c r="M1193">
        <v>245.136956999625</v>
      </c>
      <c r="O1193">
        <v>61.186211316981399</v>
      </c>
      <c r="P1193">
        <v>-0.34629554342894497</v>
      </c>
      <c r="Q1193">
        <v>0.65425837843289003</v>
      </c>
      <c r="R1193">
        <v>0.36821802268117199</v>
      </c>
      <c r="S1193" t="s">
        <v>7645</v>
      </c>
      <c r="T1193" t="s">
        <v>12902</v>
      </c>
      <c r="U1193" t="s">
        <v>12902</v>
      </c>
      <c r="V1193" t="s">
        <v>12902</v>
      </c>
      <c r="W1193" t="s">
        <v>14071</v>
      </c>
      <c r="X1193">
        <v>4</v>
      </c>
      <c r="Y1193" t="s">
        <v>20460</v>
      </c>
      <c r="Z1193" t="s">
        <v>26768</v>
      </c>
      <c r="AA1193">
        <v>0.89850909922419053</v>
      </c>
      <c r="AB1193" t="str">
        <f>HYPERLINK("Melting_Curves/meltCurve_K7ES25_PEPD.pdf", "Melting_Curves/meltCurve_K7ES25_PEPD.pdf")</f>
        <v>Melting_Curves/meltCurve_K7ES25_PEPD.pdf</v>
      </c>
    </row>
    <row r="1194" spans="1:28" x14ac:dyDescent="0.25">
      <c r="A1194" t="s">
        <v>1198</v>
      </c>
      <c r="B1194">
        <v>0.99673306730245903</v>
      </c>
      <c r="C1194">
        <v>1.01087523992477</v>
      </c>
      <c r="D1194">
        <v>0.948017430346626</v>
      </c>
      <c r="E1194">
        <v>0.94488460530289398</v>
      </c>
      <c r="F1194">
        <v>0.79702174401211001</v>
      </c>
      <c r="G1194">
        <v>0.64528551215138796</v>
      </c>
      <c r="H1194">
        <v>0.35310306419804</v>
      </c>
      <c r="I1194">
        <v>0.36055741083076098</v>
      </c>
      <c r="J1194">
        <v>0.31943289089377103</v>
      </c>
      <c r="K1194">
        <v>0.26290875980525802</v>
      </c>
      <c r="L1194">
        <v>1019.93730388872</v>
      </c>
      <c r="M1194">
        <v>18.0894536126698</v>
      </c>
      <c r="N1194">
        <v>58.725972214879299</v>
      </c>
      <c r="O1194">
        <v>55.707481375533199</v>
      </c>
      <c r="P1194">
        <v>-6.0316744126433702E-2</v>
      </c>
      <c r="Q1194">
        <v>0.25704083719675702</v>
      </c>
      <c r="R1194">
        <v>0.98981822411252995</v>
      </c>
      <c r="S1194" t="s">
        <v>7646</v>
      </c>
      <c r="T1194" t="s">
        <v>12902</v>
      </c>
      <c r="U1194" t="s">
        <v>12902</v>
      </c>
      <c r="V1194" t="s">
        <v>12902</v>
      </c>
      <c r="W1194" t="s">
        <v>14072</v>
      </c>
      <c r="X1194">
        <v>14</v>
      </c>
      <c r="Y1194" t="s">
        <v>20461</v>
      </c>
      <c r="Z1194" t="s">
        <v>26769</v>
      </c>
      <c r="AA1194">
        <v>0.67339540223557726</v>
      </c>
      <c r="AB1194" t="str">
        <f>HYPERLINK("Melting_Curves/meltCurve_K7ESE3_RAD23A.pdf", "Melting_Curves/meltCurve_K7ESE3_RAD23A.pdf")</f>
        <v>Melting_Curves/meltCurve_K7ESE3_RAD23A.pdf</v>
      </c>
    </row>
    <row r="1195" spans="1:28" x14ac:dyDescent="0.25">
      <c r="A1195" t="s">
        <v>1199</v>
      </c>
      <c r="B1195">
        <v>0.99673306730245903</v>
      </c>
      <c r="C1195">
        <v>0.91864901175304203</v>
      </c>
      <c r="D1195">
        <v>0.81681134878484596</v>
      </c>
      <c r="E1195">
        <v>0.62479494196991703</v>
      </c>
      <c r="F1195">
        <v>0.47912079351251102</v>
      </c>
      <c r="G1195">
        <v>0.368262772959286</v>
      </c>
      <c r="H1195">
        <v>0.20619655891636901</v>
      </c>
      <c r="I1195">
        <v>0.167331210527012</v>
      </c>
      <c r="J1195">
        <v>0.18219061980887899</v>
      </c>
      <c r="K1195">
        <v>0.19418749648379799</v>
      </c>
      <c r="L1195">
        <v>616.65017346940897</v>
      </c>
      <c r="M1195">
        <v>12.0641251822386</v>
      </c>
      <c r="N1195">
        <v>52.438231244385499</v>
      </c>
      <c r="O1195">
        <v>49.770716143930798</v>
      </c>
      <c r="P1195">
        <v>-5.26555679375591E-2</v>
      </c>
      <c r="Q1195">
        <v>0.13128006881914001</v>
      </c>
      <c r="R1195">
        <v>0.99355115583221398</v>
      </c>
      <c r="S1195" t="s">
        <v>7647</v>
      </c>
      <c r="T1195" t="s">
        <v>12902</v>
      </c>
      <c r="U1195" t="s">
        <v>12902</v>
      </c>
      <c r="V1195" t="s">
        <v>12902</v>
      </c>
      <c r="W1195" t="s">
        <v>14073</v>
      </c>
      <c r="X1195">
        <v>1</v>
      </c>
      <c r="Y1195" t="s">
        <v>20462</v>
      </c>
      <c r="Z1195" t="s">
        <v>26770</v>
      </c>
      <c r="AA1195">
        <v>0.48104628464533911</v>
      </c>
      <c r="AB1195" t="str">
        <f>HYPERLINK("Melting_Curves/meltCurve_K7ESE6_G6PC3.pdf", "Melting_Curves/meltCurve_K7ESE6_G6PC3.pdf")</f>
        <v>Melting_Curves/meltCurve_K7ESE6_G6PC3.pdf</v>
      </c>
    </row>
    <row r="1196" spans="1:28" x14ac:dyDescent="0.25">
      <c r="A1196" t="s">
        <v>1200</v>
      </c>
      <c r="B1196">
        <v>0.99673306730245903</v>
      </c>
      <c r="C1196">
        <v>0.93803344003075695</v>
      </c>
      <c r="D1196">
        <v>0.96978179917641905</v>
      </c>
      <c r="E1196">
        <v>0.98280873452506701</v>
      </c>
      <c r="F1196">
        <v>0.24889217620611101</v>
      </c>
      <c r="G1196">
        <v>0.15493850343826801</v>
      </c>
      <c r="H1196">
        <v>0.106928647690977</v>
      </c>
      <c r="I1196">
        <v>9.3635167603236494E-2</v>
      </c>
      <c r="J1196">
        <v>5.9325120815211602E-2</v>
      </c>
      <c r="K1196">
        <v>4.6969185096981399E-2</v>
      </c>
      <c r="L1196">
        <v>3836.1653347789202</v>
      </c>
      <c r="M1196">
        <v>73.658732135938294</v>
      </c>
      <c r="N1196">
        <v>52.2238237566904</v>
      </c>
      <c r="O1196">
        <v>52.041911621685699</v>
      </c>
      <c r="P1196">
        <v>-0.32140901293793001</v>
      </c>
      <c r="Q1196">
        <v>9.1663228280593603E-2</v>
      </c>
      <c r="R1196">
        <v>0.99334744233605798</v>
      </c>
      <c r="S1196" t="s">
        <v>7648</v>
      </c>
      <c r="T1196" t="s">
        <v>12902</v>
      </c>
      <c r="U1196" t="s">
        <v>12902</v>
      </c>
      <c r="V1196" t="s">
        <v>12902</v>
      </c>
      <c r="W1196" t="s">
        <v>14074</v>
      </c>
      <c r="X1196">
        <v>41</v>
      </c>
      <c r="Y1196" t="s">
        <v>20463</v>
      </c>
      <c r="Z1196" t="s">
        <v>26771</v>
      </c>
      <c r="AA1196">
        <v>0.45838640458028362</v>
      </c>
      <c r="AB1196" t="str">
        <f>HYPERLINK("Melting_Curves/meltCurve_K7ESI9_DNM2.pdf", "Melting_Curves/meltCurve_K7ESI9_DNM2.pdf")</f>
        <v>Melting_Curves/meltCurve_K7ESI9_DNM2.pdf</v>
      </c>
    </row>
    <row r="1197" spans="1:28" x14ac:dyDescent="0.25">
      <c r="A1197" t="s">
        <v>1201</v>
      </c>
      <c r="B1197">
        <v>0.99673306730245903</v>
      </c>
      <c r="C1197">
        <v>0.97180391123172205</v>
      </c>
      <c r="D1197">
        <v>0.98042171697315295</v>
      </c>
      <c r="E1197">
        <v>0.92794464590960202</v>
      </c>
      <c r="F1197">
        <v>0.66705969015299205</v>
      </c>
      <c r="G1197">
        <v>0.23428886172970401</v>
      </c>
      <c r="H1197">
        <v>0.119276508727352</v>
      </c>
      <c r="I1197">
        <v>0.105939968625125</v>
      </c>
      <c r="J1197">
        <v>0.108983221989299</v>
      </c>
      <c r="K1197">
        <v>9.47170711330384E-2</v>
      </c>
      <c r="L1197">
        <v>1769.9967182139501</v>
      </c>
      <c r="M1197">
        <v>32.7927501508101</v>
      </c>
      <c r="N1197">
        <v>54.337874502086201</v>
      </c>
      <c r="O1197">
        <v>53.775710756052703</v>
      </c>
      <c r="P1197">
        <v>-0.13746947324214601</v>
      </c>
      <c r="Q1197">
        <v>9.8278151522212101E-2</v>
      </c>
      <c r="R1197">
        <v>0.99870168950854099</v>
      </c>
      <c r="S1197" t="s">
        <v>7649</v>
      </c>
      <c r="T1197" t="s">
        <v>12902</v>
      </c>
      <c r="U1197" t="s">
        <v>12902</v>
      </c>
      <c r="V1197" t="s">
        <v>12902</v>
      </c>
      <c r="W1197" t="s">
        <v>14075</v>
      </c>
      <c r="X1197">
        <v>23</v>
      </c>
      <c r="Y1197" t="s">
        <v>20464</v>
      </c>
      <c r="Z1197" t="s">
        <v>26772</v>
      </c>
      <c r="AA1197">
        <v>0.52331707873208522</v>
      </c>
      <c r="AB1197" t="str">
        <f>HYPERLINK("Melting_Curves/meltCurve_M0QWZ7_SARS2.pdf", "Melting_Curves/meltCurve_M0QWZ7_SARS2.pdf")</f>
        <v>Melting_Curves/meltCurve_M0QWZ7_SARS2.pdf</v>
      </c>
    </row>
    <row r="1198" spans="1:28" x14ac:dyDescent="0.25">
      <c r="A1198" t="s">
        <v>1202</v>
      </c>
      <c r="B1198">
        <v>0.99673306730245903</v>
      </c>
      <c r="C1198">
        <v>0.87120980987684304</v>
      </c>
      <c r="D1198">
        <v>0.75829136638454198</v>
      </c>
      <c r="E1198">
        <v>0.29360676600331198</v>
      </c>
      <c r="F1198">
        <v>0.18768466293264</v>
      </c>
      <c r="G1198">
        <v>0.12758821323047001</v>
      </c>
      <c r="H1198">
        <v>8.5745231709098896E-2</v>
      </c>
      <c r="I1198">
        <v>8.6972302457871201E-2</v>
      </c>
      <c r="J1198">
        <v>0.10900488083400001</v>
      </c>
      <c r="K1198">
        <v>0.100747133762184</v>
      </c>
      <c r="L1198">
        <v>1143.3113006465201</v>
      </c>
      <c r="M1198">
        <v>24.095084990178499</v>
      </c>
      <c r="N1198">
        <v>47.885443396193601</v>
      </c>
      <c r="O1198">
        <v>47.126784059053797</v>
      </c>
      <c r="P1198">
        <v>-0.115247200246997</v>
      </c>
      <c r="Q1198">
        <v>9.8381533826612202E-2</v>
      </c>
      <c r="R1198">
        <v>0.992268152260947</v>
      </c>
      <c r="S1198" t="s">
        <v>7650</v>
      </c>
      <c r="T1198" t="s">
        <v>12902</v>
      </c>
      <c r="U1198" t="s">
        <v>12902</v>
      </c>
      <c r="V1198" t="s">
        <v>12902</v>
      </c>
      <c r="W1198" t="s">
        <v>14076</v>
      </c>
      <c r="X1198">
        <v>13</v>
      </c>
      <c r="Y1198" t="s">
        <v>20465</v>
      </c>
      <c r="Z1198" t="s">
        <v>26773</v>
      </c>
      <c r="AA1198">
        <v>0.33094483958781379</v>
      </c>
      <c r="AB1198" t="str">
        <f>HYPERLINK("Melting_Curves/meltCurve_M0QX35_PAF1.pdf", "Melting_Curves/meltCurve_M0QX35_PAF1.pdf")</f>
        <v>Melting_Curves/meltCurve_M0QX35_PAF1.pdf</v>
      </c>
    </row>
    <row r="1199" spans="1:28" x14ac:dyDescent="0.25">
      <c r="A1199" t="s">
        <v>1203</v>
      </c>
      <c r="B1199">
        <v>0.99673306730245903</v>
      </c>
      <c r="C1199">
        <v>0.89590780757176502</v>
      </c>
      <c r="D1199">
        <v>0.85387240846010704</v>
      </c>
      <c r="E1199">
        <v>0.76267886848102195</v>
      </c>
      <c r="F1199">
        <v>0.47052926503794501</v>
      </c>
      <c r="G1199">
        <v>0.32514540894154398</v>
      </c>
      <c r="H1199">
        <v>0.216120752801927</v>
      </c>
      <c r="I1199">
        <v>0.153875096424651</v>
      </c>
      <c r="J1199">
        <v>0.13749598194975399</v>
      </c>
      <c r="K1199">
        <v>0.14429411553660601</v>
      </c>
      <c r="L1199">
        <v>698.34301913944398</v>
      </c>
      <c r="M1199">
        <v>13.352541450090101</v>
      </c>
      <c r="N1199">
        <v>53.1386086280081</v>
      </c>
      <c r="O1199">
        <v>51.169074583975103</v>
      </c>
      <c r="P1199">
        <v>-5.90516846291178E-2</v>
      </c>
      <c r="Q1199">
        <v>9.4962059394723894E-2</v>
      </c>
      <c r="R1199">
        <v>0.99217274828378199</v>
      </c>
      <c r="S1199" t="s">
        <v>7651</v>
      </c>
      <c r="T1199" t="s">
        <v>12902</v>
      </c>
      <c r="U1199" t="s">
        <v>12902</v>
      </c>
      <c r="V1199" t="s">
        <v>12902</v>
      </c>
      <c r="W1199" t="s">
        <v>14077</v>
      </c>
      <c r="X1199">
        <v>10</v>
      </c>
      <c r="Y1199" t="s">
        <v>20466</v>
      </c>
      <c r="Z1199" t="s">
        <v>26774</v>
      </c>
      <c r="AA1199">
        <v>0.48966274022424799</v>
      </c>
      <c r="AB1199" t="str">
        <f>HYPERLINK("Melting_Curves/meltCurve_M0QXA7_WIZ.pdf", "Melting_Curves/meltCurve_M0QXA7_WIZ.pdf")</f>
        <v>Melting_Curves/meltCurve_M0QXA7_WIZ.pdf</v>
      </c>
    </row>
    <row r="1200" spans="1:28" x14ac:dyDescent="0.25">
      <c r="A1200" t="s">
        <v>1204</v>
      </c>
      <c r="B1200">
        <v>0.99673306730245903</v>
      </c>
      <c r="C1200">
        <v>0.87981889036738203</v>
      </c>
      <c r="D1200">
        <v>0.806340093878954</v>
      </c>
      <c r="E1200">
        <v>0.70275764209302805</v>
      </c>
      <c r="F1200">
        <v>0.48680911900669399</v>
      </c>
      <c r="G1200">
        <v>0.38413607494436097</v>
      </c>
      <c r="H1200">
        <v>0.43687297619437898</v>
      </c>
      <c r="I1200">
        <v>0.94305090574660899</v>
      </c>
      <c r="J1200">
        <v>1.6559900833683501</v>
      </c>
      <c r="K1200">
        <v>1.66462259051501</v>
      </c>
      <c r="L1200">
        <v>10141.470603637899</v>
      </c>
      <c r="M1200">
        <v>250</v>
      </c>
      <c r="O1200">
        <v>40.563286464705399</v>
      </c>
      <c r="P1200">
        <v>-0.177980071956481</v>
      </c>
      <c r="Q1200">
        <v>0.88448869382797402</v>
      </c>
      <c r="R1200">
        <v>6.0746079750956302E-3</v>
      </c>
      <c r="S1200" t="s">
        <v>7652</v>
      </c>
      <c r="T1200" t="s">
        <v>12902</v>
      </c>
      <c r="U1200" t="s">
        <v>12902</v>
      </c>
      <c r="V1200" t="s">
        <v>12902</v>
      </c>
      <c r="W1200" t="s">
        <v>14078</v>
      </c>
      <c r="X1200">
        <v>4</v>
      </c>
      <c r="Y1200" t="s">
        <v>20467</v>
      </c>
      <c r="Z1200" t="s">
        <v>26775</v>
      </c>
      <c r="AA1200">
        <v>0.88669307034943201</v>
      </c>
      <c r="AB1200" t="str">
        <f>HYPERLINK("Melting_Curves/meltCurve_M0QXT0_USF2.pdf", "Melting_Curves/meltCurve_M0QXT0_USF2.pdf")</f>
        <v>Melting_Curves/meltCurve_M0QXT0_USF2.pdf</v>
      </c>
    </row>
    <row r="1201" spans="1:28" x14ac:dyDescent="0.25">
      <c r="A1201" t="s">
        <v>1205</v>
      </c>
      <c r="B1201">
        <v>0.99673306730245903</v>
      </c>
      <c r="C1201">
        <v>0.97730554203473496</v>
      </c>
      <c r="D1201">
        <v>1.01332565441</v>
      </c>
      <c r="E1201">
        <v>0.98837770229528799</v>
      </c>
      <c r="F1201">
        <v>1.0974676269946</v>
      </c>
      <c r="G1201">
        <v>0.91802721724213698</v>
      </c>
      <c r="H1201">
        <v>0.89771092022053101</v>
      </c>
      <c r="I1201">
        <v>1.27237150057476</v>
      </c>
      <c r="J1201">
        <v>2.1065876242162802</v>
      </c>
      <c r="K1201">
        <v>1.86749958061765</v>
      </c>
      <c r="L1201">
        <v>15000</v>
      </c>
      <c r="M1201">
        <v>234.554761451216</v>
      </c>
      <c r="O1201">
        <v>63.946322249654401</v>
      </c>
      <c r="P1201">
        <v>0.45849946620234699</v>
      </c>
      <c r="Q1201">
        <v>1.5</v>
      </c>
      <c r="R1201">
        <v>0.67307427155699795</v>
      </c>
      <c r="S1201" t="s">
        <v>7653</v>
      </c>
      <c r="T1201" t="s">
        <v>12902</v>
      </c>
      <c r="U1201" t="s">
        <v>12902</v>
      </c>
      <c r="V1201" t="s">
        <v>12902</v>
      </c>
      <c r="W1201" t="s">
        <v>14079</v>
      </c>
      <c r="X1201">
        <v>2</v>
      </c>
      <c r="Y1201" t="s">
        <v>20468</v>
      </c>
      <c r="Z1201" t="s">
        <v>26776</v>
      </c>
      <c r="AA1201">
        <v>1.100753735194596</v>
      </c>
      <c r="AB1201" t="str">
        <f>HYPERLINK("Melting_Curves/meltCurve_M0QXZ5_ZNF428.pdf", "Melting_Curves/meltCurve_M0QXZ5_ZNF428.pdf")</f>
        <v>Melting_Curves/meltCurve_M0QXZ5_ZNF428.pdf</v>
      </c>
    </row>
    <row r="1202" spans="1:28" x14ac:dyDescent="0.25">
      <c r="A1202" t="s">
        <v>1206</v>
      </c>
      <c r="B1202">
        <v>0.99673306730245903</v>
      </c>
      <c r="C1202">
        <v>1.0201876088477799</v>
      </c>
      <c r="D1202">
        <v>0.88897950490215105</v>
      </c>
      <c r="E1202">
        <v>0.58118560022458199</v>
      </c>
      <c r="F1202">
        <v>0.30261653647401099</v>
      </c>
      <c r="G1202">
        <v>0.23241832384577599</v>
      </c>
      <c r="H1202">
        <v>0.12944321512408799</v>
      </c>
      <c r="I1202">
        <v>9.7169687865211699E-2</v>
      </c>
      <c r="J1202">
        <v>0.141217495936035</v>
      </c>
      <c r="K1202">
        <v>0.15589356627517201</v>
      </c>
      <c r="L1202">
        <v>1118.04203328379</v>
      </c>
      <c r="M1202">
        <v>22.418653368904501</v>
      </c>
      <c r="N1202">
        <v>50.574544676523701</v>
      </c>
      <c r="O1202">
        <v>49.479339326018803</v>
      </c>
      <c r="P1202">
        <v>-9.8102276288236104E-2</v>
      </c>
      <c r="Q1202">
        <v>0.133947048715131</v>
      </c>
      <c r="R1202">
        <v>0.99488755567155596</v>
      </c>
      <c r="S1202" t="s">
        <v>7654</v>
      </c>
      <c r="T1202" t="s">
        <v>12902</v>
      </c>
      <c r="U1202" t="s">
        <v>12902</v>
      </c>
      <c r="V1202" t="s">
        <v>12902</v>
      </c>
      <c r="W1202" t="s">
        <v>14080</v>
      </c>
      <c r="X1202">
        <v>1</v>
      </c>
      <c r="Y1202" t="s">
        <v>20469</v>
      </c>
      <c r="Z1202" t="s">
        <v>26777</v>
      </c>
      <c r="AA1202">
        <v>0.42853087718738198</v>
      </c>
      <c r="AB1202" t="str">
        <f>HYPERLINK("Melting_Curves/meltCurve_M0QY01_EPS15L1.pdf", "Melting_Curves/meltCurve_M0QY01_EPS15L1.pdf")</f>
        <v>Melting_Curves/meltCurve_M0QY01_EPS15L1.pdf</v>
      </c>
    </row>
    <row r="1203" spans="1:28" x14ac:dyDescent="0.25">
      <c r="A1203" t="s">
        <v>1207</v>
      </c>
      <c r="B1203">
        <v>0.99673306730245903</v>
      </c>
      <c r="C1203">
        <v>0.915406801185633</v>
      </c>
      <c r="D1203">
        <v>0.86057929161527003</v>
      </c>
      <c r="E1203">
        <v>0.66405251505125895</v>
      </c>
      <c r="F1203">
        <v>0.47170371364442398</v>
      </c>
      <c r="G1203">
        <v>0.306762638267915</v>
      </c>
      <c r="H1203">
        <v>0.19398069553963901</v>
      </c>
      <c r="I1203">
        <v>0.147869473862378</v>
      </c>
      <c r="J1203">
        <v>0.166545293881002</v>
      </c>
      <c r="K1203">
        <v>0.120298409965217</v>
      </c>
      <c r="L1203">
        <v>681.08550106522296</v>
      </c>
      <c r="M1203">
        <v>13.1900461994291</v>
      </c>
      <c r="N1203">
        <v>52.503606604846297</v>
      </c>
      <c r="O1203">
        <v>50.4927017465671</v>
      </c>
      <c r="P1203">
        <v>-5.8923730807180497E-2</v>
      </c>
      <c r="Q1203">
        <v>9.7888916300174503E-2</v>
      </c>
      <c r="R1203">
        <v>0.99782534446912097</v>
      </c>
      <c r="S1203" t="s">
        <v>7655</v>
      </c>
      <c r="T1203" t="s">
        <v>12902</v>
      </c>
      <c r="U1203" t="s">
        <v>12902</v>
      </c>
      <c r="V1203" t="s">
        <v>12902</v>
      </c>
      <c r="W1203" t="s">
        <v>14081</v>
      </c>
      <c r="X1203">
        <v>1</v>
      </c>
      <c r="Y1203" t="s">
        <v>20470</v>
      </c>
      <c r="Z1203" t="s">
        <v>26778</v>
      </c>
      <c r="AA1203">
        <v>0.47258901735991959</v>
      </c>
      <c r="AB1203" t="str">
        <f>HYPERLINK("Melting_Curves/meltCurve_M0QY29_LIPE.pdf", "Melting_Curves/meltCurve_M0QY29_LIPE.pdf")</f>
        <v>Melting_Curves/meltCurve_M0QY29_LIPE.pdf</v>
      </c>
    </row>
    <row r="1204" spans="1:28" x14ac:dyDescent="0.25">
      <c r="A1204" t="s">
        <v>1208</v>
      </c>
      <c r="B1204">
        <v>0.99673306730245903</v>
      </c>
      <c r="C1204">
        <v>1.17034636574321</v>
      </c>
      <c r="D1204">
        <v>1.11502993329054</v>
      </c>
      <c r="E1204">
        <v>0.92735411224041497</v>
      </c>
      <c r="F1204">
        <v>1.08153151559585</v>
      </c>
      <c r="G1204">
        <v>0.81039799946501301</v>
      </c>
      <c r="H1204">
        <v>0.60678241708302305</v>
      </c>
      <c r="I1204">
        <v>0.42440914409567299</v>
      </c>
      <c r="J1204">
        <v>0.12784942071087499</v>
      </c>
      <c r="K1204">
        <v>0.14613938818247599</v>
      </c>
      <c r="L1204">
        <v>1249.5492735157</v>
      </c>
      <c r="M1204">
        <v>20.129775993940399</v>
      </c>
      <c r="N1204">
        <v>62.2199710017982</v>
      </c>
      <c r="O1204">
        <v>61.471799250775099</v>
      </c>
      <c r="P1204">
        <v>-7.9988870420074604E-2</v>
      </c>
      <c r="Q1204">
        <v>2.2959069510467299E-2</v>
      </c>
      <c r="R1204">
        <v>0.94760445591882503</v>
      </c>
      <c r="S1204" t="s">
        <v>7656</v>
      </c>
      <c r="T1204" t="s">
        <v>12902</v>
      </c>
      <c r="U1204" t="s">
        <v>12902</v>
      </c>
      <c r="V1204" t="s">
        <v>12902</v>
      </c>
      <c r="W1204" t="s">
        <v>14082</v>
      </c>
      <c r="X1204">
        <v>1</v>
      </c>
      <c r="Y1204" t="s">
        <v>20471</v>
      </c>
      <c r="Z1204" t="s">
        <v>26779</v>
      </c>
      <c r="AA1204">
        <v>0.74471299952731174</v>
      </c>
      <c r="AB1204" t="str">
        <f>HYPERLINK("Melting_Curves/meltCurve_M0QYH5_MPV17L2.pdf", "Melting_Curves/meltCurve_M0QYH5_MPV17L2.pdf")</f>
        <v>Melting_Curves/meltCurve_M0QYH5_MPV17L2.pdf</v>
      </c>
    </row>
    <row r="1205" spans="1:28" x14ac:dyDescent="0.25">
      <c r="A1205" t="s">
        <v>1209</v>
      </c>
      <c r="B1205">
        <v>0.99673306730245903</v>
      </c>
      <c r="C1205">
        <v>0.92879261672940505</v>
      </c>
      <c r="D1205">
        <v>0.77554531944211502</v>
      </c>
      <c r="E1205">
        <v>0.43877979630995301</v>
      </c>
      <c r="F1205">
        <v>0.415505420959278</v>
      </c>
      <c r="G1205">
        <v>0.32348707544633198</v>
      </c>
      <c r="H1205">
        <v>0.20877783682687401</v>
      </c>
      <c r="I1205">
        <v>0.181306895866433</v>
      </c>
      <c r="J1205">
        <v>0.17410407854569601</v>
      </c>
      <c r="K1205">
        <v>0.135181371604984</v>
      </c>
      <c r="L1205">
        <v>686.70399510890604</v>
      </c>
      <c r="M1205">
        <v>14.0479922223822</v>
      </c>
      <c r="N1205">
        <v>50.261846828230802</v>
      </c>
      <c r="O1205">
        <v>47.924148680079199</v>
      </c>
      <c r="P1205">
        <v>-6.1570298003795002E-2</v>
      </c>
      <c r="Q1205">
        <v>0.15993178973005001</v>
      </c>
      <c r="R1205">
        <v>0.97908212260601302</v>
      </c>
      <c r="S1205" t="s">
        <v>7657</v>
      </c>
      <c r="T1205" t="s">
        <v>12902</v>
      </c>
      <c r="U1205" t="s">
        <v>12902</v>
      </c>
      <c r="V1205" t="s">
        <v>12902</v>
      </c>
      <c r="W1205" t="s">
        <v>14083</v>
      </c>
      <c r="X1205">
        <v>3</v>
      </c>
      <c r="Y1205" t="s">
        <v>20472</v>
      </c>
      <c r="Z1205" t="s">
        <v>26780</v>
      </c>
      <c r="AA1205">
        <v>0.43220481407701572</v>
      </c>
      <c r="AB1205" t="str">
        <f>HYPERLINK("Melting_Curves/meltCurve_M0QYJ8_GMFG.pdf", "Melting_Curves/meltCurve_M0QYJ8_GMFG.pdf")</f>
        <v>Melting_Curves/meltCurve_M0QYJ8_GMFG.pdf</v>
      </c>
    </row>
    <row r="1206" spans="1:28" x14ac:dyDescent="0.25">
      <c r="A1206" t="s">
        <v>1210</v>
      </c>
      <c r="B1206">
        <v>0.99673306730245903</v>
      </c>
      <c r="C1206">
        <v>0.949980328359458</v>
      </c>
      <c r="D1206">
        <v>1.35769282076401</v>
      </c>
      <c r="E1206">
        <v>1.5146949634564</v>
      </c>
      <c r="F1206">
        <v>2.3559702787154402</v>
      </c>
      <c r="G1206">
        <v>1.2177825819654899</v>
      </c>
      <c r="H1206">
        <v>0.77872922987384796</v>
      </c>
      <c r="I1206">
        <v>0.17347893037738099</v>
      </c>
      <c r="J1206">
        <v>0.12174133881141901</v>
      </c>
      <c r="K1206">
        <v>9.5318313857627499E-2</v>
      </c>
      <c r="L1206">
        <v>4669.2145710675404</v>
      </c>
      <c r="M1206">
        <v>75.665710967669995</v>
      </c>
      <c r="N1206">
        <v>61.912942036126097</v>
      </c>
      <c r="O1206">
        <v>61.665398908731802</v>
      </c>
      <c r="P1206">
        <v>-0.27284351674048701</v>
      </c>
      <c r="Q1206">
        <v>0.11056137970831501</v>
      </c>
      <c r="R1206">
        <v>0.50210794733234898</v>
      </c>
      <c r="S1206" t="s">
        <v>7658</v>
      </c>
      <c r="T1206" t="s">
        <v>12902</v>
      </c>
      <c r="U1206" t="s">
        <v>12902</v>
      </c>
      <c r="V1206" t="s">
        <v>12902</v>
      </c>
      <c r="W1206" t="s">
        <v>14084</v>
      </c>
      <c r="X1206">
        <v>8</v>
      </c>
      <c r="Y1206" t="s">
        <v>20473</v>
      </c>
      <c r="Z1206" t="s">
        <v>26781</v>
      </c>
      <c r="AA1206">
        <v>0.75522255526965487</v>
      </c>
      <c r="AB1206" t="str">
        <f>HYPERLINK("Melting_Curves/meltCurve_M0QYM7_TUBB4A.pdf", "Melting_Curves/meltCurve_M0QYM7_TUBB4A.pdf")</f>
        <v>Melting_Curves/meltCurve_M0QYM7_TUBB4A.pdf</v>
      </c>
    </row>
    <row r="1207" spans="1:28" x14ac:dyDescent="0.25">
      <c r="A1207" t="s">
        <v>1211</v>
      </c>
      <c r="B1207">
        <v>0.99673306730245903</v>
      </c>
      <c r="C1207">
        <v>1.0952332446739099</v>
      </c>
      <c r="D1207">
        <v>0.97542417867626996</v>
      </c>
      <c r="E1207">
        <v>1.0491057710496301</v>
      </c>
      <c r="F1207">
        <v>0.96962882500728398</v>
      </c>
      <c r="G1207">
        <v>0.70949765858503699</v>
      </c>
      <c r="H1207">
        <v>0.35171523452942999</v>
      </c>
      <c r="I1207">
        <v>0.24586994967103801</v>
      </c>
      <c r="J1207">
        <v>0.31287760496283101</v>
      </c>
      <c r="K1207">
        <v>0.24107185100544701</v>
      </c>
      <c r="L1207">
        <v>2224.4143769387101</v>
      </c>
      <c r="M1207">
        <v>38.717281150814301</v>
      </c>
      <c r="N1207">
        <v>58.586498713321902</v>
      </c>
      <c r="O1207">
        <v>57.300128335337597</v>
      </c>
      <c r="P1207">
        <v>-0.124388397237472</v>
      </c>
      <c r="Q1207">
        <v>0.26364108228845501</v>
      </c>
      <c r="R1207">
        <v>0.98664845430558501</v>
      </c>
      <c r="S1207" t="s">
        <v>7659</v>
      </c>
      <c r="T1207" t="s">
        <v>12902</v>
      </c>
      <c r="U1207" t="s">
        <v>12902</v>
      </c>
      <c r="V1207" t="s">
        <v>12902</v>
      </c>
      <c r="W1207" t="s">
        <v>14085</v>
      </c>
      <c r="X1207">
        <v>3</v>
      </c>
      <c r="Y1207" t="s">
        <v>20474</v>
      </c>
      <c r="Z1207" t="s">
        <v>26782</v>
      </c>
      <c r="AA1207">
        <v>0.69509215571922356</v>
      </c>
      <c r="AB1207" t="str">
        <f>HYPERLINK("Melting_Curves/meltCurve_M0QYS1_RPL13A.pdf", "Melting_Curves/meltCurve_M0QYS1_RPL13A.pdf")</f>
        <v>Melting_Curves/meltCurve_M0QYS1_RPL13A.pdf</v>
      </c>
    </row>
    <row r="1208" spans="1:28" x14ac:dyDescent="0.25">
      <c r="A1208" t="s">
        <v>1212</v>
      </c>
      <c r="B1208">
        <v>0.99673306730245903</v>
      </c>
      <c r="C1208">
        <v>0.91364260881583803</v>
      </c>
      <c r="D1208">
        <v>0.81185641487251603</v>
      </c>
      <c r="E1208">
        <v>0.42140299012315302</v>
      </c>
      <c r="F1208">
        <v>0.26315644382255599</v>
      </c>
      <c r="G1208">
        <v>0.18365686183816701</v>
      </c>
      <c r="H1208">
        <v>0.11297195110915501</v>
      </c>
      <c r="I1208">
        <v>7.1348267348331704E-2</v>
      </c>
      <c r="J1208">
        <v>9.2134918967644294E-2</v>
      </c>
      <c r="K1208">
        <v>9.81137221703752E-2</v>
      </c>
      <c r="L1208">
        <v>928.10620259822701</v>
      </c>
      <c r="M1208">
        <v>19.075250979640799</v>
      </c>
      <c r="N1208">
        <v>49.185904283755299</v>
      </c>
      <c r="O1208">
        <v>48.129718540432698</v>
      </c>
      <c r="P1208">
        <v>-8.9867202825239995E-2</v>
      </c>
      <c r="Q1208">
        <v>9.3041813571161994E-2</v>
      </c>
      <c r="R1208">
        <v>0.99460694904768399</v>
      </c>
      <c r="S1208" t="s">
        <v>7660</v>
      </c>
      <c r="T1208" t="s">
        <v>12902</v>
      </c>
      <c r="U1208" t="s">
        <v>12902</v>
      </c>
      <c r="V1208" t="s">
        <v>12902</v>
      </c>
      <c r="W1208" t="s">
        <v>14086</v>
      </c>
      <c r="X1208">
        <v>3</v>
      </c>
      <c r="Y1208" t="s">
        <v>20475</v>
      </c>
      <c r="Z1208" t="s">
        <v>26783</v>
      </c>
      <c r="AA1208">
        <v>0.36875472250336389</v>
      </c>
      <c r="AB1208" t="str">
        <f>HYPERLINK("Melting_Curves/meltCurve_M0QZ22_SAMD4B.pdf", "Melting_Curves/meltCurve_M0QZ22_SAMD4B.pdf")</f>
        <v>Melting_Curves/meltCurve_M0QZ22_SAMD4B.pdf</v>
      </c>
    </row>
    <row r="1209" spans="1:28" x14ac:dyDescent="0.25">
      <c r="A1209" t="s">
        <v>1213</v>
      </c>
      <c r="B1209">
        <v>0.99673306730245903</v>
      </c>
      <c r="C1209">
        <v>0.96932656131128303</v>
      </c>
      <c r="D1209">
        <v>0.67252479387988995</v>
      </c>
      <c r="E1209">
        <v>0.286198411873339</v>
      </c>
      <c r="F1209">
        <v>0.11433203225994901</v>
      </c>
      <c r="G1209">
        <v>8.1507033118830105E-2</v>
      </c>
      <c r="H1209">
        <v>4.76704461169878E-2</v>
      </c>
      <c r="I1209">
        <v>4.0816712531168503E-2</v>
      </c>
      <c r="J1209">
        <v>3.2578903579903999E-2</v>
      </c>
      <c r="K1209">
        <v>3.1797249036141999E-2</v>
      </c>
      <c r="L1209">
        <v>1166.7053666751401</v>
      </c>
      <c r="M1209">
        <v>24.622917698093602</v>
      </c>
      <c r="N1209">
        <v>47.560702175147902</v>
      </c>
      <c r="O1209">
        <v>47.073689501353599</v>
      </c>
      <c r="P1209">
        <v>-0.12501986684390601</v>
      </c>
      <c r="Q1209">
        <v>4.3969945819041303E-2</v>
      </c>
      <c r="R1209">
        <v>0.998117472866344</v>
      </c>
      <c r="S1209" t="s">
        <v>7661</v>
      </c>
      <c r="T1209" t="s">
        <v>12902</v>
      </c>
      <c r="U1209" t="s">
        <v>12902</v>
      </c>
      <c r="V1209" t="s">
        <v>12902</v>
      </c>
      <c r="W1209" t="s">
        <v>14087</v>
      </c>
      <c r="X1209">
        <v>1</v>
      </c>
      <c r="Y1209" t="s">
        <v>20058</v>
      </c>
      <c r="Z1209" t="s">
        <v>26784</v>
      </c>
      <c r="AA1209">
        <v>0.28801588618445573</v>
      </c>
      <c r="AB1209" t="str">
        <f>HYPERLINK("Melting_Curves/meltCurve_M0QZ67_METTL10.pdf", "Melting_Curves/meltCurve_M0QZ67_METTL10.pdf")</f>
        <v>Melting_Curves/meltCurve_M0QZ67_METTL10.pdf</v>
      </c>
    </row>
    <row r="1210" spans="1:28" x14ac:dyDescent="0.25">
      <c r="A1210" t="s">
        <v>1214</v>
      </c>
      <c r="B1210">
        <v>0.99673306730245903</v>
      </c>
      <c r="C1210">
        <v>0.89611265973586496</v>
      </c>
      <c r="D1210">
        <v>0.60293439717766995</v>
      </c>
      <c r="E1210">
        <v>0.24683714676263399</v>
      </c>
      <c r="F1210">
        <v>0.167079522373413</v>
      </c>
      <c r="G1210">
        <v>0.135202368314154</v>
      </c>
      <c r="H1210">
        <v>8.1229436192896701E-2</v>
      </c>
      <c r="I1210">
        <v>0.107466019801589</v>
      </c>
      <c r="J1210">
        <v>0.124260827642659</v>
      </c>
      <c r="K1210">
        <v>0.12083579305382899</v>
      </c>
      <c r="L1210">
        <v>1176.61401623707</v>
      </c>
      <c r="M1210">
        <v>25.379834007423401</v>
      </c>
      <c r="N1210">
        <v>46.8378923446271</v>
      </c>
      <c r="O1210">
        <v>46.075247387184497</v>
      </c>
      <c r="P1210">
        <v>-0.122007246976961</v>
      </c>
      <c r="Q1210">
        <v>0.114030000123214</v>
      </c>
      <c r="R1210">
        <v>0.99797552119671595</v>
      </c>
      <c r="S1210" t="s">
        <v>7662</v>
      </c>
      <c r="T1210" t="s">
        <v>12902</v>
      </c>
      <c r="U1210" t="s">
        <v>12902</v>
      </c>
      <c r="V1210" t="s">
        <v>12902</v>
      </c>
      <c r="W1210" t="s">
        <v>14088</v>
      </c>
      <c r="X1210">
        <v>16</v>
      </c>
      <c r="Y1210" t="s">
        <v>20476</v>
      </c>
      <c r="Z1210" t="s">
        <v>26785</v>
      </c>
      <c r="AA1210">
        <v>0.30964527391975138</v>
      </c>
      <c r="AB1210" t="str">
        <f>HYPERLINK("Melting_Curves/meltCurve_M0QZM1_HNRNPM.pdf", "Melting_Curves/meltCurve_M0QZM1_HNRNPM.pdf")</f>
        <v>Melting_Curves/meltCurve_M0QZM1_HNRNPM.pdf</v>
      </c>
    </row>
    <row r="1211" spans="1:28" x14ac:dyDescent="0.25">
      <c r="A1211" t="s">
        <v>1215</v>
      </c>
      <c r="B1211">
        <v>0.99673306730245903</v>
      </c>
      <c r="C1211">
        <v>0.90242858236947998</v>
      </c>
      <c r="D1211">
        <v>0.58023938368112604</v>
      </c>
      <c r="E1211">
        <v>0.249392232998772</v>
      </c>
      <c r="F1211">
        <v>0.20423254500939</v>
      </c>
      <c r="G1211">
        <v>0.112005023281674</v>
      </c>
      <c r="H1211">
        <v>7.0385161003855404E-2</v>
      </c>
      <c r="I1211">
        <v>6.26122990903282E-2</v>
      </c>
      <c r="J1211">
        <v>6.5851256714196504E-2</v>
      </c>
      <c r="K1211">
        <v>6.4186495680950806E-2</v>
      </c>
      <c r="L1211">
        <v>1015.89222360356</v>
      </c>
      <c r="M1211">
        <v>21.824516533720999</v>
      </c>
      <c r="N1211">
        <v>46.915750432296399</v>
      </c>
      <c r="O1211">
        <v>46.162698140696698</v>
      </c>
      <c r="P1211">
        <v>-0.10890862683993099</v>
      </c>
      <c r="Q1211">
        <v>7.8577661214647404E-2</v>
      </c>
      <c r="R1211">
        <v>0.99330122039761204</v>
      </c>
      <c r="S1211" t="s">
        <v>7663</v>
      </c>
      <c r="T1211" t="s">
        <v>12902</v>
      </c>
      <c r="U1211" t="s">
        <v>12902</v>
      </c>
      <c r="V1211" t="s">
        <v>12902</v>
      </c>
      <c r="W1211" t="s">
        <v>14089</v>
      </c>
      <c r="X1211">
        <v>16</v>
      </c>
      <c r="Y1211" t="s">
        <v>20477</v>
      </c>
      <c r="Z1211" t="s">
        <v>26786</v>
      </c>
      <c r="AA1211">
        <v>0.29101047997486912</v>
      </c>
      <c r="AB1211" t="str">
        <f>HYPERLINK("Melting_Curves/meltCurve_M0QZR4_ARHGEF1.pdf", "Melting_Curves/meltCurve_M0QZR4_ARHGEF1.pdf")</f>
        <v>Melting_Curves/meltCurve_M0QZR4_ARHGEF1.pdf</v>
      </c>
    </row>
    <row r="1212" spans="1:28" x14ac:dyDescent="0.25">
      <c r="A1212" t="s">
        <v>1216</v>
      </c>
      <c r="B1212">
        <v>0.99673306730245903</v>
      </c>
      <c r="C1212">
        <v>0.82373202200922402</v>
      </c>
      <c r="D1212">
        <v>0.59556553304299797</v>
      </c>
      <c r="E1212">
        <v>0.26622352154252099</v>
      </c>
      <c r="F1212">
        <v>0.20072018455125401</v>
      </c>
      <c r="G1212">
        <v>0.159883248486001</v>
      </c>
      <c r="H1212">
        <v>0.16663507413134099</v>
      </c>
      <c r="I1212">
        <v>8.6449718873691503E-2</v>
      </c>
      <c r="J1212">
        <v>0.100400415285371</v>
      </c>
      <c r="K1212">
        <v>6.8976385014339295E-2</v>
      </c>
      <c r="L1212">
        <v>905.69498335967205</v>
      </c>
      <c r="M1212">
        <v>19.574279577048198</v>
      </c>
      <c r="N1212">
        <v>46.862080864252199</v>
      </c>
      <c r="O1212">
        <v>45.794846007509904</v>
      </c>
      <c r="P1212">
        <v>-9.5149334624659701E-2</v>
      </c>
      <c r="Q1212">
        <v>0.10960819940762399</v>
      </c>
      <c r="R1212">
        <v>0.99075288826392505</v>
      </c>
      <c r="S1212" t="s">
        <v>7664</v>
      </c>
      <c r="T1212" t="s">
        <v>12902</v>
      </c>
      <c r="U1212" t="s">
        <v>12902</v>
      </c>
      <c r="V1212" t="s">
        <v>12902</v>
      </c>
      <c r="W1212" t="s">
        <v>14090</v>
      </c>
      <c r="X1212">
        <v>4</v>
      </c>
      <c r="Y1212" t="s">
        <v>20478</v>
      </c>
      <c r="Z1212" t="s">
        <v>26787</v>
      </c>
      <c r="AA1212">
        <v>0.30988777071949608</v>
      </c>
      <c r="AB1212" t="str">
        <f>HYPERLINK("Melting_Curves/meltCurve_M0QZW1_PRKD2.pdf", "Melting_Curves/meltCurve_M0QZW1_PRKD2.pdf")</f>
        <v>Melting_Curves/meltCurve_M0QZW1_PRKD2.pdf</v>
      </c>
    </row>
    <row r="1213" spans="1:28" x14ac:dyDescent="0.25">
      <c r="A1213" t="s">
        <v>1217</v>
      </c>
      <c r="B1213">
        <v>0.99673306730245903</v>
      </c>
      <c r="C1213">
        <v>0.94161636133468196</v>
      </c>
      <c r="D1213">
        <v>1.2190208296635701</v>
      </c>
      <c r="E1213">
        <v>1.2550054864725499</v>
      </c>
      <c r="F1213">
        <v>1.7635645511151199</v>
      </c>
      <c r="G1213">
        <v>1.10724155891888</v>
      </c>
      <c r="H1213">
        <v>0.81770813545352705</v>
      </c>
      <c r="I1213">
        <v>0.34332229152712801</v>
      </c>
      <c r="J1213">
        <v>0.15353512329258101</v>
      </c>
      <c r="K1213">
        <v>0.116805719747864</v>
      </c>
      <c r="L1213">
        <v>3109.34993076709</v>
      </c>
      <c r="M1213">
        <v>49.699391847615701</v>
      </c>
      <c r="N1213">
        <v>62.909296771999003</v>
      </c>
      <c r="O1213">
        <v>62.462106651982801</v>
      </c>
      <c r="P1213">
        <v>-0.17512123490864501</v>
      </c>
      <c r="Q1213">
        <v>0.119632707782286</v>
      </c>
      <c r="R1213">
        <v>0.715677721508023</v>
      </c>
      <c r="S1213" t="s">
        <v>7665</v>
      </c>
      <c r="T1213" t="s">
        <v>12902</v>
      </c>
      <c r="U1213" t="s">
        <v>12902</v>
      </c>
      <c r="V1213" t="s">
        <v>12902</v>
      </c>
      <c r="W1213" t="s">
        <v>14084</v>
      </c>
      <c r="X1213">
        <v>7</v>
      </c>
      <c r="Y1213" t="s">
        <v>20473</v>
      </c>
      <c r="Z1213" t="s">
        <v>26788</v>
      </c>
      <c r="AA1213">
        <v>0.78397393971557539</v>
      </c>
      <c r="AB1213" t="str">
        <f>HYPERLINK("Melting_Curves/meltCurve_M0R042_TUBB4A.pdf", "Melting_Curves/meltCurve_M0R042_TUBB4A.pdf")</f>
        <v>Melting_Curves/meltCurve_M0R042_TUBB4A.pdf</v>
      </c>
    </row>
    <row r="1214" spans="1:28" x14ac:dyDescent="0.25">
      <c r="A1214" t="s">
        <v>1218</v>
      </c>
      <c r="B1214">
        <v>0.99673306730245903</v>
      </c>
      <c r="C1214">
        <v>1.01361123581556</v>
      </c>
      <c r="D1214">
        <v>0.99701983530346905</v>
      </c>
      <c r="E1214">
        <v>0.99250183437332096</v>
      </c>
      <c r="F1214">
        <v>0.89827504082814302</v>
      </c>
      <c r="G1214">
        <v>0.60544502142651002</v>
      </c>
      <c r="H1214">
        <v>0.26038904918808597</v>
      </c>
      <c r="I1214">
        <v>0.199818995938534</v>
      </c>
      <c r="J1214">
        <v>0.16970594252454199</v>
      </c>
      <c r="K1214">
        <v>0.16398502394525499</v>
      </c>
      <c r="L1214">
        <v>1688.19586046327</v>
      </c>
      <c r="M1214">
        <v>29.6401516233006</v>
      </c>
      <c r="N1214">
        <v>57.711018795529803</v>
      </c>
      <c r="O1214">
        <v>56.6990120290831</v>
      </c>
      <c r="P1214">
        <v>-0.109696448216922</v>
      </c>
      <c r="Q1214">
        <v>0.16064698268166999</v>
      </c>
      <c r="R1214">
        <v>0.99957954046805997</v>
      </c>
      <c r="S1214" t="s">
        <v>7666</v>
      </c>
      <c r="T1214" t="s">
        <v>12902</v>
      </c>
      <c r="U1214" t="s">
        <v>12902</v>
      </c>
      <c r="V1214" t="s">
        <v>12902</v>
      </c>
      <c r="W1214" t="s">
        <v>14091</v>
      </c>
      <c r="X1214">
        <v>4</v>
      </c>
      <c r="Y1214" t="s">
        <v>20479</v>
      </c>
      <c r="Z1214" t="s">
        <v>26789</v>
      </c>
      <c r="AA1214">
        <v>0.6407703638969654</v>
      </c>
      <c r="AB1214" t="str">
        <f>HYPERLINK("Melting_Curves/meltCurve_M0R0B4_KXD1.pdf", "Melting_Curves/meltCurve_M0R0B4_KXD1.pdf")</f>
        <v>Melting_Curves/meltCurve_M0R0B4_KXD1.pdf</v>
      </c>
    </row>
    <row r="1215" spans="1:28" x14ac:dyDescent="0.25">
      <c r="A1215" t="s">
        <v>1219</v>
      </c>
      <c r="B1215">
        <v>0.99673306730245903</v>
      </c>
      <c r="C1215">
        <v>1.2080782446946401</v>
      </c>
      <c r="D1215">
        <v>0.49477167541150202</v>
      </c>
      <c r="E1215">
        <v>0.79861361055179803</v>
      </c>
      <c r="F1215">
        <v>0.71687056732277699</v>
      </c>
      <c r="G1215">
        <v>0.38282965920062501</v>
      </c>
      <c r="H1215">
        <v>0.12993003185808799</v>
      </c>
      <c r="I1215">
        <v>0.112227816688378</v>
      </c>
      <c r="J1215">
        <v>0.132102430465525</v>
      </c>
      <c r="K1215">
        <v>0.12991963326155301</v>
      </c>
      <c r="L1215">
        <v>592.19109689685001</v>
      </c>
      <c r="M1215">
        <v>10.8915095102405</v>
      </c>
      <c r="N1215">
        <v>54.371810927182601</v>
      </c>
      <c r="O1215">
        <v>52.635205608808903</v>
      </c>
      <c r="P1215">
        <v>-5.1749237766490701E-2</v>
      </c>
      <c r="Q1215">
        <v>0</v>
      </c>
      <c r="R1215">
        <v>0.82092719872131803</v>
      </c>
      <c r="S1215" t="s">
        <v>7667</v>
      </c>
      <c r="T1215" t="s">
        <v>12902</v>
      </c>
      <c r="U1215" t="s">
        <v>12902</v>
      </c>
      <c r="V1215" t="s">
        <v>12902</v>
      </c>
      <c r="W1215" t="s">
        <v>14092</v>
      </c>
      <c r="X1215">
        <v>12</v>
      </c>
      <c r="Y1215" t="s">
        <v>20480</v>
      </c>
      <c r="Z1215" t="s">
        <v>26790</v>
      </c>
      <c r="AA1215">
        <v>0.50618015618296686</v>
      </c>
      <c r="AB1215" t="str">
        <f>HYPERLINK("Melting_Curves/meltCurve_M0R0F0_RPS5.pdf", "Melting_Curves/meltCurve_M0R0F0_RPS5.pdf")</f>
        <v>Melting_Curves/meltCurve_M0R0F0_RPS5.pdf</v>
      </c>
    </row>
    <row r="1216" spans="1:28" x14ac:dyDescent="0.25">
      <c r="A1216" t="s">
        <v>1220</v>
      </c>
      <c r="B1216">
        <v>0.99673306730245903</v>
      </c>
      <c r="C1216">
        <v>0.90433052197977504</v>
      </c>
      <c r="D1216">
        <v>0.90635042423276901</v>
      </c>
      <c r="E1216">
        <v>0.93137136375832197</v>
      </c>
      <c r="F1216">
        <v>0.505434243918501</v>
      </c>
      <c r="G1216">
        <v>0.22117958802251</v>
      </c>
      <c r="H1216">
        <v>0.13449203177239999</v>
      </c>
      <c r="I1216">
        <v>9.5136435434551497E-2</v>
      </c>
      <c r="J1216">
        <v>6.0325517466604098E-2</v>
      </c>
      <c r="K1216">
        <v>4.4316197008913601E-2</v>
      </c>
      <c r="L1216">
        <v>1411.5384906099</v>
      </c>
      <c r="M1216">
        <v>26.551739349761998</v>
      </c>
      <c r="N1216">
        <v>53.469955325649501</v>
      </c>
      <c r="O1216">
        <v>52.863001106913103</v>
      </c>
      <c r="P1216">
        <v>-0.11666170951716701</v>
      </c>
      <c r="Q1216">
        <v>7.0942556524390799E-2</v>
      </c>
      <c r="R1216">
        <v>0.98653514937089404</v>
      </c>
      <c r="S1216" t="s">
        <v>7668</v>
      </c>
      <c r="T1216" t="s">
        <v>12902</v>
      </c>
      <c r="U1216" t="s">
        <v>12902</v>
      </c>
      <c r="V1216" t="s">
        <v>12902</v>
      </c>
      <c r="W1216" t="s">
        <v>14093</v>
      </c>
      <c r="X1216">
        <v>2</v>
      </c>
      <c r="Y1216" t="s">
        <v>20481</v>
      </c>
      <c r="Z1216" t="s">
        <v>26791</v>
      </c>
      <c r="AA1216">
        <v>0.48618884382962269</v>
      </c>
      <c r="AB1216" t="str">
        <f>HYPERLINK("Melting_Curves/meltCurve_M0R0N4_AP2S1.pdf", "Melting_Curves/meltCurve_M0R0N4_AP2S1.pdf")</f>
        <v>Melting_Curves/meltCurve_M0R0N4_AP2S1.pdf</v>
      </c>
    </row>
    <row r="1217" spans="1:28" x14ac:dyDescent="0.25">
      <c r="A1217" t="s">
        <v>1221</v>
      </c>
      <c r="B1217">
        <v>0.99673306730245903</v>
      </c>
      <c r="C1217">
        <v>0.91535904236531995</v>
      </c>
      <c r="D1217">
        <v>0.69476199346751799</v>
      </c>
      <c r="E1217">
        <v>0.258092326265842</v>
      </c>
      <c r="F1217">
        <v>0.226600223934046</v>
      </c>
      <c r="G1217">
        <v>0.135012984586769</v>
      </c>
      <c r="H1217">
        <v>0.106429876179676</v>
      </c>
      <c r="I1217">
        <v>0.149593158361015</v>
      </c>
      <c r="J1217">
        <v>0.19778462810740799</v>
      </c>
      <c r="K1217">
        <v>0.17682700935155099</v>
      </c>
      <c r="L1217">
        <v>1392.7086138946099</v>
      </c>
      <c r="M1217">
        <v>29.802664298547299</v>
      </c>
      <c r="N1217">
        <v>47.332532313663997</v>
      </c>
      <c r="O1217">
        <v>46.522123367873903</v>
      </c>
      <c r="P1217">
        <v>-0.134907566079601</v>
      </c>
      <c r="Q1217">
        <v>0.157639811925049</v>
      </c>
      <c r="R1217">
        <v>0.99097141147521906</v>
      </c>
      <c r="S1217" t="s">
        <v>7669</v>
      </c>
      <c r="T1217" t="s">
        <v>12902</v>
      </c>
      <c r="U1217" t="s">
        <v>12902</v>
      </c>
      <c r="V1217" t="s">
        <v>12902</v>
      </c>
      <c r="W1217" t="s">
        <v>13608</v>
      </c>
      <c r="X1217">
        <v>5</v>
      </c>
      <c r="Z1217" t="s">
        <v>26792</v>
      </c>
      <c r="AA1217">
        <v>0.35177281856935938</v>
      </c>
      <c r="AB1217" t="str">
        <f>HYPERLINK("Melting_Curves/meltCurve_M0R150_.pdf", "Melting_Curves/meltCurve_M0R150_.pdf")</f>
        <v>Melting_Curves/meltCurve_M0R150_.pdf</v>
      </c>
    </row>
    <row r="1218" spans="1:28" x14ac:dyDescent="0.25">
      <c r="A1218" t="s">
        <v>1222</v>
      </c>
      <c r="B1218">
        <v>0.99673306730245903</v>
      </c>
      <c r="C1218">
        <v>0.93427183761407095</v>
      </c>
      <c r="D1218">
        <v>1.0976582169014799</v>
      </c>
      <c r="E1218">
        <v>1.59800350466367</v>
      </c>
      <c r="F1218">
        <v>1.07047890219396</v>
      </c>
      <c r="G1218">
        <v>0.86164471432262801</v>
      </c>
      <c r="H1218">
        <v>0.71750570600615604</v>
      </c>
      <c r="I1218">
        <v>0.94128934257347197</v>
      </c>
      <c r="J1218">
        <v>1.2288645700254099</v>
      </c>
      <c r="K1218">
        <v>1.2026165128659301</v>
      </c>
      <c r="L1218">
        <v>11146.978028420899</v>
      </c>
      <c r="M1218">
        <v>250</v>
      </c>
      <c r="O1218">
        <v>44.585058816387303</v>
      </c>
      <c r="P1218">
        <v>0.12573727198642801</v>
      </c>
      <c r="Q1218">
        <v>1.0896960584986399</v>
      </c>
      <c r="R1218">
        <v>4.2104954147045702E-2</v>
      </c>
      <c r="S1218" t="s">
        <v>7670</v>
      </c>
      <c r="T1218" t="s">
        <v>12902</v>
      </c>
      <c r="U1218" t="s">
        <v>12902</v>
      </c>
      <c r="V1218" t="s">
        <v>12902</v>
      </c>
      <c r="W1218" t="s">
        <v>14094</v>
      </c>
      <c r="X1218">
        <v>2</v>
      </c>
      <c r="Y1218" t="s">
        <v>20482</v>
      </c>
      <c r="Z1218" t="s">
        <v>26793</v>
      </c>
      <c r="AA1218">
        <v>1.0759717852396109</v>
      </c>
      <c r="AB1218" t="str">
        <f>HYPERLINK("Melting_Curves/meltCurve_M0R226_MRPL34.pdf", "Melting_Curves/meltCurve_M0R226_MRPL34.pdf")</f>
        <v>Melting_Curves/meltCurve_M0R226_MRPL34.pdf</v>
      </c>
    </row>
    <row r="1219" spans="1:28" x14ac:dyDescent="0.25">
      <c r="A1219" t="s">
        <v>1223</v>
      </c>
      <c r="B1219">
        <v>0.99673306730245903</v>
      </c>
      <c r="C1219">
        <v>1.0021859902686501</v>
      </c>
      <c r="D1219">
        <v>0.85219097118885301</v>
      </c>
      <c r="E1219">
        <v>0.68496413286717495</v>
      </c>
      <c r="F1219">
        <v>0.48375765366819601</v>
      </c>
      <c r="G1219">
        <v>0.344363237634143</v>
      </c>
      <c r="H1219">
        <v>0.21095562960929401</v>
      </c>
      <c r="I1219">
        <v>0.16029485043860101</v>
      </c>
      <c r="J1219">
        <v>0.247477307422698</v>
      </c>
      <c r="K1219">
        <v>0.25438919493192302</v>
      </c>
      <c r="L1219">
        <v>836.39427236684696</v>
      </c>
      <c r="M1219">
        <v>16.414379030390698</v>
      </c>
      <c r="N1219">
        <v>52.585047410799604</v>
      </c>
      <c r="O1219">
        <v>50.216695088432303</v>
      </c>
      <c r="P1219">
        <v>-6.5427908476626301E-2</v>
      </c>
      <c r="Q1219">
        <v>0.19939944095588799</v>
      </c>
      <c r="R1219">
        <v>0.98761487632187595</v>
      </c>
      <c r="S1219" t="s">
        <v>7671</v>
      </c>
      <c r="T1219" t="s">
        <v>12902</v>
      </c>
      <c r="U1219" t="s">
        <v>12902</v>
      </c>
      <c r="V1219" t="s">
        <v>12902</v>
      </c>
      <c r="W1219" t="s">
        <v>14095</v>
      </c>
      <c r="X1219">
        <v>3</v>
      </c>
      <c r="Y1219" t="s">
        <v>20483</v>
      </c>
      <c r="Z1219" t="s">
        <v>26794</v>
      </c>
      <c r="AA1219">
        <v>0.50764610025133217</v>
      </c>
      <c r="AB1219" t="str">
        <f>HYPERLINK("Melting_Curves/meltCurve_M0R2A0_EMC10.pdf", "Melting_Curves/meltCurve_M0R2A0_EMC10.pdf")</f>
        <v>Melting_Curves/meltCurve_M0R2A0_EMC10.pdf</v>
      </c>
    </row>
    <row r="1220" spans="1:28" x14ac:dyDescent="0.25">
      <c r="A1220" t="s">
        <v>1224</v>
      </c>
      <c r="B1220">
        <v>0.99673306730245903</v>
      </c>
      <c r="C1220">
        <v>0.882538934329826</v>
      </c>
      <c r="D1220">
        <v>0.73339423418473904</v>
      </c>
      <c r="E1220">
        <v>0.44369576514078801</v>
      </c>
      <c r="F1220">
        <v>0.37207042505559701</v>
      </c>
      <c r="G1220">
        <v>0.262186664788429</v>
      </c>
      <c r="H1220">
        <v>0.12417767456533101</v>
      </c>
      <c r="I1220">
        <v>7.5534340016322102E-2</v>
      </c>
      <c r="J1220">
        <v>6.87555865918765E-2</v>
      </c>
      <c r="K1220">
        <v>5.8671276934494497E-2</v>
      </c>
      <c r="L1220">
        <v>584.224111433909</v>
      </c>
      <c r="M1220">
        <v>11.7660495777939</v>
      </c>
      <c r="N1220">
        <v>49.931077198374297</v>
      </c>
      <c r="O1220">
        <v>48.284194348391701</v>
      </c>
      <c r="P1220">
        <v>-5.9006697887971402E-2</v>
      </c>
      <c r="Q1220">
        <v>3.1671706273243498E-2</v>
      </c>
      <c r="R1220">
        <v>0.98855373006286995</v>
      </c>
      <c r="S1220" t="s">
        <v>7672</v>
      </c>
      <c r="T1220" t="s">
        <v>12902</v>
      </c>
      <c r="U1220" t="s">
        <v>12902</v>
      </c>
      <c r="V1220" t="s">
        <v>12902</v>
      </c>
      <c r="W1220" t="s">
        <v>12957</v>
      </c>
      <c r="X1220">
        <v>35</v>
      </c>
      <c r="Y1220" t="s">
        <v>20484</v>
      </c>
      <c r="Z1220" t="s">
        <v>26795</v>
      </c>
      <c r="AA1220">
        <v>0.37856100561163558</v>
      </c>
      <c r="AB1220" t="str">
        <f>HYPERLINK("Melting_Curves/meltCurve_M0R2B7_POLD1.pdf", "Melting_Curves/meltCurve_M0R2B7_POLD1.pdf")</f>
        <v>Melting_Curves/meltCurve_M0R2B7_POLD1.pdf</v>
      </c>
    </row>
    <row r="1221" spans="1:28" x14ac:dyDescent="0.25">
      <c r="A1221" t="s">
        <v>1225</v>
      </c>
      <c r="B1221">
        <v>0.99673306730245903</v>
      </c>
      <c r="C1221">
        <v>0.91676637937711702</v>
      </c>
      <c r="D1221">
        <v>1.32074476932124</v>
      </c>
      <c r="E1221">
        <v>1.46706469053413</v>
      </c>
      <c r="F1221">
        <v>1.8467050754918499</v>
      </c>
      <c r="G1221">
        <v>1.34598229359951</v>
      </c>
      <c r="H1221">
        <v>1.7989995424121099</v>
      </c>
      <c r="I1221">
        <v>1.2954902651083799</v>
      </c>
      <c r="J1221">
        <v>0.50363837363055397</v>
      </c>
      <c r="K1221">
        <v>0.143080307237198</v>
      </c>
      <c r="L1221">
        <v>15000</v>
      </c>
      <c r="M1221">
        <v>223.86624323363</v>
      </c>
      <c r="N1221">
        <v>67.105301588703199</v>
      </c>
      <c r="O1221">
        <v>66.998944720221402</v>
      </c>
      <c r="P1221">
        <v>-0.71587364496140005</v>
      </c>
      <c r="Q1221">
        <v>0.14301002599618301</v>
      </c>
      <c r="R1221">
        <v>0.27396132379531501</v>
      </c>
      <c r="S1221" t="s">
        <v>7673</v>
      </c>
      <c r="T1221" t="s">
        <v>12902</v>
      </c>
      <c r="U1221" t="s">
        <v>12902</v>
      </c>
      <c r="V1221" t="s">
        <v>12902</v>
      </c>
      <c r="W1221" t="s">
        <v>14096</v>
      </c>
      <c r="X1221">
        <v>3</v>
      </c>
      <c r="Y1221" t="s">
        <v>19459</v>
      </c>
      <c r="Z1221" t="s">
        <v>26796</v>
      </c>
      <c r="AA1221">
        <v>0.91454875319522322</v>
      </c>
      <c r="AB1221" t="str">
        <f>HYPERLINK("Melting_Curves/meltCurve_M0R2C4_LSR.pdf", "Melting_Curves/meltCurve_M0R2C4_LSR.pdf")</f>
        <v>Melting_Curves/meltCurve_M0R2C4_LSR.pdf</v>
      </c>
    </row>
    <row r="1222" spans="1:28" x14ac:dyDescent="0.25">
      <c r="A1222" t="s">
        <v>1226</v>
      </c>
      <c r="B1222">
        <v>0.99673306730245903</v>
      </c>
      <c r="C1222">
        <v>0.91418914481603797</v>
      </c>
      <c r="D1222">
        <v>0.844251712203685</v>
      </c>
      <c r="E1222">
        <v>0.64480319191303204</v>
      </c>
      <c r="F1222">
        <v>0.40387806328547399</v>
      </c>
      <c r="G1222">
        <v>0.294513066301197</v>
      </c>
      <c r="H1222">
        <v>0.26039010096120901</v>
      </c>
      <c r="I1222">
        <v>0.276385626028884</v>
      </c>
      <c r="J1222">
        <v>0.33884518048125101</v>
      </c>
      <c r="K1222">
        <v>0.364023820831545</v>
      </c>
      <c r="L1222">
        <v>1004.59190627541</v>
      </c>
      <c r="M1222">
        <v>20.4781818679925</v>
      </c>
      <c r="N1222">
        <v>51.301165788006003</v>
      </c>
      <c r="O1222">
        <v>48.596082258738598</v>
      </c>
      <c r="P1222">
        <v>-7.4179627124761199E-2</v>
      </c>
      <c r="Q1222">
        <v>0.29588829894739499</v>
      </c>
      <c r="R1222">
        <v>0.98005146800438003</v>
      </c>
      <c r="S1222" t="s">
        <v>7674</v>
      </c>
      <c r="T1222" t="s">
        <v>12902</v>
      </c>
      <c r="U1222" t="s">
        <v>12902</v>
      </c>
      <c r="V1222" t="s">
        <v>12902</v>
      </c>
      <c r="W1222" t="s">
        <v>14097</v>
      </c>
      <c r="X1222">
        <v>1</v>
      </c>
      <c r="Y1222" t="s">
        <v>20485</v>
      </c>
      <c r="Z1222" t="s">
        <v>26797</v>
      </c>
      <c r="AA1222">
        <v>0.5178483847292058</v>
      </c>
      <c r="AB1222" t="str">
        <f>HYPERLINK("Melting_Curves/meltCurve_M0R2U7_HOMER3.pdf", "Melting_Curves/meltCurve_M0R2U7_HOMER3.pdf")</f>
        <v>Melting_Curves/meltCurve_M0R2U7_HOMER3.pdf</v>
      </c>
    </row>
    <row r="1223" spans="1:28" x14ac:dyDescent="0.25">
      <c r="A1223" t="s">
        <v>1227</v>
      </c>
      <c r="B1223">
        <v>0.99673306730245903</v>
      </c>
      <c r="C1223">
        <v>0.88273632894615095</v>
      </c>
      <c r="D1223">
        <v>0.97195030793008896</v>
      </c>
      <c r="E1223">
        <v>0.80218934865155</v>
      </c>
      <c r="F1223">
        <v>0.76475807880857605</v>
      </c>
      <c r="G1223">
        <v>0.59472055001961299</v>
      </c>
      <c r="H1223">
        <v>0.46870743609681798</v>
      </c>
      <c r="I1223">
        <v>0.54522706378260699</v>
      </c>
      <c r="J1223">
        <v>0.67872334798927603</v>
      </c>
      <c r="K1223">
        <v>0.49526978902069402</v>
      </c>
      <c r="L1223">
        <v>797.23075590206804</v>
      </c>
      <c r="M1223">
        <v>15.5288187637109</v>
      </c>
      <c r="O1223">
        <v>50.510020922501504</v>
      </c>
      <c r="P1223">
        <v>-3.5993939294177699E-2</v>
      </c>
      <c r="Q1223">
        <v>0.53173662129773203</v>
      </c>
      <c r="R1223">
        <v>0.86305893942592504</v>
      </c>
      <c r="S1223" t="s">
        <v>7675</v>
      </c>
      <c r="T1223" t="s">
        <v>12902</v>
      </c>
      <c r="U1223" t="s">
        <v>12902</v>
      </c>
      <c r="V1223" t="s">
        <v>12902</v>
      </c>
      <c r="W1223" t="s">
        <v>14098</v>
      </c>
      <c r="X1223">
        <v>3</v>
      </c>
      <c r="Y1223" t="s">
        <v>20486</v>
      </c>
      <c r="Z1223" t="s">
        <v>26798</v>
      </c>
      <c r="AA1223">
        <v>0.71883696009149356</v>
      </c>
      <c r="AB1223" t="str">
        <f>HYPERLINK("Melting_Curves/meltCurve_M0R2Z1_CGB1.pdf", "Melting_Curves/meltCurve_M0R2Z1_CGB1.pdf")</f>
        <v>Melting_Curves/meltCurve_M0R2Z1_CGB1.pdf</v>
      </c>
    </row>
    <row r="1224" spans="1:28" x14ac:dyDescent="0.25">
      <c r="A1224" t="s">
        <v>1228</v>
      </c>
      <c r="B1224">
        <v>0.99673306730245903</v>
      </c>
      <c r="C1224">
        <v>0.752245348723111</v>
      </c>
      <c r="D1224">
        <v>0.941323915082242</v>
      </c>
      <c r="E1224">
        <v>0.58047868620679699</v>
      </c>
      <c r="F1224">
        <v>0.43391069898532098</v>
      </c>
      <c r="G1224">
        <v>0.37098705728754899</v>
      </c>
      <c r="H1224">
        <v>0.23361706982275399</v>
      </c>
      <c r="I1224">
        <v>0.37067121207369602</v>
      </c>
      <c r="J1224">
        <v>0.60195591159876205</v>
      </c>
      <c r="K1224">
        <v>0.51392776931449502</v>
      </c>
      <c r="L1224">
        <v>1403.30812763467</v>
      </c>
      <c r="M1224">
        <v>29.1424995340812</v>
      </c>
      <c r="N1224">
        <v>51.2454606248684</v>
      </c>
      <c r="O1224">
        <v>47.928289758662302</v>
      </c>
      <c r="P1224">
        <v>-8.9102786524140901E-2</v>
      </c>
      <c r="Q1224">
        <v>0.41384396211831498</v>
      </c>
      <c r="R1224">
        <v>0.75275129646348604</v>
      </c>
      <c r="S1224" t="s">
        <v>7676</v>
      </c>
      <c r="T1224" t="s">
        <v>12902</v>
      </c>
      <c r="U1224" t="s">
        <v>12902</v>
      </c>
      <c r="V1224" t="s">
        <v>12902</v>
      </c>
      <c r="W1224" t="s">
        <v>14099</v>
      </c>
      <c r="X1224">
        <v>4</v>
      </c>
      <c r="Y1224" t="s">
        <v>20487</v>
      </c>
      <c r="Z1224" t="s">
        <v>26799</v>
      </c>
      <c r="AA1224">
        <v>0.57690098271394286</v>
      </c>
      <c r="AB1224" t="str">
        <f>HYPERLINK("Melting_Curves/meltCurve_M0R300_MYO9B.pdf", "Melting_Curves/meltCurve_M0R300_MYO9B.pdf")</f>
        <v>Melting_Curves/meltCurve_M0R300_MYO9B.pdf</v>
      </c>
    </row>
    <row r="1225" spans="1:28" x14ac:dyDescent="0.25">
      <c r="A1225" t="s">
        <v>1229</v>
      </c>
      <c r="B1225">
        <v>0.99673306730245903</v>
      </c>
      <c r="C1225">
        <v>1.0318908610611299</v>
      </c>
      <c r="D1225">
        <v>0.84506492848260395</v>
      </c>
      <c r="E1225">
        <v>0.74767516336266404</v>
      </c>
      <c r="F1225">
        <v>0.55858061762514299</v>
      </c>
      <c r="G1225">
        <v>0.34068019780318498</v>
      </c>
      <c r="H1225">
        <v>0.18586078113085899</v>
      </c>
      <c r="I1225">
        <v>0.22183326499155501</v>
      </c>
      <c r="J1225">
        <v>0.27789153541273098</v>
      </c>
      <c r="K1225">
        <v>0.23120900049599899</v>
      </c>
      <c r="L1225">
        <v>872.09379218702895</v>
      </c>
      <c r="M1225">
        <v>16.8397265447745</v>
      </c>
      <c r="N1225">
        <v>53.456717451819401</v>
      </c>
      <c r="O1225">
        <v>51.074108227677002</v>
      </c>
      <c r="P1225">
        <v>-6.5581196563545593E-2</v>
      </c>
      <c r="Q1225">
        <v>0.20443214374440299</v>
      </c>
      <c r="R1225">
        <v>0.980416739581912</v>
      </c>
      <c r="S1225" t="s">
        <v>7677</v>
      </c>
      <c r="T1225" t="s">
        <v>12902</v>
      </c>
      <c r="U1225" t="s">
        <v>12902</v>
      </c>
      <c r="V1225" t="s">
        <v>12902</v>
      </c>
      <c r="W1225" t="s">
        <v>14100</v>
      </c>
      <c r="X1225">
        <v>1</v>
      </c>
      <c r="Y1225" t="s">
        <v>20488</v>
      </c>
      <c r="Z1225" t="s">
        <v>26800</v>
      </c>
      <c r="AA1225">
        <v>0.53190108488943166</v>
      </c>
      <c r="AB1225" t="str">
        <f>HYPERLINK("Melting_Curves/meltCurve_M0R328_PEX11G.pdf", "Melting_Curves/meltCurve_M0R328_PEX11G.pdf")</f>
        <v>Melting_Curves/meltCurve_M0R328_PEX11G.pdf</v>
      </c>
    </row>
    <row r="1226" spans="1:28" x14ac:dyDescent="0.25">
      <c r="A1226" t="s">
        <v>1230</v>
      </c>
      <c r="B1226">
        <v>0.99673306730245903</v>
      </c>
      <c r="C1226">
        <v>0.94915921742030596</v>
      </c>
      <c r="D1226">
        <v>0.879972780451443</v>
      </c>
      <c r="E1226">
        <v>0.44763999516707897</v>
      </c>
      <c r="F1226">
        <v>0.13162169903402701</v>
      </c>
      <c r="G1226">
        <v>8.8779171278113606E-2</v>
      </c>
      <c r="H1226">
        <v>5.2417754412148999E-2</v>
      </c>
      <c r="I1226">
        <v>5.1595109103724501E-2</v>
      </c>
      <c r="J1226">
        <v>7.6220568495054306E-2</v>
      </c>
      <c r="K1226">
        <v>6.5006030936718806E-2</v>
      </c>
      <c r="L1226">
        <v>1430.3794911012601</v>
      </c>
      <c r="M1226">
        <v>29.2121401274307</v>
      </c>
      <c r="N1226">
        <v>49.183195843155097</v>
      </c>
      <c r="O1226">
        <v>48.737504130760897</v>
      </c>
      <c r="P1226">
        <v>-0.140748055873607</v>
      </c>
      <c r="Q1226">
        <v>6.0711279871800299E-2</v>
      </c>
      <c r="R1226">
        <v>0.99860499073317299</v>
      </c>
      <c r="S1226" t="s">
        <v>7678</v>
      </c>
      <c r="T1226" t="s">
        <v>12902</v>
      </c>
      <c r="U1226" t="s">
        <v>12902</v>
      </c>
      <c r="V1226" t="s">
        <v>12902</v>
      </c>
      <c r="W1226" t="s">
        <v>14101</v>
      </c>
      <c r="X1226">
        <v>1</v>
      </c>
      <c r="Y1226" t="s">
        <v>20489</v>
      </c>
      <c r="Z1226" t="s">
        <v>26801</v>
      </c>
      <c r="AA1226">
        <v>0.34744863499980427</v>
      </c>
      <c r="AB1226" t="str">
        <f>HYPERLINK("Melting_Curves/meltCurve_M0R366_FSD1.pdf", "Melting_Curves/meltCurve_M0R366_FSD1.pdf")</f>
        <v>Melting_Curves/meltCurve_M0R366_FSD1.pdf</v>
      </c>
    </row>
    <row r="1227" spans="1:28" x14ac:dyDescent="0.25">
      <c r="A1227" t="s">
        <v>1231</v>
      </c>
      <c r="B1227">
        <v>0.99673306730245903</v>
      </c>
      <c r="C1227">
        <v>1.0836905625397899</v>
      </c>
      <c r="D1227">
        <v>1.00697739791507</v>
      </c>
      <c r="E1227">
        <v>0.93203176157385004</v>
      </c>
      <c r="F1227">
        <v>0.82915665902665403</v>
      </c>
      <c r="G1227">
        <v>0.69917487424920299</v>
      </c>
      <c r="H1227">
        <v>0.53282279770607599</v>
      </c>
      <c r="I1227">
        <v>0.61305684820837203</v>
      </c>
      <c r="J1227">
        <v>0.584575286707405</v>
      </c>
      <c r="K1227">
        <v>0.45775026223520798</v>
      </c>
      <c r="L1227">
        <v>1047.74381921489</v>
      </c>
      <c r="M1227">
        <v>19.086565136749901</v>
      </c>
      <c r="O1227">
        <v>54.302370292609403</v>
      </c>
      <c r="P1227">
        <v>-4.2143592089787803E-2</v>
      </c>
      <c r="Q1227">
        <v>0.52041505177039604</v>
      </c>
      <c r="R1227">
        <v>0.95098761633458095</v>
      </c>
      <c r="S1227" t="s">
        <v>7679</v>
      </c>
      <c r="T1227" t="s">
        <v>12902</v>
      </c>
      <c r="U1227" t="s">
        <v>12902</v>
      </c>
      <c r="V1227" t="s">
        <v>12902</v>
      </c>
      <c r="W1227" t="s">
        <v>14102</v>
      </c>
      <c r="X1227">
        <v>7</v>
      </c>
      <c r="Y1227" t="s">
        <v>20490</v>
      </c>
      <c r="Z1227" t="s">
        <v>26802</v>
      </c>
      <c r="AA1227">
        <v>0.76537890952525445</v>
      </c>
      <c r="AB1227" t="str">
        <f>HYPERLINK("Melting_Curves/meltCurve_M0R3D4_RABAC1.pdf", "Melting_Curves/meltCurve_M0R3D4_RABAC1.pdf")</f>
        <v>Melting_Curves/meltCurve_M0R3D4_RABAC1.pdf</v>
      </c>
    </row>
    <row r="1228" spans="1:28" x14ac:dyDescent="0.25">
      <c r="A1228" t="s">
        <v>1232</v>
      </c>
      <c r="B1228">
        <v>0.99673306730245903</v>
      </c>
      <c r="C1228">
        <v>0.98427649276553397</v>
      </c>
      <c r="D1228">
        <v>0.93850991086642599</v>
      </c>
      <c r="E1228">
        <v>0.83189134519554597</v>
      </c>
      <c r="F1228">
        <v>0.33838706317002099</v>
      </c>
      <c r="G1228">
        <v>0.165672159010613</v>
      </c>
      <c r="H1228">
        <v>8.8265732150269505E-2</v>
      </c>
      <c r="I1228">
        <v>6.9029721051923995E-2</v>
      </c>
      <c r="J1228">
        <v>6.7542776921737796E-2</v>
      </c>
      <c r="K1228">
        <v>5.5283444737439E-2</v>
      </c>
      <c r="L1228">
        <v>1564.7342667011401</v>
      </c>
      <c r="M1228">
        <v>30.198644621115999</v>
      </c>
      <c r="N1228">
        <v>52.079063175157799</v>
      </c>
      <c r="O1228">
        <v>51.589099236674599</v>
      </c>
      <c r="P1228">
        <v>-0.13594532904797099</v>
      </c>
      <c r="Q1228">
        <v>7.1050707444932207E-2</v>
      </c>
      <c r="R1228">
        <v>0.99726722976250604</v>
      </c>
      <c r="S1228" t="s">
        <v>7680</v>
      </c>
      <c r="T1228" t="s">
        <v>12902</v>
      </c>
      <c r="U1228" t="s">
        <v>12902</v>
      </c>
      <c r="V1228" t="s">
        <v>12902</v>
      </c>
      <c r="W1228" t="s">
        <v>14103</v>
      </c>
      <c r="X1228">
        <v>22</v>
      </c>
      <c r="Y1228" t="s">
        <v>20491</v>
      </c>
      <c r="Z1228" t="s">
        <v>26803</v>
      </c>
      <c r="AA1228">
        <v>0.44273418468588488</v>
      </c>
      <c r="AB1228" t="str">
        <f>HYPERLINK("Melting_Curves/meltCurve_O00116_AGPS.pdf", "Melting_Curves/meltCurve_O00116_AGPS.pdf")</f>
        <v>Melting_Curves/meltCurve_O00116_AGPS.pdf</v>
      </c>
    </row>
    <row r="1229" spans="1:28" x14ac:dyDescent="0.25">
      <c r="A1229" t="s">
        <v>1233</v>
      </c>
      <c r="B1229">
        <v>0.99673306730245903</v>
      </c>
      <c r="C1229">
        <v>0.90921295693662696</v>
      </c>
      <c r="D1229">
        <v>0.88000875442977899</v>
      </c>
      <c r="E1229">
        <v>0.75701735784066004</v>
      </c>
      <c r="F1229">
        <v>0.18236139439752599</v>
      </c>
      <c r="G1229">
        <v>0.123518220362435</v>
      </c>
      <c r="H1229">
        <v>8.0949336093635194E-2</v>
      </c>
      <c r="I1229">
        <v>8.4374877294536896E-2</v>
      </c>
      <c r="J1229">
        <v>0.10280174210223</v>
      </c>
      <c r="K1229">
        <v>9.64001483235635E-2</v>
      </c>
      <c r="L1229">
        <v>2113.5334055170201</v>
      </c>
      <c r="M1229">
        <v>41.700799423459799</v>
      </c>
      <c r="N1229">
        <v>50.932727294124199</v>
      </c>
      <c r="O1229">
        <v>50.567142715757697</v>
      </c>
      <c r="P1229">
        <v>-0.187123389647009</v>
      </c>
      <c r="Q1229">
        <v>9.2364749602712196E-2</v>
      </c>
      <c r="R1229">
        <v>0.98563831403039703</v>
      </c>
      <c r="S1229" t="s">
        <v>7681</v>
      </c>
      <c r="T1229" t="s">
        <v>12902</v>
      </c>
      <c r="U1229" t="s">
        <v>12902</v>
      </c>
      <c r="V1229" t="s">
        <v>12902</v>
      </c>
      <c r="W1229" t="s">
        <v>14104</v>
      </c>
      <c r="X1229">
        <v>26</v>
      </c>
      <c r="Y1229" t="s">
        <v>20492</v>
      </c>
      <c r="Z1229" t="s">
        <v>26804</v>
      </c>
      <c r="AA1229">
        <v>0.41850623653974001</v>
      </c>
      <c r="AB1229" t="str">
        <f>HYPERLINK("Melting_Curves/meltCurve_O00139_2_KIF2A.pdf", "Melting_Curves/meltCurve_O00139_2_KIF2A.pdf")</f>
        <v>Melting_Curves/meltCurve_O00139_2_KIF2A.pdf</v>
      </c>
    </row>
    <row r="1230" spans="1:28" x14ac:dyDescent="0.25">
      <c r="A1230" t="s">
        <v>1234</v>
      </c>
      <c r="B1230">
        <v>0.99673306730245903</v>
      </c>
      <c r="C1230">
        <v>1.0061304287652499</v>
      </c>
      <c r="D1230">
        <v>0.88996955371719599</v>
      </c>
      <c r="E1230">
        <v>0.466026151733827</v>
      </c>
      <c r="F1230">
        <v>0.36776752574391702</v>
      </c>
      <c r="G1230">
        <v>0.20494033410885201</v>
      </c>
      <c r="H1230">
        <v>0.13622485632891601</v>
      </c>
      <c r="I1230">
        <v>0.11961272814111901</v>
      </c>
      <c r="J1230">
        <v>9.3216300109680003E-2</v>
      </c>
      <c r="K1230">
        <v>7.5845195655179595E-2</v>
      </c>
      <c r="L1230">
        <v>937.616142366497</v>
      </c>
      <c r="M1230">
        <v>18.8726229465654</v>
      </c>
      <c r="N1230">
        <v>50.297863562668702</v>
      </c>
      <c r="O1230">
        <v>49.133564775576097</v>
      </c>
      <c r="P1230">
        <v>-8.6114009223640695E-2</v>
      </c>
      <c r="Q1230">
        <v>0.103269283403589</v>
      </c>
      <c r="R1230">
        <v>0.98522829413200697</v>
      </c>
      <c r="S1230" t="s">
        <v>7682</v>
      </c>
      <c r="T1230" t="s">
        <v>12902</v>
      </c>
      <c r="U1230" t="s">
        <v>12902</v>
      </c>
      <c r="V1230" t="s">
        <v>12902</v>
      </c>
      <c r="W1230" t="s">
        <v>14105</v>
      </c>
      <c r="X1230">
        <v>26</v>
      </c>
      <c r="Y1230" t="s">
        <v>20493</v>
      </c>
      <c r="Z1230" t="s">
        <v>26805</v>
      </c>
      <c r="AA1230">
        <v>0.40666361191078598</v>
      </c>
      <c r="AB1230" t="str">
        <f>HYPERLINK("Melting_Curves/meltCurve_O00148_DDX39A.pdf", "Melting_Curves/meltCurve_O00148_DDX39A.pdf")</f>
        <v>Melting_Curves/meltCurve_O00148_DDX39A.pdf</v>
      </c>
    </row>
    <row r="1231" spans="1:28" x14ac:dyDescent="0.25">
      <c r="A1231" t="s">
        <v>1235</v>
      </c>
      <c r="B1231">
        <v>0.99673306730245903</v>
      </c>
      <c r="C1231">
        <v>0.97244092897024603</v>
      </c>
      <c r="D1231">
        <v>0.95811623434675597</v>
      </c>
      <c r="E1231">
        <v>0.92229048266151203</v>
      </c>
      <c r="F1231">
        <v>0.74026726775703899</v>
      </c>
      <c r="G1231">
        <v>0.52917990636612799</v>
      </c>
      <c r="H1231">
        <v>0.39900163861048499</v>
      </c>
      <c r="I1231">
        <v>0.49250436523635999</v>
      </c>
      <c r="J1231">
        <v>0.56991401065025105</v>
      </c>
      <c r="K1231">
        <v>0.50905449086759202</v>
      </c>
      <c r="L1231">
        <v>1712.9129847428301</v>
      </c>
      <c r="M1231">
        <v>32.388037460013898</v>
      </c>
      <c r="N1231">
        <v>60.167572313037297</v>
      </c>
      <c r="O1231">
        <v>52.686826140430398</v>
      </c>
      <c r="P1231">
        <v>-7.8367460609428799E-2</v>
      </c>
      <c r="Q1231">
        <v>0.49006950781292702</v>
      </c>
      <c r="R1231">
        <v>0.96040237150917096</v>
      </c>
      <c r="S1231" t="s">
        <v>7683</v>
      </c>
      <c r="T1231" t="s">
        <v>12902</v>
      </c>
      <c r="U1231" t="s">
        <v>12902</v>
      </c>
      <c r="V1231" t="s">
        <v>12902</v>
      </c>
      <c r="W1231" t="s">
        <v>14106</v>
      </c>
      <c r="X1231">
        <v>20</v>
      </c>
      <c r="Y1231" t="s">
        <v>20494</v>
      </c>
      <c r="Z1231" t="s">
        <v>26806</v>
      </c>
      <c r="AA1231">
        <v>0.71196098510728711</v>
      </c>
      <c r="AB1231" t="str">
        <f>HYPERLINK("Melting_Curves/meltCurve_O00151_PDLIM1.pdf", "Melting_Curves/meltCurve_O00151_PDLIM1.pdf")</f>
        <v>Melting_Curves/meltCurve_O00151_PDLIM1.pdf</v>
      </c>
    </row>
    <row r="1232" spans="1:28" x14ac:dyDescent="0.25">
      <c r="A1232" t="s">
        <v>1236</v>
      </c>
      <c r="B1232">
        <v>0.99673306730245903</v>
      </c>
      <c r="C1232">
        <v>0.99621510270246105</v>
      </c>
      <c r="D1232">
        <v>1.04668000658658</v>
      </c>
      <c r="E1232">
        <v>1.0443326756536599</v>
      </c>
      <c r="F1232">
        <v>1.0172830137275</v>
      </c>
      <c r="G1232">
        <v>0.94357554615073902</v>
      </c>
      <c r="H1232">
        <v>0.76111126663755102</v>
      </c>
      <c r="I1232">
        <v>0.54118592397049603</v>
      </c>
      <c r="J1232">
        <v>0.163176577798575</v>
      </c>
      <c r="K1232">
        <v>0.11957224071512999</v>
      </c>
      <c r="L1232">
        <v>1659.1056429978901</v>
      </c>
      <c r="M1232">
        <v>25.972132748799801</v>
      </c>
      <c r="N1232">
        <v>63.880223409903799</v>
      </c>
      <c r="O1232">
        <v>63.5051100504784</v>
      </c>
      <c r="P1232">
        <v>-0.102245422354017</v>
      </c>
      <c r="Q1232">
        <v>0</v>
      </c>
      <c r="R1232">
        <v>0.98908588511151596</v>
      </c>
      <c r="S1232" t="s">
        <v>7684</v>
      </c>
      <c r="T1232" t="s">
        <v>12902</v>
      </c>
      <c r="U1232" t="s">
        <v>12902</v>
      </c>
      <c r="V1232" t="s">
        <v>12902</v>
      </c>
      <c r="W1232" t="s">
        <v>14107</v>
      </c>
      <c r="X1232">
        <v>18</v>
      </c>
      <c r="Y1232" t="s">
        <v>20495</v>
      </c>
      <c r="Z1232" t="s">
        <v>26807</v>
      </c>
      <c r="AA1232">
        <v>0.79597562183033976</v>
      </c>
      <c r="AB1232" t="str">
        <f>HYPERLINK("Melting_Curves/meltCurve_O00154_ACOT7.pdf", "Melting_Curves/meltCurve_O00154_ACOT7.pdf")</f>
        <v>Melting_Curves/meltCurve_O00154_ACOT7.pdf</v>
      </c>
    </row>
    <row r="1233" spans="1:28" x14ac:dyDescent="0.25">
      <c r="A1233" t="s">
        <v>1237</v>
      </c>
      <c r="B1233">
        <v>0.99673306730245903</v>
      </c>
      <c r="C1233">
        <v>0.95515818091162596</v>
      </c>
      <c r="D1233">
        <v>0.67956313547566405</v>
      </c>
      <c r="E1233">
        <v>0.47559822347168601</v>
      </c>
      <c r="F1233">
        <v>0.42764601516484801</v>
      </c>
      <c r="G1233">
        <v>0.29579465234929297</v>
      </c>
      <c r="H1233">
        <v>0.165173024682639</v>
      </c>
      <c r="I1233">
        <v>0.208299353662177</v>
      </c>
      <c r="J1233">
        <v>0.230101065585469</v>
      </c>
      <c r="K1233">
        <v>0.22249919637149501</v>
      </c>
      <c r="L1233">
        <v>741.50690760789905</v>
      </c>
      <c r="M1233">
        <v>15.4389835996027</v>
      </c>
      <c r="N1233">
        <v>49.7357458616884</v>
      </c>
      <c r="O1233">
        <v>47.244089734355398</v>
      </c>
      <c r="P1233">
        <v>-6.4897705232238201E-2</v>
      </c>
      <c r="Q1233">
        <v>0.20571030315444899</v>
      </c>
      <c r="R1233">
        <v>0.976023659799923</v>
      </c>
      <c r="S1233" t="s">
        <v>7685</v>
      </c>
      <c r="T1233" t="s">
        <v>12902</v>
      </c>
      <c r="U1233" t="s">
        <v>12902</v>
      </c>
      <c r="V1233" t="s">
        <v>12902</v>
      </c>
      <c r="W1233" t="s">
        <v>14108</v>
      </c>
      <c r="X1233">
        <v>3</v>
      </c>
      <c r="Y1233" t="s">
        <v>20496</v>
      </c>
      <c r="Z1233" t="s">
        <v>26808</v>
      </c>
      <c r="AA1233">
        <v>0.4375433933503961</v>
      </c>
      <c r="AB1233" t="str">
        <f>HYPERLINK("Melting_Curves/meltCurve_O00159_MYO1C.pdf", "Melting_Curves/meltCurve_O00159_MYO1C.pdf")</f>
        <v>Melting_Curves/meltCurve_O00159_MYO1C.pdf</v>
      </c>
    </row>
    <row r="1234" spans="1:28" x14ac:dyDescent="0.25">
      <c r="A1234" t="s">
        <v>1238</v>
      </c>
      <c r="B1234">
        <v>0.99673306730245903</v>
      </c>
      <c r="C1234">
        <v>0.97387094047959399</v>
      </c>
      <c r="D1234">
        <v>0.89738214814828199</v>
      </c>
      <c r="E1234">
        <v>0.76181402106584795</v>
      </c>
      <c r="F1234">
        <v>0.71804686749743196</v>
      </c>
      <c r="G1234">
        <v>0.65640122831269099</v>
      </c>
      <c r="H1234">
        <v>0.54428760614115601</v>
      </c>
      <c r="I1234">
        <v>0.823736895981516</v>
      </c>
      <c r="J1234">
        <v>0.91818755930782603</v>
      </c>
      <c r="K1234">
        <v>1.0116034123253601</v>
      </c>
      <c r="L1234">
        <v>2954.7012774259001</v>
      </c>
      <c r="M1234">
        <v>64.093222373305693</v>
      </c>
      <c r="O1234">
        <v>46.055244187707103</v>
      </c>
      <c r="P1234">
        <v>-7.7915887060070105E-2</v>
      </c>
      <c r="Q1234">
        <v>0.776049087280551</v>
      </c>
      <c r="R1234">
        <v>0.32562677613804297</v>
      </c>
      <c r="S1234" t="s">
        <v>7686</v>
      </c>
      <c r="T1234" t="s">
        <v>12902</v>
      </c>
      <c r="U1234" t="s">
        <v>12902</v>
      </c>
      <c r="V1234" t="s">
        <v>12902</v>
      </c>
      <c r="W1234" t="s">
        <v>14109</v>
      </c>
      <c r="X1234">
        <v>15</v>
      </c>
      <c r="Y1234" t="s">
        <v>20497</v>
      </c>
      <c r="Z1234" t="s">
        <v>26809</v>
      </c>
      <c r="AA1234">
        <v>0.82186297015461318</v>
      </c>
      <c r="AB1234" t="str">
        <f>HYPERLINK("Melting_Curves/meltCurve_O00161_SNAP23.pdf", "Melting_Curves/meltCurve_O00161_SNAP23.pdf")</f>
        <v>Melting_Curves/meltCurve_O00161_SNAP23.pdf</v>
      </c>
    </row>
    <row r="1235" spans="1:28" x14ac:dyDescent="0.25">
      <c r="A1235" t="s">
        <v>1239</v>
      </c>
      <c r="B1235">
        <v>0.99673306730245903</v>
      </c>
      <c r="C1235">
        <v>0.86670082551537597</v>
      </c>
      <c r="D1235">
        <v>0.75248335197549399</v>
      </c>
      <c r="E1235">
        <v>0.43780977975737201</v>
      </c>
      <c r="F1235">
        <v>0.26133274095832598</v>
      </c>
      <c r="G1235">
        <v>0.15516686716014</v>
      </c>
      <c r="H1235">
        <v>0.11358790597139901</v>
      </c>
      <c r="I1235">
        <v>0.110289041600289</v>
      </c>
      <c r="J1235">
        <v>0.132308972550014</v>
      </c>
      <c r="K1235">
        <v>0.13305712822329899</v>
      </c>
      <c r="L1235">
        <v>845.62499993876804</v>
      </c>
      <c r="M1235">
        <v>17.5551074494002</v>
      </c>
      <c r="N1235">
        <v>48.861998000941398</v>
      </c>
      <c r="O1235">
        <v>47.5577266225446</v>
      </c>
      <c r="P1235">
        <v>-8.2127644718709106E-2</v>
      </c>
      <c r="Q1235">
        <v>0.110095701774391</v>
      </c>
      <c r="R1235">
        <v>0.99627445835284001</v>
      </c>
      <c r="S1235" t="s">
        <v>7687</v>
      </c>
      <c r="T1235" t="s">
        <v>12902</v>
      </c>
      <c r="U1235" t="s">
        <v>12902</v>
      </c>
      <c r="V1235" t="s">
        <v>12902</v>
      </c>
      <c r="W1235" t="s">
        <v>14110</v>
      </c>
      <c r="X1235">
        <v>3</v>
      </c>
      <c r="Y1235" t="s">
        <v>20498</v>
      </c>
      <c r="Z1235" t="s">
        <v>26810</v>
      </c>
      <c r="AA1235">
        <v>0.36898421730616249</v>
      </c>
      <c r="AB1235" t="str">
        <f>HYPERLINK("Melting_Curves/meltCurve_O00165_5_HAX1.pdf", "Melting_Curves/meltCurve_O00165_5_HAX1.pdf")</f>
        <v>Melting_Curves/meltCurve_O00165_5_HAX1.pdf</v>
      </c>
    </row>
    <row r="1236" spans="1:28" x14ac:dyDescent="0.25">
      <c r="A1236" t="s">
        <v>1240</v>
      </c>
      <c r="B1236">
        <v>0.99673306730245903</v>
      </c>
      <c r="C1236">
        <v>0.95666899711617803</v>
      </c>
      <c r="D1236">
        <v>0.42520773851447302</v>
      </c>
      <c r="E1236">
        <v>0.50074715819684101</v>
      </c>
      <c r="F1236">
        <v>0.200730102304574</v>
      </c>
      <c r="G1236">
        <v>0.120184161369179</v>
      </c>
      <c r="H1236">
        <v>8.2362719015945801E-2</v>
      </c>
      <c r="I1236">
        <v>7.0104225801899497E-2</v>
      </c>
      <c r="J1236">
        <v>7.3640895954904001E-2</v>
      </c>
      <c r="K1236">
        <v>5.8986582628656199E-2</v>
      </c>
      <c r="L1236">
        <v>712.542106703782</v>
      </c>
      <c r="M1236">
        <v>15.0739598638509</v>
      </c>
      <c r="N1236">
        <v>47.669740358700103</v>
      </c>
      <c r="O1236">
        <v>46.461242483835001</v>
      </c>
      <c r="P1236">
        <v>-7.62994080210085E-2</v>
      </c>
      <c r="Q1236">
        <v>5.9407602681143097E-2</v>
      </c>
      <c r="R1236">
        <v>0.93675127999504504</v>
      </c>
      <c r="S1236" t="s">
        <v>7688</v>
      </c>
      <c r="T1236" t="s">
        <v>12902</v>
      </c>
      <c r="U1236" t="s">
        <v>12902</v>
      </c>
      <c r="V1236" t="s">
        <v>12902</v>
      </c>
      <c r="W1236" t="s">
        <v>14111</v>
      </c>
      <c r="X1236">
        <v>17</v>
      </c>
      <c r="Y1236" t="s">
        <v>20499</v>
      </c>
      <c r="Z1236" t="s">
        <v>26811</v>
      </c>
      <c r="AA1236">
        <v>0.31223010409224622</v>
      </c>
      <c r="AB1236" t="str">
        <f>HYPERLINK("Melting_Curves/meltCurve_O00170_AIP.pdf", "Melting_Curves/meltCurve_O00170_AIP.pdf")</f>
        <v>Melting_Curves/meltCurve_O00170_AIP.pdf</v>
      </c>
    </row>
    <row r="1237" spans="1:28" x14ac:dyDescent="0.25">
      <c r="A1237" t="s">
        <v>1241</v>
      </c>
      <c r="B1237">
        <v>0.99673306730245903</v>
      </c>
      <c r="C1237">
        <v>0.86771795482968805</v>
      </c>
      <c r="D1237">
        <v>0.85926252006474602</v>
      </c>
      <c r="E1237">
        <v>0.85920014613248197</v>
      </c>
      <c r="F1237">
        <v>0.27254987292685101</v>
      </c>
      <c r="G1237">
        <v>0.120802745113208</v>
      </c>
      <c r="H1237">
        <v>6.4580230220325205E-2</v>
      </c>
      <c r="I1237">
        <v>5.4895281753112E-2</v>
      </c>
      <c r="J1237">
        <v>5.8433934792933101E-2</v>
      </c>
      <c r="K1237">
        <v>4.4425335349722803E-2</v>
      </c>
      <c r="L1237">
        <v>1943.09176455287</v>
      </c>
      <c r="M1237">
        <v>37.643224309145502</v>
      </c>
      <c r="N1237">
        <v>51.793272083196598</v>
      </c>
      <c r="O1237">
        <v>51.473579764986901</v>
      </c>
      <c r="P1237">
        <v>-0.17193149285887999</v>
      </c>
      <c r="Q1237">
        <v>5.9601268217836699E-2</v>
      </c>
      <c r="R1237">
        <v>0.97633117845622497</v>
      </c>
      <c r="S1237" t="s">
        <v>7689</v>
      </c>
      <c r="T1237" t="s">
        <v>12902</v>
      </c>
      <c r="U1237" t="s">
        <v>12902</v>
      </c>
      <c r="V1237" t="s">
        <v>12902</v>
      </c>
      <c r="W1237" t="s">
        <v>14112</v>
      </c>
      <c r="X1237">
        <v>19</v>
      </c>
      <c r="Y1237" t="s">
        <v>20500</v>
      </c>
      <c r="Z1237" t="s">
        <v>26812</v>
      </c>
      <c r="AA1237">
        <v>0.42759640337619459</v>
      </c>
      <c r="AB1237" t="str">
        <f>HYPERLINK("Melting_Curves/meltCurve_O00178_GTPBP1.pdf", "Melting_Curves/meltCurve_O00178_GTPBP1.pdf")</f>
        <v>Melting_Curves/meltCurve_O00178_GTPBP1.pdf</v>
      </c>
    </row>
    <row r="1238" spans="1:28" x14ac:dyDescent="0.25">
      <c r="A1238" t="s">
        <v>1242</v>
      </c>
      <c r="B1238">
        <v>0.99673306730245903</v>
      </c>
      <c r="C1238">
        <v>0.93640001068017498</v>
      </c>
      <c r="D1238">
        <v>0.72232828831918605</v>
      </c>
      <c r="E1238">
        <v>0.313964056534002</v>
      </c>
      <c r="F1238">
        <v>0.19547222586135399</v>
      </c>
      <c r="G1238">
        <v>0.131088403368049</v>
      </c>
      <c r="H1238">
        <v>0.101638419460662</v>
      </c>
      <c r="I1238">
        <v>7.9106180697705503E-2</v>
      </c>
      <c r="J1238">
        <v>7.66293865274877E-2</v>
      </c>
      <c r="K1238">
        <v>6.3624517129663299E-2</v>
      </c>
      <c r="L1238">
        <v>1097.8531414012</v>
      </c>
      <c r="M1238">
        <v>23.086021363750401</v>
      </c>
      <c r="N1238">
        <v>47.953927358532702</v>
      </c>
      <c r="O1238">
        <v>47.202380193693102</v>
      </c>
      <c r="P1238">
        <v>-0.111588164342145</v>
      </c>
      <c r="Q1238">
        <v>8.7390646006208203E-2</v>
      </c>
      <c r="R1238">
        <v>0.99711711914059398</v>
      </c>
      <c r="S1238" t="s">
        <v>7690</v>
      </c>
      <c r="T1238" t="s">
        <v>12902</v>
      </c>
      <c r="U1238" t="s">
        <v>12902</v>
      </c>
      <c r="V1238" t="s">
        <v>12902</v>
      </c>
      <c r="W1238" t="s">
        <v>14113</v>
      </c>
      <c r="X1238">
        <v>10</v>
      </c>
      <c r="Y1238" t="s">
        <v>20501</v>
      </c>
      <c r="Z1238" t="s">
        <v>26813</v>
      </c>
      <c r="AA1238">
        <v>0.32681868698920752</v>
      </c>
      <c r="AB1238" t="str">
        <f>HYPERLINK("Melting_Curves/meltCurve_O00186_STXBP3.pdf", "Melting_Curves/meltCurve_O00186_STXBP3.pdf")</f>
        <v>Melting_Curves/meltCurve_O00186_STXBP3.pdf</v>
      </c>
    </row>
    <row r="1239" spans="1:28" x14ac:dyDescent="0.25">
      <c r="A1239" t="s">
        <v>1243</v>
      </c>
      <c r="B1239">
        <v>0.99673306730245903</v>
      </c>
      <c r="C1239">
        <v>0.90558388355362196</v>
      </c>
      <c r="D1239">
        <v>0.88661550952944301</v>
      </c>
      <c r="E1239">
        <v>0.74385008316451295</v>
      </c>
      <c r="F1239">
        <v>0.19745398458517999</v>
      </c>
      <c r="G1239">
        <v>0.13021280679907901</v>
      </c>
      <c r="H1239">
        <v>7.6590792192703205E-2</v>
      </c>
      <c r="I1239">
        <v>6.9358906660571304E-2</v>
      </c>
      <c r="J1239">
        <v>7.9592360669845499E-2</v>
      </c>
      <c r="K1239">
        <v>7.4639633997999305E-2</v>
      </c>
      <c r="L1239">
        <v>1788.44666615863</v>
      </c>
      <c r="M1239">
        <v>35.246647651336097</v>
      </c>
      <c r="N1239">
        <v>50.983082979803498</v>
      </c>
      <c r="O1239">
        <v>50.578397788637503</v>
      </c>
      <c r="P1239">
        <v>-0.16079009042549799</v>
      </c>
      <c r="Q1239">
        <v>7.7077912137009999E-2</v>
      </c>
      <c r="R1239">
        <v>0.98697997041500396</v>
      </c>
      <c r="S1239" t="s">
        <v>7691</v>
      </c>
      <c r="T1239" t="s">
        <v>12902</v>
      </c>
      <c r="U1239" t="s">
        <v>12902</v>
      </c>
      <c r="V1239" t="s">
        <v>12902</v>
      </c>
      <c r="W1239" t="s">
        <v>14114</v>
      </c>
      <c r="X1239">
        <v>29</v>
      </c>
      <c r="Y1239" t="s">
        <v>20502</v>
      </c>
      <c r="Z1239" t="s">
        <v>26814</v>
      </c>
      <c r="AA1239">
        <v>0.41168909277463628</v>
      </c>
      <c r="AB1239" t="str">
        <f>HYPERLINK("Melting_Curves/meltCurve_O00203_AP3B1.pdf", "Melting_Curves/meltCurve_O00203_AP3B1.pdf")</f>
        <v>Melting_Curves/meltCurve_O00203_AP3B1.pdf</v>
      </c>
    </row>
    <row r="1240" spans="1:28" x14ac:dyDescent="0.25">
      <c r="A1240" t="s">
        <v>1244</v>
      </c>
      <c r="B1240">
        <v>0.99673306730245903</v>
      </c>
      <c r="C1240">
        <v>0.99044575458190598</v>
      </c>
      <c r="D1240">
        <v>0.93569940933374496</v>
      </c>
      <c r="E1240">
        <v>0.856905170470324</v>
      </c>
      <c r="F1240">
        <v>0.47500048095315101</v>
      </c>
      <c r="G1240">
        <v>0.22199117316404701</v>
      </c>
      <c r="H1240">
        <v>0.119202651615994</v>
      </c>
      <c r="I1240">
        <v>0.124771223739144</v>
      </c>
      <c r="J1240">
        <v>0.14987630065711199</v>
      </c>
      <c r="K1240">
        <v>0.15135101807978199</v>
      </c>
      <c r="L1240">
        <v>1454.2178178972099</v>
      </c>
      <c r="M1240">
        <v>27.761180637146801</v>
      </c>
      <c r="N1240">
        <v>52.959759323787701</v>
      </c>
      <c r="O1240">
        <v>52.113591973928898</v>
      </c>
      <c r="P1240">
        <v>-0.115807523737531</v>
      </c>
      <c r="Q1240">
        <v>0.130427145562166</v>
      </c>
      <c r="R1240">
        <v>0.99718122574746504</v>
      </c>
      <c r="S1240" t="s">
        <v>7692</v>
      </c>
      <c r="T1240" t="s">
        <v>12902</v>
      </c>
      <c r="U1240" t="s">
        <v>12902</v>
      </c>
      <c r="V1240" t="s">
        <v>12902</v>
      </c>
      <c r="W1240" t="s">
        <v>14115</v>
      </c>
      <c r="X1240">
        <v>10</v>
      </c>
      <c r="Y1240" t="s">
        <v>20503</v>
      </c>
      <c r="Z1240" t="s">
        <v>26815</v>
      </c>
      <c r="AA1240">
        <v>0.49586987613306321</v>
      </c>
      <c r="AB1240" t="str">
        <f>HYPERLINK("Melting_Curves/meltCurve_O00217_NDUFS8.pdf", "Melting_Curves/meltCurve_O00217_NDUFS8.pdf")</f>
        <v>Melting_Curves/meltCurve_O00217_NDUFS8.pdf</v>
      </c>
    </row>
    <row r="1241" spans="1:28" x14ac:dyDescent="0.25">
      <c r="A1241" t="s">
        <v>1245</v>
      </c>
      <c r="B1241">
        <v>0.99673306730245903</v>
      </c>
      <c r="C1241">
        <v>0.96012246088286102</v>
      </c>
      <c r="D1241">
        <v>0.87360989149935397</v>
      </c>
      <c r="E1241">
        <v>0.62391408796653303</v>
      </c>
      <c r="F1241">
        <v>0.46262020174604002</v>
      </c>
      <c r="G1241">
        <v>0.35131742222050999</v>
      </c>
      <c r="H1241">
        <v>0.274092779872327</v>
      </c>
      <c r="I1241">
        <v>0.288542168807776</v>
      </c>
      <c r="J1241">
        <v>0.35787688678839102</v>
      </c>
      <c r="K1241">
        <v>0.39928863799233799</v>
      </c>
      <c r="L1241">
        <v>1044.1254272455701</v>
      </c>
      <c r="M1241">
        <v>21.2500119268467</v>
      </c>
      <c r="N1241">
        <v>51.716761314574299</v>
      </c>
      <c r="O1241">
        <v>48.706357788765899</v>
      </c>
      <c r="P1241">
        <v>-7.3418822980996695E-2</v>
      </c>
      <c r="Q1241">
        <v>0.32689506929532097</v>
      </c>
      <c r="R1241">
        <v>0.98247109060053806</v>
      </c>
      <c r="S1241" t="s">
        <v>7693</v>
      </c>
      <c r="T1241" t="s">
        <v>12902</v>
      </c>
      <c r="U1241" t="s">
        <v>12902</v>
      </c>
      <c r="V1241" t="s">
        <v>12902</v>
      </c>
      <c r="W1241" t="s">
        <v>14116</v>
      </c>
      <c r="X1241">
        <v>3</v>
      </c>
      <c r="Y1241" t="s">
        <v>20504</v>
      </c>
      <c r="Z1241" t="s">
        <v>26816</v>
      </c>
      <c r="AA1241">
        <v>0.54018912158618904</v>
      </c>
      <c r="AB1241" t="str">
        <f>HYPERLINK("Melting_Curves/meltCurve_O00220_TNFRSF10A.pdf", "Melting_Curves/meltCurve_O00220_TNFRSF10A.pdf")</f>
        <v>Melting_Curves/meltCurve_O00220_TNFRSF10A.pdf</v>
      </c>
    </row>
    <row r="1242" spans="1:28" x14ac:dyDescent="0.25">
      <c r="A1242" t="s">
        <v>1246</v>
      </c>
      <c r="B1242">
        <v>0.99673306730245903</v>
      </c>
      <c r="C1242">
        <v>0.962380025312225</v>
      </c>
      <c r="D1242">
        <v>0.76450505756122</v>
      </c>
      <c r="E1242">
        <v>0.42199369209610998</v>
      </c>
      <c r="F1242">
        <v>0.25938121234233003</v>
      </c>
      <c r="G1242">
        <v>0.16848415284833801</v>
      </c>
      <c r="H1242">
        <v>0.10513287045071899</v>
      </c>
      <c r="I1242">
        <v>8.99103618615925E-2</v>
      </c>
      <c r="J1242">
        <v>0.121790144282295</v>
      </c>
      <c r="K1242">
        <v>0.100888171786587</v>
      </c>
      <c r="L1242">
        <v>970.60223755551306</v>
      </c>
      <c r="M1242">
        <v>20.0590696153896</v>
      </c>
      <c r="N1242">
        <v>48.965438849654099</v>
      </c>
      <c r="O1242">
        <v>47.913995571726502</v>
      </c>
      <c r="P1242">
        <v>-9.3627557071250006E-2</v>
      </c>
      <c r="Q1242">
        <v>0.10545680903386501</v>
      </c>
      <c r="R1242">
        <v>0.99719179460336205</v>
      </c>
      <c r="S1242" t="s">
        <v>7694</v>
      </c>
      <c r="T1242" t="s">
        <v>12902</v>
      </c>
      <c r="U1242" t="s">
        <v>12902</v>
      </c>
      <c r="V1242" t="s">
        <v>12902</v>
      </c>
      <c r="W1242" t="s">
        <v>14117</v>
      </c>
      <c r="X1242">
        <v>7</v>
      </c>
      <c r="Y1242" t="s">
        <v>20505</v>
      </c>
      <c r="Z1242" t="s">
        <v>26817</v>
      </c>
      <c r="AA1242">
        <v>0.36809433893789112</v>
      </c>
      <c r="AB1242" t="str">
        <f>HYPERLINK("Melting_Curves/meltCurve_O00221_NFKBIE.pdf", "Melting_Curves/meltCurve_O00221_NFKBIE.pdf")</f>
        <v>Melting_Curves/meltCurve_O00221_NFKBIE.pdf</v>
      </c>
    </row>
    <row r="1243" spans="1:28" x14ac:dyDescent="0.25">
      <c r="A1243" t="s">
        <v>1247</v>
      </c>
      <c r="B1243">
        <v>0.99673306730245903</v>
      </c>
      <c r="C1243">
        <v>0.94275793123236096</v>
      </c>
      <c r="D1243">
        <v>0.98196869568883505</v>
      </c>
      <c r="E1243">
        <v>0.85082802671255098</v>
      </c>
      <c r="F1243">
        <v>0.58941816978598804</v>
      </c>
      <c r="G1243">
        <v>0.24328967251615599</v>
      </c>
      <c r="H1243">
        <v>0.102938150255714</v>
      </c>
      <c r="I1243">
        <v>7.8555480033137601E-2</v>
      </c>
      <c r="J1243">
        <v>8.4227747844425799E-2</v>
      </c>
      <c r="K1243">
        <v>6.9571935902496801E-2</v>
      </c>
      <c r="L1243">
        <v>1245.1662538465901</v>
      </c>
      <c r="M1243">
        <v>23.251424283164901</v>
      </c>
      <c r="N1243">
        <v>53.853427171835101</v>
      </c>
      <c r="O1243">
        <v>53.160852858166699</v>
      </c>
      <c r="P1243">
        <v>-0.10268020380972299</v>
      </c>
      <c r="Q1243">
        <v>6.0966027173222699E-2</v>
      </c>
      <c r="R1243">
        <v>0.99706536614742503</v>
      </c>
      <c r="S1243" t="s">
        <v>7695</v>
      </c>
      <c r="T1243" t="s">
        <v>12902</v>
      </c>
      <c r="U1243" t="s">
        <v>12902</v>
      </c>
      <c r="V1243" t="s">
        <v>12902</v>
      </c>
      <c r="W1243" t="s">
        <v>14118</v>
      </c>
      <c r="X1243">
        <v>21</v>
      </c>
      <c r="Y1243" t="s">
        <v>20506</v>
      </c>
      <c r="Z1243" t="s">
        <v>26818</v>
      </c>
      <c r="AA1243">
        <v>0.49506660515176409</v>
      </c>
      <c r="AB1243" t="str">
        <f>HYPERLINK("Melting_Curves/meltCurve_O00231_PSMD11.pdf", "Melting_Curves/meltCurve_O00231_PSMD11.pdf")</f>
        <v>Melting_Curves/meltCurve_O00231_PSMD11.pdf</v>
      </c>
    </row>
    <row r="1244" spans="1:28" x14ac:dyDescent="0.25">
      <c r="A1244" t="s">
        <v>1248</v>
      </c>
      <c r="B1244">
        <v>0.99673306730245903</v>
      </c>
      <c r="C1244">
        <v>0.71913242636940899</v>
      </c>
      <c r="D1244">
        <v>0.98579532444185203</v>
      </c>
      <c r="E1244">
        <v>0.80684217643891498</v>
      </c>
      <c r="F1244">
        <v>0.53275888027720297</v>
      </c>
      <c r="G1244">
        <v>0.199646733976208</v>
      </c>
      <c r="H1244">
        <v>7.4180565240050206E-2</v>
      </c>
      <c r="I1244">
        <v>6.5111168951468498E-2</v>
      </c>
      <c r="J1244">
        <v>7.0823430935399195E-2</v>
      </c>
      <c r="K1244">
        <v>6.4190937893044198E-2</v>
      </c>
      <c r="L1244">
        <v>1115.7364586377601</v>
      </c>
      <c r="M1244">
        <v>21.059621384164501</v>
      </c>
      <c r="N1244">
        <v>53.197802980036897</v>
      </c>
      <c r="O1244">
        <v>52.509127308368399</v>
      </c>
      <c r="P1244">
        <v>-9.6125557101176998E-2</v>
      </c>
      <c r="Q1244">
        <v>4.1324640512632599E-2</v>
      </c>
      <c r="R1244">
        <v>0.94499988037298299</v>
      </c>
      <c r="S1244" t="s">
        <v>7696</v>
      </c>
      <c r="T1244" t="s">
        <v>12902</v>
      </c>
      <c r="U1244" t="s">
        <v>12902</v>
      </c>
      <c r="V1244" t="s">
        <v>12902</v>
      </c>
      <c r="W1244" t="s">
        <v>14119</v>
      </c>
      <c r="X1244">
        <v>23</v>
      </c>
      <c r="Y1244" t="s">
        <v>20507</v>
      </c>
      <c r="Z1244" t="s">
        <v>26819</v>
      </c>
      <c r="AA1244">
        <v>0.4681678545379046</v>
      </c>
      <c r="AB1244" t="str">
        <f>HYPERLINK("Melting_Curves/meltCurve_O00232_PSMD12.pdf", "Melting_Curves/meltCurve_O00232_PSMD12.pdf")</f>
        <v>Melting_Curves/meltCurve_O00232_PSMD12.pdf</v>
      </c>
    </row>
    <row r="1245" spans="1:28" x14ac:dyDescent="0.25">
      <c r="A1245" t="s">
        <v>1249</v>
      </c>
      <c r="B1245">
        <v>0.99673306730245903</v>
      </c>
      <c r="C1245">
        <v>0.99485549541625196</v>
      </c>
      <c r="D1245">
        <v>0.98086325231125604</v>
      </c>
      <c r="E1245">
        <v>0.95369021218902705</v>
      </c>
      <c r="F1245">
        <v>0.75958384202509899</v>
      </c>
      <c r="G1245">
        <v>0.66433270072834705</v>
      </c>
      <c r="H1245">
        <v>0.52763290526345397</v>
      </c>
      <c r="I1245">
        <v>0.71877276995791395</v>
      </c>
      <c r="J1245">
        <v>0.90014553813767395</v>
      </c>
      <c r="K1245">
        <v>0.81597461278931704</v>
      </c>
      <c r="L1245">
        <v>2789.3440178744099</v>
      </c>
      <c r="M1245">
        <v>54.610282391474897</v>
      </c>
      <c r="O1245">
        <v>51.008913072416703</v>
      </c>
      <c r="P1245">
        <v>-7.3296115332442596E-2</v>
      </c>
      <c r="Q1245">
        <v>0.72615025838585201</v>
      </c>
      <c r="R1245">
        <v>0.64924568875541899</v>
      </c>
      <c r="S1245" t="s">
        <v>7697</v>
      </c>
      <c r="T1245" t="s">
        <v>12902</v>
      </c>
      <c r="U1245" t="s">
        <v>12902</v>
      </c>
      <c r="V1245" t="s">
        <v>12902</v>
      </c>
      <c r="W1245" t="s">
        <v>14120</v>
      </c>
      <c r="X1245">
        <v>9</v>
      </c>
      <c r="Y1245" t="s">
        <v>20508</v>
      </c>
      <c r="Z1245" t="s">
        <v>26820</v>
      </c>
      <c r="AA1245">
        <v>0.82778389680443742</v>
      </c>
      <c r="AB1245" t="str">
        <f>HYPERLINK("Melting_Curves/meltCurve_O00244_ATOX1.pdf", "Melting_Curves/meltCurve_O00244_ATOX1.pdf")</f>
        <v>Melting_Curves/meltCurve_O00244_ATOX1.pdf</v>
      </c>
    </row>
    <row r="1246" spans="1:28" x14ac:dyDescent="0.25">
      <c r="A1246" t="s">
        <v>1250</v>
      </c>
      <c r="B1246">
        <v>0.99673306730245903</v>
      </c>
      <c r="C1246">
        <v>0.88086336076861305</v>
      </c>
      <c r="D1246">
        <v>0.71546450971721098</v>
      </c>
      <c r="E1246">
        <v>0.50539617436422402</v>
      </c>
      <c r="F1246">
        <v>0.39505490600790799</v>
      </c>
      <c r="G1246">
        <v>0.25686949987484198</v>
      </c>
      <c r="H1246">
        <v>0.163015917971472</v>
      </c>
      <c r="I1246">
        <v>0.19619856509693301</v>
      </c>
      <c r="J1246">
        <v>0.25005469074995701</v>
      </c>
      <c r="K1246">
        <v>0.238675975732522</v>
      </c>
      <c r="L1246">
        <v>728.02720768530696</v>
      </c>
      <c r="M1246">
        <v>15.1497128585628</v>
      </c>
      <c r="N1246">
        <v>49.733858452711097</v>
      </c>
      <c r="O1246">
        <v>47.241534831908702</v>
      </c>
      <c r="P1246">
        <v>-6.4133356140988806E-2</v>
      </c>
      <c r="Q1246">
        <v>0.200126410996255</v>
      </c>
      <c r="R1246">
        <v>0.98627217648812804</v>
      </c>
      <c r="S1246" t="s">
        <v>7698</v>
      </c>
      <c r="T1246" t="s">
        <v>12902</v>
      </c>
      <c r="U1246" t="s">
        <v>12902</v>
      </c>
      <c r="V1246" t="s">
        <v>12902</v>
      </c>
      <c r="W1246" t="s">
        <v>14121</v>
      </c>
      <c r="X1246">
        <v>2</v>
      </c>
      <c r="Y1246" t="s">
        <v>20509</v>
      </c>
      <c r="Z1246" t="s">
        <v>26821</v>
      </c>
      <c r="AA1246">
        <v>0.4350368473640947</v>
      </c>
      <c r="AB1246" t="str">
        <f>HYPERLINK("Melting_Curves/meltCurve_O00257_CBX4.pdf", "Melting_Curves/meltCurve_O00257_CBX4.pdf")</f>
        <v>Melting_Curves/meltCurve_O00257_CBX4.pdf</v>
      </c>
    </row>
    <row r="1247" spans="1:28" x14ac:dyDescent="0.25">
      <c r="A1247" t="s">
        <v>1251</v>
      </c>
      <c r="B1247">
        <v>0.99673306730245903</v>
      </c>
      <c r="C1247">
        <v>0.97017593823867898</v>
      </c>
      <c r="D1247">
        <v>0.89246303842996599</v>
      </c>
      <c r="E1247">
        <v>0.71062623504047695</v>
      </c>
      <c r="F1247">
        <v>0.46763891467226198</v>
      </c>
      <c r="G1247">
        <v>0.36433275234183599</v>
      </c>
      <c r="H1247">
        <v>0.306623245806464</v>
      </c>
      <c r="I1247">
        <v>0.36574891731016002</v>
      </c>
      <c r="J1247">
        <v>0.48653940211374802</v>
      </c>
      <c r="K1247">
        <v>0.52089115921108997</v>
      </c>
      <c r="L1247">
        <v>1355.12644895782</v>
      </c>
      <c r="M1247">
        <v>27.462860939180398</v>
      </c>
      <c r="N1247">
        <v>52.532544565268203</v>
      </c>
      <c r="O1247">
        <v>49.084564889100797</v>
      </c>
      <c r="P1247">
        <v>-8.3144533104985402E-2</v>
      </c>
      <c r="Q1247">
        <v>0.40558637483489701</v>
      </c>
      <c r="R1247">
        <v>0.93948550846910805</v>
      </c>
      <c r="S1247" t="s">
        <v>7699</v>
      </c>
      <c r="T1247" t="s">
        <v>12902</v>
      </c>
      <c r="U1247" t="s">
        <v>12902</v>
      </c>
      <c r="V1247" t="s">
        <v>12902</v>
      </c>
      <c r="W1247" t="s">
        <v>14122</v>
      </c>
      <c r="X1247">
        <v>11</v>
      </c>
      <c r="Y1247" t="s">
        <v>20510</v>
      </c>
      <c r="Z1247" t="s">
        <v>26822</v>
      </c>
      <c r="AA1247">
        <v>0.5950838825998358</v>
      </c>
      <c r="AB1247" t="str">
        <f>HYPERLINK("Melting_Curves/meltCurve_O00264_PGRMC1.pdf", "Melting_Curves/meltCurve_O00264_PGRMC1.pdf")</f>
        <v>Melting_Curves/meltCurve_O00264_PGRMC1.pdf</v>
      </c>
    </row>
    <row r="1248" spans="1:28" x14ac:dyDescent="0.25">
      <c r="A1248" t="s">
        <v>1252</v>
      </c>
      <c r="B1248">
        <v>0.99673306730245903</v>
      </c>
      <c r="C1248">
        <v>0.95565454876300304</v>
      </c>
      <c r="D1248">
        <v>0.69178595472356197</v>
      </c>
      <c r="E1248">
        <v>0.68689198116708805</v>
      </c>
      <c r="F1248">
        <v>0.21564927403977999</v>
      </c>
      <c r="G1248">
        <v>0.146009386319401</v>
      </c>
      <c r="H1248">
        <v>0.101559782463805</v>
      </c>
      <c r="I1248">
        <v>8.6113560246724799E-2</v>
      </c>
      <c r="J1248">
        <v>9.0921426780353601E-2</v>
      </c>
      <c r="K1248">
        <v>8.41408513175224E-2</v>
      </c>
      <c r="L1248">
        <v>825.66886339089604</v>
      </c>
      <c r="M1248">
        <v>16.5861047127182</v>
      </c>
      <c r="N1248">
        <v>50.166279435659099</v>
      </c>
      <c r="O1248">
        <v>49.074023565888702</v>
      </c>
      <c r="P1248">
        <v>-7.9444872148030296E-2</v>
      </c>
      <c r="Q1248">
        <v>5.9836590212828097E-2</v>
      </c>
      <c r="R1248">
        <v>0.96744810635907397</v>
      </c>
      <c r="S1248" t="s">
        <v>7700</v>
      </c>
      <c r="T1248" t="s">
        <v>12902</v>
      </c>
      <c r="U1248" t="s">
        <v>12902</v>
      </c>
      <c r="V1248" t="s">
        <v>12902</v>
      </c>
      <c r="W1248" t="s">
        <v>14123</v>
      </c>
      <c r="X1248">
        <v>34</v>
      </c>
      <c r="Y1248" t="s">
        <v>20511</v>
      </c>
      <c r="Z1248" t="s">
        <v>26823</v>
      </c>
      <c r="AA1248">
        <v>0.38513185772148512</v>
      </c>
      <c r="AB1248" t="str">
        <f>HYPERLINK("Melting_Curves/meltCurve_O00267_2_SUPT5H.pdf", "Melting_Curves/meltCurve_O00267_2_SUPT5H.pdf")</f>
        <v>Melting_Curves/meltCurve_O00267_2_SUPT5H.pdf</v>
      </c>
    </row>
    <row r="1249" spans="1:28" x14ac:dyDescent="0.25">
      <c r="A1249" t="s">
        <v>1253</v>
      </c>
      <c r="B1249">
        <v>0.99673306730245903</v>
      </c>
      <c r="C1249">
        <v>0.99329126377079902</v>
      </c>
      <c r="D1249">
        <v>0.99615215452269001</v>
      </c>
      <c r="E1249">
        <v>0.94170405035129501</v>
      </c>
      <c r="F1249">
        <v>0.75504167232147301</v>
      </c>
      <c r="G1249">
        <v>0.46255884222110499</v>
      </c>
      <c r="H1249">
        <v>0.26561379581733902</v>
      </c>
      <c r="I1249">
        <v>0.28866915869918103</v>
      </c>
      <c r="J1249">
        <v>0.36933780590548898</v>
      </c>
      <c r="K1249">
        <v>0.35720754955354</v>
      </c>
      <c r="L1249">
        <v>1731.5887249234599</v>
      </c>
      <c r="M1249">
        <v>31.980011087568101</v>
      </c>
      <c r="N1249">
        <v>55.912048072414798</v>
      </c>
      <c r="O1249">
        <v>53.935584156530098</v>
      </c>
      <c r="P1249">
        <v>-0.101107658224719</v>
      </c>
      <c r="Q1249">
        <v>0.31791500332386702</v>
      </c>
      <c r="R1249">
        <v>0.98775118947671503</v>
      </c>
      <c r="S1249" t="s">
        <v>7701</v>
      </c>
      <c r="T1249" t="s">
        <v>12902</v>
      </c>
      <c r="U1249" t="s">
        <v>12902</v>
      </c>
      <c r="V1249" t="s">
        <v>12902</v>
      </c>
      <c r="W1249" t="s">
        <v>14124</v>
      </c>
      <c r="X1249">
        <v>22</v>
      </c>
      <c r="Y1249" t="s">
        <v>20512</v>
      </c>
      <c r="Z1249" t="s">
        <v>26824</v>
      </c>
      <c r="AA1249">
        <v>0.64350544656398412</v>
      </c>
      <c r="AB1249" t="str">
        <f>HYPERLINK("Melting_Curves/meltCurve_O00273_DFFA.pdf", "Melting_Curves/meltCurve_O00273_DFFA.pdf")</f>
        <v>Melting_Curves/meltCurve_O00273_DFFA.pdf</v>
      </c>
    </row>
    <row r="1250" spans="1:28" x14ac:dyDescent="0.25">
      <c r="A1250" t="s">
        <v>1254</v>
      </c>
      <c r="B1250">
        <v>0.99673306730245903</v>
      </c>
      <c r="C1250">
        <v>1.1084123149532501</v>
      </c>
      <c r="D1250">
        <v>1.0537029572710701</v>
      </c>
      <c r="E1250">
        <v>0.92332911218855296</v>
      </c>
      <c r="F1250">
        <v>0.61558204748012102</v>
      </c>
      <c r="G1250">
        <v>0.41909113319946401</v>
      </c>
      <c r="H1250">
        <v>0.24982693412413001</v>
      </c>
      <c r="I1250">
        <v>0.285528386628426</v>
      </c>
      <c r="J1250">
        <v>0.41029788457315702</v>
      </c>
      <c r="K1250">
        <v>0.41972650927099697</v>
      </c>
      <c r="L1250">
        <v>1859.9287426728199</v>
      </c>
      <c r="M1250">
        <v>35.309155301822202</v>
      </c>
      <c r="N1250">
        <v>54.488995734115299</v>
      </c>
      <c r="O1250">
        <v>52.507432999401701</v>
      </c>
      <c r="P1250">
        <v>-0.110013066835791</v>
      </c>
      <c r="Q1250">
        <v>0.345610619903986</v>
      </c>
      <c r="R1250">
        <v>0.96135028886856799</v>
      </c>
      <c r="S1250" t="s">
        <v>7702</v>
      </c>
      <c r="T1250" t="s">
        <v>12902</v>
      </c>
      <c r="U1250" t="s">
        <v>12902</v>
      </c>
      <c r="V1250" t="s">
        <v>12902</v>
      </c>
      <c r="W1250" t="s">
        <v>14125</v>
      </c>
      <c r="X1250">
        <v>16</v>
      </c>
      <c r="Y1250" t="s">
        <v>20512</v>
      </c>
      <c r="Z1250" t="s">
        <v>26825</v>
      </c>
      <c r="AA1250">
        <v>0.62515859320724965</v>
      </c>
      <c r="AB1250" t="str">
        <f>HYPERLINK("Melting_Curves/meltCurve_O00273_2_DFFA.pdf", "Melting_Curves/meltCurve_O00273_2_DFFA.pdf")</f>
        <v>Melting_Curves/meltCurve_O00273_2_DFFA.pdf</v>
      </c>
    </row>
    <row r="1251" spans="1:28" x14ac:dyDescent="0.25">
      <c r="A1251" t="s">
        <v>1255</v>
      </c>
      <c r="B1251">
        <v>0.99673306730245903</v>
      </c>
      <c r="C1251">
        <v>0.97622626063706797</v>
      </c>
      <c r="D1251">
        <v>0.89662322893004098</v>
      </c>
      <c r="E1251">
        <v>0.82603028990210603</v>
      </c>
      <c r="F1251">
        <v>0.67609581822707898</v>
      </c>
      <c r="G1251">
        <v>0.45715597232414101</v>
      </c>
      <c r="H1251">
        <v>0.26442292287841102</v>
      </c>
      <c r="I1251">
        <v>0.35019962980518798</v>
      </c>
      <c r="J1251">
        <v>0.58136629321014699</v>
      </c>
      <c r="K1251">
        <v>0.59681724854737594</v>
      </c>
      <c r="L1251">
        <v>1224.1364152173901</v>
      </c>
      <c r="M1251">
        <v>23.841534735456701</v>
      </c>
      <c r="N1251">
        <v>56.569489050615502</v>
      </c>
      <c r="O1251">
        <v>50.987559138372099</v>
      </c>
      <c r="P1251">
        <v>-6.4913764288912504E-2</v>
      </c>
      <c r="Q1251">
        <v>0.44471008047208999</v>
      </c>
      <c r="R1251">
        <v>0.83497578296863795</v>
      </c>
      <c r="S1251" t="s">
        <v>7703</v>
      </c>
      <c r="T1251" t="s">
        <v>12902</v>
      </c>
      <c r="U1251" t="s">
        <v>12902</v>
      </c>
      <c r="V1251" t="s">
        <v>12902</v>
      </c>
      <c r="W1251" t="s">
        <v>14126</v>
      </c>
      <c r="X1251">
        <v>3</v>
      </c>
      <c r="Y1251" t="s">
        <v>20513</v>
      </c>
      <c r="Z1251" t="s">
        <v>26826</v>
      </c>
      <c r="AA1251">
        <v>0.66021849651954301</v>
      </c>
      <c r="AB1251" t="str">
        <f>HYPERLINK("Melting_Curves/meltCurve_O00287_RFXAP.pdf", "Melting_Curves/meltCurve_O00287_RFXAP.pdf")</f>
        <v>Melting_Curves/meltCurve_O00287_RFXAP.pdf</v>
      </c>
    </row>
    <row r="1252" spans="1:28" x14ac:dyDescent="0.25">
      <c r="A1252" t="s">
        <v>1256</v>
      </c>
      <c r="B1252">
        <v>0.99673306730245903</v>
      </c>
      <c r="C1252">
        <v>0.98754237162207203</v>
      </c>
      <c r="D1252">
        <v>0.92581484835474204</v>
      </c>
      <c r="E1252">
        <v>0.68953373855745503</v>
      </c>
      <c r="F1252">
        <v>0.195498764831811</v>
      </c>
      <c r="G1252">
        <v>0.13154494438983899</v>
      </c>
      <c r="H1252">
        <v>8.3494482491731498E-2</v>
      </c>
      <c r="I1252">
        <v>8.2481851653571706E-2</v>
      </c>
      <c r="J1252">
        <v>9.6186186580831196E-2</v>
      </c>
      <c r="K1252">
        <v>9.5401470237099398E-2</v>
      </c>
      <c r="L1252">
        <v>1774.7537005829399</v>
      </c>
      <c r="M1252">
        <v>35.197249581308199</v>
      </c>
      <c r="N1252">
        <v>50.712478196347902</v>
      </c>
      <c r="O1252">
        <v>50.261148524254203</v>
      </c>
      <c r="P1252">
        <v>-0.159143834704772</v>
      </c>
      <c r="Q1252">
        <v>9.0983120285897098E-2</v>
      </c>
      <c r="R1252">
        <v>0.99774788293967998</v>
      </c>
      <c r="S1252" t="s">
        <v>7704</v>
      </c>
      <c r="T1252" t="s">
        <v>12902</v>
      </c>
      <c r="U1252" t="s">
        <v>12902</v>
      </c>
      <c r="V1252" t="s">
        <v>12902</v>
      </c>
      <c r="W1252" t="s">
        <v>14127</v>
      </c>
      <c r="X1252">
        <v>23</v>
      </c>
      <c r="Y1252" t="s">
        <v>20514</v>
      </c>
      <c r="Z1252" t="s">
        <v>26827</v>
      </c>
      <c r="AA1252">
        <v>0.4109099482477625</v>
      </c>
      <c r="AB1252" t="str">
        <f>HYPERLINK("Melting_Curves/meltCurve_O00291_HIP1.pdf", "Melting_Curves/meltCurve_O00291_HIP1.pdf")</f>
        <v>Melting_Curves/meltCurve_O00291_HIP1.pdf</v>
      </c>
    </row>
    <row r="1253" spans="1:28" x14ac:dyDescent="0.25">
      <c r="A1253" t="s">
        <v>1257</v>
      </c>
      <c r="B1253">
        <v>0.99673306730245903</v>
      </c>
      <c r="C1253">
        <v>0.94120373931440604</v>
      </c>
      <c r="D1253">
        <v>0.97204133409929006</v>
      </c>
      <c r="E1253">
        <v>0.96472835148967795</v>
      </c>
      <c r="F1253">
        <v>0.44736960406952903</v>
      </c>
      <c r="G1253">
        <v>0.120013170224876</v>
      </c>
      <c r="H1253">
        <v>5.8945912627818502E-2</v>
      </c>
      <c r="I1253">
        <v>5.07613570981462E-2</v>
      </c>
      <c r="J1253">
        <v>4.7355001508592301E-2</v>
      </c>
      <c r="K1253">
        <v>4.2039008570659099E-2</v>
      </c>
      <c r="L1253">
        <v>2282.4203584214802</v>
      </c>
      <c r="M1253">
        <v>43.2061710045326</v>
      </c>
      <c r="N1253">
        <v>52.9644936614729</v>
      </c>
      <c r="O1253">
        <v>52.713458798620799</v>
      </c>
      <c r="P1253">
        <v>-0.19398373745115899</v>
      </c>
      <c r="Q1253">
        <v>5.3325966085758202E-2</v>
      </c>
      <c r="R1253">
        <v>0.99711722569419603</v>
      </c>
      <c r="S1253" t="s">
        <v>7705</v>
      </c>
      <c r="T1253" t="s">
        <v>12902</v>
      </c>
      <c r="U1253" t="s">
        <v>12902</v>
      </c>
      <c r="V1253" t="s">
        <v>12902</v>
      </c>
      <c r="W1253" t="s">
        <v>14128</v>
      </c>
      <c r="X1253">
        <v>20</v>
      </c>
      <c r="Y1253" t="s">
        <v>20515</v>
      </c>
      <c r="Z1253" t="s">
        <v>26828</v>
      </c>
      <c r="AA1253">
        <v>0.46102692489171371</v>
      </c>
      <c r="AB1253" t="str">
        <f>HYPERLINK("Melting_Curves/meltCurve_O00299_CLIC1.pdf", "Melting_Curves/meltCurve_O00299_CLIC1.pdf")</f>
        <v>Melting_Curves/meltCurve_O00299_CLIC1.pdf</v>
      </c>
    </row>
    <row r="1254" spans="1:28" x14ac:dyDescent="0.25">
      <c r="A1254" t="s">
        <v>1258</v>
      </c>
      <c r="B1254">
        <v>0.99673306730245903</v>
      </c>
      <c r="C1254">
        <v>0.98628797849341499</v>
      </c>
      <c r="D1254">
        <v>0.93146115295185705</v>
      </c>
      <c r="E1254">
        <v>0.76639451502081601</v>
      </c>
      <c r="F1254">
        <v>0.46213284964356</v>
      </c>
      <c r="G1254">
        <v>0.33714317159387402</v>
      </c>
      <c r="H1254">
        <v>0.153117270083444</v>
      </c>
      <c r="I1254">
        <v>0.14524644699427</v>
      </c>
      <c r="J1254">
        <v>0.20570452860531999</v>
      </c>
      <c r="K1254">
        <v>0.114409508414657</v>
      </c>
      <c r="L1254">
        <v>956.959276209466</v>
      </c>
      <c r="M1254">
        <v>18.3538033818574</v>
      </c>
      <c r="N1254">
        <v>53.042108239702102</v>
      </c>
      <c r="O1254">
        <v>51.532433106596201</v>
      </c>
      <c r="P1254">
        <v>-7.7101388844716096E-2</v>
      </c>
      <c r="Q1254">
        <v>0.13412175980100099</v>
      </c>
      <c r="R1254">
        <v>0.99291238815178295</v>
      </c>
      <c r="S1254" t="s">
        <v>7706</v>
      </c>
      <c r="T1254" t="s">
        <v>12902</v>
      </c>
      <c r="U1254" t="s">
        <v>12902</v>
      </c>
      <c r="V1254" t="s">
        <v>12902</v>
      </c>
      <c r="W1254" t="s">
        <v>14129</v>
      </c>
      <c r="X1254">
        <v>2</v>
      </c>
      <c r="Y1254" t="s">
        <v>20516</v>
      </c>
      <c r="Z1254" t="s">
        <v>26829</v>
      </c>
      <c r="AA1254">
        <v>0.49841373364999358</v>
      </c>
      <c r="AB1254" t="str">
        <f>HYPERLINK("Melting_Curves/meltCurve_O00300_TNFRSF11B.pdf", "Melting_Curves/meltCurve_O00300_TNFRSF11B.pdf")</f>
        <v>Melting_Curves/meltCurve_O00300_TNFRSF11B.pdf</v>
      </c>
    </row>
    <row r="1255" spans="1:28" x14ac:dyDescent="0.25">
      <c r="A1255" t="s">
        <v>1259</v>
      </c>
      <c r="B1255">
        <v>0.99673306730245903</v>
      </c>
      <c r="C1255">
        <v>0.90362475968601297</v>
      </c>
      <c r="D1255">
        <v>0.83345694315124097</v>
      </c>
      <c r="E1255">
        <v>0.76362739904555599</v>
      </c>
      <c r="F1255">
        <v>1.0986750738075799</v>
      </c>
      <c r="G1255">
        <v>0.94965018188071304</v>
      </c>
      <c r="H1255">
        <v>0.63658495674657101</v>
      </c>
      <c r="I1255">
        <v>9.7560618979058294E-2</v>
      </c>
      <c r="J1255">
        <v>7.3466966258004196E-2</v>
      </c>
      <c r="K1255">
        <v>6.12497435789702E-2</v>
      </c>
      <c r="L1255">
        <v>4261.9333926596601</v>
      </c>
      <c r="M1255">
        <v>69.650852182406098</v>
      </c>
      <c r="N1255">
        <v>61.308520535763897</v>
      </c>
      <c r="O1255">
        <v>61.139599003249501</v>
      </c>
      <c r="P1255">
        <v>-0.26685906731488002</v>
      </c>
      <c r="Q1255">
        <v>6.3003646285728507E-2</v>
      </c>
      <c r="R1255">
        <v>0.93033486113082797</v>
      </c>
      <c r="S1255" t="s">
        <v>7707</v>
      </c>
      <c r="T1255" t="s">
        <v>12902</v>
      </c>
      <c r="U1255" t="s">
        <v>12902</v>
      </c>
      <c r="V1255" t="s">
        <v>12902</v>
      </c>
      <c r="W1255" t="s">
        <v>14130</v>
      </c>
      <c r="X1255">
        <v>3</v>
      </c>
      <c r="Y1255" t="s">
        <v>20517</v>
      </c>
      <c r="Z1255" t="s">
        <v>26830</v>
      </c>
      <c r="AA1255">
        <v>0.72612836917981816</v>
      </c>
      <c r="AB1255" t="str">
        <f>HYPERLINK("Melting_Curves/meltCurve_O00308_WWP2.pdf", "Melting_Curves/meltCurve_O00308_WWP2.pdf")</f>
        <v>Melting_Curves/meltCurve_O00308_WWP2.pdf</v>
      </c>
    </row>
    <row r="1256" spans="1:28" x14ac:dyDescent="0.25">
      <c r="A1256" t="s">
        <v>1260</v>
      </c>
      <c r="B1256">
        <v>0.99673306730245903</v>
      </c>
      <c r="C1256">
        <v>1.00333425731434</v>
      </c>
      <c r="D1256">
        <v>0.93615534618988605</v>
      </c>
      <c r="E1256">
        <v>1.0480452592240901</v>
      </c>
      <c r="F1256">
        <v>0.90341634502658197</v>
      </c>
      <c r="G1256">
        <v>0.51569447367620402</v>
      </c>
      <c r="H1256">
        <v>0.22204025496166299</v>
      </c>
      <c r="I1256">
        <v>0.186062668701659</v>
      </c>
      <c r="J1256">
        <v>0.192851546159198</v>
      </c>
      <c r="K1256">
        <v>0.144122447467943</v>
      </c>
      <c r="L1256">
        <v>2047.2535893935301</v>
      </c>
      <c r="M1256">
        <v>36.382017525337503</v>
      </c>
      <c r="N1256">
        <v>56.921082643819297</v>
      </c>
      <c r="O1256">
        <v>56.1018336300653</v>
      </c>
      <c r="P1256">
        <v>-0.134565129099387</v>
      </c>
      <c r="Q1256">
        <v>0.16999351402347801</v>
      </c>
      <c r="R1256">
        <v>0.99421684218429396</v>
      </c>
      <c r="S1256" t="s">
        <v>7708</v>
      </c>
      <c r="T1256" t="s">
        <v>12902</v>
      </c>
      <c r="U1256" t="s">
        <v>12902</v>
      </c>
      <c r="V1256" t="s">
        <v>12902</v>
      </c>
      <c r="W1256" t="s">
        <v>14131</v>
      </c>
      <c r="X1256">
        <v>19</v>
      </c>
      <c r="Y1256" t="s">
        <v>20518</v>
      </c>
      <c r="Z1256" t="s">
        <v>26831</v>
      </c>
      <c r="AA1256">
        <v>0.6240162956108557</v>
      </c>
      <c r="AB1256" t="str">
        <f>HYPERLINK("Melting_Curves/meltCurve_O00330_PDHX.pdf", "Melting_Curves/meltCurve_O00330_PDHX.pdf")</f>
        <v>Melting_Curves/meltCurve_O00330_PDHX.pdf</v>
      </c>
    </row>
    <row r="1257" spans="1:28" x14ac:dyDescent="0.25">
      <c r="A1257" t="s">
        <v>1261</v>
      </c>
      <c r="B1257">
        <v>0.99673306730245903</v>
      </c>
      <c r="C1257">
        <v>0.96879939827601502</v>
      </c>
      <c r="D1257">
        <v>0.94502839864722199</v>
      </c>
      <c r="E1257">
        <v>0.93880952952074104</v>
      </c>
      <c r="F1257">
        <v>0.83720859903397205</v>
      </c>
      <c r="G1257">
        <v>0.65533997442877401</v>
      </c>
      <c r="H1257">
        <v>0.485559983878108</v>
      </c>
      <c r="I1257">
        <v>0.50727788628050297</v>
      </c>
      <c r="J1257">
        <v>0.36870736640832102</v>
      </c>
      <c r="K1257">
        <v>0.24709624592296001</v>
      </c>
      <c r="L1257">
        <v>574.80779795997205</v>
      </c>
      <c r="M1257">
        <v>9.4265659169255205</v>
      </c>
      <c r="N1257">
        <v>61.983998158588498</v>
      </c>
      <c r="O1257">
        <v>58.422196945335301</v>
      </c>
      <c r="P1257">
        <v>-3.7498178970975501E-2</v>
      </c>
      <c r="Q1257">
        <v>7.0969352511920103E-2</v>
      </c>
      <c r="R1257">
        <v>0.98020011686969799</v>
      </c>
      <c r="S1257" t="s">
        <v>7709</v>
      </c>
      <c r="T1257" t="s">
        <v>12902</v>
      </c>
      <c r="U1257" t="s">
        <v>12902</v>
      </c>
      <c r="V1257" t="s">
        <v>12902</v>
      </c>
      <c r="W1257" t="s">
        <v>14132</v>
      </c>
      <c r="X1257">
        <v>7</v>
      </c>
      <c r="Y1257" t="s">
        <v>20519</v>
      </c>
      <c r="Z1257" t="s">
        <v>26832</v>
      </c>
      <c r="AA1257">
        <v>0.70653258413712416</v>
      </c>
      <c r="AB1257" t="str">
        <f>HYPERLINK("Melting_Curves/meltCurve_O00391_QSOX1.pdf", "Melting_Curves/meltCurve_O00391_QSOX1.pdf")</f>
        <v>Melting_Curves/meltCurve_O00391_QSOX1.pdf</v>
      </c>
    </row>
    <row r="1258" spans="1:28" x14ac:dyDescent="0.25">
      <c r="A1258" t="s">
        <v>1262</v>
      </c>
      <c r="B1258">
        <v>0.99673306730245903</v>
      </c>
      <c r="C1258">
        <v>0.92064632903657395</v>
      </c>
      <c r="D1258">
        <v>1.02351060406049</v>
      </c>
      <c r="E1258">
        <v>1.0312124748787701</v>
      </c>
      <c r="F1258">
        <v>0.94355084574389403</v>
      </c>
      <c r="G1258">
        <v>0.79853799293351402</v>
      </c>
      <c r="H1258">
        <v>0.81159043384114304</v>
      </c>
      <c r="I1258">
        <v>0.92230846920203302</v>
      </c>
      <c r="J1258">
        <v>0.60602079169012402</v>
      </c>
      <c r="K1258">
        <v>0.19846819374999999</v>
      </c>
      <c r="L1258">
        <v>2604.4922175787601</v>
      </c>
      <c r="M1258">
        <v>38.463293974164998</v>
      </c>
      <c r="N1258">
        <v>67.7137144206785</v>
      </c>
      <c r="O1258">
        <v>67.531448303034594</v>
      </c>
      <c r="P1258">
        <v>-0.14239065296252501</v>
      </c>
      <c r="Q1258">
        <v>0</v>
      </c>
      <c r="R1258">
        <v>0.85723319312309698</v>
      </c>
      <c r="S1258" t="s">
        <v>7710</v>
      </c>
      <c r="T1258" t="s">
        <v>12902</v>
      </c>
      <c r="U1258" t="s">
        <v>12902</v>
      </c>
      <c r="V1258" t="s">
        <v>12902</v>
      </c>
      <c r="W1258" t="s">
        <v>14133</v>
      </c>
      <c r="X1258">
        <v>4</v>
      </c>
      <c r="Y1258" t="s">
        <v>20520</v>
      </c>
      <c r="Z1258" t="s">
        <v>26833</v>
      </c>
      <c r="AA1258">
        <v>0.91216236410820761</v>
      </c>
      <c r="AB1258" t="str">
        <f>HYPERLINK("Melting_Curves/meltCurve_O00399_DCTN6.pdf", "Melting_Curves/meltCurve_O00399_DCTN6.pdf")</f>
        <v>Melting_Curves/meltCurve_O00399_DCTN6.pdf</v>
      </c>
    </row>
    <row r="1259" spans="1:28" x14ac:dyDescent="0.25">
      <c r="A1259" t="s">
        <v>1263</v>
      </c>
      <c r="B1259">
        <v>0.99673306730245903</v>
      </c>
      <c r="C1259">
        <v>0.90649122947995597</v>
      </c>
      <c r="D1259">
        <v>0.85898834799941004</v>
      </c>
      <c r="E1259">
        <v>0.682320304298355</v>
      </c>
      <c r="F1259">
        <v>0.58512013235087201</v>
      </c>
      <c r="G1259">
        <v>0.46299564682858102</v>
      </c>
      <c r="H1259">
        <v>0.34626536460987101</v>
      </c>
      <c r="I1259">
        <v>0.25184003796421101</v>
      </c>
      <c r="J1259">
        <v>0.237821929328074</v>
      </c>
      <c r="K1259">
        <v>0.219802013282899</v>
      </c>
      <c r="L1259">
        <v>499.30344171637802</v>
      </c>
      <c r="M1259">
        <v>9.3274864048320705</v>
      </c>
      <c r="N1259">
        <v>55.1883805548187</v>
      </c>
      <c r="O1259">
        <v>51.2426026339743</v>
      </c>
      <c r="P1259">
        <v>-3.9971143701169498E-2</v>
      </c>
      <c r="Q1259">
        <v>0.122195677910221</v>
      </c>
      <c r="R1259">
        <v>0.99494666817410204</v>
      </c>
      <c r="S1259" t="s">
        <v>7711</v>
      </c>
      <c r="T1259" t="s">
        <v>12902</v>
      </c>
      <c r="U1259" t="s">
        <v>12902</v>
      </c>
      <c r="V1259" t="s">
        <v>12902</v>
      </c>
      <c r="W1259" t="s">
        <v>14134</v>
      </c>
      <c r="X1259">
        <v>5</v>
      </c>
      <c r="Y1259" t="s">
        <v>20521</v>
      </c>
      <c r="Z1259" t="s">
        <v>26834</v>
      </c>
      <c r="AA1259">
        <v>0.54780125719665917</v>
      </c>
      <c r="AB1259" t="str">
        <f>HYPERLINK("Melting_Curves/meltCurve_O00400_SLC33A1.pdf", "Melting_Curves/meltCurve_O00400_SLC33A1.pdf")</f>
        <v>Melting_Curves/meltCurve_O00400_SLC33A1.pdf</v>
      </c>
    </row>
    <row r="1260" spans="1:28" x14ac:dyDescent="0.25">
      <c r="A1260" t="s">
        <v>1264</v>
      </c>
      <c r="B1260">
        <v>0.99673306730245903</v>
      </c>
      <c r="C1260">
        <v>0.89821797226262801</v>
      </c>
      <c r="D1260">
        <v>0.88383733262802899</v>
      </c>
      <c r="E1260">
        <v>0.64199325187231804</v>
      </c>
      <c r="F1260">
        <v>0.229405907202966</v>
      </c>
      <c r="G1260">
        <v>0.15927195133031799</v>
      </c>
      <c r="H1260">
        <v>0.11008856026026</v>
      </c>
      <c r="I1260">
        <v>0.120977505886355</v>
      </c>
      <c r="J1260">
        <v>0.128527341729609</v>
      </c>
      <c r="K1260">
        <v>0.136612165418075</v>
      </c>
      <c r="L1260">
        <v>1284.5856310413801</v>
      </c>
      <c r="M1260">
        <v>25.6986073047538</v>
      </c>
      <c r="N1260">
        <v>50.507527014411401</v>
      </c>
      <c r="O1260">
        <v>49.686849474695798</v>
      </c>
      <c r="P1260">
        <v>-0.114250316158289</v>
      </c>
      <c r="Q1260">
        <v>0.11642373746481</v>
      </c>
      <c r="R1260">
        <v>0.98989078747231196</v>
      </c>
      <c r="S1260" t="s">
        <v>7712</v>
      </c>
      <c r="T1260" t="s">
        <v>12902</v>
      </c>
      <c r="U1260" t="s">
        <v>12902</v>
      </c>
      <c r="V1260" t="s">
        <v>12902</v>
      </c>
      <c r="W1260" t="s">
        <v>14135</v>
      </c>
      <c r="X1260">
        <v>11</v>
      </c>
      <c r="Y1260" t="s">
        <v>20522</v>
      </c>
      <c r="Z1260" t="s">
        <v>26835</v>
      </c>
      <c r="AA1260">
        <v>0.41802397945025233</v>
      </c>
      <c r="AB1260" t="str">
        <f>HYPERLINK("Melting_Curves/meltCurve_O00401_WASL.pdf", "Melting_Curves/meltCurve_O00401_WASL.pdf")</f>
        <v>Melting_Curves/meltCurve_O00401_WASL.pdf</v>
      </c>
    </row>
    <row r="1261" spans="1:28" x14ac:dyDescent="0.25">
      <c r="A1261" t="s">
        <v>1265</v>
      </c>
      <c r="B1261">
        <v>0.99673306730245903</v>
      </c>
      <c r="C1261">
        <v>0.99401187144837</v>
      </c>
      <c r="D1261">
        <v>0.83999110999906301</v>
      </c>
      <c r="E1261">
        <v>0.81779712465855603</v>
      </c>
      <c r="F1261">
        <v>0.230706401785187</v>
      </c>
      <c r="G1261">
        <v>0.10970333004675401</v>
      </c>
      <c r="H1261">
        <v>5.8619337844979302E-2</v>
      </c>
      <c r="I1261">
        <v>4.9083006666870398E-2</v>
      </c>
      <c r="J1261">
        <v>4.7524708278789102E-2</v>
      </c>
      <c r="K1261">
        <v>3.8099615328622098E-2</v>
      </c>
      <c r="L1261">
        <v>1849.4619228198401</v>
      </c>
      <c r="M1261">
        <v>36.054513013603597</v>
      </c>
      <c r="N1261">
        <v>51.449798400540701</v>
      </c>
      <c r="O1261">
        <v>51.139228144842299</v>
      </c>
      <c r="P1261">
        <v>-0.16726766078069499</v>
      </c>
      <c r="Q1261">
        <v>5.1002322172668701E-2</v>
      </c>
      <c r="R1261">
        <v>0.98575813032122395</v>
      </c>
      <c r="S1261" t="s">
        <v>7713</v>
      </c>
      <c r="T1261" t="s">
        <v>12902</v>
      </c>
      <c r="U1261" t="s">
        <v>12902</v>
      </c>
      <c r="V1261" t="s">
        <v>12902</v>
      </c>
      <c r="W1261" t="s">
        <v>14136</v>
      </c>
      <c r="X1261">
        <v>51</v>
      </c>
      <c r="Y1261" t="s">
        <v>20523</v>
      </c>
      <c r="Z1261" t="s">
        <v>26836</v>
      </c>
      <c r="AA1261">
        <v>0.41248646796934169</v>
      </c>
      <c r="AB1261" t="str">
        <f>HYPERLINK("Melting_Curves/meltCurve_O00410_IPO5.pdf", "Melting_Curves/meltCurve_O00410_IPO5.pdf")</f>
        <v>Melting_Curves/meltCurve_O00410_IPO5.pdf</v>
      </c>
    </row>
    <row r="1262" spans="1:28" x14ac:dyDescent="0.25">
      <c r="A1262" t="s">
        <v>1266</v>
      </c>
      <c r="B1262">
        <v>0.99673306730245903</v>
      </c>
      <c r="C1262">
        <v>0.88817325839995398</v>
      </c>
      <c r="D1262">
        <v>0.52462619225982798</v>
      </c>
      <c r="E1262">
        <v>0.35763899824825901</v>
      </c>
      <c r="F1262">
        <v>0.27707460489403701</v>
      </c>
      <c r="G1262">
        <v>0.17454450860269299</v>
      </c>
      <c r="H1262">
        <v>0.122382418309085</v>
      </c>
      <c r="I1262">
        <v>9.9951509349606199E-2</v>
      </c>
      <c r="J1262">
        <v>9.35719163814627E-2</v>
      </c>
      <c r="K1262">
        <v>0.103402220795904</v>
      </c>
      <c r="L1262">
        <v>781.44345915261397</v>
      </c>
      <c r="M1262">
        <v>16.7626808751243</v>
      </c>
      <c r="N1262">
        <v>47.332245978197101</v>
      </c>
      <c r="O1262">
        <v>45.969744430200201</v>
      </c>
      <c r="P1262">
        <v>-8.0980396680246494E-2</v>
      </c>
      <c r="Q1262">
        <v>0.11173995501742</v>
      </c>
      <c r="R1262">
        <v>0.98202335165279397</v>
      </c>
      <c r="S1262" t="s">
        <v>7714</v>
      </c>
      <c r="T1262" t="s">
        <v>12902</v>
      </c>
      <c r="U1262" t="s">
        <v>12902</v>
      </c>
      <c r="V1262" t="s">
        <v>12902</v>
      </c>
      <c r="W1262" t="s">
        <v>14137</v>
      </c>
      <c r="X1262">
        <v>2</v>
      </c>
      <c r="Y1262" t="s">
        <v>20524</v>
      </c>
      <c r="Z1262" t="s">
        <v>26837</v>
      </c>
      <c r="AA1262">
        <v>0.32723726785060891</v>
      </c>
      <c r="AB1262" t="str">
        <f>HYPERLINK("Melting_Curves/meltCurve_O00418_EEF2K.pdf", "Melting_Curves/meltCurve_O00418_EEF2K.pdf")</f>
        <v>Melting_Curves/meltCurve_O00418_EEF2K.pdf</v>
      </c>
    </row>
    <row r="1263" spans="1:28" x14ac:dyDescent="0.25">
      <c r="A1263" t="s">
        <v>1267</v>
      </c>
      <c r="B1263">
        <v>0.99673306730245903</v>
      </c>
      <c r="C1263">
        <v>0.82198022362163503</v>
      </c>
      <c r="D1263">
        <v>0.66622253111468199</v>
      </c>
      <c r="E1263">
        <v>0.402278325987876</v>
      </c>
      <c r="F1263">
        <v>0.202369877065113</v>
      </c>
      <c r="G1263">
        <v>0.11319953888430501</v>
      </c>
      <c r="H1263">
        <v>8.5552327453655402E-2</v>
      </c>
      <c r="I1263">
        <v>0.11575975650702899</v>
      </c>
      <c r="J1263">
        <v>0.12617644853538301</v>
      </c>
      <c r="K1263">
        <v>0.18582606231838</v>
      </c>
      <c r="L1263">
        <v>835.92396523314301</v>
      </c>
      <c r="M1263">
        <v>17.722936756642099</v>
      </c>
      <c r="N1263">
        <v>47.852098895804801</v>
      </c>
      <c r="O1263">
        <v>46.578018875627201</v>
      </c>
      <c r="P1263">
        <v>-8.4459643346911903E-2</v>
      </c>
      <c r="Q1263">
        <v>0.11216598363725699</v>
      </c>
      <c r="R1263">
        <v>0.98709729569221805</v>
      </c>
      <c r="S1263" t="s">
        <v>7715</v>
      </c>
      <c r="T1263" t="s">
        <v>12902</v>
      </c>
      <c r="U1263" t="s">
        <v>12902</v>
      </c>
      <c r="V1263" t="s">
        <v>12902</v>
      </c>
      <c r="W1263" t="s">
        <v>14138</v>
      </c>
      <c r="X1263">
        <v>6</v>
      </c>
      <c r="Y1263" t="s">
        <v>20525</v>
      </c>
      <c r="Z1263" t="s">
        <v>26838</v>
      </c>
      <c r="AA1263">
        <v>0.34105188649344581</v>
      </c>
      <c r="AB1263" t="str">
        <f>HYPERLINK("Melting_Curves/meltCurve_O00422_SAP18.pdf", "Melting_Curves/meltCurve_O00422_SAP18.pdf")</f>
        <v>Melting_Curves/meltCurve_O00422_SAP18.pdf</v>
      </c>
    </row>
    <row r="1264" spans="1:28" x14ac:dyDescent="0.25">
      <c r="A1264" t="s">
        <v>1268</v>
      </c>
      <c r="B1264">
        <v>0.99673306730245903</v>
      </c>
      <c r="C1264">
        <v>0.98423361390551101</v>
      </c>
      <c r="D1264">
        <v>1.8110941960826199</v>
      </c>
      <c r="E1264">
        <v>0.61256797787443595</v>
      </c>
      <c r="F1264">
        <v>0.43383358082440199</v>
      </c>
      <c r="G1264">
        <v>0.26860750813059903</v>
      </c>
      <c r="H1264">
        <v>0.16495855860683301</v>
      </c>
      <c r="I1264">
        <v>0.155245025058762</v>
      </c>
      <c r="J1264">
        <v>0.17229981266390301</v>
      </c>
      <c r="K1264">
        <v>0.17848399691229999</v>
      </c>
      <c r="L1264">
        <v>7217.1837565808601</v>
      </c>
      <c r="M1264">
        <v>145.517057360134</v>
      </c>
      <c r="N1264">
        <v>49.8063229998521</v>
      </c>
      <c r="O1264">
        <v>49.5874469588925</v>
      </c>
      <c r="P1264">
        <v>-0.56571520726737201</v>
      </c>
      <c r="Q1264">
        <v>0.22889099519223699</v>
      </c>
      <c r="R1264">
        <v>0.72966348206857201</v>
      </c>
      <c r="S1264" t="s">
        <v>7716</v>
      </c>
      <c r="T1264" t="s">
        <v>12902</v>
      </c>
      <c r="U1264" t="s">
        <v>12902</v>
      </c>
      <c r="V1264" t="s">
        <v>12902</v>
      </c>
      <c r="W1264" t="s">
        <v>14139</v>
      </c>
      <c r="X1264">
        <v>5</v>
      </c>
      <c r="Y1264" t="s">
        <v>20526</v>
      </c>
      <c r="Z1264" t="s">
        <v>26839</v>
      </c>
      <c r="AA1264">
        <v>0.47576241015505111</v>
      </c>
      <c r="AB1264" t="str">
        <f>HYPERLINK("Melting_Curves/meltCurve_O00425_IGF2BP3.pdf", "Melting_Curves/meltCurve_O00425_IGF2BP3.pdf")</f>
        <v>Melting_Curves/meltCurve_O00425_IGF2BP3.pdf</v>
      </c>
    </row>
    <row r="1265" spans="1:28" x14ac:dyDescent="0.25">
      <c r="A1265" t="s">
        <v>1269</v>
      </c>
      <c r="B1265">
        <v>0.99673306730245903</v>
      </c>
      <c r="C1265">
        <v>1.1296590423570401</v>
      </c>
      <c r="D1265">
        <v>0.75732237318805995</v>
      </c>
      <c r="E1265">
        <v>1.0603849455868</v>
      </c>
      <c r="F1265">
        <v>0.18373464165525</v>
      </c>
      <c r="G1265">
        <v>0.13142304813758099</v>
      </c>
      <c r="H1265">
        <v>6.3690278761198399E-2</v>
      </c>
      <c r="I1265">
        <v>5.6515787434815702E-2</v>
      </c>
      <c r="J1265">
        <v>6.0738242520824298E-2</v>
      </c>
      <c r="K1265">
        <v>5.1588930345832403E-2</v>
      </c>
      <c r="L1265">
        <v>13193.827775138099</v>
      </c>
      <c r="M1265">
        <v>250</v>
      </c>
      <c r="N1265">
        <v>52.8085279060817</v>
      </c>
      <c r="O1265">
        <v>52.771933830597398</v>
      </c>
      <c r="P1265">
        <v>-1.0981319675377099</v>
      </c>
      <c r="Q1265">
        <v>7.2791240634518403E-2</v>
      </c>
      <c r="R1265">
        <v>0.95843231564502396</v>
      </c>
      <c r="S1265" t="s">
        <v>7717</v>
      </c>
      <c r="T1265" t="s">
        <v>12902</v>
      </c>
      <c r="U1265" t="s">
        <v>12902</v>
      </c>
      <c r="V1265" t="s">
        <v>12902</v>
      </c>
      <c r="W1265" t="s">
        <v>14140</v>
      </c>
      <c r="X1265">
        <v>40</v>
      </c>
      <c r="Y1265" t="s">
        <v>20527</v>
      </c>
      <c r="Z1265" t="s">
        <v>26840</v>
      </c>
      <c r="AA1265">
        <v>0.46772313043874869</v>
      </c>
      <c r="AB1265" t="str">
        <f>HYPERLINK("Melting_Curves/meltCurve_O00429_3_DNM1L.pdf", "Melting_Curves/meltCurve_O00429_3_DNM1L.pdf")</f>
        <v>Melting_Curves/meltCurve_O00429_3_DNM1L.pdf</v>
      </c>
    </row>
    <row r="1266" spans="1:28" x14ac:dyDescent="0.25">
      <c r="A1266" t="s">
        <v>1270</v>
      </c>
      <c r="B1266">
        <v>0.99673306730245903</v>
      </c>
      <c r="C1266">
        <v>1.0330735390099599</v>
      </c>
      <c r="D1266">
        <v>1.0190510248854801</v>
      </c>
      <c r="E1266">
        <v>0.98595755934898499</v>
      </c>
      <c r="F1266">
        <v>0.202006947016802</v>
      </c>
      <c r="G1266">
        <v>0.15476303724170901</v>
      </c>
      <c r="H1266">
        <v>9.0430635756680103E-2</v>
      </c>
      <c r="I1266">
        <v>9.5873562209415106E-2</v>
      </c>
      <c r="J1266">
        <v>0.15772958620186001</v>
      </c>
      <c r="K1266">
        <v>0.126189653457603</v>
      </c>
      <c r="L1266">
        <v>4699.4758755414796</v>
      </c>
      <c r="M1266">
        <v>90.669352233639501</v>
      </c>
      <c r="N1266">
        <v>51.995726452855699</v>
      </c>
      <c r="O1266">
        <v>51.805720091194502</v>
      </c>
      <c r="P1266">
        <v>-0.38290018651098001</v>
      </c>
      <c r="Q1266">
        <v>0.124889808293041</v>
      </c>
      <c r="R1266">
        <v>0.99702185581657399</v>
      </c>
      <c r="S1266" t="s">
        <v>7718</v>
      </c>
      <c r="T1266" t="s">
        <v>12902</v>
      </c>
      <c r="U1266" t="s">
        <v>12902</v>
      </c>
      <c r="V1266" t="s">
        <v>12902</v>
      </c>
      <c r="W1266" t="s">
        <v>14141</v>
      </c>
      <c r="X1266">
        <v>39</v>
      </c>
      <c r="Y1266" t="s">
        <v>20527</v>
      </c>
      <c r="Z1266" t="s">
        <v>26841</v>
      </c>
      <c r="AA1266">
        <v>0.47060780861608381</v>
      </c>
      <c r="AB1266" t="str">
        <f>HYPERLINK("Melting_Curves/meltCurve_O00429_4_DNM1L.pdf", "Melting_Curves/meltCurve_O00429_4_DNM1L.pdf")</f>
        <v>Melting_Curves/meltCurve_O00429_4_DNM1L.pdf</v>
      </c>
    </row>
    <row r="1267" spans="1:28" x14ac:dyDescent="0.25">
      <c r="A1267" t="s">
        <v>1271</v>
      </c>
      <c r="B1267">
        <v>0.99673306730245903</v>
      </c>
      <c r="C1267">
        <v>0.99927724138846596</v>
      </c>
      <c r="D1267">
        <v>0.92953351782168303</v>
      </c>
      <c r="E1267">
        <v>0.88586023067941899</v>
      </c>
      <c r="F1267">
        <v>0.405470348271317</v>
      </c>
      <c r="G1267">
        <v>0.20573865747593301</v>
      </c>
      <c r="H1267">
        <v>0.111619916284957</v>
      </c>
      <c r="I1267">
        <v>9.1636237175529697E-2</v>
      </c>
      <c r="J1267">
        <v>8.7110348065829901E-2</v>
      </c>
      <c r="K1267">
        <v>7.6215612338836405E-2</v>
      </c>
      <c r="L1267">
        <v>1578.8593343863299</v>
      </c>
      <c r="M1267">
        <v>30.1867872797039</v>
      </c>
      <c r="N1267">
        <v>52.659181910209</v>
      </c>
      <c r="O1267">
        <v>52.075069211382299</v>
      </c>
      <c r="P1267">
        <v>-0.13153860074512799</v>
      </c>
      <c r="Q1267">
        <v>9.2339555620213898E-2</v>
      </c>
      <c r="R1267">
        <v>0.99574579108832595</v>
      </c>
      <c r="S1267" t="s">
        <v>7719</v>
      </c>
      <c r="T1267" t="s">
        <v>12902</v>
      </c>
      <c r="U1267" t="s">
        <v>12902</v>
      </c>
      <c r="V1267" t="s">
        <v>12902</v>
      </c>
      <c r="W1267" t="s">
        <v>14142</v>
      </c>
      <c r="X1267">
        <v>11</v>
      </c>
      <c r="Y1267" t="s">
        <v>20528</v>
      </c>
      <c r="Z1267" t="s">
        <v>26842</v>
      </c>
      <c r="AA1267">
        <v>0.47032632507657918</v>
      </c>
      <c r="AB1267" t="str">
        <f>HYPERLINK("Melting_Curves/meltCurve_O00442_RTCA.pdf", "Melting_Curves/meltCurve_O00442_RTCA.pdf")</f>
        <v>Melting_Curves/meltCurve_O00442_RTCA.pdf</v>
      </c>
    </row>
    <row r="1268" spans="1:28" x14ac:dyDescent="0.25">
      <c r="A1268" t="s">
        <v>1272</v>
      </c>
      <c r="B1268">
        <v>0.99673306730245903</v>
      </c>
      <c r="C1268">
        <v>0.89502852606499705</v>
      </c>
      <c r="D1268">
        <v>0.76906537569276001</v>
      </c>
      <c r="E1268">
        <v>0.42933395690938397</v>
      </c>
      <c r="F1268">
        <v>0.19429480617101999</v>
      </c>
      <c r="G1268">
        <v>0.118591421071917</v>
      </c>
      <c r="H1268">
        <v>7.0123015340609093E-2</v>
      </c>
      <c r="I1268">
        <v>5.8442462791693302E-2</v>
      </c>
      <c r="J1268">
        <v>5.7935598384231998E-2</v>
      </c>
      <c r="K1268">
        <v>5.4065978541731299E-2</v>
      </c>
      <c r="L1268">
        <v>912.26558246366506</v>
      </c>
      <c r="M1268">
        <v>18.793779176611899</v>
      </c>
      <c r="N1268">
        <v>48.819321393150503</v>
      </c>
      <c r="O1268">
        <v>48.001265223979303</v>
      </c>
      <c r="P1268">
        <v>-9.2910040913285294E-2</v>
      </c>
      <c r="Q1268">
        <v>5.0831894650826201E-2</v>
      </c>
      <c r="R1268">
        <v>0.99873302950407805</v>
      </c>
      <c r="S1268" t="s">
        <v>7720</v>
      </c>
      <c r="T1268" t="s">
        <v>12902</v>
      </c>
      <c r="U1268" t="s">
        <v>12902</v>
      </c>
      <c r="V1268" t="s">
        <v>12902</v>
      </c>
      <c r="W1268" t="s">
        <v>14143</v>
      </c>
      <c r="X1268">
        <v>6</v>
      </c>
      <c r="Y1268" t="s">
        <v>20529</v>
      </c>
      <c r="Z1268" t="s">
        <v>26843</v>
      </c>
      <c r="AA1268">
        <v>0.3362511362521971</v>
      </c>
      <c r="AB1268" t="str">
        <f>HYPERLINK("Melting_Curves/meltCurve_O00459_PIK3R2.pdf", "Melting_Curves/meltCurve_O00459_PIK3R2.pdf")</f>
        <v>Melting_Curves/meltCurve_O00459_PIK3R2.pdf</v>
      </c>
    </row>
    <row r="1269" spans="1:28" x14ac:dyDescent="0.25">
      <c r="A1269" t="s">
        <v>1273</v>
      </c>
      <c r="B1269">
        <v>0.99673306730245903</v>
      </c>
      <c r="C1269">
        <v>1.01196705749908</v>
      </c>
      <c r="D1269">
        <v>0.97267567363596996</v>
      </c>
      <c r="E1269">
        <v>1.0437957026931799</v>
      </c>
      <c r="F1269">
        <v>0.88128515296753096</v>
      </c>
      <c r="G1269">
        <v>0.67738685675043797</v>
      </c>
      <c r="H1269">
        <v>0.30948127899022898</v>
      </c>
      <c r="I1269">
        <v>0.14947708316684599</v>
      </c>
      <c r="J1269">
        <v>0.117193462684544</v>
      </c>
      <c r="K1269">
        <v>9.3283233700445195E-2</v>
      </c>
      <c r="L1269">
        <v>1431.04788632652</v>
      </c>
      <c r="M1269">
        <v>24.628479448875801</v>
      </c>
      <c r="N1269">
        <v>58.501248564122399</v>
      </c>
      <c r="O1269">
        <v>57.726390846029702</v>
      </c>
      <c r="P1269">
        <v>-9.8475646540314599E-2</v>
      </c>
      <c r="Q1269">
        <v>7.6749752431916604E-2</v>
      </c>
      <c r="R1269">
        <v>0.99635663206367797</v>
      </c>
      <c r="S1269" t="s">
        <v>7721</v>
      </c>
      <c r="T1269" t="s">
        <v>12902</v>
      </c>
      <c r="U1269" t="s">
        <v>12902</v>
      </c>
      <c r="V1269" t="s">
        <v>12902</v>
      </c>
      <c r="W1269" t="s">
        <v>14144</v>
      </c>
      <c r="X1269">
        <v>13</v>
      </c>
      <c r="Y1269" t="s">
        <v>20530</v>
      </c>
      <c r="Z1269" t="s">
        <v>26844</v>
      </c>
      <c r="AA1269">
        <v>0.64209922455604307</v>
      </c>
      <c r="AB1269" t="str">
        <f>HYPERLINK("Melting_Curves/meltCurve_O00462_MANBA.pdf", "Melting_Curves/meltCurve_O00462_MANBA.pdf")</f>
        <v>Melting_Curves/meltCurve_O00462_MANBA.pdf</v>
      </c>
    </row>
    <row r="1270" spans="1:28" x14ac:dyDescent="0.25">
      <c r="A1270" t="s">
        <v>1274</v>
      </c>
      <c r="B1270">
        <v>0.99673306730245903</v>
      </c>
      <c r="C1270">
        <v>0.85146744472337199</v>
      </c>
      <c r="D1270">
        <v>0.58217512559880003</v>
      </c>
      <c r="E1270">
        <v>0.34833154041373399</v>
      </c>
      <c r="F1270">
        <v>0.39404771678242101</v>
      </c>
      <c r="G1270">
        <v>0.25213956139216398</v>
      </c>
      <c r="H1270">
        <v>0.18102667967241601</v>
      </c>
      <c r="I1270">
        <v>7.1913604771525905E-2</v>
      </c>
      <c r="J1270">
        <v>6.9093154475917504E-2</v>
      </c>
      <c r="K1270">
        <v>6.4950999043817695E-2</v>
      </c>
      <c r="L1270">
        <v>545.31190613020101</v>
      </c>
      <c r="M1270">
        <v>11.3597136343668</v>
      </c>
      <c r="N1270">
        <v>48.575112636519599</v>
      </c>
      <c r="O1270">
        <v>46.588590665016703</v>
      </c>
      <c r="P1270">
        <v>-5.7164042290087203E-2</v>
      </c>
      <c r="Q1270">
        <v>6.2512026252103794E-2</v>
      </c>
      <c r="R1270">
        <v>0.95973871659727905</v>
      </c>
      <c r="S1270" t="s">
        <v>7722</v>
      </c>
      <c r="T1270" t="s">
        <v>12902</v>
      </c>
      <c r="U1270" t="s">
        <v>12902</v>
      </c>
      <c r="V1270" t="s">
        <v>12902</v>
      </c>
      <c r="W1270" t="s">
        <v>14145</v>
      </c>
      <c r="X1270">
        <v>3</v>
      </c>
      <c r="Y1270" t="s">
        <v>20531</v>
      </c>
      <c r="Z1270" t="s">
        <v>26845</v>
      </c>
      <c r="AA1270">
        <v>0.35297058947646331</v>
      </c>
      <c r="AB1270" t="str">
        <f>HYPERLINK("Melting_Curves/meltCurve_O00463_TRAF5.pdf", "Melting_Curves/meltCurve_O00463_TRAF5.pdf")</f>
        <v>Melting_Curves/meltCurve_O00463_TRAF5.pdf</v>
      </c>
    </row>
    <row r="1271" spans="1:28" x14ac:dyDescent="0.25">
      <c r="A1271" t="s">
        <v>1275</v>
      </c>
      <c r="B1271">
        <v>0.99673306730245903</v>
      </c>
      <c r="C1271">
        <v>0.97936552025663004</v>
      </c>
      <c r="D1271">
        <v>0.95142628168865995</v>
      </c>
      <c r="E1271">
        <v>0.858835579270116</v>
      </c>
      <c r="F1271">
        <v>0.54021603459838996</v>
      </c>
      <c r="G1271">
        <v>0.36697998709521001</v>
      </c>
      <c r="H1271">
        <v>0.26386463132225801</v>
      </c>
      <c r="I1271">
        <v>0.207900581167167</v>
      </c>
      <c r="J1271">
        <v>0.20685804956880599</v>
      </c>
      <c r="K1271">
        <v>0.15446147876837801</v>
      </c>
      <c r="L1271">
        <v>1025.7338191982701</v>
      </c>
      <c r="M1271">
        <v>19.359809097813901</v>
      </c>
      <c r="N1271">
        <v>54.227418052576503</v>
      </c>
      <c r="O1271">
        <v>52.427050847733597</v>
      </c>
      <c r="P1271">
        <v>-7.5759249039202697E-2</v>
      </c>
      <c r="Q1271">
        <v>0.179395424811499</v>
      </c>
      <c r="R1271">
        <v>0.99637342507255999</v>
      </c>
      <c r="S1271" t="s">
        <v>7723</v>
      </c>
      <c r="T1271" t="s">
        <v>12902</v>
      </c>
      <c r="U1271" t="s">
        <v>12902</v>
      </c>
      <c r="V1271" t="s">
        <v>12902</v>
      </c>
      <c r="W1271" t="s">
        <v>14146</v>
      </c>
      <c r="X1271">
        <v>22</v>
      </c>
      <c r="Y1271" t="s">
        <v>20532</v>
      </c>
      <c r="Z1271" t="s">
        <v>26846</v>
      </c>
      <c r="AA1271">
        <v>0.54644315487243278</v>
      </c>
      <c r="AB1271" t="str">
        <f>HYPERLINK("Melting_Curves/meltCurve_O00468_6_AGRN.pdf", "Melting_Curves/meltCurve_O00468_6_AGRN.pdf")</f>
        <v>Melting_Curves/meltCurve_O00468_6_AGRN.pdf</v>
      </c>
    </row>
    <row r="1272" spans="1:28" x14ac:dyDescent="0.25">
      <c r="A1272" t="s">
        <v>1276</v>
      </c>
      <c r="B1272">
        <v>0.99673306730245903</v>
      </c>
      <c r="C1272">
        <v>0.98169819212468801</v>
      </c>
      <c r="D1272">
        <v>0.87808517958203702</v>
      </c>
      <c r="E1272">
        <v>0.83404384511070995</v>
      </c>
      <c r="F1272">
        <v>0.34644347250905899</v>
      </c>
      <c r="G1272">
        <v>0.21504060851920101</v>
      </c>
      <c r="H1272">
        <v>0.15954717473795599</v>
      </c>
      <c r="I1272">
        <v>0.13796137813970899</v>
      </c>
      <c r="J1272">
        <v>0.14291839228213199</v>
      </c>
      <c r="K1272">
        <v>0.113836254707834</v>
      </c>
      <c r="L1272">
        <v>1558.1281405304701</v>
      </c>
      <c r="M1272">
        <v>30.248543615968799</v>
      </c>
      <c r="N1272">
        <v>52.068491985820401</v>
      </c>
      <c r="O1272">
        <v>51.287283860583102</v>
      </c>
      <c r="P1272">
        <v>-0.12704651581486201</v>
      </c>
      <c r="Q1272">
        <v>0.13836118839682801</v>
      </c>
      <c r="R1272">
        <v>0.98953985072254502</v>
      </c>
      <c r="S1272" t="s">
        <v>7724</v>
      </c>
      <c r="T1272" t="s">
        <v>12902</v>
      </c>
      <c r="U1272" t="s">
        <v>12902</v>
      </c>
      <c r="V1272" t="s">
        <v>12902</v>
      </c>
      <c r="W1272" t="s">
        <v>14147</v>
      </c>
      <c r="X1272">
        <v>34</v>
      </c>
      <c r="Y1272" t="s">
        <v>20533</v>
      </c>
      <c r="Z1272" t="s">
        <v>26847</v>
      </c>
      <c r="AA1272">
        <v>0.47434125774856051</v>
      </c>
      <c r="AB1272" t="str">
        <f>HYPERLINK("Melting_Curves/meltCurve_O00469_2_PLOD2.pdf", "Melting_Curves/meltCurve_O00469_2_PLOD2.pdf")</f>
        <v>Melting_Curves/meltCurve_O00469_2_PLOD2.pdf</v>
      </c>
    </row>
    <row r="1273" spans="1:28" x14ac:dyDescent="0.25">
      <c r="A1273" t="s">
        <v>1277</v>
      </c>
      <c r="B1273">
        <v>0.99673306730245903</v>
      </c>
      <c r="C1273">
        <v>0.95867685811669301</v>
      </c>
      <c r="D1273">
        <v>0.80402138124721001</v>
      </c>
      <c r="E1273">
        <v>0.48828810319334298</v>
      </c>
      <c r="F1273">
        <v>0.31727685408878298</v>
      </c>
      <c r="G1273">
        <v>0.20671084613594601</v>
      </c>
      <c r="H1273">
        <v>0.15596904754777199</v>
      </c>
      <c r="I1273">
        <v>0.15830547122748301</v>
      </c>
      <c r="J1273">
        <v>0.153058821821459</v>
      </c>
      <c r="K1273">
        <v>0.13967285331898999</v>
      </c>
      <c r="L1273">
        <v>936.504248808547</v>
      </c>
      <c r="M1273">
        <v>19.1781636891109</v>
      </c>
      <c r="N1273">
        <v>49.732492230134298</v>
      </c>
      <c r="O1273">
        <v>48.3101677058334</v>
      </c>
      <c r="P1273">
        <v>-8.4687593559173394E-2</v>
      </c>
      <c r="Q1273">
        <v>0.14671408165026001</v>
      </c>
      <c r="R1273">
        <v>0.99853813891605403</v>
      </c>
      <c r="S1273" t="s">
        <v>7725</v>
      </c>
      <c r="T1273" t="s">
        <v>12902</v>
      </c>
      <c r="U1273" t="s">
        <v>12902</v>
      </c>
      <c r="V1273" t="s">
        <v>12902</v>
      </c>
      <c r="W1273" t="s">
        <v>14148</v>
      </c>
      <c r="X1273">
        <v>8</v>
      </c>
      <c r="Y1273" t="s">
        <v>20534</v>
      </c>
      <c r="Z1273" t="s">
        <v>26848</v>
      </c>
      <c r="AA1273">
        <v>0.41095922275688962</v>
      </c>
      <c r="AB1273" t="str">
        <f>HYPERLINK("Melting_Curves/meltCurve_O00471_EXOC5.pdf", "Melting_Curves/meltCurve_O00471_EXOC5.pdf")</f>
        <v>Melting_Curves/meltCurve_O00471_EXOC5.pdf</v>
      </c>
    </row>
    <row r="1274" spans="1:28" x14ac:dyDescent="0.25">
      <c r="A1274" t="s">
        <v>1278</v>
      </c>
      <c r="B1274">
        <v>0.99673306730245903</v>
      </c>
      <c r="C1274">
        <v>0.94999254203197503</v>
      </c>
      <c r="D1274">
        <v>1.1074137363605401</v>
      </c>
      <c r="E1274">
        <v>0.97735431401504003</v>
      </c>
      <c r="F1274">
        <v>1.0607631618026301</v>
      </c>
      <c r="G1274">
        <v>0.90738195335126304</v>
      </c>
      <c r="H1274">
        <v>1.0065107703432601</v>
      </c>
      <c r="I1274">
        <v>1.86964967636626</v>
      </c>
      <c r="J1274">
        <v>3.4777444458784998</v>
      </c>
      <c r="K1274">
        <v>3.9883387136760602</v>
      </c>
      <c r="L1274">
        <v>15000</v>
      </c>
      <c r="M1274">
        <v>242.850313971427</v>
      </c>
      <c r="O1274">
        <v>61.762253855330201</v>
      </c>
      <c r="P1274">
        <v>0.491502290879958</v>
      </c>
      <c r="Q1274">
        <v>1.5</v>
      </c>
      <c r="R1274">
        <v>0.13217723122473099</v>
      </c>
      <c r="S1274" t="s">
        <v>7726</v>
      </c>
      <c r="T1274" t="s">
        <v>12902</v>
      </c>
      <c r="U1274" t="s">
        <v>12902</v>
      </c>
      <c r="V1274" t="s">
        <v>12902</v>
      </c>
      <c r="W1274" t="s">
        <v>14149</v>
      </c>
      <c r="X1274">
        <v>5</v>
      </c>
      <c r="Y1274" t="s">
        <v>20535</v>
      </c>
      <c r="Z1274" t="s">
        <v>26849</v>
      </c>
      <c r="AA1274">
        <v>1.137168516520094</v>
      </c>
      <c r="AB1274" t="str">
        <f>HYPERLINK("Melting_Curves/meltCurve_O00479_HMGN4.pdf", "Melting_Curves/meltCurve_O00479_HMGN4.pdf")</f>
        <v>Melting_Curves/meltCurve_O00479_HMGN4.pdf</v>
      </c>
    </row>
    <row r="1275" spans="1:28" x14ac:dyDescent="0.25">
      <c r="A1275" t="s">
        <v>1279</v>
      </c>
      <c r="B1275">
        <v>0.99673306730245903</v>
      </c>
      <c r="C1275">
        <v>0.96956261757148998</v>
      </c>
      <c r="D1275">
        <v>0.84439555528974597</v>
      </c>
      <c r="E1275">
        <v>0.73791371219935997</v>
      </c>
      <c r="F1275">
        <v>0.53632530391733702</v>
      </c>
      <c r="G1275">
        <v>0.51029477605757501</v>
      </c>
      <c r="H1275">
        <v>0.39002670088964803</v>
      </c>
      <c r="I1275">
        <v>0.44651610632904898</v>
      </c>
      <c r="J1275">
        <v>0.41443374019108797</v>
      </c>
      <c r="K1275">
        <v>0.37294640386408201</v>
      </c>
      <c r="L1275">
        <v>748.17775034885096</v>
      </c>
      <c r="M1275">
        <v>14.9594883656679</v>
      </c>
      <c r="N1275">
        <v>55.610766414523098</v>
      </c>
      <c r="O1275">
        <v>49.145390472257901</v>
      </c>
      <c r="P1275">
        <v>-4.6495794173621201E-2</v>
      </c>
      <c r="Q1275">
        <v>0.38906450749065502</v>
      </c>
      <c r="R1275">
        <v>0.98656965420328901</v>
      </c>
      <c r="S1275" t="s">
        <v>7727</v>
      </c>
      <c r="T1275" t="s">
        <v>12902</v>
      </c>
      <c r="U1275" t="s">
        <v>12902</v>
      </c>
      <c r="V1275" t="s">
        <v>12902</v>
      </c>
      <c r="W1275" t="s">
        <v>14150</v>
      </c>
      <c r="X1275">
        <v>6</v>
      </c>
      <c r="Y1275" t="s">
        <v>20536</v>
      </c>
      <c r="Z1275" t="s">
        <v>26850</v>
      </c>
      <c r="AA1275">
        <v>0.60761844233257956</v>
      </c>
      <c r="AB1275" t="str">
        <f>HYPERLINK("Melting_Curves/meltCurve_O00483_NDUFA4.pdf", "Melting_Curves/meltCurve_O00483_NDUFA4.pdf")</f>
        <v>Melting_Curves/meltCurve_O00483_NDUFA4.pdf</v>
      </c>
    </row>
    <row r="1276" spans="1:28" x14ac:dyDescent="0.25">
      <c r="A1276" t="s">
        <v>1280</v>
      </c>
      <c r="B1276">
        <v>0.99673306730245903</v>
      </c>
      <c r="C1276">
        <v>0.87404287195451202</v>
      </c>
      <c r="D1276">
        <v>0.91631503357149402</v>
      </c>
      <c r="E1276">
        <v>0.87849951803938697</v>
      </c>
      <c r="F1276">
        <v>0.62067752770030804</v>
      </c>
      <c r="G1276">
        <v>0.21914946103091601</v>
      </c>
      <c r="H1276">
        <v>7.1820267727047193E-2</v>
      </c>
      <c r="I1276">
        <v>5.9576436984506403E-2</v>
      </c>
      <c r="J1276">
        <v>6.6197723221600793E-2</v>
      </c>
      <c r="K1276">
        <v>6.1000462135318997E-2</v>
      </c>
      <c r="L1276">
        <v>1364.90066244217</v>
      </c>
      <c r="M1276">
        <v>25.374951926527999</v>
      </c>
      <c r="N1276">
        <v>53.9874550332909</v>
      </c>
      <c r="O1276">
        <v>53.458556624529301</v>
      </c>
      <c r="P1276">
        <v>-0.11339113549565399</v>
      </c>
      <c r="Q1276">
        <v>4.4467218081301399E-2</v>
      </c>
      <c r="R1276">
        <v>0.98491003676922495</v>
      </c>
      <c r="S1276" t="s">
        <v>7728</v>
      </c>
      <c r="T1276" t="s">
        <v>12902</v>
      </c>
      <c r="U1276" t="s">
        <v>12902</v>
      </c>
      <c r="V1276" t="s">
        <v>12902</v>
      </c>
      <c r="W1276" t="s">
        <v>14151</v>
      </c>
      <c r="X1276">
        <v>8</v>
      </c>
      <c r="Y1276" t="s">
        <v>20537</v>
      </c>
      <c r="Z1276" t="s">
        <v>26851</v>
      </c>
      <c r="AA1276">
        <v>0.49226867412203362</v>
      </c>
      <c r="AB1276" t="str">
        <f>HYPERLINK("Melting_Curves/meltCurve_O00487_PSMD14.pdf", "Melting_Curves/meltCurve_O00487_PSMD14.pdf")</f>
        <v>Melting_Curves/meltCurve_O00487_PSMD14.pdf</v>
      </c>
    </row>
    <row r="1277" spans="1:28" x14ac:dyDescent="0.25">
      <c r="A1277" t="s">
        <v>1281</v>
      </c>
      <c r="B1277">
        <v>0.99673306730245903</v>
      </c>
      <c r="C1277">
        <v>1.0220759658342999</v>
      </c>
      <c r="D1277">
        <v>0.99532115769394403</v>
      </c>
      <c r="E1277">
        <v>0.97302853876440198</v>
      </c>
      <c r="F1277">
        <v>0.72168242588954901</v>
      </c>
      <c r="G1277">
        <v>0.55483065015159005</v>
      </c>
      <c r="H1277">
        <v>0.33928228876583599</v>
      </c>
      <c r="I1277">
        <v>0.343904169214859</v>
      </c>
      <c r="J1277">
        <v>0.420633618643943</v>
      </c>
      <c r="K1277">
        <v>0.52926356243529304</v>
      </c>
      <c r="L1277">
        <v>1650.3456747492601</v>
      </c>
      <c r="M1277">
        <v>30.767747450649299</v>
      </c>
      <c r="N1277">
        <v>56.865420638406903</v>
      </c>
      <c r="O1277">
        <v>53.413759735918497</v>
      </c>
      <c r="P1277">
        <v>-8.4568890776598002E-2</v>
      </c>
      <c r="Q1277">
        <v>0.41274665862985899</v>
      </c>
      <c r="R1277">
        <v>0.95838296878565499</v>
      </c>
      <c r="S1277" t="s">
        <v>7729</v>
      </c>
      <c r="T1277" t="s">
        <v>12902</v>
      </c>
      <c r="U1277" t="s">
        <v>12902</v>
      </c>
      <c r="V1277" t="s">
        <v>12902</v>
      </c>
      <c r="W1277" t="s">
        <v>14152</v>
      </c>
      <c r="X1277">
        <v>2</v>
      </c>
      <c r="Y1277" t="s">
        <v>20538</v>
      </c>
      <c r="Z1277" t="s">
        <v>26852</v>
      </c>
      <c r="AA1277">
        <v>0.68338465489165945</v>
      </c>
      <c r="AB1277" t="str">
        <f>HYPERLINK("Melting_Curves/meltCurve_O00488_ZNF593.pdf", "Melting_Curves/meltCurve_O00488_ZNF593.pdf")</f>
        <v>Melting_Curves/meltCurve_O00488_ZNF593.pdf</v>
      </c>
    </row>
    <row r="1278" spans="1:28" x14ac:dyDescent="0.25">
      <c r="A1278" t="s">
        <v>1282</v>
      </c>
      <c r="B1278">
        <v>0.99673306730245903</v>
      </c>
      <c r="C1278">
        <v>0.93384942171958696</v>
      </c>
      <c r="D1278">
        <v>0.86735481987738094</v>
      </c>
      <c r="E1278">
        <v>0.76203360178517499</v>
      </c>
      <c r="F1278">
        <v>0.42293471977447999</v>
      </c>
      <c r="G1278">
        <v>0.15126210448111199</v>
      </c>
      <c r="H1278">
        <v>9.0497805028355804E-2</v>
      </c>
      <c r="I1278">
        <v>7.4932432684813297E-2</v>
      </c>
      <c r="J1278">
        <v>6.7876077226925194E-2</v>
      </c>
      <c r="K1278">
        <v>6.3426444748952204E-2</v>
      </c>
      <c r="L1278">
        <v>1020.995211986</v>
      </c>
      <c r="M1278">
        <v>19.676199046675901</v>
      </c>
      <c r="N1278">
        <v>52.1463780841013</v>
      </c>
      <c r="O1278">
        <v>51.362770692686098</v>
      </c>
      <c r="P1278">
        <v>-9.1356227229564907E-2</v>
      </c>
      <c r="Q1278">
        <v>4.6127104891499099E-2</v>
      </c>
      <c r="R1278">
        <v>0.99317274839512004</v>
      </c>
      <c r="S1278" t="s">
        <v>7730</v>
      </c>
      <c r="T1278" t="s">
        <v>12902</v>
      </c>
      <c r="U1278" t="s">
        <v>12902</v>
      </c>
      <c r="V1278" t="s">
        <v>12902</v>
      </c>
      <c r="W1278" t="s">
        <v>14153</v>
      </c>
      <c r="X1278">
        <v>15</v>
      </c>
      <c r="Y1278" t="s">
        <v>20539</v>
      </c>
      <c r="Z1278" t="s">
        <v>26853</v>
      </c>
      <c r="AA1278">
        <v>0.43777318123833658</v>
      </c>
      <c r="AB1278" t="str">
        <f>HYPERLINK("Melting_Curves/meltCurve_O00505_KPNA3.pdf", "Melting_Curves/meltCurve_O00505_KPNA3.pdf")</f>
        <v>Melting_Curves/meltCurve_O00505_KPNA3.pdf</v>
      </c>
    </row>
    <row r="1279" spans="1:28" x14ac:dyDescent="0.25">
      <c r="A1279" t="s">
        <v>1283</v>
      </c>
      <c r="B1279">
        <v>0.99673306730245903</v>
      </c>
      <c r="C1279">
        <v>0.99064768264801695</v>
      </c>
      <c r="D1279">
        <v>0.94595614850300203</v>
      </c>
      <c r="E1279">
        <v>0.85740877735966903</v>
      </c>
      <c r="F1279">
        <v>0.43366328125965398</v>
      </c>
      <c r="G1279">
        <v>0.253275856947626</v>
      </c>
      <c r="H1279">
        <v>0.14191349479856599</v>
      </c>
      <c r="I1279">
        <v>9.4136367572279403E-2</v>
      </c>
      <c r="J1279">
        <v>5.2044121091666798E-2</v>
      </c>
      <c r="K1279">
        <v>4.1477438856718903E-2</v>
      </c>
      <c r="L1279">
        <v>1159.7015244709501</v>
      </c>
      <c r="M1279">
        <v>22.004745286527498</v>
      </c>
      <c r="N1279">
        <v>53.031968991095802</v>
      </c>
      <c r="O1279">
        <v>52.272862160278798</v>
      </c>
      <c r="P1279">
        <v>-9.8515642076811502E-2</v>
      </c>
      <c r="Q1279">
        <v>6.3914545097871506E-2</v>
      </c>
      <c r="R1279">
        <v>0.99488310774783595</v>
      </c>
      <c r="S1279" t="s">
        <v>7731</v>
      </c>
      <c r="T1279" t="s">
        <v>12902</v>
      </c>
      <c r="U1279" t="s">
        <v>12902</v>
      </c>
      <c r="V1279" t="s">
        <v>12902</v>
      </c>
      <c r="W1279" t="s">
        <v>14154</v>
      </c>
      <c r="X1279">
        <v>8</v>
      </c>
      <c r="Y1279" t="s">
        <v>20540</v>
      </c>
      <c r="Z1279" t="s">
        <v>26854</v>
      </c>
      <c r="AA1279">
        <v>0.47115783876727668</v>
      </c>
      <c r="AB1279" t="str">
        <f>HYPERLINK("Melting_Curves/meltCurve_O00506_STK25.pdf", "Melting_Curves/meltCurve_O00506_STK25.pdf")</f>
        <v>Melting_Curves/meltCurve_O00506_STK25.pdf</v>
      </c>
    </row>
    <row r="1280" spans="1:28" x14ac:dyDescent="0.25">
      <c r="A1280" t="s">
        <v>1284</v>
      </c>
      <c r="B1280">
        <v>0.99673306730245903</v>
      </c>
      <c r="C1280">
        <v>0.91440900618249799</v>
      </c>
      <c r="D1280">
        <v>0.90508255170486795</v>
      </c>
      <c r="E1280">
        <v>0.74661705964017899</v>
      </c>
      <c r="F1280">
        <v>0.60668605097212203</v>
      </c>
      <c r="G1280">
        <v>0.406744507666286</v>
      </c>
      <c r="H1280">
        <v>0.31015161652871198</v>
      </c>
      <c r="I1280">
        <v>0.376085976491281</v>
      </c>
      <c r="J1280">
        <v>0.62630194802068595</v>
      </c>
      <c r="K1280">
        <v>0.71384830630589102</v>
      </c>
      <c r="L1280">
        <v>1195.43678419926</v>
      </c>
      <c r="M1280">
        <v>24.244098729857701</v>
      </c>
      <c r="N1280">
        <v>58.952277807309599</v>
      </c>
      <c r="O1280">
        <v>48.976568187885299</v>
      </c>
      <c r="P1280">
        <v>-6.3050196561694694E-2</v>
      </c>
      <c r="Q1280">
        <v>0.49052594616796602</v>
      </c>
      <c r="R1280">
        <v>0.74137259280092405</v>
      </c>
      <c r="S1280" t="s">
        <v>7732</v>
      </c>
      <c r="T1280" t="s">
        <v>12902</v>
      </c>
      <c r="U1280" t="s">
        <v>12902</v>
      </c>
      <c r="V1280" t="s">
        <v>12902</v>
      </c>
      <c r="W1280" t="s">
        <v>14155</v>
      </c>
      <c r="X1280">
        <v>4</v>
      </c>
      <c r="Y1280" t="s">
        <v>20541</v>
      </c>
      <c r="Z1280" t="s">
        <v>26855</v>
      </c>
      <c r="AA1280">
        <v>0.65342258660670061</v>
      </c>
      <c r="AB1280" t="str">
        <f>HYPERLINK("Melting_Curves/meltCurve_O00512_BCL9.pdf", "Melting_Curves/meltCurve_O00512_BCL9.pdf")</f>
        <v>Melting_Curves/meltCurve_O00512_BCL9.pdf</v>
      </c>
    </row>
    <row r="1281" spans="1:28" x14ac:dyDescent="0.25">
      <c r="A1281" t="s">
        <v>1285</v>
      </c>
      <c r="B1281">
        <v>0.99673306730245903</v>
      </c>
      <c r="C1281">
        <v>0.98148249941197696</v>
      </c>
      <c r="D1281">
        <v>0.95498185324041895</v>
      </c>
      <c r="E1281">
        <v>0.82447370844766199</v>
      </c>
      <c r="F1281">
        <v>0.53169103831346298</v>
      </c>
      <c r="G1281">
        <v>0.30695858270590398</v>
      </c>
      <c r="H1281">
        <v>0.22395702429143999</v>
      </c>
      <c r="I1281">
        <v>0.36096290877319498</v>
      </c>
      <c r="J1281">
        <v>1.3297777472475201</v>
      </c>
      <c r="K1281">
        <v>1.4587856645311299</v>
      </c>
      <c r="L1281">
        <v>12382.140342581</v>
      </c>
      <c r="M1281">
        <v>250</v>
      </c>
      <c r="O1281">
        <v>49.525371015828803</v>
      </c>
      <c r="P1281">
        <v>-0.37604174572680499</v>
      </c>
      <c r="Q1281">
        <v>0.70202216245173299</v>
      </c>
      <c r="R1281">
        <v>9.1721137050273502E-2</v>
      </c>
      <c r="S1281" t="s">
        <v>7733</v>
      </c>
      <c r="T1281" t="s">
        <v>12902</v>
      </c>
      <c r="U1281" t="s">
        <v>12902</v>
      </c>
      <c r="V1281" t="s">
        <v>12902</v>
      </c>
      <c r="W1281" t="s">
        <v>14156</v>
      </c>
      <c r="X1281">
        <v>25</v>
      </c>
      <c r="Y1281" t="s">
        <v>20542</v>
      </c>
      <c r="Z1281" t="s">
        <v>26856</v>
      </c>
      <c r="AA1281">
        <v>0.79669140030710406</v>
      </c>
      <c r="AB1281" t="str">
        <f>HYPERLINK("Melting_Curves/meltCurve_O00515_LAD1.pdf", "Melting_Curves/meltCurve_O00515_LAD1.pdf")</f>
        <v>Melting_Curves/meltCurve_O00515_LAD1.pdf</v>
      </c>
    </row>
    <row r="1282" spans="1:28" x14ac:dyDescent="0.25">
      <c r="A1282" t="s">
        <v>1286</v>
      </c>
      <c r="B1282">
        <v>0.99673306730245903</v>
      </c>
      <c r="C1282">
        <v>0.99649957369132602</v>
      </c>
      <c r="D1282">
        <v>0.99004225691785197</v>
      </c>
      <c r="E1282">
        <v>0.84707653533927396</v>
      </c>
      <c r="F1282">
        <v>0.52491545736022205</v>
      </c>
      <c r="G1282">
        <v>0.38130027238019598</v>
      </c>
      <c r="H1282">
        <v>0.28300616002596801</v>
      </c>
      <c r="I1282">
        <v>0.27871695728582502</v>
      </c>
      <c r="J1282">
        <v>0.297964981325617</v>
      </c>
      <c r="K1282">
        <v>0.243882997646688</v>
      </c>
      <c r="L1282">
        <v>1316.5251718074901</v>
      </c>
      <c r="M1282">
        <v>25.272216441263399</v>
      </c>
      <c r="N1282">
        <v>53.7711045587724</v>
      </c>
      <c r="O1282">
        <v>51.770904122123802</v>
      </c>
      <c r="P1282">
        <v>-8.8759744636398796E-2</v>
      </c>
      <c r="Q1282">
        <v>0.27270150119666198</v>
      </c>
      <c r="R1282">
        <v>0.99708889254126098</v>
      </c>
      <c r="S1282" t="s">
        <v>7734</v>
      </c>
      <c r="T1282" t="s">
        <v>12902</v>
      </c>
      <c r="U1282" t="s">
        <v>12902</v>
      </c>
      <c r="V1282" t="s">
        <v>12902</v>
      </c>
      <c r="W1282" t="s">
        <v>14157</v>
      </c>
      <c r="X1282">
        <v>26</v>
      </c>
      <c r="Y1282" t="s">
        <v>20543</v>
      </c>
      <c r="Z1282" t="s">
        <v>26857</v>
      </c>
      <c r="AA1282">
        <v>0.57240289804516598</v>
      </c>
      <c r="AB1282" t="str">
        <f>HYPERLINK("Melting_Curves/meltCurve_O00533_2_CHL1.pdf", "Melting_Curves/meltCurve_O00533_2_CHL1.pdf")</f>
        <v>Melting_Curves/meltCurve_O00533_2_CHL1.pdf</v>
      </c>
    </row>
    <row r="1283" spans="1:28" x14ac:dyDescent="0.25">
      <c r="A1283" t="s">
        <v>1287</v>
      </c>
      <c r="B1283">
        <v>0.99673306730245903</v>
      </c>
      <c r="C1283">
        <v>0.95576081329132201</v>
      </c>
      <c r="D1283">
        <v>0.75260035290064098</v>
      </c>
      <c r="E1283">
        <v>0.65181762498539597</v>
      </c>
      <c r="F1283">
        <v>0.158862146244032</v>
      </c>
      <c r="G1283">
        <v>9.3250408155982095E-2</v>
      </c>
      <c r="H1283">
        <v>5.8455171654496298E-2</v>
      </c>
      <c r="I1283">
        <v>5.2658026633503399E-2</v>
      </c>
      <c r="J1283">
        <v>5.4793458280289302E-2</v>
      </c>
      <c r="K1283">
        <v>3.9675756722544302E-2</v>
      </c>
      <c r="L1283">
        <v>1001.70163933154</v>
      </c>
      <c r="M1283">
        <v>20.094451090481801</v>
      </c>
      <c r="N1283">
        <v>50.003783604958301</v>
      </c>
      <c r="O1283">
        <v>49.363863066392902</v>
      </c>
      <c r="P1283">
        <v>-9.8714380033188096E-2</v>
      </c>
      <c r="Q1283">
        <v>3.0027634165916198E-2</v>
      </c>
      <c r="R1283">
        <v>0.98007468644197804</v>
      </c>
      <c r="S1283" t="s">
        <v>7735</v>
      </c>
      <c r="T1283" t="s">
        <v>12902</v>
      </c>
      <c r="U1283" t="s">
        <v>12902</v>
      </c>
      <c r="V1283" t="s">
        <v>12902</v>
      </c>
      <c r="W1283" t="s">
        <v>14158</v>
      </c>
      <c r="X1283">
        <v>34</v>
      </c>
      <c r="Y1283" t="s">
        <v>20544</v>
      </c>
      <c r="Z1283" t="s">
        <v>26858</v>
      </c>
      <c r="AA1283">
        <v>0.36187822208611931</v>
      </c>
      <c r="AB1283" t="str">
        <f>HYPERLINK("Melting_Curves/meltCurve_O00534_VWA5A.pdf", "Melting_Curves/meltCurve_O00534_VWA5A.pdf")</f>
        <v>Melting_Curves/meltCurve_O00534_VWA5A.pdf</v>
      </c>
    </row>
    <row r="1284" spans="1:28" x14ac:dyDescent="0.25">
      <c r="A1284" t="s">
        <v>1288</v>
      </c>
      <c r="B1284">
        <v>0.99673306730245903</v>
      </c>
      <c r="C1284">
        <v>0.95993725271775598</v>
      </c>
      <c r="D1284">
        <v>0.93527896673036603</v>
      </c>
      <c r="E1284">
        <v>0.82885156089460899</v>
      </c>
      <c r="F1284">
        <v>0.44181387583913101</v>
      </c>
      <c r="G1284">
        <v>0.31114710117043098</v>
      </c>
      <c r="H1284">
        <v>0.24300316350720599</v>
      </c>
      <c r="I1284">
        <v>0.20912900047480901</v>
      </c>
      <c r="J1284">
        <v>0.18797160380304501</v>
      </c>
      <c r="K1284">
        <v>0.139058622380617</v>
      </c>
      <c r="L1284">
        <v>1169.31100199564</v>
      </c>
      <c r="M1284">
        <v>22.516178607078199</v>
      </c>
      <c r="N1284">
        <v>53.005881706939</v>
      </c>
      <c r="O1284">
        <v>51.5276181829989</v>
      </c>
      <c r="P1284">
        <v>-8.9238027018090901E-2</v>
      </c>
      <c r="Q1284">
        <v>0.18314233553015399</v>
      </c>
      <c r="R1284">
        <v>0.99241818672127402</v>
      </c>
      <c r="S1284" t="s">
        <v>7736</v>
      </c>
      <c r="T1284" t="s">
        <v>12902</v>
      </c>
      <c r="U1284" t="s">
        <v>12902</v>
      </c>
      <c r="V1284" t="s">
        <v>12902</v>
      </c>
      <c r="W1284" t="s">
        <v>14159</v>
      </c>
      <c r="X1284">
        <v>11</v>
      </c>
      <c r="Y1284" t="s">
        <v>20545</v>
      </c>
      <c r="Z1284" t="s">
        <v>26859</v>
      </c>
      <c r="AA1284">
        <v>0.51712894173889479</v>
      </c>
      <c r="AB1284" t="str">
        <f>HYPERLINK("Melting_Curves/meltCurve_O00560_SDCBP.pdf", "Melting_Curves/meltCurve_O00560_SDCBP.pdf")</f>
        <v>Melting_Curves/meltCurve_O00560_SDCBP.pdf</v>
      </c>
    </row>
    <row r="1285" spans="1:28" x14ac:dyDescent="0.25">
      <c r="A1285" t="s">
        <v>1289</v>
      </c>
      <c r="B1285">
        <v>0.99673306730245903</v>
      </c>
      <c r="C1285">
        <v>1.0589415398075701</v>
      </c>
      <c r="D1285">
        <v>1.21830264951894</v>
      </c>
      <c r="E1285">
        <v>0.98921305152230998</v>
      </c>
      <c r="F1285">
        <v>0.55178044805098903</v>
      </c>
      <c r="G1285">
        <v>0.37197588199994702</v>
      </c>
      <c r="H1285">
        <v>0.25630823575171002</v>
      </c>
      <c r="I1285">
        <v>0.257211000383264</v>
      </c>
      <c r="J1285">
        <v>0.32738287197264798</v>
      </c>
      <c r="K1285">
        <v>0.36874496261095602</v>
      </c>
      <c r="L1285">
        <v>2860.0004282509899</v>
      </c>
      <c r="M1285">
        <v>54.352014802070897</v>
      </c>
      <c r="N1285">
        <v>53.589443518506599</v>
      </c>
      <c r="O1285">
        <v>52.5488689916982</v>
      </c>
      <c r="P1285">
        <v>-0.177654292334708</v>
      </c>
      <c r="Q1285">
        <v>0.312958275308439</v>
      </c>
      <c r="R1285">
        <v>0.95141504364734897</v>
      </c>
      <c r="S1285" t="s">
        <v>7737</v>
      </c>
      <c r="T1285" t="s">
        <v>12902</v>
      </c>
      <c r="U1285" t="s">
        <v>12902</v>
      </c>
      <c r="V1285" t="s">
        <v>12902</v>
      </c>
      <c r="W1285" t="s">
        <v>14160</v>
      </c>
      <c r="X1285">
        <v>7</v>
      </c>
      <c r="Y1285" t="s">
        <v>20546</v>
      </c>
      <c r="Z1285" t="s">
        <v>26860</v>
      </c>
      <c r="AA1285">
        <v>0.60332104573569334</v>
      </c>
      <c r="AB1285" t="str">
        <f>HYPERLINK("Melting_Curves/meltCurve_O00566_MPHOSPH10.pdf", "Melting_Curves/meltCurve_O00566_MPHOSPH10.pdf")</f>
        <v>Melting_Curves/meltCurve_O00566_MPHOSPH10.pdf</v>
      </c>
    </row>
    <row r="1286" spans="1:28" x14ac:dyDescent="0.25">
      <c r="A1286" t="s">
        <v>1290</v>
      </c>
      <c r="B1286">
        <v>0.99673306730245903</v>
      </c>
      <c r="C1286">
        <v>0.870039579531101</v>
      </c>
      <c r="D1286">
        <v>0.91079639215528396</v>
      </c>
      <c r="E1286">
        <v>0.85991288671760902</v>
      </c>
      <c r="F1286">
        <v>0.50991980722852603</v>
      </c>
      <c r="G1286">
        <v>0.22646585614654499</v>
      </c>
      <c r="H1286">
        <v>0.13510253192328001</v>
      </c>
      <c r="I1286">
        <v>0.12999561592214201</v>
      </c>
      <c r="J1286">
        <v>0.16700607274131901</v>
      </c>
      <c r="K1286">
        <v>0.15583494428153699</v>
      </c>
      <c r="L1286">
        <v>1359.91693046099</v>
      </c>
      <c r="M1286">
        <v>25.884190803272801</v>
      </c>
      <c r="N1286">
        <v>53.188522360386798</v>
      </c>
      <c r="O1286">
        <v>52.227930449603498</v>
      </c>
      <c r="P1286">
        <v>-0.10710186220863099</v>
      </c>
      <c r="Q1286">
        <v>0.13558921913904401</v>
      </c>
      <c r="R1286">
        <v>0.98132760270116803</v>
      </c>
      <c r="S1286" t="s">
        <v>7738</v>
      </c>
      <c r="T1286" t="s">
        <v>12902</v>
      </c>
      <c r="U1286" t="s">
        <v>12902</v>
      </c>
      <c r="V1286" t="s">
        <v>12902</v>
      </c>
      <c r="W1286" t="s">
        <v>14161</v>
      </c>
      <c r="X1286">
        <v>14</v>
      </c>
      <c r="Y1286" t="s">
        <v>20547</v>
      </c>
      <c r="Z1286" t="s">
        <v>26861</v>
      </c>
      <c r="AA1286">
        <v>0.50429129161900077</v>
      </c>
      <c r="AB1286" t="str">
        <f>HYPERLINK("Melting_Curves/meltCurve_O00567_NOP56.pdf", "Melting_Curves/meltCurve_O00567_NOP56.pdf")</f>
        <v>Melting_Curves/meltCurve_O00567_NOP56.pdf</v>
      </c>
    </row>
    <row r="1287" spans="1:28" x14ac:dyDescent="0.25">
      <c r="A1287" t="s">
        <v>1291</v>
      </c>
      <c r="B1287">
        <v>0.99673306730245903</v>
      </c>
      <c r="C1287">
        <v>0.86133916349047601</v>
      </c>
      <c r="D1287">
        <v>0.51867819111554503</v>
      </c>
      <c r="E1287">
        <v>0.18360211586720401</v>
      </c>
      <c r="F1287">
        <v>0.122381995436647</v>
      </c>
      <c r="G1287">
        <v>8.0085317609074599E-2</v>
      </c>
      <c r="H1287">
        <v>5.4182431675029903E-2</v>
      </c>
      <c r="I1287">
        <v>5.62931616192364E-2</v>
      </c>
      <c r="J1287">
        <v>5.7115038672231902E-2</v>
      </c>
      <c r="K1287">
        <v>5.3972064283021599E-2</v>
      </c>
      <c r="L1287">
        <v>1141.10436845411</v>
      </c>
      <c r="M1287">
        <v>24.8490173775639</v>
      </c>
      <c r="N1287">
        <v>46.1692087408831</v>
      </c>
      <c r="O1287">
        <v>45.627180901568401</v>
      </c>
      <c r="P1287">
        <v>-0.127658263977312</v>
      </c>
      <c r="Q1287">
        <v>6.2400098371933499E-2</v>
      </c>
      <c r="R1287">
        <v>0.99857229860790797</v>
      </c>
      <c r="S1287" t="s">
        <v>7739</v>
      </c>
      <c r="T1287" t="s">
        <v>12902</v>
      </c>
      <c r="U1287" t="s">
        <v>12902</v>
      </c>
      <c r="V1287" t="s">
        <v>12902</v>
      </c>
      <c r="W1287" t="s">
        <v>14162</v>
      </c>
      <c r="X1287">
        <v>36</v>
      </c>
      <c r="Y1287" t="s">
        <v>20548</v>
      </c>
      <c r="Z1287" t="s">
        <v>26862</v>
      </c>
      <c r="AA1287">
        <v>0.2562874802219397</v>
      </c>
      <c r="AB1287" t="str">
        <f>HYPERLINK("Melting_Curves/meltCurve_O00571_DDX3X.pdf", "Melting_Curves/meltCurve_O00571_DDX3X.pdf")</f>
        <v>Melting_Curves/meltCurve_O00571_DDX3X.pdf</v>
      </c>
    </row>
    <row r="1288" spans="1:28" x14ac:dyDescent="0.25">
      <c r="A1288" t="s">
        <v>1292</v>
      </c>
      <c r="B1288">
        <v>0.99673306730245903</v>
      </c>
      <c r="C1288">
        <v>0.96635359472799798</v>
      </c>
      <c r="D1288">
        <v>0.83856335819487904</v>
      </c>
      <c r="E1288">
        <v>0.71653501741701398</v>
      </c>
      <c r="F1288">
        <v>0.484827288910123</v>
      </c>
      <c r="G1288">
        <v>0.31654525488552898</v>
      </c>
      <c r="H1288">
        <v>0.182201212933738</v>
      </c>
      <c r="I1288">
        <v>0.14071767790394299</v>
      </c>
      <c r="J1288">
        <v>0.10331024130847299</v>
      </c>
      <c r="K1288">
        <v>9.1122829370137298E-2</v>
      </c>
      <c r="L1288">
        <v>676.82906097234104</v>
      </c>
      <c r="M1288">
        <v>12.8769696471521</v>
      </c>
      <c r="N1288">
        <v>52.998591386750398</v>
      </c>
      <c r="O1288">
        <v>51.341994971070697</v>
      </c>
      <c r="P1288">
        <v>-5.9552085002617397E-2</v>
      </c>
      <c r="Q1288">
        <v>5.0409344312458602E-2</v>
      </c>
      <c r="R1288">
        <v>0.998491673466404</v>
      </c>
      <c r="S1288" t="s">
        <v>7740</v>
      </c>
      <c r="T1288" t="s">
        <v>12902</v>
      </c>
      <c r="U1288" t="s">
        <v>12902</v>
      </c>
      <c r="V1288" t="s">
        <v>12902</v>
      </c>
      <c r="W1288" t="s">
        <v>14163</v>
      </c>
      <c r="X1288">
        <v>11</v>
      </c>
      <c r="Y1288" t="s">
        <v>20549</v>
      </c>
      <c r="Z1288" t="s">
        <v>26863</v>
      </c>
      <c r="AA1288">
        <v>0.47362449174963123</v>
      </c>
      <c r="AB1288" t="str">
        <f>HYPERLINK("Melting_Curves/meltCurve_O00625_PIR.pdf", "Melting_Curves/meltCurve_O00625_PIR.pdf")</f>
        <v>Melting_Curves/meltCurve_O00625_PIR.pdf</v>
      </c>
    </row>
    <row r="1289" spans="1:28" x14ac:dyDescent="0.25">
      <c r="A1289" t="s">
        <v>1293</v>
      </c>
      <c r="B1289">
        <v>0.99673306730245903</v>
      </c>
      <c r="C1289">
        <v>0.98581219223569505</v>
      </c>
      <c r="D1289">
        <v>0.93607530878762801</v>
      </c>
      <c r="E1289">
        <v>0.90266368756411997</v>
      </c>
      <c r="F1289">
        <v>0.72935757622081399</v>
      </c>
      <c r="G1289">
        <v>0.41130713108214301</v>
      </c>
      <c r="H1289">
        <v>0.22122220740079501</v>
      </c>
      <c r="I1289">
        <v>0.25727614425379403</v>
      </c>
      <c r="J1289">
        <v>0.28975742827030898</v>
      </c>
      <c r="K1289">
        <v>0.27191024702995797</v>
      </c>
      <c r="L1289">
        <v>1479.09582978257</v>
      </c>
      <c r="M1289">
        <v>27.359473422600601</v>
      </c>
      <c r="N1289">
        <v>55.467656339617101</v>
      </c>
      <c r="O1289">
        <v>53.775215326534799</v>
      </c>
      <c r="P1289">
        <v>-9.5383110800699902E-2</v>
      </c>
      <c r="Q1289">
        <v>0.25010263203552302</v>
      </c>
      <c r="R1289">
        <v>0.98904763985897004</v>
      </c>
      <c r="S1289" t="s">
        <v>7741</v>
      </c>
      <c r="T1289" t="s">
        <v>12902</v>
      </c>
      <c r="U1289" t="s">
        <v>12902</v>
      </c>
      <c r="V1289" t="s">
        <v>12902</v>
      </c>
      <c r="W1289" t="s">
        <v>14164</v>
      </c>
      <c r="X1289">
        <v>15</v>
      </c>
      <c r="Y1289" t="s">
        <v>20550</v>
      </c>
      <c r="Z1289" t="s">
        <v>26864</v>
      </c>
      <c r="AA1289">
        <v>0.60746792071634603</v>
      </c>
      <c r="AB1289" t="str">
        <f>HYPERLINK("Melting_Curves/meltCurve_O00629_KPNA4.pdf", "Melting_Curves/meltCurve_O00629_KPNA4.pdf")</f>
        <v>Melting_Curves/meltCurve_O00629_KPNA4.pdf</v>
      </c>
    </row>
    <row r="1290" spans="1:28" x14ac:dyDescent="0.25">
      <c r="A1290" t="s">
        <v>1294</v>
      </c>
      <c r="B1290">
        <v>0.99673306730245903</v>
      </c>
      <c r="C1290">
        <v>0.98137006007900596</v>
      </c>
      <c r="D1290">
        <v>0.97546786217541404</v>
      </c>
      <c r="E1290">
        <v>0.99764618738438104</v>
      </c>
      <c r="F1290">
        <v>0.91675642834478599</v>
      </c>
      <c r="G1290">
        <v>0.90892189388257805</v>
      </c>
      <c r="H1290">
        <v>0.571829061856581</v>
      </c>
      <c r="I1290">
        <v>0.45353551127477598</v>
      </c>
      <c r="J1290">
        <v>0.42423841224272102</v>
      </c>
      <c r="K1290">
        <v>0.37079297692227903</v>
      </c>
      <c r="L1290">
        <v>1834.9658240731901</v>
      </c>
      <c r="M1290">
        <v>30.8830151614054</v>
      </c>
      <c r="N1290">
        <v>62.391164549267202</v>
      </c>
      <c r="O1290">
        <v>59.169208680724502</v>
      </c>
      <c r="P1290">
        <v>-8.0209168256578395E-2</v>
      </c>
      <c r="Q1290">
        <v>0.385308046114689</v>
      </c>
      <c r="R1290">
        <v>0.988470614996807</v>
      </c>
      <c r="S1290" t="s">
        <v>7742</v>
      </c>
      <c r="T1290" t="s">
        <v>12902</v>
      </c>
      <c r="U1290" t="s">
        <v>12902</v>
      </c>
      <c r="V1290" t="s">
        <v>12902</v>
      </c>
      <c r="W1290" t="s">
        <v>14165</v>
      </c>
      <c r="X1290">
        <v>14</v>
      </c>
      <c r="Y1290" t="s">
        <v>20551</v>
      </c>
      <c r="Z1290" t="s">
        <v>26865</v>
      </c>
      <c r="AA1290">
        <v>0.78685746811140467</v>
      </c>
      <c r="AB1290" t="str">
        <f>HYPERLINK("Melting_Curves/meltCurve_O00743_PPP6C.pdf", "Melting_Curves/meltCurve_O00743_PPP6C.pdf")</f>
        <v>Melting_Curves/meltCurve_O00743_PPP6C.pdf</v>
      </c>
    </row>
    <row r="1291" spans="1:28" x14ac:dyDescent="0.25">
      <c r="A1291" t="s">
        <v>1295</v>
      </c>
      <c r="B1291">
        <v>0.99673306730245903</v>
      </c>
      <c r="C1291">
        <v>0.96134287449558797</v>
      </c>
      <c r="D1291">
        <v>1.0717469986291499</v>
      </c>
      <c r="E1291">
        <v>1.05119484145177</v>
      </c>
      <c r="F1291">
        <v>0.97662797734056594</v>
      </c>
      <c r="G1291">
        <v>0.912956312182578</v>
      </c>
      <c r="H1291">
        <v>0.80006086494473005</v>
      </c>
      <c r="I1291">
        <v>0.96465784153708301</v>
      </c>
      <c r="J1291">
        <v>1.54194558689061</v>
      </c>
      <c r="K1291">
        <v>0.97589740104206002</v>
      </c>
      <c r="L1291">
        <v>15000</v>
      </c>
      <c r="M1291">
        <v>229.97046975711399</v>
      </c>
      <c r="O1291">
        <v>65.220808326261505</v>
      </c>
      <c r="P1291">
        <v>0.22801855143716199</v>
      </c>
      <c r="Q1291">
        <v>1.2586690354280301</v>
      </c>
      <c r="R1291">
        <v>0.36711108137251403</v>
      </c>
      <c r="S1291" t="s">
        <v>7743</v>
      </c>
      <c r="T1291" t="s">
        <v>12902</v>
      </c>
      <c r="U1291" t="s">
        <v>12902</v>
      </c>
      <c r="V1291" t="s">
        <v>12902</v>
      </c>
      <c r="W1291" t="s">
        <v>14166</v>
      </c>
      <c r="X1291">
        <v>26</v>
      </c>
      <c r="Y1291" t="s">
        <v>20552</v>
      </c>
      <c r="Z1291" t="s">
        <v>26866</v>
      </c>
      <c r="AA1291">
        <v>1.041129891937461</v>
      </c>
      <c r="AB1291" t="str">
        <f>HYPERLINK("Melting_Curves/meltCurve_O00754_2_MAN2B1.pdf", "Melting_Curves/meltCurve_O00754_2_MAN2B1.pdf")</f>
        <v>Melting_Curves/meltCurve_O00754_2_MAN2B1.pdf</v>
      </c>
    </row>
    <row r="1292" spans="1:28" x14ac:dyDescent="0.25">
      <c r="A1292" t="s">
        <v>1296</v>
      </c>
      <c r="B1292">
        <v>0.99673306730245903</v>
      </c>
      <c r="C1292">
        <v>0.992897793572871</v>
      </c>
      <c r="D1292">
        <v>0.93854568202430599</v>
      </c>
      <c r="E1292">
        <v>0.89445785446603499</v>
      </c>
      <c r="F1292">
        <v>0.72616371404444902</v>
      </c>
      <c r="G1292">
        <v>0.54754750085992498</v>
      </c>
      <c r="H1292">
        <v>0.378424863959753</v>
      </c>
      <c r="I1292">
        <v>0.52671785254215597</v>
      </c>
      <c r="J1292">
        <v>0.53969840644997902</v>
      </c>
      <c r="K1292">
        <v>0.54569882872017805</v>
      </c>
      <c r="L1292">
        <v>1402.6701836905399</v>
      </c>
      <c r="M1292">
        <v>26.759432791208798</v>
      </c>
      <c r="N1292">
        <v>63.781832861766397</v>
      </c>
      <c r="O1292">
        <v>52.127673827039096</v>
      </c>
      <c r="P1292">
        <v>-6.4714073785724399E-2</v>
      </c>
      <c r="Q1292">
        <v>0.49575023559998399</v>
      </c>
      <c r="R1292">
        <v>0.94674419513309704</v>
      </c>
      <c r="S1292" t="s">
        <v>7744</v>
      </c>
      <c r="T1292" t="s">
        <v>12902</v>
      </c>
      <c r="U1292" t="s">
        <v>12902</v>
      </c>
      <c r="V1292" t="s">
        <v>12902</v>
      </c>
      <c r="W1292" t="s">
        <v>14167</v>
      </c>
      <c r="X1292">
        <v>3</v>
      </c>
      <c r="Y1292" t="s">
        <v>20553</v>
      </c>
      <c r="Z1292" t="s">
        <v>26867</v>
      </c>
      <c r="AA1292">
        <v>0.7085274723060857</v>
      </c>
      <c r="AB1292" t="str">
        <f>HYPERLINK("Melting_Curves/meltCurve_O00757_FBP2.pdf", "Melting_Curves/meltCurve_O00757_FBP2.pdf")</f>
        <v>Melting_Curves/meltCurve_O00757_FBP2.pdf</v>
      </c>
    </row>
    <row r="1293" spans="1:28" x14ac:dyDescent="0.25">
      <c r="A1293" t="s">
        <v>1297</v>
      </c>
      <c r="B1293">
        <v>0.99673306730245903</v>
      </c>
      <c r="C1293">
        <v>1.0197990824218599</v>
      </c>
      <c r="D1293">
        <v>0.86575790319895196</v>
      </c>
      <c r="E1293">
        <v>0.54611335278238604</v>
      </c>
      <c r="F1293">
        <v>0.35955453560094403</v>
      </c>
      <c r="G1293">
        <v>0.27688836165416397</v>
      </c>
      <c r="H1293">
        <v>0.14828263440997999</v>
      </c>
      <c r="I1293">
        <v>0.15561534910218899</v>
      </c>
      <c r="J1293">
        <v>0.19717513161453701</v>
      </c>
      <c r="K1293">
        <v>0.183344041966161</v>
      </c>
      <c r="L1293">
        <v>1017.88659989173</v>
      </c>
      <c r="M1293">
        <v>20.5563431853931</v>
      </c>
      <c r="N1293">
        <v>50.581474537328802</v>
      </c>
      <c r="O1293">
        <v>49.055430860104799</v>
      </c>
      <c r="P1293">
        <v>-8.6367311370373706E-2</v>
      </c>
      <c r="Q1293">
        <v>0.17559984788844701</v>
      </c>
      <c r="R1293">
        <v>0.99136878536397999</v>
      </c>
      <c r="S1293" t="s">
        <v>7745</v>
      </c>
      <c r="T1293" t="s">
        <v>12902</v>
      </c>
      <c r="U1293" t="s">
        <v>12902</v>
      </c>
      <c r="V1293" t="s">
        <v>12902</v>
      </c>
      <c r="W1293" t="s">
        <v>14168</v>
      </c>
      <c r="X1293">
        <v>6</v>
      </c>
      <c r="Y1293" t="s">
        <v>20554</v>
      </c>
      <c r="Z1293" t="s">
        <v>26868</v>
      </c>
      <c r="AA1293">
        <v>0.44801532924632348</v>
      </c>
      <c r="AB1293" t="str">
        <f>HYPERLINK("Melting_Curves/meltCurve_O00762_2_UBE2C.pdf", "Melting_Curves/meltCurve_O00762_2_UBE2C.pdf")</f>
        <v>Melting_Curves/meltCurve_O00762_2_UBE2C.pdf</v>
      </c>
    </row>
    <row r="1294" spans="1:28" x14ac:dyDescent="0.25">
      <c r="A1294" t="s">
        <v>1298</v>
      </c>
      <c r="B1294">
        <v>0.99673306730245903</v>
      </c>
      <c r="C1294">
        <v>1.0052053849953599</v>
      </c>
      <c r="D1294">
        <v>0.987037888267286</v>
      </c>
      <c r="E1294">
        <v>0.99269899600318201</v>
      </c>
      <c r="F1294">
        <v>0.84842725546368203</v>
      </c>
      <c r="G1294">
        <v>0.77362652556970801</v>
      </c>
      <c r="H1294">
        <v>0.46539414559026099</v>
      </c>
      <c r="I1294">
        <v>0.103755798242481</v>
      </c>
      <c r="J1294">
        <v>8.8185155696185805E-2</v>
      </c>
      <c r="K1294">
        <v>7.4526291934597505E-2</v>
      </c>
      <c r="L1294">
        <v>1291.36612607492</v>
      </c>
      <c r="M1294">
        <v>21.612746698621699</v>
      </c>
      <c r="N1294">
        <v>59.750212942019097</v>
      </c>
      <c r="O1294">
        <v>59.245744003883601</v>
      </c>
      <c r="P1294">
        <v>-9.1201772385645197E-2</v>
      </c>
      <c r="Q1294">
        <v>0</v>
      </c>
      <c r="R1294">
        <v>0.98653027175654795</v>
      </c>
      <c r="S1294" t="s">
        <v>7746</v>
      </c>
      <c r="T1294" t="s">
        <v>12902</v>
      </c>
      <c r="U1294" t="s">
        <v>12902</v>
      </c>
      <c r="V1294" t="s">
        <v>12902</v>
      </c>
      <c r="W1294" t="s">
        <v>14169</v>
      </c>
      <c r="X1294">
        <v>11</v>
      </c>
      <c r="Y1294" t="s">
        <v>20555</v>
      </c>
      <c r="Z1294" t="s">
        <v>26869</v>
      </c>
      <c r="AA1294">
        <v>0.66688842933517001</v>
      </c>
      <c r="AB1294" t="str">
        <f>HYPERLINK("Melting_Curves/meltCurve_O00764_PDXK.pdf", "Melting_Curves/meltCurve_O00764_PDXK.pdf")</f>
        <v>Melting_Curves/meltCurve_O00764_PDXK.pdf</v>
      </c>
    </row>
    <row r="1295" spans="1:28" x14ac:dyDescent="0.25">
      <c r="A1295" t="s">
        <v>1299</v>
      </c>
      <c r="B1295">
        <v>0.99673306730245903</v>
      </c>
      <c r="C1295">
        <v>0.91112957133802797</v>
      </c>
      <c r="D1295">
        <v>0.69434520013146805</v>
      </c>
      <c r="E1295">
        <v>0.41222591960245097</v>
      </c>
      <c r="F1295">
        <v>0.24898459534612699</v>
      </c>
      <c r="G1295">
        <v>0.170786392018869</v>
      </c>
      <c r="H1295">
        <v>9.2259036736392006E-2</v>
      </c>
      <c r="I1295">
        <v>6.6599279648648799E-2</v>
      </c>
      <c r="J1295">
        <v>5.4574176019538803E-2</v>
      </c>
      <c r="K1295">
        <v>4.0134408107222498E-2</v>
      </c>
      <c r="L1295">
        <v>758.94411297081899</v>
      </c>
      <c r="M1295">
        <v>15.690060633159399</v>
      </c>
      <c r="N1295">
        <v>48.709578467053298</v>
      </c>
      <c r="O1295">
        <v>47.605719872951298</v>
      </c>
      <c r="P1295">
        <v>-7.8145985303568602E-2</v>
      </c>
      <c r="Q1295">
        <v>5.1659643224186903E-2</v>
      </c>
      <c r="R1295">
        <v>0.99664836064250395</v>
      </c>
      <c r="S1295" t="s">
        <v>7747</v>
      </c>
      <c r="T1295" t="s">
        <v>12902</v>
      </c>
      <c r="U1295" t="s">
        <v>12902</v>
      </c>
      <c r="V1295" t="s">
        <v>12902</v>
      </c>
      <c r="W1295" t="s">
        <v>14170</v>
      </c>
      <c r="X1295">
        <v>3</v>
      </c>
      <c r="Y1295" t="s">
        <v>20556</v>
      </c>
      <c r="Z1295" t="s">
        <v>26870</v>
      </c>
      <c r="AA1295">
        <v>0.33825267940792869</v>
      </c>
      <c r="AB1295" t="str">
        <f>HYPERLINK("Melting_Curves/meltCurve_O00767_SCD.pdf", "Melting_Curves/meltCurve_O00767_SCD.pdf")</f>
        <v>Melting_Curves/meltCurve_O00767_SCD.pdf</v>
      </c>
    </row>
    <row r="1296" spans="1:28" x14ac:dyDescent="0.25">
      <c r="A1296" t="s">
        <v>1300</v>
      </c>
      <c r="B1296">
        <v>0.99673306730245903</v>
      </c>
      <c r="C1296">
        <v>0.83429267946401298</v>
      </c>
      <c r="D1296">
        <v>0.6018215101762</v>
      </c>
      <c r="E1296">
        <v>0.35967552731322799</v>
      </c>
      <c r="F1296">
        <v>0.26108930865928498</v>
      </c>
      <c r="G1296">
        <v>0.17543160905503399</v>
      </c>
      <c r="H1296">
        <v>0.12019891526592601</v>
      </c>
      <c r="I1296">
        <v>0.14339239767928899</v>
      </c>
      <c r="J1296">
        <v>0.17339107652624999</v>
      </c>
      <c r="K1296">
        <v>0.180596320779286</v>
      </c>
      <c r="L1296">
        <v>838.87336242637105</v>
      </c>
      <c r="M1296">
        <v>18.064822291375101</v>
      </c>
      <c r="N1296">
        <v>47.397013565111997</v>
      </c>
      <c r="O1296">
        <v>45.879027111461099</v>
      </c>
      <c r="P1296">
        <v>-8.3357487770506694E-2</v>
      </c>
      <c r="Q1296">
        <v>0.15323302603546701</v>
      </c>
      <c r="R1296">
        <v>0.99326072450320602</v>
      </c>
      <c r="S1296" t="s">
        <v>7748</v>
      </c>
      <c r="T1296" t="s">
        <v>12902</v>
      </c>
      <c r="U1296" t="s">
        <v>12902</v>
      </c>
      <c r="V1296" t="s">
        <v>12902</v>
      </c>
      <c r="W1296" t="s">
        <v>14171</v>
      </c>
      <c r="X1296">
        <v>11</v>
      </c>
      <c r="Y1296" t="s">
        <v>20557</v>
      </c>
      <c r="Z1296" t="s">
        <v>26871</v>
      </c>
      <c r="AA1296">
        <v>0.35091239811294223</v>
      </c>
      <c r="AB1296" t="str">
        <f>HYPERLINK("Melting_Curves/meltCurve_O14497_ARID1A.pdf", "Melting_Curves/meltCurve_O14497_ARID1A.pdf")</f>
        <v>Melting_Curves/meltCurve_O14497_ARID1A.pdf</v>
      </c>
    </row>
    <row r="1297" spans="1:28" x14ac:dyDescent="0.25">
      <c r="A1297" t="s">
        <v>1301</v>
      </c>
      <c r="B1297">
        <v>0.99673306730245903</v>
      </c>
      <c r="C1297">
        <v>0.878548822135508</v>
      </c>
      <c r="D1297">
        <v>0.84623739054954294</v>
      </c>
      <c r="E1297">
        <v>0.87313370964002401</v>
      </c>
      <c r="F1297">
        <v>0.96649001046614402</v>
      </c>
      <c r="G1297">
        <v>0.87633050277609803</v>
      </c>
      <c r="H1297">
        <v>0.88426683167858899</v>
      </c>
      <c r="I1297">
        <v>1.4010610136871799</v>
      </c>
      <c r="J1297">
        <v>1.77608492267157</v>
      </c>
      <c r="K1297">
        <v>2.1496140100771002</v>
      </c>
      <c r="L1297">
        <v>15000</v>
      </c>
      <c r="M1297">
        <v>235.77455388840499</v>
      </c>
      <c r="O1297">
        <v>63.615519646250803</v>
      </c>
      <c r="P1297">
        <v>0.46328033471117702</v>
      </c>
      <c r="Q1297">
        <v>1.5</v>
      </c>
      <c r="R1297">
        <v>0.69297040846925395</v>
      </c>
      <c r="S1297" t="s">
        <v>7749</v>
      </c>
      <c r="T1297" t="s">
        <v>12902</v>
      </c>
      <c r="U1297" t="s">
        <v>12902</v>
      </c>
      <c r="V1297" t="s">
        <v>12902</v>
      </c>
      <c r="W1297" t="s">
        <v>14172</v>
      </c>
      <c r="X1297">
        <v>1</v>
      </c>
      <c r="Y1297" t="s">
        <v>20558</v>
      </c>
      <c r="Z1297" t="s">
        <v>26872</v>
      </c>
      <c r="AA1297">
        <v>1.106268948231576</v>
      </c>
      <c r="AB1297" t="str">
        <f>HYPERLINK("Melting_Curves/meltCurve_O14519_2_CDK2AP1.pdf", "Melting_Curves/meltCurve_O14519_2_CDK2AP1.pdf")</f>
        <v>Melting_Curves/meltCurve_O14519_2_CDK2AP1.pdf</v>
      </c>
    </row>
    <row r="1298" spans="1:28" x14ac:dyDescent="0.25">
      <c r="A1298" t="s">
        <v>1302</v>
      </c>
      <c r="B1298">
        <v>0.99673306730245903</v>
      </c>
      <c r="C1298">
        <v>0.98656750242499702</v>
      </c>
      <c r="D1298">
        <v>0.83266955201554405</v>
      </c>
      <c r="E1298">
        <v>0.67321898074642295</v>
      </c>
      <c r="F1298">
        <v>0.53682224032523795</v>
      </c>
      <c r="G1298">
        <v>0.426673134772456</v>
      </c>
      <c r="H1298">
        <v>0.26933221390418999</v>
      </c>
      <c r="I1298">
        <v>0.16661265278135301</v>
      </c>
      <c r="J1298">
        <v>0.122417749573179</v>
      </c>
      <c r="K1298">
        <v>0.105465705604672</v>
      </c>
      <c r="L1298">
        <v>528.47544880043495</v>
      </c>
      <c r="M1298">
        <v>9.7522158775814507</v>
      </c>
      <c r="N1298">
        <v>54.195683886252098</v>
      </c>
      <c r="O1298">
        <v>52.059018248894702</v>
      </c>
      <c r="P1298">
        <v>-4.6834857647264402E-2</v>
      </c>
      <c r="Q1298">
        <v>4.8468907087815199E-4</v>
      </c>
      <c r="R1298">
        <v>0.99280674970556904</v>
      </c>
      <c r="S1298" t="s">
        <v>7750</v>
      </c>
      <c r="T1298" t="s">
        <v>12902</v>
      </c>
      <c r="U1298" t="s">
        <v>12902</v>
      </c>
      <c r="V1298" t="s">
        <v>12902</v>
      </c>
      <c r="W1298" t="s">
        <v>14173</v>
      </c>
      <c r="X1298">
        <v>2</v>
      </c>
      <c r="Y1298" t="s">
        <v>20559</v>
      </c>
      <c r="Z1298" t="s">
        <v>26873</v>
      </c>
      <c r="AA1298">
        <v>0.5031204555824037</v>
      </c>
      <c r="AB1298" t="str">
        <f>HYPERLINK("Melting_Curves/meltCurve_O14523_C2CD2L.pdf", "Melting_Curves/meltCurve_O14523_C2CD2L.pdf")</f>
        <v>Melting_Curves/meltCurve_O14523_C2CD2L.pdf</v>
      </c>
    </row>
    <row r="1299" spans="1:28" x14ac:dyDescent="0.25">
      <c r="A1299" t="s">
        <v>1303</v>
      </c>
      <c r="B1299">
        <v>0.99673306730245903</v>
      </c>
      <c r="C1299">
        <v>0.90874505941797801</v>
      </c>
      <c r="D1299">
        <v>0.88974859679184504</v>
      </c>
      <c r="E1299">
        <v>0.733923065062979</v>
      </c>
      <c r="F1299">
        <v>0.51142279091785703</v>
      </c>
      <c r="G1299">
        <v>0.349720494200641</v>
      </c>
      <c r="H1299">
        <v>0.26800767288829802</v>
      </c>
      <c r="I1299">
        <v>0.279560553292105</v>
      </c>
      <c r="J1299">
        <v>0.32924545407585998</v>
      </c>
      <c r="K1299">
        <v>0.41227445200027701</v>
      </c>
      <c r="L1299">
        <v>984.11025008235504</v>
      </c>
      <c r="M1299">
        <v>19.516732971233001</v>
      </c>
      <c r="N1299">
        <v>53.055665836406398</v>
      </c>
      <c r="O1299">
        <v>49.903488164261198</v>
      </c>
      <c r="P1299">
        <v>-6.7455930503236006E-2</v>
      </c>
      <c r="Q1299">
        <v>0.31009650963338098</v>
      </c>
      <c r="R1299">
        <v>0.96870821766666204</v>
      </c>
      <c r="S1299" t="s">
        <v>7751</v>
      </c>
      <c r="T1299" t="s">
        <v>12902</v>
      </c>
      <c r="U1299" t="s">
        <v>12902</v>
      </c>
      <c r="V1299" t="s">
        <v>12902</v>
      </c>
      <c r="W1299" t="s">
        <v>14174</v>
      </c>
      <c r="X1299">
        <v>14</v>
      </c>
      <c r="Y1299" t="s">
        <v>20560</v>
      </c>
      <c r="Z1299" t="s">
        <v>26874</v>
      </c>
      <c r="AA1299">
        <v>0.55986321525087857</v>
      </c>
      <c r="AB1299" t="str">
        <f>HYPERLINK("Melting_Curves/meltCurve_O14545_TRAFD1.pdf", "Melting_Curves/meltCurve_O14545_TRAFD1.pdf")</f>
        <v>Melting_Curves/meltCurve_O14545_TRAFD1.pdf</v>
      </c>
    </row>
    <row r="1300" spans="1:28" x14ac:dyDescent="0.25">
      <c r="A1300" t="s">
        <v>1304</v>
      </c>
      <c r="B1300">
        <v>0.99673306730245903</v>
      </c>
      <c r="C1300">
        <v>1.09363779771557</v>
      </c>
      <c r="D1300">
        <v>1.0081962047319599</v>
      </c>
      <c r="E1300">
        <v>1.0128047339505999</v>
      </c>
      <c r="F1300">
        <v>0.81512688879886197</v>
      </c>
      <c r="G1300">
        <v>0.80266737119392295</v>
      </c>
      <c r="H1300">
        <v>0.62759879507435701</v>
      </c>
      <c r="I1300">
        <v>0.93848932784510497</v>
      </c>
      <c r="J1300">
        <v>0.97461142479640805</v>
      </c>
      <c r="K1300">
        <v>0.95958055765450001</v>
      </c>
      <c r="L1300">
        <v>5933.9662142365696</v>
      </c>
      <c r="M1300">
        <v>116.05264388066099</v>
      </c>
      <c r="O1300">
        <v>51.116502174505897</v>
      </c>
      <c r="P1300">
        <v>-8.3495329983312799E-2</v>
      </c>
      <c r="Q1300">
        <v>0.85289473501355395</v>
      </c>
      <c r="R1300">
        <v>0.418011490181325</v>
      </c>
      <c r="S1300" t="s">
        <v>7752</v>
      </c>
      <c r="T1300" t="s">
        <v>12902</v>
      </c>
      <c r="U1300" t="s">
        <v>12902</v>
      </c>
      <c r="V1300" t="s">
        <v>12902</v>
      </c>
      <c r="W1300" t="s">
        <v>14175</v>
      </c>
      <c r="X1300">
        <v>5</v>
      </c>
      <c r="Y1300" t="s">
        <v>20561</v>
      </c>
      <c r="Z1300" t="s">
        <v>26875</v>
      </c>
      <c r="AA1300">
        <v>0.90754031504427912</v>
      </c>
      <c r="AB1300" t="str">
        <f>HYPERLINK("Melting_Curves/meltCurve_O14548_COX7A2L.pdf", "Melting_Curves/meltCurve_O14548_COX7A2L.pdf")</f>
        <v>Melting_Curves/meltCurve_O14548_COX7A2L.pdf</v>
      </c>
    </row>
    <row r="1301" spans="1:28" x14ac:dyDescent="0.25">
      <c r="A1301" t="s">
        <v>1305</v>
      </c>
      <c r="B1301">
        <v>0.99673306730245903</v>
      </c>
      <c r="C1301">
        <v>0.95341999292227098</v>
      </c>
      <c r="D1301">
        <v>1.10446379063628</v>
      </c>
      <c r="E1301">
        <v>1.00321810213185</v>
      </c>
      <c r="F1301">
        <v>1.1155914141296699</v>
      </c>
      <c r="G1301">
        <v>0.96840955002122797</v>
      </c>
      <c r="H1301">
        <v>0.85080476592727505</v>
      </c>
      <c r="I1301">
        <v>0.74628908621086698</v>
      </c>
      <c r="J1301">
        <v>0.20652321928707901</v>
      </c>
      <c r="K1301">
        <v>0.12848704746220599</v>
      </c>
      <c r="L1301">
        <v>3087.3097291193098</v>
      </c>
      <c r="M1301">
        <v>47.487212775360497</v>
      </c>
      <c r="N1301">
        <v>65.234631495058807</v>
      </c>
      <c r="O1301">
        <v>64.898514931187293</v>
      </c>
      <c r="P1301">
        <v>-0.16932948848564</v>
      </c>
      <c r="Q1301">
        <v>7.4342741752421199E-2</v>
      </c>
      <c r="R1301">
        <v>0.96038484404181701</v>
      </c>
      <c r="S1301" t="s">
        <v>7753</v>
      </c>
      <c r="T1301" t="s">
        <v>12902</v>
      </c>
      <c r="U1301" t="s">
        <v>12902</v>
      </c>
      <c r="V1301" t="s">
        <v>12902</v>
      </c>
      <c r="W1301" t="s">
        <v>14176</v>
      </c>
      <c r="X1301">
        <v>2</v>
      </c>
      <c r="Y1301" t="s">
        <v>20562</v>
      </c>
      <c r="Z1301" t="s">
        <v>26876</v>
      </c>
      <c r="AA1301">
        <v>0.84736945251332829</v>
      </c>
      <c r="AB1301" t="str">
        <f>HYPERLINK("Melting_Curves/meltCurve_O14556_GAPDHS.pdf", "Melting_Curves/meltCurve_O14556_GAPDHS.pdf")</f>
        <v>Melting_Curves/meltCurve_O14556_GAPDHS.pdf</v>
      </c>
    </row>
    <row r="1302" spans="1:28" x14ac:dyDescent="0.25">
      <c r="A1302" t="s">
        <v>1306</v>
      </c>
      <c r="B1302">
        <v>0.99673306730245903</v>
      </c>
      <c r="C1302">
        <v>1.0628651533198299</v>
      </c>
      <c r="D1302">
        <v>1.0559058302886599</v>
      </c>
      <c r="E1302">
        <v>1.2721537138455601</v>
      </c>
      <c r="F1302">
        <v>1.2123442532890401</v>
      </c>
      <c r="G1302">
        <v>1.15278966458222</v>
      </c>
      <c r="H1302">
        <v>0.84610998291683304</v>
      </c>
      <c r="I1302">
        <v>1.2390550190806</v>
      </c>
      <c r="J1302">
        <v>0.92349844972139805</v>
      </c>
      <c r="K1302">
        <v>0.76491711434409404</v>
      </c>
      <c r="L1302">
        <v>15000</v>
      </c>
      <c r="M1302">
        <v>222.81748727495801</v>
      </c>
      <c r="O1302">
        <v>67.314248243377193</v>
      </c>
      <c r="P1302">
        <v>-0.19457674299687699</v>
      </c>
      <c r="Q1302">
        <v>0.76486967325389599</v>
      </c>
      <c r="R1302">
        <v>0.126629422435422</v>
      </c>
      <c r="S1302" t="s">
        <v>7754</v>
      </c>
      <c r="T1302" t="s">
        <v>12902</v>
      </c>
      <c r="U1302" t="s">
        <v>12902</v>
      </c>
      <c r="V1302" t="s">
        <v>12902</v>
      </c>
      <c r="W1302" t="s">
        <v>14177</v>
      </c>
      <c r="X1302">
        <v>2</v>
      </c>
      <c r="Y1302" t="s">
        <v>20296</v>
      </c>
      <c r="Z1302" t="s">
        <v>26877</v>
      </c>
      <c r="AA1302">
        <v>0.97902691119587704</v>
      </c>
      <c r="AB1302" t="str">
        <f>HYPERLINK("Melting_Curves/meltCurve_O14561_NDUFAB1.pdf", "Melting_Curves/meltCurve_O14561_NDUFAB1.pdf")</f>
        <v>Melting_Curves/meltCurve_O14561_NDUFAB1.pdf</v>
      </c>
    </row>
    <row r="1303" spans="1:28" x14ac:dyDescent="0.25">
      <c r="A1303" t="s">
        <v>1307</v>
      </c>
      <c r="B1303">
        <v>0.99673306730245903</v>
      </c>
      <c r="C1303">
        <v>0.91554058268971505</v>
      </c>
      <c r="D1303">
        <v>0.90009925344522301</v>
      </c>
      <c r="E1303">
        <v>0.60588134350104506</v>
      </c>
      <c r="F1303">
        <v>0.263142901378982</v>
      </c>
      <c r="G1303">
        <v>0.14774251116643899</v>
      </c>
      <c r="H1303">
        <v>9.0790661215818497E-2</v>
      </c>
      <c r="I1303">
        <v>8.8016176459320805E-2</v>
      </c>
      <c r="J1303">
        <v>9.2214714831241107E-2</v>
      </c>
      <c r="K1303">
        <v>7.24256901741131E-2</v>
      </c>
      <c r="L1303">
        <v>1113.12963261353</v>
      </c>
      <c r="M1303">
        <v>22.198301978397701</v>
      </c>
      <c r="N1303">
        <v>50.528931888136803</v>
      </c>
      <c r="O1303">
        <v>49.743183282457899</v>
      </c>
      <c r="P1303">
        <v>-0.102904822606287</v>
      </c>
      <c r="Q1303">
        <v>7.7640583631937599E-2</v>
      </c>
      <c r="R1303">
        <v>0.996594342377216</v>
      </c>
      <c r="S1303" t="s">
        <v>7755</v>
      </c>
      <c r="T1303" t="s">
        <v>12902</v>
      </c>
      <c r="U1303" t="s">
        <v>12902</v>
      </c>
      <c r="V1303" t="s">
        <v>12902</v>
      </c>
      <c r="W1303" t="s">
        <v>14178</v>
      </c>
      <c r="X1303">
        <v>15</v>
      </c>
      <c r="Y1303" t="s">
        <v>20563</v>
      </c>
      <c r="Z1303" t="s">
        <v>26878</v>
      </c>
      <c r="AA1303">
        <v>0.40000780687516158</v>
      </c>
      <c r="AB1303" t="str">
        <f>HYPERLINK("Melting_Curves/meltCurve_O14578_4_CIT.pdf", "Melting_Curves/meltCurve_O14578_4_CIT.pdf")</f>
        <v>Melting_Curves/meltCurve_O14578_4_CIT.pdf</v>
      </c>
    </row>
    <row r="1304" spans="1:28" x14ac:dyDescent="0.25">
      <c r="A1304" t="s">
        <v>1308</v>
      </c>
      <c r="B1304">
        <v>0.99673306730245903</v>
      </c>
      <c r="C1304">
        <v>0.92087073063651104</v>
      </c>
      <c r="D1304">
        <v>0.97045247675500701</v>
      </c>
      <c r="E1304">
        <v>1.1010645054382699</v>
      </c>
      <c r="F1304">
        <v>0.47604024786760302</v>
      </c>
      <c r="G1304">
        <v>0.14429305543912699</v>
      </c>
      <c r="H1304">
        <v>8.3211685552441905E-2</v>
      </c>
      <c r="I1304">
        <v>6.8354593584534204E-2</v>
      </c>
      <c r="J1304">
        <v>6.1710968752288799E-2</v>
      </c>
      <c r="K1304">
        <v>5.65691020704596E-2</v>
      </c>
      <c r="L1304">
        <v>6990.9251658291596</v>
      </c>
      <c r="M1304">
        <v>131.69494452392399</v>
      </c>
      <c r="N1304">
        <v>53.1572943971873</v>
      </c>
      <c r="O1304">
        <v>53.071995082639603</v>
      </c>
      <c r="P1304">
        <v>-0.56900362774088598</v>
      </c>
      <c r="Q1304">
        <v>8.27846187050163E-2</v>
      </c>
      <c r="R1304">
        <v>0.98804836051388401</v>
      </c>
      <c r="S1304" t="s">
        <v>7756</v>
      </c>
      <c r="T1304" t="s">
        <v>12902</v>
      </c>
      <c r="U1304" t="s">
        <v>12902</v>
      </c>
      <c r="V1304" t="s">
        <v>12902</v>
      </c>
      <c r="W1304" t="s">
        <v>14179</v>
      </c>
      <c r="X1304">
        <v>15</v>
      </c>
      <c r="Y1304" t="s">
        <v>20564</v>
      </c>
      <c r="Z1304" t="s">
        <v>26879</v>
      </c>
      <c r="AA1304">
        <v>0.48312806225901539</v>
      </c>
      <c r="AB1304" t="str">
        <f>HYPERLINK("Melting_Curves/meltCurve_O14579_COPE.pdf", "Melting_Curves/meltCurve_O14579_COPE.pdf")</f>
        <v>Melting_Curves/meltCurve_O14579_COPE.pdf</v>
      </c>
    </row>
    <row r="1305" spans="1:28" x14ac:dyDescent="0.25">
      <c r="A1305" t="s">
        <v>1309</v>
      </c>
      <c r="B1305">
        <v>0.99673306730245903</v>
      </c>
      <c r="C1305">
        <v>0.90879118601207298</v>
      </c>
      <c r="D1305">
        <v>0.95831737431292596</v>
      </c>
      <c r="E1305">
        <v>0.93093868712339101</v>
      </c>
      <c r="F1305">
        <v>0.21202564933628901</v>
      </c>
      <c r="G1305">
        <v>0.12006680265603201</v>
      </c>
      <c r="H1305">
        <v>6.7418091477781703E-2</v>
      </c>
      <c r="I1305">
        <v>6.32736265250015E-2</v>
      </c>
      <c r="J1305">
        <v>6.1165200590705598E-2</v>
      </c>
      <c r="K1305">
        <v>5.5945514133483101E-2</v>
      </c>
      <c r="L1305">
        <v>3057.52305926706</v>
      </c>
      <c r="M1305">
        <v>59.174149252360799</v>
      </c>
      <c r="N1305">
        <v>51.806301040584103</v>
      </c>
      <c r="O1305">
        <v>51.610999051577203</v>
      </c>
      <c r="P1305">
        <v>-0.26596083089489903</v>
      </c>
      <c r="Q1305">
        <v>7.2128731755670403E-2</v>
      </c>
      <c r="R1305">
        <v>0.99296800493159398</v>
      </c>
      <c r="S1305" t="s">
        <v>7757</v>
      </c>
      <c r="T1305" t="s">
        <v>12902</v>
      </c>
      <c r="U1305" t="s">
        <v>12902</v>
      </c>
      <c r="V1305" t="s">
        <v>12902</v>
      </c>
      <c r="W1305" t="s">
        <v>14180</v>
      </c>
      <c r="X1305">
        <v>14</v>
      </c>
      <c r="Y1305" t="s">
        <v>20565</v>
      </c>
      <c r="Z1305" t="s">
        <v>26880</v>
      </c>
      <c r="AA1305">
        <v>0.43457536639587308</v>
      </c>
      <c r="AB1305" t="str">
        <f>HYPERLINK("Melting_Curves/meltCurve_O14617_AP3D1.pdf", "Melting_Curves/meltCurve_O14617_AP3D1.pdf")</f>
        <v>Melting_Curves/meltCurve_O14617_AP3D1.pdf</v>
      </c>
    </row>
    <row r="1306" spans="1:28" x14ac:dyDescent="0.25">
      <c r="A1306" t="s">
        <v>1310</v>
      </c>
      <c r="B1306">
        <v>0.99673306730245903</v>
      </c>
      <c r="C1306">
        <v>0.84126812663371797</v>
      </c>
      <c r="D1306">
        <v>0.28938731017334202</v>
      </c>
      <c r="E1306">
        <v>0.23948249837728</v>
      </c>
      <c r="F1306">
        <v>0.16277956387477899</v>
      </c>
      <c r="G1306">
        <v>0.103050263245216</v>
      </c>
      <c r="H1306">
        <v>8.87413374035005E-2</v>
      </c>
      <c r="I1306">
        <v>7.6152273653686695E-2</v>
      </c>
      <c r="J1306">
        <v>8.8295449209255097E-2</v>
      </c>
      <c r="K1306">
        <v>6.7135097662124804E-2</v>
      </c>
      <c r="L1306">
        <v>1681.5339504296401</v>
      </c>
      <c r="M1306">
        <v>37.772599969291299</v>
      </c>
      <c r="N1306">
        <v>44.819079211911998</v>
      </c>
      <c r="O1306">
        <v>44.393071347285499</v>
      </c>
      <c r="P1306">
        <v>-0.18883233898756799</v>
      </c>
      <c r="Q1306">
        <v>0.11228507943172</v>
      </c>
      <c r="R1306">
        <v>0.980888376164607</v>
      </c>
      <c r="S1306" t="s">
        <v>7758</v>
      </c>
      <c r="T1306" t="s">
        <v>12902</v>
      </c>
      <c r="U1306" t="s">
        <v>12902</v>
      </c>
      <c r="V1306" t="s">
        <v>12902</v>
      </c>
      <c r="W1306" t="s">
        <v>14181</v>
      </c>
      <c r="X1306">
        <v>1</v>
      </c>
      <c r="Y1306" t="s">
        <v>20566</v>
      </c>
      <c r="Z1306" t="s">
        <v>26881</v>
      </c>
      <c r="AA1306">
        <v>0.24939655449789461</v>
      </c>
      <c r="AB1306" t="str">
        <f>HYPERLINK("Melting_Curves/meltCurve_O14646_2_CHD1.pdf", "Melting_Curves/meltCurve_O14646_2_CHD1.pdf")</f>
        <v>Melting_Curves/meltCurve_O14646_2_CHD1.pdf</v>
      </c>
    </row>
    <row r="1307" spans="1:28" x14ac:dyDescent="0.25">
      <c r="A1307" t="s">
        <v>1311</v>
      </c>
      <c r="B1307">
        <v>0.99673306730245903</v>
      </c>
      <c r="C1307">
        <v>1.0201583649097501</v>
      </c>
      <c r="D1307">
        <v>0.98725465246931499</v>
      </c>
      <c r="E1307">
        <v>0.82262811632989796</v>
      </c>
      <c r="F1307">
        <v>0.63813301434014602</v>
      </c>
      <c r="G1307">
        <v>0.34655792472380398</v>
      </c>
      <c r="H1307">
        <v>0.17195512815778299</v>
      </c>
      <c r="I1307">
        <v>0.15299557335330599</v>
      </c>
      <c r="J1307">
        <v>0.14957146077167299</v>
      </c>
      <c r="K1307">
        <v>0.12343426584756401</v>
      </c>
      <c r="L1307">
        <v>1056.1888368550899</v>
      </c>
      <c r="M1307">
        <v>19.609707986369099</v>
      </c>
      <c r="N1307">
        <v>54.576929170567901</v>
      </c>
      <c r="O1307">
        <v>53.309771010122098</v>
      </c>
      <c r="P1307">
        <v>-8.1528743859116307E-2</v>
      </c>
      <c r="Q1307">
        <v>0.113474630260509</v>
      </c>
      <c r="R1307">
        <v>0.99687788648180997</v>
      </c>
      <c r="S1307" t="s">
        <v>7759</v>
      </c>
      <c r="T1307" t="s">
        <v>12902</v>
      </c>
      <c r="U1307" t="s">
        <v>12902</v>
      </c>
      <c r="V1307" t="s">
        <v>12902</v>
      </c>
      <c r="W1307" t="s">
        <v>14182</v>
      </c>
      <c r="X1307">
        <v>3</v>
      </c>
      <c r="Y1307" t="s">
        <v>20567</v>
      </c>
      <c r="Z1307" t="s">
        <v>26882</v>
      </c>
      <c r="AA1307">
        <v>0.53552902361810284</v>
      </c>
      <c r="AB1307" t="str">
        <f>HYPERLINK("Melting_Curves/meltCurve_O14656_TOR1A.pdf", "Melting_Curves/meltCurve_O14656_TOR1A.pdf")</f>
        <v>Melting_Curves/meltCurve_O14656_TOR1A.pdf</v>
      </c>
    </row>
    <row r="1308" spans="1:28" x14ac:dyDescent="0.25">
      <c r="A1308" t="s">
        <v>1312</v>
      </c>
      <c r="B1308">
        <v>0.99673306730245903</v>
      </c>
      <c r="C1308">
        <v>0.99917276261397603</v>
      </c>
      <c r="D1308">
        <v>0.89672064956905295</v>
      </c>
      <c r="E1308">
        <v>0.83688375300360895</v>
      </c>
      <c r="F1308">
        <v>0.38296277798091699</v>
      </c>
      <c r="G1308">
        <v>0.237548584435674</v>
      </c>
      <c r="H1308">
        <v>0.16345270783042801</v>
      </c>
      <c r="I1308">
        <v>0.16665391771455401</v>
      </c>
      <c r="J1308">
        <v>0.118184137923716</v>
      </c>
      <c r="K1308">
        <v>0.110305017197541</v>
      </c>
      <c r="L1308">
        <v>1387.8752440676401</v>
      </c>
      <c r="M1308">
        <v>26.814006526014399</v>
      </c>
      <c r="N1308">
        <v>52.380265136862803</v>
      </c>
      <c r="O1308">
        <v>51.474025195786098</v>
      </c>
      <c r="P1308">
        <v>-0.11250134254031501</v>
      </c>
      <c r="Q1308">
        <v>0.13614730324760599</v>
      </c>
      <c r="R1308">
        <v>0.99185068839118895</v>
      </c>
      <c r="S1308" t="s">
        <v>7760</v>
      </c>
      <c r="T1308" t="s">
        <v>12902</v>
      </c>
      <c r="U1308" t="s">
        <v>12902</v>
      </c>
      <c r="V1308" t="s">
        <v>12902</v>
      </c>
      <c r="W1308" t="s">
        <v>14183</v>
      </c>
      <c r="X1308">
        <v>3</v>
      </c>
      <c r="Y1308" t="s">
        <v>20568</v>
      </c>
      <c r="Z1308" t="s">
        <v>26883</v>
      </c>
      <c r="AA1308">
        <v>0.48162213416575411</v>
      </c>
      <c r="AB1308" t="str">
        <f>HYPERLINK("Melting_Curves/meltCurve_O14657_TOR1B.pdf", "Melting_Curves/meltCurve_O14657_TOR1B.pdf")</f>
        <v>Melting_Curves/meltCurve_O14657_TOR1B.pdf</v>
      </c>
    </row>
    <row r="1309" spans="1:28" x14ac:dyDescent="0.25">
      <c r="A1309" t="s">
        <v>1313</v>
      </c>
      <c r="B1309">
        <v>0.99673306730245903</v>
      </c>
      <c r="C1309">
        <v>0.98544425036133299</v>
      </c>
      <c r="D1309">
        <v>0.89391991542748805</v>
      </c>
      <c r="E1309">
        <v>0.55164545064229598</v>
      </c>
      <c r="F1309">
        <v>0.27590070450444598</v>
      </c>
      <c r="G1309">
        <v>0.15925194648855301</v>
      </c>
      <c r="H1309">
        <v>6.6927610213063496E-2</v>
      </c>
      <c r="I1309">
        <v>5.79669496225797E-2</v>
      </c>
      <c r="J1309">
        <v>7.6175408768114794E-2</v>
      </c>
      <c r="K1309">
        <v>5.8206414153401102E-2</v>
      </c>
      <c r="L1309">
        <v>1061.3646968384801</v>
      </c>
      <c r="M1309">
        <v>21.215442699615998</v>
      </c>
      <c r="N1309">
        <v>50.341785858436701</v>
      </c>
      <c r="O1309">
        <v>49.589804832273501</v>
      </c>
      <c r="P1309">
        <v>-0.10033176564099699</v>
      </c>
      <c r="Q1309">
        <v>6.1946583744726898E-2</v>
      </c>
      <c r="R1309">
        <v>0.99833208075539004</v>
      </c>
      <c r="S1309" t="s">
        <v>7761</v>
      </c>
      <c r="T1309" t="s">
        <v>12902</v>
      </c>
      <c r="U1309" t="s">
        <v>12902</v>
      </c>
      <c r="V1309" t="s">
        <v>12902</v>
      </c>
      <c r="W1309" t="s">
        <v>14184</v>
      </c>
      <c r="X1309">
        <v>3</v>
      </c>
      <c r="Y1309" t="s">
        <v>20569</v>
      </c>
      <c r="Z1309" t="s">
        <v>26884</v>
      </c>
      <c r="AA1309">
        <v>0.38713606572793352</v>
      </c>
      <c r="AB1309" t="str">
        <f>HYPERLINK("Melting_Curves/meltCurve_O14662_2_STX16.pdf", "Melting_Curves/meltCurve_O14662_2_STX16.pdf")</f>
        <v>Melting_Curves/meltCurve_O14662_2_STX16.pdf</v>
      </c>
    </row>
    <row r="1310" spans="1:28" x14ac:dyDescent="0.25">
      <c r="A1310" t="s">
        <v>1314</v>
      </c>
      <c r="B1310">
        <v>0.99673306730245903</v>
      </c>
      <c r="C1310">
        <v>0.92409508013798203</v>
      </c>
      <c r="D1310">
        <v>0.90129456046924095</v>
      </c>
      <c r="E1310">
        <v>0.74133062490861901</v>
      </c>
      <c r="F1310">
        <v>0.56092704017435302</v>
      </c>
      <c r="G1310">
        <v>0.40965722269405302</v>
      </c>
      <c r="H1310">
        <v>0.27849673229169603</v>
      </c>
      <c r="I1310">
        <v>0.25674593048567002</v>
      </c>
      <c r="J1310">
        <v>0.23229089440407</v>
      </c>
      <c r="K1310">
        <v>0.18243547827762099</v>
      </c>
      <c r="L1310">
        <v>658.81513737269597</v>
      </c>
      <c r="M1310">
        <v>12.472473074006899</v>
      </c>
      <c r="N1310">
        <v>54.501493196670197</v>
      </c>
      <c r="O1310">
        <v>51.518801270676498</v>
      </c>
      <c r="P1310">
        <v>-5.0875546708890398E-2</v>
      </c>
      <c r="Q1310">
        <v>0.15958820584945099</v>
      </c>
      <c r="R1310">
        <v>0.99742106953281495</v>
      </c>
      <c r="S1310" t="s">
        <v>7762</v>
      </c>
      <c r="T1310" t="s">
        <v>12902</v>
      </c>
      <c r="U1310" t="s">
        <v>12902</v>
      </c>
      <c r="V1310" t="s">
        <v>12902</v>
      </c>
      <c r="W1310" t="s">
        <v>14185</v>
      </c>
      <c r="X1310">
        <v>20</v>
      </c>
      <c r="Y1310" t="s">
        <v>20570</v>
      </c>
      <c r="Z1310" t="s">
        <v>26885</v>
      </c>
      <c r="AA1310">
        <v>0.54195254695753314</v>
      </c>
      <c r="AB1310" t="str">
        <f>HYPERLINK("Melting_Curves/meltCurve_O14672_ADAM10.pdf", "Melting_Curves/meltCurve_O14672_ADAM10.pdf")</f>
        <v>Melting_Curves/meltCurve_O14672_ADAM10.pdf</v>
      </c>
    </row>
    <row r="1311" spans="1:28" x14ac:dyDescent="0.25">
      <c r="A1311" t="s">
        <v>1315</v>
      </c>
      <c r="B1311">
        <v>0.99673306730245903</v>
      </c>
      <c r="C1311">
        <v>0.86300959746628003</v>
      </c>
      <c r="D1311">
        <v>0.78908689832896595</v>
      </c>
      <c r="E1311">
        <v>0.530735425792497</v>
      </c>
      <c r="F1311">
        <v>0.36260294809093202</v>
      </c>
      <c r="G1311">
        <v>0.218550145502726</v>
      </c>
      <c r="H1311">
        <v>0.146276070140229</v>
      </c>
      <c r="I1311">
        <v>0.20024144020222501</v>
      </c>
      <c r="J1311">
        <v>0.33794032201580099</v>
      </c>
      <c r="K1311">
        <v>0.47515713276967497</v>
      </c>
      <c r="L1311">
        <v>974.76475199493098</v>
      </c>
      <c r="M1311">
        <v>20.408661687359</v>
      </c>
      <c r="N1311">
        <v>49.683295495931802</v>
      </c>
      <c r="O1311">
        <v>47.310828308663702</v>
      </c>
      <c r="P1311">
        <v>-7.8418400565339302E-2</v>
      </c>
      <c r="Q1311">
        <v>0.27287186626714699</v>
      </c>
      <c r="R1311">
        <v>0.89825383282182103</v>
      </c>
      <c r="S1311" t="s">
        <v>7763</v>
      </c>
      <c r="T1311" t="s">
        <v>12902</v>
      </c>
      <c r="U1311" t="s">
        <v>12902</v>
      </c>
      <c r="V1311" t="s">
        <v>12902</v>
      </c>
      <c r="W1311" t="s">
        <v>14186</v>
      </c>
      <c r="X1311">
        <v>2</v>
      </c>
      <c r="Y1311" t="s">
        <v>20571</v>
      </c>
      <c r="Z1311" t="s">
        <v>26886</v>
      </c>
      <c r="AA1311">
        <v>0.4709597282255561</v>
      </c>
      <c r="AB1311" t="str">
        <f>HYPERLINK("Melting_Curves/meltCurve_O14686_MLL2.pdf", "Melting_Curves/meltCurve_O14686_MLL2.pdf")</f>
        <v>Melting_Curves/meltCurve_O14686_MLL2.pdf</v>
      </c>
    </row>
    <row r="1312" spans="1:28" x14ac:dyDescent="0.25">
      <c r="A1312" t="s">
        <v>1316</v>
      </c>
      <c r="B1312">
        <v>0.99673306730245903</v>
      </c>
      <c r="C1312">
        <v>1.0075239137991201</v>
      </c>
      <c r="D1312">
        <v>1.0337999561104001</v>
      </c>
      <c r="E1312">
        <v>1.06542351538108</v>
      </c>
      <c r="F1312">
        <v>1.0254382498366601</v>
      </c>
      <c r="G1312">
        <v>0.84643628456813202</v>
      </c>
      <c r="H1312">
        <v>0.74732494740557198</v>
      </c>
      <c r="I1312">
        <v>0.61937366187241205</v>
      </c>
      <c r="J1312">
        <v>0.19261295874427201</v>
      </c>
      <c r="K1312">
        <v>9.7953119955350804E-2</v>
      </c>
      <c r="L1312">
        <v>1505.1530854656401</v>
      </c>
      <c r="M1312">
        <v>23.467448709161602</v>
      </c>
      <c r="N1312">
        <v>64.137917581957893</v>
      </c>
      <c r="O1312">
        <v>63.677615635776696</v>
      </c>
      <c r="P1312">
        <v>-9.2135403616725994E-2</v>
      </c>
      <c r="Q1312">
        <v>0</v>
      </c>
      <c r="R1312">
        <v>0.96810817718536002</v>
      </c>
      <c r="S1312" t="s">
        <v>7764</v>
      </c>
      <c r="T1312" t="s">
        <v>12902</v>
      </c>
      <c r="U1312" t="s">
        <v>12902</v>
      </c>
      <c r="V1312" t="s">
        <v>12902</v>
      </c>
      <c r="W1312" t="s">
        <v>14187</v>
      </c>
      <c r="X1312">
        <v>4</v>
      </c>
      <c r="Y1312" t="s">
        <v>20572</v>
      </c>
      <c r="Z1312" t="s">
        <v>26887</v>
      </c>
      <c r="AA1312">
        <v>0.80186910492625119</v>
      </c>
      <c r="AB1312" t="str">
        <f>HYPERLINK("Melting_Curves/meltCurve_O14732_IMPA2.pdf", "Melting_Curves/meltCurve_O14732_IMPA2.pdf")</f>
        <v>Melting_Curves/meltCurve_O14732_IMPA2.pdf</v>
      </c>
    </row>
    <row r="1313" spans="1:28" x14ac:dyDescent="0.25">
      <c r="A1313" t="s">
        <v>1317</v>
      </c>
      <c r="B1313">
        <v>0.99673306730245903</v>
      </c>
      <c r="C1313">
        <v>0.99015019105429303</v>
      </c>
      <c r="D1313">
        <v>0.89901278083496705</v>
      </c>
      <c r="E1313">
        <v>0.81717727758894898</v>
      </c>
      <c r="F1313">
        <v>0.28251127778679302</v>
      </c>
      <c r="G1313">
        <v>0.17187221369199199</v>
      </c>
      <c r="H1313">
        <v>0.111299667695282</v>
      </c>
      <c r="I1313">
        <v>0.102857335213747</v>
      </c>
      <c r="J1313">
        <v>9.9402905203203606E-2</v>
      </c>
      <c r="K1313">
        <v>8.8579230992665306E-2</v>
      </c>
      <c r="L1313">
        <v>1793.6192838648701</v>
      </c>
      <c r="M1313">
        <v>34.958147691518498</v>
      </c>
      <c r="N1313">
        <v>51.6556871735134</v>
      </c>
      <c r="O1313">
        <v>51.140591771550703</v>
      </c>
      <c r="P1313">
        <v>-0.15296103458235299</v>
      </c>
      <c r="Q1313">
        <v>0.10493082329570801</v>
      </c>
      <c r="R1313">
        <v>0.99329856329599797</v>
      </c>
      <c r="S1313" t="s">
        <v>7765</v>
      </c>
      <c r="T1313" t="s">
        <v>12902</v>
      </c>
      <c r="U1313" t="s">
        <v>12902</v>
      </c>
      <c r="V1313" t="s">
        <v>12902</v>
      </c>
      <c r="W1313" t="s">
        <v>14188</v>
      </c>
      <c r="X1313">
        <v>12</v>
      </c>
      <c r="Y1313" t="s">
        <v>20573</v>
      </c>
      <c r="Z1313" t="s">
        <v>26888</v>
      </c>
      <c r="AA1313">
        <v>0.44646310642965048</v>
      </c>
      <c r="AB1313" t="str">
        <f>HYPERLINK("Melting_Curves/meltCurve_O14733_MAP2K7.pdf", "Melting_Curves/meltCurve_O14733_MAP2K7.pdf")</f>
        <v>Melting_Curves/meltCurve_O14733_MAP2K7.pdf</v>
      </c>
    </row>
    <row r="1314" spans="1:28" x14ac:dyDescent="0.25">
      <c r="A1314" t="s">
        <v>1318</v>
      </c>
      <c r="B1314">
        <v>0.99673306730245903</v>
      </c>
      <c r="C1314">
        <v>0.989328552569813</v>
      </c>
      <c r="D1314">
        <v>0.98450362173200701</v>
      </c>
      <c r="E1314">
        <v>0.94144616344446996</v>
      </c>
      <c r="F1314">
        <v>0.90717405713134802</v>
      </c>
      <c r="G1314">
        <v>0.70863474414025895</v>
      </c>
      <c r="H1314">
        <v>0.51001299032864</v>
      </c>
      <c r="I1314">
        <v>0.19130861645541999</v>
      </c>
      <c r="J1314">
        <v>0.17591724781624701</v>
      </c>
      <c r="K1314">
        <v>0.15577602141256</v>
      </c>
      <c r="L1314">
        <v>1096.78340104679</v>
      </c>
      <c r="M1314">
        <v>18.442284830841501</v>
      </c>
      <c r="N1314">
        <v>59.981786880405203</v>
      </c>
      <c r="O1314">
        <v>58.785109272024499</v>
      </c>
      <c r="P1314">
        <v>-7.2736066082335002E-2</v>
      </c>
      <c r="Q1314">
        <v>7.2651531010626297E-2</v>
      </c>
      <c r="R1314">
        <v>0.98898334743907002</v>
      </c>
      <c r="S1314" t="s">
        <v>7766</v>
      </c>
      <c r="T1314" t="s">
        <v>12902</v>
      </c>
      <c r="U1314" t="s">
        <v>12902</v>
      </c>
      <c r="V1314" t="s">
        <v>12902</v>
      </c>
      <c r="W1314" t="s">
        <v>14189</v>
      </c>
      <c r="X1314">
        <v>11</v>
      </c>
      <c r="Y1314" t="s">
        <v>20574</v>
      </c>
      <c r="Z1314" t="s">
        <v>26889</v>
      </c>
      <c r="AA1314">
        <v>0.68338935792720124</v>
      </c>
      <c r="AB1314" t="str">
        <f>HYPERLINK("Melting_Curves/meltCurve_O14734_ACOT8.pdf", "Melting_Curves/meltCurve_O14734_ACOT8.pdf")</f>
        <v>Melting_Curves/meltCurve_O14734_ACOT8.pdf</v>
      </c>
    </row>
    <row r="1315" spans="1:28" x14ac:dyDescent="0.25">
      <c r="A1315" t="s">
        <v>1319</v>
      </c>
      <c r="B1315">
        <v>0.99673306730245903</v>
      </c>
      <c r="C1315">
        <v>1.0048807617997899</v>
      </c>
      <c r="D1315">
        <v>1.03204451677376</v>
      </c>
      <c r="E1315">
        <v>0.98763102744408504</v>
      </c>
      <c r="F1315">
        <v>1.03643767078944</v>
      </c>
      <c r="G1315">
        <v>0.99334967041801903</v>
      </c>
      <c r="H1315">
        <v>0.81480699564644499</v>
      </c>
      <c r="I1315">
        <v>1.2636657276824099</v>
      </c>
      <c r="J1315">
        <v>1.9294334051456401</v>
      </c>
      <c r="K1315">
        <v>1.8196378627808301</v>
      </c>
      <c r="L1315">
        <v>15000</v>
      </c>
      <c r="M1315">
        <v>234.48465143188901</v>
      </c>
      <c r="O1315">
        <v>63.965417538398903</v>
      </c>
      <c r="P1315">
        <v>0.458225430499418</v>
      </c>
      <c r="Q1315">
        <v>1.5</v>
      </c>
      <c r="R1315">
        <v>0.74907743265102</v>
      </c>
      <c r="S1315" t="s">
        <v>7767</v>
      </c>
      <c r="T1315" t="s">
        <v>12902</v>
      </c>
      <c r="U1315" t="s">
        <v>12902</v>
      </c>
      <c r="V1315" t="s">
        <v>12902</v>
      </c>
      <c r="W1315" t="s">
        <v>14190</v>
      </c>
      <c r="X1315">
        <v>12</v>
      </c>
      <c r="Y1315" t="s">
        <v>20575</v>
      </c>
      <c r="Z1315" t="s">
        <v>26890</v>
      </c>
      <c r="AA1315">
        <v>1.100434993131046</v>
      </c>
      <c r="AB1315" t="str">
        <f>HYPERLINK("Melting_Curves/meltCurve_O14737_PDCD5.pdf", "Melting_Curves/meltCurve_O14737_PDCD5.pdf")</f>
        <v>Melting_Curves/meltCurve_O14737_PDCD5.pdf</v>
      </c>
    </row>
    <row r="1316" spans="1:28" x14ac:dyDescent="0.25">
      <c r="A1316" t="s">
        <v>1320</v>
      </c>
      <c r="B1316">
        <v>0.99673306730245903</v>
      </c>
      <c r="C1316">
        <v>0.97380718605302596</v>
      </c>
      <c r="D1316">
        <v>1.12582654624428</v>
      </c>
      <c r="E1316">
        <v>1.37146722978155</v>
      </c>
      <c r="F1316">
        <v>1.16327761514826</v>
      </c>
      <c r="G1316">
        <v>0.46086772230762202</v>
      </c>
      <c r="H1316">
        <v>0.110045239154429</v>
      </c>
      <c r="I1316">
        <v>9.1773059206081004E-2</v>
      </c>
      <c r="J1316">
        <v>7.6107499009148094E-2</v>
      </c>
      <c r="K1316">
        <v>6.8486272800205805E-2</v>
      </c>
      <c r="L1316">
        <v>14179.268150002599</v>
      </c>
      <c r="M1316">
        <v>250</v>
      </c>
      <c r="N1316">
        <v>56.760255940116899</v>
      </c>
      <c r="O1316">
        <v>56.7134463087081</v>
      </c>
      <c r="P1316">
        <v>-1.0065922535873499</v>
      </c>
      <c r="Q1316">
        <v>8.6603001309919506E-2</v>
      </c>
      <c r="R1316">
        <v>0.92831423454339101</v>
      </c>
      <c r="S1316" t="s">
        <v>7768</v>
      </c>
      <c r="T1316" t="s">
        <v>12902</v>
      </c>
      <c r="U1316" t="s">
        <v>12902</v>
      </c>
      <c r="V1316" t="s">
        <v>12902</v>
      </c>
      <c r="W1316" t="s">
        <v>14191</v>
      </c>
      <c r="X1316">
        <v>21</v>
      </c>
      <c r="Y1316" t="s">
        <v>20576</v>
      </c>
      <c r="Z1316" t="s">
        <v>26891</v>
      </c>
      <c r="AA1316">
        <v>0.59567138329426439</v>
      </c>
      <c r="AB1316" t="str">
        <f>HYPERLINK("Melting_Curves/meltCurve_O14744_PRMT5.pdf", "Melting_Curves/meltCurve_O14744_PRMT5.pdf")</f>
        <v>Melting_Curves/meltCurve_O14744_PRMT5.pdf</v>
      </c>
    </row>
    <row r="1317" spans="1:28" x14ac:dyDescent="0.25">
      <c r="A1317" t="s">
        <v>1321</v>
      </c>
      <c r="B1317">
        <v>0.99673306730245903</v>
      </c>
      <c r="C1317">
        <v>1.0201111771469999</v>
      </c>
      <c r="D1317">
        <v>1.0388099062348299</v>
      </c>
      <c r="E1317">
        <v>0.98360753264378598</v>
      </c>
      <c r="F1317">
        <v>0.83772053701553695</v>
      </c>
      <c r="G1317">
        <v>0.61186656827864305</v>
      </c>
      <c r="H1317">
        <v>0.43693266276963</v>
      </c>
      <c r="I1317">
        <v>0.55593120058012901</v>
      </c>
      <c r="J1317">
        <v>0.75285593282333196</v>
      </c>
      <c r="K1317">
        <v>0.746310179031624</v>
      </c>
      <c r="L1317">
        <v>13315.444307722601</v>
      </c>
      <c r="M1317">
        <v>250</v>
      </c>
      <c r="O1317">
        <v>53.258368845451102</v>
      </c>
      <c r="P1317">
        <v>-0.445024782409776</v>
      </c>
      <c r="Q1317">
        <v>0.62077929644034402</v>
      </c>
      <c r="R1317">
        <v>0.82129780476951098</v>
      </c>
      <c r="S1317" t="s">
        <v>7769</v>
      </c>
      <c r="T1317" t="s">
        <v>12902</v>
      </c>
      <c r="U1317" t="s">
        <v>12902</v>
      </c>
      <c r="V1317" t="s">
        <v>12902</v>
      </c>
      <c r="W1317" t="s">
        <v>14192</v>
      </c>
      <c r="X1317">
        <v>26</v>
      </c>
      <c r="Y1317" t="s">
        <v>20577</v>
      </c>
      <c r="Z1317" t="s">
        <v>26892</v>
      </c>
      <c r="AA1317">
        <v>0.78845275995927022</v>
      </c>
      <c r="AB1317" t="str">
        <f>HYPERLINK("Melting_Curves/meltCurve_O14745_SLC9A3R1.pdf", "Melting_Curves/meltCurve_O14745_SLC9A3R1.pdf")</f>
        <v>Melting_Curves/meltCurve_O14745_SLC9A3R1.pdf</v>
      </c>
    </row>
    <row r="1318" spans="1:28" x14ac:dyDescent="0.25">
      <c r="A1318" t="s">
        <v>1322</v>
      </c>
      <c r="B1318">
        <v>0.99673306730245903</v>
      </c>
      <c r="C1318">
        <v>0.979627219461355</v>
      </c>
      <c r="D1318">
        <v>0.96894722684926105</v>
      </c>
      <c r="E1318">
        <v>0.88573411001977997</v>
      </c>
      <c r="F1318">
        <v>0.39342935252828198</v>
      </c>
      <c r="G1318">
        <v>0.12575233571053299</v>
      </c>
      <c r="H1318">
        <v>5.9661967089787098E-2</v>
      </c>
      <c r="I1318">
        <v>5.7984760728604597E-2</v>
      </c>
      <c r="J1318">
        <v>5.29826525327209E-2</v>
      </c>
      <c r="K1318">
        <v>5.6155403680835901E-2</v>
      </c>
      <c r="L1318">
        <v>1804.25179986993</v>
      </c>
      <c r="M1318">
        <v>34.474392181738303</v>
      </c>
      <c r="N1318">
        <v>52.516982501485501</v>
      </c>
      <c r="O1318">
        <v>52.160850451511102</v>
      </c>
      <c r="P1318">
        <v>-0.15597689806565501</v>
      </c>
      <c r="Q1318">
        <v>5.60117508874209E-2</v>
      </c>
      <c r="R1318">
        <v>0.99933023540227905</v>
      </c>
      <c r="S1318" t="s">
        <v>7770</v>
      </c>
      <c r="T1318" t="s">
        <v>12902</v>
      </c>
      <c r="U1318" t="s">
        <v>12902</v>
      </c>
      <c r="V1318" t="s">
        <v>12902</v>
      </c>
      <c r="W1318" t="s">
        <v>14193</v>
      </c>
      <c r="X1318">
        <v>11</v>
      </c>
      <c r="Y1318" t="s">
        <v>20578</v>
      </c>
      <c r="Z1318" t="s">
        <v>26893</v>
      </c>
      <c r="AA1318">
        <v>0.44877793047537717</v>
      </c>
      <c r="AB1318" t="str">
        <f>HYPERLINK("Melting_Curves/meltCurve_O14757_CHEK1.pdf", "Melting_Curves/meltCurve_O14757_CHEK1.pdf")</f>
        <v>Melting_Curves/meltCurve_O14757_CHEK1.pdf</v>
      </c>
    </row>
    <row r="1319" spans="1:28" x14ac:dyDescent="0.25">
      <c r="A1319" t="s">
        <v>1323</v>
      </c>
      <c r="B1319">
        <v>0.99673306730245903</v>
      </c>
      <c r="C1319">
        <v>1.00283912724627</v>
      </c>
      <c r="D1319">
        <v>0.964420760558649</v>
      </c>
      <c r="E1319">
        <v>0.80884522739539699</v>
      </c>
      <c r="F1319">
        <v>0.69082812669012195</v>
      </c>
      <c r="G1319">
        <v>0.53515257229959501</v>
      </c>
      <c r="H1319">
        <v>0.37754014669230201</v>
      </c>
      <c r="I1319">
        <v>0.35321980003967601</v>
      </c>
      <c r="J1319">
        <v>0.317655526668224</v>
      </c>
      <c r="K1319">
        <v>0.28950944584007599</v>
      </c>
      <c r="L1319">
        <v>747.749286275175</v>
      </c>
      <c r="M1319">
        <v>13.7826827589779</v>
      </c>
      <c r="N1319">
        <v>57.3578898459063</v>
      </c>
      <c r="O1319">
        <v>53.148957263474699</v>
      </c>
      <c r="P1319">
        <v>-4.7793218632246399E-2</v>
      </c>
      <c r="Q1319">
        <v>0.26290038960547901</v>
      </c>
      <c r="R1319">
        <v>0.99629781354490299</v>
      </c>
      <c r="S1319" t="s">
        <v>7771</v>
      </c>
      <c r="T1319" t="s">
        <v>12902</v>
      </c>
      <c r="U1319" t="s">
        <v>12902</v>
      </c>
      <c r="V1319" t="s">
        <v>12902</v>
      </c>
      <c r="W1319" t="s">
        <v>14194</v>
      </c>
      <c r="X1319">
        <v>6</v>
      </c>
      <c r="Y1319" t="s">
        <v>20579</v>
      </c>
      <c r="Z1319" t="s">
        <v>26894</v>
      </c>
      <c r="AA1319">
        <v>0.6295078083079636</v>
      </c>
      <c r="AB1319" t="str">
        <f>HYPERLINK("Melting_Curves/meltCurve_O14763_2_TNFRSF10B.pdf", "Melting_Curves/meltCurve_O14763_2_TNFRSF10B.pdf")</f>
        <v>Melting_Curves/meltCurve_O14763_2_TNFRSF10B.pdf</v>
      </c>
    </row>
    <row r="1320" spans="1:28" x14ac:dyDescent="0.25">
      <c r="A1320" t="s">
        <v>1324</v>
      </c>
      <c r="B1320">
        <v>0.99673306730245903</v>
      </c>
      <c r="C1320">
        <v>1.02397519067988</v>
      </c>
      <c r="D1320">
        <v>0.97621597626086098</v>
      </c>
      <c r="E1320">
        <v>0.949031382347716</v>
      </c>
      <c r="F1320">
        <v>0.651017341827136</v>
      </c>
      <c r="G1320">
        <v>0.25019805171766402</v>
      </c>
      <c r="H1320">
        <v>0.110228419435523</v>
      </c>
      <c r="I1320">
        <v>7.4505437071799102E-2</v>
      </c>
      <c r="J1320">
        <v>7.2513084629222194E-2</v>
      </c>
      <c r="K1320">
        <v>6.0144594696203701E-2</v>
      </c>
      <c r="L1320">
        <v>1608.4756110604501</v>
      </c>
      <c r="M1320">
        <v>29.713323679854501</v>
      </c>
      <c r="N1320">
        <v>54.395746364037898</v>
      </c>
      <c r="O1320">
        <v>53.889724378724999</v>
      </c>
      <c r="P1320">
        <v>-0.12863391769363799</v>
      </c>
      <c r="Q1320">
        <v>6.6816043547533302E-2</v>
      </c>
      <c r="R1320">
        <v>0.99933068357799704</v>
      </c>
      <c r="S1320" t="s">
        <v>7772</v>
      </c>
      <c r="T1320" t="s">
        <v>12902</v>
      </c>
      <c r="U1320" t="s">
        <v>12902</v>
      </c>
      <c r="V1320" t="s">
        <v>12902</v>
      </c>
      <c r="W1320" t="s">
        <v>14195</v>
      </c>
      <c r="X1320">
        <v>6</v>
      </c>
      <c r="Y1320" t="s">
        <v>20580</v>
      </c>
      <c r="Z1320" t="s">
        <v>26895</v>
      </c>
      <c r="AA1320">
        <v>0.51269686935699921</v>
      </c>
      <c r="AB1320" t="str">
        <f>HYPERLINK("Melting_Curves/meltCurve_O14772_FPGT.pdf", "Melting_Curves/meltCurve_O14772_FPGT.pdf")</f>
        <v>Melting_Curves/meltCurve_O14772_FPGT.pdf</v>
      </c>
    </row>
    <row r="1321" spans="1:28" x14ac:dyDescent="0.25">
      <c r="A1321" t="s">
        <v>1325</v>
      </c>
      <c r="B1321">
        <v>0.99673306730245903</v>
      </c>
      <c r="C1321">
        <v>0.96338620187819801</v>
      </c>
      <c r="D1321">
        <v>0.92010905824551503</v>
      </c>
      <c r="E1321">
        <v>0.80459405326917</v>
      </c>
      <c r="F1321">
        <v>0.60180297407116301</v>
      </c>
      <c r="G1321">
        <v>0.335103291215475</v>
      </c>
      <c r="H1321">
        <v>0.15818868735046601</v>
      </c>
      <c r="I1321">
        <v>0.14954822605916099</v>
      </c>
      <c r="J1321">
        <v>0.22597962750766801</v>
      </c>
      <c r="K1321">
        <v>0.23781295616818601</v>
      </c>
      <c r="L1321">
        <v>1060.0073323716499</v>
      </c>
      <c r="M1321">
        <v>20.059612105084401</v>
      </c>
      <c r="N1321">
        <v>53.989524531662397</v>
      </c>
      <c r="O1321">
        <v>52.326110448724599</v>
      </c>
      <c r="P1321">
        <v>-7.9218199105933099E-2</v>
      </c>
      <c r="Q1321">
        <v>0.17345422886411399</v>
      </c>
      <c r="R1321">
        <v>0.98491119284000594</v>
      </c>
      <c r="S1321" t="s">
        <v>7773</v>
      </c>
      <c r="T1321" t="s">
        <v>12902</v>
      </c>
      <c r="U1321" t="s">
        <v>12902</v>
      </c>
      <c r="V1321" t="s">
        <v>12902</v>
      </c>
      <c r="W1321" t="s">
        <v>14196</v>
      </c>
      <c r="X1321">
        <v>7</v>
      </c>
      <c r="Y1321" t="s">
        <v>20581</v>
      </c>
      <c r="Z1321" t="s">
        <v>26896</v>
      </c>
      <c r="AA1321">
        <v>0.5386192106640606</v>
      </c>
      <c r="AB1321" t="str">
        <f>HYPERLINK("Melting_Curves/meltCurve_O14773_TPP1.pdf", "Melting_Curves/meltCurve_O14773_TPP1.pdf")</f>
        <v>Melting_Curves/meltCurve_O14773_TPP1.pdf</v>
      </c>
    </row>
    <row r="1322" spans="1:28" x14ac:dyDescent="0.25">
      <c r="A1322" t="s">
        <v>1326</v>
      </c>
      <c r="B1322">
        <v>0.99673306730245903</v>
      </c>
      <c r="C1322">
        <v>0.96516824376423505</v>
      </c>
      <c r="D1322">
        <v>0.78465171443190196</v>
      </c>
      <c r="E1322">
        <v>0.401834878475827</v>
      </c>
      <c r="F1322">
        <v>0.191751470908712</v>
      </c>
      <c r="G1322">
        <v>0.114640842607467</v>
      </c>
      <c r="H1322">
        <v>7.3689174924438897E-2</v>
      </c>
      <c r="I1322">
        <v>6.8210249115499305E-2</v>
      </c>
      <c r="J1322">
        <v>7.9197163875695697E-2</v>
      </c>
      <c r="K1322">
        <v>8.0361514069110004E-2</v>
      </c>
      <c r="L1322">
        <v>1111.1257435832799</v>
      </c>
      <c r="M1322">
        <v>22.965228081692398</v>
      </c>
      <c r="N1322">
        <v>48.731573824945201</v>
      </c>
      <c r="O1322">
        <v>48.0205981894402</v>
      </c>
      <c r="P1322">
        <v>-0.11050467590402301</v>
      </c>
      <c r="Q1322">
        <v>7.5750750701938402E-2</v>
      </c>
      <c r="R1322">
        <v>0.99945097874961297</v>
      </c>
      <c r="S1322" t="s">
        <v>7774</v>
      </c>
      <c r="T1322" t="s">
        <v>12902</v>
      </c>
      <c r="U1322" t="s">
        <v>12902</v>
      </c>
      <c r="V1322" t="s">
        <v>12902</v>
      </c>
      <c r="W1322" t="s">
        <v>14197</v>
      </c>
      <c r="X1322">
        <v>48</v>
      </c>
      <c r="Y1322" t="s">
        <v>20582</v>
      </c>
      <c r="Z1322" t="s">
        <v>26897</v>
      </c>
      <c r="AA1322">
        <v>0.3437783047094598</v>
      </c>
      <c r="AB1322" t="str">
        <f>HYPERLINK("Melting_Curves/meltCurve_O14776_2_TCERG1.pdf", "Melting_Curves/meltCurve_O14776_2_TCERG1.pdf")</f>
        <v>Melting_Curves/meltCurve_O14776_2_TCERG1.pdf</v>
      </c>
    </row>
    <row r="1323" spans="1:28" x14ac:dyDescent="0.25">
      <c r="A1323" t="s">
        <v>1327</v>
      </c>
      <c r="B1323">
        <v>0.99673306730245903</v>
      </c>
      <c r="C1323">
        <v>0.94328393221920404</v>
      </c>
      <c r="D1323">
        <v>0.63659077803039299</v>
      </c>
      <c r="E1323">
        <v>0.39464156318277999</v>
      </c>
      <c r="F1323">
        <v>0.220653237435672</v>
      </c>
      <c r="G1323">
        <v>0.16312451925254501</v>
      </c>
      <c r="H1323">
        <v>0.12244183997978</v>
      </c>
      <c r="I1323">
        <v>0.13281979073918701</v>
      </c>
      <c r="J1323">
        <v>0.13289392260529601</v>
      </c>
      <c r="K1323">
        <v>0.13355530851633901</v>
      </c>
      <c r="L1323">
        <v>949.22175737456905</v>
      </c>
      <c r="M1323">
        <v>20.093253480117099</v>
      </c>
      <c r="N1323">
        <v>47.961304428310598</v>
      </c>
      <c r="O1323">
        <v>46.780370110226201</v>
      </c>
      <c r="P1323">
        <v>-9.3394883121044506E-2</v>
      </c>
      <c r="Q1323">
        <v>0.13027373426470201</v>
      </c>
      <c r="R1323">
        <v>0.99529140962200202</v>
      </c>
      <c r="S1323" t="s">
        <v>7775</v>
      </c>
      <c r="T1323" t="s">
        <v>12902</v>
      </c>
      <c r="U1323" t="s">
        <v>12902</v>
      </c>
      <c r="V1323" t="s">
        <v>12902</v>
      </c>
      <c r="W1323" t="s">
        <v>14198</v>
      </c>
      <c r="X1323">
        <v>2</v>
      </c>
      <c r="Y1323" t="s">
        <v>20583</v>
      </c>
      <c r="Z1323" t="s">
        <v>26898</v>
      </c>
      <c r="AA1323">
        <v>0.35268165694711401</v>
      </c>
      <c r="AB1323" t="str">
        <f>HYPERLINK("Melting_Curves/meltCurve_O14777_NDC80.pdf", "Melting_Curves/meltCurve_O14777_NDC80.pdf")</f>
        <v>Melting_Curves/meltCurve_O14777_NDC80.pdf</v>
      </c>
    </row>
    <row r="1324" spans="1:28" x14ac:dyDescent="0.25">
      <c r="A1324" t="s">
        <v>1328</v>
      </c>
      <c r="B1324">
        <v>0.99673306730245903</v>
      </c>
      <c r="C1324">
        <v>0.946196718485114</v>
      </c>
      <c r="D1324">
        <v>0.63855610567356402</v>
      </c>
      <c r="E1324">
        <v>0.272919796295919</v>
      </c>
      <c r="F1324">
        <v>0.18705701670911901</v>
      </c>
      <c r="G1324">
        <v>0.11625376863763399</v>
      </c>
      <c r="H1324">
        <v>6.4854698646486506E-2</v>
      </c>
      <c r="I1324">
        <v>5.0041421524729297E-2</v>
      </c>
      <c r="J1324">
        <v>4.7766486779056802E-2</v>
      </c>
      <c r="K1324">
        <v>3.6473238693492699E-2</v>
      </c>
      <c r="L1324">
        <v>1048.0539270028501</v>
      </c>
      <c r="M1324">
        <v>22.239362333492199</v>
      </c>
      <c r="N1324">
        <v>47.413747043870003</v>
      </c>
      <c r="O1324">
        <v>46.750003919433297</v>
      </c>
      <c r="P1324">
        <v>-0.11142416963287</v>
      </c>
      <c r="Q1324">
        <v>6.3108215152806305E-2</v>
      </c>
      <c r="R1324">
        <v>0.99381687077705105</v>
      </c>
      <c r="S1324" t="s">
        <v>7776</v>
      </c>
      <c r="T1324" t="s">
        <v>12902</v>
      </c>
      <c r="U1324" t="s">
        <v>12902</v>
      </c>
      <c r="V1324" t="s">
        <v>12902</v>
      </c>
      <c r="W1324" t="s">
        <v>14199</v>
      </c>
      <c r="X1324">
        <v>14</v>
      </c>
      <c r="Y1324" t="s">
        <v>20584</v>
      </c>
      <c r="Z1324" t="s">
        <v>26899</v>
      </c>
      <c r="AA1324">
        <v>0.29645360828817308</v>
      </c>
      <c r="AB1324" t="str">
        <f>HYPERLINK("Melting_Curves/meltCurve_O14787_2_TNPO2.pdf", "Melting_Curves/meltCurve_O14787_2_TNPO2.pdf")</f>
        <v>Melting_Curves/meltCurve_O14787_2_TNPO2.pdf</v>
      </c>
    </row>
    <row r="1325" spans="1:28" x14ac:dyDescent="0.25">
      <c r="A1325" t="s">
        <v>1329</v>
      </c>
      <c r="B1325">
        <v>0.99673306730245903</v>
      </c>
      <c r="C1325">
        <v>0.933170233339921</v>
      </c>
      <c r="D1325">
        <v>1.0069576021190001</v>
      </c>
      <c r="E1325">
        <v>1.1127783031499201</v>
      </c>
      <c r="F1325">
        <v>1.04655435574844</v>
      </c>
      <c r="G1325">
        <v>1.0906111920697099</v>
      </c>
      <c r="H1325">
        <v>1.33384939726537</v>
      </c>
      <c r="I1325">
        <v>1.2076358799692899</v>
      </c>
      <c r="J1325">
        <v>0.927571717332205</v>
      </c>
      <c r="K1325">
        <v>0.34811117398679198</v>
      </c>
      <c r="L1325">
        <v>15000</v>
      </c>
      <c r="M1325">
        <v>221.46650726358399</v>
      </c>
      <c r="N1325">
        <v>68.095666812061197</v>
      </c>
      <c r="O1325">
        <v>67.724809543348698</v>
      </c>
      <c r="P1325">
        <v>-0.53334012717122303</v>
      </c>
      <c r="Q1325">
        <v>0.34761497790990498</v>
      </c>
      <c r="R1325">
        <v>0.70249400355007796</v>
      </c>
      <c r="S1325" t="s">
        <v>7777</v>
      </c>
      <c r="T1325" t="s">
        <v>12902</v>
      </c>
      <c r="U1325" t="s">
        <v>12902</v>
      </c>
      <c r="V1325" t="s">
        <v>12902</v>
      </c>
      <c r="W1325" t="s">
        <v>14200</v>
      </c>
      <c r="X1325">
        <v>21</v>
      </c>
      <c r="Y1325" t="s">
        <v>20585</v>
      </c>
      <c r="Z1325" t="s">
        <v>26900</v>
      </c>
      <c r="AA1325">
        <v>0.95073677926734135</v>
      </c>
      <c r="AB1325" t="str">
        <f>HYPERLINK("Melting_Curves/meltCurve_O14818_PSMA7.pdf", "Melting_Curves/meltCurve_O14818_PSMA7.pdf")</f>
        <v>Melting_Curves/meltCurve_O14818_PSMA7.pdf</v>
      </c>
    </row>
    <row r="1326" spans="1:28" x14ac:dyDescent="0.25">
      <c r="A1326" t="s">
        <v>1330</v>
      </c>
      <c r="B1326">
        <v>0.99673306730245903</v>
      </c>
      <c r="C1326">
        <v>0.98609397118450703</v>
      </c>
      <c r="D1326">
        <v>0.93446172366317704</v>
      </c>
      <c r="E1326">
        <v>0.80352301019896599</v>
      </c>
      <c r="F1326">
        <v>0.741005714607611</v>
      </c>
      <c r="G1326">
        <v>0.65052527907194602</v>
      </c>
      <c r="H1326">
        <v>0.53819204700969403</v>
      </c>
      <c r="I1326">
        <v>0.56927827128143804</v>
      </c>
      <c r="J1326">
        <v>0.44753921853064099</v>
      </c>
      <c r="K1326">
        <v>0.34339435671937901</v>
      </c>
      <c r="L1326">
        <v>414.14226554687701</v>
      </c>
      <c r="M1326">
        <v>6.8892883905038698</v>
      </c>
      <c r="N1326">
        <v>63.606488902751799</v>
      </c>
      <c r="O1326">
        <v>55.661066281018101</v>
      </c>
      <c r="P1326">
        <v>-2.6121332050617101E-2</v>
      </c>
      <c r="Q1326">
        <v>0.157481102467767</v>
      </c>
      <c r="R1326">
        <v>0.97253874536431195</v>
      </c>
      <c r="S1326" t="s">
        <v>7778</v>
      </c>
      <c r="T1326" t="s">
        <v>12902</v>
      </c>
      <c r="U1326" t="s">
        <v>12902</v>
      </c>
      <c r="V1326" t="s">
        <v>12902</v>
      </c>
      <c r="W1326" t="s">
        <v>14201</v>
      </c>
      <c r="X1326">
        <v>11</v>
      </c>
      <c r="Y1326" t="s">
        <v>20586</v>
      </c>
      <c r="Z1326" t="s">
        <v>26901</v>
      </c>
      <c r="AA1326">
        <v>0.70069681750554536</v>
      </c>
      <c r="AB1326" t="str">
        <f>HYPERLINK("Melting_Curves/meltCurve_O14828_SCAMP3.pdf", "Melting_Curves/meltCurve_O14828_SCAMP3.pdf")</f>
        <v>Melting_Curves/meltCurve_O14828_SCAMP3.pdf</v>
      </c>
    </row>
    <row r="1327" spans="1:28" x14ac:dyDescent="0.25">
      <c r="A1327" t="s">
        <v>1331</v>
      </c>
      <c r="B1327">
        <v>0.99673306730245903</v>
      </c>
      <c r="C1327">
        <v>0.97364057383621405</v>
      </c>
      <c r="D1327">
        <v>1.00750380985886</v>
      </c>
      <c r="E1327">
        <v>1.0527892286290801</v>
      </c>
      <c r="F1327">
        <v>0.594382446683278</v>
      </c>
      <c r="G1327">
        <v>0.220409617302217</v>
      </c>
      <c r="H1327">
        <v>0.15217201283231399</v>
      </c>
      <c r="I1327">
        <v>0.115602377258056</v>
      </c>
      <c r="J1327">
        <v>0.119963187630289</v>
      </c>
      <c r="K1327">
        <v>9.7009364684844696E-2</v>
      </c>
      <c r="L1327">
        <v>2447.5227326495601</v>
      </c>
      <c r="M1327">
        <v>45.783549293211799</v>
      </c>
      <c r="N1327">
        <v>53.804600772605497</v>
      </c>
      <c r="O1327">
        <v>53.356859715833401</v>
      </c>
      <c r="P1327">
        <v>-0.18715872968917699</v>
      </c>
      <c r="Q1327">
        <v>0.12753008485296499</v>
      </c>
      <c r="R1327">
        <v>0.99406865052154503</v>
      </c>
      <c r="S1327" t="s">
        <v>7779</v>
      </c>
      <c r="T1327" t="s">
        <v>12902</v>
      </c>
      <c r="U1327" t="s">
        <v>12902</v>
      </c>
      <c r="V1327" t="s">
        <v>12902</v>
      </c>
      <c r="W1327" t="s">
        <v>14202</v>
      </c>
      <c r="X1327">
        <v>10</v>
      </c>
      <c r="Y1327" t="s">
        <v>20587</v>
      </c>
      <c r="Z1327" t="s">
        <v>26902</v>
      </c>
      <c r="AA1327">
        <v>0.52139163589106685</v>
      </c>
      <c r="AB1327" t="str">
        <f>HYPERLINK("Melting_Curves/meltCurve_O14841_OPLAH.pdf", "Melting_Curves/meltCurve_O14841_OPLAH.pdf")</f>
        <v>Melting_Curves/meltCurve_O14841_OPLAH.pdf</v>
      </c>
    </row>
    <row r="1328" spans="1:28" x14ac:dyDescent="0.25">
      <c r="A1328" t="s">
        <v>1332</v>
      </c>
      <c r="B1328">
        <v>0.99673306730245903</v>
      </c>
      <c r="C1328">
        <v>1.02523800832402</v>
      </c>
      <c r="D1328">
        <v>0.91122216878166895</v>
      </c>
      <c r="E1328">
        <v>0.77001157988035396</v>
      </c>
      <c r="F1328">
        <v>0.74262345876746305</v>
      </c>
      <c r="G1328">
        <v>0.37683966124464702</v>
      </c>
      <c r="H1328">
        <v>0.24342489147940199</v>
      </c>
      <c r="I1328">
        <v>0.40082936309785699</v>
      </c>
      <c r="J1328">
        <v>0.38447698987672602</v>
      </c>
      <c r="K1328">
        <v>0.30014494060131602</v>
      </c>
      <c r="L1328">
        <v>988.42426153311999</v>
      </c>
      <c r="M1328">
        <v>18.7728998490138</v>
      </c>
      <c r="N1328">
        <v>55.481501606269099</v>
      </c>
      <c r="O1328">
        <v>52.065103125397897</v>
      </c>
      <c r="P1328">
        <v>-6.2373510161665403E-2</v>
      </c>
      <c r="Q1328">
        <v>0.30807735266995401</v>
      </c>
      <c r="R1328">
        <v>0.94007752087507301</v>
      </c>
      <c r="S1328" t="s">
        <v>7780</v>
      </c>
      <c r="T1328" t="s">
        <v>12902</v>
      </c>
      <c r="U1328" t="s">
        <v>12902</v>
      </c>
      <c r="V1328" t="s">
        <v>12902</v>
      </c>
      <c r="W1328" t="s">
        <v>14203</v>
      </c>
      <c r="X1328">
        <v>3</v>
      </c>
      <c r="Y1328" t="s">
        <v>20588</v>
      </c>
      <c r="Z1328" t="s">
        <v>26903</v>
      </c>
      <c r="AA1328">
        <v>0.61050860592697576</v>
      </c>
      <c r="AB1328" t="str">
        <f>HYPERLINK("Melting_Curves/meltCurve_O14867_BACH1.pdf", "Melting_Curves/meltCurve_O14867_BACH1.pdf")</f>
        <v>Melting_Curves/meltCurve_O14867_BACH1.pdf</v>
      </c>
    </row>
    <row r="1329" spans="1:28" x14ac:dyDescent="0.25">
      <c r="A1329" t="s">
        <v>1333</v>
      </c>
      <c r="B1329">
        <v>0.99673306730245903</v>
      </c>
      <c r="C1329">
        <v>0.99924715264657005</v>
      </c>
      <c r="D1329">
        <v>1.0302399551933199</v>
      </c>
      <c r="E1329">
        <v>1.1603085724656601</v>
      </c>
      <c r="F1329">
        <v>1.2064307198644</v>
      </c>
      <c r="G1329">
        <v>1.10018169253285</v>
      </c>
      <c r="H1329">
        <v>0.43261677788811398</v>
      </c>
      <c r="I1329">
        <v>0.17036858400917301</v>
      </c>
      <c r="J1329">
        <v>0.143008890822762</v>
      </c>
      <c r="K1329">
        <v>0.11643633325263</v>
      </c>
      <c r="L1329">
        <v>8940.9258613778802</v>
      </c>
      <c r="M1329">
        <v>147.72738517161201</v>
      </c>
      <c r="N1329">
        <v>60.661660753302797</v>
      </c>
      <c r="O1329">
        <v>60.512050691712702</v>
      </c>
      <c r="P1329">
        <v>-0.52294753173461805</v>
      </c>
      <c r="Q1329">
        <v>0.14316146189662601</v>
      </c>
      <c r="R1329">
        <v>0.95763168021258804</v>
      </c>
      <c r="S1329" t="s">
        <v>7781</v>
      </c>
      <c r="T1329" t="s">
        <v>12902</v>
      </c>
      <c r="U1329" t="s">
        <v>12902</v>
      </c>
      <c r="V1329" t="s">
        <v>12902</v>
      </c>
      <c r="W1329" t="s">
        <v>14204</v>
      </c>
      <c r="X1329">
        <v>7</v>
      </c>
      <c r="Y1329" t="s">
        <v>20589</v>
      </c>
      <c r="Z1329" t="s">
        <v>26904</v>
      </c>
      <c r="AA1329">
        <v>0.72958958340549884</v>
      </c>
      <c r="AB1329" t="str">
        <f>HYPERLINK("Melting_Curves/meltCurve_O14874_BCKDK.pdf", "Melting_Curves/meltCurve_O14874_BCKDK.pdf")</f>
        <v>Melting_Curves/meltCurve_O14874_BCKDK.pdf</v>
      </c>
    </row>
    <row r="1330" spans="1:28" x14ac:dyDescent="0.25">
      <c r="A1330" t="s">
        <v>1334</v>
      </c>
      <c r="B1330">
        <v>0.99673306730245903</v>
      </c>
      <c r="C1330">
        <v>0.93126277411907199</v>
      </c>
      <c r="D1330">
        <v>0.69269743992185495</v>
      </c>
      <c r="E1330">
        <v>0.44515078199147401</v>
      </c>
      <c r="F1330">
        <v>0.18038919270832601</v>
      </c>
      <c r="G1330">
        <v>9.0914387418124007E-2</v>
      </c>
      <c r="H1330">
        <v>6.1563801613267598E-2</v>
      </c>
      <c r="I1330">
        <v>5.5302495411732801E-2</v>
      </c>
      <c r="J1330">
        <v>5.71515066164901E-2</v>
      </c>
      <c r="K1330">
        <v>5.5866979092723798E-2</v>
      </c>
      <c r="L1330">
        <v>880.14783475335696</v>
      </c>
      <c r="M1330">
        <v>18.214883310722801</v>
      </c>
      <c r="N1330">
        <v>48.566187845998101</v>
      </c>
      <c r="O1330">
        <v>47.749143430296897</v>
      </c>
      <c r="P1330">
        <v>-9.1170418516065305E-2</v>
      </c>
      <c r="Q1330">
        <v>4.40554916268718E-2</v>
      </c>
      <c r="R1330">
        <v>0.99735438523811304</v>
      </c>
      <c r="S1330" t="s">
        <v>7782</v>
      </c>
      <c r="T1330" t="s">
        <v>12902</v>
      </c>
      <c r="U1330" t="s">
        <v>12902</v>
      </c>
      <c r="V1330" t="s">
        <v>12902</v>
      </c>
      <c r="W1330" t="s">
        <v>14205</v>
      </c>
      <c r="X1330">
        <v>5</v>
      </c>
      <c r="Y1330" t="s">
        <v>20590</v>
      </c>
      <c r="Z1330" t="s">
        <v>26905</v>
      </c>
      <c r="AA1330">
        <v>0.32558185736525941</v>
      </c>
      <c r="AB1330" t="str">
        <f>HYPERLINK("Melting_Curves/meltCurve_O14896_IRF6.pdf", "Melting_Curves/meltCurve_O14896_IRF6.pdf")</f>
        <v>Melting_Curves/meltCurve_O14896_IRF6.pdf</v>
      </c>
    </row>
    <row r="1331" spans="1:28" x14ac:dyDescent="0.25">
      <c r="A1331" t="s">
        <v>1335</v>
      </c>
      <c r="B1331">
        <v>0.99673306730245903</v>
      </c>
      <c r="C1331">
        <v>0.92763094373700805</v>
      </c>
      <c r="D1331">
        <v>0.54659719704126197</v>
      </c>
      <c r="E1331">
        <v>0.19120959573009</v>
      </c>
      <c r="F1331">
        <v>0.11356321666616601</v>
      </c>
      <c r="G1331">
        <v>5.6755427414204099E-2</v>
      </c>
      <c r="H1331">
        <v>3.3831145738157098E-2</v>
      </c>
      <c r="I1331">
        <v>4.6146423760770099E-2</v>
      </c>
      <c r="J1331">
        <v>4.9912328296172301E-2</v>
      </c>
      <c r="K1331">
        <v>5.6978721482252699E-2</v>
      </c>
      <c r="L1331">
        <v>1277.21830914517</v>
      </c>
      <c r="M1331">
        <v>27.609037916102899</v>
      </c>
      <c r="N1331">
        <v>46.454628447102998</v>
      </c>
      <c r="O1331">
        <v>46.0202223658804</v>
      </c>
      <c r="P1331">
        <v>-0.14182787553100301</v>
      </c>
      <c r="Q1331">
        <v>5.43833920719657E-2</v>
      </c>
      <c r="R1331">
        <v>0.99780447097302405</v>
      </c>
      <c r="S1331" t="s">
        <v>7783</v>
      </c>
      <c r="T1331" t="s">
        <v>12902</v>
      </c>
      <c r="U1331" t="s">
        <v>12902</v>
      </c>
      <c r="V1331" t="s">
        <v>12902</v>
      </c>
      <c r="W1331" t="s">
        <v>14206</v>
      </c>
      <c r="X1331">
        <v>1</v>
      </c>
      <c r="Y1331" t="s">
        <v>20591</v>
      </c>
      <c r="Z1331" t="s">
        <v>26906</v>
      </c>
      <c r="AA1331">
        <v>0.25862144139994792</v>
      </c>
      <c r="AB1331" t="str">
        <f>HYPERLINK("Melting_Curves/meltCurve_O14907_TAX1BP3.pdf", "Melting_Curves/meltCurve_O14907_TAX1BP3.pdf")</f>
        <v>Melting_Curves/meltCurve_O14907_TAX1BP3.pdf</v>
      </c>
    </row>
    <row r="1332" spans="1:28" x14ac:dyDescent="0.25">
      <c r="A1332" t="s">
        <v>1336</v>
      </c>
      <c r="B1332">
        <v>0.99673306730245903</v>
      </c>
      <c r="C1332">
        <v>1.06953535383762</v>
      </c>
      <c r="D1332">
        <v>0.14366698472959699</v>
      </c>
      <c r="E1332">
        <v>0.41517454602640202</v>
      </c>
      <c r="F1332">
        <v>0.147700109669059</v>
      </c>
      <c r="G1332">
        <v>9.3194759625363E-2</v>
      </c>
      <c r="H1332">
        <v>6.1482866487430503E-2</v>
      </c>
      <c r="I1332">
        <v>6.5854885702834903E-2</v>
      </c>
      <c r="J1332">
        <v>7.5353168351372901E-2</v>
      </c>
      <c r="K1332">
        <v>7.3637015904595399E-2</v>
      </c>
      <c r="L1332">
        <v>11297.448374269699</v>
      </c>
      <c r="M1332">
        <v>250</v>
      </c>
      <c r="N1332">
        <v>45.245860563071403</v>
      </c>
      <c r="O1332">
        <v>45.186902097133</v>
      </c>
      <c r="P1332">
        <v>-1.1989118320272301</v>
      </c>
      <c r="Q1332">
        <v>0.13319822436074299</v>
      </c>
      <c r="R1332">
        <v>0.92622952245587897</v>
      </c>
      <c r="S1332" t="s">
        <v>7784</v>
      </c>
      <c r="T1332" t="s">
        <v>12902</v>
      </c>
      <c r="U1332" t="s">
        <v>12902</v>
      </c>
      <c r="V1332" t="s">
        <v>12902</v>
      </c>
      <c r="W1332" t="s">
        <v>14207</v>
      </c>
      <c r="X1332">
        <v>6</v>
      </c>
      <c r="Y1332" t="s">
        <v>20592</v>
      </c>
      <c r="Z1332" t="s">
        <v>26907</v>
      </c>
      <c r="AA1332">
        <v>0.28321770875788949</v>
      </c>
      <c r="AB1332" t="str">
        <f>HYPERLINK("Melting_Curves/meltCurve_O14908_GIPC1.pdf", "Melting_Curves/meltCurve_O14908_GIPC1.pdf")</f>
        <v>Melting_Curves/meltCurve_O14908_GIPC1.pdf</v>
      </c>
    </row>
    <row r="1333" spans="1:28" x14ac:dyDescent="0.25">
      <c r="A1333" t="s">
        <v>1337</v>
      </c>
      <c r="B1333">
        <v>0.99673306730245903</v>
      </c>
      <c r="C1333">
        <v>0.88485515832963801</v>
      </c>
      <c r="D1333">
        <v>0.70360594331584603</v>
      </c>
      <c r="E1333">
        <v>0.39981488453757902</v>
      </c>
      <c r="F1333">
        <v>0.28234725485899598</v>
      </c>
      <c r="G1333">
        <v>0.37534454580358201</v>
      </c>
      <c r="H1333">
        <v>0.16497220058501499</v>
      </c>
      <c r="I1333">
        <v>0.154594041490343</v>
      </c>
      <c r="J1333">
        <v>0.16917856303113399</v>
      </c>
      <c r="K1333">
        <v>0.17373719069707</v>
      </c>
      <c r="L1333">
        <v>799.977438979255</v>
      </c>
      <c r="M1333">
        <v>16.884814210864999</v>
      </c>
      <c r="N1333">
        <v>48.687514904056599</v>
      </c>
      <c r="O1333">
        <v>46.728898732167202</v>
      </c>
      <c r="P1333">
        <v>-7.3857410867034498E-2</v>
      </c>
      <c r="Q1333">
        <v>0.18244695878306599</v>
      </c>
      <c r="R1333">
        <v>0.96938604770490799</v>
      </c>
      <c r="S1333" t="s">
        <v>7785</v>
      </c>
      <c r="T1333" t="s">
        <v>12902</v>
      </c>
      <c r="U1333" t="s">
        <v>12902</v>
      </c>
      <c r="V1333" t="s">
        <v>12902</v>
      </c>
      <c r="W1333" t="s">
        <v>14208</v>
      </c>
      <c r="X1333">
        <v>9</v>
      </c>
      <c r="Y1333" t="s">
        <v>20593</v>
      </c>
      <c r="Z1333" t="s">
        <v>26908</v>
      </c>
      <c r="AA1333">
        <v>0.40051674484180461</v>
      </c>
      <c r="AB1333" t="str">
        <f>HYPERLINK("Melting_Curves/meltCurve_O14920_IKBKB.pdf", "Melting_Curves/meltCurve_O14920_IKBKB.pdf")</f>
        <v>Melting_Curves/meltCurve_O14920_IKBKB.pdf</v>
      </c>
    </row>
    <row r="1334" spans="1:28" x14ac:dyDescent="0.25">
      <c r="A1334" t="s">
        <v>1338</v>
      </c>
      <c r="B1334">
        <v>0.99673306730245903</v>
      </c>
      <c r="C1334">
        <v>1.0119817620739799</v>
      </c>
      <c r="D1334">
        <v>0.95687083793823902</v>
      </c>
      <c r="E1334">
        <v>0.88568875580776596</v>
      </c>
      <c r="F1334">
        <v>0.84289820954725003</v>
      </c>
      <c r="G1334">
        <v>0.68304726950297701</v>
      </c>
      <c r="H1334">
        <v>0.51479106570281197</v>
      </c>
      <c r="I1334">
        <v>0.53162776161472303</v>
      </c>
      <c r="J1334">
        <v>0.34353549696006602</v>
      </c>
      <c r="K1334">
        <v>0.19833566836713301</v>
      </c>
      <c r="L1334">
        <v>572.81737242628299</v>
      </c>
      <c r="M1334">
        <v>9.21448558293622</v>
      </c>
      <c r="N1334">
        <v>62.1648647713237</v>
      </c>
      <c r="O1334">
        <v>59.447235439588702</v>
      </c>
      <c r="P1334">
        <v>-3.8776428646204002E-2</v>
      </c>
      <c r="Q1334">
        <v>0</v>
      </c>
      <c r="R1334">
        <v>0.976890361716929</v>
      </c>
      <c r="S1334" t="s">
        <v>7786</v>
      </c>
      <c r="T1334" t="s">
        <v>12902</v>
      </c>
      <c r="U1334" t="s">
        <v>12902</v>
      </c>
      <c r="V1334" t="s">
        <v>12902</v>
      </c>
      <c r="W1334" t="s">
        <v>14209</v>
      </c>
      <c r="X1334">
        <v>4</v>
      </c>
      <c r="Y1334" t="s">
        <v>20594</v>
      </c>
      <c r="Z1334" t="s">
        <v>26909</v>
      </c>
      <c r="AA1334">
        <v>0.71063488351427073</v>
      </c>
      <c r="AB1334" t="str">
        <f>HYPERLINK("Melting_Curves/meltCurve_O14925_TIMM23.pdf", "Melting_Curves/meltCurve_O14925_TIMM23.pdf")</f>
        <v>Melting_Curves/meltCurve_O14925_TIMM23.pdf</v>
      </c>
    </row>
    <row r="1335" spans="1:28" x14ac:dyDescent="0.25">
      <c r="A1335" t="s">
        <v>1339</v>
      </c>
      <c r="B1335">
        <v>0.99673306730245903</v>
      </c>
      <c r="C1335">
        <v>0.95344059997893005</v>
      </c>
      <c r="D1335">
        <v>0.85363333680035902</v>
      </c>
      <c r="E1335">
        <v>0.49702368556620602</v>
      </c>
      <c r="F1335">
        <v>0.15117945635416899</v>
      </c>
      <c r="G1335">
        <v>9.6062214150531802E-2</v>
      </c>
      <c r="H1335">
        <v>5.6059756206819099E-2</v>
      </c>
      <c r="I1335">
        <v>4.5695571034371399E-2</v>
      </c>
      <c r="J1335">
        <v>5.0137492411224102E-2</v>
      </c>
      <c r="K1335">
        <v>3.9303246443860698E-2</v>
      </c>
      <c r="L1335">
        <v>1213.9031494973599</v>
      </c>
      <c r="M1335">
        <v>24.641039794305598</v>
      </c>
      <c r="N1335">
        <v>49.449902537115499</v>
      </c>
      <c r="O1335">
        <v>48.942450852586497</v>
      </c>
      <c r="P1335">
        <v>-0.120285992772815</v>
      </c>
      <c r="Q1335">
        <v>4.4357299791917201E-2</v>
      </c>
      <c r="R1335">
        <v>0.99884063104786103</v>
      </c>
      <c r="S1335" t="s">
        <v>7787</v>
      </c>
      <c r="T1335" t="s">
        <v>12902</v>
      </c>
      <c r="U1335" t="s">
        <v>12902</v>
      </c>
      <c r="V1335" t="s">
        <v>12902</v>
      </c>
      <c r="W1335" t="s">
        <v>14210</v>
      </c>
      <c r="X1335">
        <v>14</v>
      </c>
      <c r="Y1335" t="s">
        <v>20595</v>
      </c>
      <c r="Z1335" t="s">
        <v>26910</v>
      </c>
      <c r="AA1335">
        <v>0.34818196525487899</v>
      </c>
      <c r="AB1335" t="str">
        <f>HYPERLINK("Melting_Curves/meltCurve_O14929_HAT1.pdf", "Melting_Curves/meltCurve_O14929_HAT1.pdf")</f>
        <v>Melting_Curves/meltCurve_O14929_HAT1.pdf</v>
      </c>
    </row>
    <row r="1336" spans="1:28" x14ac:dyDescent="0.25">
      <c r="A1336" t="s">
        <v>1340</v>
      </c>
      <c r="B1336">
        <v>0.99673306730245903</v>
      </c>
      <c r="C1336">
        <v>0.96598272249278005</v>
      </c>
      <c r="D1336">
        <v>0.71736940802053295</v>
      </c>
      <c r="E1336">
        <v>0.422182390063089</v>
      </c>
      <c r="F1336">
        <v>0.23807628189855501</v>
      </c>
      <c r="G1336">
        <v>0.168644802152184</v>
      </c>
      <c r="H1336">
        <v>6.2753269347505997E-2</v>
      </c>
      <c r="I1336">
        <v>5.7232060617843798E-2</v>
      </c>
      <c r="J1336">
        <v>5.4953040170462597E-2</v>
      </c>
      <c r="K1336">
        <v>8.2806523383822505E-3</v>
      </c>
      <c r="L1336">
        <v>822.15634795066501</v>
      </c>
      <c r="M1336">
        <v>16.884795812159702</v>
      </c>
      <c r="N1336">
        <v>48.935397614648998</v>
      </c>
      <c r="O1336">
        <v>48.024513572724999</v>
      </c>
      <c r="P1336">
        <v>-8.4363518497617904E-2</v>
      </c>
      <c r="Q1336">
        <v>4.0258769772997499E-2</v>
      </c>
      <c r="R1336">
        <v>0.99358481976108504</v>
      </c>
      <c r="S1336" t="s">
        <v>7788</v>
      </c>
      <c r="T1336" t="s">
        <v>12902</v>
      </c>
      <c r="U1336" t="s">
        <v>12902</v>
      </c>
      <c r="V1336" t="s">
        <v>12902</v>
      </c>
      <c r="W1336" t="s">
        <v>14211</v>
      </c>
      <c r="X1336">
        <v>2</v>
      </c>
      <c r="Y1336" t="s">
        <v>20596</v>
      </c>
      <c r="Z1336" t="s">
        <v>26911</v>
      </c>
      <c r="AA1336">
        <v>0.33735097850272749</v>
      </c>
      <c r="AB1336" t="str">
        <f>HYPERLINK("Melting_Curves/meltCurve_O14933_UBE2L6.pdf", "Melting_Curves/meltCurve_O14933_UBE2L6.pdf")</f>
        <v>Melting_Curves/meltCurve_O14933_UBE2L6.pdf</v>
      </c>
    </row>
    <row r="1337" spans="1:28" x14ac:dyDescent="0.25">
      <c r="A1337" t="s">
        <v>1341</v>
      </c>
      <c r="B1337">
        <v>0.99673306730245903</v>
      </c>
      <c r="C1337">
        <v>1.0348426470388501</v>
      </c>
      <c r="D1337">
        <v>1.0791305319951201</v>
      </c>
      <c r="E1337">
        <v>0.94295076434962299</v>
      </c>
      <c r="F1337">
        <v>0.71918085447334001</v>
      </c>
      <c r="G1337">
        <v>0.60873449916133904</v>
      </c>
      <c r="H1337">
        <v>0.53910858745668599</v>
      </c>
      <c r="I1337">
        <v>0.56578850124984903</v>
      </c>
      <c r="J1337">
        <v>0.43786223084951398</v>
      </c>
      <c r="K1337">
        <v>0.41222216609255202</v>
      </c>
      <c r="L1337">
        <v>1150.5082409629999</v>
      </c>
      <c r="M1337">
        <v>21.415591084560401</v>
      </c>
      <c r="N1337">
        <v>61.815954803234199</v>
      </c>
      <c r="O1337">
        <v>53.2610681858799</v>
      </c>
      <c r="P1337">
        <v>-5.3307117915076897E-2</v>
      </c>
      <c r="Q1337">
        <v>0.46970901029079298</v>
      </c>
      <c r="R1337">
        <v>0.95810141554112305</v>
      </c>
      <c r="S1337" t="s">
        <v>7789</v>
      </c>
      <c r="T1337" t="s">
        <v>12902</v>
      </c>
      <c r="U1337" t="s">
        <v>12902</v>
      </c>
      <c r="V1337" t="s">
        <v>12902</v>
      </c>
      <c r="W1337" t="s">
        <v>14212</v>
      </c>
      <c r="X1337">
        <v>8</v>
      </c>
      <c r="Y1337" t="s">
        <v>20597</v>
      </c>
      <c r="Z1337" t="s">
        <v>26912</v>
      </c>
      <c r="AA1337">
        <v>0.71873423872606612</v>
      </c>
      <c r="AB1337" t="str">
        <f>HYPERLINK("Melting_Curves/meltCurve_O14949_UQCRQ.pdf", "Melting_Curves/meltCurve_O14949_UQCRQ.pdf")</f>
        <v>Melting_Curves/meltCurve_O14949_UQCRQ.pdf</v>
      </c>
    </row>
    <row r="1338" spans="1:28" x14ac:dyDescent="0.25">
      <c r="A1338" t="s">
        <v>1342</v>
      </c>
      <c r="B1338">
        <v>0.99673306730245903</v>
      </c>
      <c r="C1338">
        <v>0.97774893757273795</v>
      </c>
      <c r="D1338">
        <v>0.92761181494031897</v>
      </c>
      <c r="E1338">
        <v>0.69869895998840303</v>
      </c>
      <c r="F1338">
        <v>0.222985119413984</v>
      </c>
      <c r="G1338">
        <v>0.133679920014728</v>
      </c>
      <c r="H1338">
        <v>8.8328644019369504E-2</v>
      </c>
      <c r="I1338">
        <v>8.8874078688436706E-2</v>
      </c>
      <c r="J1338">
        <v>0.114190391388133</v>
      </c>
      <c r="K1338">
        <v>9.5460637945255097E-2</v>
      </c>
      <c r="L1338">
        <v>1675.37578649594</v>
      </c>
      <c r="M1338">
        <v>33.1589627532693</v>
      </c>
      <c r="N1338">
        <v>50.854483952955199</v>
      </c>
      <c r="O1338">
        <v>50.342882365876797</v>
      </c>
      <c r="P1338">
        <v>-0.148774681431253</v>
      </c>
      <c r="Q1338">
        <v>9.6508227786294407E-2</v>
      </c>
      <c r="R1338">
        <v>0.99791477126619699</v>
      </c>
      <c r="S1338" t="s">
        <v>7790</v>
      </c>
      <c r="T1338" t="s">
        <v>12902</v>
      </c>
      <c r="U1338" t="s">
        <v>12902</v>
      </c>
      <c r="V1338" t="s">
        <v>12902</v>
      </c>
      <c r="W1338" t="s">
        <v>14213</v>
      </c>
      <c r="X1338">
        <v>18</v>
      </c>
      <c r="Y1338" t="s">
        <v>20598</v>
      </c>
      <c r="Z1338" t="s">
        <v>26913</v>
      </c>
      <c r="AA1338">
        <v>0.41810749800244729</v>
      </c>
      <c r="AB1338" t="str">
        <f>HYPERLINK("Melting_Curves/meltCurve_O14964_HGS.pdf", "Melting_Curves/meltCurve_O14964_HGS.pdf")</f>
        <v>Melting_Curves/meltCurve_O14964_HGS.pdf</v>
      </c>
    </row>
    <row r="1339" spans="1:28" x14ac:dyDescent="0.25">
      <c r="A1339" t="s">
        <v>1343</v>
      </c>
      <c r="B1339">
        <v>0.99673306730245903</v>
      </c>
      <c r="C1339">
        <v>0.94666765533582897</v>
      </c>
      <c r="D1339">
        <v>0.87417863771842697</v>
      </c>
      <c r="E1339">
        <v>0.76557824460472901</v>
      </c>
      <c r="F1339">
        <v>0.52496127516430602</v>
      </c>
      <c r="G1339">
        <v>0.29459291961621198</v>
      </c>
      <c r="H1339">
        <v>0.147945837262107</v>
      </c>
      <c r="I1339">
        <v>0.12630736715388699</v>
      </c>
      <c r="J1339">
        <v>0.115063005590294</v>
      </c>
      <c r="K1339">
        <v>0.12174499283540299</v>
      </c>
      <c r="L1339">
        <v>817.74439979520002</v>
      </c>
      <c r="M1339">
        <v>15.5152180911813</v>
      </c>
      <c r="N1339">
        <v>53.278414958515803</v>
      </c>
      <c r="O1339">
        <v>51.853664634267901</v>
      </c>
      <c r="P1339">
        <v>-6.9065965273658603E-2</v>
      </c>
      <c r="Q1339">
        <v>7.6775733631061299E-2</v>
      </c>
      <c r="R1339">
        <v>0.99608366959402295</v>
      </c>
      <c r="S1339" t="s">
        <v>7791</v>
      </c>
      <c r="T1339" t="s">
        <v>12902</v>
      </c>
      <c r="U1339" t="s">
        <v>12902</v>
      </c>
      <c r="V1339" t="s">
        <v>12902</v>
      </c>
      <c r="W1339" t="s">
        <v>14214</v>
      </c>
      <c r="X1339">
        <v>6</v>
      </c>
      <c r="Y1339" t="s">
        <v>20599</v>
      </c>
      <c r="Z1339" t="s">
        <v>26914</v>
      </c>
      <c r="AA1339">
        <v>0.48693472998790788</v>
      </c>
      <c r="AB1339" t="str">
        <f>HYPERLINK("Melting_Curves/meltCurve_O14965_AURKA.pdf", "Melting_Curves/meltCurve_O14965_AURKA.pdf")</f>
        <v>Melting_Curves/meltCurve_O14965_AURKA.pdf</v>
      </c>
    </row>
    <row r="1340" spans="1:28" x14ac:dyDescent="0.25">
      <c r="A1340" t="s">
        <v>1344</v>
      </c>
      <c r="B1340">
        <v>0.99673306730245903</v>
      </c>
      <c r="C1340">
        <v>0.89943106250456195</v>
      </c>
      <c r="D1340">
        <v>0.88519654125348002</v>
      </c>
      <c r="E1340">
        <v>0.62244284064467603</v>
      </c>
      <c r="F1340">
        <v>0.22014195170425199</v>
      </c>
      <c r="G1340">
        <v>0.143103770456352</v>
      </c>
      <c r="H1340">
        <v>9.93464917627086E-2</v>
      </c>
      <c r="I1340">
        <v>0.11914793549286599</v>
      </c>
      <c r="J1340">
        <v>0.17708499211923301</v>
      </c>
      <c r="K1340">
        <v>0.17681892159166901</v>
      </c>
      <c r="L1340">
        <v>1392.1744821232801</v>
      </c>
      <c r="M1340">
        <v>27.974306364224699</v>
      </c>
      <c r="N1340">
        <v>50.321959762908001</v>
      </c>
      <c r="O1340">
        <v>49.513954449012097</v>
      </c>
      <c r="P1340">
        <v>-0.122474963691958</v>
      </c>
      <c r="Q1340">
        <v>0.13289466156261701</v>
      </c>
      <c r="R1340">
        <v>0.98570318989882699</v>
      </c>
      <c r="S1340" t="s">
        <v>7792</v>
      </c>
      <c r="T1340" t="s">
        <v>12902</v>
      </c>
      <c r="U1340" t="s">
        <v>12902</v>
      </c>
      <c r="V1340" t="s">
        <v>12902</v>
      </c>
      <c r="W1340" t="s">
        <v>14215</v>
      </c>
      <c r="X1340">
        <v>36</v>
      </c>
      <c r="Y1340" t="s">
        <v>20600</v>
      </c>
      <c r="Z1340" t="s">
        <v>26915</v>
      </c>
      <c r="AA1340">
        <v>0.42132904366259782</v>
      </c>
      <c r="AB1340" t="str">
        <f>HYPERLINK("Melting_Curves/meltCurve_O14974_PPP1R12A.pdf", "Melting_Curves/meltCurve_O14974_PPP1R12A.pdf")</f>
        <v>Melting_Curves/meltCurve_O14974_PPP1R12A.pdf</v>
      </c>
    </row>
    <row r="1341" spans="1:28" x14ac:dyDescent="0.25">
      <c r="A1341" t="s">
        <v>1345</v>
      </c>
      <c r="B1341">
        <v>0.99673306730245903</v>
      </c>
      <c r="C1341">
        <v>0.922446967872666</v>
      </c>
      <c r="D1341">
        <v>0.84886839203847197</v>
      </c>
      <c r="E1341">
        <v>0.574427467706498</v>
      </c>
      <c r="F1341">
        <v>0.274051322756865</v>
      </c>
      <c r="G1341">
        <v>0.16323153084657999</v>
      </c>
      <c r="H1341">
        <v>0.10155174496729399</v>
      </c>
      <c r="I1341">
        <v>8.4760688916253504E-2</v>
      </c>
      <c r="J1341">
        <v>8.3347778268410305E-2</v>
      </c>
      <c r="K1341">
        <v>5.8051511012723302E-2</v>
      </c>
      <c r="L1341">
        <v>922.666139016177</v>
      </c>
      <c r="M1341">
        <v>18.476673119601202</v>
      </c>
      <c r="N1341">
        <v>50.320838428314197</v>
      </c>
      <c r="O1341">
        <v>49.362878343903603</v>
      </c>
      <c r="P1341">
        <v>-8.7426286037876E-2</v>
      </c>
      <c r="Q1341">
        <v>6.5757921683021997E-2</v>
      </c>
      <c r="R1341">
        <v>0.99841097488598396</v>
      </c>
      <c r="S1341" t="s">
        <v>7793</v>
      </c>
      <c r="T1341" t="s">
        <v>12902</v>
      </c>
      <c r="U1341" t="s">
        <v>12902</v>
      </c>
      <c r="V1341" t="s">
        <v>12902</v>
      </c>
      <c r="W1341" t="s">
        <v>14216</v>
      </c>
      <c r="X1341">
        <v>9</v>
      </c>
      <c r="Y1341" t="s">
        <v>20601</v>
      </c>
      <c r="Z1341" t="s">
        <v>26916</v>
      </c>
      <c r="AA1341">
        <v>0.39037230269915058</v>
      </c>
      <c r="AB1341" t="str">
        <f>HYPERLINK("Melting_Curves/meltCurve_O14975_2_SLC27A2.pdf", "Melting_Curves/meltCurve_O14975_2_SLC27A2.pdf")</f>
        <v>Melting_Curves/meltCurve_O14975_2_SLC27A2.pdf</v>
      </c>
    </row>
    <row r="1342" spans="1:28" x14ac:dyDescent="0.25">
      <c r="A1342" t="s">
        <v>1346</v>
      </c>
      <c r="B1342">
        <v>0.99673306730245903</v>
      </c>
      <c r="C1342">
        <v>0.82184532565539803</v>
      </c>
      <c r="D1342">
        <v>0.60371278213875801</v>
      </c>
      <c r="E1342">
        <v>0.21104696824504901</v>
      </c>
      <c r="F1342">
        <v>0.148486396879139</v>
      </c>
      <c r="G1342">
        <v>9.8526179341532003E-2</v>
      </c>
      <c r="H1342">
        <v>7.2818450978502897E-2</v>
      </c>
      <c r="I1342">
        <v>7.73944769073978E-2</v>
      </c>
      <c r="J1342">
        <v>9.4757492932426801E-2</v>
      </c>
      <c r="K1342">
        <v>8.5852948181999997E-2</v>
      </c>
      <c r="L1342">
        <v>1031.6270845342401</v>
      </c>
      <c r="M1342">
        <v>22.309315442898701</v>
      </c>
      <c r="N1342">
        <v>46.614092750855903</v>
      </c>
      <c r="O1342">
        <v>45.875254353423301</v>
      </c>
      <c r="P1342">
        <v>-0.11166219939925</v>
      </c>
      <c r="Q1342">
        <v>8.15633994184332E-2</v>
      </c>
      <c r="R1342">
        <v>0.99488250583913596</v>
      </c>
      <c r="S1342" t="s">
        <v>7794</v>
      </c>
      <c r="T1342" t="s">
        <v>12902</v>
      </c>
      <c r="U1342" t="s">
        <v>12902</v>
      </c>
      <c r="V1342" t="s">
        <v>12902</v>
      </c>
      <c r="W1342" t="s">
        <v>14217</v>
      </c>
      <c r="X1342">
        <v>11</v>
      </c>
      <c r="Y1342" t="s">
        <v>20602</v>
      </c>
      <c r="Z1342" t="s">
        <v>26917</v>
      </c>
      <c r="AA1342">
        <v>0.28354499783197329</v>
      </c>
      <c r="AB1342" t="str">
        <f>HYPERLINK("Melting_Curves/meltCurve_O14976_GAK.pdf", "Melting_Curves/meltCurve_O14976_GAK.pdf")</f>
        <v>Melting_Curves/meltCurve_O14976_GAK.pdf</v>
      </c>
    </row>
    <row r="1343" spans="1:28" x14ac:dyDescent="0.25">
      <c r="A1343" t="s">
        <v>1347</v>
      </c>
      <c r="B1343">
        <v>0.99673306730245903</v>
      </c>
      <c r="C1343">
        <v>1.0057583689070799</v>
      </c>
      <c r="D1343">
        <v>1.03045622046921</v>
      </c>
      <c r="E1343">
        <v>0.99728936572552696</v>
      </c>
      <c r="F1343">
        <v>0.80515704465247995</v>
      </c>
      <c r="G1343">
        <v>0.68634148516778903</v>
      </c>
      <c r="H1343">
        <v>0.55444399683138901</v>
      </c>
      <c r="I1343">
        <v>0.77440261657639198</v>
      </c>
      <c r="J1343">
        <v>1.4827322672733501</v>
      </c>
      <c r="K1343">
        <v>2.4219296201829001</v>
      </c>
      <c r="L1343">
        <v>15000</v>
      </c>
      <c r="M1343">
        <v>226.726086737662</v>
      </c>
      <c r="O1343">
        <v>66.153977084556402</v>
      </c>
      <c r="P1343">
        <v>0.42840598585487899</v>
      </c>
      <c r="Q1343">
        <v>1.5</v>
      </c>
      <c r="R1343">
        <v>0.52147147265025395</v>
      </c>
      <c r="S1343" t="s">
        <v>7795</v>
      </c>
      <c r="T1343" t="s">
        <v>12902</v>
      </c>
      <c r="U1343" t="s">
        <v>12902</v>
      </c>
      <c r="V1343" t="s">
        <v>12902</v>
      </c>
      <c r="W1343" t="s">
        <v>14218</v>
      </c>
      <c r="X1343">
        <v>11</v>
      </c>
      <c r="Y1343" t="s">
        <v>20603</v>
      </c>
      <c r="Z1343" t="s">
        <v>26918</v>
      </c>
      <c r="AA1343">
        <v>1.06394398130144</v>
      </c>
      <c r="AB1343" t="str">
        <f>HYPERLINK("Melting_Curves/meltCurve_O14979_3_HNRPDL.pdf", "Melting_Curves/meltCurve_O14979_3_HNRPDL.pdf")</f>
        <v>Melting_Curves/meltCurve_O14979_3_HNRPDL.pdf</v>
      </c>
    </row>
    <row r="1344" spans="1:28" x14ac:dyDescent="0.25">
      <c r="A1344" t="s">
        <v>1348</v>
      </c>
      <c r="B1344">
        <v>0.99673306730245903</v>
      </c>
      <c r="C1344">
        <v>0.99080175634970302</v>
      </c>
      <c r="D1344">
        <v>0.66368516646415099</v>
      </c>
      <c r="E1344">
        <v>0.371231342263041</v>
      </c>
      <c r="F1344">
        <v>0.156593838673698</v>
      </c>
      <c r="G1344">
        <v>9.8615298996274497E-2</v>
      </c>
      <c r="H1344">
        <v>6.0036659841096102E-2</v>
      </c>
      <c r="I1344">
        <v>5.38207268828459E-2</v>
      </c>
      <c r="J1344">
        <v>6.1160721926954001E-2</v>
      </c>
      <c r="K1344">
        <v>5.2617602614031603E-2</v>
      </c>
      <c r="L1344">
        <v>1020.06066043035</v>
      </c>
      <c r="M1344">
        <v>21.3576811208357</v>
      </c>
      <c r="N1344">
        <v>48.035107958853303</v>
      </c>
      <c r="O1344">
        <v>47.348035216709299</v>
      </c>
      <c r="P1344">
        <v>-0.106298910035222</v>
      </c>
      <c r="Q1344">
        <v>5.7403585312987199E-2</v>
      </c>
      <c r="R1344">
        <v>0.99441288983072695</v>
      </c>
      <c r="S1344" t="s">
        <v>7796</v>
      </c>
      <c r="T1344" t="s">
        <v>12902</v>
      </c>
      <c r="U1344" t="s">
        <v>12902</v>
      </c>
      <c r="V1344" t="s">
        <v>12902</v>
      </c>
      <c r="W1344" t="s">
        <v>14219</v>
      </c>
      <c r="X1344">
        <v>36</v>
      </c>
      <c r="Y1344" t="s">
        <v>20604</v>
      </c>
      <c r="Z1344" t="s">
        <v>26919</v>
      </c>
      <c r="AA1344">
        <v>0.31294481696566018</v>
      </c>
      <c r="AB1344" t="str">
        <f>HYPERLINK("Melting_Curves/meltCurve_O14980_XPO1.pdf", "Melting_Curves/meltCurve_O14980_XPO1.pdf")</f>
        <v>Melting_Curves/meltCurve_O14980_XPO1.pdf</v>
      </c>
    </row>
    <row r="1345" spans="1:28" x14ac:dyDescent="0.25">
      <c r="A1345" t="s">
        <v>1349</v>
      </c>
      <c r="B1345">
        <v>0.99673306730245903</v>
      </c>
      <c r="C1345">
        <v>0.95133477717424597</v>
      </c>
      <c r="D1345">
        <v>0.81081662119821396</v>
      </c>
      <c r="E1345">
        <v>0.49612072376806099</v>
      </c>
      <c r="F1345">
        <v>0.26554584560229799</v>
      </c>
      <c r="G1345">
        <v>0.175147976825444</v>
      </c>
      <c r="H1345">
        <v>0.10976003387661599</v>
      </c>
      <c r="I1345">
        <v>0.104729991817686</v>
      </c>
      <c r="J1345">
        <v>9.83238070215538E-2</v>
      </c>
      <c r="K1345">
        <v>0.112326864034497</v>
      </c>
      <c r="L1345">
        <v>956.19853942381098</v>
      </c>
      <c r="M1345">
        <v>19.486222499289699</v>
      </c>
      <c r="N1345">
        <v>49.641564683157497</v>
      </c>
      <c r="O1345">
        <v>48.562469586409399</v>
      </c>
      <c r="P1345">
        <v>-9.0245915938302501E-2</v>
      </c>
      <c r="Q1345">
        <v>0.100409291399864</v>
      </c>
      <c r="R1345">
        <v>0.99947217714735304</v>
      </c>
      <c r="S1345" t="s">
        <v>7797</v>
      </c>
      <c r="T1345" t="s">
        <v>12902</v>
      </c>
      <c r="U1345" t="s">
        <v>12902</v>
      </c>
      <c r="V1345" t="s">
        <v>12902</v>
      </c>
      <c r="W1345" t="s">
        <v>14220</v>
      </c>
      <c r="X1345">
        <v>22</v>
      </c>
      <c r="Y1345" t="s">
        <v>20605</v>
      </c>
      <c r="Z1345" t="s">
        <v>26920</v>
      </c>
      <c r="AA1345">
        <v>0.38567424165673858</v>
      </c>
      <c r="AB1345" t="str">
        <f>HYPERLINK("Melting_Curves/meltCurve_O14981_BTAF1.pdf", "Melting_Curves/meltCurve_O14981_BTAF1.pdf")</f>
        <v>Melting_Curves/meltCurve_O14981_BTAF1.pdf</v>
      </c>
    </row>
    <row r="1346" spans="1:28" x14ac:dyDescent="0.25">
      <c r="A1346" t="s">
        <v>1350</v>
      </c>
      <c r="B1346">
        <v>0.99673306730245903</v>
      </c>
      <c r="C1346">
        <v>0.88745884193510705</v>
      </c>
      <c r="D1346">
        <v>0.86646112789949303</v>
      </c>
      <c r="E1346">
        <v>0.763246476891</v>
      </c>
      <c r="F1346">
        <v>0.59334802058611102</v>
      </c>
      <c r="G1346">
        <v>0.38192003713850198</v>
      </c>
      <c r="H1346">
        <v>0.27220259138585301</v>
      </c>
      <c r="I1346">
        <v>0.27652771627258699</v>
      </c>
      <c r="J1346">
        <v>0.43052766114914698</v>
      </c>
      <c r="K1346">
        <v>0.419061741068118</v>
      </c>
      <c r="L1346">
        <v>853.56365779284897</v>
      </c>
      <c r="M1346">
        <v>16.817247789674902</v>
      </c>
      <c r="N1346">
        <v>54.273159672452799</v>
      </c>
      <c r="O1346">
        <v>50.053881700868999</v>
      </c>
      <c r="P1346">
        <v>-5.6120777981151199E-2</v>
      </c>
      <c r="Q1346">
        <v>0.331904561711241</v>
      </c>
      <c r="R1346">
        <v>0.93402120241378706</v>
      </c>
      <c r="S1346" t="s">
        <v>7798</v>
      </c>
      <c r="T1346" t="s">
        <v>12902</v>
      </c>
      <c r="U1346" t="s">
        <v>12902</v>
      </c>
      <c r="V1346" t="s">
        <v>12902</v>
      </c>
      <c r="W1346" t="s">
        <v>14221</v>
      </c>
      <c r="X1346">
        <v>6</v>
      </c>
      <c r="Y1346" t="s">
        <v>20606</v>
      </c>
      <c r="Z1346" t="s">
        <v>26921</v>
      </c>
      <c r="AA1346">
        <v>0.58418326099194762</v>
      </c>
      <c r="AB1346" t="str">
        <f>HYPERLINK("Melting_Curves/meltCurve_O15014_ZNF609.pdf", "Melting_Curves/meltCurve_O15014_ZNF609.pdf")</f>
        <v>Melting_Curves/meltCurve_O15014_ZNF609.pdf</v>
      </c>
    </row>
    <row r="1347" spans="1:28" x14ac:dyDescent="0.25">
      <c r="A1347" t="s">
        <v>1351</v>
      </c>
      <c r="B1347">
        <v>0.99673306730245903</v>
      </c>
      <c r="C1347">
        <v>1.0231551694015999</v>
      </c>
      <c r="D1347">
        <v>1.2981433779798</v>
      </c>
      <c r="E1347">
        <v>1.08353733019887</v>
      </c>
      <c r="F1347">
        <v>0.95992308268989102</v>
      </c>
      <c r="G1347">
        <v>0.71041473418068901</v>
      </c>
      <c r="H1347">
        <v>0.76537290943134095</v>
      </c>
      <c r="I1347">
        <v>0.90273851586533604</v>
      </c>
      <c r="J1347">
        <v>0.73156245432464395</v>
      </c>
      <c r="K1347">
        <v>0.26480968651838199</v>
      </c>
      <c r="L1347">
        <v>2572.6889959311902</v>
      </c>
      <c r="M1347">
        <v>37.594404996892898</v>
      </c>
      <c r="N1347">
        <v>68.432762881819798</v>
      </c>
      <c r="O1347">
        <v>68.239995081273605</v>
      </c>
      <c r="P1347">
        <v>-0.137728999551086</v>
      </c>
      <c r="Q1347">
        <v>0</v>
      </c>
      <c r="R1347">
        <v>0.66030386920636397</v>
      </c>
      <c r="S1347" t="s">
        <v>7799</v>
      </c>
      <c r="T1347" t="s">
        <v>12902</v>
      </c>
      <c r="U1347" t="s">
        <v>12902</v>
      </c>
      <c r="V1347" t="s">
        <v>12902</v>
      </c>
      <c r="W1347" t="s">
        <v>14222</v>
      </c>
      <c r="X1347">
        <v>1</v>
      </c>
      <c r="Y1347" t="s">
        <v>20607</v>
      </c>
      <c r="Z1347" t="s">
        <v>26922</v>
      </c>
      <c r="AA1347">
        <v>0.92888639601684619</v>
      </c>
      <c r="AB1347" t="str">
        <f>HYPERLINK("Melting_Curves/meltCurve_O15015_ZNF646.pdf", "Melting_Curves/meltCurve_O15015_ZNF646.pdf")</f>
        <v>Melting_Curves/meltCurve_O15015_ZNF646.pdf</v>
      </c>
    </row>
    <row r="1348" spans="1:28" x14ac:dyDescent="0.25">
      <c r="A1348" t="s">
        <v>1352</v>
      </c>
      <c r="B1348">
        <v>0.99673306730245903</v>
      </c>
      <c r="C1348">
        <v>0.86130280366693501</v>
      </c>
      <c r="D1348">
        <v>0.75405644480716705</v>
      </c>
      <c r="E1348">
        <v>0.45460491450786</v>
      </c>
      <c r="F1348">
        <v>0.38303192727456697</v>
      </c>
      <c r="G1348">
        <v>0.25684871902059703</v>
      </c>
      <c r="H1348">
        <v>0.166114796780442</v>
      </c>
      <c r="I1348">
        <v>0.18605094485031201</v>
      </c>
      <c r="J1348">
        <v>0.230630554365781</v>
      </c>
      <c r="K1348">
        <v>0.196676618720594</v>
      </c>
      <c r="L1348">
        <v>743.92806633976102</v>
      </c>
      <c r="M1348">
        <v>15.4837292030409</v>
      </c>
      <c r="N1348">
        <v>49.527126684916198</v>
      </c>
      <c r="O1348">
        <v>47.265782288020603</v>
      </c>
      <c r="P1348">
        <v>-6.6724567598306195E-2</v>
      </c>
      <c r="Q1348">
        <v>0.18533642010648299</v>
      </c>
      <c r="R1348">
        <v>0.98771752739714302</v>
      </c>
      <c r="S1348" t="s">
        <v>7800</v>
      </c>
      <c r="T1348" t="s">
        <v>12902</v>
      </c>
      <c r="U1348" t="s">
        <v>12902</v>
      </c>
      <c r="V1348" t="s">
        <v>12902</v>
      </c>
      <c r="W1348" t="s">
        <v>14223</v>
      </c>
      <c r="X1348">
        <v>33</v>
      </c>
      <c r="Y1348" t="s">
        <v>20608</v>
      </c>
      <c r="Z1348" t="s">
        <v>26923</v>
      </c>
      <c r="AA1348">
        <v>0.42346417658911062</v>
      </c>
      <c r="AB1348" t="str">
        <f>HYPERLINK("Melting_Curves/meltCurve_O15020_SPTBN2.pdf", "Melting_Curves/meltCurve_O15020_SPTBN2.pdf")</f>
        <v>Melting_Curves/meltCurve_O15020_SPTBN2.pdf</v>
      </c>
    </row>
    <row r="1349" spans="1:28" x14ac:dyDescent="0.25">
      <c r="A1349" t="s">
        <v>1353</v>
      </c>
      <c r="B1349">
        <v>0.99673306730245903</v>
      </c>
      <c r="C1349">
        <v>0.95749606057330305</v>
      </c>
      <c r="D1349">
        <v>0.89136862916888504</v>
      </c>
      <c r="E1349">
        <v>0.76215457662175501</v>
      </c>
      <c r="F1349">
        <v>0.48116224710102301</v>
      </c>
      <c r="G1349">
        <v>0.37826967553234903</v>
      </c>
      <c r="H1349">
        <v>0.336875638550587</v>
      </c>
      <c r="I1349">
        <v>0.344148359780584</v>
      </c>
      <c r="J1349">
        <v>0.39876243179537901</v>
      </c>
      <c r="K1349">
        <v>0.28897292022454901</v>
      </c>
      <c r="L1349">
        <v>1062.64021327727</v>
      </c>
      <c r="M1349">
        <v>21.051559293230099</v>
      </c>
      <c r="N1349">
        <v>53.214985055251802</v>
      </c>
      <c r="O1349">
        <v>50.029109629637603</v>
      </c>
      <c r="P1349">
        <v>-7.0413344019929505E-2</v>
      </c>
      <c r="Q1349">
        <v>0.33066750492208802</v>
      </c>
      <c r="R1349">
        <v>0.98665674568209605</v>
      </c>
      <c r="S1349" t="s">
        <v>7801</v>
      </c>
      <c r="T1349" t="s">
        <v>12902</v>
      </c>
      <c r="U1349" t="s">
        <v>12902</v>
      </c>
      <c r="V1349" t="s">
        <v>12902</v>
      </c>
      <c r="W1349" t="s">
        <v>14224</v>
      </c>
      <c r="X1349">
        <v>21</v>
      </c>
      <c r="Y1349" t="s">
        <v>20609</v>
      </c>
      <c r="Z1349" t="s">
        <v>26924</v>
      </c>
      <c r="AA1349">
        <v>0.57287244432412576</v>
      </c>
      <c r="AB1349" t="str">
        <f>HYPERLINK("Melting_Curves/meltCurve_O15031_PLXNB2.pdf", "Melting_Curves/meltCurve_O15031_PLXNB2.pdf")</f>
        <v>Melting_Curves/meltCurve_O15031_PLXNB2.pdf</v>
      </c>
    </row>
    <row r="1350" spans="1:28" x14ac:dyDescent="0.25">
      <c r="A1350" t="s">
        <v>1354</v>
      </c>
      <c r="B1350">
        <v>0.99673306730245903</v>
      </c>
      <c r="C1350">
        <v>0.917813223434506</v>
      </c>
      <c r="D1350">
        <v>0.83019374290556902</v>
      </c>
      <c r="E1350">
        <v>0.614754197041397</v>
      </c>
      <c r="F1350">
        <v>0.49378748801133698</v>
      </c>
      <c r="G1350">
        <v>0.33422971902971399</v>
      </c>
      <c r="H1350">
        <v>0.29161702491260499</v>
      </c>
      <c r="I1350">
        <v>0.262665653381981</v>
      </c>
      <c r="J1350">
        <v>0.22198881209296001</v>
      </c>
      <c r="K1350">
        <v>0.30762095712146698</v>
      </c>
      <c r="L1350">
        <v>716.64501535531394</v>
      </c>
      <c r="M1350">
        <v>14.3899352024581</v>
      </c>
      <c r="N1350">
        <v>52.222513492683298</v>
      </c>
      <c r="O1350">
        <v>48.8696639654028</v>
      </c>
      <c r="P1350">
        <v>-5.5704130829615402E-2</v>
      </c>
      <c r="Q1350">
        <v>0.243382662455639</v>
      </c>
      <c r="R1350">
        <v>0.99110825994260299</v>
      </c>
      <c r="S1350" t="s">
        <v>7802</v>
      </c>
      <c r="T1350" t="s">
        <v>12902</v>
      </c>
      <c r="U1350" t="s">
        <v>12902</v>
      </c>
      <c r="V1350" t="s">
        <v>12902</v>
      </c>
      <c r="W1350" t="s">
        <v>14225</v>
      </c>
      <c r="X1350">
        <v>3</v>
      </c>
      <c r="Y1350" t="s">
        <v>20610</v>
      </c>
      <c r="Z1350" t="s">
        <v>26925</v>
      </c>
      <c r="AA1350">
        <v>0.51013975087217878</v>
      </c>
      <c r="AB1350" t="str">
        <f>HYPERLINK("Melting_Curves/meltCurve_O15034_RIMBP2.pdf", "Melting_Curves/meltCurve_O15034_RIMBP2.pdf")</f>
        <v>Melting_Curves/meltCurve_O15034_RIMBP2.pdf</v>
      </c>
    </row>
    <row r="1351" spans="1:28" x14ac:dyDescent="0.25">
      <c r="A1351" t="s">
        <v>1355</v>
      </c>
      <c r="B1351">
        <v>0.99673306730245903</v>
      </c>
      <c r="C1351">
        <v>0.91968069265865804</v>
      </c>
      <c r="D1351">
        <v>0.67703882104739499</v>
      </c>
      <c r="E1351">
        <v>0.448417650266486</v>
      </c>
      <c r="F1351">
        <v>0.445044107623562</v>
      </c>
      <c r="G1351">
        <v>0.31290037825258599</v>
      </c>
      <c r="H1351">
        <v>0.20153632483450701</v>
      </c>
      <c r="I1351">
        <v>0.15338454725504999</v>
      </c>
      <c r="J1351">
        <v>0.102591633368528</v>
      </c>
      <c r="K1351">
        <v>5.4139203604440002E-2</v>
      </c>
      <c r="L1351">
        <v>502.45007187661201</v>
      </c>
      <c r="M1351">
        <v>10.016305018091501</v>
      </c>
      <c r="N1351">
        <v>50.615757643591699</v>
      </c>
      <c r="O1351">
        <v>48.286709211810297</v>
      </c>
      <c r="P1351">
        <v>-4.9661387062019099E-2</v>
      </c>
      <c r="Q1351">
        <v>4.2830117509129802E-2</v>
      </c>
      <c r="R1351">
        <v>0.97163185625353199</v>
      </c>
      <c r="S1351" t="s">
        <v>7803</v>
      </c>
      <c r="T1351" t="s">
        <v>12902</v>
      </c>
      <c r="U1351" t="s">
        <v>12902</v>
      </c>
      <c r="V1351" t="s">
        <v>12902</v>
      </c>
      <c r="W1351" t="s">
        <v>14226</v>
      </c>
      <c r="X1351">
        <v>1</v>
      </c>
      <c r="Y1351" t="s">
        <v>20611</v>
      </c>
      <c r="Z1351" t="s">
        <v>26926</v>
      </c>
      <c r="AA1351">
        <v>0.40970113081863158</v>
      </c>
      <c r="AB1351" t="str">
        <f>HYPERLINK("Melting_Curves/meltCurve_O15037_KHNYN.pdf", "Melting_Curves/meltCurve_O15037_KHNYN.pdf")</f>
        <v>Melting_Curves/meltCurve_O15037_KHNYN.pdf</v>
      </c>
    </row>
    <row r="1352" spans="1:28" x14ac:dyDescent="0.25">
      <c r="A1352" t="s">
        <v>1356</v>
      </c>
      <c r="B1352">
        <v>0.99673306730245903</v>
      </c>
      <c r="C1352">
        <v>1.00098358630951</v>
      </c>
      <c r="D1352">
        <v>0.92845049281556802</v>
      </c>
      <c r="E1352">
        <v>0.84646890752598603</v>
      </c>
      <c r="F1352">
        <v>0.56705026433041705</v>
      </c>
      <c r="G1352">
        <v>0.29038406572021702</v>
      </c>
      <c r="H1352">
        <v>0.14334841039197899</v>
      </c>
      <c r="I1352">
        <v>0.134480678556746</v>
      </c>
      <c r="J1352">
        <v>0.13120828934015799</v>
      </c>
      <c r="K1352">
        <v>7.6691993982777901E-2</v>
      </c>
      <c r="L1352">
        <v>1079.78494509908</v>
      </c>
      <c r="M1352">
        <v>20.235495669613201</v>
      </c>
      <c r="N1352">
        <v>53.893621762904601</v>
      </c>
      <c r="O1352">
        <v>52.848007242035301</v>
      </c>
      <c r="P1352">
        <v>-8.7051417915462503E-2</v>
      </c>
      <c r="Q1352">
        <v>9.06374258911265E-2</v>
      </c>
      <c r="R1352">
        <v>0.99771239072055695</v>
      </c>
      <c r="S1352" t="s">
        <v>7804</v>
      </c>
      <c r="T1352" t="s">
        <v>12902</v>
      </c>
      <c r="U1352" t="s">
        <v>12902</v>
      </c>
      <c r="V1352" t="s">
        <v>12902</v>
      </c>
      <c r="W1352" t="s">
        <v>14227</v>
      </c>
      <c r="X1352">
        <v>2</v>
      </c>
      <c r="Y1352" t="s">
        <v>20612</v>
      </c>
      <c r="Z1352" t="s">
        <v>26927</v>
      </c>
      <c r="AA1352">
        <v>0.50785630066758514</v>
      </c>
      <c r="AB1352" t="str">
        <f>HYPERLINK("Melting_Curves/meltCurve_O15040_TECPR2.pdf", "Melting_Curves/meltCurve_O15040_TECPR2.pdf")</f>
        <v>Melting_Curves/meltCurve_O15040_TECPR2.pdf</v>
      </c>
    </row>
    <row r="1353" spans="1:28" x14ac:dyDescent="0.25">
      <c r="A1353" t="s">
        <v>1357</v>
      </c>
      <c r="B1353">
        <v>0.99673306730245903</v>
      </c>
      <c r="C1353">
        <v>0.77024554388236</v>
      </c>
      <c r="D1353">
        <v>0.434886089361117</v>
      </c>
      <c r="E1353">
        <v>0.33077414165871699</v>
      </c>
      <c r="F1353">
        <v>0.25324141025524899</v>
      </c>
      <c r="G1353">
        <v>0.153656333150714</v>
      </c>
      <c r="H1353">
        <v>8.7479179657248995E-2</v>
      </c>
      <c r="I1353">
        <v>9.7782938077613596E-2</v>
      </c>
      <c r="J1353">
        <v>0.116906725817802</v>
      </c>
      <c r="K1353">
        <v>0.11064516543134401</v>
      </c>
      <c r="L1353">
        <v>775.16169151307702</v>
      </c>
      <c r="M1353">
        <v>17.063296046108199</v>
      </c>
      <c r="N1353">
        <v>46.144675679222402</v>
      </c>
      <c r="O1353">
        <v>44.8184135619477</v>
      </c>
      <c r="P1353">
        <v>-8.4114194897163902E-2</v>
      </c>
      <c r="Q1353">
        <v>0.116317240884072</v>
      </c>
      <c r="R1353">
        <v>0.97655304804015097</v>
      </c>
      <c r="S1353" t="s">
        <v>7805</v>
      </c>
      <c r="T1353" t="s">
        <v>12902</v>
      </c>
      <c r="U1353" t="s">
        <v>12902</v>
      </c>
      <c r="V1353" t="s">
        <v>12902</v>
      </c>
      <c r="W1353" t="s">
        <v>14228</v>
      </c>
      <c r="X1353">
        <v>2</v>
      </c>
      <c r="Y1353" t="s">
        <v>20613</v>
      </c>
      <c r="Z1353" t="s">
        <v>26928</v>
      </c>
      <c r="AA1353">
        <v>0.29676768200923492</v>
      </c>
      <c r="AB1353" t="str">
        <f>HYPERLINK("Melting_Curves/meltCurve_O15047_SETD1A.pdf", "Melting_Curves/meltCurve_O15047_SETD1A.pdf")</f>
        <v>Melting_Curves/meltCurve_O15047_SETD1A.pdf</v>
      </c>
    </row>
    <row r="1354" spans="1:28" x14ac:dyDescent="0.25">
      <c r="A1354" t="s">
        <v>1358</v>
      </c>
      <c r="B1354">
        <v>0.99673306730245903</v>
      </c>
      <c r="C1354">
        <v>0.93311165936315199</v>
      </c>
      <c r="D1354">
        <v>0.91616787630168095</v>
      </c>
      <c r="E1354">
        <v>0.72073798762489705</v>
      </c>
      <c r="F1354">
        <v>0.37216552239640999</v>
      </c>
      <c r="G1354">
        <v>0.32902531298154603</v>
      </c>
      <c r="H1354">
        <v>0.22375837950528099</v>
      </c>
      <c r="I1354">
        <v>0.20552996653936001</v>
      </c>
      <c r="J1354">
        <v>0.21266690787194101</v>
      </c>
      <c r="K1354">
        <v>0.19538414402319401</v>
      </c>
      <c r="L1354">
        <v>1059.3046105882599</v>
      </c>
      <c r="M1354">
        <v>20.8927506993283</v>
      </c>
      <c r="N1354">
        <v>52.0041339302417</v>
      </c>
      <c r="O1354">
        <v>50.244372043683299</v>
      </c>
      <c r="P1354">
        <v>-8.2785500427542902E-2</v>
      </c>
      <c r="Q1354">
        <v>0.20366793700402</v>
      </c>
      <c r="R1354">
        <v>0.99208970478457403</v>
      </c>
      <c r="S1354" t="s">
        <v>7806</v>
      </c>
      <c r="T1354" t="s">
        <v>12902</v>
      </c>
      <c r="U1354" t="s">
        <v>12902</v>
      </c>
      <c r="V1354" t="s">
        <v>12902</v>
      </c>
      <c r="W1354" t="s">
        <v>14229</v>
      </c>
      <c r="X1354">
        <v>10</v>
      </c>
      <c r="Y1354" t="s">
        <v>20614</v>
      </c>
      <c r="Z1354" t="s">
        <v>26929</v>
      </c>
      <c r="AA1354">
        <v>0.49792540876023211</v>
      </c>
      <c r="AB1354" t="str">
        <f>HYPERLINK("Melting_Curves/meltCurve_O15066_KIF3B.pdf", "Melting_Curves/meltCurve_O15066_KIF3B.pdf")</f>
        <v>Melting_Curves/meltCurve_O15066_KIF3B.pdf</v>
      </c>
    </row>
    <row r="1355" spans="1:28" x14ac:dyDescent="0.25">
      <c r="A1355" t="s">
        <v>1359</v>
      </c>
      <c r="B1355">
        <v>0.99673306730245903</v>
      </c>
      <c r="C1355">
        <v>0.95680997691598302</v>
      </c>
      <c r="D1355">
        <v>0.92802300345125199</v>
      </c>
      <c r="E1355">
        <v>0.68693546668973404</v>
      </c>
      <c r="F1355">
        <v>0.33967725095776502</v>
      </c>
      <c r="G1355">
        <v>0.19573149851541399</v>
      </c>
      <c r="H1355">
        <v>0.110689205155463</v>
      </c>
      <c r="I1355">
        <v>9.6801295312954394E-2</v>
      </c>
      <c r="J1355">
        <v>0.100403090988702</v>
      </c>
      <c r="K1355">
        <v>8.4217607254845797E-2</v>
      </c>
      <c r="L1355">
        <v>1105.97810835103</v>
      </c>
      <c r="M1355">
        <v>21.6810893403492</v>
      </c>
      <c r="N1355">
        <v>51.474403014697998</v>
      </c>
      <c r="O1355">
        <v>50.583168448251598</v>
      </c>
      <c r="P1355">
        <v>-9.7661101136790301E-2</v>
      </c>
      <c r="Q1355">
        <v>8.8626725408865598E-2</v>
      </c>
      <c r="R1355">
        <v>0.99894329564595596</v>
      </c>
      <c r="S1355" t="s">
        <v>7807</v>
      </c>
      <c r="T1355" t="s">
        <v>12902</v>
      </c>
      <c r="U1355" t="s">
        <v>12902</v>
      </c>
      <c r="V1355" t="s">
        <v>12902</v>
      </c>
      <c r="W1355" t="s">
        <v>14230</v>
      </c>
      <c r="X1355">
        <v>41</v>
      </c>
      <c r="Y1355" t="s">
        <v>20615</v>
      </c>
      <c r="Z1355" t="s">
        <v>26930</v>
      </c>
      <c r="AA1355">
        <v>0.43399544629610848</v>
      </c>
      <c r="AB1355" t="str">
        <f>HYPERLINK("Melting_Curves/meltCurve_O15067_PFAS.pdf", "Melting_Curves/meltCurve_O15067_PFAS.pdf")</f>
        <v>Melting_Curves/meltCurve_O15067_PFAS.pdf</v>
      </c>
    </row>
    <row r="1356" spans="1:28" x14ac:dyDescent="0.25">
      <c r="A1356" t="s">
        <v>1360</v>
      </c>
      <c r="B1356">
        <v>0.99673306730245903</v>
      </c>
      <c r="C1356">
        <v>1.02258014520122</v>
      </c>
      <c r="D1356">
        <v>0.95367907383520101</v>
      </c>
      <c r="E1356">
        <v>0.91339584357120596</v>
      </c>
      <c r="F1356">
        <v>0.73990570153732305</v>
      </c>
      <c r="G1356">
        <v>0.60787468068467498</v>
      </c>
      <c r="H1356">
        <v>0.27841847966188799</v>
      </c>
      <c r="I1356">
        <v>0.14243613384804199</v>
      </c>
      <c r="J1356">
        <v>0.10657079589502499</v>
      </c>
      <c r="K1356">
        <v>9.3243831420825304E-2</v>
      </c>
      <c r="L1356">
        <v>891.56838668944397</v>
      </c>
      <c r="M1356">
        <v>15.532362195505399</v>
      </c>
      <c r="N1356">
        <v>57.477461291397297</v>
      </c>
      <c r="O1356">
        <v>56.474479691347497</v>
      </c>
      <c r="P1356">
        <v>-6.8058478096773803E-2</v>
      </c>
      <c r="Q1356">
        <v>1.0265551051180599E-2</v>
      </c>
      <c r="R1356">
        <v>0.99349076439768302</v>
      </c>
      <c r="S1356" t="s">
        <v>7808</v>
      </c>
      <c r="T1356" t="s">
        <v>12902</v>
      </c>
      <c r="U1356" t="s">
        <v>12902</v>
      </c>
      <c r="V1356" t="s">
        <v>12902</v>
      </c>
      <c r="W1356" t="s">
        <v>14231</v>
      </c>
      <c r="X1356">
        <v>11</v>
      </c>
      <c r="Y1356" t="s">
        <v>20616</v>
      </c>
      <c r="Z1356" t="s">
        <v>26931</v>
      </c>
      <c r="AA1356">
        <v>0.59886107561588031</v>
      </c>
      <c r="AB1356" t="str">
        <f>HYPERLINK("Melting_Curves/meltCurve_O15075_4_DCLK1.pdf", "Melting_Curves/meltCurve_O15075_4_DCLK1.pdf")</f>
        <v>Melting_Curves/meltCurve_O15075_4_DCLK1.pdf</v>
      </c>
    </row>
    <row r="1357" spans="1:28" x14ac:dyDescent="0.25">
      <c r="A1357" t="s">
        <v>1361</v>
      </c>
      <c r="B1357">
        <v>0.99673306730245903</v>
      </c>
      <c r="C1357">
        <v>0.95601176515431496</v>
      </c>
      <c r="D1357">
        <v>0.88820337578300801</v>
      </c>
      <c r="E1357">
        <v>0.805295255333219</v>
      </c>
      <c r="F1357">
        <v>0.49996123643551099</v>
      </c>
      <c r="G1357">
        <v>0.122449409854301</v>
      </c>
      <c r="H1357">
        <v>8.5291341220085304E-2</v>
      </c>
      <c r="I1357">
        <v>0.10524414853842</v>
      </c>
      <c r="J1357">
        <v>0.137313676529733</v>
      </c>
      <c r="K1357">
        <v>0.137959280719195</v>
      </c>
      <c r="L1357">
        <v>1346.1840581122201</v>
      </c>
      <c r="M1357">
        <v>25.770386136460701</v>
      </c>
      <c r="N1357">
        <v>52.682955612415398</v>
      </c>
      <c r="O1357">
        <v>51.926127776497502</v>
      </c>
      <c r="P1357">
        <v>-0.111931231364854</v>
      </c>
      <c r="Q1357">
        <v>9.7865886504131805E-2</v>
      </c>
      <c r="R1357">
        <v>0.98456092475205503</v>
      </c>
      <c r="S1357" t="s">
        <v>7809</v>
      </c>
      <c r="T1357" t="s">
        <v>12902</v>
      </c>
      <c r="U1357" t="s">
        <v>12902</v>
      </c>
      <c r="V1357" t="s">
        <v>12902</v>
      </c>
      <c r="W1357" t="s">
        <v>14232</v>
      </c>
      <c r="X1357">
        <v>5</v>
      </c>
      <c r="Y1357" t="s">
        <v>20617</v>
      </c>
      <c r="Z1357" t="s">
        <v>26932</v>
      </c>
      <c r="AA1357">
        <v>0.47365225941867062</v>
      </c>
      <c r="AB1357" t="str">
        <f>HYPERLINK("Melting_Curves/meltCurve_O15083_ERC2.pdf", "Melting_Curves/meltCurve_O15083_ERC2.pdf")</f>
        <v>Melting_Curves/meltCurve_O15083_ERC2.pdf</v>
      </c>
    </row>
    <row r="1358" spans="1:28" x14ac:dyDescent="0.25">
      <c r="A1358" t="s">
        <v>1362</v>
      </c>
      <c r="B1358">
        <v>0.99673306730245903</v>
      </c>
      <c r="C1358">
        <v>0.93209394545927904</v>
      </c>
      <c r="D1358">
        <v>0.98629777844872202</v>
      </c>
      <c r="E1358">
        <v>1.05237645558741</v>
      </c>
      <c r="F1358">
        <v>0.50373715134233998</v>
      </c>
      <c r="G1358">
        <v>0.16587457096573799</v>
      </c>
      <c r="H1358">
        <v>9.2991355900536102E-2</v>
      </c>
      <c r="I1358">
        <v>7.2552225348447102E-2</v>
      </c>
      <c r="J1358">
        <v>6.6291717037943704E-2</v>
      </c>
      <c r="K1358">
        <v>5.87451650234707E-2</v>
      </c>
      <c r="L1358">
        <v>3064.5607000761902</v>
      </c>
      <c r="M1358">
        <v>57.733629688348501</v>
      </c>
      <c r="N1358">
        <v>53.255143277117597</v>
      </c>
      <c r="O1358">
        <v>53.017459787529397</v>
      </c>
      <c r="P1358">
        <v>-0.24882522826268799</v>
      </c>
      <c r="Q1358">
        <v>8.6004099879431695E-2</v>
      </c>
      <c r="R1358">
        <v>0.99206615653732</v>
      </c>
      <c r="S1358" t="s">
        <v>7810</v>
      </c>
      <c r="T1358" t="s">
        <v>12902</v>
      </c>
      <c r="U1358" t="s">
        <v>12902</v>
      </c>
      <c r="V1358" t="s">
        <v>12902</v>
      </c>
      <c r="W1358" t="s">
        <v>14233</v>
      </c>
      <c r="X1358">
        <v>15</v>
      </c>
      <c r="Y1358" t="s">
        <v>20618</v>
      </c>
      <c r="Z1358" t="s">
        <v>26933</v>
      </c>
      <c r="AA1358">
        <v>0.48614060305163892</v>
      </c>
      <c r="AB1358" t="str">
        <f>HYPERLINK("Melting_Curves/meltCurve_O15084_ANKRD28.pdf", "Melting_Curves/meltCurve_O15084_ANKRD28.pdf")</f>
        <v>Melting_Curves/meltCurve_O15084_ANKRD28.pdf</v>
      </c>
    </row>
    <row r="1359" spans="1:28" x14ac:dyDescent="0.25">
      <c r="A1359" t="s">
        <v>1363</v>
      </c>
      <c r="B1359">
        <v>0.99673306730245903</v>
      </c>
      <c r="C1359">
        <v>0.76630612686782396</v>
      </c>
      <c r="D1359">
        <v>0.451644316397804</v>
      </c>
      <c r="E1359">
        <v>0.30543087964461801</v>
      </c>
      <c r="F1359">
        <v>0.200069379590363</v>
      </c>
      <c r="G1359">
        <v>0.119604198693973</v>
      </c>
      <c r="H1359">
        <v>7.66136335964092E-2</v>
      </c>
      <c r="I1359">
        <v>6.3060028819929906E-2</v>
      </c>
      <c r="J1359">
        <v>7.9854691229024902E-2</v>
      </c>
      <c r="K1359">
        <v>6.0050467678176497E-2</v>
      </c>
      <c r="L1359">
        <v>766.70658531595302</v>
      </c>
      <c r="M1359">
        <v>16.7833557092167</v>
      </c>
      <c r="N1359">
        <v>46.136968238847302</v>
      </c>
      <c r="O1359">
        <v>45.048774519739098</v>
      </c>
      <c r="P1359">
        <v>-8.6049934551761895E-2</v>
      </c>
      <c r="Q1359">
        <v>7.6181548713005101E-2</v>
      </c>
      <c r="R1359">
        <v>0.98622239329911299</v>
      </c>
      <c r="S1359" t="s">
        <v>7811</v>
      </c>
      <c r="T1359" t="s">
        <v>12902</v>
      </c>
      <c r="U1359" t="s">
        <v>12902</v>
      </c>
      <c r="V1359" t="s">
        <v>12902</v>
      </c>
      <c r="W1359" t="s">
        <v>14234</v>
      </c>
      <c r="X1359">
        <v>6</v>
      </c>
      <c r="Y1359" t="s">
        <v>20619</v>
      </c>
      <c r="Z1359" t="s">
        <v>26934</v>
      </c>
      <c r="AA1359">
        <v>0.27293007776001649</v>
      </c>
      <c r="AB1359" t="str">
        <f>HYPERLINK("Melting_Curves/meltCurve_O15091_2_KIAA0391.pdf", "Melting_Curves/meltCurve_O15091_2_KIAA0391.pdf")</f>
        <v>Melting_Curves/meltCurve_O15091_2_KIAA0391.pdf</v>
      </c>
    </row>
    <row r="1360" spans="1:28" x14ac:dyDescent="0.25">
      <c r="A1360" t="s">
        <v>1364</v>
      </c>
      <c r="B1360">
        <v>0.99673306730245903</v>
      </c>
      <c r="C1360">
        <v>0.88330781276947001</v>
      </c>
      <c r="D1360">
        <v>0.62940551847616999</v>
      </c>
      <c r="E1360">
        <v>0.32859293897701602</v>
      </c>
      <c r="F1360">
        <v>0.25889619059885899</v>
      </c>
      <c r="G1360">
        <v>0.16901760550948899</v>
      </c>
      <c r="H1360">
        <v>0.110077475238975</v>
      </c>
      <c r="I1360">
        <v>0.102638946365775</v>
      </c>
      <c r="J1360">
        <v>0.13886303031653299</v>
      </c>
      <c r="K1360">
        <v>0.15444759941439201</v>
      </c>
      <c r="L1360">
        <v>913.60069395354401</v>
      </c>
      <c r="M1360">
        <v>19.522861832430301</v>
      </c>
      <c r="N1360">
        <v>47.543915042219901</v>
      </c>
      <c r="O1360">
        <v>46.313756088429201</v>
      </c>
      <c r="P1360">
        <v>-9.1460706632802299E-2</v>
      </c>
      <c r="Q1360">
        <v>0.13214830605408501</v>
      </c>
      <c r="R1360">
        <v>0.99347559322380197</v>
      </c>
      <c r="S1360" t="s">
        <v>7812</v>
      </c>
      <c r="T1360" t="s">
        <v>12902</v>
      </c>
      <c r="U1360" t="s">
        <v>12902</v>
      </c>
      <c r="V1360" t="s">
        <v>12902</v>
      </c>
      <c r="W1360" t="s">
        <v>14235</v>
      </c>
      <c r="X1360">
        <v>4</v>
      </c>
      <c r="Y1360" t="s">
        <v>20620</v>
      </c>
      <c r="Z1360" t="s">
        <v>26935</v>
      </c>
      <c r="AA1360">
        <v>0.34228237314202348</v>
      </c>
      <c r="AB1360" t="str">
        <f>HYPERLINK("Melting_Curves/meltCurve_O15111_CHUK.pdf", "Melting_Curves/meltCurve_O15111_CHUK.pdf")</f>
        <v>Melting_Curves/meltCurve_O15111_CHUK.pdf</v>
      </c>
    </row>
    <row r="1361" spans="1:28" x14ac:dyDescent="0.25">
      <c r="A1361" t="s">
        <v>1365</v>
      </c>
      <c r="B1361">
        <v>0.99673306730245903</v>
      </c>
      <c r="C1361">
        <v>1.0295924230231801</v>
      </c>
      <c r="D1361">
        <v>1.13076872482756</v>
      </c>
      <c r="E1361">
        <v>1.11371125275602</v>
      </c>
      <c r="F1361">
        <v>1.1150957423944301</v>
      </c>
      <c r="G1361">
        <v>0.95556178142894699</v>
      </c>
      <c r="H1361">
        <v>0.81333999869736695</v>
      </c>
      <c r="I1361">
        <v>1.03804111054501</v>
      </c>
      <c r="J1361">
        <v>1.3885096384636599</v>
      </c>
      <c r="K1361">
        <v>1.0840703013489601</v>
      </c>
      <c r="L1361">
        <v>15000</v>
      </c>
      <c r="M1361">
        <v>232.72775616322801</v>
      </c>
      <c r="O1361">
        <v>64.448243842210104</v>
      </c>
      <c r="P1361">
        <v>0.213311011092568</v>
      </c>
      <c r="Q1361">
        <v>1.23628496533262</v>
      </c>
      <c r="R1361">
        <v>0.35087585342128402</v>
      </c>
      <c r="S1361" t="s">
        <v>7813</v>
      </c>
      <c r="T1361" t="s">
        <v>12902</v>
      </c>
      <c r="U1361" t="s">
        <v>12902</v>
      </c>
      <c r="V1361" t="s">
        <v>12902</v>
      </c>
      <c r="W1361" t="s">
        <v>14236</v>
      </c>
      <c r="X1361">
        <v>7</v>
      </c>
      <c r="Y1361" t="s">
        <v>20621</v>
      </c>
      <c r="Z1361" t="s">
        <v>26936</v>
      </c>
      <c r="AA1361">
        <v>1.0436583175091869</v>
      </c>
      <c r="AB1361" t="str">
        <f>HYPERLINK("Melting_Curves/meltCurve_O15116_LSM1.pdf", "Melting_Curves/meltCurve_O15116_LSM1.pdf")</f>
        <v>Melting_Curves/meltCurve_O15116_LSM1.pdf</v>
      </c>
    </row>
    <row r="1362" spans="1:28" x14ac:dyDescent="0.25">
      <c r="A1362" t="s">
        <v>1366</v>
      </c>
      <c r="B1362">
        <v>0.99673306730245903</v>
      </c>
      <c r="C1362">
        <v>0.90197355171246596</v>
      </c>
      <c r="D1362">
        <v>0.94263291402148597</v>
      </c>
      <c r="E1362">
        <v>0.82993164823892995</v>
      </c>
      <c r="F1362">
        <v>0.70621158964504904</v>
      </c>
      <c r="G1362">
        <v>0.71778614739389801</v>
      </c>
      <c r="H1362">
        <v>0.69933202675613304</v>
      </c>
      <c r="I1362">
        <v>0.63772604596928895</v>
      </c>
      <c r="J1362">
        <v>0.46731045902992402</v>
      </c>
      <c r="K1362">
        <v>0.32246533812884798</v>
      </c>
      <c r="L1362">
        <v>357.52164508889501</v>
      </c>
      <c r="M1362">
        <v>5.4077431977079096</v>
      </c>
      <c r="N1362">
        <v>66.112903589823603</v>
      </c>
      <c r="O1362">
        <v>58.707834169642197</v>
      </c>
      <c r="P1362">
        <v>-2.3135815798399701E-2</v>
      </c>
      <c r="Q1362">
        <v>0</v>
      </c>
      <c r="R1362">
        <v>0.90599365719481395</v>
      </c>
      <c r="S1362" t="s">
        <v>7814</v>
      </c>
      <c r="T1362" t="s">
        <v>12902</v>
      </c>
      <c r="U1362" t="s">
        <v>12902</v>
      </c>
      <c r="V1362" t="s">
        <v>12902</v>
      </c>
      <c r="W1362" t="s">
        <v>14237</v>
      </c>
      <c r="X1362">
        <v>6</v>
      </c>
      <c r="Y1362" t="s">
        <v>20622</v>
      </c>
      <c r="Z1362" t="s">
        <v>26937</v>
      </c>
      <c r="AA1362">
        <v>0.73124810996683542</v>
      </c>
      <c r="AB1362" t="str">
        <f>HYPERLINK("Melting_Curves/meltCurve_O15118_NPC1.pdf", "Melting_Curves/meltCurve_O15118_NPC1.pdf")</f>
        <v>Melting_Curves/meltCurve_O15118_NPC1.pdf</v>
      </c>
    </row>
    <row r="1363" spans="1:28" x14ac:dyDescent="0.25">
      <c r="A1363" t="s">
        <v>1367</v>
      </c>
      <c r="B1363">
        <v>0.99673306730245903</v>
      </c>
      <c r="C1363">
        <v>0.91078950265172698</v>
      </c>
      <c r="D1363">
        <v>1.1839258503994601</v>
      </c>
      <c r="E1363">
        <v>0.80440053816023005</v>
      </c>
      <c r="F1363">
        <v>0.35872783389151902</v>
      </c>
      <c r="G1363">
        <v>0.17528191488269601</v>
      </c>
      <c r="H1363">
        <v>9.9652707197256704E-2</v>
      </c>
      <c r="I1363">
        <v>5.5857102299430202E-2</v>
      </c>
      <c r="J1363">
        <v>3.4369694760972097E-2</v>
      </c>
      <c r="K1363">
        <v>3.3162108275104199E-2</v>
      </c>
      <c r="L1363">
        <v>1617.1900217513901</v>
      </c>
      <c r="M1363">
        <v>31.101852288204501</v>
      </c>
      <c r="N1363">
        <v>52.216709245788699</v>
      </c>
      <c r="O1363">
        <v>51.783043442066997</v>
      </c>
      <c r="P1363">
        <v>-0.140929865490141</v>
      </c>
      <c r="Q1363">
        <v>6.1440366854333399E-2</v>
      </c>
      <c r="R1363">
        <v>0.97155075320073803</v>
      </c>
      <c r="S1363" t="s">
        <v>7815</v>
      </c>
      <c r="T1363" t="s">
        <v>12902</v>
      </c>
      <c r="U1363" t="s">
        <v>12902</v>
      </c>
      <c r="V1363" t="s">
        <v>12902</v>
      </c>
      <c r="W1363" t="s">
        <v>14238</v>
      </c>
      <c r="X1363">
        <v>2</v>
      </c>
      <c r="Y1363" t="s">
        <v>20623</v>
      </c>
      <c r="Z1363" t="s">
        <v>26938</v>
      </c>
      <c r="AA1363">
        <v>0.44233914895124238</v>
      </c>
      <c r="AB1363" t="str">
        <f>HYPERLINK("Melting_Curves/meltCurve_O15120_AGPAT2.pdf", "Melting_Curves/meltCurve_O15120_AGPAT2.pdf")</f>
        <v>Melting_Curves/meltCurve_O15120_AGPAT2.pdf</v>
      </c>
    </row>
    <row r="1364" spans="1:28" x14ac:dyDescent="0.25">
      <c r="A1364" t="s">
        <v>1368</v>
      </c>
      <c r="B1364">
        <v>0.99673306730245903</v>
      </c>
      <c r="C1364">
        <v>0.91666219861756504</v>
      </c>
      <c r="D1364">
        <v>0.85249676377759298</v>
      </c>
      <c r="E1364">
        <v>0.71657776860323996</v>
      </c>
      <c r="F1364">
        <v>0.63087979136637495</v>
      </c>
      <c r="G1364">
        <v>0.456499046274079</v>
      </c>
      <c r="H1364">
        <v>0.30119875141362601</v>
      </c>
      <c r="I1364">
        <v>0.25770194424944898</v>
      </c>
      <c r="J1364">
        <v>0.25959343230766802</v>
      </c>
      <c r="K1364">
        <v>0.23498381753706099</v>
      </c>
      <c r="L1364">
        <v>544.92900711390905</v>
      </c>
      <c r="M1364">
        <v>10.188025912196601</v>
      </c>
      <c r="N1364">
        <v>55.370273982782798</v>
      </c>
      <c r="O1364">
        <v>51.5492677769765</v>
      </c>
      <c r="P1364">
        <v>-4.21940750932965E-2</v>
      </c>
      <c r="Q1364">
        <v>0.14641403041135001</v>
      </c>
      <c r="R1364">
        <v>0.99219673238708295</v>
      </c>
      <c r="S1364" t="s">
        <v>7816</v>
      </c>
      <c r="T1364" t="s">
        <v>12902</v>
      </c>
      <c r="U1364" t="s">
        <v>12902</v>
      </c>
      <c r="V1364" t="s">
        <v>12902</v>
      </c>
      <c r="W1364" t="s">
        <v>14239</v>
      </c>
      <c r="X1364">
        <v>2</v>
      </c>
      <c r="Y1364" t="s">
        <v>20624</v>
      </c>
      <c r="Z1364" t="s">
        <v>26939</v>
      </c>
      <c r="AA1364">
        <v>0.55732026497800125</v>
      </c>
      <c r="AB1364" t="str">
        <f>HYPERLINK("Melting_Curves/meltCurve_O15121_DEGS1.pdf", "Melting_Curves/meltCurve_O15121_DEGS1.pdf")</f>
        <v>Melting_Curves/meltCurve_O15121_DEGS1.pdf</v>
      </c>
    </row>
    <row r="1365" spans="1:28" x14ac:dyDescent="0.25">
      <c r="A1365" t="s">
        <v>1369</v>
      </c>
      <c r="B1365">
        <v>0.99673306730245903</v>
      </c>
      <c r="C1365">
        <v>0.98869808269325798</v>
      </c>
      <c r="D1365">
        <v>0.94969626740944502</v>
      </c>
      <c r="E1365">
        <v>0.783376049625369</v>
      </c>
      <c r="F1365">
        <v>0.73287085238407701</v>
      </c>
      <c r="G1365">
        <v>0.66088948414403503</v>
      </c>
      <c r="H1365">
        <v>0.53633078721930405</v>
      </c>
      <c r="I1365">
        <v>0.56318228587888397</v>
      </c>
      <c r="J1365">
        <v>0.401983155028169</v>
      </c>
      <c r="K1365">
        <v>0.315127343325592</v>
      </c>
      <c r="L1365">
        <v>389.09531374738202</v>
      </c>
      <c r="M1365">
        <v>6.1716398252003701</v>
      </c>
      <c r="N1365">
        <v>63.045693650642001</v>
      </c>
      <c r="O1365">
        <v>57.391195628147997</v>
      </c>
      <c r="P1365">
        <v>-2.6962792662567001E-2</v>
      </c>
      <c r="Q1365">
        <v>0</v>
      </c>
      <c r="R1365">
        <v>0.96706877865806895</v>
      </c>
      <c r="S1365" t="s">
        <v>7817</v>
      </c>
      <c r="T1365" t="s">
        <v>12902</v>
      </c>
      <c r="U1365" t="s">
        <v>12902</v>
      </c>
      <c r="V1365" t="s">
        <v>12902</v>
      </c>
      <c r="W1365" t="s">
        <v>14240</v>
      </c>
      <c r="X1365">
        <v>10</v>
      </c>
      <c r="Y1365" t="s">
        <v>20625</v>
      </c>
      <c r="Z1365" t="s">
        <v>26940</v>
      </c>
      <c r="AA1365">
        <v>0.69423065419643637</v>
      </c>
      <c r="AB1365" t="str">
        <f>HYPERLINK("Melting_Curves/meltCurve_O15126_SCAMP1.pdf", "Melting_Curves/meltCurve_O15126_SCAMP1.pdf")</f>
        <v>Melting_Curves/meltCurve_O15126_SCAMP1.pdf</v>
      </c>
    </row>
    <row r="1366" spans="1:28" x14ac:dyDescent="0.25">
      <c r="A1366" t="s">
        <v>1370</v>
      </c>
      <c r="B1366">
        <v>0.99673306730245903</v>
      </c>
      <c r="C1366">
        <v>0.97913152985993601</v>
      </c>
      <c r="D1366">
        <v>0.97204808568618695</v>
      </c>
      <c r="E1366">
        <v>0.85076184161686097</v>
      </c>
      <c r="F1366">
        <v>0.75525793856688095</v>
      </c>
      <c r="G1366">
        <v>0.63497497030411698</v>
      </c>
      <c r="H1366">
        <v>0.472266008216634</v>
      </c>
      <c r="I1366">
        <v>0.44681173918454697</v>
      </c>
      <c r="J1366">
        <v>0.38857419687084699</v>
      </c>
      <c r="K1366">
        <v>0.39363744241165699</v>
      </c>
      <c r="L1366">
        <v>702.42720559751297</v>
      </c>
      <c r="M1366">
        <v>12.7012147410328</v>
      </c>
      <c r="N1366">
        <v>60.675458176719403</v>
      </c>
      <c r="O1366">
        <v>53.986762266909402</v>
      </c>
      <c r="P1366">
        <v>-3.8968659018634499E-2</v>
      </c>
      <c r="Q1366">
        <v>0.33757990731225401</v>
      </c>
      <c r="R1366">
        <v>0.99565412457680302</v>
      </c>
      <c r="S1366" t="s">
        <v>7818</v>
      </c>
      <c r="T1366" t="s">
        <v>12902</v>
      </c>
      <c r="U1366" t="s">
        <v>12902</v>
      </c>
      <c r="V1366" t="s">
        <v>12902</v>
      </c>
      <c r="W1366" t="s">
        <v>14241</v>
      </c>
      <c r="X1366">
        <v>5</v>
      </c>
      <c r="Y1366" t="s">
        <v>20626</v>
      </c>
      <c r="Z1366" t="s">
        <v>26941</v>
      </c>
      <c r="AA1366">
        <v>0.68990049265551845</v>
      </c>
      <c r="AB1366" t="str">
        <f>HYPERLINK("Melting_Curves/meltCurve_O15127_SCAMP2.pdf", "Melting_Curves/meltCurve_O15127_SCAMP2.pdf")</f>
        <v>Melting_Curves/meltCurve_O15127_SCAMP2.pdf</v>
      </c>
    </row>
    <row r="1367" spans="1:28" x14ac:dyDescent="0.25">
      <c r="A1367" t="s">
        <v>1371</v>
      </c>
      <c r="B1367">
        <v>0.99673306730245903</v>
      </c>
      <c r="C1367">
        <v>0.97874838875834702</v>
      </c>
      <c r="D1367">
        <v>1.03785455222005</v>
      </c>
      <c r="E1367">
        <v>1.0650721642323799</v>
      </c>
      <c r="F1367">
        <v>0.90566631259266095</v>
      </c>
      <c r="G1367">
        <v>0.84000869322003702</v>
      </c>
      <c r="H1367">
        <v>0.45184076985503502</v>
      </c>
      <c r="I1367">
        <v>0.167971771381834</v>
      </c>
      <c r="J1367">
        <v>0.16158672700395199</v>
      </c>
      <c r="K1367">
        <v>0.13669648340384</v>
      </c>
      <c r="L1367">
        <v>1776.76271128965</v>
      </c>
      <c r="M1367">
        <v>29.8099293813627</v>
      </c>
      <c r="N1367">
        <v>60.124267831854901</v>
      </c>
      <c r="O1367">
        <v>59.3367543684491</v>
      </c>
      <c r="P1367">
        <v>-0.111296086631394</v>
      </c>
      <c r="Q1367">
        <v>0.113865138051518</v>
      </c>
      <c r="R1367">
        <v>0.98975788627286099</v>
      </c>
      <c r="S1367" t="s">
        <v>7819</v>
      </c>
      <c r="T1367" t="s">
        <v>12902</v>
      </c>
      <c r="U1367" t="s">
        <v>12902</v>
      </c>
      <c r="V1367" t="s">
        <v>12902</v>
      </c>
      <c r="W1367" t="s">
        <v>14242</v>
      </c>
      <c r="X1367">
        <v>18</v>
      </c>
      <c r="Y1367" t="s">
        <v>20627</v>
      </c>
      <c r="Z1367" t="s">
        <v>26942</v>
      </c>
      <c r="AA1367">
        <v>0.69846528437940136</v>
      </c>
      <c r="AB1367" t="str">
        <f>HYPERLINK("Melting_Curves/meltCurve_O15143_ARPC1B.pdf", "Melting_Curves/meltCurve_O15143_ARPC1B.pdf")</f>
        <v>Melting_Curves/meltCurve_O15143_ARPC1B.pdf</v>
      </c>
    </row>
    <row r="1368" spans="1:28" x14ac:dyDescent="0.25">
      <c r="A1368" t="s">
        <v>1372</v>
      </c>
      <c r="B1368">
        <v>0.99673306730245903</v>
      </c>
      <c r="C1368">
        <v>0.96707581643249096</v>
      </c>
      <c r="D1368">
        <v>1.0028987946130199</v>
      </c>
      <c r="E1368">
        <v>1.1359788689849499</v>
      </c>
      <c r="F1368">
        <v>1.0141915837073701</v>
      </c>
      <c r="G1368">
        <v>0.94431652754268303</v>
      </c>
      <c r="H1368">
        <v>0.69233557883751795</v>
      </c>
      <c r="I1368">
        <v>0.32673341487684598</v>
      </c>
      <c r="J1368">
        <v>0.132672124085878</v>
      </c>
      <c r="K1368">
        <v>0.11084575947913899</v>
      </c>
      <c r="L1368">
        <v>2069.9233032203301</v>
      </c>
      <c r="M1368">
        <v>33.367530632363803</v>
      </c>
      <c r="N1368">
        <v>62.357589246586201</v>
      </c>
      <c r="O1368">
        <v>61.8125185052088</v>
      </c>
      <c r="P1368">
        <v>-0.124229009630445</v>
      </c>
      <c r="Q1368">
        <v>7.9479371692470699E-2</v>
      </c>
      <c r="R1368">
        <v>0.98527368314933195</v>
      </c>
      <c r="S1368" t="s">
        <v>7820</v>
      </c>
      <c r="T1368" t="s">
        <v>12902</v>
      </c>
      <c r="U1368" t="s">
        <v>12902</v>
      </c>
      <c r="V1368" t="s">
        <v>12902</v>
      </c>
      <c r="W1368" t="s">
        <v>14243</v>
      </c>
      <c r="X1368">
        <v>20</v>
      </c>
      <c r="Y1368" t="s">
        <v>20628</v>
      </c>
      <c r="Z1368" t="s">
        <v>26943</v>
      </c>
      <c r="AA1368">
        <v>0.75953499858207529</v>
      </c>
      <c r="AB1368" t="str">
        <f>HYPERLINK("Melting_Curves/meltCurve_O15144_ARPC2.pdf", "Melting_Curves/meltCurve_O15144_ARPC2.pdf")</f>
        <v>Melting_Curves/meltCurve_O15144_ARPC2.pdf</v>
      </c>
    </row>
    <row r="1369" spans="1:28" x14ac:dyDescent="0.25">
      <c r="A1369" t="s">
        <v>1373</v>
      </c>
      <c r="B1369">
        <v>0.99673306730245903</v>
      </c>
      <c r="C1369">
        <v>1.0022216427028201</v>
      </c>
      <c r="D1369">
        <v>1.04425792205603</v>
      </c>
      <c r="E1369">
        <v>1.0916416315242801</v>
      </c>
      <c r="F1369">
        <v>0.95536235278261805</v>
      </c>
      <c r="G1369">
        <v>0.91867733706074295</v>
      </c>
      <c r="H1369">
        <v>0.45393895435019999</v>
      </c>
      <c r="I1369">
        <v>0.21099573652367801</v>
      </c>
      <c r="J1369">
        <v>0.139887569402179</v>
      </c>
      <c r="K1369">
        <v>0.13472635956339299</v>
      </c>
      <c r="L1369">
        <v>2301.4365911879299</v>
      </c>
      <c r="M1369">
        <v>38.355340646940697</v>
      </c>
      <c r="N1369">
        <v>60.480568901152999</v>
      </c>
      <c r="O1369">
        <v>59.8406408548746</v>
      </c>
      <c r="P1369">
        <v>-0.13930571827274099</v>
      </c>
      <c r="Q1369">
        <v>0.13064314557794901</v>
      </c>
      <c r="R1369">
        <v>0.99193966540727796</v>
      </c>
      <c r="S1369" t="s">
        <v>7821</v>
      </c>
      <c r="T1369" t="s">
        <v>12902</v>
      </c>
      <c r="U1369" t="s">
        <v>12902</v>
      </c>
      <c r="V1369" t="s">
        <v>12902</v>
      </c>
      <c r="W1369" t="s">
        <v>14244</v>
      </c>
      <c r="X1369">
        <v>13</v>
      </c>
      <c r="Y1369" t="s">
        <v>20629</v>
      </c>
      <c r="Z1369" t="s">
        <v>26944</v>
      </c>
      <c r="AA1369">
        <v>0.71395331155802699</v>
      </c>
      <c r="AB1369" t="str">
        <f>HYPERLINK("Melting_Curves/meltCurve_O15145_ARPC3.pdf", "Melting_Curves/meltCurve_O15145_ARPC3.pdf")</f>
        <v>Melting_Curves/meltCurve_O15145_ARPC3.pdf</v>
      </c>
    </row>
    <row r="1370" spans="1:28" x14ac:dyDescent="0.25">
      <c r="A1370" t="s">
        <v>1374</v>
      </c>
      <c r="B1370">
        <v>0.99673306730245903</v>
      </c>
      <c r="C1370">
        <v>0.87455689538249504</v>
      </c>
      <c r="D1370">
        <v>0.92027913217206503</v>
      </c>
      <c r="E1370">
        <v>0.74008281056819802</v>
      </c>
      <c r="F1370">
        <v>0.62305121979501299</v>
      </c>
      <c r="G1370">
        <v>0.46280064923779901</v>
      </c>
      <c r="H1370">
        <v>0.38797208169325098</v>
      </c>
      <c r="I1370">
        <v>0.48504753223334501</v>
      </c>
      <c r="J1370">
        <v>0.52823793480162096</v>
      </c>
      <c r="K1370">
        <v>0.48272521809753499</v>
      </c>
      <c r="L1370">
        <v>875.010940091679</v>
      </c>
      <c r="M1370">
        <v>17.598484577920299</v>
      </c>
      <c r="N1370">
        <v>57.831011254631697</v>
      </c>
      <c r="O1370">
        <v>49.092158019090498</v>
      </c>
      <c r="P1370">
        <v>-4.8610262063898201E-2</v>
      </c>
      <c r="Q1370">
        <v>0.45762310947116902</v>
      </c>
      <c r="R1370">
        <v>0.93790018559757604</v>
      </c>
      <c r="S1370" t="s">
        <v>7822</v>
      </c>
      <c r="T1370" t="s">
        <v>12902</v>
      </c>
      <c r="U1370" t="s">
        <v>12902</v>
      </c>
      <c r="V1370" t="s">
        <v>12902</v>
      </c>
      <c r="W1370" t="s">
        <v>14245</v>
      </c>
      <c r="X1370">
        <v>11</v>
      </c>
      <c r="Y1370" t="s">
        <v>20630</v>
      </c>
      <c r="Z1370" t="s">
        <v>26945</v>
      </c>
      <c r="AA1370">
        <v>0.64306335347858734</v>
      </c>
      <c r="AB1370" t="str">
        <f>HYPERLINK("Melting_Curves/meltCurve_O15156_ZBTB7B.pdf", "Melting_Curves/meltCurve_O15156_ZBTB7B.pdf")</f>
        <v>Melting_Curves/meltCurve_O15156_ZBTB7B.pdf</v>
      </c>
    </row>
    <row r="1371" spans="1:28" x14ac:dyDescent="0.25">
      <c r="A1371" t="s">
        <v>1375</v>
      </c>
      <c r="B1371">
        <v>0.99673306730245903</v>
      </c>
      <c r="C1371">
        <v>0.96887514217896398</v>
      </c>
      <c r="D1371">
        <v>0.80346481181923601</v>
      </c>
      <c r="E1371">
        <v>0.33061318548316199</v>
      </c>
      <c r="F1371">
        <v>0.15865025495867399</v>
      </c>
      <c r="G1371">
        <v>0.10268736368327</v>
      </c>
      <c r="H1371">
        <v>6.0018792643695203E-2</v>
      </c>
      <c r="I1371">
        <v>5.4068753943729897E-2</v>
      </c>
      <c r="J1371">
        <v>5.6019716272267699E-2</v>
      </c>
      <c r="K1371">
        <v>5.1425381140111602E-2</v>
      </c>
      <c r="L1371">
        <v>1311.27577086048</v>
      </c>
      <c r="M1371">
        <v>27.254418091547599</v>
      </c>
      <c r="N1371">
        <v>48.356537032924301</v>
      </c>
      <c r="O1371">
        <v>47.855632284896103</v>
      </c>
      <c r="P1371">
        <v>-0.13322849197358499</v>
      </c>
      <c r="Q1371">
        <v>6.4273223807138305E-2</v>
      </c>
      <c r="R1371">
        <v>0.99830246104881104</v>
      </c>
      <c r="S1371" t="s">
        <v>7823</v>
      </c>
      <c r="T1371" t="s">
        <v>12902</v>
      </c>
      <c r="U1371" t="s">
        <v>12902</v>
      </c>
      <c r="V1371" t="s">
        <v>12902</v>
      </c>
      <c r="W1371" t="s">
        <v>14246</v>
      </c>
      <c r="X1371">
        <v>11</v>
      </c>
      <c r="Y1371" t="s">
        <v>20631</v>
      </c>
      <c r="Z1371" t="s">
        <v>26946</v>
      </c>
      <c r="AA1371">
        <v>0.32419866727083058</v>
      </c>
      <c r="AB1371" t="str">
        <f>HYPERLINK("Melting_Curves/meltCurve_O15160_POLR1C.pdf", "Melting_Curves/meltCurve_O15160_POLR1C.pdf")</f>
        <v>Melting_Curves/meltCurve_O15160_POLR1C.pdf</v>
      </c>
    </row>
    <row r="1372" spans="1:28" x14ac:dyDescent="0.25">
      <c r="A1372" t="s">
        <v>1376</v>
      </c>
      <c r="B1372">
        <v>0.99673306730245903</v>
      </c>
      <c r="C1372">
        <v>0.985978512179989</v>
      </c>
      <c r="D1372">
        <v>0.81162461994586299</v>
      </c>
      <c r="E1372">
        <v>0.71483892894895795</v>
      </c>
      <c r="F1372">
        <v>0.55917172626075196</v>
      </c>
      <c r="G1372">
        <v>0.32198618006956298</v>
      </c>
      <c r="H1372">
        <v>0.160250032928061</v>
      </c>
      <c r="I1372">
        <v>0.13898138878010499</v>
      </c>
      <c r="J1372">
        <v>0.118878449735755</v>
      </c>
      <c r="K1372">
        <v>0.117269279718079</v>
      </c>
      <c r="L1372">
        <v>665.77021796814199</v>
      </c>
      <c r="M1372">
        <v>12.5816019932495</v>
      </c>
      <c r="N1372">
        <v>53.358804778685901</v>
      </c>
      <c r="O1372">
        <v>51.632749271325302</v>
      </c>
      <c r="P1372">
        <v>-5.7911535526163502E-2</v>
      </c>
      <c r="Q1372">
        <v>4.9554420224637699E-2</v>
      </c>
      <c r="R1372">
        <v>0.99100056544045101</v>
      </c>
      <c r="S1372" t="s">
        <v>7824</v>
      </c>
      <c r="T1372" t="s">
        <v>12902</v>
      </c>
      <c r="U1372" t="s">
        <v>12902</v>
      </c>
      <c r="V1372" t="s">
        <v>12902</v>
      </c>
      <c r="W1372" t="s">
        <v>14247</v>
      </c>
      <c r="X1372">
        <v>4</v>
      </c>
      <c r="Y1372" t="s">
        <v>20632</v>
      </c>
      <c r="Z1372" t="s">
        <v>26947</v>
      </c>
      <c r="AA1372">
        <v>0.48453952775393738</v>
      </c>
      <c r="AB1372" t="str">
        <f>HYPERLINK("Melting_Curves/meltCurve_O15164_2_TRIM24.pdf", "Melting_Curves/meltCurve_O15164_2_TRIM24.pdf")</f>
        <v>Melting_Curves/meltCurve_O15164_2_TRIM24.pdf</v>
      </c>
    </row>
    <row r="1373" spans="1:28" x14ac:dyDescent="0.25">
      <c r="A1373" t="s">
        <v>1377</v>
      </c>
      <c r="B1373">
        <v>0.99673306730245903</v>
      </c>
      <c r="C1373">
        <v>0.80789168132898903</v>
      </c>
      <c r="D1373">
        <v>0.67723758366129105</v>
      </c>
      <c r="E1373">
        <v>0.28135442814281802</v>
      </c>
      <c r="F1373">
        <v>0.15150375014669601</v>
      </c>
      <c r="G1373">
        <v>8.0692370062845506E-2</v>
      </c>
      <c r="H1373">
        <v>5.7369366313682599E-2</v>
      </c>
      <c r="I1373">
        <v>6.9318594923841903E-2</v>
      </c>
      <c r="J1373">
        <v>0.110674820005178</v>
      </c>
      <c r="K1373">
        <v>7.9501430440166804E-2</v>
      </c>
      <c r="L1373">
        <v>934.00203870183498</v>
      </c>
      <c r="M1373">
        <v>19.906255496534001</v>
      </c>
      <c r="N1373">
        <v>47.274695754923698</v>
      </c>
      <c r="O1373">
        <v>46.454213804025898</v>
      </c>
      <c r="P1373">
        <v>-9.9700916263139705E-2</v>
      </c>
      <c r="Q1373">
        <v>6.9363074815931097E-2</v>
      </c>
      <c r="R1373">
        <v>0.99055795213979403</v>
      </c>
      <c r="S1373" t="s">
        <v>7825</v>
      </c>
      <c r="T1373" t="s">
        <v>12902</v>
      </c>
      <c r="U1373" t="s">
        <v>12902</v>
      </c>
      <c r="V1373" t="s">
        <v>12902</v>
      </c>
      <c r="W1373" t="s">
        <v>14248</v>
      </c>
      <c r="X1373">
        <v>3</v>
      </c>
      <c r="Y1373" t="s">
        <v>20633</v>
      </c>
      <c r="Z1373" t="s">
        <v>26948</v>
      </c>
      <c r="AA1373">
        <v>0.29784295245216907</v>
      </c>
      <c r="AB1373" t="str">
        <f>HYPERLINK("Melting_Curves/meltCurve_O15169_2_AXIN1.pdf", "Melting_Curves/meltCurve_O15169_2_AXIN1.pdf")</f>
        <v>Melting_Curves/meltCurve_O15169_2_AXIN1.pdf</v>
      </c>
    </row>
    <row r="1374" spans="1:28" x14ac:dyDescent="0.25">
      <c r="A1374" t="s">
        <v>1378</v>
      </c>
      <c r="B1374">
        <v>0.99673306730245903</v>
      </c>
      <c r="C1374">
        <v>0.97987220216470095</v>
      </c>
      <c r="D1374">
        <v>0.90222842278076198</v>
      </c>
      <c r="E1374">
        <v>0.71683728857590101</v>
      </c>
      <c r="F1374">
        <v>0.510125812300673</v>
      </c>
      <c r="G1374">
        <v>0.35916421424510198</v>
      </c>
      <c r="H1374">
        <v>0.26595228929136699</v>
      </c>
      <c r="I1374">
        <v>0.30575937573238499</v>
      </c>
      <c r="J1374">
        <v>0.33617501209356199</v>
      </c>
      <c r="K1374">
        <v>0.332242726436425</v>
      </c>
      <c r="L1374">
        <v>1015.59631161762</v>
      </c>
      <c r="M1374">
        <v>20.090378009322102</v>
      </c>
      <c r="N1374">
        <v>52.984015027171502</v>
      </c>
      <c r="O1374">
        <v>50.058523379791303</v>
      </c>
      <c r="P1374">
        <v>-7.0114199743979394E-2</v>
      </c>
      <c r="Q1374">
        <v>0.30121751167808197</v>
      </c>
      <c r="R1374">
        <v>0.99269270445040803</v>
      </c>
      <c r="S1374" t="s">
        <v>7826</v>
      </c>
      <c r="T1374" t="s">
        <v>12902</v>
      </c>
      <c r="U1374" t="s">
        <v>12902</v>
      </c>
      <c r="V1374" t="s">
        <v>12902</v>
      </c>
      <c r="W1374" t="s">
        <v>14249</v>
      </c>
      <c r="X1374">
        <v>11</v>
      </c>
      <c r="Y1374" t="s">
        <v>20634</v>
      </c>
      <c r="Z1374" t="s">
        <v>26949</v>
      </c>
      <c r="AA1374">
        <v>0.55661602986775727</v>
      </c>
      <c r="AB1374" t="str">
        <f>HYPERLINK("Melting_Curves/meltCurve_O15173_PGRMC2.pdf", "Melting_Curves/meltCurve_O15173_PGRMC2.pdf")</f>
        <v>Melting_Curves/meltCurve_O15173_PGRMC2.pdf</v>
      </c>
    </row>
    <row r="1375" spans="1:28" x14ac:dyDescent="0.25">
      <c r="A1375" t="s">
        <v>1379</v>
      </c>
      <c r="B1375">
        <v>0.99673306730245903</v>
      </c>
      <c r="C1375">
        <v>1.02262583123347</v>
      </c>
      <c r="D1375">
        <v>1.0539232049243501</v>
      </c>
      <c r="E1375">
        <v>1.0492433746874399</v>
      </c>
      <c r="F1375">
        <v>1.01813026851082</v>
      </c>
      <c r="G1375">
        <v>0.92186886087372</v>
      </c>
      <c r="H1375">
        <v>0.77563873299140895</v>
      </c>
      <c r="I1375">
        <v>0.76395889014066698</v>
      </c>
      <c r="J1375">
        <v>1.04682554745018</v>
      </c>
      <c r="K1375">
        <v>0.95337656031483897</v>
      </c>
      <c r="L1375">
        <v>14157.4190467182</v>
      </c>
      <c r="M1375">
        <v>250</v>
      </c>
      <c r="O1375">
        <v>56.626060929626199</v>
      </c>
      <c r="P1375">
        <v>-0.126984467697843</v>
      </c>
      <c r="Q1375">
        <v>0.88494993442125802</v>
      </c>
      <c r="R1375">
        <v>0.40447663471162898</v>
      </c>
      <c r="S1375" t="s">
        <v>7827</v>
      </c>
      <c r="T1375" t="s">
        <v>12902</v>
      </c>
      <c r="U1375" t="s">
        <v>12902</v>
      </c>
      <c r="V1375" t="s">
        <v>12902</v>
      </c>
      <c r="W1375" t="s">
        <v>14250</v>
      </c>
      <c r="X1375">
        <v>13</v>
      </c>
      <c r="Y1375" t="s">
        <v>20635</v>
      </c>
      <c r="Z1375" t="s">
        <v>26950</v>
      </c>
      <c r="AA1375">
        <v>0.94873621310845835</v>
      </c>
      <c r="AB1375" t="str">
        <f>HYPERLINK("Melting_Curves/meltCurve_O15212_PFDN6.pdf", "Melting_Curves/meltCurve_O15212_PFDN6.pdf")</f>
        <v>Melting_Curves/meltCurve_O15212_PFDN6.pdf</v>
      </c>
    </row>
    <row r="1376" spans="1:28" x14ac:dyDescent="0.25">
      <c r="A1376" t="s">
        <v>1380</v>
      </c>
      <c r="B1376">
        <v>0.99673306730245903</v>
      </c>
      <c r="C1376">
        <v>0.89836217789239503</v>
      </c>
      <c r="D1376">
        <v>1.29186933238097</v>
      </c>
      <c r="E1376">
        <v>1.8236214298958799</v>
      </c>
      <c r="F1376">
        <v>2.9306435742664299</v>
      </c>
      <c r="G1376">
        <v>3.6808869290738899</v>
      </c>
      <c r="H1376">
        <v>4.1096876724369302</v>
      </c>
      <c r="I1376">
        <v>0.27211876710844501</v>
      </c>
      <c r="J1376">
        <v>0.256046443923091</v>
      </c>
      <c r="K1376">
        <v>0.20068687098376001</v>
      </c>
      <c r="L1376">
        <v>15000</v>
      </c>
      <c r="M1376">
        <v>237.074447123147</v>
      </c>
      <c r="N1376">
        <v>63.433024563179899</v>
      </c>
      <c r="O1376">
        <v>63.266761973748203</v>
      </c>
      <c r="P1376">
        <v>-0.724288028437861</v>
      </c>
      <c r="Q1376">
        <v>0.22685285230969099</v>
      </c>
      <c r="R1376">
        <v>-0.12977859469615499</v>
      </c>
      <c r="S1376" t="s">
        <v>7828</v>
      </c>
      <c r="T1376" t="s">
        <v>12902</v>
      </c>
      <c r="U1376" t="s">
        <v>12902</v>
      </c>
      <c r="V1376" t="s">
        <v>12902</v>
      </c>
      <c r="W1376" t="s">
        <v>14251</v>
      </c>
      <c r="X1376">
        <v>4</v>
      </c>
      <c r="Y1376" t="s">
        <v>20636</v>
      </c>
      <c r="Z1376" t="s">
        <v>26951</v>
      </c>
      <c r="AA1376">
        <v>0.82668537509221851</v>
      </c>
      <c r="AB1376" t="str">
        <f>HYPERLINK("Melting_Curves/meltCurve_O15213_WDR46.pdf", "Melting_Curves/meltCurve_O15213_WDR46.pdf")</f>
        <v>Melting_Curves/meltCurve_O15213_WDR46.pdf</v>
      </c>
    </row>
    <row r="1377" spans="1:28" x14ac:dyDescent="0.25">
      <c r="A1377" t="s">
        <v>1381</v>
      </c>
      <c r="B1377">
        <v>0.99673306730245903</v>
      </c>
      <c r="C1377">
        <v>1.02787128786974</v>
      </c>
      <c r="D1377">
        <v>0.92591805959947004</v>
      </c>
      <c r="E1377">
        <v>0.71686269155994298</v>
      </c>
      <c r="F1377">
        <v>0.37352360935123702</v>
      </c>
      <c r="G1377">
        <v>0.28486981274401002</v>
      </c>
      <c r="H1377">
        <v>0.15445019135129401</v>
      </c>
      <c r="I1377">
        <v>0.203509763136656</v>
      </c>
      <c r="J1377">
        <v>0.180602249676102</v>
      </c>
      <c r="K1377">
        <v>0.187411978106968</v>
      </c>
      <c r="L1377">
        <v>1215.55074125543</v>
      </c>
      <c r="M1377">
        <v>23.912974406135699</v>
      </c>
      <c r="N1377">
        <v>51.813237102415201</v>
      </c>
      <c r="O1377">
        <v>50.480782587914199</v>
      </c>
      <c r="P1377">
        <v>-9.68672675814026E-2</v>
      </c>
      <c r="Q1377">
        <v>0.18205790095445901</v>
      </c>
      <c r="R1377">
        <v>0.99520572361958404</v>
      </c>
      <c r="S1377" t="s">
        <v>7829</v>
      </c>
      <c r="T1377" t="s">
        <v>12902</v>
      </c>
      <c r="U1377" t="s">
        <v>12902</v>
      </c>
      <c r="V1377" t="s">
        <v>12902</v>
      </c>
      <c r="W1377" t="s">
        <v>14252</v>
      </c>
      <c r="X1377">
        <v>3</v>
      </c>
      <c r="Y1377" t="s">
        <v>20637</v>
      </c>
      <c r="Z1377" t="s">
        <v>26952</v>
      </c>
      <c r="AA1377">
        <v>0.48544706707023999</v>
      </c>
      <c r="AB1377" t="str">
        <f>HYPERLINK("Melting_Curves/meltCurve_O15217_GSTA4.pdf", "Melting_Curves/meltCurve_O15217_GSTA4.pdf")</f>
        <v>Melting_Curves/meltCurve_O15217_GSTA4.pdf</v>
      </c>
    </row>
    <row r="1378" spans="1:28" x14ac:dyDescent="0.25">
      <c r="A1378" t="s">
        <v>1382</v>
      </c>
      <c r="B1378">
        <v>0.99673306730245903</v>
      </c>
      <c r="C1378">
        <v>0.95834477564067599</v>
      </c>
      <c r="D1378">
        <v>0.91979165626237402</v>
      </c>
      <c r="E1378">
        <v>0.87644373445902801</v>
      </c>
      <c r="F1378">
        <v>0.34652712172851302</v>
      </c>
      <c r="G1378">
        <v>0.18250204663976799</v>
      </c>
      <c r="H1378">
        <v>9.9770502164620994E-2</v>
      </c>
      <c r="I1378">
        <v>0.108601665272123</v>
      </c>
      <c r="J1378">
        <v>0.13679607649039699</v>
      </c>
      <c r="K1378">
        <v>0.12976543963017201</v>
      </c>
      <c r="L1378">
        <v>1961.54731339247</v>
      </c>
      <c r="M1378">
        <v>37.876364071210297</v>
      </c>
      <c r="N1378">
        <v>52.177763354479801</v>
      </c>
      <c r="O1378">
        <v>51.644434912142302</v>
      </c>
      <c r="P1378">
        <v>-0.160767642915736</v>
      </c>
      <c r="Q1378">
        <v>0.123175322847935</v>
      </c>
      <c r="R1378">
        <v>0.99362259108618101</v>
      </c>
      <c r="S1378" t="s">
        <v>7830</v>
      </c>
      <c r="T1378" t="s">
        <v>12902</v>
      </c>
      <c r="U1378" t="s">
        <v>12902</v>
      </c>
      <c r="V1378" t="s">
        <v>12902</v>
      </c>
      <c r="W1378" t="s">
        <v>14253</v>
      </c>
      <c r="X1378">
        <v>9</v>
      </c>
      <c r="Y1378" t="s">
        <v>20638</v>
      </c>
      <c r="Z1378" t="s">
        <v>26953</v>
      </c>
      <c r="AA1378">
        <v>0.47121517469772611</v>
      </c>
      <c r="AB1378" t="str">
        <f>HYPERLINK("Melting_Curves/meltCurve_O15228_GNPAT.pdf", "Melting_Curves/meltCurve_O15228_GNPAT.pdf")</f>
        <v>Melting_Curves/meltCurve_O15228_GNPAT.pdf</v>
      </c>
    </row>
    <row r="1379" spans="1:28" x14ac:dyDescent="0.25">
      <c r="A1379" t="s">
        <v>1383</v>
      </c>
      <c r="B1379">
        <v>0.99673306730245903</v>
      </c>
      <c r="C1379">
        <v>0.98606962859468295</v>
      </c>
      <c r="D1379">
        <v>0.93770261430608004</v>
      </c>
      <c r="E1379">
        <v>0.93296671470994097</v>
      </c>
      <c r="F1379">
        <v>0.54012535733651101</v>
      </c>
      <c r="G1379">
        <v>0.36116175170866299</v>
      </c>
      <c r="H1379">
        <v>0.29200325860363802</v>
      </c>
      <c r="I1379">
        <v>0.24811675291449301</v>
      </c>
      <c r="J1379">
        <v>0.24696480354511299</v>
      </c>
      <c r="K1379">
        <v>0.19575671549958801</v>
      </c>
      <c r="L1379">
        <v>1464.31168420988</v>
      </c>
      <c r="M1379">
        <v>27.7687280434676</v>
      </c>
      <c r="N1379">
        <v>54.016242348686397</v>
      </c>
      <c r="O1379">
        <v>52.461201308675697</v>
      </c>
      <c r="P1379">
        <v>-0.100363278554763</v>
      </c>
      <c r="Q1379">
        <v>0.24157400698175599</v>
      </c>
      <c r="R1379">
        <v>0.99099488231215704</v>
      </c>
      <c r="S1379" t="s">
        <v>7831</v>
      </c>
      <c r="T1379" t="s">
        <v>12902</v>
      </c>
      <c r="U1379" t="s">
        <v>12902</v>
      </c>
      <c r="V1379" t="s">
        <v>12902</v>
      </c>
      <c r="W1379" t="s">
        <v>14254</v>
      </c>
      <c r="X1379">
        <v>23</v>
      </c>
      <c r="Y1379" t="s">
        <v>20639</v>
      </c>
      <c r="Z1379" t="s">
        <v>26954</v>
      </c>
      <c r="AA1379">
        <v>0.56915831104335612</v>
      </c>
      <c r="AB1379" t="str">
        <f>HYPERLINK("Melting_Curves/meltCurve_O15230_LAMA5.pdf", "Melting_Curves/meltCurve_O15230_LAMA5.pdf")</f>
        <v>Melting_Curves/meltCurve_O15230_LAMA5.pdf</v>
      </c>
    </row>
    <row r="1380" spans="1:28" x14ac:dyDescent="0.25">
      <c r="A1380" t="s">
        <v>1384</v>
      </c>
      <c r="B1380">
        <v>0.99673306730245903</v>
      </c>
      <c r="C1380">
        <v>0.91563466903002599</v>
      </c>
      <c r="D1380">
        <v>0.96947006999125696</v>
      </c>
      <c r="E1380">
        <v>0.83708921384351098</v>
      </c>
      <c r="F1380">
        <v>0.77208044065581205</v>
      </c>
      <c r="G1380">
        <v>0.70095751054497901</v>
      </c>
      <c r="H1380">
        <v>0.76509635412808397</v>
      </c>
      <c r="I1380">
        <v>1.4100180182932001</v>
      </c>
      <c r="J1380">
        <v>2.16847681694524</v>
      </c>
      <c r="K1380">
        <v>2.4317457865643299</v>
      </c>
      <c r="L1380">
        <v>15000</v>
      </c>
      <c r="M1380">
        <v>235.891427247319</v>
      </c>
      <c r="O1380">
        <v>63.584005507207301</v>
      </c>
      <c r="P1380">
        <v>0.46373971127441799</v>
      </c>
      <c r="Q1380">
        <v>1.5</v>
      </c>
      <c r="R1380">
        <v>0.54888866768639999</v>
      </c>
      <c r="S1380" t="s">
        <v>7832</v>
      </c>
      <c r="T1380" t="s">
        <v>12902</v>
      </c>
      <c r="U1380" t="s">
        <v>12902</v>
      </c>
      <c r="V1380" t="s">
        <v>12902</v>
      </c>
      <c r="W1380" t="s">
        <v>14255</v>
      </c>
      <c r="X1380">
        <v>11</v>
      </c>
      <c r="Y1380" t="s">
        <v>20640</v>
      </c>
      <c r="Z1380" t="s">
        <v>26955</v>
      </c>
      <c r="AA1380">
        <v>1.106794388723358</v>
      </c>
      <c r="AB1380" t="str">
        <f>HYPERLINK("Melting_Curves/meltCurve_O15234_CASC3.pdf", "Melting_Curves/meltCurve_O15234_CASC3.pdf")</f>
        <v>Melting_Curves/meltCurve_O15234_CASC3.pdf</v>
      </c>
    </row>
    <row r="1381" spans="1:28" x14ac:dyDescent="0.25">
      <c r="A1381" t="s">
        <v>1385</v>
      </c>
      <c r="B1381">
        <v>0.99673306730245903</v>
      </c>
      <c r="C1381">
        <v>0.95541482686229795</v>
      </c>
      <c r="D1381">
        <v>0.88751879290133595</v>
      </c>
      <c r="E1381">
        <v>0.79626170269432395</v>
      </c>
      <c r="F1381">
        <v>0.75020732768677201</v>
      </c>
      <c r="G1381">
        <v>0.64509608250876904</v>
      </c>
      <c r="H1381">
        <v>0.59658134687424103</v>
      </c>
      <c r="I1381">
        <v>0.76075596175822702</v>
      </c>
      <c r="J1381">
        <v>1.2408339945486799</v>
      </c>
      <c r="K1381">
        <v>1.1639227904498499</v>
      </c>
      <c r="L1381">
        <v>1736.0303834809199</v>
      </c>
      <c r="M1381">
        <v>39.468687026400602</v>
      </c>
      <c r="O1381">
        <v>43.8725486401068</v>
      </c>
      <c r="P1381">
        <v>-3.3328647338722303E-2</v>
      </c>
      <c r="Q1381">
        <v>0.851810696659413</v>
      </c>
      <c r="R1381">
        <v>6.1928693049182401E-2</v>
      </c>
      <c r="S1381" t="s">
        <v>7833</v>
      </c>
      <c r="T1381" t="s">
        <v>12902</v>
      </c>
      <c r="U1381" t="s">
        <v>12902</v>
      </c>
      <c r="V1381" t="s">
        <v>12902</v>
      </c>
      <c r="W1381" t="s">
        <v>14256</v>
      </c>
      <c r="X1381">
        <v>3</v>
      </c>
      <c r="Y1381" t="s">
        <v>20641</v>
      </c>
      <c r="Z1381" t="s">
        <v>26956</v>
      </c>
      <c r="AA1381">
        <v>0.87204274831515016</v>
      </c>
      <c r="AB1381" t="str">
        <f>HYPERLINK("Melting_Curves/meltCurve_O15240_VGF.pdf", "Melting_Curves/meltCurve_O15240_VGF.pdf")</f>
        <v>Melting_Curves/meltCurve_O15240_VGF.pdf</v>
      </c>
    </row>
    <row r="1382" spans="1:28" x14ac:dyDescent="0.25">
      <c r="A1382" t="s">
        <v>1386</v>
      </c>
      <c r="B1382">
        <v>0.99673306730245903</v>
      </c>
      <c r="C1382">
        <v>0.90524073980768904</v>
      </c>
      <c r="D1382">
        <v>0.88342069409636503</v>
      </c>
      <c r="E1382">
        <v>0.77685132566542503</v>
      </c>
      <c r="F1382">
        <v>0.53227668229071101</v>
      </c>
      <c r="G1382">
        <v>0.440279475246869</v>
      </c>
      <c r="H1382">
        <v>0.33772506363431898</v>
      </c>
      <c r="I1382">
        <v>0.404116985942574</v>
      </c>
      <c r="J1382">
        <v>0.313366318272077</v>
      </c>
      <c r="K1382">
        <v>0.30077513164890801</v>
      </c>
      <c r="L1382">
        <v>727.20308808560605</v>
      </c>
      <c r="M1382">
        <v>14.181366160335401</v>
      </c>
      <c r="N1382">
        <v>54.8350037121089</v>
      </c>
      <c r="O1382">
        <v>50.2914297141945</v>
      </c>
      <c r="P1382">
        <v>-4.9305219157720598E-2</v>
      </c>
      <c r="Q1382">
        <v>0.30068283058276601</v>
      </c>
      <c r="R1382">
        <v>0.98316034247445905</v>
      </c>
      <c r="S1382" t="s">
        <v>7834</v>
      </c>
      <c r="T1382" t="s">
        <v>12902</v>
      </c>
      <c r="U1382" t="s">
        <v>12902</v>
      </c>
      <c r="V1382" t="s">
        <v>12902</v>
      </c>
      <c r="W1382" t="s">
        <v>14257</v>
      </c>
      <c r="X1382">
        <v>2</v>
      </c>
      <c r="Y1382" t="s">
        <v>20642</v>
      </c>
      <c r="Z1382" t="s">
        <v>26957</v>
      </c>
      <c r="AA1382">
        <v>0.58110950572364395</v>
      </c>
      <c r="AB1382" t="str">
        <f>HYPERLINK("Melting_Curves/meltCurve_O15258_RER1.pdf", "Melting_Curves/meltCurve_O15258_RER1.pdf")</f>
        <v>Melting_Curves/meltCurve_O15258_RER1.pdf</v>
      </c>
    </row>
    <row r="1383" spans="1:28" x14ac:dyDescent="0.25">
      <c r="A1383" t="s">
        <v>1387</v>
      </c>
      <c r="B1383">
        <v>0.99673306730245903</v>
      </c>
      <c r="C1383">
        <v>1.03887015473535</v>
      </c>
      <c r="D1383">
        <v>0.55326158935240499</v>
      </c>
      <c r="E1383">
        <v>0.91407775513991396</v>
      </c>
      <c r="F1383">
        <v>0.47154023176948001</v>
      </c>
      <c r="G1383">
        <v>0.12557282965397701</v>
      </c>
      <c r="H1383">
        <v>6.8221706669247401E-2</v>
      </c>
      <c r="I1383">
        <v>6.2893680006603905E-2</v>
      </c>
      <c r="J1383">
        <v>7.3482785150464594E-2</v>
      </c>
      <c r="K1383">
        <v>7.1149460521676103E-2</v>
      </c>
      <c r="L1383">
        <v>801.86636440233303</v>
      </c>
      <c r="M1383">
        <v>15.320191329639901</v>
      </c>
      <c r="N1383">
        <v>52.381191257612002</v>
      </c>
      <c r="O1383">
        <v>51.4729951977938</v>
      </c>
      <c r="P1383">
        <v>-7.3975707126855902E-2</v>
      </c>
      <c r="Q1383">
        <v>5.9134887103527998E-3</v>
      </c>
      <c r="R1383">
        <v>0.88207879024851599</v>
      </c>
      <c r="S1383" t="s">
        <v>7835</v>
      </c>
      <c r="T1383" t="s">
        <v>12902</v>
      </c>
      <c r="U1383" t="s">
        <v>12902</v>
      </c>
      <c r="V1383" t="s">
        <v>12902</v>
      </c>
      <c r="W1383" t="s">
        <v>14258</v>
      </c>
      <c r="X1383">
        <v>13</v>
      </c>
      <c r="Y1383" t="s">
        <v>20643</v>
      </c>
      <c r="Z1383" t="s">
        <v>26958</v>
      </c>
      <c r="AA1383">
        <v>0.43610303406953382</v>
      </c>
      <c r="AB1383" t="str">
        <f>HYPERLINK("Melting_Curves/meltCurve_O15264_MAPK13.pdf", "Melting_Curves/meltCurve_O15264_MAPK13.pdf")</f>
        <v>Melting_Curves/meltCurve_O15264_MAPK13.pdf</v>
      </c>
    </row>
    <row r="1384" spans="1:28" x14ac:dyDescent="0.25">
      <c r="A1384" t="s">
        <v>1388</v>
      </c>
      <c r="B1384">
        <v>0.99673306730245903</v>
      </c>
      <c r="C1384">
        <v>0.94508291316169502</v>
      </c>
      <c r="D1384">
        <v>0.91572374203184903</v>
      </c>
      <c r="E1384">
        <v>0.67370153449675996</v>
      </c>
      <c r="F1384">
        <v>0.329012058759172</v>
      </c>
      <c r="G1384">
        <v>0.14062369461063901</v>
      </c>
      <c r="H1384">
        <v>7.9660839632244906E-2</v>
      </c>
      <c r="I1384">
        <v>7.3725829633340803E-2</v>
      </c>
      <c r="J1384">
        <v>8.7544650480200797E-2</v>
      </c>
      <c r="K1384">
        <v>7.8856640950134796E-2</v>
      </c>
      <c r="L1384">
        <v>1133.00201489354</v>
      </c>
      <c r="M1384">
        <v>22.257855388184201</v>
      </c>
      <c r="N1384">
        <v>51.240995157082601</v>
      </c>
      <c r="O1384">
        <v>50.497914542535</v>
      </c>
      <c r="P1384">
        <v>-0.10268055730622901</v>
      </c>
      <c r="Q1384">
        <v>6.8186325554942001E-2</v>
      </c>
      <c r="R1384">
        <v>0.99840484033044297</v>
      </c>
      <c r="S1384" t="s">
        <v>7836</v>
      </c>
      <c r="T1384" t="s">
        <v>12902</v>
      </c>
      <c r="U1384" t="s">
        <v>12902</v>
      </c>
      <c r="V1384" t="s">
        <v>12902</v>
      </c>
      <c r="W1384" t="s">
        <v>14259</v>
      </c>
      <c r="X1384">
        <v>15</v>
      </c>
      <c r="Y1384" t="s">
        <v>20644</v>
      </c>
      <c r="Z1384" t="s">
        <v>26959</v>
      </c>
      <c r="AA1384">
        <v>0.41740395764550448</v>
      </c>
      <c r="AB1384" t="str">
        <f>HYPERLINK("Melting_Curves/meltCurve_O15269_SPTLC1.pdf", "Melting_Curves/meltCurve_O15269_SPTLC1.pdf")</f>
        <v>Melting_Curves/meltCurve_O15269_SPTLC1.pdf</v>
      </c>
    </row>
    <row r="1385" spans="1:28" x14ac:dyDescent="0.25">
      <c r="A1385" t="s">
        <v>1389</v>
      </c>
      <c r="B1385">
        <v>0.99673306730245903</v>
      </c>
      <c r="C1385">
        <v>0.98651624886929001</v>
      </c>
      <c r="D1385">
        <v>1.01372941783368</v>
      </c>
      <c r="E1385">
        <v>0.99288100417329395</v>
      </c>
      <c r="F1385">
        <v>0.49425310828989699</v>
      </c>
      <c r="G1385">
        <v>0.178690555334301</v>
      </c>
      <c r="H1385">
        <v>9.1955221541792503E-2</v>
      </c>
      <c r="I1385">
        <v>8.8582529737679799E-2</v>
      </c>
      <c r="J1385">
        <v>0.11394399845881301</v>
      </c>
      <c r="K1385">
        <v>0.114418283216861</v>
      </c>
      <c r="L1385">
        <v>2518.7853646229801</v>
      </c>
      <c r="M1385">
        <v>47.575819063202097</v>
      </c>
      <c r="N1385">
        <v>53.218264309573001</v>
      </c>
      <c r="O1385">
        <v>52.8492718290277</v>
      </c>
      <c r="P1385">
        <v>-0.20047285745253701</v>
      </c>
      <c r="Q1385">
        <v>0.109225399773346</v>
      </c>
      <c r="R1385">
        <v>0.99805040093625597</v>
      </c>
      <c r="S1385" t="s">
        <v>7837</v>
      </c>
      <c r="T1385" t="s">
        <v>12902</v>
      </c>
      <c r="U1385" t="s">
        <v>12902</v>
      </c>
      <c r="V1385" t="s">
        <v>12902</v>
      </c>
      <c r="W1385" t="s">
        <v>14260</v>
      </c>
      <c r="X1385">
        <v>12</v>
      </c>
      <c r="Y1385" t="s">
        <v>20645</v>
      </c>
      <c r="Z1385" t="s">
        <v>26960</v>
      </c>
      <c r="AA1385">
        <v>0.49582044083270038</v>
      </c>
      <c r="AB1385" t="str">
        <f>HYPERLINK("Melting_Curves/meltCurve_O15270_SPTLC2.pdf", "Melting_Curves/meltCurve_O15270_SPTLC2.pdf")</f>
        <v>Melting_Curves/meltCurve_O15270_SPTLC2.pdf</v>
      </c>
    </row>
    <row r="1386" spans="1:28" x14ac:dyDescent="0.25">
      <c r="A1386" t="s">
        <v>1390</v>
      </c>
      <c r="B1386">
        <v>0.99673306730245903</v>
      </c>
      <c r="C1386">
        <v>0.88567315482384201</v>
      </c>
      <c r="D1386">
        <v>0.84707060602143702</v>
      </c>
      <c r="E1386">
        <v>0.66028954756048497</v>
      </c>
      <c r="F1386">
        <v>0.19388169290219601</v>
      </c>
      <c r="G1386">
        <v>0.127685184734182</v>
      </c>
      <c r="H1386">
        <v>8.8878783050966803E-2</v>
      </c>
      <c r="I1386">
        <v>6.6241607721457596E-2</v>
      </c>
      <c r="J1386">
        <v>7.1090265286487306E-2</v>
      </c>
      <c r="K1386">
        <v>5.99379497538736E-2</v>
      </c>
      <c r="L1386">
        <v>1136.6004158359001</v>
      </c>
      <c r="M1386">
        <v>22.6558658754265</v>
      </c>
      <c r="N1386">
        <v>50.444529072838002</v>
      </c>
      <c r="O1386">
        <v>49.782089544956598</v>
      </c>
      <c r="P1386">
        <v>-0.107134162605698</v>
      </c>
      <c r="Q1386">
        <v>5.83883929105097E-2</v>
      </c>
      <c r="R1386">
        <v>0.98519616232877105</v>
      </c>
      <c r="S1386" t="s">
        <v>7838</v>
      </c>
      <c r="T1386" t="s">
        <v>12902</v>
      </c>
      <c r="U1386" t="s">
        <v>12902</v>
      </c>
      <c r="V1386" t="s">
        <v>12902</v>
      </c>
      <c r="W1386" t="s">
        <v>14261</v>
      </c>
      <c r="X1386">
        <v>20</v>
      </c>
      <c r="Y1386" t="s">
        <v>20646</v>
      </c>
      <c r="Z1386" t="s">
        <v>26961</v>
      </c>
      <c r="AA1386">
        <v>0.38779182110778532</v>
      </c>
      <c r="AB1386" t="str">
        <f>HYPERLINK("Melting_Curves/meltCurve_O15294_OGT.pdf", "Melting_Curves/meltCurve_O15294_OGT.pdf")</f>
        <v>Melting_Curves/meltCurve_O15294_OGT.pdf</v>
      </c>
    </row>
    <row r="1387" spans="1:28" x14ac:dyDescent="0.25">
      <c r="A1387" t="s">
        <v>1391</v>
      </c>
      <c r="B1387">
        <v>0.99673306730245903</v>
      </c>
      <c r="C1387">
        <v>0.97670547178290101</v>
      </c>
      <c r="D1387">
        <v>1.0068503466049199</v>
      </c>
      <c r="E1387">
        <v>1.0385131565998</v>
      </c>
      <c r="F1387">
        <v>0.85779840400691998</v>
      </c>
      <c r="G1387">
        <v>0.56998773584755802</v>
      </c>
      <c r="H1387">
        <v>0.26028852180901701</v>
      </c>
      <c r="I1387">
        <v>0.129888430447687</v>
      </c>
      <c r="J1387">
        <v>8.8234189490543402E-2</v>
      </c>
      <c r="K1387">
        <v>7.16928782202821E-2</v>
      </c>
      <c r="L1387">
        <v>1379.9011346049001</v>
      </c>
      <c r="M1387">
        <v>24.102561201379899</v>
      </c>
      <c r="N1387">
        <v>57.575712096188099</v>
      </c>
      <c r="O1387">
        <v>56.861487410055901</v>
      </c>
      <c r="P1387">
        <v>-9.9241987319672695E-2</v>
      </c>
      <c r="Q1387">
        <v>6.3508772111629294E-2</v>
      </c>
      <c r="R1387">
        <v>0.99706024875114696</v>
      </c>
      <c r="S1387" t="s">
        <v>7839</v>
      </c>
      <c r="T1387" t="s">
        <v>12902</v>
      </c>
      <c r="U1387" t="s">
        <v>12902</v>
      </c>
      <c r="V1387" t="s">
        <v>12902</v>
      </c>
      <c r="W1387" t="s">
        <v>14262</v>
      </c>
      <c r="X1387">
        <v>17</v>
      </c>
      <c r="Y1387" t="s">
        <v>20647</v>
      </c>
      <c r="Z1387" t="s">
        <v>26962</v>
      </c>
      <c r="AA1387">
        <v>0.61087378804125103</v>
      </c>
      <c r="AB1387" t="str">
        <f>HYPERLINK("Melting_Curves/meltCurve_O15305_PMM2.pdf", "Melting_Curves/meltCurve_O15305_PMM2.pdf")</f>
        <v>Melting_Curves/meltCurve_O15305_PMM2.pdf</v>
      </c>
    </row>
    <row r="1388" spans="1:28" x14ac:dyDescent="0.25">
      <c r="A1388" t="s">
        <v>1392</v>
      </c>
      <c r="B1388">
        <v>0.99673306730245903</v>
      </c>
      <c r="C1388">
        <v>1.1810013313008201</v>
      </c>
      <c r="D1388">
        <v>0.95460189311064703</v>
      </c>
      <c r="E1388">
        <v>0.88917888909853204</v>
      </c>
      <c r="F1388">
        <v>0.37417357674134499</v>
      </c>
      <c r="G1388">
        <v>0.14771747385513501</v>
      </c>
      <c r="H1388">
        <v>0.14100013620385701</v>
      </c>
      <c r="I1388">
        <v>5.4396944729595997E-2</v>
      </c>
      <c r="J1388">
        <v>3.6191943314373899E-2</v>
      </c>
      <c r="K1388">
        <v>0</v>
      </c>
      <c r="L1388">
        <v>1740.6554173504501</v>
      </c>
      <c r="M1388">
        <v>33.302205580355398</v>
      </c>
      <c r="N1388">
        <v>52.464716109817097</v>
      </c>
      <c r="O1388">
        <v>52.0810834563855</v>
      </c>
      <c r="P1388">
        <v>-0.15049749573100701</v>
      </c>
      <c r="Q1388">
        <v>5.8556247199371199E-2</v>
      </c>
      <c r="R1388">
        <v>0.97720477055347099</v>
      </c>
      <c r="S1388" t="s">
        <v>7840</v>
      </c>
      <c r="T1388" t="s">
        <v>12902</v>
      </c>
      <c r="U1388" t="s">
        <v>12902</v>
      </c>
      <c r="V1388" t="s">
        <v>12902</v>
      </c>
      <c r="W1388" t="s">
        <v>14263</v>
      </c>
      <c r="X1388">
        <v>1</v>
      </c>
      <c r="Y1388" t="s">
        <v>20648</v>
      </c>
      <c r="Z1388" t="s">
        <v>26963</v>
      </c>
      <c r="AA1388">
        <v>0.44846701207962691</v>
      </c>
      <c r="AB1388" t="str">
        <f>HYPERLINK("Melting_Curves/meltCurve_O15327_INPP4B.pdf", "Melting_Curves/meltCurve_O15327_INPP4B.pdf")</f>
        <v>Melting_Curves/meltCurve_O15327_INPP4B.pdf</v>
      </c>
    </row>
    <row r="1389" spans="1:28" x14ac:dyDescent="0.25">
      <c r="A1389" t="s">
        <v>1393</v>
      </c>
      <c r="B1389">
        <v>0.99673306730245903</v>
      </c>
      <c r="C1389">
        <v>0.87782307116271396</v>
      </c>
      <c r="D1389">
        <v>0.79824610835618004</v>
      </c>
      <c r="E1389">
        <v>0.66399813970018196</v>
      </c>
      <c r="F1389">
        <v>0.26302192043134998</v>
      </c>
      <c r="G1389">
        <v>0.173112902282543</v>
      </c>
      <c r="H1389">
        <v>0.11036274835903601</v>
      </c>
      <c r="I1389">
        <v>8.8492256147405995E-2</v>
      </c>
      <c r="J1389">
        <v>0.109641126735136</v>
      </c>
      <c r="K1389">
        <v>9.8943443658821101E-2</v>
      </c>
      <c r="L1389">
        <v>852.75115428781601</v>
      </c>
      <c r="M1389">
        <v>17.026512147721501</v>
      </c>
      <c r="N1389">
        <v>50.564050512344501</v>
      </c>
      <c r="O1389">
        <v>49.408159644601</v>
      </c>
      <c r="P1389">
        <v>-7.9724304518636296E-2</v>
      </c>
      <c r="Q1389">
        <v>7.4669070820910705E-2</v>
      </c>
      <c r="R1389">
        <v>0.98462835223226497</v>
      </c>
      <c r="S1389" t="s">
        <v>7841</v>
      </c>
      <c r="T1389" t="s">
        <v>12902</v>
      </c>
      <c r="U1389" t="s">
        <v>12902</v>
      </c>
      <c r="V1389" t="s">
        <v>12902</v>
      </c>
      <c r="W1389" t="s">
        <v>14264</v>
      </c>
      <c r="X1389">
        <v>8</v>
      </c>
      <c r="Y1389" t="s">
        <v>20649</v>
      </c>
      <c r="Z1389" t="s">
        <v>26964</v>
      </c>
      <c r="AA1389">
        <v>0.40318929703999112</v>
      </c>
      <c r="AB1389" t="str">
        <f>HYPERLINK("Melting_Curves/meltCurve_O15344_MID1.pdf", "Melting_Curves/meltCurve_O15344_MID1.pdf")</f>
        <v>Melting_Curves/meltCurve_O15344_MID1.pdf</v>
      </c>
    </row>
    <row r="1390" spans="1:28" x14ac:dyDescent="0.25">
      <c r="A1390" t="s">
        <v>1394</v>
      </c>
      <c r="B1390">
        <v>0.99673306730245903</v>
      </c>
      <c r="C1390">
        <v>1.01634520029996</v>
      </c>
      <c r="D1390">
        <v>0.56200035177756003</v>
      </c>
      <c r="E1390">
        <v>0.26825333560854298</v>
      </c>
      <c r="F1390">
        <v>0.161884335567439</v>
      </c>
      <c r="G1390">
        <v>9.8509716211102494E-2</v>
      </c>
      <c r="H1390">
        <v>6.75881752501927E-2</v>
      </c>
      <c r="I1390">
        <v>6.9133103343710797E-2</v>
      </c>
      <c r="J1390">
        <v>8.5786148382633196E-2</v>
      </c>
      <c r="K1390">
        <v>7.9697072657951201E-2</v>
      </c>
      <c r="L1390">
        <v>1304.7256041025501</v>
      </c>
      <c r="M1390">
        <v>28.039231085965898</v>
      </c>
      <c r="N1390">
        <v>46.868250657582998</v>
      </c>
      <c r="O1390">
        <v>46.297389391041797</v>
      </c>
      <c r="P1390">
        <v>-0.13762033197537701</v>
      </c>
      <c r="Q1390">
        <v>9.1072395224413197E-2</v>
      </c>
      <c r="R1390">
        <v>0.98708680461279197</v>
      </c>
      <c r="S1390" t="s">
        <v>7842</v>
      </c>
      <c r="T1390" t="s">
        <v>12902</v>
      </c>
      <c r="U1390" t="s">
        <v>12902</v>
      </c>
      <c r="V1390" t="s">
        <v>12902</v>
      </c>
      <c r="W1390" t="s">
        <v>14265</v>
      </c>
      <c r="X1390">
        <v>25</v>
      </c>
      <c r="Y1390" t="s">
        <v>20650</v>
      </c>
      <c r="Z1390" t="s">
        <v>26965</v>
      </c>
      <c r="AA1390">
        <v>0.29533564210875862</v>
      </c>
      <c r="AB1390" t="str">
        <f>HYPERLINK("Melting_Curves/meltCurve_O15355_PPM1G.pdf", "Melting_Curves/meltCurve_O15355_PPM1G.pdf")</f>
        <v>Melting_Curves/meltCurve_O15355_PPM1G.pdf</v>
      </c>
    </row>
    <row r="1391" spans="1:28" x14ac:dyDescent="0.25">
      <c r="A1391" t="s">
        <v>1395</v>
      </c>
      <c r="B1391">
        <v>0.99673306730245903</v>
      </c>
      <c r="C1391">
        <v>0.92677882914749499</v>
      </c>
      <c r="D1391">
        <v>0.59649711531127503</v>
      </c>
      <c r="E1391">
        <v>0.26464961153265298</v>
      </c>
      <c r="F1391">
        <v>0.18023941065731999</v>
      </c>
      <c r="G1391">
        <v>0.120698329504352</v>
      </c>
      <c r="H1391">
        <v>7.7330976147297698E-2</v>
      </c>
      <c r="I1391">
        <v>7.9652472736048502E-2</v>
      </c>
      <c r="J1391">
        <v>9.2379768001162599E-2</v>
      </c>
      <c r="K1391">
        <v>8.6924030810511796E-2</v>
      </c>
      <c r="L1391">
        <v>1115.00324910419</v>
      </c>
      <c r="M1391">
        <v>23.930318798873799</v>
      </c>
      <c r="N1391">
        <v>47.005093630805199</v>
      </c>
      <c r="O1391">
        <v>46.2720457080313</v>
      </c>
      <c r="P1391">
        <v>-0.117079268360302</v>
      </c>
      <c r="Q1391">
        <v>9.4469394292444303E-2</v>
      </c>
      <c r="R1391">
        <v>0.99650568159637698</v>
      </c>
      <c r="S1391" t="s">
        <v>7843</v>
      </c>
      <c r="T1391" t="s">
        <v>12902</v>
      </c>
      <c r="U1391" t="s">
        <v>12902</v>
      </c>
      <c r="V1391" t="s">
        <v>12902</v>
      </c>
      <c r="W1391" t="s">
        <v>14266</v>
      </c>
      <c r="X1391">
        <v>30</v>
      </c>
      <c r="Y1391" t="s">
        <v>20651</v>
      </c>
      <c r="Z1391" t="s">
        <v>26966</v>
      </c>
      <c r="AA1391">
        <v>0.30250861257244688</v>
      </c>
      <c r="AB1391" t="str">
        <f>HYPERLINK("Melting_Curves/meltCurve_O15357_INPPL1.pdf", "Melting_Curves/meltCurve_O15357_INPPL1.pdf")</f>
        <v>Melting_Curves/meltCurve_O15357_INPPL1.pdf</v>
      </c>
    </row>
    <row r="1392" spans="1:28" x14ac:dyDescent="0.25">
      <c r="A1392" t="s">
        <v>1396</v>
      </c>
      <c r="B1392">
        <v>0.99673306730245903</v>
      </c>
      <c r="C1392">
        <v>0.82370180213712796</v>
      </c>
      <c r="D1392">
        <v>0.75856610458816498</v>
      </c>
      <c r="E1392">
        <v>0.72107378549596202</v>
      </c>
      <c r="F1392">
        <v>0.52337506328350003</v>
      </c>
      <c r="G1392">
        <v>0.24504181876758399</v>
      </c>
      <c r="H1392">
        <v>0.107516096986568</v>
      </c>
      <c r="I1392">
        <v>8.3428900939771206E-2</v>
      </c>
      <c r="J1392">
        <v>0.100432879381797</v>
      </c>
      <c r="K1392">
        <v>8.4787719318865001E-2</v>
      </c>
      <c r="L1392">
        <v>583.70886903565497</v>
      </c>
      <c r="M1392">
        <v>11.1634193568939</v>
      </c>
      <c r="N1392">
        <v>52.2876346900931</v>
      </c>
      <c r="O1392">
        <v>50.693949130069598</v>
      </c>
      <c r="P1392">
        <v>-5.5070564766578803E-2</v>
      </c>
      <c r="Q1392">
        <v>0</v>
      </c>
      <c r="R1392">
        <v>0.97125465760126795</v>
      </c>
      <c r="S1392" t="s">
        <v>7844</v>
      </c>
      <c r="T1392" t="s">
        <v>12902</v>
      </c>
      <c r="U1392" t="s">
        <v>12902</v>
      </c>
      <c r="V1392" t="s">
        <v>12902</v>
      </c>
      <c r="W1392" t="s">
        <v>14267</v>
      </c>
      <c r="X1392">
        <v>7</v>
      </c>
      <c r="Y1392" t="s">
        <v>20652</v>
      </c>
      <c r="Z1392" t="s">
        <v>26967</v>
      </c>
      <c r="AA1392">
        <v>0.44230543077303702</v>
      </c>
      <c r="AB1392" t="str">
        <f>HYPERLINK("Melting_Curves/meltCurve_O15379_HDAC3.pdf", "Melting_Curves/meltCurve_O15379_HDAC3.pdf")</f>
        <v>Melting_Curves/meltCurve_O15379_HDAC3.pdf</v>
      </c>
    </row>
    <row r="1393" spans="1:28" x14ac:dyDescent="0.25">
      <c r="A1393" t="s">
        <v>1397</v>
      </c>
      <c r="B1393">
        <v>0.99673306730245903</v>
      </c>
      <c r="C1393">
        <v>1.0397586922714801</v>
      </c>
      <c r="D1393">
        <v>1.0184249575787201</v>
      </c>
      <c r="E1393">
        <v>0.961439956742841</v>
      </c>
      <c r="F1393">
        <v>0.75751953161900298</v>
      </c>
      <c r="G1393">
        <v>0.62847034884796804</v>
      </c>
      <c r="H1393">
        <v>0.438320113685221</v>
      </c>
      <c r="I1393">
        <v>0.35050157690822697</v>
      </c>
      <c r="J1393">
        <v>0.247860847950411</v>
      </c>
      <c r="K1393">
        <v>0.130871102737011</v>
      </c>
      <c r="L1393">
        <v>718.91683941595397</v>
      </c>
      <c r="M1393">
        <v>12.1432028720319</v>
      </c>
      <c r="N1393">
        <v>59.608450464910497</v>
      </c>
      <c r="O1393">
        <v>57.666278897475301</v>
      </c>
      <c r="P1393">
        <v>-5.0570315911041802E-2</v>
      </c>
      <c r="Q1393">
        <v>3.9617218785303401E-2</v>
      </c>
      <c r="R1393">
        <v>0.98870348892793503</v>
      </c>
      <c r="S1393" t="s">
        <v>7845</v>
      </c>
      <c r="T1393" t="s">
        <v>12902</v>
      </c>
      <c r="U1393" t="s">
        <v>12902</v>
      </c>
      <c r="V1393" t="s">
        <v>12902</v>
      </c>
      <c r="W1393" t="s">
        <v>14268</v>
      </c>
      <c r="X1393">
        <v>19</v>
      </c>
      <c r="Y1393" t="s">
        <v>20653</v>
      </c>
      <c r="Z1393" t="s">
        <v>26968</v>
      </c>
      <c r="AA1393">
        <v>0.66117499743649399</v>
      </c>
      <c r="AB1393" t="str">
        <f>HYPERLINK("Melting_Curves/meltCurve_O15382_BCAT2.pdf", "Melting_Curves/meltCurve_O15382_BCAT2.pdf")</f>
        <v>Melting_Curves/meltCurve_O15382_BCAT2.pdf</v>
      </c>
    </row>
    <row r="1394" spans="1:28" x14ac:dyDescent="0.25">
      <c r="A1394" t="s">
        <v>1398</v>
      </c>
      <c r="B1394">
        <v>0.99673306730245903</v>
      </c>
      <c r="C1394">
        <v>0.86812186643617795</v>
      </c>
      <c r="D1394">
        <v>0.45048464243144298</v>
      </c>
      <c r="E1394">
        <v>0.19523566048119001</v>
      </c>
      <c r="F1394">
        <v>0.12641150351911701</v>
      </c>
      <c r="G1394">
        <v>7.6175709567272307E-2</v>
      </c>
      <c r="H1394">
        <v>6.2490182857903802E-2</v>
      </c>
      <c r="I1394">
        <v>6.88920730949691E-2</v>
      </c>
      <c r="J1394">
        <v>9.5932037280640994E-2</v>
      </c>
      <c r="K1394">
        <v>9.9621659045712505E-2</v>
      </c>
      <c r="L1394">
        <v>1263.6359194573499</v>
      </c>
      <c r="M1394">
        <v>27.796832645661699</v>
      </c>
      <c r="N1394">
        <v>45.7758077469081</v>
      </c>
      <c r="O1394">
        <v>45.226379915350002</v>
      </c>
      <c r="P1394">
        <v>-0.140236587736109</v>
      </c>
      <c r="Q1394">
        <v>8.7329520325639204E-2</v>
      </c>
      <c r="R1394">
        <v>0.99682224271965403</v>
      </c>
      <c r="S1394" t="s">
        <v>7846</v>
      </c>
      <c r="T1394" t="s">
        <v>12902</v>
      </c>
      <c r="U1394" t="s">
        <v>12902</v>
      </c>
      <c r="V1394" t="s">
        <v>12902</v>
      </c>
      <c r="W1394" t="s">
        <v>14269</v>
      </c>
      <c r="X1394">
        <v>5</v>
      </c>
      <c r="Y1394" t="s">
        <v>20654</v>
      </c>
      <c r="Z1394" t="s">
        <v>26969</v>
      </c>
      <c r="AA1394">
        <v>0.26022459733492231</v>
      </c>
      <c r="AB1394" t="str">
        <f>HYPERLINK("Melting_Curves/meltCurve_O15397_IPO8.pdf", "Melting_Curves/meltCurve_O15397_IPO8.pdf")</f>
        <v>Melting_Curves/meltCurve_O15397_IPO8.pdf</v>
      </c>
    </row>
    <row r="1395" spans="1:28" x14ac:dyDescent="0.25">
      <c r="A1395" t="s">
        <v>1399</v>
      </c>
      <c r="B1395">
        <v>0.99673306730245903</v>
      </c>
      <c r="C1395">
        <v>0.99294478908142303</v>
      </c>
      <c r="D1395">
        <v>0.94684234449289495</v>
      </c>
      <c r="E1395">
        <v>0.81511260340706704</v>
      </c>
      <c r="F1395">
        <v>0.74713315133570102</v>
      </c>
      <c r="G1395">
        <v>0.59897608491671195</v>
      </c>
      <c r="H1395">
        <v>0.45122135678944902</v>
      </c>
      <c r="I1395">
        <v>0.48923775939212999</v>
      </c>
      <c r="J1395">
        <v>0.54545213360342304</v>
      </c>
      <c r="K1395">
        <v>0.59976271598102904</v>
      </c>
      <c r="L1395">
        <v>949.95269138521701</v>
      </c>
      <c r="M1395">
        <v>18.385327824619399</v>
      </c>
      <c r="O1395">
        <v>51.069424514856898</v>
      </c>
      <c r="P1395">
        <v>-4.3546607050510798E-2</v>
      </c>
      <c r="Q1395">
        <v>0.51617958463008196</v>
      </c>
      <c r="R1395">
        <v>0.94706315050953804</v>
      </c>
      <c r="S1395" t="s">
        <v>7847</v>
      </c>
      <c r="T1395" t="s">
        <v>12902</v>
      </c>
      <c r="U1395" t="s">
        <v>12902</v>
      </c>
      <c r="V1395" t="s">
        <v>12902</v>
      </c>
      <c r="W1395" t="s">
        <v>14270</v>
      </c>
      <c r="X1395">
        <v>9</v>
      </c>
      <c r="Y1395" t="s">
        <v>20655</v>
      </c>
      <c r="Z1395" t="s">
        <v>26970</v>
      </c>
      <c r="AA1395">
        <v>0.71216333290112177</v>
      </c>
      <c r="AB1395" t="str">
        <f>HYPERLINK("Melting_Curves/meltCurve_O15400_2_STX7.pdf", "Melting_Curves/meltCurve_O15400_2_STX7.pdf")</f>
        <v>Melting_Curves/meltCurve_O15400_2_STX7.pdf</v>
      </c>
    </row>
    <row r="1396" spans="1:28" x14ac:dyDescent="0.25">
      <c r="A1396" t="s">
        <v>1400</v>
      </c>
      <c r="B1396">
        <v>0.99673306730245903</v>
      </c>
      <c r="C1396">
        <v>0.82488337863778405</v>
      </c>
      <c r="D1396">
        <v>0.69872308604058198</v>
      </c>
      <c r="E1396">
        <v>0.50623574842647101</v>
      </c>
      <c r="F1396">
        <v>0.338985702517623</v>
      </c>
      <c r="G1396">
        <v>0.23024603872068999</v>
      </c>
      <c r="H1396">
        <v>0.25490264402988999</v>
      </c>
      <c r="I1396">
        <v>0.30332456136608199</v>
      </c>
      <c r="J1396">
        <v>0.42071013665567802</v>
      </c>
      <c r="K1396">
        <v>0.53309772274684797</v>
      </c>
      <c r="L1396">
        <v>946.62724692710594</v>
      </c>
      <c r="M1396">
        <v>20.570627647630602</v>
      </c>
      <c r="N1396">
        <v>48.781851067393902</v>
      </c>
      <c r="O1396">
        <v>45.590117288921803</v>
      </c>
      <c r="P1396">
        <v>-7.3990377500810001E-2</v>
      </c>
      <c r="Q1396">
        <v>0.34408771970364499</v>
      </c>
      <c r="R1396">
        <v>0.87276449609356799</v>
      </c>
      <c r="S1396" t="s">
        <v>7848</v>
      </c>
      <c r="T1396" t="s">
        <v>12902</v>
      </c>
      <c r="U1396" t="s">
        <v>12902</v>
      </c>
      <c r="V1396" t="s">
        <v>12902</v>
      </c>
      <c r="W1396" t="s">
        <v>14271</v>
      </c>
      <c r="X1396">
        <v>3</v>
      </c>
      <c r="Y1396" t="s">
        <v>20656</v>
      </c>
      <c r="Z1396" t="s">
        <v>26971</v>
      </c>
      <c r="AA1396">
        <v>0.48516627698752512</v>
      </c>
      <c r="AB1396" t="str">
        <f>HYPERLINK("Melting_Curves/meltCurve_O15405_2_TOX3.pdf", "Melting_Curves/meltCurve_O15405_2_TOX3.pdf")</f>
        <v>Melting_Curves/meltCurve_O15405_2_TOX3.pdf</v>
      </c>
    </row>
    <row r="1397" spans="1:28" x14ac:dyDescent="0.25">
      <c r="A1397" t="s">
        <v>1401</v>
      </c>
      <c r="B1397">
        <v>0.99673306730245903</v>
      </c>
      <c r="C1397">
        <v>0.94308611795128106</v>
      </c>
      <c r="D1397">
        <v>0.91472304128690096</v>
      </c>
      <c r="E1397">
        <v>0.79593053230156496</v>
      </c>
      <c r="F1397">
        <v>0.68487633470868503</v>
      </c>
      <c r="G1397">
        <v>0.56154691815495295</v>
      </c>
      <c r="H1397">
        <v>0.52264893429791803</v>
      </c>
      <c r="I1397">
        <v>0.69214024566921895</v>
      </c>
      <c r="J1397">
        <v>0.66870345301323697</v>
      </c>
      <c r="K1397">
        <v>0.63064081943563399</v>
      </c>
      <c r="L1397">
        <v>1073.25204404281</v>
      </c>
      <c r="M1397">
        <v>21.962844465877801</v>
      </c>
      <c r="O1397">
        <v>48.4670172375235</v>
      </c>
      <c r="P1397">
        <v>-4.36287998592437E-2</v>
      </c>
      <c r="Q1397">
        <v>0.614893302941245</v>
      </c>
      <c r="R1397">
        <v>0.89546146899165402</v>
      </c>
      <c r="S1397" t="s">
        <v>7849</v>
      </c>
      <c r="T1397" t="s">
        <v>12902</v>
      </c>
      <c r="U1397" t="s">
        <v>12902</v>
      </c>
      <c r="V1397" t="s">
        <v>12902</v>
      </c>
      <c r="W1397" t="s">
        <v>14272</v>
      </c>
      <c r="X1397">
        <v>9</v>
      </c>
      <c r="Y1397" t="s">
        <v>20657</v>
      </c>
      <c r="Z1397" t="s">
        <v>26972</v>
      </c>
      <c r="AA1397">
        <v>0.7331708349346584</v>
      </c>
      <c r="AB1397" t="str">
        <f>HYPERLINK("Melting_Curves/meltCurve_O15427_SLC16A3.pdf", "Melting_Curves/meltCurve_O15427_SLC16A3.pdf")</f>
        <v>Melting_Curves/meltCurve_O15427_SLC16A3.pdf</v>
      </c>
    </row>
    <row r="1398" spans="1:28" x14ac:dyDescent="0.25">
      <c r="A1398" t="s">
        <v>1402</v>
      </c>
      <c r="B1398">
        <v>0.99673306730245903</v>
      </c>
      <c r="C1398">
        <v>0.94595918202362095</v>
      </c>
      <c r="D1398">
        <v>0.86789590706911002</v>
      </c>
      <c r="E1398">
        <v>0.82144172535554005</v>
      </c>
      <c r="F1398">
        <v>0.70218245374649402</v>
      </c>
      <c r="G1398">
        <v>0.54645328569073803</v>
      </c>
      <c r="H1398">
        <v>0.36970358741338699</v>
      </c>
      <c r="I1398">
        <v>0.153751638603319</v>
      </c>
      <c r="J1398">
        <v>0.14822900911627601</v>
      </c>
      <c r="K1398">
        <v>0.11027904851396</v>
      </c>
      <c r="L1398">
        <v>628.10768947741599</v>
      </c>
      <c r="M1398">
        <v>11.0290025304833</v>
      </c>
      <c r="N1398">
        <v>56.950543580997298</v>
      </c>
      <c r="O1398">
        <v>55.174345190097597</v>
      </c>
      <c r="P1398">
        <v>-4.9990114039635998E-2</v>
      </c>
      <c r="Q1398">
        <v>0</v>
      </c>
      <c r="R1398">
        <v>0.98704140057035405</v>
      </c>
      <c r="S1398" t="s">
        <v>7850</v>
      </c>
      <c r="T1398" t="s">
        <v>12902</v>
      </c>
      <c r="U1398" t="s">
        <v>12902</v>
      </c>
      <c r="V1398" t="s">
        <v>12902</v>
      </c>
      <c r="W1398" t="s">
        <v>14273</v>
      </c>
      <c r="X1398">
        <v>22</v>
      </c>
      <c r="Y1398" t="s">
        <v>20658</v>
      </c>
      <c r="Z1398" t="s">
        <v>26973</v>
      </c>
      <c r="AA1398">
        <v>0.58183199225972138</v>
      </c>
      <c r="AB1398" t="str">
        <f>HYPERLINK("Melting_Curves/meltCurve_O15439_2_ABCC4.pdf", "Melting_Curves/meltCurve_O15439_2_ABCC4.pdf")</f>
        <v>Melting_Curves/meltCurve_O15439_2_ABCC4.pdf</v>
      </c>
    </row>
    <row r="1399" spans="1:28" x14ac:dyDescent="0.25">
      <c r="A1399" t="s">
        <v>1403</v>
      </c>
      <c r="B1399">
        <v>0.99673306730245903</v>
      </c>
      <c r="C1399">
        <v>0.936258236517724</v>
      </c>
      <c r="D1399">
        <v>0.85343291837490298</v>
      </c>
      <c r="E1399">
        <v>0.993813527533286</v>
      </c>
      <c r="F1399">
        <v>1.14009631594656</v>
      </c>
      <c r="G1399">
        <v>1.0140142669346801</v>
      </c>
      <c r="H1399">
        <v>0.74398243143943699</v>
      </c>
      <c r="I1399">
        <v>1.0775558419521101</v>
      </c>
      <c r="J1399">
        <v>1.7805694873117299</v>
      </c>
      <c r="K1399">
        <v>1.97903534535859</v>
      </c>
      <c r="L1399">
        <v>15000</v>
      </c>
      <c r="M1399">
        <v>232.68342245636401</v>
      </c>
      <c r="O1399">
        <v>64.460509632850602</v>
      </c>
      <c r="P1399">
        <v>0.45121312489579102</v>
      </c>
      <c r="Q1399">
        <v>1.5</v>
      </c>
      <c r="R1399">
        <v>0.71191981910065605</v>
      </c>
      <c r="S1399" t="s">
        <v>7851</v>
      </c>
      <c r="T1399" t="s">
        <v>12902</v>
      </c>
      <c r="U1399" t="s">
        <v>12902</v>
      </c>
      <c r="V1399" t="s">
        <v>12902</v>
      </c>
      <c r="W1399" t="s">
        <v>14274</v>
      </c>
      <c r="X1399">
        <v>10</v>
      </c>
      <c r="Y1399" t="s">
        <v>20659</v>
      </c>
      <c r="Z1399" t="s">
        <v>26974</v>
      </c>
      <c r="AA1399">
        <v>1.0921801722253039</v>
      </c>
      <c r="AB1399" t="str">
        <f>HYPERLINK("Melting_Curves/meltCurve_O15446_CD3EAP.pdf", "Melting_Curves/meltCurve_O15446_CD3EAP.pdf")</f>
        <v>Melting_Curves/meltCurve_O15446_CD3EAP.pdf</v>
      </c>
    </row>
    <row r="1400" spans="1:28" x14ac:dyDescent="0.25">
      <c r="A1400" t="s">
        <v>1404</v>
      </c>
      <c r="B1400">
        <v>0.99673306730245903</v>
      </c>
      <c r="C1400">
        <v>0.89577965739052201</v>
      </c>
      <c r="D1400">
        <v>0.83721800224383902</v>
      </c>
      <c r="E1400">
        <v>0.694384808148232</v>
      </c>
      <c r="F1400">
        <v>0.38878776837935303</v>
      </c>
      <c r="G1400">
        <v>0.22641145776303501</v>
      </c>
      <c r="H1400">
        <v>0.181006027643411</v>
      </c>
      <c r="I1400">
        <v>0.147824760443974</v>
      </c>
      <c r="J1400">
        <v>0.15411649968318999</v>
      </c>
      <c r="K1400">
        <v>0.11948519320365</v>
      </c>
      <c r="L1400">
        <v>795.986371834235</v>
      </c>
      <c r="M1400">
        <v>15.6598394003629</v>
      </c>
      <c r="N1400">
        <v>51.672705334355399</v>
      </c>
      <c r="O1400">
        <v>50.0225610298275</v>
      </c>
      <c r="P1400">
        <v>-6.9448175938295498E-2</v>
      </c>
      <c r="Q1400">
        <v>0.11271665217674499</v>
      </c>
      <c r="R1400">
        <v>0.99253040030227302</v>
      </c>
      <c r="S1400" t="s">
        <v>7852</v>
      </c>
      <c r="T1400" t="s">
        <v>12902</v>
      </c>
      <c r="U1400" t="s">
        <v>12902</v>
      </c>
      <c r="V1400" t="s">
        <v>12902</v>
      </c>
      <c r="W1400" t="s">
        <v>14275</v>
      </c>
      <c r="X1400">
        <v>9</v>
      </c>
      <c r="Y1400" t="s">
        <v>20660</v>
      </c>
      <c r="Z1400" t="s">
        <v>26975</v>
      </c>
      <c r="AA1400">
        <v>0.45218158911395667</v>
      </c>
      <c r="AB1400" t="str">
        <f>HYPERLINK("Melting_Curves/meltCurve_O15460_2_P4HA2.pdf", "Melting_Curves/meltCurve_O15460_2_P4HA2.pdf")</f>
        <v>Melting_Curves/meltCurve_O15460_2_P4HA2.pdf</v>
      </c>
    </row>
    <row r="1401" spans="1:28" x14ac:dyDescent="0.25">
      <c r="A1401" t="s">
        <v>1405</v>
      </c>
      <c r="B1401">
        <v>0.99673306730245903</v>
      </c>
      <c r="C1401">
        <v>1.0361791021809801</v>
      </c>
      <c r="D1401">
        <v>1.0190883569989599</v>
      </c>
      <c r="E1401">
        <v>0.96407425428669002</v>
      </c>
      <c r="F1401">
        <v>0.81373316373256299</v>
      </c>
      <c r="G1401">
        <v>0.53516059394370397</v>
      </c>
      <c r="H1401">
        <v>0.19480200490719499</v>
      </c>
      <c r="I1401">
        <v>0.12908776694202401</v>
      </c>
      <c r="J1401">
        <v>0.130420297340336</v>
      </c>
      <c r="K1401">
        <v>0.10811181295249001</v>
      </c>
      <c r="L1401">
        <v>1407.25676478936</v>
      </c>
      <c r="M1401">
        <v>24.953463039013901</v>
      </c>
      <c r="N1401">
        <v>56.878576314888797</v>
      </c>
      <c r="O1401">
        <v>56.036802069478703</v>
      </c>
      <c r="P1401">
        <v>-0.100692356644977</v>
      </c>
      <c r="Q1401">
        <v>9.5532132757131696E-2</v>
      </c>
      <c r="R1401">
        <v>0.99718592260052097</v>
      </c>
      <c r="S1401" t="s">
        <v>7853</v>
      </c>
      <c r="T1401" t="s">
        <v>12902</v>
      </c>
      <c r="U1401" t="s">
        <v>12902</v>
      </c>
      <c r="V1401" t="s">
        <v>12902</v>
      </c>
      <c r="W1401" t="s">
        <v>14276</v>
      </c>
      <c r="X1401">
        <v>11</v>
      </c>
      <c r="Y1401" t="s">
        <v>20661</v>
      </c>
      <c r="Z1401" t="s">
        <v>26976</v>
      </c>
      <c r="AA1401">
        <v>0.59811023396396867</v>
      </c>
      <c r="AB1401" t="str">
        <f>HYPERLINK("Melting_Curves/meltCurve_O15498_YKT6.pdf", "Melting_Curves/meltCurve_O15498_YKT6.pdf")</f>
        <v>Melting_Curves/meltCurve_O15498_YKT6.pdf</v>
      </c>
    </row>
    <row r="1402" spans="1:28" x14ac:dyDescent="0.25">
      <c r="A1402" t="s">
        <v>1406</v>
      </c>
      <c r="B1402">
        <v>0.99673306730245903</v>
      </c>
      <c r="C1402">
        <v>0.98062833949259198</v>
      </c>
      <c r="D1402">
        <v>0.99786166025661105</v>
      </c>
      <c r="E1402">
        <v>1.0770547017010801</v>
      </c>
      <c r="F1402">
        <v>0.97998724219338496</v>
      </c>
      <c r="G1402">
        <v>0.87074613618028995</v>
      </c>
      <c r="H1402">
        <v>0.55032535179856001</v>
      </c>
      <c r="I1402">
        <v>0.32904148062030297</v>
      </c>
      <c r="J1402">
        <v>0.18345934453715501</v>
      </c>
      <c r="K1402">
        <v>0.156043373847465</v>
      </c>
      <c r="L1402">
        <v>1541.5884064176801</v>
      </c>
      <c r="M1402">
        <v>25.370448146703101</v>
      </c>
      <c r="N1402">
        <v>61.446876461014703</v>
      </c>
      <c r="O1402">
        <v>60.389418055915101</v>
      </c>
      <c r="P1402">
        <v>-9.2113745174023307E-2</v>
      </c>
      <c r="Q1402">
        <v>0.122975857265923</v>
      </c>
      <c r="R1402">
        <v>0.99406878393334597</v>
      </c>
      <c r="S1402" t="s">
        <v>7854</v>
      </c>
      <c r="T1402" t="s">
        <v>12902</v>
      </c>
      <c r="U1402" t="s">
        <v>12902</v>
      </c>
      <c r="V1402" t="s">
        <v>12902</v>
      </c>
      <c r="W1402" t="s">
        <v>14277</v>
      </c>
      <c r="X1402">
        <v>5</v>
      </c>
      <c r="Y1402" t="s">
        <v>20662</v>
      </c>
      <c r="Z1402" t="s">
        <v>26977</v>
      </c>
      <c r="AA1402">
        <v>0.73569804177775411</v>
      </c>
      <c r="AB1402" t="str">
        <f>HYPERLINK("Melting_Curves/meltCurve_O15511_ARPC5.pdf", "Melting_Curves/meltCurve_O15511_ARPC5.pdf")</f>
        <v>Melting_Curves/meltCurve_O15511_ARPC5.pdf</v>
      </c>
    </row>
    <row r="1403" spans="1:28" x14ac:dyDescent="0.25">
      <c r="A1403" t="s">
        <v>1407</v>
      </c>
      <c r="B1403">
        <v>0.99673306730245903</v>
      </c>
      <c r="C1403">
        <v>0.99850749749866197</v>
      </c>
      <c r="D1403">
        <v>1.0821512047581601</v>
      </c>
      <c r="E1403">
        <v>1.3015427768869201</v>
      </c>
      <c r="F1403">
        <v>1.86367793255238</v>
      </c>
      <c r="G1403">
        <v>1.6836576705206201</v>
      </c>
      <c r="H1403">
        <v>1.21904884841604</v>
      </c>
      <c r="I1403">
        <v>0.93282174540253804</v>
      </c>
      <c r="J1403">
        <v>0.241588272682871</v>
      </c>
      <c r="K1403">
        <v>0.20320209805171399</v>
      </c>
      <c r="L1403">
        <v>7525.9147450124201</v>
      </c>
      <c r="M1403">
        <v>115.189221620051</v>
      </c>
      <c r="N1403">
        <v>65.633568197286294</v>
      </c>
      <c r="O1403">
        <v>65.315544264393296</v>
      </c>
      <c r="P1403">
        <v>-0.35103946054330298</v>
      </c>
      <c r="Q1403">
        <v>0.20380280107650101</v>
      </c>
      <c r="R1403">
        <v>0.46624566146822</v>
      </c>
      <c r="S1403" t="s">
        <v>7855</v>
      </c>
      <c r="T1403" t="s">
        <v>12902</v>
      </c>
      <c r="U1403" t="s">
        <v>12902</v>
      </c>
      <c r="V1403" t="s">
        <v>12902</v>
      </c>
      <c r="W1403" t="s">
        <v>14278</v>
      </c>
      <c r="X1403">
        <v>4</v>
      </c>
      <c r="Y1403" t="s">
        <v>20663</v>
      </c>
      <c r="Z1403" t="s">
        <v>26978</v>
      </c>
      <c r="AA1403">
        <v>0.87661976259198404</v>
      </c>
      <c r="AB1403" t="str">
        <f>HYPERLINK("Melting_Curves/meltCurve_O15514_POLR2D.pdf", "Melting_Curves/meltCurve_O15514_POLR2D.pdf")</f>
        <v>Melting_Curves/meltCurve_O15514_POLR2D.pdf</v>
      </c>
    </row>
    <row r="1404" spans="1:28" x14ac:dyDescent="0.25">
      <c r="A1404" t="s">
        <v>1408</v>
      </c>
      <c r="B1404">
        <v>0.99673306730245903</v>
      </c>
      <c r="C1404">
        <v>0.966168603267895</v>
      </c>
      <c r="D1404">
        <v>0.95219315350372602</v>
      </c>
      <c r="E1404">
        <v>0.90485380069437304</v>
      </c>
      <c r="F1404">
        <v>0.88192357698575896</v>
      </c>
      <c r="G1404">
        <v>0.75761418631900301</v>
      </c>
      <c r="H1404">
        <v>0.59915463744330499</v>
      </c>
      <c r="I1404">
        <v>0.76802459802762102</v>
      </c>
      <c r="J1404">
        <v>0.80839530621411504</v>
      </c>
      <c r="K1404">
        <v>0.69271001613505001</v>
      </c>
      <c r="L1404">
        <v>971.70928576540598</v>
      </c>
      <c r="M1404">
        <v>18.6371253240589</v>
      </c>
      <c r="O1404">
        <v>51.549240573773702</v>
      </c>
      <c r="P1404">
        <v>-2.5822532601582401E-2</v>
      </c>
      <c r="Q1404">
        <v>0.71431773024100897</v>
      </c>
      <c r="R1404">
        <v>0.78182200384035805</v>
      </c>
      <c r="S1404" t="s">
        <v>7856</v>
      </c>
      <c r="T1404" t="s">
        <v>12902</v>
      </c>
      <c r="U1404" t="s">
        <v>12902</v>
      </c>
      <c r="V1404" t="s">
        <v>12902</v>
      </c>
      <c r="W1404" t="s">
        <v>14279</v>
      </c>
      <c r="X1404">
        <v>16</v>
      </c>
      <c r="Y1404" t="s">
        <v>20664</v>
      </c>
      <c r="Z1404" t="s">
        <v>26979</v>
      </c>
      <c r="AA1404">
        <v>0.83437946659340123</v>
      </c>
      <c r="AB1404" t="str">
        <f>HYPERLINK("Melting_Curves/meltCurve_O15541_RNF113A.pdf", "Melting_Curves/meltCurve_O15541_RNF113A.pdf")</f>
        <v>Melting_Curves/meltCurve_O15541_RNF113A.pdf</v>
      </c>
    </row>
    <row r="1405" spans="1:28" x14ac:dyDescent="0.25">
      <c r="A1405" t="s">
        <v>1409</v>
      </c>
      <c r="B1405">
        <v>0.99673306730245903</v>
      </c>
      <c r="C1405">
        <v>0.95956923885248202</v>
      </c>
      <c r="D1405">
        <v>0.90559892625765703</v>
      </c>
      <c r="E1405">
        <v>0.75704402816419503</v>
      </c>
      <c r="F1405">
        <v>0.60494285557493699</v>
      </c>
      <c r="G1405">
        <v>0.67617542715465995</v>
      </c>
      <c r="H1405">
        <v>0.59101802879921705</v>
      </c>
      <c r="I1405">
        <v>0.81093364122589195</v>
      </c>
      <c r="J1405">
        <v>0.89274322416987495</v>
      </c>
      <c r="K1405">
        <v>0.98464898752900798</v>
      </c>
      <c r="L1405">
        <v>2530.9493507768898</v>
      </c>
      <c r="M1405">
        <v>54.638002305238203</v>
      </c>
      <c r="O1405">
        <v>46.260215204942703</v>
      </c>
      <c r="P1405">
        <v>-7.1195660904585401E-2</v>
      </c>
      <c r="Q1405">
        <v>0.75888396834616101</v>
      </c>
      <c r="R1405">
        <v>0.38326315510152198</v>
      </c>
      <c r="S1405" t="s">
        <v>7857</v>
      </c>
      <c r="T1405" t="s">
        <v>12902</v>
      </c>
      <c r="U1405" t="s">
        <v>12902</v>
      </c>
      <c r="V1405" t="s">
        <v>12902</v>
      </c>
      <c r="W1405" t="s">
        <v>14280</v>
      </c>
      <c r="X1405">
        <v>4</v>
      </c>
      <c r="Y1405" t="s">
        <v>20665</v>
      </c>
      <c r="Z1405" t="s">
        <v>26980</v>
      </c>
      <c r="AA1405">
        <v>0.81010937817793738</v>
      </c>
      <c r="AB1405" t="str">
        <f>HYPERLINK("Melting_Curves/meltCurve_O15551_CLDN3.pdf", "Melting_Curves/meltCurve_O15551_CLDN3.pdf")</f>
        <v>Melting_Curves/meltCurve_O15551_CLDN3.pdf</v>
      </c>
    </row>
    <row r="1406" spans="1:28" x14ac:dyDescent="0.25">
      <c r="A1406" t="s">
        <v>1410</v>
      </c>
      <c r="B1406">
        <v>0.99673306730245903</v>
      </c>
      <c r="C1406">
        <v>0.99922528202306204</v>
      </c>
      <c r="D1406">
        <v>1.0920385373856401</v>
      </c>
      <c r="E1406">
        <v>1.2333672049594999</v>
      </c>
      <c r="F1406">
        <v>1.0201389928081901</v>
      </c>
      <c r="G1406">
        <v>0.62776871529336897</v>
      </c>
      <c r="H1406">
        <v>0.15633143302428601</v>
      </c>
      <c r="I1406">
        <v>0.12314819513304499</v>
      </c>
      <c r="J1406">
        <v>9.9301307319321006E-2</v>
      </c>
      <c r="K1406">
        <v>7.9892170635058504E-2</v>
      </c>
      <c r="L1406">
        <v>3117.3468492624202</v>
      </c>
      <c r="M1406">
        <v>54.518072193442698</v>
      </c>
      <c r="N1406">
        <v>57.4282558393652</v>
      </c>
      <c r="O1406">
        <v>57.103284014173298</v>
      </c>
      <c r="P1406">
        <v>-0.213630547533735</v>
      </c>
      <c r="Q1406">
        <v>0.10495746774024101</v>
      </c>
      <c r="R1406">
        <v>0.96826016461656395</v>
      </c>
      <c r="S1406" t="s">
        <v>7858</v>
      </c>
      <c r="T1406" t="s">
        <v>12902</v>
      </c>
      <c r="U1406" t="s">
        <v>12902</v>
      </c>
      <c r="V1406" t="s">
        <v>12902</v>
      </c>
      <c r="W1406" t="s">
        <v>14281</v>
      </c>
      <c r="X1406">
        <v>47</v>
      </c>
      <c r="Y1406" t="s">
        <v>20666</v>
      </c>
      <c r="Z1406" t="s">
        <v>26981</v>
      </c>
      <c r="AA1406">
        <v>0.61941527421349629</v>
      </c>
      <c r="AB1406" t="str">
        <f>HYPERLINK("Melting_Curves/meltCurve_O43143_DHX15.pdf", "Melting_Curves/meltCurve_O43143_DHX15.pdf")</f>
        <v>Melting_Curves/meltCurve_O43143_DHX15.pdf</v>
      </c>
    </row>
    <row r="1407" spans="1:28" x14ac:dyDescent="0.25">
      <c r="A1407" t="s">
        <v>1411</v>
      </c>
      <c r="B1407">
        <v>0.99673306730245903</v>
      </c>
      <c r="C1407">
        <v>0.95486859442540595</v>
      </c>
      <c r="D1407">
        <v>0.96259982941005395</v>
      </c>
      <c r="E1407">
        <v>0.94603905804397304</v>
      </c>
      <c r="F1407">
        <v>0.77183466917987498</v>
      </c>
      <c r="G1407">
        <v>0.48866510553685499</v>
      </c>
      <c r="H1407">
        <v>0.15002638366325</v>
      </c>
      <c r="I1407">
        <v>0.10106936553488099</v>
      </c>
      <c r="J1407">
        <v>0.108872294139987</v>
      </c>
      <c r="K1407">
        <v>9.7571504916061702E-2</v>
      </c>
      <c r="L1407">
        <v>1326.7386210966999</v>
      </c>
      <c r="M1407">
        <v>23.721609232402599</v>
      </c>
      <c r="N1407">
        <v>56.300940582689897</v>
      </c>
      <c r="O1407">
        <v>55.5366159237578</v>
      </c>
      <c r="P1407">
        <v>-9.9051210916501597E-2</v>
      </c>
      <c r="Q1407">
        <v>7.2427548079079501E-2</v>
      </c>
      <c r="R1407">
        <v>0.99505690550063997</v>
      </c>
      <c r="S1407" t="s">
        <v>7859</v>
      </c>
      <c r="T1407" t="s">
        <v>12902</v>
      </c>
      <c r="U1407" t="s">
        <v>12902</v>
      </c>
      <c r="V1407" t="s">
        <v>12902</v>
      </c>
      <c r="W1407" t="s">
        <v>14282</v>
      </c>
      <c r="X1407">
        <v>19</v>
      </c>
      <c r="Y1407" t="s">
        <v>20667</v>
      </c>
      <c r="Z1407" t="s">
        <v>26982</v>
      </c>
      <c r="AA1407">
        <v>0.5742416742716594</v>
      </c>
      <c r="AB1407" t="str">
        <f>HYPERLINK("Melting_Curves/meltCurve_O43148_RNMT.pdf", "Melting_Curves/meltCurve_O43148_RNMT.pdf")</f>
        <v>Melting_Curves/meltCurve_O43148_RNMT.pdf</v>
      </c>
    </row>
    <row r="1408" spans="1:28" x14ac:dyDescent="0.25">
      <c r="A1408" t="s">
        <v>1412</v>
      </c>
      <c r="B1408">
        <v>0.99673306730245903</v>
      </c>
      <c r="C1408">
        <v>0.94512787140409704</v>
      </c>
      <c r="D1408">
        <v>0.90498769576138105</v>
      </c>
      <c r="E1408">
        <v>0.55903408315123404</v>
      </c>
      <c r="F1408">
        <v>0.30317284160234198</v>
      </c>
      <c r="G1408">
        <v>0.239329733775894</v>
      </c>
      <c r="H1408">
        <v>0.17652801980532901</v>
      </c>
      <c r="I1408">
        <v>0.19700206813791099</v>
      </c>
      <c r="J1408">
        <v>0.20621114423533099</v>
      </c>
      <c r="K1408">
        <v>0.16635867916880301</v>
      </c>
      <c r="L1408">
        <v>1219.9706732627801</v>
      </c>
      <c r="M1408">
        <v>24.724204804808799</v>
      </c>
      <c r="N1408">
        <v>50.301343711196097</v>
      </c>
      <c r="O1408">
        <v>49.023748205834799</v>
      </c>
      <c r="P1408">
        <v>-0.102405526555464</v>
      </c>
      <c r="Q1408">
        <v>0.18780251528875699</v>
      </c>
      <c r="R1408">
        <v>0.99693169065264498</v>
      </c>
      <c r="S1408" t="s">
        <v>7860</v>
      </c>
      <c r="T1408" t="s">
        <v>12902</v>
      </c>
      <c r="U1408" t="s">
        <v>12902</v>
      </c>
      <c r="V1408" t="s">
        <v>12902</v>
      </c>
      <c r="W1408" t="s">
        <v>14283</v>
      </c>
      <c r="X1408">
        <v>1</v>
      </c>
      <c r="Y1408" t="s">
        <v>20668</v>
      </c>
      <c r="Z1408" t="s">
        <v>26983</v>
      </c>
      <c r="AA1408">
        <v>0.44813311562063363</v>
      </c>
      <c r="AB1408" t="str">
        <f>HYPERLINK("Melting_Curves/meltCurve_O43150_2_ASAP2.pdf", "Melting_Curves/meltCurve_O43150_2_ASAP2.pdf")</f>
        <v>Melting_Curves/meltCurve_O43150_2_ASAP2.pdf</v>
      </c>
    </row>
    <row r="1409" spans="1:28" x14ac:dyDescent="0.25">
      <c r="A1409" t="s">
        <v>1413</v>
      </c>
      <c r="B1409">
        <v>0.99673306730245903</v>
      </c>
      <c r="C1409">
        <v>0.91382996034723296</v>
      </c>
      <c r="D1409">
        <v>0.68490591901703501</v>
      </c>
      <c r="E1409">
        <v>0.34945286152447302</v>
      </c>
      <c r="F1409">
        <v>0.25848076418980098</v>
      </c>
      <c r="G1409">
        <v>0.11481691348468601</v>
      </c>
      <c r="H1409">
        <v>5.8021915138286202E-2</v>
      </c>
      <c r="I1409">
        <v>4.6889130432197702E-2</v>
      </c>
      <c r="J1409">
        <v>3.5502916446392203E-2</v>
      </c>
      <c r="K1409">
        <v>3.6593896197820601E-2</v>
      </c>
      <c r="L1409">
        <v>806.364650548383</v>
      </c>
      <c r="M1409">
        <v>16.781420558347701</v>
      </c>
      <c r="N1409">
        <v>48.282451039941499</v>
      </c>
      <c r="O1409">
        <v>47.3842635546888</v>
      </c>
      <c r="P1409">
        <v>-8.5123056701757599E-2</v>
      </c>
      <c r="Q1409">
        <v>3.8643755605733403E-2</v>
      </c>
      <c r="R1409">
        <v>0.993851495496619</v>
      </c>
      <c r="S1409" t="s">
        <v>7861</v>
      </c>
      <c r="T1409" t="s">
        <v>12902</v>
      </c>
      <c r="U1409" t="s">
        <v>12902</v>
      </c>
      <c r="V1409" t="s">
        <v>12902</v>
      </c>
      <c r="W1409" t="s">
        <v>14284</v>
      </c>
      <c r="X1409">
        <v>3</v>
      </c>
      <c r="Y1409" t="s">
        <v>20669</v>
      </c>
      <c r="Z1409" t="s">
        <v>26984</v>
      </c>
      <c r="AA1409">
        <v>0.31632789260779992</v>
      </c>
      <c r="AB1409" t="str">
        <f>HYPERLINK("Melting_Curves/meltCurve_O43156_TTI1.pdf", "Melting_Curves/meltCurve_O43156_TTI1.pdf")</f>
        <v>Melting_Curves/meltCurve_O43156_TTI1.pdf</v>
      </c>
    </row>
    <row r="1410" spans="1:28" x14ac:dyDescent="0.25">
      <c r="A1410" t="s">
        <v>1414</v>
      </c>
      <c r="B1410">
        <v>0.99673306730245903</v>
      </c>
      <c r="C1410">
        <v>0.91192664637749599</v>
      </c>
      <c r="D1410">
        <v>0.89484193437304105</v>
      </c>
      <c r="E1410">
        <v>0.69170606384366395</v>
      </c>
      <c r="F1410">
        <v>0.44518545711853502</v>
      </c>
      <c r="G1410">
        <v>0.27158820625300201</v>
      </c>
      <c r="H1410">
        <v>0.198078661817328</v>
      </c>
      <c r="I1410">
        <v>0.230753689654419</v>
      </c>
      <c r="J1410">
        <v>0.24682202696046299</v>
      </c>
      <c r="K1410">
        <v>0.211516177734417</v>
      </c>
      <c r="L1410">
        <v>948.05682199671196</v>
      </c>
      <c r="M1410">
        <v>18.724347018875701</v>
      </c>
      <c r="N1410">
        <v>52.092110424126197</v>
      </c>
      <c r="O1410">
        <v>50.065389950408097</v>
      </c>
      <c r="P1410">
        <v>-7.4415584508651697E-2</v>
      </c>
      <c r="Q1410">
        <v>0.204140378772836</v>
      </c>
      <c r="R1410">
        <v>0.99218343054941704</v>
      </c>
      <c r="S1410" t="s">
        <v>7862</v>
      </c>
      <c r="T1410" t="s">
        <v>12902</v>
      </c>
      <c r="U1410" t="s">
        <v>12902</v>
      </c>
      <c r="V1410" t="s">
        <v>12902</v>
      </c>
      <c r="W1410" t="s">
        <v>14285</v>
      </c>
      <c r="X1410">
        <v>14</v>
      </c>
      <c r="Y1410" t="s">
        <v>20670</v>
      </c>
      <c r="Z1410" t="s">
        <v>26985</v>
      </c>
      <c r="AA1410">
        <v>0.49871978473110901</v>
      </c>
      <c r="AB1410" t="str">
        <f>HYPERLINK("Melting_Curves/meltCurve_O43157_2_PLXNB1.pdf", "Melting_Curves/meltCurve_O43157_2_PLXNB1.pdf")</f>
        <v>Melting_Curves/meltCurve_O43157_2_PLXNB1.pdf</v>
      </c>
    </row>
    <row r="1411" spans="1:28" x14ac:dyDescent="0.25">
      <c r="A1411" t="s">
        <v>1415</v>
      </c>
      <c r="B1411">
        <v>0.99673306730245903</v>
      </c>
      <c r="C1411">
        <v>0.87182018706201903</v>
      </c>
      <c r="D1411">
        <v>0.61898928788710705</v>
      </c>
      <c r="E1411">
        <v>0.58578419414128202</v>
      </c>
      <c r="F1411">
        <v>0.49784929382241799</v>
      </c>
      <c r="G1411">
        <v>0.35925969479228298</v>
      </c>
      <c r="H1411">
        <v>0.27800716670556702</v>
      </c>
      <c r="I1411">
        <v>0.37027808553819003</v>
      </c>
      <c r="J1411">
        <v>0.54164742302257096</v>
      </c>
      <c r="K1411">
        <v>0.51326581226179402</v>
      </c>
      <c r="L1411">
        <v>887.30694333066401</v>
      </c>
      <c r="M1411">
        <v>19.550409968760999</v>
      </c>
      <c r="N1411">
        <v>50.222390067283897</v>
      </c>
      <c r="O1411">
        <v>44.918744126465398</v>
      </c>
      <c r="P1411">
        <v>-6.2685171540924706E-2</v>
      </c>
      <c r="Q1411">
        <v>0.42392227833271201</v>
      </c>
      <c r="R1411">
        <v>0.85900065748424503</v>
      </c>
      <c r="S1411" t="s">
        <v>7863</v>
      </c>
      <c r="T1411" t="s">
        <v>12902</v>
      </c>
      <c r="U1411" t="s">
        <v>12902</v>
      </c>
      <c r="V1411" t="s">
        <v>12902</v>
      </c>
      <c r="W1411" t="s">
        <v>14286</v>
      </c>
      <c r="X1411">
        <v>2</v>
      </c>
      <c r="Y1411" t="s">
        <v>20671</v>
      </c>
      <c r="Z1411" t="s">
        <v>26986</v>
      </c>
      <c r="AA1411">
        <v>0.53721532001460892</v>
      </c>
      <c r="AB1411" t="str">
        <f>HYPERLINK("Melting_Curves/meltCurve_O43164_2_PJA2.pdf", "Melting_Curves/meltCurve_O43164_2_PJA2.pdf")</f>
        <v>Melting_Curves/meltCurve_O43164_2_PJA2.pdf</v>
      </c>
    </row>
    <row r="1412" spans="1:28" x14ac:dyDescent="0.25">
      <c r="A1412" t="s">
        <v>1416</v>
      </c>
      <c r="B1412">
        <v>0.99673306730245903</v>
      </c>
      <c r="C1412">
        <v>0.96352023099580397</v>
      </c>
      <c r="D1412">
        <v>1.0956641308008599</v>
      </c>
      <c r="E1412">
        <v>0.76503090639877702</v>
      </c>
      <c r="F1412">
        <v>0.37361610535788797</v>
      </c>
      <c r="G1412">
        <v>0.23576456457094999</v>
      </c>
      <c r="H1412">
        <v>0.145390185719561</v>
      </c>
      <c r="I1412">
        <v>0.111586027348023</v>
      </c>
      <c r="J1412">
        <v>0.11643427392853101</v>
      </c>
      <c r="K1412">
        <v>0.1057822637855</v>
      </c>
      <c r="L1412">
        <v>1477.29693789209</v>
      </c>
      <c r="M1412">
        <v>28.634854211434</v>
      </c>
      <c r="N1412">
        <v>52.1157071428986</v>
      </c>
      <c r="O1412">
        <v>51.341239714308699</v>
      </c>
      <c r="P1412">
        <v>-0.12196963522019499</v>
      </c>
      <c r="Q1412">
        <v>0.12525897666953001</v>
      </c>
      <c r="R1412">
        <v>0.98696145728433504</v>
      </c>
      <c r="S1412" t="s">
        <v>7864</v>
      </c>
      <c r="T1412" t="s">
        <v>12902</v>
      </c>
      <c r="U1412" t="s">
        <v>12902</v>
      </c>
      <c r="V1412" t="s">
        <v>12902</v>
      </c>
      <c r="W1412" t="s">
        <v>14287</v>
      </c>
      <c r="X1412">
        <v>10</v>
      </c>
      <c r="Y1412" t="s">
        <v>20672</v>
      </c>
      <c r="Z1412" t="s">
        <v>26987</v>
      </c>
      <c r="AA1412">
        <v>0.46931714192341889</v>
      </c>
      <c r="AB1412" t="str">
        <f>HYPERLINK("Melting_Curves/meltCurve_O43172_2_PRPF4.pdf", "Melting_Curves/meltCurve_O43172_2_PRPF4.pdf")</f>
        <v>Melting_Curves/meltCurve_O43172_2_PRPF4.pdf</v>
      </c>
    </row>
    <row r="1413" spans="1:28" x14ac:dyDescent="0.25">
      <c r="A1413" t="s">
        <v>1417</v>
      </c>
      <c r="B1413">
        <v>0.99673306730245903</v>
      </c>
      <c r="C1413">
        <v>1.08453446605669</v>
      </c>
      <c r="D1413">
        <v>0.90615453646345601</v>
      </c>
      <c r="E1413">
        <v>1.2447451498426301</v>
      </c>
      <c r="F1413">
        <v>0.88380282242143904</v>
      </c>
      <c r="G1413">
        <v>0.78708431873932505</v>
      </c>
      <c r="H1413">
        <v>0.239649727043836</v>
      </c>
      <c r="I1413">
        <v>7.83562377673621E-2</v>
      </c>
      <c r="J1413">
        <v>6.20945690074605E-2</v>
      </c>
      <c r="K1413">
        <v>5.4337581747143801E-2</v>
      </c>
      <c r="L1413">
        <v>2133.2821375481999</v>
      </c>
      <c r="M1413">
        <v>36.415660515950798</v>
      </c>
      <c r="N1413">
        <v>58.738237261046102</v>
      </c>
      <c r="O1413">
        <v>58.405629411236603</v>
      </c>
      <c r="P1413">
        <v>-0.14865533728924599</v>
      </c>
      <c r="Q1413">
        <v>4.63133531294007E-2</v>
      </c>
      <c r="R1413">
        <v>0.95707090350007795</v>
      </c>
      <c r="S1413" t="s">
        <v>7865</v>
      </c>
      <c r="T1413" t="s">
        <v>12902</v>
      </c>
      <c r="U1413" t="s">
        <v>12902</v>
      </c>
      <c r="V1413" t="s">
        <v>12902</v>
      </c>
      <c r="W1413" t="s">
        <v>14288</v>
      </c>
      <c r="X1413">
        <v>37</v>
      </c>
      <c r="Y1413" t="s">
        <v>20673</v>
      </c>
      <c r="Z1413" t="s">
        <v>26988</v>
      </c>
      <c r="AA1413">
        <v>0.64147276783554841</v>
      </c>
      <c r="AB1413" t="str">
        <f>HYPERLINK("Melting_Curves/meltCurve_O43175_PHGDH.pdf", "Melting_Curves/meltCurve_O43175_PHGDH.pdf")</f>
        <v>Melting_Curves/meltCurve_O43175_PHGDH.pdf</v>
      </c>
    </row>
    <row r="1414" spans="1:28" x14ac:dyDescent="0.25">
      <c r="A1414" t="s">
        <v>1418</v>
      </c>
      <c r="B1414">
        <v>0.99673306730245903</v>
      </c>
      <c r="C1414">
        <v>1.02794152134615</v>
      </c>
      <c r="D1414">
        <v>1.06754978323591</v>
      </c>
      <c r="E1414">
        <v>1.2706124403171499</v>
      </c>
      <c r="F1414">
        <v>1.29512141235933</v>
      </c>
      <c r="G1414">
        <v>1.2508175574338201</v>
      </c>
      <c r="H1414">
        <v>1.0372063158898099</v>
      </c>
      <c r="I1414">
        <v>1.8003338898519801</v>
      </c>
      <c r="J1414">
        <v>2.4661691628643099</v>
      </c>
      <c r="K1414">
        <v>2.51785801948281</v>
      </c>
      <c r="L1414">
        <v>925.71763572226598</v>
      </c>
      <c r="M1414">
        <v>18.056340479739099</v>
      </c>
      <c r="O1414">
        <v>50.651854518949598</v>
      </c>
      <c r="P1414">
        <v>4.45620911975773E-2</v>
      </c>
      <c r="Q1414">
        <v>1.5</v>
      </c>
      <c r="R1414">
        <v>0.24833646769675899</v>
      </c>
      <c r="S1414" t="s">
        <v>7866</v>
      </c>
      <c r="T1414" t="s">
        <v>12902</v>
      </c>
      <c r="U1414" t="s">
        <v>12902</v>
      </c>
      <c r="V1414" t="s">
        <v>12902</v>
      </c>
      <c r="W1414" t="s">
        <v>14289</v>
      </c>
      <c r="X1414">
        <v>4</v>
      </c>
      <c r="Y1414" t="s">
        <v>20674</v>
      </c>
      <c r="Z1414" t="s">
        <v>26989</v>
      </c>
      <c r="AA1414">
        <v>1.3038436534260289</v>
      </c>
      <c r="AB1414" t="str">
        <f>HYPERLINK("Melting_Curves/meltCurve_O43181_NDUFS4.pdf", "Melting_Curves/meltCurve_O43181_NDUFS4.pdf")</f>
        <v>Melting_Curves/meltCurve_O43181_NDUFS4.pdf</v>
      </c>
    </row>
    <row r="1415" spans="1:28" x14ac:dyDescent="0.25">
      <c r="A1415" t="s">
        <v>1419</v>
      </c>
      <c r="B1415">
        <v>0.99673306730245903</v>
      </c>
      <c r="C1415">
        <v>0.93983983598284904</v>
      </c>
      <c r="D1415">
        <v>1.08540061877973</v>
      </c>
      <c r="E1415">
        <v>1.22214088190158</v>
      </c>
      <c r="F1415">
        <v>0.367810336705861</v>
      </c>
      <c r="G1415">
        <v>0.18856223222573901</v>
      </c>
      <c r="H1415">
        <v>0.120361911354705</v>
      </c>
      <c r="I1415">
        <v>0.108223485056489</v>
      </c>
      <c r="J1415">
        <v>0.10701230610324899</v>
      </c>
      <c r="K1415">
        <v>0.100742937111509</v>
      </c>
      <c r="L1415">
        <v>13249.096729046099</v>
      </c>
      <c r="M1415">
        <v>250</v>
      </c>
      <c r="N1415">
        <v>53.057431283694399</v>
      </c>
      <c r="O1415">
        <v>52.9929955445212</v>
      </c>
      <c r="P1415">
        <v>-1.0319989428286001</v>
      </c>
      <c r="Q1415">
        <v>0.124980555710019</v>
      </c>
      <c r="R1415">
        <v>0.96763729692782596</v>
      </c>
      <c r="S1415" t="s">
        <v>7867</v>
      </c>
      <c r="T1415" t="s">
        <v>12902</v>
      </c>
      <c r="U1415" t="s">
        <v>12902</v>
      </c>
      <c r="V1415" t="s">
        <v>12902</v>
      </c>
      <c r="W1415" t="s">
        <v>14290</v>
      </c>
      <c r="X1415">
        <v>14</v>
      </c>
      <c r="Y1415" t="s">
        <v>20675</v>
      </c>
      <c r="Z1415" t="s">
        <v>26990</v>
      </c>
      <c r="AA1415">
        <v>0.50413164794601828</v>
      </c>
      <c r="AB1415" t="str">
        <f>HYPERLINK("Melting_Curves/meltCurve_O43237_DYNC1LI2.pdf", "Melting_Curves/meltCurve_O43237_DYNC1LI2.pdf")</f>
        <v>Melting_Curves/meltCurve_O43237_DYNC1LI2.pdf</v>
      </c>
    </row>
    <row r="1416" spans="1:28" x14ac:dyDescent="0.25">
      <c r="A1416" t="s">
        <v>1420</v>
      </c>
      <c r="B1416">
        <v>0.99673306730245903</v>
      </c>
      <c r="C1416">
        <v>0.88495485723654199</v>
      </c>
      <c r="D1416">
        <v>0.95277969185793399</v>
      </c>
      <c r="E1416">
        <v>1.00454452501416</v>
      </c>
      <c r="F1416">
        <v>0.720905522046692</v>
      </c>
      <c r="G1416">
        <v>0.30556277519144398</v>
      </c>
      <c r="H1416">
        <v>0.112248405169859</v>
      </c>
      <c r="I1416">
        <v>8.7246144199438394E-2</v>
      </c>
      <c r="J1416">
        <v>9.1684062717817802E-2</v>
      </c>
      <c r="K1416">
        <v>8.8336130326995901E-2</v>
      </c>
      <c r="L1416">
        <v>1759.3048514124</v>
      </c>
      <c r="M1416">
        <v>32.179154047140003</v>
      </c>
      <c r="N1416">
        <v>54.989597912126499</v>
      </c>
      <c r="O1416">
        <v>54.462324413026501</v>
      </c>
      <c r="P1416">
        <v>-0.13519388746976399</v>
      </c>
      <c r="Q1416">
        <v>8.47565058069224E-2</v>
      </c>
      <c r="R1416">
        <v>0.98931071597314502</v>
      </c>
      <c r="S1416" t="s">
        <v>7868</v>
      </c>
      <c r="T1416" t="s">
        <v>12902</v>
      </c>
      <c r="U1416" t="s">
        <v>12902</v>
      </c>
      <c r="V1416" t="s">
        <v>12902</v>
      </c>
      <c r="W1416" t="s">
        <v>14291</v>
      </c>
      <c r="X1416">
        <v>33</v>
      </c>
      <c r="Y1416" t="s">
        <v>20676</v>
      </c>
      <c r="Z1416" t="s">
        <v>26991</v>
      </c>
      <c r="AA1416">
        <v>0.53766911201733691</v>
      </c>
      <c r="AB1416" t="str">
        <f>HYPERLINK("Melting_Curves/meltCurve_O43242_PSMD3.pdf", "Melting_Curves/meltCurve_O43242_PSMD3.pdf")</f>
        <v>Melting_Curves/meltCurve_O43242_PSMD3.pdf</v>
      </c>
    </row>
    <row r="1417" spans="1:28" x14ac:dyDescent="0.25">
      <c r="A1417" t="s">
        <v>1421</v>
      </c>
      <c r="B1417">
        <v>0.99673306730245903</v>
      </c>
      <c r="C1417">
        <v>0.96955631787282803</v>
      </c>
      <c r="D1417">
        <v>1.01780961286586</v>
      </c>
      <c r="E1417">
        <v>1.04352729925945</v>
      </c>
      <c r="F1417">
        <v>0.89284829705145596</v>
      </c>
      <c r="G1417">
        <v>0.27237409135899598</v>
      </c>
      <c r="H1417">
        <v>0.11127455779244599</v>
      </c>
      <c r="I1417">
        <v>9.61365619471031E-2</v>
      </c>
      <c r="J1417">
        <v>9.8160667562809001E-2</v>
      </c>
      <c r="K1417">
        <v>8.2194715306974697E-2</v>
      </c>
      <c r="L1417">
        <v>2884.1971045834298</v>
      </c>
      <c r="M1417">
        <v>52.187562389603201</v>
      </c>
      <c r="N1417">
        <v>55.489322925873303</v>
      </c>
      <c r="O1417">
        <v>55.185015588072297</v>
      </c>
      <c r="P1417">
        <v>-0.21402386862556799</v>
      </c>
      <c r="Q1417">
        <v>9.4734321668544605E-2</v>
      </c>
      <c r="R1417">
        <v>0.99805372287779004</v>
      </c>
      <c r="S1417" t="s">
        <v>7869</v>
      </c>
      <c r="T1417" t="s">
        <v>12902</v>
      </c>
      <c r="U1417" t="s">
        <v>12902</v>
      </c>
      <c r="V1417" t="s">
        <v>12902</v>
      </c>
      <c r="W1417" t="s">
        <v>14292</v>
      </c>
      <c r="X1417">
        <v>25</v>
      </c>
      <c r="Y1417" t="s">
        <v>20677</v>
      </c>
      <c r="Z1417" t="s">
        <v>26992</v>
      </c>
      <c r="AA1417">
        <v>0.55741731240148762</v>
      </c>
      <c r="AB1417" t="str">
        <f>HYPERLINK("Melting_Curves/meltCurve_O43252_PAPSS1.pdf", "Melting_Curves/meltCurve_O43252_PAPSS1.pdf")</f>
        <v>Melting_Curves/meltCurve_O43252_PAPSS1.pdf</v>
      </c>
    </row>
    <row r="1418" spans="1:28" x14ac:dyDescent="0.25">
      <c r="A1418" t="s">
        <v>1422</v>
      </c>
      <c r="B1418">
        <v>0.99673306730245903</v>
      </c>
      <c r="C1418">
        <v>0.89395665710721395</v>
      </c>
      <c r="D1418">
        <v>0.70213006047537296</v>
      </c>
      <c r="E1418">
        <v>0.36151282702897802</v>
      </c>
      <c r="F1418">
        <v>0.13458485493188299</v>
      </c>
      <c r="G1418">
        <v>7.8745169476327703E-2</v>
      </c>
      <c r="H1418">
        <v>4.77480025422517E-2</v>
      </c>
      <c r="I1418">
        <v>4.2432770203427103E-2</v>
      </c>
      <c r="J1418">
        <v>4.5868069195698698E-2</v>
      </c>
      <c r="K1418">
        <v>3.6837579808836902E-2</v>
      </c>
      <c r="L1418">
        <v>951.23043043084397</v>
      </c>
      <c r="M1418">
        <v>19.889848589425501</v>
      </c>
      <c r="N1418">
        <v>48.003999094128801</v>
      </c>
      <c r="O1418">
        <v>47.349345141834299</v>
      </c>
      <c r="P1418">
        <v>-0.10126474629234899</v>
      </c>
      <c r="Q1418">
        <v>3.5757214208523201E-2</v>
      </c>
      <c r="R1418">
        <v>0.99931572000998903</v>
      </c>
      <c r="S1418" t="s">
        <v>7870</v>
      </c>
      <c r="T1418" t="s">
        <v>12902</v>
      </c>
      <c r="U1418" t="s">
        <v>12902</v>
      </c>
      <c r="V1418" t="s">
        <v>12902</v>
      </c>
      <c r="W1418" t="s">
        <v>14293</v>
      </c>
      <c r="X1418">
        <v>7</v>
      </c>
      <c r="Y1418" t="s">
        <v>20678</v>
      </c>
      <c r="Z1418" t="s">
        <v>26993</v>
      </c>
      <c r="AA1418">
        <v>0.30118071903576848</v>
      </c>
      <c r="AB1418" t="str">
        <f>HYPERLINK("Melting_Curves/meltCurve_O43264_ZW10.pdf", "Melting_Curves/meltCurve_O43264_ZW10.pdf")</f>
        <v>Melting_Curves/meltCurve_O43264_ZW10.pdf</v>
      </c>
    </row>
    <row r="1419" spans="1:28" x14ac:dyDescent="0.25">
      <c r="A1419" t="s">
        <v>1423</v>
      </c>
      <c r="B1419">
        <v>0.99673306730245903</v>
      </c>
      <c r="C1419">
        <v>0.91263446390343195</v>
      </c>
      <c r="D1419">
        <v>0.96611528812687397</v>
      </c>
      <c r="E1419">
        <v>0.85045469105728999</v>
      </c>
      <c r="F1419">
        <v>0.68399755774819904</v>
      </c>
      <c r="G1419">
        <v>0.52234693434763002</v>
      </c>
      <c r="H1419">
        <v>0.38136714654819498</v>
      </c>
      <c r="I1419">
        <v>0.36320014355611602</v>
      </c>
      <c r="J1419">
        <v>0.340571678051516</v>
      </c>
      <c r="K1419">
        <v>0.24460009193294199</v>
      </c>
      <c r="L1419">
        <v>706.436549050248</v>
      </c>
      <c r="M1419">
        <v>12.9257203843721</v>
      </c>
      <c r="N1419">
        <v>57.567100629117498</v>
      </c>
      <c r="O1419">
        <v>53.394995442815798</v>
      </c>
      <c r="P1419">
        <v>-4.5998952031458103E-2</v>
      </c>
      <c r="Q1419">
        <v>0.24006709696689099</v>
      </c>
      <c r="R1419">
        <v>0.98801755722684603</v>
      </c>
      <c r="S1419" t="s">
        <v>7871</v>
      </c>
      <c r="T1419" t="s">
        <v>12902</v>
      </c>
      <c r="U1419" t="s">
        <v>12902</v>
      </c>
      <c r="V1419" t="s">
        <v>12902</v>
      </c>
      <c r="W1419" t="s">
        <v>14294</v>
      </c>
      <c r="X1419">
        <v>28</v>
      </c>
      <c r="Y1419" t="s">
        <v>19963</v>
      </c>
      <c r="Z1419" t="s">
        <v>26994</v>
      </c>
      <c r="AA1419">
        <v>0.62869578019952421</v>
      </c>
      <c r="AB1419" t="str">
        <f>HYPERLINK("Melting_Curves/meltCurve_O43278_2_SPINT1.pdf", "Melting_Curves/meltCurve_O43278_2_SPINT1.pdf")</f>
        <v>Melting_Curves/meltCurve_O43278_2_SPINT1.pdf</v>
      </c>
    </row>
    <row r="1420" spans="1:28" x14ac:dyDescent="0.25">
      <c r="A1420" t="s">
        <v>1424</v>
      </c>
      <c r="B1420">
        <v>0.99673306730245903</v>
      </c>
      <c r="C1420">
        <v>0.98593459925665605</v>
      </c>
      <c r="D1420">
        <v>0.87989787581659595</v>
      </c>
      <c r="E1420">
        <v>0.65538059473286903</v>
      </c>
      <c r="F1420">
        <v>0.16795678742599099</v>
      </c>
      <c r="G1420">
        <v>9.8035041700205799E-2</v>
      </c>
      <c r="H1420">
        <v>5.0894727113590499E-2</v>
      </c>
      <c r="I1420">
        <v>3.6293830182506398E-2</v>
      </c>
      <c r="J1420">
        <v>3.22322812318733E-2</v>
      </c>
      <c r="K1420">
        <v>1.2514137377746801E-2</v>
      </c>
      <c r="L1420">
        <v>1401.53691674485</v>
      </c>
      <c r="M1420">
        <v>27.823357474734198</v>
      </c>
      <c r="N1420">
        <v>50.487104899707703</v>
      </c>
      <c r="O1420">
        <v>50.114622490693201</v>
      </c>
      <c r="P1420">
        <v>-0.13455850122322499</v>
      </c>
      <c r="Q1420">
        <v>3.0557199859034798E-2</v>
      </c>
      <c r="R1420">
        <v>0.99548464803234105</v>
      </c>
      <c r="S1420" t="s">
        <v>7872</v>
      </c>
      <c r="T1420" t="s">
        <v>12902</v>
      </c>
      <c r="U1420" t="s">
        <v>12902</v>
      </c>
      <c r="V1420" t="s">
        <v>12902</v>
      </c>
      <c r="W1420" t="s">
        <v>14295</v>
      </c>
      <c r="X1420">
        <v>1</v>
      </c>
      <c r="Y1420" t="s">
        <v>20679</v>
      </c>
      <c r="Z1420" t="s">
        <v>26995</v>
      </c>
      <c r="AA1420">
        <v>0.37276811342107252</v>
      </c>
      <c r="AB1420" t="str">
        <f>HYPERLINK("Melting_Curves/meltCurve_O43286_B4GALT5.pdf", "Melting_Curves/meltCurve_O43286_B4GALT5.pdf")</f>
        <v>Melting_Curves/meltCurve_O43286_B4GALT5.pdf</v>
      </c>
    </row>
    <row r="1421" spans="1:28" x14ac:dyDescent="0.25">
      <c r="A1421" t="s">
        <v>1425</v>
      </c>
      <c r="B1421">
        <v>0.99673306730245903</v>
      </c>
      <c r="C1421">
        <v>0.96654953291761503</v>
      </c>
      <c r="D1421">
        <v>1.1314533275685601</v>
      </c>
      <c r="E1421">
        <v>1.03923782453448</v>
      </c>
      <c r="F1421">
        <v>0.82105676321129695</v>
      </c>
      <c r="G1421">
        <v>0.63163914673210697</v>
      </c>
      <c r="H1421">
        <v>0.46305366475774001</v>
      </c>
      <c r="I1421">
        <v>0.65469533364812904</v>
      </c>
      <c r="J1421">
        <v>1.0903462565498201</v>
      </c>
      <c r="K1421">
        <v>1.26021500920053</v>
      </c>
      <c r="L1421">
        <v>13028.782289909799</v>
      </c>
      <c r="M1421">
        <v>250</v>
      </c>
      <c r="O1421">
        <v>52.111787878185503</v>
      </c>
      <c r="P1421">
        <v>-0.215899317034313</v>
      </c>
      <c r="Q1421">
        <v>0.81998558795235899</v>
      </c>
      <c r="R1421">
        <v>0.18002266623200999</v>
      </c>
      <c r="S1421" t="s">
        <v>7873</v>
      </c>
      <c r="T1421" t="s">
        <v>12902</v>
      </c>
      <c r="U1421" t="s">
        <v>12902</v>
      </c>
      <c r="V1421" t="s">
        <v>12902</v>
      </c>
      <c r="W1421" t="s">
        <v>14296</v>
      </c>
      <c r="X1421">
        <v>34</v>
      </c>
      <c r="Y1421" t="s">
        <v>20680</v>
      </c>
      <c r="Z1421" t="s">
        <v>26996</v>
      </c>
      <c r="AA1421">
        <v>0.89269864737893068</v>
      </c>
      <c r="AB1421" t="str">
        <f>HYPERLINK("Melting_Curves/meltCurve_O43290_SART1.pdf", "Melting_Curves/meltCurve_O43290_SART1.pdf")</f>
        <v>Melting_Curves/meltCurve_O43290_SART1.pdf</v>
      </c>
    </row>
    <row r="1422" spans="1:28" x14ac:dyDescent="0.25">
      <c r="A1422" t="s">
        <v>1426</v>
      </c>
      <c r="B1422">
        <v>0.99673306730245903</v>
      </c>
      <c r="C1422">
        <v>1.1941962333462699</v>
      </c>
      <c r="D1422">
        <v>0.41855551413030401</v>
      </c>
      <c r="E1422">
        <v>0.70586209078928397</v>
      </c>
      <c r="F1422">
        <v>0.46847362135781301</v>
      </c>
      <c r="G1422">
        <v>0.33350650724173497</v>
      </c>
      <c r="H1422">
        <v>0.23178181217348401</v>
      </c>
      <c r="I1422">
        <v>0.2198958427744</v>
      </c>
      <c r="J1422">
        <v>0.22604828745035499</v>
      </c>
      <c r="K1422">
        <v>0.19600832013018701</v>
      </c>
      <c r="L1422">
        <v>607.12937732631406</v>
      </c>
      <c r="M1422">
        <v>12.2470477870312</v>
      </c>
      <c r="N1422">
        <v>51.486087700074698</v>
      </c>
      <c r="O1422">
        <v>48.307378959915098</v>
      </c>
      <c r="P1422">
        <v>-5.1809042040726699E-2</v>
      </c>
      <c r="Q1422">
        <v>0.18275742396927699</v>
      </c>
      <c r="R1422">
        <v>0.79299399112156199</v>
      </c>
      <c r="S1422" t="s">
        <v>7874</v>
      </c>
      <c r="T1422" t="s">
        <v>12902</v>
      </c>
      <c r="U1422" t="s">
        <v>12902</v>
      </c>
      <c r="V1422" t="s">
        <v>12902</v>
      </c>
      <c r="W1422" t="s">
        <v>14297</v>
      </c>
      <c r="X1422">
        <v>7</v>
      </c>
      <c r="Y1422" t="s">
        <v>20681</v>
      </c>
      <c r="Z1422" t="s">
        <v>26997</v>
      </c>
      <c r="AA1422">
        <v>0.47162125279292039</v>
      </c>
      <c r="AB1422" t="str">
        <f>HYPERLINK("Melting_Curves/meltCurve_O43291_SPINT2.pdf", "Melting_Curves/meltCurve_O43291_SPINT2.pdf")</f>
        <v>Melting_Curves/meltCurve_O43291_SPINT2.pdf</v>
      </c>
    </row>
    <row r="1423" spans="1:28" x14ac:dyDescent="0.25">
      <c r="A1423" t="s">
        <v>1427</v>
      </c>
      <c r="B1423">
        <v>0.99673306730245903</v>
      </c>
      <c r="C1423">
        <v>0.90942081800256702</v>
      </c>
      <c r="D1423">
        <v>0.89868986874008105</v>
      </c>
      <c r="E1423">
        <v>0.76380796531748596</v>
      </c>
      <c r="F1423">
        <v>0.31238217583466199</v>
      </c>
      <c r="G1423">
        <v>0.140418684909103</v>
      </c>
      <c r="H1423">
        <v>6.6548739551973699E-2</v>
      </c>
      <c r="I1423">
        <v>3.82549652635297E-2</v>
      </c>
      <c r="J1423">
        <v>3.6897074113642597E-2</v>
      </c>
      <c r="K1423">
        <v>3.3138049988667997E-2</v>
      </c>
      <c r="L1423">
        <v>1209.46810088494</v>
      </c>
      <c r="M1423">
        <v>23.482611957547999</v>
      </c>
      <c r="N1423">
        <v>51.653003313167801</v>
      </c>
      <c r="O1423">
        <v>51.135690480219402</v>
      </c>
      <c r="P1423">
        <v>-0.111068065316881</v>
      </c>
      <c r="Q1423">
        <v>3.2570369335977602E-2</v>
      </c>
      <c r="R1423">
        <v>0.99246697259337602</v>
      </c>
      <c r="S1423" t="s">
        <v>7875</v>
      </c>
      <c r="T1423" t="s">
        <v>12902</v>
      </c>
      <c r="U1423" t="s">
        <v>12902</v>
      </c>
      <c r="V1423" t="s">
        <v>12902</v>
      </c>
      <c r="W1423" t="s">
        <v>14298</v>
      </c>
      <c r="X1423">
        <v>6</v>
      </c>
      <c r="Y1423" t="s">
        <v>20682</v>
      </c>
      <c r="Z1423" t="s">
        <v>26998</v>
      </c>
      <c r="AA1423">
        <v>0.41349292433942131</v>
      </c>
      <c r="AB1423" t="str">
        <f>HYPERLINK("Melting_Curves/meltCurve_O43292_GPAA1.pdf", "Melting_Curves/meltCurve_O43292_GPAA1.pdf")</f>
        <v>Melting_Curves/meltCurve_O43292_GPAA1.pdf</v>
      </c>
    </row>
    <row r="1424" spans="1:28" x14ac:dyDescent="0.25">
      <c r="A1424" t="s">
        <v>1428</v>
      </c>
      <c r="B1424">
        <v>0.99673306730245903</v>
      </c>
      <c r="C1424">
        <v>0.91487619212542703</v>
      </c>
      <c r="D1424">
        <v>0.89066928398335798</v>
      </c>
      <c r="E1424">
        <v>0.76947821030463504</v>
      </c>
      <c r="F1424">
        <v>0.59574049594240297</v>
      </c>
      <c r="G1424">
        <v>0.422318229974466</v>
      </c>
      <c r="H1424">
        <v>0.33246554185167898</v>
      </c>
      <c r="I1424">
        <v>0.307739230933474</v>
      </c>
      <c r="J1424">
        <v>0.216705869442993</v>
      </c>
      <c r="K1424">
        <v>0.28198653943966701</v>
      </c>
      <c r="L1424">
        <v>661.25143565223698</v>
      </c>
      <c r="M1424">
        <v>12.537793088040001</v>
      </c>
      <c r="N1424">
        <v>55.160929404410602</v>
      </c>
      <c r="O1424">
        <v>51.452895367519901</v>
      </c>
      <c r="P1424">
        <v>-4.80406332712566E-2</v>
      </c>
      <c r="Q1424">
        <v>0.211559140623783</v>
      </c>
      <c r="R1424">
        <v>0.99205601484164296</v>
      </c>
      <c r="S1424" t="s">
        <v>7876</v>
      </c>
      <c r="T1424" t="s">
        <v>12902</v>
      </c>
      <c r="U1424" t="s">
        <v>12902</v>
      </c>
      <c r="V1424" t="s">
        <v>12902</v>
      </c>
      <c r="W1424" t="s">
        <v>14299</v>
      </c>
      <c r="X1424">
        <v>3</v>
      </c>
      <c r="Y1424" t="s">
        <v>20683</v>
      </c>
      <c r="Z1424" t="s">
        <v>26999</v>
      </c>
      <c r="AA1424">
        <v>0.56813587437642643</v>
      </c>
      <c r="AB1424" t="str">
        <f>HYPERLINK("Melting_Curves/meltCurve_O43298_ZBTB43.pdf", "Melting_Curves/meltCurve_O43298_ZBTB43.pdf")</f>
        <v>Melting_Curves/meltCurve_O43298_ZBTB43.pdf</v>
      </c>
    </row>
    <row r="1425" spans="1:28" x14ac:dyDescent="0.25">
      <c r="A1425" t="s">
        <v>1429</v>
      </c>
      <c r="B1425">
        <v>0.99673306730245903</v>
      </c>
      <c r="C1425">
        <v>0.956777606838765</v>
      </c>
      <c r="D1425">
        <v>0.98252327049660404</v>
      </c>
      <c r="E1425">
        <v>0.931348964687436</v>
      </c>
      <c r="F1425">
        <v>0.56148287346846104</v>
      </c>
      <c r="G1425">
        <v>0.16252250678914701</v>
      </c>
      <c r="H1425">
        <v>9.1811551187797602E-2</v>
      </c>
      <c r="I1425">
        <v>7.7531804040170002E-2</v>
      </c>
      <c r="J1425">
        <v>9.5791790918613104E-2</v>
      </c>
      <c r="K1425">
        <v>8.6347022054254693E-2</v>
      </c>
      <c r="L1425">
        <v>1927.9719201513999</v>
      </c>
      <c r="M1425">
        <v>36.179137446475103</v>
      </c>
      <c r="N1425">
        <v>53.558547445017602</v>
      </c>
      <c r="O1425">
        <v>53.127598867410001</v>
      </c>
      <c r="P1425">
        <v>-0.15610562708744799</v>
      </c>
      <c r="Q1425">
        <v>8.3063988602086497E-2</v>
      </c>
      <c r="R1425">
        <v>0.99848938615485705</v>
      </c>
      <c r="S1425" t="s">
        <v>7877</v>
      </c>
      <c r="T1425" t="s">
        <v>12902</v>
      </c>
      <c r="U1425" t="s">
        <v>12902</v>
      </c>
      <c r="V1425" t="s">
        <v>12902</v>
      </c>
      <c r="W1425" t="s">
        <v>14300</v>
      </c>
      <c r="X1425">
        <v>14</v>
      </c>
      <c r="Y1425" t="s">
        <v>20131</v>
      </c>
      <c r="Z1425" t="s">
        <v>27000</v>
      </c>
      <c r="AA1425">
        <v>0.49337783402363311</v>
      </c>
      <c r="AB1425" t="str">
        <f>HYPERLINK("Melting_Curves/meltCurve_O43314_2_PPIP5K2.pdf", "Melting_Curves/meltCurve_O43314_2_PPIP5K2.pdf")</f>
        <v>Melting_Curves/meltCurve_O43314_2_PPIP5K2.pdf</v>
      </c>
    </row>
    <row r="1426" spans="1:28" x14ac:dyDescent="0.25">
      <c r="A1426" t="s">
        <v>1430</v>
      </c>
      <c r="B1426">
        <v>0.99673306730245903</v>
      </c>
      <c r="C1426">
        <v>0.93522930424752604</v>
      </c>
      <c r="D1426">
        <v>0.77806307096365901</v>
      </c>
      <c r="E1426">
        <v>0.262195999099121</v>
      </c>
      <c r="F1426">
        <v>0.12519696939067601</v>
      </c>
      <c r="G1426">
        <v>7.3628122186256098E-2</v>
      </c>
      <c r="H1426">
        <v>5.3120123664397702E-2</v>
      </c>
      <c r="I1426">
        <v>5.6449645937338699E-2</v>
      </c>
      <c r="J1426">
        <v>7.9609886502195804E-2</v>
      </c>
      <c r="K1426">
        <v>7.5123371927941496E-2</v>
      </c>
      <c r="L1426">
        <v>1473.49129843478</v>
      </c>
      <c r="M1426">
        <v>30.955392536853999</v>
      </c>
      <c r="N1426">
        <v>47.828522626807597</v>
      </c>
      <c r="O1426">
        <v>47.403152564462701</v>
      </c>
      <c r="P1426">
        <v>-0.15205539929522499</v>
      </c>
      <c r="Q1426">
        <v>6.8613017597652801E-2</v>
      </c>
      <c r="R1426">
        <v>0.99808307900722504</v>
      </c>
      <c r="S1426" t="s">
        <v>7878</v>
      </c>
      <c r="T1426" t="s">
        <v>12902</v>
      </c>
      <c r="U1426" t="s">
        <v>12902</v>
      </c>
      <c r="V1426" t="s">
        <v>12902</v>
      </c>
      <c r="W1426" t="s">
        <v>14301</v>
      </c>
      <c r="X1426">
        <v>4</v>
      </c>
      <c r="Y1426" t="s">
        <v>20684</v>
      </c>
      <c r="Z1426" t="s">
        <v>27001</v>
      </c>
      <c r="AA1426">
        <v>0.30981191231383692</v>
      </c>
      <c r="AB1426" t="str">
        <f>HYPERLINK("Melting_Curves/meltCurve_O43318_2_MAP3K7.pdf", "Melting_Curves/meltCurve_O43318_2_MAP3K7.pdf")</f>
        <v>Melting_Curves/meltCurve_O43318_2_MAP3K7.pdf</v>
      </c>
    </row>
    <row r="1427" spans="1:28" x14ac:dyDescent="0.25">
      <c r="A1427" t="s">
        <v>1431</v>
      </c>
      <c r="B1427">
        <v>0.99673306730245903</v>
      </c>
      <c r="C1427">
        <v>0.98189692045238597</v>
      </c>
      <c r="D1427">
        <v>0.91735340535905596</v>
      </c>
      <c r="E1427">
        <v>0.953018974705924</v>
      </c>
      <c r="F1427">
        <v>0.58866146166882005</v>
      </c>
      <c r="G1427">
        <v>0.20949895986706499</v>
      </c>
      <c r="H1427">
        <v>0.116599823455432</v>
      </c>
      <c r="I1427">
        <v>9.3873307955002205E-2</v>
      </c>
      <c r="J1427">
        <v>8.2296442704261494E-2</v>
      </c>
      <c r="K1427">
        <v>7.65347038389627E-2</v>
      </c>
      <c r="L1427">
        <v>1727.78398619618</v>
      </c>
      <c r="M1427">
        <v>32.2594359700268</v>
      </c>
      <c r="N1427">
        <v>53.871740251920102</v>
      </c>
      <c r="O1427">
        <v>53.354482387326797</v>
      </c>
      <c r="P1427">
        <v>-0.13825024354135201</v>
      </c>
      <c r="Q1427">
        <v>8.5386019061546595E-2</v>
      </c>
      <c r="R1427">
        <v>0.99565511833916998</v>
      </c>
      <c r="S1427" t="s">
        <v>7879</v>
      </c>
      <c r="T1427" t="s">
        <v>12902</v>
      </c>
      <c r="U1427" t="s">
        <v>12902</v>
      </c>
      <c r="V1427" t="s">
        <v>12902</v>
      </c>
      <c r="W1427" t="s">
        <v>14302</v>
      </c>
      <c r="X1427">
        <v>3</v>
      </c>
      <c r="Y1427" t="s">
        <v>20685</v>
      </c>
      <c r="Z1427" t="s">
        <v>27002</v>
      </c>
      <c r="AA1427">
        <v>0.50394662459009287</v>
      </c>
      <c r="AB1427" t="str">
        <f>HYPERLINK("Melting_Curves/meltCurve_O43325_LYRM1.pdf", "Melting_Curves/meltCurve_O43325_LYRM1.pdf")</f>
        <v>Melting_Curves/meltCurve_O43325_LYRM1.pdf</v>
      </c>
    </row>
    <row r="1428" spans="1:28" x14ac:dyDescent="0.25">
      <c r="A1428" t="s">
        <v>1432</v>
      </c>
      <c r="B1428">
        <v>0.99673306730245903</v>
      </c>
      <c r="C1428">
        <v>0.99250217354575998</v>
      </c>
      <c r="D1428">
        <v>0.95801445479148595</v>
      </c>
      <c r="E1428">
        <v>0.82130474095090999</v>
      </c>
      <c r="F1428">
        <v>0.545008204724998</v>
      </c>
      <c r="G1428">
        <v>0.40542507298721903</v>
      </c>
      <c r="H1428">
        <v>0.29759533092694201</v>
      </c>
      <c r="I1428">
        <v>0.26798765258920099</v>
      </c>
      <c r="J1428">
        <v>0.24290421479142801</v>
      </c>
      <c r="K1428">
        <v>0.15528594338034599</v>
      </c>
      <c r="L1428">
        <v>888.46975839049105</v>
      </c>
      <c r="M1428">
        <v>16.787004663705101</v>
      </c>
      <c r="N1428">
        <v>54.581445941709497</v>
      </c>
      <c r="O1428">
        <v>52.192097005681802</v>
      </c>
      <c r="P1428">
        <v>-6.4372801977438193E-2</v>
      </c>
      <c r="Q1428">
        <v>0.199491859509423</v>
      </c>
      <c r="R1428">
        <v>0.99336231805112696</v>
      </c>
      <c r="S1428" t="s">
        <v>7880</v>
      </c>
      <c r="T1428" t="s">
        <v>12902</v>
      </c>
      <c r="U1428" t="s">
        <v>12902</v>
      </c>
      <c r="V1428" t="s">
        <v>12902</v>
      </c>
      <c r="W1428" t="s">
        <v>14303</v>
      </c>
      <c r="X1428">
        <v>12</v>
      </c>
      <c r="Y1428" t="s">
        <v>20686</v>
      </c>
      <c r="Z1428" t="s">
        <v>27003</v>
      </c>
      <c r="AA1428">
        <v>0.55905208079599999</v>
      </c>
      <c r="AB1428" t="str">
        <f>HYPERLINK("Melting_Curves/meltCurve_O43353_RIPK2.pdf", "Melting_Curves/meltCurve_O43353_RIPK2.pdf")</f>
        <v>Melting_Curves/meltCurve_O43353_RIPK2.pdf</v>
      </c>
    </row>
    <row r="1429" spans="1:28" x14ac:dyDescent="0.25">
      <c r="A1429" t="s">
        <v>1433</v>
      </c>
      <c r="B1429">
        <v>0.99673306730245903</v>
      </c>
      <c r="C1429">
        <v>0.79570791629896298</v>
      </c>
      <c r="D1429">
        <v>0.71080087188862595</v>
      </c>
      <c r="E1429">
        <v>0.619619045519606</v>
      </c>
      <c r="F1429">
        <v>0.36783991243074099</v>
      </c>
      <c r="G1429">
        <v>0.28002335255395899</v>
      </c>
      <c r="H1429">
        <v>0.18620180162195901</v>
      </c>
      <c r="I1429">
        <v>0.22122606793669</v>
      </c>
      <c r="J1429">
        <v>0.37338331843850397</v>
      </c>
      <c r="K1429">
        <v>0.33977445261425099</v>
      </c>
      <c r="L1429">
        <v>677.18322883104304</v>
      </c>
      <c r="M1429">
        <v>14.226191520139601</v>
      </c>
      <c r="N1429">
        <v>50.175051312433602</v>
      </c>
      <c r="O1429">
        <v>46.690218087116598</v>
      </c>
      <c r="P1429">
        <v>-5.6452037883668198E-2</v>
      </c>
      <c r="Q1429">
        <v>0.25899206520822798</v>
      </c>
      <c r="R1429">
        <v>0.92690454485793095</v>
      </c>
      <c r="S1429" t="s">
        <v>7881</v>
      </c>
      <c r="T1429" t="s">
        <v>12902</v>
      </c>
      <c r="U1429" t="s">
        <v>12902</v>
      </c>
      <c r="V1429" t="s">
        <v>12902</v>
      </c>
      <c r="W1429" t="s">
        <v>14304</v>
      </c>
      <c r="X1429">
        <v>1</v>
      </c>
      <c r="Y1429" t="s">
        <v>20687</v>
      </c>
      <c r="Z1429" t="s">
        <v>27004</v>
      </c>
      <c r="AA1429">
        <v>0.46835762683062632</v>
      </c>
      <c r="AB1429" t="str">
        <f>HYPERLINK("Melting_Curves/meltCurve_O43379_WDR62.pdf", "Melting_Curves/meltCurve_O43379_WDR62.pdf")</f>
        <v>Melting_Curves/meltCurve_O43379_WDR62.pdf</v>
      </c>
    </row>
    <row r="1430" spans="1:28" x14ac:dyDescent="0.25">
      <c r="A1430" t="s">
        <v>1434</v>
      </c>
      <c r="B1430">
        <v>0.99673306730245903</v>
      </c>
      <c r="C1430">
        <v>0.98163535629263099</v>
      </c>
      <c r="D1430">
        <v>0.86108394821758305</v>
      </c>
      <c r="E1430">
        <v>0.57133717627177005</v>
      </c>
      <c r="F1430">
        <v>0.36616508946437398</v>
      </c>
      <c r="G1430">
        <v>0.22631843773543101</v>
      </c>
      <c r="H1430">
        <v>0.15568817843806801</v>
      </c>
      <c r="I1430">
        <v>0.20168600106867801</v>
      </c>
      <c r="J1430">
        <v>0.22757494062408501</v>
      </c>
      <c r="K1430">
        <v>0.21825564337414199</v>
      </c>
      <c r="L1430">
        <v>1062.4497463985399</v>
      </c>
      <c r="M1430">
        <v>21.504276395510999</v>
      </c>
      <c r="N1430">
        <v>50.574457539533398</v>
      </c>
      <c r="O1430">
        <v>48.9851243107505</v>
      </c>
      <c r="P1430">
        <v>-8.8271409562070302E-2</v>
      </c>
      <c r="Q1430">
        <v>0.19571685277182399</v>
      </c>
      <c r="R1430">
        <v>0.99487190482323895</v>
      </c>
      <c r="S1430" t="s">
        <v>7882</v>
      </c>
      <c r="T1430" t="s">
        <v>12902</v>
      </c>
      <c r="U1430" t="s">
        <v>12902</v>
      </c>
      <c r="V1430" t="s">
        <v>12902</v>
      </c>
      <c r="W1430" t="s">
        <v>14305</v>
      </c>
      <c r="X1430">
        <v>15</v>
      </c>
      <c r="Y1430" t="s">
        <v>20688</v>
      </c>
      <c r="Z1430" t="s">
        <v>27005</v>
      </c>
      <c r="AA1430">
        <v>0.45760554757813948</v>
      </c>
      <c r="AB1430" t="str">
        <f>HYPERLINK("Melting_Curves/meltCurve_O43390_HNRNPR.pdf", "Melting_Curves/meltCurve_O43390_HNRNPR.pdf")</f>
        <v>Melting_Curves/meltCurve_O43390_HNRNPR.pdf</v>
      </c>
    </row>
    <row r="1431" spans="1:28" x14ac:dyDescent="0.25">
      <c r="A1431" t="s">
        <v>1435</v>
      </c>
      <c r="B1431">
        <v>0.99673306730245903</v>
      </c>
      <c r="C1431">
        <v>1.00752729981255</v>
      </c>
      <c r="D1431">
        <v>1.16391207186839</v>
      </c>
      <c r="E1431">
        <v>0.73722923690645803</v>
      </c>
      <c r="F1431">
        <v>0.42167929837380402</v>
      </c>
      <c r="G1431">
        <v>0.249941050007431</v>
      </c>
      <c r="H1431">
        <v>0.17966839768394799</v>
      </c>
      <c r="I1431">
        <v>0.198869516701283</v>
      </c>
      <c r="J1431">
        <v>0.22914012590544799</v>
      </c>
      <c r="K1431">
        <v>0.23134200883331901</v>
      </c>
      <c r="L1431">
        <v>1656.15189996046</v>
      </c>
      <c r="M1431">
        <v>32.380152248377399</v>
      </c>
      <c r="N1431">
        <v>52.043581690914699</v>
      </c>
      <c r="O1431">
        <v>50.953234610577198</v>
      </c>
      <c r="P1431">
        <v>-0.124913404600675</v>
      </c>
      <c r="Q1431">
        <v>0.213751535375617</v>
      </c>
      <c r="R1431">
        <v>0.97106332243040205</v>
      </c>
      <c r="S1431" t="s">
        <v>7883</v>
      </c>
      <c r="T1431" t="s">
        <v>12902</v>
      </c>
      <c r="U1431" t="s">
        <v>12902</v>
      </c>
      <c r="V1431" t="s">
        <v>12902</v>
      </c>
      <c r="W1431" t="s">
        <v>14306</v>
      </c>
      <c r="X1431">
        <v>10</v>
      </c>
      <c r="Y1431" t="s">
        <v>20689</v>
      </c>
      <c r="Z1431" t="s">
        <v>27006</v>
      </c>
      <c r="AA1431">
        <v>0.51015101678553865</v>
      </c>
      <c r="AB1431" t="str">
        <f>HYPERLINK("Melting_Curves/meltCurve_O43395_PRPF3.pdf", "Melting_Curves/meltCurve_O43395_PRPF3.pdf")</f>
        <v>Melting_Curves/meltCurve_O43395_PRPF3.pdf</v>
      </c>
    </row>
    <row r="1432" spans="1:28" x14ac:dyDescent="0.25">
      <c r="A1432" t="s">
        <v>1436</v>
      </c>
      <c r="B1432">
        <v>0.99673306730245903</v>
      </c>
      <c r="C1432">
        <v>0.99938486808170901</v>
      </c>
      <c r="D1432">
        <v>0.972749973422668</v>
      </c>
      <c r="E1432">
        <v>0.73779194136140303</v>
      </c>
      <c r="F1432">
        <v>0.285437836734937</v>
      </c>
      <c r="G1432">
        <v>0.165259274403976</v>
      </c>
      <c r="H1432">
        <v>9.8898552838168702E-2</v>
      </c>
      <c r="I1432">
        <v>9.0118659846620902E-2</v>
      </c>
      <c r="J1432">
        <v>8.6096098011800501E-2</v>
      </c>
      <c r="K1432">
        <v>7.2408602184390103E-2</v>
      </c>
      <c r="L1432">
        <v>1530.45429253579</v>
      </c>
      <c r="M1432">
        <v>29.973424930147701</v>
      </c>
      <c r="N1432">
        <v>51.400030511441102</v>
      </c>
      <c r="O1432">
        <v>50.834709317848301</v>
      </c>
      <c r="P1432">
        <v>-0.134163789446373</v>
      </c>
      <c r="Q1432">
        <v>8.9842731131268894E-2</v>
      </c>
      <c r="R1432">
        <v>0.99892175099977598</v>
      </c>
      <c r="S1432" t="s">
        <v>7884</v>
      </c>
      <c r="T1432" t="s">
        <v>12902</v>
      </c>
      <c r="U1432" t="s">
        <v>12902</v>
      </c>
      <c r="V1432" t="s">
        <v>12902</v>
      </c>
      <c r="W1432" t="s">
        <v>14307</v>
      </c>
      <c r="X1432">
        <v>12</v>
      </c>
      <c r="Y1432" t="s">
        <v>20690</v>
      </c>
      <c r="Z1432" t="s">
        <v>27007</v>
      </c>
      <c r="AA1432">
        <v>0.43113712802450022</v>
      </c>
      <c r="AB1432" t="str">
        <f>HYPERLINK("Melting_Curves/meltCurve_O43396_TXNL1.pdf", "Melting_Curves/meltCurve_O43396_TXNL1.pdf")</f>
        <v>Melting_Curves/meltCurve_O43396_TXNL1.pdf</v>
      </c>
    </row>
    <row r="1433" spans="1:28" x14ac:dyDescent="0.25">
      <c r="A1433" t="s">
        <v>1437</v>
      </c>
      <c r="B1433">
        <v>0.99673306730245903</v>
      </c>
      <c r="C1433">
        <v>0.98228357751378903</v>
      </c>
      <c r="D1433">
        <v>0.99686171261874701</v>
      </c>
      <c r="E1433">
        <v>0.97906671960742597</v>
      </c>
      <c r="F1433">
        <v>0.899412433999214</v>
      </c>
      <c r="G1433">
        <v>0.69500165703976202</v>
      </c>
      <c r="H1433">
        <v>0.60303169182170102</v>
      </c>
      <c r="I1433">
        <v>0.76625629817163299</v>
      </c>
      <c r="J1433">
        <v>1.14627790223561</v>
      </c>
      <c r="K1433">
        <v>1.0640943202536299</v>
      </c>
      <c r="L1433">
        <v>13256.5893691199</v>
      </c>
      <c r="M1433">
        <v>250</v>
      </c>
      <c r="O1433">
        <v>53.022960976025701</v>
      </c>
      <c r="P1433">
        <v>-0.170996216138252</v>
      </c>
      <c r="Q1433">
        <v>0.85493238037631603</v>
      </c>
      <c r="R1433">
        <v>0.148545277362928</v>
      </c>
      <c r="S1433" t="s">
        <v>7885</v>
      </c>
      <c r="T1433" t="s">
        <v>12902</v>
      </c>
      <c r="U1433" t="s">
        <v>12902</v>
      </c>
      <c r="V1433" t="s">
        <v>12902</v>
      </c>
      <c r="W1433" t="s">
        <v>14308</v>
      </c>
      <c r="X1433">
        <v>16</v>
      </c>
      <c r="Y1433" t="s">
        <v>20691</v>
      </c>
      <c r="Z1433" t="s">
        <v>27008</v>
      </c>
      <c r="AA1433">
        <v>0.91793596948101741</v>
      </c>
      <c r="AB1433" t="str">
        <f>HYPERLINK("Melting_Curves/meltCurve_O43399_4_TPD52L2.pdf", "Melting_Curves/meltCurve_O43399_4_TPD52L2.pdf")</f>
        <v>Melting_Curves/meltCurve_O43399_4_TPD52L2.pdf</v>
      </c>
    </row>
    <row r="1434" spans="1:28" x14ac:dyDescent="0.25">
      <c r="A1434" t="s">
        <v>1438</v>
      </c>
      <c r="B1434">
        <v>0.99673306730245903</v>
      </c>
      <c r="C1434">
        <v>1.0287584024506999</v>
      </c>
      <c r="D1434">
        <v>1.0557650080691501</v>
      </c>
      <c r="E1434">
        <v>1.0157942099351001</v>
      </c>
      <c r="F1434">
        <v>0.92398122728379195</v>
      </c>
      <c r="G1434">
        <v>0.82419942540609203</v>
      </c>
      <c r="H1434">
        <v>0.72712534207708301</v>
      </c>
      <c r="I1434">
        <v>1.1758065698151601</v>
      </c>
      <c r="J1434">
        <v>1.5272861281236001</v>
      </c>
      <c r="K1434">
        <v>1.3851490992561699</v>
      </c>
      <c r="L1434">
        <v>15000</v>
      </c>
      <c r="M1434">
        <v>233.908170248061</v>
      </c>
      <c r="O1434">
        <v>64.123053705769294</v>
      </c>
      <c r="P1434">
        <v>0.41605199828794798</v>
      </c>
      <c r="Q1434">
        <v>1.4562221120263401</v>
      </c>
      <c r="R1434">
        <v>0.76285301176292697</v>
      </c>
      <c r="S1434" t="s">
        <v>7886</v>
      </c>
      <c r="T1434" t="s">
        <v>12902</v>
      </c>
      <c r="U1434" t="s">
        <v>12902</v>
      </c>
      <c r="V1434" t="s">
        <v>12902</v>
      </c>
      <c r="W1434" t="s">
        <v>14309</v>
      </c>
      <c r="X1434">
        <v>22</v>
      </c>
      <c r="Y1434" t="s">
        <v>20691</v>
      </c>
      <c r="Z1434" t="s">
        <v>27009</v>
      </c>
      <c r="AA1434">
        <v>1.0892433257608329</v>
      </c>
      <c r="AB1434" t="str">
        <f>HYPERLINK("Melting_Curves/meltCurve_O43399_5_TPD52L2.pdf", "Melting_Curves/meltCurve_O43399_5_TPD52L2.pdf")</f>
        <v>Melting_Curves/meltCurve_O43399_5_TPD52L2.pdf</v>
      </c>
    </row>
    <row r="1435" spans="1:28" x14ac:dyDescent="0.25">
      <c r="A1435" t="s">
        <v>1439</v>
      </c>
      <c r="B1435">
        <v>0.99673306730245903</v>
      </c>
      <c r="C1435">
        <v>0.88564277885531395</v>
      </c>
      <c r="D1435">
        <v>0.75279836121208499</v>
      </c>
      <c r="E1435">
        <v>0.63235645981081301</v>
      </c>
      <c r="F1435">
        <v>0.443191832980245</v>
      </c>
      <c r="G1435">
        <v>0.24566920583447699</v>
      </c>
      <c r="H1435">
        <v>0.15662926465221599</v>
      </c>
      <c r="I1435">
        <v>0.153120615648936</v>
      </c>
      <c r="J1435">
        <v>0.193047987455785</v>
      </c>
      <c r="K1435">
        <v>0.175653001295871</v>
      </c>
      <c r="L1435">
        <v>645.79205329466197</v>
      </c>
      <c r="M1435">
        <v>12.872358041914801</v>
      </c>
      <c r="N1435">
        <v>51.297144109664103</v>
      </c>
      <c r="O1435">
        <v>49.004380436368201</v>
      </c>
      <c r="P1435">
        <v>-5.7583972165475603E-2</v>
      </c>
      <c r="Q1435">
        <v>0.12328450595111499</v>
      </c>
      <c r="R1435">
        <v>0.98725165101699197</v>
      </c>
      <c r="S1435" t="s">
        <v>7887</v>
      </c>
      <c r="T1435" t="s">
        <v>12902</v>
      </c>
      <c r="U1435" t="s">
        <v>12902</v>
      </c>
      <c r="V1435" t="s">
        <v>12902</v>
      </c>
      <c r="W1435" t="s">
        <v>14310</v>
      </c>
      <c r="X1435">
        <v>5</v>
      </c>
      <c r="Y1435" t="s">
        <v>20692</v>
      </c>
      <c r="Z1435" t="s">
        <v>27010</v>
      </c>
      <c r="AA1435">
        <v>0.44736061601596028</v>
      </c>
      <c r="AB1435" t="str">
        <f>HYPERLINK("Melting_Curves/meltCurve_O43402_EMC8.pdf", "Melting_Curves/meltCurve_O43402_EMC8.pdf")</f>
        <v>Melting_Curves/meltCurve_O43402_EMC8.pdf</v>
      </c>
    </row>
    <row r="1436" spans="1:28" x14ac:dyDescent="0.25">
      <c r="A1436" t="s">
        <v>1440</v>
      </c>
      <c r="B1436">
        <v>0.99673306730245903</v>
      </c>
      <c r="C1436">
        <v>0.94255741792058201</v>
      </c>
      <c r="D1436">
        <v>1.04383500875289</v>
      </c>
      <c r="E1436">
        <v>0.67220920460089195</v>
      </c>
      <c r="F1436">
        <v>0.32013465269315799</v>
      </c>
      <c r="G1436">
        <v>0.200543824587464</v>
      </c>
      <c r="H1436">
        <v>0.10254132470201301</v>
      </c>
      <c r="I1436">
        <v>9.2635971982117205E-2</v>
      </c>
      <c r="J1436">
        <v>0.11737318204658399</v>
      </c>
      <c r="K1436">
        <v>0.11777038092193901</v>
      </c>
      <c r="L1436">
        <v>1416.6028826751301</v>
      </c>
      <c r="M1436">
        <v>27.871202392890101</v>
      </c>
      <c r="N1436">
        <v>51.303512329930101</v>
      </c>
      <c r="O1436">
        <v>50.567268163223602</v>
      </c>
      <c r="P1436">
        <v>-0.122073439894411</v>
      </c>
      <c r="Q1436">
        <v>0.114086939954092</v>
      </c>
      <c r="R1436">
        <v>0.99028052418234302</v>
      </c>
      <c r="S1436" t="s">
        <v>7888</v>
      </c>
      <c r="T1436" t="s">
        <v>12902</v>
      </c>
      <c r="U1436" t="s">
        <v>12902</v>
      </c>
      <c r="V1436" t="s">
        <v>12902</v>
      </c>
      <c r="W1436" t="s">
        <v>14311</v>
      </c>
      <c r="X1436">
        <v>2</v>
      </c>
      <c r="Y1436" t="s">
        <v>20693</v>
      </c>
      <c r="Z1436" t="s">
        <v>27011</v>
      </c>
      <c r="AA1436">
        <v>0.44024203097713188</v>
      </c>
      <c r="AB1436" t="str">
        <f>HYPERLINK("Melting_Curves/meltCurve_O43422_PRKRIR.pdf", "Melting_Curves/meltCurve_O43422_PRKRIR.pdf")</f>
        <v>Melting_Curves/meltCurve_O43422_PRKRIR.pdf</v>
      </c>
    </row>
    <row r="1437" spans="1:28" x14ac:dyDescent="0.25">
      <c r="A1437" t="s">
        <v>1441</v>
      </c>
      <c r="B1437">
        <v>0.99673306730245903</v>
      </c>
      <c r="C1437">
        <v>0.93477566854731597</v>
      </c>
      <c r="D1437">
        <v>0.865154163138245</v>
      </c>
      <c r="E1437">
        <v>0.69033252917705701</v>
      </c>
      <c r="F1437">
        <v>0.244338661130097</v>
      </c>
      <c r="G1437">
        <v>8.0883835251924802E-2</v>
      </c>
      <c r="H1437">
        <v>3.8325235188811299E-2</v>
      </c>
      <c r="I1437">
        <v>3.4588142911776802E-2</v>
      </c>
      <c r="J1437">
        <v>3.4975234639393699E-2</v>
      </c>
      <c r="K1437">
        <v>3.5551146435787898E-2</v>
      </c>
      <c r="L1437">
        <v>1209.4477886688901</v>
      </c>
      <c r="M1437">
        <v>23.823697832990302</v>
      </c>
      <c r="N1437">
        <v>50.867983673739602</v>
      </c>
      <c r="O1437">
        <v>50.412948855157097</v>
      </c>
      <c r="P1437">
        <v>-0.115404955436349</v>
      </c>
      <c r="Q1437">
        <v>2.3189524814200502E-2</v>
      </c>
      <c r="R1437">
        <v>0.99415442491647299</v>
      </c>
      <c r="S1437" t="s">
        <v>7889</v>
      </c>
      <c r="T1437" t="s">
        <v>12902</v>
      </c>
      <c r="U1437" t="s">
        <v>12902</v>
      </c>
      <c r="V1437" t="s">
        <v>12902</v>
      </c>
      <c r="W1437" t="s">
        <v>14312</v>
      </c>
      <c r="X1437">
        <v>3</v>
      </c>
      <c r="Y1437" t="s">
        <v>20694</v>
      </c>
      <c r="Z1437" t="s">
        <v>27012</v>
      </c>
      <c r="AA1437">
        <v>0.38343234376951651</v>
      </c>
      <c r="AB1437" t="str">
        <f>HYPERLINK("Melting_Curves/meltCurve_O43427_2_FIBP.pdf", "Melting_Curves/meltCurve_O43427_2_FIBP.pdf")</f>
        <v>Melting_Curves/meltCurve_O43427_2_FIBP.pdf</v>
      </c>
    </row>
    <row r="1438" spans="1:28" x14ac:dyDescent="0.25">
      <c r="A1438" t="s">
        <v>1442</v>
      </c>
      <c r="B1438">
        <v>0.99673306730245903</v>
      </c>
      <c r="C1438">
        <v>0.86856118966858098</v>
      </c>
      <c r="D1438">
        <v>0.35457298723868602</v>
      </c>
      <c r="E1438">
        <v>0.244671181086309</v>
      </c>
      <c r="F1438">
        <v>0.17827575061022999</v>
      </c>
      <c r="G1438">
        <v>0.117111000521775</v>
      </c>
      <c r="H1438">
        <v>7.6207279528578906E-2</v>
      </c>
      <c r="I1438">
        <v>8.1448253259902598E-2</v>
      </c>
      <c r="J1438">
        <v>9.7719678748026798E-2</v>
      </c>
      <c r="K1438">
        <v>9.6780347332080102E-2</v>
      </c>
      <c r="L1438">
        <v>1485.1565869870799</v>
      </c>
      <c r="M1438">
        <v>33.087791852400798</v>
      </c>
      <c r="N1438">
        <v>45.253118563184501</v>
      </c>
      <c r="O1438">
        <v>44.722331828875298</v>
      </c>
      <c r="P1438">
        <v>-0.16315690230295901</v>
      </c>
      <c r="Q1438">
        <v>0.117895218731384</v>
      </c>
      <c r="R1438">
        <v>0.98340272877546098</v>
      </c>
      <c r="S1438" t="s">
        <v>7890</v>
      </c>
      <c r="T1438" t="s">
        <v>12902</v>
      </c>
      <c r="U1438" t="s">
        <v>12902</v>
      </c>
      <c r="V1438" t="s">
        <v>12902</v>
      </c>
      <c r="W1438" t="s">
        <v>13021</v>
      </c>
      <c r="X1438">
        <v>24</v>
      </c>
      <c r="Y1438" t="s">
        <v>19415</v>
      </c>
      <c r="Z1438" t="s">
        <v>27013</v>
      </c>
      <c r="AA1438">
        <v>0.26608215116006267</v>
      </c>
      <c r="AB1438" t="str">
        <f>HYPERLINK("Melting_Curves/meltCurve_O43432_EIF4G3.pdf", "Melting_Curves/meltCurve_O43432_EIF4G3.pdf")</f>
        <v>Melting_Curves/meltCurve_O43432_EIF4G3.pdf</v>
      </c>
    </row>
    <row r="1439" spans="1:28" x14ac:dyDescent="0.25">
      <c r="A1439" t="s">
        <v>1443</v>
      </c>
      <c r="B1439">
        <v>0.99673306730245903</v>
      </c>
      <c r="C1439">
        <v>0.87270197066271005</v>
      </c>
      <c r="D1439">
        <v>0.95646536278899197</v>
      </c>
      <c r="E1439">
        <v>0.59798683514703899</v>
      </c>
      <c r="F1439">
        <v>0.290253256264427</v>
      </c>
      <c r="G1439">
        <v>0.21217218188040299</v>
      </c>
      <c r="H1439">
        <v>0.12517912012760299</v>
      </c>
      <c r="I1439">
        <v>0.14748087793722101</v>
      </c>
      <c r="J1439">
        <v>0.17097531539959199</v>
      </c>
      <c r="K1439">
        <v>0.197046894125916</v>
      </c>
      <c r="L1439">
        <v>1343.0547137338899</v>
      </c>
      <c r="M1439">
        <v>26.957216694586499</v>
      </c>
      <c r="N1439">
        <v>50.557613280203697</v>
      </c>
      <c r="O1439">
        <v>49.549975872359099</v>
      </c>
      <c r="P1439">
        <v>-0.113940144315871</v>
      </c>
      <c r="Q1439">
        <v>0.16227645615474701</v>
      </c>
      <c r="R1439">
        <v>0.98394167643147501</v>
      </c>
      <c r="S1439" t="s">
        <v>7891</v>
      </c>
      <c r="T1439" t="s">
        <v>12902</v>
      </c>
      <c r="U1439" t="s">
        <v>12902</v>
      </c>
      <c r="V1439" t="s">
        <v>12902</v>
      </c>
      <c r="W1439" t="s">
        <v>14313</v>
      </c>
      <c r="X1439">
        <v>4</v>
      </c>
      <c r="Y1439" t="s">
        <v>20695</v>
      </c>
      <c r="Z1439" t="s">
        <v>27014</v>
      </c>
      <c r="AA1439">
        <v>0.44295641808264852</v>
      </c>
      <c r="AB1439" t="str">
        <f>HYPERLINK("Melting_Curves/meltCurve_O43439_2_CBFA2T2.pdf", "Melting_Curves/meltCurve_O43439_2_CBFA2T2.pdf")</f>
        <v>Melting_Curves/meltCurve_O43439_2_CBFA2T2.pdf</v>
      </c>
    </row>
    <row r="1440" spans="1:28" x14ac:dyDescent="0.25">
      <c r="A1440" t="s">
        <v>1444</v>
      </c>
      <c r="B1440">
        <v>0.99673306730245903</v>
      </c>
      <c r="C1440">
        <v>1.03929538262997</v>
      </c>
      <c r="D1440">
        <v>0.97949216056369703</v>
      </c>
      <c r="E1440">
        <v>0.96407230814900302</v>
      </c>
      <c r="F1440">
        <v>0.90222932991606297</v>
      </c>
      <c r="G1440">
        <v>0.68337314737814003</v>
      </c>
      <c r="H1440">
        <v>0.42553143456945097</v>
      </c>
      <c r="I1440">
        <v>0.35472190902183598</v>
      </c>
      <c r="J1440">
        <v>0.25738100035334799</v>
      </c>
      <c r="K1440">
        <v>0.171810500238752</v>
      </c>
      <c r="L1440">
        <v>1010.92695822921</v>
      </c>
      <c r="M1440">
        <v>17.223830587484599</v>
      </c>
      <c r="N1440">
        <v>59.957571084553898</v>
      </c>
      <c r="O1440">
        <v>57.919450009588303</v>
      </c>
      <c r="P1440">
        <v>-6.3028727634113199E-2</v>
      </c>
      <c r="Q1440">
        <v>0.152250148393479</v>
      </c>
      <c r="R1440">
        <v>0.99429130978776903</v>
      </c>
      <c r="S1440" t="s">
        <v>7892</v>
      </c>
      <c r="T1440" t="s">
        <v>12902</v>
      </c>
      <c r="U1440" t="s">
        <v>12902</v>
      </c>
      <c r="V1440" t="s">
        <v>12902</v>
      </c>
      <c r="W1440" t="s">
        <v>14314</v>
      </c>
      <c r="X1440">
        <v>12</v>
      </c>
      <c r="Y1440" t="s">
        <v>20696</v>
      </c>
      <c r="Z1440" t="s">
        <v>27015</v>
      </c>
      <c r="AA1440">
        <v>0.69013794297945352</v>
      </c>
      <c r="AB1440" t="str">
        <f>HYPERLINK("Melting_Curves/meltCurve_O43464_3_HTRA2.pdf", "Melting_Curves/meltCurve_O43464_3_HTRA2.pdf")</f>
        <v>Melting_Curves/meltCurve_O43464_3_HTRA2.pdf</v>
      </c>
    </row>
    <row r="1441" spans="1:28" x14ac:dyDescent="0.25">
      <c r="A1441" t="s">
        <v>1445</v>
      </c>
      <c r="B1441">
        <v>0.99673306730245903</v>
      </c>
      <c r="C1441">
        <v>0.94578400341264102</v>
      </c>
      <c r="D1441">
        <v>0.88033916025119596</v>
      </c>
      <c r="E1441">
        <v>0.80950824718090397</v>
      </c>
      <c r="F1441">
        <v>0.64626430892579501</v>
      </c>
      <c r="G1441">
        <v>0.47745800562627899</v>
      </c>
      <c r="H1441">
        <v>0.26467202522843702</v>
      </c>
      <c r="I1441">
        <v>0.22726552652277099</v>
      </c>
      <c r="J1441">
        <v>0.20939365046973199</v>
      </c>
      <c r="K1441">
        <v>0.33106186626102801</v>
      </c>
      <c r="L1441">
        <v>768.83375083961801</v>
      </c>
      <c r="M1441">
        <v>14.3775913540312</v>
      </c>
      <c r="N1441">
        <v>55.520048018296002</v>
      </c>
      <c r="O1441">
        <v>52.471875311333299</v>
      </c>
      <c r="P1441">
        <v>-5.4422613555570501E-2</v>
      </c>
      <c r="Q1441">
        <v>0.205620408963028</v>
      </c>
      <c r="R1441">
        <v>0.97467381144944198</v>
      </c>
      <c r="S1441" t="s">
        <v>7893</v>
      </c>
      <c r="T1441" t="s">
        <v>12902</v>
      </c>
      <c r="U1441" t="s">
        <v>12902</v>
      </c>
      <c r="V1441" t="s">
        <v>12902</v>
      </c>
      <c r="W1441" t="s">
        <v>14315</v>
      </c>
      <c r="X1441">
        <v>5</v>
      </c>
      <c r="Y1441" t="s">
        <v>20697</v>
      </c>
      <c r="Z1441" t="s">
        <v>27016</v>
      </c>
      <c r="AA1441">
        <v>0.58009468682969967</v>
      </c>
      <c r="AB1441" t="str">
        <f>HYPERLINK("Melting_Curves/meltCurve_O43474_1_KLF4.pdf", "Melting_Curves/meltCurve_O43474_1_KLF4.pdf")</f>
        <v>Melting_Curves/meltCurve_O43474_1_KLF4.pdf</v>
      </c>
    </row>
    <row r="1442" spans="1:28" x14ac:dyDescent="0.25">
      <c r="A1442" t="s">
        <v>1446</v>
      </c>
      <c r="B1442">
        <v>0.99673306730245903</v>
      </c>
      <c r="C1442">
        <v>0.89243620588141104</v>
      </c>
      <c r="D1442">
        <v>0.908810368130056</v>
      </c>
      <c r="E1442">
        <v>0.76335753384743199</v>
      </c>
      <c r="F1442">
        <v>0.50671779425561503</v>
      </c>
      <c r="G1442">
        <v>0.193866646571487</v>
      </c>
      <c r="H1442">
        <v>0.118561986982787</v>
      </c>
      <c r="I1442">
        <v>9.9472950931092693E-2</v>
      </c>
      <c r="J1442">
        <v>9.6489173726225605E-2</v>
      </c>
      <c r="K1442">
        <v>8.7543993179329205E-2</v>
      </c>
      <c r="L1442">
        <v>970.207549504741</v>
      </c>
      <c r="M1442">
        <v>18.521640309150701</v>
      </c>
      <c r="N1442">
        <v>52.780590710554598</v>
      </c>
      <c r="O1442">
        <v>51.783191349711799</v>
      </c>
      <c r="P1442">
        <v>-8.3592000198907598E-2</v>
      </c>
      <c r="Q1442">
        <v>6.5207872883352794E-2</v>
      </c>
      <c r="R1442">
        <v>0.98974065390117205</v>
      </c>
      <c r="S1442" t="s">
        <v>7894</v>
      </c>
      <c r="T1442" t="s">
        <v>12902</v>
      </c>
      <c r="U1442" t="s">
        <v>12902</v>
      </c>
      <c r="V1442" t="s">
        <v>12902</v>
      </c>
      <c r="W1442" t="s">
        <v>14316</v>
      </c>
      <c r="X1442">
        <v>1</v>
      </c>
      <c r="Y1442" t="s">
        <v>20698</v>
      </c>
      <c r="Z1442" t="s">
        <v>27017</v>
      </c>
      <c r="AA1442">
        <v>0.46578381844934902</v>
      </c>
      <c r="AB1442" t="str">
        <f>HYPERLINK("Melting_Curves/meltCurve_O43482_OIP5.pdf", "Melting_Curves/meltCurve_O43482_OIP5.pdf")</f>
        <v>Melting_Curves/meltCurve_O43482_OIP5.pdf</v>
      </c>
    </row>
    <row r="1443" spans="1:28" x14ac:dyDescent="0.25">
      <c r="A1443" t="s">
        <v>1447</v>
      </c>
      <c r="B1443">
        <v>0.99673306730245903</v>
      </c>
      <c r="C1443">
        <v>0.99320659329659999</v>
      </c>
      <c r="D1443">
        <v>1.00518763466274</v>
      </c>
      <c r="E1443">
        <v>0.97328973137682095</v>
      </c>
      <c r="F1443">
        <v>0.55532682467695804</v>
      </c>
      <c r="G1443">
        <v>0.198668758031221</v>
      </c>
      <c r="H1443">
        <v>0.106649972486682</v>
      </c>
      <c r="I1443">
        <v>9.4675712877220805E-2</v>
      </c>
      <c r="J1443">
        <v>9.4297426165328602E-2</v>
      </c>
      <c r="K1443">
        <v>8.8066572336236104E-2</v>
      </c>
      <c r="L1443">
        <v>1991.28985937316</v>
      </c>
      <c r="M1443">
        <v>37.345885117578</v>
      </c>
      <c r="N1443">
        <v>53.627571118875103</v>
      </c>
      <c r="O1443">
        <v>53.168007602079598</v>
      </c>
      <c r="P1443">
        <v>-0.15868449459402201</v>
      </c>
      <c r="Q1443">
        <v>9.6348704916137604E-2</v>
      </c>
      <c r="R1443">
        <v>0.99922178365039704</v>
      </c>
      <c r="S1443" t="s">
        <v>7895</v>
      </c>
      <c r="T1443" t="s">
        <v>12902</v>
      </c>
      <c r="U1443" t="s">
        <v>12902</v>
      </c>
      <c r="V1443" t="s">
        <v>12902</v>
      </c>
      <c r="W1443" t="s">
        <v>14317</v>
      </c>
      <c r="X1443">
        <v>14</v>
      </c>
      <c r="Y1443" t="s">
        <v>20699</v>
      </c>
      <c r="Z1443" t="s">
        <v>27018</v>
      </c>
      <c r="AA1443">
        <v>0.50139179588156457</v>
      </c>
      <c r="AB1443" t="str">
        <f>HYPERLINK("Melting_Curves/meltCurve_O43488_AKR7A2.pdf", "Melting_Curves/meltCurve_O43488_AKR7A2.pdf")</f>
        <v>Melting_Curves/meltCurve_O43488_AKR7A2.pdf</v>
      </c>
    </row>
    <row r="1444" spans="1:28" x14ac:dyDescent="0.25">
      <c r="A1444" t="s">
        <v>1448</v>
      </c>
      <c r="B1444">
        <v>0.99673306730245903</v>
      </c>
      <c r="C1444">
        <v>0.95540613027598997</v>
      </c>
      <c r="D1444">
        <v>0.93374528507885002</v>
      </c>
      <c r="E1444">
        <v>0.83027015295506901</v>
      </c>
      <c r="F1444">
        <v>0.70531331614861104</v>
      </c>
      <c r="G1444">
        <v>0.60609188107900103</v>
      </c>
      <c r="H1444">
        <v>0.46498703010551601</v>
      </c>
      <c r="I1444">
        <v>0.347001440835216</v>
      </c>
      <c r="J1444">
        <v>0.223904509437756</v>
      </c>
      <c r="K1444">
        <v>0.21018494836062501</v>
      </c>
      <c r="L1444">
        <v>516.70005277561404</v>
      </c>
      <c r="M1444">
        <v>8.7370751952792407</v>
      </c>
      <c r="N1444">
        <v>59.138789489644097</v>
      </c>
      <c r="O1444">
        <v>56.285981000852097</v>
      </c>
      <c r="P1444">
        <v>-3.8838147295140499E-2</v>
      </c>
      <c r="Q1444">
        <v>0</v>
      </c>
      <c r="R1444">
        <v>0.99598691292686403</v>
      </c>
      <c r="S1444" t="s">
        <v>7896</v>
      </c>
      <c r="T1444" t="s">
        <v>12902</v>
      </c>
      <c r="U1444" t="s">
        <v>12902</v>
      </c>
      <c r="V1444" t="s">
        <v>12902</v>
      </c>
      <c r="W1444" t="s">
        <v>14318</v>
      </c>
      <c r="X1444">
        <v>20</v>
      </c>
      <c r="Y1444" t="s">
        <v>20700</v>
      </c>
      <c r="Z1444" t="s">
        <v>27019</v>
      </c>
      <c r="AA1444">
        <v>0.63522830236250605</v>
      </c>
      <c r="AB1444" t="str">
        <f>HYPERLINK("Melting_Curves/meltCurve_O43490_4_PROM1.pdf", "Melting_Curves/meltCurve_O43490_4_PROM1.pdf")</f>
        <v>Melting_Curves/meltCurve_O43490_4_PROM1.pdf</v>
      </c>
    </row>
    <row r="1445" spans="1:28" x14ac:dyDescent="0.25">
      <c r="A1445" t="s">
        <v>1449</v>
      </c>
      <c r="B1445">
        <v>0.99673306730245903</v>
      </c>
      <c r="C1445">
        <v>0.91033414387626799</v>
      </c>
      <c r="D1445">
        <v>1.02377349021972</v>
      </c>
      <c r="E1445">
        <v>0.771784140295529</v>
      </c>
      <c r="F1445">
        <v>0.74856667551628497</v>
      </c>
      <c r="G1445">
        <v>0.70357954052401595</v>
      </c>
      <c r="H1445">
        <v>0.81156906159526299</v>
      </c>
      <c r="I1445">
        <v>1.31137142167618</v>
      </c>
      <c r="J1445">
        <v>1.5065270218299101</v>
      </c>
      <c r="K1445">
        <v>1.7451945151725801</v>
      </c>
      <c r="L1445">
        <v>15000</v>
      </c>
      <c r="M1445">
        <v>234.87615994024199</v>
      </c>
      <c r="O1445">
        <v>63.858830007476001</v>
      </c>
      <c r="P1445">
        <v>0.45975675292099999</v>
      </c>
      <c r="Q1445">
        <v>1.5</v>
      </c>
      <c r="R1445">
        <v>0.72745849559762998</v>
      </c>
      <c r="S1445" t="s">
        <v>7897</v>
      </c>
      <c r="T1445" t="s">
        <v>12902</v>
      </c>
      <c r="U1445" t="s">
        <v>12902</v>
      </c>
      <c r="V1445" t="s">
        <v>12902</v>
      </c>
      <c r="W1445" t="s">
        <v>14319</v>
      </c>
      <c r="X1445">
        <v>10</v>
      </c>
      <c r="Y1445" t="s">
        <v>20701</v>
      </c>
      <c r="Z1445" t="s">
        <v>27020</v>
      </c>
      <c r="AA1445">
        <v>1.1022124771589079</v>
      </c>
      <c r="AB1445" t="str">
        <f>HYPERLINK("Melting_Curves/meltCurve_O43493_4_TGOLN2.pdf", "Melting_Curves/meltCurve_O43493_4_TGOLN2.pdf")</f>
        <v>Melting_Curves/meltCurve_O43493_4_TGOLN2.pdf</v>
      </c>
    </row>
    <row r="1446" spans="1:28" x14ac:dyDescent="0.25">
      <c r="A1446" t="s">
        <v>1450</v>
      </c>
      <c r="B1446">
        <v>0.99673306730245903</v>
      </c>
      <c r="C1446">
        <v>1.0076433265917</v>
      </c>
      <c r="D1446">
        <v>0.90572961972493204</v>
      </c>
      <c r="E1446">
        <v>0.83267692653413194</v>
      </c>
      <c r="F1446">
        <v>0.46843709009991902</v>
      </c>
      <c r="G1446">
        <v>0.14200942489608301</v>
      </c>
      <c r="H1446">
        <v>4.39109877016629E-2</v>
      </c>
      <c r="I1446">
        <v>4.5596024122893999E-2</v>
      </c>
      <c r="J1446">
        <v>4.4440859817546099E-2</v>
      </c>
      <c r="K1446">
        <v>3.2848582813909698E-2</v>
      </c>
      <c r="L1446">
        <v>1303.4595924779301</v>
      </c>
      <c r="M1446">
        <v>24.7498976580878</v>
      </c>
      <c r="N1446">
        <v>52.778545968868997</v>
      </c>
      <c r="O1446">
        <v>52.3250310735922</v>
      </c>
      <c r="P1446">
        <v>-0.115193108633122</v>
      </c>
      <c r="Q1446">
        <v>2.5870694036574101E-2</v>
      </c>
      <c r="R1446">
        <v>0.99648962083344705</v>
      </c>
      <c r="S1446" t="s">
        <v>7898</v>
      </c>
      <c r="T1446" t="s">
        <v>12902</v>
      </c>
      <c r="U1446" t="s">
        <v>12902</v>
      </c>
      <c r="V1446" t="s">
        <v>12902</v>
      </c>
      <c r="W1446" t="s">
        <v>14320</v>
      </c>
      <c r="X1446">
        <v>4</v>
      </c>
      <c r="Y1446" t="s">
        <v>20702</v>
      </c>
      <c r="Z1446" t="s">
        <v>27021</v>
      </c>
      <c r="AA1446">
        <v>0.44624175342748928</v>
      </c>
      <c r="AB1446" t="str">
        <f>HYPERLINK("Melting_Curves/meltCurve_O43502_RAD51C.pdf", "Melting_Curves/meltCurve_O43502_RAD51C.pdf")</f>
        <v>Melting_Curves/meltCurve_O43502_RAD51C.pdf</v>
      </c>
    </row>
    <row r="1447" spans="1:28" x14ac:dyDescent="0.25">
      <c r="A1447" t="s">
        <v>1451</v>
      </c>
      <c r="B1447">
        <v>0.99673306730245903</v>
      </c>
      <c r="C1447">
        <v>0.99740884321144796</v>
      </c>
      <c r="D1447">
        <v>0.93928305077284202</v>
      </c>
      <c r="E1447">
        <v>0.83813682505234999</v>
      </c>
      <c r="F1447">
        <v>0.73433869421666098</v>
      </c>
      <c r="G1447">
        <v>0.59217156396176196</v>
      </c>
      <c r="H1447">
        <v>0.47704142771229002</v>
      </c>
      <c r="I1447">
        <v>0.72068871799808798</v>
      </c>
      <c r="J1447">
        <v>1.1319865124637101</v>
      </c>
      <c r="K1447">
        <v>1.0767867130142901</v>
      </c>
      <c r="L1447">
        <v>1848.16491478488</v>
      </c>
      <c r="M1447">
        <v>39.133919339793401</v>
      </c>
      <c r="O1447">
        <v>47.103859547367399</v>
      </c>
      <c r="P1447">
        <v>-4.3400777001566797E-2</v>
      </c>
      <c r="Q1447">
        <v>0.79104168292959498</v>
      </c>
      <c r="R1447">
        <v>0.17449221479093899</v>
      </c>
      <c r="S1447" t="s">
        <v>7899</v>
      </c>
      <c r="T1447" t="s">
        <v>12902</v>
      </c>
      <c r="U1447" t="s">
        <v>12902</v>
      </c>
      <c r="V1447" t="s">
        <v>12902</v>
      </c>
      <c r="W1447" t="s">
        <v>14321</v>
      </c>
      <c r="X1447">
        <v>4</v>
      </c>
      <c r="Y1447" t="s">
        <v>20703</v>
      </c>
      <c r="Z1447" t="s">
        <v>27022</v>
      </c>
      <c r="AA1447">
        <v>0.84209548764823416</v>
      </c>
      <c r="AB1447" t="str">
        <f>HYPERLINK("Melting_Curves/meltCurve_O43504_LAMTOR5.pdf", "Melting_Curves/meltCurve_O43504_LAMTOR5.pdf")</f>
        <v>Melting_Curves/meltCurve_O43504_LAMTOR5.pdf</v>
      </c>
    </row>
    <row r="1448" spans="1:28" x14ac:dyDescent="0.25">
      <c r="A1448" t="s">
        <v>1452</v>
      </c>
      <c r="B1448">
        <v>0.99673306730245903</v>
      </c>
      <c r="C1448">
        <v>0.95618879851070904</v>
      </c>
      <c r="D1448">
        <v>0.86230032069542695</v>
      </c>
      <c r="E1448">
        <v>0.760510003124647</v>
      </c>
      <c r="F1448">
        <v>0.55703785447253995</v>
      </c>
      <c r="G1448">
        <v>0.20739728329506499</v>
      </c>
      <c r="H1448">
        <v>0.115151844360826</v>
      </c>
      <c r="I1448">
        <v>0.118266494525448</v>
      </c>
      <c r="J1448">
        <v>0.13565556437701401</v>
      </c>
      <c r="K1448">
        <v>0.101858851145282</v>
      </c>
      <c r="L1448">
        <v>923.95847275975302</v>
      </c>
      <c r="M1448">
        <v>17.593955732618198</v>
      </c>
      <c r="N1448">
        <v>53.0255049240075</v>
      </c>
      <c r="O1448">
        <v>51.851323539154201</v>
      </c>
      <c r="P1448">
        <v>-7.82322131039173E-2</v>
      </c>
      <c r="Q1448">
        <v>7.7813996036927E-2</v>
      </c>
      <c r="R1448">
        <v>0.98687486779567102</v>
      </c>
      <c r="S1448" t="s">
        <v>7900</v>
      </c>
      <c r="T1448" t="s">
        <v>12902</v>
      </c>
      <c r="U1448" t="s">
        <v>12902</v>
      </c>
      <c r="V1448" t="s">
        <v>12902</v>
      </c>
      <c r="W1448" t="s">
        <v>14322</v>
      </c>
      <c r="X1448">
        <v>4</v>
      </c>
      <c r="Y1448" t="s">
        <v>20704</v>
      </c>
      <c r="Z1448" t="s">
        <v>27023</v>
      </c>
      <c r="AA1448">
        <v>0.47834991061986432</v>
      </c>
      <c r="AB1448" t="str">
        <f>HYPERLINK("Melting_Curves/meltCurve_O43505_B3GNT1.pdf", "Melting_Curves/meltCurve_O43505_B3GNT1.pdf")</f>
        <v>Melting_Curves/meltCurve_O43505_B3GNT1.pdf</v>
      </c>
    </row>
    <row r="1449" spans="1:28" x14ac:dyDescent="0.25">
      <c r="A1449" t="s">
        <v>1453</v>
      </c>
      <c r="B1449">
        <v>0.99673306730245903</v>
      </c>
      <c r="C1449">
        <v>0.97492008568774402</v>
      </c>
      <c r="D1449">
        <v>1.15359152780775</v>
      </c>
      <c r="E1449">
        <v>1.4717480963717799</v>
      </c>
      <c r="F1449">
        <v>0.77430719079932897</v>
      </c>
      <c r="G1449">
        <v>0.44984069098652202</v>
      </c>
      <c r="H1449">
        <v>0.49294462169928799</v>
      </c>
      <c r="I1449">
        <v>0.648372819685619</v>
      </c>
      <c r="J1449">
        <v>0.58231340816830801</v>
      </c>
      <c r="K1449">
        <v>0.536410221382143</v>
      </c>
      <c r="L1449">
        <v>13301.542130121899</v>
      </c>
      <c r="M1449">
        <v>250</v>
      </c>
      <c r="O1449">
        <v>53.202750226630798</v>
      </c>
      <c r="P1449">
        <v>-0.53806374750856001</v>
      </c>
      <c r="Q1449">
        <v>0.54197634563497599</v>
      </c>
      <c r="R1449">
        <v>0.72998062145459097</v>
      </c>
      <c r="S1449" t="s">
        <v>7901</v>
      </c>
      <c r="T1449" t="s">
        <v>12902</v>
      </c>
      <c r="U1449" t="s">
        <v>12902</v>
      </c>
      <c r="V1449" t="s">
        <v>12902</v>
      </c>
      <c r="W1449" t="s">
        <v>14323</v>
      </c>
      <c r="X1449">
        <v>1</v>
      </c>
      <c r="Y1449" t="s">
        <v>20705</v>
      </c>
      <c r="Z1449" t="s">
        <v>27024</v>
      </c>
      <c r="AA1449">
        <v>0.74364369958113363</v>
      </c>
      <c r="AB1449" t="str">
        <f>HYPERLINK("Melting_Curves/meltCurve_O43513_MED7.pdf", "Melting_Curves/meltCurve_O43513_MED7.pdf")</f>
        <v>Melting_Curves/meltCurve_O43513_MED7.pdf</v>
      </c>
    </row>
    <row r="1450" spans="1:28" x14ac:dyDescent="0.25">
      <c r="A1450" t="s">
        <v>1454</v>
      </c>
      <c r="B1450">
        <v>0.99673306730245903</v>
      </c>
      <c r="C1450">
        <v>0.94513981275445402</v>
      </c>
      <c r="D1450">
        <v>0.89227018379721601</v>
      </c>
      <c r="E1450">
        <v>0.81573470949034899</v>
      </c>
      <c r="F1450">
        <v>0.72312482776124698</v>
      </c>
      <c r="G1450">
        <v>0.48515893471045901</v>
      </c>
      <c r="H1450">
        <v>0.34210493386797802</v>
      </c>
      <c r="I1450">
        <v>0.143421922753038</v>
      </c>
      <c r="J1450">
        <v>0.15095827313014601</v>
      </c>
      <c r="K1450">
        <v>0.118595823408087</v>
      </c>
      <c r="L1450">
        <v>645.27813426266596</v>
      </c>
      <c r="M1450">
        <v>11.3950300180216</v>
      </c>
      <c r="N1450">
        <v>56.628021889697401</v>
      </c>
      <c r="O1450">
        <v>54.968165519341298</v>
      </c>
      <c r="P1450">
        <v>-5.18408571664506E-2</v>
      </c>
      <c r="Q1450">
        <v>0</v>
      </c>
      <c r="R1450">
        <v>0.99026971841417899</v>
      </c>
      <c r="S1450" t="s">
        <v>7902</v>
      </c>
      <c r="T1450" t="s">
        <v>12902</v>
      </c>
      <c r="U1450" t="s">
        <v>12902</v>
      </c>
      <c r="V1450" t="s">
        <v>12902</v>
      </c>
      <c r="W1450" t="s">
        <v>14324</v>
      </c>
      <c r="X1450">
        <v>19</v>
      </c>
      <c r="Y1450" t="s">
        <v>20706</v>
      </c>
      <c r="Z1450" t="s">
        <v>27025</v>
      </c>
      <c r="AA1450">
        <v>0.57255119872351656</v>
      </c>
      <c r="AB1450" t="str">
        <f>HYPERLINK("Melting_Curves/meltCurve_O43520_ATP8B1.pdf", "Melting_Curves/meltCurve_O43520_ATP8B1.pdf")</f>
        <v>Melting_Curves/meltCurve_O43520_ATP8B1.pdf</v>
      </c>
    </row>
    <row r="1451" spans="1:28" x14ac:dyDescent="0.25">
      <c r="A1451" t="s">
        <v>1455</v>
      </c>
      <c r="B1451">
        <v>0.99673306730245903</v>
      </c>
      <c r="C1451">
        <v>0.93411451096881404</v>
      </c>
      <c r="D1451">
        <v>0.66361302549187595</v>
      </c>
      <c r="E1451">
        <v>0.45027639725327601</v>
      </c>
      <c r="F1451">
        <v>0.22801035249988</v>
      </c>
      <c r="G1451">
        <v>0.123223455131311</v>
      </c>
      <c r="H1451">
        <v>9.2220474643120998E-2</v>
      </c>
      <c r="I1451">
        <v>0.13149707099229499</v>
      </c>
      <c r="J1451">
        <v>0.32331737317140202</v>
      </c>
      <c r="K1451">
        <v>0.52597408764499998</v>
      </c>
      <c r="L1451">
        <v>1157.59928827978</v>
      </c>
      <c r="M1451">
        <v>24.766086125399902</v>
      </c>
      <c r="N1451">
        <v>47.984828035189501</v>
      </c>
      <c r="O1451">
        <v>46.439763210364099</v>
      </c>
      <c r="P1451">
        <v>-0.101750190159502</v>
      </c>
      <c r="Q1451">
        <v>0.23682920530804</v>
      </c>
      <c r="R1451">
        <v>0.85161093785506203</v>
      </c>
      <c r="S1451" t="s">
        <v>7903</v>
      </c>
      <c r="T1451" t="s">
        <v>12902</v>
      </c>
      <c r="U1451" t="s">
        <v>12902</v>
      </c>
      <c r="V1451" t="s">
        <v>12902</v>
      </c>
      <c r="W1451" t="s">
        <v>14325</v>
      </c>
      <c r="X1451">
        <v>2</v>
      </c>
      <c r="Y1451" t="s">
        <v>20707</v>
      </c>
      <c r="Z1451" t="s">
        <v>27026</v>
      </c>
      <c r="AA1451">
        <v>0.41532122854652909</v>
      </c>
      <c r="AB1451" t="str">
        <f>HYPERLINK("Melting_Curves/meltCurve_O43524_FOXO3.pdf", "Melting_Curves/meltCurve_O43524_FOXO3.pdf")</f>
        <v>Melting_Curves/meltCurve_O43524_FOXO3.pdf</v>
      </c>
    </row>
    <row r="1452" spans="1:28" x14ac:dyDescent="0.25">
      <c r="A1452" t="s">
        <v>1456</v>
      </c>
      <c r="B1452">
        <v>0.99673306730245903</v>
      </c>
      <c r="C1452">
        <v>0.94139309175313901</v>
      </c>
      <c r="D1452">
        <v>0.89480897779245006</v>
      </c>
      <c r="E1452">
        <v>0.68358084240689598</v>
      </c>
      <c r="F1452">
        <v>0.53830610398010204</v>
      </c>
      <c r="G1452">
        <v>0.449965606799902</v>
      </c>
      <c r="H1452">
        <v>0.361614331457906</v>
      </c>
      <c r="I1452">
        <v>0.34791216760446902</v>
      </c>
      <c r="J1452">
        <v>0.39494425959825302</v>
      </c>
      <c r="K1452">
        <v>0.30222082434165698</v>
      </c>
      <c r="L1452">
        <v>763.79904147766399</v>
      </c>
      <c r="M1452">
        <v>15.1699854496675</v>
      </c>
      <c r="N1452">
        <v>54.222960190629401</v>
      </c>
      <c r="O1452">
        <v>49.498742252642202</v>
      </c>
      <c r="P1452">
        <v>-5.1275268101983101E-2</v>
      </c>
      <c r="Q1452">
        <v>0.33083232802193402</v>
      </c>
      <c r="R1452">
        <v>0.99111698329021702</v>
      </c>
      <c r="S1452" t="s">
        <v>7904</v>
      </c>
      <c r="T1452" t="s">
        <v>12902</v>
      </c>
      <c r="U1452" t="s">
        <v>12902</v>
      </c>
      <c r="V1452" t="s">
        <v>12902</v>
      </c>
      <c r="W1452" t="s">
        <v>14326</v>
      </c>
      <c r="X1452">
        <v>3</v>
      </c>
      <c r="Y1452" t="s">
        <v>20708</v>
      </c>
      <c r="Z1452" t="s">
        <v>27027</v>
      </c>
      <c r="AA1452">
        <v>0.57715568967536712</v>
      </c>
      <c r="AB1452" t="str">
        <f>HYPERLINK("Melting_Curves/meltCurve_O43567_RNF13.pdf", "Melting_Curves/meltCurve_O43567_RNF13.pdf")</f>
        <v>Melting_Curves/meltCurve_O43567_RNF13.pdf</v>
      </c>
    </row>
    <row r="1453" spans="1:28" x14ac:dyDescent="0.25">
      <c r="A1453" t="s">
        <v>1457</v>
      </c>
      <c r="B1453">
        <v>0.99673306730245903</v>
      </c>
      <c r="C1453">
        <v>1.0505238293773</v>
      </c>
      <c r="D1453">
        <v>1.04620054521178</v>
      </c>
      <c r="E1453">
        <v>0.96629163355613001</v>
      </c>
      <c r="F1453">
        <v>0.9483857457796</v>
      </c>
      <c r="G1453">
        <v>0.86394143735603002</v>
      </c>
      <c r="H1453">
        <v>0.59994269284175605</v>
      </c>
      <c r="I1453">
        <v>0.51101757477389298</v>
      </c>
      <c r="J1453">
        <v>0.55699024419644405</v>
      </c>
      <c r="K1453">
        <v>0.35918884623281599</v>
      </c>
      <c r="L1453">
        <v>1229.9342051255601</v>
      </c>
      <c r="M1453">
        <v>20.684317812010502</v>
      </c>
      <c r="N1453">
        <v>64.7047341611094</v>
      </c>
      <c r="O1453">
        <v>58.914733991508498</v>
      </c>
      <c r="P1453">
        <v>-5.2100423391366099E-2</v>
      </c>
      <c r="Q1453">
        <v>0.40643040672641101</v>
      </c>
      <c r="R1453">
        <v>0.96170055480393302</v>
      </c>
      <c r="S1453" t="s">
        <v>7905</v>
      </c>
      <c r="T1453" t="s">
        <v>12902</v>
      </c>
      <c r="U1453" t="s">
        <v>12902</v>
      </c>
      <c r="V1453" t="s">
        <v>12902</v>
      </c>
      <c r="W1453" t="s">
        <v>14327</v>
      </c>
      <c r="X1453">
        <v>12</v>
      </c>
      <c r="Y1453" t="s">
        <v>20709</v>
      </c>
      <c r="Z1453" t="s">
        <v>27028</v>
      </c>
      <c r="AA1453">
        <v>0.7969555789183943</v>
      </c>
      <c r="AB1453" t="str">
        <f>HYPERLINK("Melting_Curves/meltCurve_O43583_DENR.pdf", "Melting_Curves/meltCurve_O43583_DENR.pdf")</f>
        <v>Melting_Curves/meltCurve_O43583_DENR.pdf</v>
      </c>
    </row>
    <row r="1454" spans="1:28" x14ac:dyDescent="0.25">
      <c r="A1454" t="s">
        <v>1458</v>
      </c>
      <c r="B1454">
        <v>0.99673306730245903</v>
      </c>
      <c r="C1454">
        <v>1.0446496024035501</v>
      </c>
      <c r="D1454">
        <v>0.48941500430263901</v>
      </c>
      <c r="E1454">
        <v>0.42074869807244197</v>
      </c>
      <c r="F1454">
        <v>0.23416814254648699</v>
      </c>
      <c r="G1454">
        <v>0.13421854096824801</v>
      </c>
      <c r="H1454">
        <v>9.03355496980109E-2</v>
      </c>
      <c r="I1454">
        <v>5.5543922888864998E-2</v>
      </c>
      <c r="J1454">
        <v>4.4867513017362901E-2</v>
      </c>
      <c r="K1454">
        <v>4.40284294019999E-2</v>
      </c>
      <c r="L1454">
        <v>817.16864443669203</v>
      </c>
      <c r="M1454">
        <v>17.204510027612301</v>
      </c>
      <c r="N1454">
        <v>47.866370236511798</v>
      </c>
      <c r="O1454">
        <v>46.869599749295901</v>
      </c>
      <c r="P1454">
        <v>-8.6073545657581199E-2</v>
      </c>
      <c r="Q1454">
        <v>6.2108081361870002E-2</v>
      </c>
      <c r="R1454">
        <v>0.95004361843142504</v>
      </c>
      <c r="S1454" t="s">
        <v>7906</v>
      </c>
      <c r="T1454" t="s">
        <v>12902</v>
      </c>
      <c r="U1454" t="s">
        <v>12902</v>
      </c>
      <c r="V1454" t="s">
        <v>12902</v>
      </c>
      <c r="W1454" t="s">
        <v>14328</v>
      </c>
      <c r="X1454">
        <v>13</v>
      </c>
      <c r="Y1454" t="s">
        <v>20710</v>
      </c>
      <c r="Z1454" t="s">
        <v>27029</v>
      </c>
      <c r="AA1454">
        <v>0.31513498672334272</v>
      </c>
      <c r="AB1454" t="str">
        <f>HYPERLINK("Melting_Curves/meltCurve_O43592_XPOT.pdf", "Melting_Curves/meltCurve_O43592_XPOT.pdf")</f>
        <v>Melting_Curves/meltCurve_O43592_XPOT.pdf</v>
      </c>
    </row>
    <row r="1455" spans="1:28" x14ac:dyDescent="0.25">
      <c r="A1455" t="s">
        <v>1459</v>
      </c>
      <c r="B1455">
        <v>0.99673306730245903</v>
      </c>
      <c r="C1455">
        <v>0.91182293123237601</v>
      </c>
      <c r="D1455">
        <v>0.84573731620514303</v>
      </c>
      <c r="E1455">
        <v>0.78303155389483603</v>
      </c>
      <c r="F1455">
        <v>0.693765189013135</v>
      </c>
      <c r="G1455">
        <v>0.64921497549623197</v>
      </c>
      <c r="H1455">
        <v>0.58697960033312901</v>
      </c>
      <c r="I1455">
        <v>0.684994991961132</v>
      </c>
      <c r="J1455">
        <v>0.61975805122957806</v>
      </c>
      <c r="K1455">
        <v>0.84190121603849999</v>
      </c>
      <c r="L1455">
        <v>829.08630845838798</v>
      </c>
      <c r="M1455">
        <v>17.933267587317001</v>
      </c>
      <c r="O1455">
        <v>45.668372414757499</v>
      </c>
      <c r="P1455">
        <v>-3.1840674106731803E-2</v>
      </c>
      <c r="Q1455">
        <v>0.675677853791947</v>
      </c>
      <c r="R1455">
        <v>0.74156016149283999</v>
      </c>
      <c r="S1455" t="s">
        <v>7907</v>
      </c>
      <c r="T1455" t="s">
        <v>12902</v>
      </c>
      <c r="U1455" t="s">
        <v>12902</v>
      </c>
      <c r="V1455" t="s">
        <v>12902</v>
      </c>
      <c r="W1455" t="s">
        <v>14329</v>
      </c>
      <c r="X1455">
        <v>3</v>
      </c>
      <c r="Y1455" t="s">
        <v>20711</v>
      </c>
      <c r="Z1455" t="s">
        <v>27030</v>
      </c>
      <c r="AA1455">
        <v>0.74936007168126983</v>
      </c>
      <c r="AB1455" t="str">
        <f>HYPERLINK("Melting_Curves/meltCurve_O43597_SPRY2.pdf", "Melting_Curves/meltCurve_O43597_SPRY2.pdf")</f>
        <v>Melting_Curves/meltCurve_O43597_SPRY2.pdf</v>
      </c>
    </row>
    <row r="1456" spans="1:28" x14ac:dyDescent="0.25">
      <c r="A1456" t="s">
        <v>1460</v>
      </c>
      <c r="B1456">
        <v>0.99673306730245903</v>
      </c>
      <c r="C1456">
        <v>1.0160497208761201</v>
      </c>
      <c r="D1456">
        <v>0.99109183382586497</v>
      </c>
      <c r="E1456">
        <v>0.92153638933353799</v>
      </c>
      <c r="F1456">
        <v>0.87532370224171197</v>
      </c>
      <c r="G1456">
        <v>0.78441771754899503</v>
      </c>
      <c r="H1456">
        <v>0.62154056246094003</v>
      </c>
      <c r="I1456">
        <v>0.57401529633494996</v>
      </c>
      <c r="J1456">
        <v>0.150907228987818</v>
      </c>
      <c r="K1456">
        <v>0.11587646372235599</v>
      </c>
      <c r="L1456">
        <v>949.09249125043698</v>
      </c>
      <c r="M1456">
        <v>15.158695826900299</v>
      </c>
      <c r="N1456">
        <v>62.61043183972</v>
      </c>
      <c r="O1456">
        <v>61.551149654871097</v>
      </c>
      <c r="P1456">
        <v>-6.1575484950851703E-2</v>
      </c>
      <c r="Q1456">
        <v>0</v>
      </c>
      <c r="R1456">
        <v>0.95161672238626305</v>
      </c>
      <c r="S1456" t="s">
        <v>7908</v>
      </c>
      <c r="T1456" t="s">
        <v>12902</v>
      </c>
      <c r="U1456" t="s">
        <v>12902</v>
      </c>
      <c r="V1456" t="s">
        <v>12902</v>
      </c>
      <c r="W1456" t="s">
        <v>14330</v>
      </c>
      <c r="X1456">
        <v>12</v>
      </c>
      <c r="Y1456" t="s">
        <v>20712</v>
      </c>
      <c r="Z1456" t="s">
        <v>27031</v>
      </c>
      <c r="AA1456">
        <v>0.74749658275956321</v>
      </c>
      <c r="AB1456" t="str">
        <f>HYPERLINK("Melting_Curves/meltCurve_O43598_DNPH1.pdf", "Melting_Curves/meltCurve_O43598_DNPH1.pdf")</f>
        <v>Melting_Curves/meltCurve_O43598_DNPH1.pdf</v>
      </c>
    </row>
    <row r="1457" spans="1:28" x14ac:dyDescent="0.25">
      <c r="A1457" t="s">
        <v>1461</v>
      </c>
      <c r="B1457">
        <v>0.99673306730245903</v>
      </c>
      <c r="C1457">
        <v>1.07369783972036</v>
      </c>
      <c r="D1457">
        <v>0.76327098079507005</v>
      </c>
      <c r="E1457">
        <v>0.72892481985675495</v>
      </c>
      <c r="F1457">
        <v>0.23417480747705099</v>
      </c>
      <c r="G1457">
        <v>0.13127786214357601</v>
      </c>
      <c r="H1457">
        <v>7.1661977691145698E-2</v>
      </c>
      <c r="I1457">
        <v>6.33739308506856E-2</v>
      </c>
      <c r="J1457">
        <v>6.8779171545929899E-2</v>
      </c>
      <c r="K1457">
        <v>6.0033120222294303E-2</v>
      </c>
      <c r="L1457">
        <v>1126.63901022102</v>
      </c>
      <c r="M1457">
        <v>22.246845475599098</v>
      </c>
      <c r="N1457">
        <v>50.892507170906299</v>
      </c>
      <c r="O1457">
        <v>50.238772402793799</v>
      </c>
      <c r="P1457">
        <v>-0.104980379746485</v>
      </c>
      <c r="Q1457">
        <v>5.17356250032113E-2</v>
      </c>
      <c r="R1457">
        <v>0.97352597940163499</v>
      </c>
      <c r="S1457" t="s">
        <v>7909</v>
      </c>
      <c r="T1457" t="s">
        <v>12902</v>
      </c>
      <c r="U1457" t="s">
        <v>12902</v>
      </c>
      <c r="V1457" t="s">
        <v>12902</v>
      </c>
      <c r="W1457" t="s">
        <v>14331</v>
      </c>
      <c r="X1457">
        <v>30</v>
      </c>
      <c r="Y1457" t="s">
        <v>20713</v>
      </c>
      <c r="Z1457" t="s">
        <v>27032</v>
      </c>
      <c r="AA1457">
        <v>0.39887058547936938</v>
      </c>
      <c r="AB1457" t="str">
        <f>HYPERLINK("Melting_Curves/meltCurve_O43615_TIMM44.pdf", "Melting_Curves/meltCurve_O43615_TIMM44.pdf")</f>
        <v>Melting_Curves/meltCurve_O43615_TIMM44.pdf</v>
      </c>
    </row>
    <row r="1458" spans="1:28" x14ac:dyDescent="0.25">
      <c r="A1458" t="s">
        <v>1462</v>
      </c>
      <c r="B1458">
        <v>0.99673306730245903</v>
      </c>
      <c r="C1458">
        <v>1.01662249800666</v>
      </c>
      <c r="D1458">
        <v>0.96753324394783302</v>
      </c>
      <c r="E1458">
        <v>0.98783838522003098</v>
      </c>
      <c r="F1458">
        <v>0.81402183024154295</v>
      </c>
      <c r="G1458">
        <v>0.46549932191080801</v>
      </c>
      <c r="H1458">
        <v>0.24636137239953701</v>
      </c>
      <c r="I1458">
        <v>0.23129498037087801</v>
      </c>
      <c r="J1458">
        <v>0.17105516032899401</v>
      </c>
      <c r="K1458">
        <v>0.122872911053936</v>
      </c>
      <c r="L1458">
        <v>1449.51394957455</v>
      </c>
      <c r="M1458">
        <v>26.0161693101245</v>
      </c>
      <c r="N1458">
        <v>56.548538803014999</v>
      </c>
      <c r="O1458">
        <v>55.389837920147002</v>
      </c>
      <c r="P1458">
        <v>-9.8739880516187803E-2</v>
      </c>
      <c r="Q1458">
        <v>0.15911958744589</v>
      </c>
      <c r="R1458">
        <v>0.99607938990475897</v>
      </c>
      <c r="S1458" t="s">
        <v>7910</v>
      </c>
      <c r="T1458" t="s">
        <v>12902</v>
      </c>
      <c r="U1458" t="s">
        <v>12902</v>
      </c>
      <c r="V1458" t="s">
        <v>12902</v>
      </c>
      <c r="W1458" t="s">
        <v>14332</v>
      </c>
      <c r="X1458">
        <v>5</v>
      </c>
      <c r="Y1458" t="s">
        <v>20714</v>
      </c>
      <c r="Z1458" t="s">
        <v>27033</v>
      </c>
      <c r="AA1458">
        <v>0.60685910954078881</v>
      </c>
      <c r="AB1458" t="str">
        <f>HYPERLINK("Melting_Curves/meltCurve_O43617_TRAPPC3.pdf", "Melting_Curves/meltCurve_O43617_TRAPPC3.pdf")</f>
        <v>Melting_Curves/meltCurve_O43617_TRAPPC3.pdf</v>
      </c>
    </row>
    <row r="1459" spans="1:28" x14ac:dyDescent="0.25">
      <c r="A1459" t="s">
        <v>1463</v>
      </c>
      <c r="B1459">
        <v>0.99673306730245903</v>
      </c>
      <c r="C1459">
        <v>1.07006477896972</v>
      </c>
      <c r="D1459">
        <v>1.03349306603872</v>
      </c>
      <c r="E1459">
        <v>1.02538543648317</v>
      </c>
      <c r="F1459">
        <v>0.73682085722468005</v>
      </c>
      <c r="G1459">
        <v>0.39080638128950701</v>
      </c>
      <c r="H1459">
        <v>0.13114373808050001</v>
      </c>
      <c r="I1459">
        <v>0.12973208972125999</v>
      </c>
      <c r="J1459">
        <v>0.129134834857762</v>
      </c>
      <c r="K1459">
        <v>0.108460393401119</v>
      </c>
      <c r="L1459">
        <v>1643.19934277324</v>
      </c>
      <c r="M1459">
        <v>29.846634145912599</v>
      </c>
      <c r="N1459">
        <v>55.521126029402602</v>
      </c>
      <c r="O1459">
        <v>54.809387309859098</v>
      </c>
      <c r="P1459">
        <v>-0.12104495851302199</v>
      </c>
      <c r="Q1459">
        <v>0.110873824897061</v>
      </c>
      <c r="R1459">
        <v>0.99278386965003496</v>
      </c>
      <c r="S1459" t="s">
        <v>7911</v>
      </c>
      <c r="T1459" t="s">
        <v>12902</v>
      </c>
      <c r="U1459" t="s">
        <v>12902</v>
      </c>
      <c r="V1459" t="s">
        <v>12902</v>
      </c>
      <c r="W1459" t="s">
        <v>14333</v>
      </c>
      <c r="X1459">
        <v>11</v>
      </c>
      <c r="Y1459" t="s">
        <v>20715</v>
      </c>
      <c r="Z1459" t="s">
        <v>27034</v>
      </c>
      <c r="AA1459">
        <v>0.56301751233962594</v>
      </c>
      <c r="AB1459" t="str">
        <f>HYPERLINK("Melting_Curves/meltCurve_O43633_CHMP2A.pdf", "Melting_Curves/meltCurve_O43633_CHMP2A.pdf")</f>
        <v>Melting_Curves/meltCurve_O43633_CHMP2A.pdf</v>
      </c>
    </row>
    <row r="1460" spans="1:28" x14ac:dyDescent="0.25">
      <c r="A1460" t="s">
        <v>1464</v>
      </c>
      <c r="B1460">
        <v>0.99673306730245903</v>
      </c>
      <c r="C1460">
        <v>0.94004711604568503</v>
      </c>
      <c r="D1460">
        <v>0.73893535312613401</v>
      </c>
      <c r="E1460">
        <v>0.30994838448588202</v>
      </c>
      <c r="F1460">
        <v>0.20126603231183901</v>
      </c>
      <c r="G1460">
        <v>0.111049159939599</v>
      </c>
      <c r="H1460">
        <v>7.1381678271839402E-2</v>
      </c>
      <c r="I1460">
        <v>7.8701322459527406E-2</v>
      </c>
      <c r="J1460">
        <v>8.5720600067625205E-2</v>
      </c>
      <c r="K1460">
        <v>8.37056960471807E-2</v>
      </c>
      <c r="L1460">
        <v>1148.6297772606799</v>
      </c>
      <c r="M1460">
        <v>24.1178710502253</v>
      </c>
      <c r="N1460">
        <v>48.002120592149502</v>
      </c>
      <c r="O1460">
        <v>47.301857235966899</v>
      </c>
      <c r="P1460">
        <v>-0.116486364731512</v>
      </c>
      <c r="Q1460">
        <v>8.6165277327540604E-2</v>
      </c>
      <c r="R1460">
        <v>0.99703630709936597</v>
      </c>
      <c r="S1460" t="s">
        <v>7912</v>
      </c>
      <c r="T1460" t="s">
        <v>12902</v>
      </c>
      <c r="U1460" t="s">
        <v>12902</v>
      </c>
      <c r="V1460" t="s">
        <v>12902</v>
      </c>
      <c r="W1460" t="s">
        <v>14334</v>
      </c>
      <c r="X1460">
        <v>6</v>
      </c>
      <c r="Y1460" t="s">
        <v>20716</v>
      </c>
      <c r="Z1460" t="s">
        <v>27035</v>
      </c>
      <c r="AA1460">
        <v>0.32719493209784201</v>
      </c>
      <c r="AB1460" t="str">
        <f>HYPERLINK("Melting_Curves/meltCurve_O43639_NCK2.pdf", "Melting_Curves/meltCurve_O43639_NCK2.pdf")</f>
        <v>Melting_Curves/meltCurve_O43639_NCK2.pdf</v>
      </c>
    </row>
    <row r="1461" spans="1:28" x14ac:dyDescent="0.25">
      <c r="A1461" t="s">
        <v>1465</v>
      </c>
      <c r="B1461">
        <v>0.99673306730245903</v>
      </c>
      <c r="C1461">
        <v>0.88693791008185696</v>
      </c>
      <c r="D1461">
        <v>0.91921290081443097</v>
      </c>
      <c r="E1461">
        <v>0.82748446103129403</v>
      </c>
      <c r="F1461">
        <v>0.59848290651754199</v>
      </c>
      <c r="G1461">
        <v>0.54904813992583601</v>
      </c>
      <c r="H1461">
        <v>0.44073956420279498</v>
      </c>
      <c r="I1461">
        <v>0.74722282045190402</v>
      </c>
      <c r="J1461">
        <v>0.68322366585223004</v>
      </c>
      <c r="K1461">
        <v>0.76857784583905797</v>
      </c>
      <c r="L1461">
        <v>1600.1447398809</v>
      </c>
      <c r="M1461">
        <v>32.579377767211497</v>
      </c>
      <c r="O1461">
        <v>48.931325099374398</v>
      </c>
      <c r="P1461">
        <v>-6.1626010123893599E-2</v>
      </c>
      <c r="Q1461">
        <v>0.62977461470295404</v>
      </c>
      <c r="R1461">
        <v>0.64527904018189397</v>
      </c>
      <c r="S1461" t="s">
        <v>7913</v>
      </c>
      <c r="T1461" t="s">
        <v>12902</v>
      </c>
      <c r="U1461" t="s">
        <v>12902</v>
      </c>
      <c r="V1461" t="s">
        <v>12902</v>
      </c>
      <c r="W1461" t="s">
        <v>14335</v>
      </c>
      <c r="X1461">
        <v>4</v>
      </c>
      <c r="Y1461" t="s">
        <v>20717</v>
      </c>
      <c r="Z1461" t="s">
        <v>27036</v>
      </c>
      <c r="AA1461">
        <v>0.7441731070457176</v>
      </c>
      <c r="AB1461" t="str">
        <f>HYPERLINK("Melting_Curves/meltCurve_O43657_TSPAN6.pdf", "Melting_Curves/meltCurve_O43657_TSPAN6.pdf")</f>
        <v>Melting_Curves/meltCurve_O43657_TSPAN6.pdf</v>
      </c>
    </row>
    <row r="1462" spans="1:28" x14ac:dyDescent="0.25">
      <c r="A1462" t="s">
        <v>1466</v>
      </c>
      <c r="B1462">
        <v>0.99673306730245903</v>
      </c>
      <c r="C1462">
        <v>0.77317015623140894</v>
      </c>
      <c r="D1462">
        <v>0.43984537932515999</v>
      </c>
      <c r="E1462">
        <v>0.325600067301687</v>
      </c>
      <c r="F1462">
        <v>0.27902784304904499</v>
      </c>
      <c r="G1462">
        <v>0.20803492829669301</v>
      </c>
      <c r="H1462">
        <v>0.168908188102185</v>
      </c>
      <c r="I1462">
        <v>0.166706651450341</v>
      </c>
      <c r="J1462">
        <v>0.233762604935428</v>
      </c>
      <c r="K1462">
        <v>0.21510095742868601</v>
      </c>
      <c r="L1462">
        <v>1045.6827923698099</v>
      </c>
      <c r="M1462">
        <v>23.449313026445498</v>
      </c>
      <c r="N1462">
        <v>45.664957331666002</v>
      </c>
      <c r="O1462">
        <v>44.2728168667932</v>
      </c>
      <c r="P1462">
        <v>-0.10439558037977099</v>
      </c>
      <c r="Q1462">
        <v>0.21160920987634099</v>
      </c>
      <c r="R1462">
        <v>0.982819338393495</v>
      </c>
      <c r="S1462" t="s">
        <v>7914</v>
      </c>
      <c r="T1462" t="s">
        <v>12902</v>
      </c>
      <c r="U1462" t="s">
        <v>12902</v>
      </c>
      <c r="V1462" t="s">
        <v>12902</v>
      </c>
      <c r="W1462" t="s">
        <v>14336</v>
      </c>
      <c r="X1462">
        <v>8</v>
      </c>
      <c r="Y1462" t="s">
        <v>20718</v>
      </c>
      <c r="Z1462" t="s">
        <v>27037</v>
      </c>
      <c r="AA1462">
        <v>0.34193983796818123</v>
      </c>
      <c r="AB1462" t="str">
        <f>HYPERLINK("Melting_Curves/meltCurve_O43663_2_PRC1.pdf", "Melting_Curves/meltCurve_O43663_2_PRC1.pdf")</f>
        <v>Melting_Curves/meltCurve_O43663_2_PRC1.pdf</v>
      </c>
    </row>
    <row r="1463" spans="1:28" x14ac:dyDescent="0.25">
      <c r="A1463" t="s">
        <v>1467</v>
      </c>
      <c r="B1463">
        <v>0.99673306730245903</v>
      </c>
      <c r="C1463">
        <v>1.0600041937654201</v>
      </c>
      <c r="D1463">
        <v>1.0490709168686601</v>
      </c>
      <c r="E1463">
        <v>0.88213543996696797</v>
      </c>
      <c r="F1463">
        <v>0.82625708620145699</v>
      </c>
      <c r="G1463">
        <v>0.83946608957892599</v>
      </c>
      <c r="H1463">
        <v>1.27004639707751</v>
      </c>
      <c r="I1463">
        <v>1.9024235442633</v>
      </c>
      <c r="J1463">
        <v>2.09751566798856</v>
      </c>
      <c r="K1463">
        <v>2.2759486723629601</v>
      </c>
      <c r="L1463">
        <v>15000</v>
      </c>
      <c r="M1463">
        <v>246.87129116120701</v>
      </c>
      <c r="O1463">
        <v>60.756407050850598</v>
      </c>
      <c r="P1463">
        <v>0.50791195229826702</v>
      </c>
      <c r="Q1463">
        <v>1.5</v>
      </c>
      <c r="R1463">
        <v>0.56820523714094495</v>
      </c>
      <c r="S1463" t="s">
        <v>7915</v>
      </c>
      <c r="T1463" t="s">
        <v>12902</v>
      </c>
      <c r="U1463" t="s">
        <v>12902</v>
      </c>
      <c r="V1463" t="s">
        <v>12902</v>
      </c>
      <c r="W1463" t="s">
        <v>14337</v>
      </c>
      <c r="X1463">
        <v>7</v>
      </c>
      <c r="Y1463" t="s">
        <v>20719</v>
      </c>
      <c r="Z1463" t="s">
        <v>27038</v>
      </c>
      <c r="AA1463">
        <v>1.1539385482088971</v>
      </c>
      <c r="AB1463" t="str">
        <f>HYPERLINK("Melting_Curves/meltCurve_O43676_NDUFB3.pdf", "Melting_Curves/meltCurve_O43676_NDUFB3.pdf")</f>
        <v>Melting_Curves/meltCurve_O43676_NDUFB3.pdf</v>
      </c>
    </row>
    <row r="1464" spans="1:28" x14ac:dyDescent="0.25">
      <c r="A1464" t="s">
        <v>1468</v>
      </c>
      <c r="B1464">
        <v>0.99673306730245903</v>
      </c>
      <c r="C1464">
        <v>1.0426433191476401</v>
      </c>
      <c r="D1464">
        <v>1.1194740371115399</v>
      </c>
      <c r="E1464">
        <v>1.09319162051709</v>
      </c>
      <c r="F1464">
        <v>0.87580484738745101</v>
      </c>
      <c r="G1464">
        <v>0.98935762898733204</v>
      </c>
      <c r="H1464">
        <v>0.92485605603562904</v>
      </c>
      <c r="I1464">
        <v>1.5093687838743799</v>
      </c>
      <c r="J1464">
        <v>1.29466549657694</v>
      </c>
      <c r="K1464">
        <v>1.15509456063417</v>
      </c>
      <c r="L1464">
        <v>15000</v>
      </c>
      <c r="M1464">
        <v>241.001817302154</v>
      </c>
      <c r="O1464">
        <v>62.2359332552277</v>
      </c>
      <c r="P1464">
        <v>0.30948422734842101</v>
      </c>
      <c r="Q1464">
        <v>1.31968276987913</v>
      </c>
      <c r="R1464">
        <v>0.65201488294288001</v>
      </c>
      <c r="S1464" t="s">
        <v>7916</v>
      </c>
      <c r="T1464" t="s">
        <v>12902</v>
      </c>
      <c r="U1464" t="s">
        <v>12902</v>
      </c>
      <c r="V1464" t="s">
        <v>12902</v>
      </c>
      <c r="W1464" t="s">
        <v>14338</v>
      </c>
      <c r="X1464">
        <v>1</v>
      </c>
      <c r="Y1464" t="s">
        <v>20720</v>
      </c>
      <c r="Z1464" t="s">
        <v>27039</v>
      </c>
      <c r="AA1464">
        <v>1.082651627182371</v>
      </c>
      <c r="AB1464" t="str">
        <f>HYPERLINK("Melting_Curves/meltCurve_O43677_NDUFC1.pdf", "Melting_Curves/meltCurve_O43677_NDUFC1.pdf")</f>
        <v>Melting_Curves/meltCurve_O43677_NDUFC1.pdf</v>
      </c>
    </row>
    <row r="1465" spans="1:28" x14ac:dyDescent="0.25">
      <c r="A1465" t="s">
        <v>1469</v>
      </c>
      <c r="B1465">
        <v>0.99673306730245903</v>
      </c>
      <c r="C1465">
        <v>1.06538720344788</v>
      </c>
      <c r="D1465">
        <v>0.98715681756555196</v>
      </c>
      <c r="E1465">
        <v>1.07182872082187</v>
      </c>
      <c r="F1465">
        <v>0.72149285174671196</v>
      </c>
      <c r="G1465">
        <v>0.38241084655220597</v>
      </c>
      <c r="H1465">
        <v>0.235282328954946</v>
      </c>
      <c r="I1465">
        <v>0.25717947532225699</v>
      </c>
      <c r="J1465">
        <v>0.39871517714051602</v>
      </c>
      <c r="K1465">
        <v>0.40644142650876602</v>
      </c>
      <c r="L1465">
        <v>3202.4905126204999</v>
      </c>
      <c r="M1465">
        <v>59.821359958226402</v>
      </c>
      <c r="N1465">
        <v>54.523926109704803</v>
      </c>
      <c r="O1465">
        <v>53.4745043980666</v>
      </c>
      <c r="P1465">
        <v>-0.18704800040275099</v>
      </c>
      <c r="Q1465">
        <v>0.33118906533684001</v>
      </c>
      <c r="R1465">
        <v>0.96716563810752298</v>
      </c>
      <c r="S1465" t="s">
        <v>7917</v>
      </c>
      <c r="T1465" t="s">
        <v>12902</v>
      </c>
      <c r="U1465" t="s">
        <v>12902</v>
      </c>
      <c r="V1465" t="s">
        <v>12902</v>
      </c>
      <c r="W1465" t="s">
        <v>14339</v>
      </c>
      <c r="X1465">
        <v>7</v>
      </c>
      <c r="Y1465" t="s">
        <v>20721</v>
      </c>
      <c r="Z1465" t="s">
        <v>27040</v>
      </c>
      <c r="AA1465">
        <v>0.63401855585626554</v>
      </c>
      <c r="AB1465" t="str">
        <f>HYPERLINK("Melting_Curves/meltCurve_O43678_NDUFA2.pdf", "Melting_Curves/meltCurve_O43678_NDUFA2.pdf")</f>
        <v>Melting_Curves/meltCurve_O43678_NDUFA2.pdf</v>
      </c>
    </row>
    <row r="1466" spans="1:28" x14ac:dyDescent="0.25">
      <c r="A1466" t="s">
        <v>1470</v>
      </c>
      <c r="B1466">
        <v>0.99673306730245903</v>
      </c>
      <c r="C1466">
        <v>1.04284378918167</v>
      </c>
      <c r="D1466">
        <v>0.98407922503919298</v>
      </c>
      <c r="E1466">
        <v>1.0210601194803</v>
      </c>
      <c r="F1466">
        <v>0.87083472959678898</v>
      </c>
      <c r="G1466">
        <v>0.70018978643160901</v>
      </c>
      <c r="H1466">
        <v>0.28907325577721099</v>
      </c>
      <c r="I1466">
        <v>9.3734071382727102E-2</v>
      </c>
      <c r="J1466">
        <v>6.7533526698217397E-2</v>
      </c>
      <c r="K1466">
        <v>4.7934828014391598E-2</v>
      </c>
      <c r="L1466">
        <v>1449.14860209317</v>
      </c>
      <c r="M1466">
        <v>24.8079998624982</v>
      </c>
      <c r="N1466">
        <v>58.512793246592302</v>
      </c>
      <c r="O1466">
        <v>58.038967889140402</v>
      </c>
      <c r="P1466">
        <v>-0.10468180956673399</v>
      </c>
      <c r="Q1466">
        <v>2.0390200189260001E-2</v>
      </c>
      <c r="R1466">
        <v>0.99576221396481301</v>
      </c>
      <c r="S1466" t="s">
        <v>7918</v>
      </c>
      <c r="T1466" t="s">
        <v>12902</v>
      </c>
      <c r="U1466" t="s">
        <v>12902</v>
      </c>
      <c r="V1466" t="s">
        <v>12902</v>
      </c>
      <c r="W1466" t="s">
        <v>14340</v>
      </c>
      <c r="X1466">
        <v>10</v>
      </c>
      <c r="Y1466" t="s">
        <v>20722</v>
      </c>
      <c r="Z1466" t="s">
        <v>27041</v>
      </c>
      <c r="AA1466">
        <v>0.63012050808075915</v>
      </c>
      <c r="AB1466" t="str">
        <f>HYPERLINK("Melting_Curves/meltCurve_O43681_ASNA1.pdf", "Melting_Curves/meltCurve_O43681_ASNA1.pdf")</f>
        <v>Melting_Curves/meltCurve_O43681_ASNA1.pdf</v>
      </c>
    </row>
    <row r="1467" spans="1:28" x14ac:dyDescent="0.25">
      <c r="A1467" t="s">
        <v>1471</v>
      </c>
      <c r="B1467">
        <v>0.99673306730245903</v>
      </c>
      <c r="C1467">
        <v>0.93495713338789699</v>
      </c>
      <c r="D1467">
        <v>0.92277798300798297</v>
      </c>
      <c r="E1467">
        <v>0.94758327021177602</v>
      </c>
      <c r="F1467">
        <v>0.74635481706712203</v>
      </c>
      <c r="G1467">
        <v>0.53862185511941796</v>
      </c>
      <c r="H1467">
        <v>0.177157395092611</v>
      </c>
      <c r="I1467">
        <v>9.57500522422913E-2</v>
      </c>
      <c r="J1467">
        <v>8.6248669727870403E-2</v>
      </c>
      <c r="K1467">
        <v>8.6026195050756094E-2</v>
      </c>
      <c r="L1467">
        <v>1122.0443201815799</v>
      </c>
      <c r="M1467">
        <v>19.9006557288164</v>
      </c>
      <c r="N1467">
        <v>56.608875691562602</v>
      </c>
      <c r="O1467">
        <v>55.822216694809299</v>
      </c>
      <c r="P1467">
        <v>-8.5715885555393098E-2</v>
      </c>
      <c r="Q1467">
        <v>3.8284574201100798E-2</v>
      </c>
      <c r="R1467">
        <v>0.98916965023118497</v>
      </c>
      <c r="S1467" t="s">
        <v>7919</v>
      </c>
      <c r="T1467" t="s">
        <v>12902</v>
      </c>
      <c r="U1467" t="s">
        <v>12902</v>
      </c>
      <c r="V1467" t="s">
        <v>12902</v>
      </c>
      <c r="W1467" t="s">
        <v>14341</v>
      </c>
      <c r="X1467">
        <v>24</v>
      </c>
      <c r="Y1467" t="s">
        <v>20723</v>
      </c>
      <c r="Z1467" t="s">
        <v>27042</v>
      </c>
      <c r="AA1467">
        <v>0.57571238045234385</v>
      </c>
      <c r="AB1467" t="str">
        <f>HYPERLINK("Melting_Curves/meltCurve_O43684_BUB3.pdf", "Melting_Curves/meltCurve_O43684_BUB3.pdf")</f>
        <v>Melting_Curves/meltCurve_O43684_BUB3.pdf</v>
      </c>
    </row>
    <row r="1468" spans="1:28" x14ac:dyDescent="0.25">
      <c r="A1468" t="s">
        <v>1472</v>
      </c>
      <c r="B1468">
        <v>0.99673306730245903</v>
      </c>
      <c r="C1468">
        <v>0.96857871439881205</v>
      </c>
      <c r="D1468">
        <v>0.96920665946228601</v>
      </c>
      <c r="E1468">
        <v>0.96602967567549602</v>
      </c>
      <c r="F1468">
        <v>0.78992507850007898</v>
      </c>
      <c r="G1468">
        <v>0.46920467642725999</v>
      </c>
      <c r="H1468">
        <v>0.12684154072495599</v>
      </c>
      <c r="I1468">
        <v>9.30294172429314E-2</v>
      </c>
      <c r="J1468">
        <v>9.12902590497007E-2</v>
      </c>
      <c r="K1468">
        <v>8.0664400901215502E-2</v>
      </c>
      <c r="L1468">
        <v>1467.3941512393701</v>
      </c>
      <c r="M1468">
        <v>26.230707998612001</v>
      </c>
      <c r="N1468">
        <v>56.236870365379701</v>
      </c>
      <c r="O1468">
        <v>55.619739634389497</v>
      </c>
      <c r="P1468">
        <v>-0.110324479274776</v>
      </c>
      <c r="Q1468">
        <v>6.4279826514547805E-2</v>
      </c>
      <c r="R1468">
        <v>0.99697886559363402</v>
      </c>
      <c r="S1468" t="s">
        <v>7920</v>
      </c>
      <c r="T1468" t="s">
        <v>12902</v>
      </c>
      <c r="U1468" t="s">
        <v>12902</v>
      </c>
      <c r="V1468" t="s">
        <v>12902</v>
      </c>
      <c r="W1468" t="s">
        <v>14342</v>
      </c>
      <c r="X1468">
        <v>74</v>
      </c>
      <c r="Y1468" t="s">
        <v>20245</v>
      </c>
      <c r="Z1468" t="s">
        <v>27043</v>
      </c>
      <c r="AA1468">
        <v>0.5694405824898785</v>
      </c>
      <c r="AB1468" t="str">
        <f>HYPERLINK("Melting_Curves/meltCurve_O43707_ACTN4.pdf", "Melting_Curves/meltCurve_O43707_ACTN4.pdf")</f>
        <v>Melting_Curves/meltCurve_O43707_ACTN4.pdf</v>
      </c>
    </row>
    <row r="1469" spans="1:28" x14ac:dyDescent="0.25">
      <c r="A1469" t="s">
        <v>1473</v>
      </c>
      <c r="B1469">
        <v>0.99673306730245903</v>
      </c>
      <c r="C1469">
        <v>0.90945437032802501</v>
      </c>
      <c r="D1469">
        <v>0.937122720825038</v>
      </c>
      <c r="E1469">
        <v>0.85058390964535002</v>
      </c>
      <c r="F1469">
        <v>0.55600207413189795</v>
      </c>
      <c r="G1469">
        <v>0.30255934533957102</v>
      </c>
      <c r="H1469">
        <v>0.115574533192235</v>
      </c>
      <c r="I1469">
        <v>0.103966462668531</v>
      </c>
      <c r="J1469">
        <v>0.121973792513223</v>
      </c>
      <c r="K1469">
        <v>0.103747019751163</v>
      </c>
      <c r="L1469">
        <v>1084.49596992549</v>
      </c>
      <c r="M1469">
        <v>20.329323834374101</v>
      </c>
      <c r="N1469">
        <v>53.8356736869599</v>
      </c>
      <c r="O1469">
        <v>52.838246548738702</v>
      </c>
      <c r="P1469">
        <v>-8.8075983978965405E-2</v>
      </c>
      <c r="Q1469">
        <v>8.4349619167089399E-2</v>
      </c>
      <c r="R1469">
        <v>0.99234600607178303</v>
      </c>
      <c r="S1469" t="s">
        <v>7921</v>
      </c>
      <c r="T1469" t="s">
        <v>12902</v>
      </c>
      <c r="U1469" t="s">
        <v>12902</v>
      </c>
      <c r="V1469" t="s">
        <v>12902</v>
      </c>
      <c r="W1469" t="s">
        <v>13030</v>
      </c>
      <c r="X1469">
        <v>5</v>
      </c>
      <c r="Y1469" t="s">
        <v>19424</v>
      </c>
      <c r="Z1469" t="s">
        <v>27044</v>
      </c>
      <c r="AA1469">
        <v>0.50391531967257275</v>
      </c>
      <c r="AB1469" t="str">
        <f>HYPERLINK("Melting_Curves/meltCurve_O43709_WBSCR22.pdf", "Melting_Curves/meltCurve_O43709_WBSCR22.pdf")</f>
        <v>Melting_Curves/meltCurve_O43709_WBSCR22.pdf</v>
      </c>
    </row>
    <row r="1470" spans="1:28" x14ac:dyDescent="0.25">
      <c r="A1470" t="s">
        <v>1474</v>
      </c>
      <c r="B1470">
        <v>0.99673306730245903</v>
      </c>
      <c r="C1470">
        <v>0.98761262760774204</v>
      </c>
      <c r="D1470">
        <v>0.97569559480797796</v>
      </c>
      <c r="E1470">
        <v>0.94228478083683997</v>
      </c>
      <c r="F1470">
        <v>0.87254567005914496</v>
      </c>
      <c r="G1470">
        <v>0.83352449916197602</v>
      </c>
      <c r="H1470">
        <v>0.69444116754704299</v>
      </c>
      <c r="I1470">
        <v>1.0247602151018</v>
      </c>
      <c r="J1470">
        <v>1.5931266133750599</v>
      </c>
      <c r="K1470">
        <v>1.48958435539064</v>
      </c>
      <c r="L1470">
        <v>15000</v>
      </c>
      <c r="M1470">
        <v>231.45022939369801</v>
      </c>
      <c r="O1470">
        <v>64.803918549842294</v>
      </c>
      <c r="P1470">
        <v>0.44644340481164402</v>
      </c>
      <c r="Q1470">
        <v>1.5</v>
      </c>
      <c r="R1470">
        <v>0.79038522284629797</v>
      </c>
      <c r="S1470" t="s">
        <v>7922</v>
      </c>
      <c r="T1470" t="s">
        <v>12902</v>
      </c>
      <c r="U1470" t="s">
        <v>12902</v>
      </c>
      <c r="V1470" t="s">
        <v>12902</v>
      </c>
      <c r="W1470" t="s">
        <v>14343</v>
      </c>
      <c r="X1470">
        <v>8</v>
      </c>
      <c r="Y1470" t="s">
        <v>20724</v>
      </c>
      <c r="Z1470" t="s">
        <v>27045</v>
      </c>
      <c r="AA1470">
        <v>1.08645448486444</v>
      </c>
      <c r="AB1470" t="str">
        <f>HYPERLINK("Melting_Curves/meltCurve_O43715_TRIAP1.pdf", "Melting_Curves/meltCurve_O43715_TRIAP1.pdf")</f>
        <v>Melting_Curves/meltCurve_O43715_TRIAP1.pdf</v>
      </c>
    </row>
    <row r="1471" spans="1:28" x14ac:dyDescent="0.25">
      <c r="A1471" t="s">
        <v>1475</v>
      </c>
      <c r="B1471">
        <v>0.99673306730245903</v>
      </c>
      <c r="C1471">
        <v>0.90891041387826699</v>
      </c>
      <c r="D1471">
        <v>0.54950838498545096</v>
      </c>
      <c r="E1471">
        <v>0.32890703305049601</v>
      </c>
      <c r="F1471">
        <v>0.23283785155922301</v>
      </c>
      <c r="G1471">
        <v>0.16579553000409999</v>
      </c>
      <c r="H1471">
        <v>0.106125893650826</v>
      </c>
      <c r="I1471">
        <v>0.10230430203529201</v>
      </c>
      <c r="J1471">
        <v>0.108015833617688</v>
      </c>
      <c r="K1471">
        <v>9.2579610216888097E-2</v>
      </c>
      <c r="L1471">
        <v>908.40199292915304</v>
      </c>
      <c r="M1471">
        <v>19.5226118900672</v>
      </c>
      <c r="N1471">
        <v>47.155329904728397</v>
      </c>
      <c r="O1471">
        <v>46.050792442950197</v>
      </c>
      <c r="P1471">
        <v>-9.3913323020885495E-2</v>
      </c>
      <c r="Q1471">
        <v>0.113924284751051</v>
      </c>
      <c r="R1471">
        <v>0.98946234928906895</v>
      </c>
      <c r="S1471" t="s">
        <v>7923</v>
      </c>
      <c r="T1471" t="s">
        <v>12902</v>
      </c>
      <c r="U1471" t="s">
        <v>12902</v>
      </c>
      <c r="V1471" t="s">
        <v>12902</v>
      </c>
      <c r="W1471" t="s">
        <v>14344</v>
      </c>
      <c r="X1471">
        <v>13</v>
      </c>
      <c r="Y1471" t="s">
        <v>20725</v>
      </c>
      <c r="Z1471" t="s">
        <v>27046</v>
      </c>
      <c r="AA1471">
        <v>0.32081300284072722</v>
      </c>
      <c r="AB1471" t="str">
        <f>HYPERLINK("Melting_Curves/meltCurve_O43719_HTATSF1.pdf", "Melting_Curves/meltCurve_O43719_HTATSF1.pdf")</f>
        <v>Melting_Curves/meltCurve_O43719_HTATSF1.pdf</v>
      </c>
    </row>
    <row r="1472" spans="1:28" x14ac:dyDescent="0.25">
      <c r="A1472" t="s">
        <v>1476</v>
      </c>
      <c r="B1472">
        <v>0.99673306730245903</v>
      </c>
      <c r="C1472">
        <v>1.0254682900917</v>
      </c>
      <c r="D1472">
        <v>0.96682624590060795</v>
      </c>
      <c r="E1472">
        <v>0.76237023612356303</v>
      </c>
      <c r="F1472">
        <v>0.73088293291369499</v>
      </c>
      <c r="G1472">
        <v>0.42299144351852103</v>
      </c>
      <c r="H1472">
        <v>0.24390830602194399</v>
      </c>
      <c r="I1472">
        <v>0.22726606167691399</v>
      </c>
      <c r="J1472">
        <v>0.18337589840586699</v>
      </c>
      <c r="K1472">
        <v>0.16459679569124899</v>
      </c>
      <c r="L1472">
        <v>829.85889488610201</v>
      </c>
      <c r="M1472">
        <v>15.1877431549938</v>
      </c>
      <c r="N1472">
        <v>55.723613928919697</v>
      </c>
      <c r="O1472">
        <v>53.7190173083753</v>
      </c>
      <c r="P1472">
        <v>-6.1650046309815701E-2</v>
      </c>
      <c r="Q1472">
        <v>0.127859305113215</v>
      </c>
      <c r="R1472">
        <v>0.98542862122186703</v>
      </c>
      <c r="S1472" t="s">
        <v>7924</v>
      </c>
      <c r="T1472" t="s">
        <v>12902</v>
      </c>
      <c r="U1472" t="s">
        <v>12902</v>
      </c>
      <c r="V1472" t="s">
        <v>12902</v>
      </c>
      <c r="W1472" t="s">
        <v>14345</v>
      </c>
      <c r="X1472">
        <v>5</v>
      </c>
      <c r="Y1472" t="s">
        <v>20726</v>
      </c>
      <c r="Z1472" t="s">
        <v>27047</v>
      </c>
      <c r="AA1472">
        <v>0.57045477171188141</v>
      </c>
      <c r="AB1472" t="str">
        <f>HYPERLINK("Melting_Curves/meltCurve_O43752_STX6.pdf", "Melting_Curves/meltCurve_O43752_STX6.pdf")</f>
        <v>Melting_Curves/meltCurve_O43752_STX6.pdf</v>
      </c>
    </row>
    <row r="1473" spans="1:28" x14ac:dyDescent="0.25">
      <c r="A1473" t="s">
        <v>1477</v>
      </c>
      <c r="B1473">
        <v>0.99673306730245903</v>
      </c>
      <c r="C1473">
        <v>0.99331816967322395</v>
      </c>
      <c r="D1473">
        <v>0.94107566413642396</v>
      </c>
      <c r="E1473">
        <v>0.83422224425039404</v>
      </c>
      <c r="F1473">
        <v>0.76830872653256399</v>
      </c>
      <c r="G1473">
        <v>0.64014927133408195</v>
      </c>
      <c r="H1473">
        <v>0.54144941925895396</v>
      </c>
      <c r="I1473">
        <v>0.71945500408692897</v>
      </c>
      <c r="J1473">
        <v>0.71804530041766101</v>
      </c>
      <c r="K1473">
        <v>0.75327204833190597</v>
      </c>
      <c r="L1473">
        <v>1186.1098244039099</v>
      </c>
      <c r="M1473">
        <v>23.958990672301098</v>
      </c>
      <c r="O1473">
        <v>49.164819536370203</v>
      </c>
      <c r="P1473">
        <v>-3.9312119831024499E-2</v>
      </c>
      <c r="Q1473">
        <v>0.6773248865682</v>
      </c>
      <c r="R1473">
        <v>0.83957932657350498</v>
      </c>
      <c r="S1473" t="s">
        <v>7925</v>
      </c>
      <c r="T1473" t="s">
        <v>12902</v>
      </c>
      <c r="U1473" t="s">
        <v>12902</v>
      </c>
      <c r="V1473" t="s">
        <v>12902</v>
      </c>
      <c r="W1473" t="s">
        <v>14346</v>
      </c>
      <c r="X1473">
        <v>7</v>
      </c>
      <c r="Y1473" t="s">
        <v>20727</v>
      </c>
      <c r="Z1473" t="s">
        <v>27048</v>
      </c>
      <c r="AA1473">
        <v>0.78269774088715172</v>
      </c>
      <c r="AB1473" t="str">
        <f>HYPERLINK("Melting_Curves/meltCurve_O43760_SYNGR2.pdf", "Melting_Curves/meltCurve_O43760_SYNGR2.pdf")</f>
        <v>Melting_Curves/meltCurve_O43760_SYNGR2.pdf</v>
      </c>
    </row>
    <row r="1474" spans="1:28" x14ac:dyDescent="0.25">
      <c r="A1474" t="s">
        <v>1478</v>
      </c>
      <c r="B1474">
        <v>0.99673306730245903</v>
      </c>
      <c r="C1474">
        <v>1.0047692520616101</v>
      </c>
      <c r="D1474">
        <v>0.75560538539511002</v>
      </c>
      <c r="E1474">
        <v>0.61102776332646103</v>
      </c>
      <c r="F1474">
        <v>0.209850204521109</v>
      </c>
      <c r="G1474">
        <v>0.14146014147475899</v>
      </c>
      <c r="H1474">
        <v>9.2748278531914502E-2</v>
      </c>
      <c r="I1474">
        <v>8.3606398204108201E-2</v>
      </c>
      <c r="J1474">
        <v>9.4803205126331197E-2</v>
      </c>
      <c r="K1474">
        <v>8.4539830180433401E-2</v>
      </c>
      <c r="L1474">
        <v>981.15281673172899</v>
      </c>
      <c r="M1474">
        <v>19.7881328379252</v>
      </c>
      <c r="N1474">
        <v>49.984823698191001</v>
      </c>
      <c r="O1474">
        <v>49.084835364636</v>
      </c>
      <c r="P1474">
        <v>-9.3375529162321197E-2</v>
      </c>
      <c r="Q1474">
        <v>7.3552257195166101E-2</v>
      </c>
      <c r="R1474">
        <v>0.98714085933058604</v>
      </c>
      <c r="S1474" t="s">
        <v>7926</v>
      </c>
      <c r="T1474" t="s">
        <v>12902</v>
      </c>
      <c r="U1474" t="s">
        <v>12902</v>
      </c>
      <c r="V1474" t="s">
        <v>12902</v>
      </c>
      <c r="W1474" t="s">
        <v>14347</v>
      </c>
      <c r="X1474">
        <v>11</v>
      </c>
      <c r="Y1474" t="s">
        <v>20728</v>
      </c>
      <c r="Z1474" t="s">
        <v>27049</v>
      </c>
      <c r="AA1474">
        <v>0.38268520672861162</v>
      </c>
      <c r="AB1474" t="str">
        <f>HYPERLINK("Melting_Curves/meltCurve_O43765_SGTA.pdf", "Melting_Curves/meltCurve_O43765_SGTA.pdf")</f>
        <v>Melting_Curves/meltCurve_O43765_SGTA.pdf</v>
      </c>
    </row>
    <row r="1475" spans="1:28" x14ac:dyDescent="0.25">
      <c r="A1475" t="s">
        <v>1479</v>
      </c>
      <c r="B1475">
        <v>0.99673306730245903</v>
      </c>
      <c r="C1475">
        <v>1.0136777496723901</v>
      </c>
      <c r="D1475">
        <v>0.86764091873326299</v>
      </c>
      <c r="E1475">
        <v>0.77592042000172101</v>
      </c>
      <c r="F1475">
        <v>0.72784946400892403</v>
      </c>
      <c r="G1475">
        <v>0.51875044915244095</v>
      </c>
      <c r="H1475">
        <v>0.30691780981178302</v>
      </c>
      <c r="I1475">
        <v>0.20523085470668201</v>
      </c>
      <c r="J1475">
        <v>0.115237429704985</v>
      </c>
      <c r="K1475">
        <v>8.9093209588268399E-2</v>
      </c>
      <c r="L1475">
        <v>644.59136205078005</v>
      </c>
      <c r="M1475">
        <v>11.3844167942604</v>
      </c>
      <c r="N1475">
        <v>56.620478004906303</v>
      </c>
      <c r="O1475">
        <v>54.957905898824301</v>
      </c>
      <c r="P1475">
        <v>-5.18022965952845E-2</v>
      </c>
      <c r="Q1475">
        <v>0</v>
      </c>
      <c r="R1475">
        <v>0.98829338045555304</v>
      </c>
      <c r="S1475" t="s">
        <v>7927</v>
      </c>
      <c r="T1475" t="s">
        <v>12902</v>
      </c>
      <c r="U1475" t="s">
        <v>12902</v>
      </c>
      <c r="V1475" t="s">
        <v>12902</v>
      </c>
      <c r="W1475" t="s">
        <v>14348</v>
      </c>
      <c r="X1475">
        <v>2</v>
      </c>
      <c r="Y1475" t="s">
        <v>20729</v>
      </c>
      <c r="Z1475" t="s">
        <v>27050</v>
      </c>
      <c r="AA1475">
        <v>0.57233086351479467</v>
      </c>
      <c r="AB1475" t="str">
        <f>HYPERLINK("Melting_Curves/meltCurve_O43766_LIAS.pdf", "Melting_Curves/meltCurve_O43766_LIAS.pdf")</f>
        <v>Melting_Curves/meltCurve_O43766_LIAS.pdf</v>
      </c>
    </row>
    <row r="1476" spans="1:28" x14ac:dyDescent="0.25">
      <c r="A1476" t="s">
        <v>1480</v>
      </c>
      <c r="B1476">
        <v>0.99673306730245903</v>
      </c>
      <c r="C1476">
        <v>1.0236859588882199</v>
      </c>
      <c r="D1476">
        <v>1.0079118712058099</v>
      </c>
      <c r="E1476">
        <v>0.97761447415636404</v>
      </c>
      <c r="F1476">
        <v>0.86992542533434802</v>
      </c>
      <c r="G1476">
        <v>0.86484076505938401</v>
      </c>
      <c r="H1476">
        <v>0.70997200143628003</v>
      </c>
      <c r="I1476">
        <v>1.1060945486665501</v>
      </c>
      <c r="J1476">
        <v>1.6332746013978401</v>
      </c>
      <c r="K1476">
        <v>1.54698581847449</v>
      </c>
      <c r="L1476">
        <v>15000</v>
      </c>
      <c r="M1476">
        <v>233.06389687824401</v>
      </c>
      <c r="O1476">
        <v>64.355293859759001</v>
      </c>
      <c r="P1476">
        <v>0.45268983274911301</v>
      </c>
      <c r="Q1476">
        <v>1.5</v>
      </c>
      <c r="R1476">
        <v>0.81942064297281902</v>
      </c>
      <c r="S1476" t="s">
        <v>7928</v>
      </c>
      <c r="T1476" t="s">
        <v>12902</v>
      </c>
      <c r="U1476" t="s">
        <v>12902</v>
      </c>
      <c r="V1476" t="s">
        <v>12902</v>
      </c>
      <c r="W1476" t="s">
        <v>14349</v>
      </c>
      <c r="X1476">
        <v>12</v>
      </c>
      <c r="Y1476" t="s">
        <v>20730</v>
      </c>
      <c r="Z1476" t="s">
        <v>27051</v>
      </c>
      <c r="AA1476">
        <v>1.093934473137534</v>
      </c>
      <c r="AB1476" t="str">
        <f>HYPERLINK("Melting_Curves/meltCurve_O43768_2_ENSA.pdf", "Melting_Curves/meltCurve_O43768_2_ENSA.pdf")</f>
        <v>Melting_Curves/meltCurve_O43768_2_ENSA.pdf</v>
      </c>
    </row>
    <row r="1477" spans="1:28" x14ac:dyDescent="0.25">
      <c r="A1477" t="s">
        <v>1481</v>
      </c>
      <c r="B1477">
        <v>0.99673306730245903</v>
      </c>
      <c r="C1477">
        <v>1.0280306263004899</v>
      </c>
      <c r="D1477">
        <v>0.93492432080773302</v>
      </c>
      <c r="E1477">
        <v>0.81783298804206295</v>
      </c>
      <c r="F1477">
        <v>0.64971026391877695</v>
      </c>
      <c r="G1477">
        <v>0.536655340014212</v>
      </c>
      <c r="H1477">
        <v>0.42421775413614898</v>
      </c>
      <c r="I1477">
        <v>0.36253141994717603</v>
      </c>
      <c r="J1477">
        <v>0.18412316586376101</v>
      </c>
      <c r="K1477">
        <v>0.138366994257381</v>
      </c>
      <c r="L1477">
        <v>537.45127743985199</v>
      </c>
      <c r="M1477">
        <v>9.2687680961783094</v>
      </c>
      <c r="N1477">
        <v>57.985189813955898</v>
      </c>
      <c r="O1477">
        <v>55.477787429997498</v>
      </c>
      <c r="P1477">
        <v>-4.1795055727849001E-2</v>
      </c>
      <c r="Q1477">
        <v>0</v>
      </c>
      <c r="R1477">
        <v>0.984781694357863</v>
      </c>
      <c r="S1477" t="s">
        <v>7929</v>
      </c>
      <c r="T1477" t="s">
        <v>12902</v>
      </c>
      <c r="U1477" t="s">
        <v>12902</v>
      </c>
      <c r="V1477" t="s">
        <v>12902</v>
      </c>
      <c r="W1477" t="s">
        <v>14350</v>
      </c>
      <c r="X1477">
        <v>8</v>
      </c>
      <c r="Y1477" t="s">
        <v>20731</v>
      </c>
      <c r="Z1477" t="s">
        <v>27052</v>
      </c>
      <c r="AA1477">
        <v>0.60772504597973187</v>
      </c>
      <c r="AB1477" t="str">
        <f>HYPERLINK("Melting_Curves/meltCurve_O43772_SLC25A20.pdf", "Melting_Curves/meltCurve_O43772_SLC25A20.pdf")</f>
        <v>Melting_Curves/meltCurve_O43772_SLC25A20.pdf</v>
      </c>
    </row>
    <row r="1478" spans="1:28" x14ac:dyDescent="0.25">
      <c r="A1478" t="s">
        <v>1482</v>
      </c>
      <c r="B1478">
        <v>0.99673306730245903</v>
      </c>
      <c r="C1478">
        <v>0.95886422563095497</v>
      </c>
      <c r="D1478">
        <v>0.99911673719048</v>
      </c>
      <c r="E1478">
        <v>1.0283044721363901</v>
      </c>
      <c r="F1478">
        <v>0.668544396188262</v>
      </c>
      <c r="G1478">
        <v>0.26959037640838501</v>
      </c>
      <c r="H1478">
        <v>9.2859434489417497E-2</v>
      </c>
      <c r="I1478">
        <v>7.8348833422686295E-2</v>
      </c>
      <c r="J1478">
        <v>8.3475231880754494E-2</v>
      </c>
      <c r="K1478">
        <v>6.8534849118533303E-2</v>
      </c>
      <c r="L1478">
        <v>1823.1230151632899</v>
      </c>
      <c r="M1478">
        <v>33.568810033101897</v>
      </c>
      <c r="N1478">
        <v>54.576596387554602</v>
      </c>
      <c r="O1478">
        <v>54.118380147272703</v>
      </c>
      <c r="P1478">
        <v>-0.14334645652066499</v>
      </c>
      <c r="Q1478">
        <v>7.5612698169283593E-2</v>
      </c>
      <c r="R1478">
        <v>0.99594666696659695</v>
      </c>
      <c r="S1478" t="s">
        <v>7930</v>
      </c>
      <c r="T1478" t="s">
        <v>12902</v>
      </c>
      <c r="U1478" t="s">
        <v>12902</v>
      </c>
      <c r="V1478" t="s">
        <v>12902</v>
      </c>
      <c r="W1478" t="s">
        <v>14055</v>
      </c>
      <c r="X1478">
        <v>29</v>
      </c>
      <c r="Y1478" t="s">
        <v>20444</v>
      </c>
      <c r="Z1478" t="s">
        <v>27053</v>
      </c>
      <c r="AA1478">
        <v>0.52144513595927222</v>
      </c>
      <c r="AB1478" t="str">
        <f>HYPERLINK("Melting_Curves/meltCurve_O43776_NARS.pdf", "Melting_Curves/meltCurve_O43776_NARS.pdf")</f>
        <v>Melting_Curves/meltCurve_O43776_NARS.pdf</v>
      </c>
    </row>
    <row r="1479" spans="1:28" x14ac:dyDescent="0.25">
      <c r="A1479" t="s">
        <v>1483</v>
      </c>
      <c r="B1479">
        <v>0.99673306730245903</v>
      </c>
      <c r="C1479">
        <v>1.0505791075864099</v>
      </c>
      <c r="D1479">
        <v>1.0062123870859601</v>
      </c>
      <c r="E1479">
        <v>0.85560110805419998</v>
      </c>
      <c r="F1479">
        <v>0.41899715860401698</v>
      </c>
      <c r="G1479">
        <v>0.28972530359836901</v>
      </c>
      <c r="H1479">
        <v>0.18707314298667099</v>
      </c>
      <c r="I1479">
        <v>0.260329927841356</v>
      </c>
      <c r="J1479">
        <v>0.36450922727276902</v>
      </c>
      <c r="K1479">
        <v>0.39984026657433902</v>
      </c>
      <c r="L1479">
        <v>2224.14059999347</v>
      </c>
      <c r="M1479">
        <v>43.457338075804898</v>
      </c>
      <c r="N1479">
        <v>52.2780575563973</v>
      </c>
      <c r="O1479">
        <v>51.0718431220252</v>
      </c>
      <c r="P1479">
        <v>-0.14905324485570601</v>
      </c>
      <c r="Q1479">
        <v>0.29932085741112102</v>
      </c>
      <c r="R1479">
        <v>0.97106477341165198</v>
      </c>
      <c r="S1479" t="s">
        <v>7931</v>
      </c>
      <c r="T1479" t="s">
        <v>12902</v>
      </c>
      <c r="U1479" t="s">
        <v>12902</v>
      </c>
      <c r="V1479" t="s">
        <v>12902</v>
      </c>
      <c r="W1479" t="s">
        <v>14351</v>
      </c>
      <c r="X1479">
        <v>1</v>
      </c>
      <c r="Y1479" t="s">
        <v>20732</v>
      </c>
      <c r="Z1479" t="s">
        <v>27054</v>
      </c>
      <c r="AA1479">
        <v>0.56253485930940172</v>
      </c>
      <c r="AB1479" t="str">
        <f>HYPERLINK("Melting_Curves/meltCurve_O43805_SSNA1.pdf", "Melting_Curves/meltCurve_O43805_SSNA1.pdf")</f>
        <v>Melting_Curves/meltCurve_O43805_SSNA1.pdf</v>
      </c>
    </row>
    <row r="1480" spans="1:28" x14ac:dyDescent="0.25">
      <c r="A1480" t="s">
        <v>1484</v>
      </c>
      <c r="B1480">
        <v>0.99673306730245903</v>
      </c>
      <c r="C1480">
        <v>0.93415148129766601</v>
      </c>
      <c r="D1480">
        <v>0.97285450619178504</v>
      </c>
      <c r="E1480">
        <v>1.0701992777868601</v>
      </c>
      <c r="F1480">
        <v>0.88311152336184595</v>
      </c>
      <c r="G1480">
        <v>0.46137630382056</v>
      </c>
      <c r="H1480">
        <v>8.4888843701803399E-2</v>
      </c>
      <c r="I1480">
        <v>6.89492044868006E-2</v>
      </c>
      <c r="J1480">
        <v>6.0031573023451197E-2</v>
      </c>
      <c r="K1480">
        <v>5.6074241384679799E-2</v>
      </c>
      <c r="L1480">
        <v>2118.3939615469399</v>
      </c>
      <c r="M1480">
        <v>37.617544730417102</v>
      </c>
      <c r="N1480">
        <v>56.478143017370698</v>
      </c>
      <c r="O1480">
        <v>56.155552764405599</v>
      </c>
      <c r="P1480">
        <v>-0.15879804127993299</v>
      </c>
      <c r="Q1480">
        <v>5.1786283975674197E-2</v>
      </c>
      <c r="R1480">
        <v>0.99345769354756797</v>
      </c>
      <c r="S1480" t="s">
        <v>7932</v>
      </c>
      <c r="T1480" t="s">
        <v>12902</v>
      </c>
      <c r="U1480" t="s">
        <v>12902</v>
      </c>
      <c r="V1480" t="s">
        <v>12902</v>
      </c>
      <c r="W1480" t="s">
        <v>14352</v>
      </c>
      <c r="X1480">
        <v>15</v>
      </c>
      <c r="Y1480" t="s">
        <v>20733</v>
      </c>
      <c r="Z1480" t="s">
        <v>27055</v>
      </c>
      <c r="AA1480">
        <v>0.57155375735326808</v>
      </c>
      <c r="AB1480" t="str">
        <f>HYPERLINK("Melting_Curves/meltCurve_O43809_NUDT21.pdf", "Melting_Curves/meltCurve_O43809_NUDT21.pdf")</f>
        <v>Melting_Curves/meltCurve_O43809_NUDT21.pdf</v>
      </c>
    </row>
    <row r="1481" spans="1:28" x14ac:dyDescent="0.25">
      <c r="A1481" t="s">
        <v>1485</v>
      </c>
      <c r="B1481">
        <v>0.99673306730245903</v>
      </c>
      <c r="C1481">
        <v>1.0111334581939999</v>
      </c>
      <c r="D1481">
        <v>1.00140261224321</v>
      </c>
      <c r="E1481">
        <v>0.99269805198260697</v>
      </c>
      <c r="F1481">
        <v>0.87607501927116904</v>
      </c>
      <c r="G1481">
        <v>0.76831783760110095</v>
      </c>
      <c r="H1481">
        <v>0.55508513107352897</v>
      </c>
      <c r="I1481">
        <v>0.26097939482152599</v>
      </c>
      <c r="J1481">
        <v>0.126785580804953</v>
      </c>
      <c r="K1481">
        <v>9.7799780042848394E-2</v>
      </c>
      <c r="L1481">
        <v>1085.2504375189701</v>
      </c>
      <c r="M1481">
        <v>17.8533087647318</v>
      </c>
      <c r="N1481">
        <v>60.787076748809703</v>
      </c>
      <c r="O1481">
        <v>60.0398159459574</v>
      </c>
      <c r="P1481">
        <v>-7.4343243154786798E-2</v>
      </c>
      <c r="Q1481">
        <v>0</v>
      </c>
      <c r="R1481">
        <v>0.99381147091389799</v>
      </c>
      <c r="S1481" t="s">
        <v>7933</v>
      </c>
      <c r="T1481" t="s">
        <v>12902</v>
      </c>
      <c r="U1481" t="s">
        <v>12902</v>
      </c>
      <c r="V1481" t="s">
        <v>12902</v>
      </c>
      <c r="W1481" t="s">
        <v>14353</v>
      </c>
      <c r="X1481">
        <v>17</v>
      </c>
      <c r="Y1481" t="s">
        <v>20734</v>
      </c>
      <c r="Z1481" t="s">
        <v>27056</v>
      </c>
      <c r="AA1481">
        <v>0.69881702234462872</v>
      </c>
      <c r="AB1481" t="str">
        <f>HYPERLINK("Melting_Curves/meltCurve_O43813_LANCL1.pdf", "Melting_Curves/meltCurve_O43813_LANCL1.pdf")</f>
        <v>Melting_Curves/meltCurve_O43813_LANCL1.pdf</v>
      </c>
    </row>
    <row r="1482" spans="1:28" x14ac:dyDescent="0.25">
      <c r="A1482" t="s">
        <v>1486</v>
      </c>
      <c r="B1482">
        <v>0.99673306730245903</v>
      </c>
      <c r="C1482">
        <v>0.92048619270737098</v>
      </c>
      <c r="D1482">
        <v>0.95431221143924805</v>
      </c>
      <c r="E1482">
        <v>0.95823852470758397</v>
      </c>
      <c r="F1482">
        <v>0.66021354917235298</v>
      </c>
      <c r="G1482">
        <v>0.28107442676090499</v>
      </c>
      <c r="H1482">
        <v>0.11862504670910901</v>
      </c>
      <c r="I1482">
        <v>0.123623425641582</v>
      </c>
      <c r="J1482">
        <v>0.126548749581019</v>
      </c>
      <c r="K1482">
        <v>0.100499563464891</v>
      </c>
      <c r="L1482">
        <v>1662.0126353902999</v>
      </c>
      <c r="M1482">
        <v>30.738152744367198</v>
      </c>
      <c r="N1482">
        <v>54.504851330512203</v>
      </c>
      <c r="O1482">
        <v>53.842718540437701</v>
      </c>
      <c r="P1482">
        <v>-0.127203826149523</v>
      </c>
      <c r="Q1482">
        <v>0.10873509965776899</v>
      </c>
      <c r="R1482">
        <v>0.99402291137405696</v>
      </c>
      <c r="S1482" t="s">
        <v>7934</v>
      </c>
      <c r="T1482" t="s">
        <v>12902</v>
      </c>
      <c r="U1482" t="s">
        <v>12902</v>
      </c>
      <c r="V1482" t="s">
        <v>12902</v>
      </c>
      <c r="W1482" t="s">
        <v>14354</v>
      </c>
      <c r="X1482">
        <v>17</v>
      </c>
      <c r="Y1482" t="s">
        <v>20735</v>
      </c>
      <c r="Z1482" t="s">
        <v>27057</v>
      </c>
      <c r="AA1482">
        <v>0.5323294979554416</v>
      </c>
      <c r="AB1482" t="str">
        <f>HYPERLINK("Melting_Curves/meltCurve_O43815_STRN.pdf", "Melting_Curves/meltCurve_O43815_STRN.pdf")</f>
        <v>Melting_Curves/meltCurve_O43815_STRN.pdf</v>
      </c>
    </row>
    <row r="1483" spans="1:28" x14ac:dyDescent="0.25">
      <c r="A1483" t="s">
        <v>1487</v>
      </c>
      <c r="B1483">
        <v>0.99673306730245903</v>
      </c>
      <c r="C1483">
        <v>0.94342655018492505</v>
      </c>
      <c r="D1483">
        <v>1.07587682884703</v>
      </c>
      <c r="E1483">
        <v>1.23403836902738</v>
      </c>
      <c r="F1483">
        <v>1.4069726456656</v>
      </c>
      <c r="G1483">
        <v>1.1940867440140699</v>
      </c>
      <c r="H1483">
        <v>0.73943288234353899</v>
      </c>
      <c r="I1483">
        <v>0.30503624796779499</v>
      </c>
      <c r="J1483">
        <v>0.264536334205138</v>
      </c>
      <c r="K1483">
        <v>0.181323887614463</v>
      </c>
      <c r="L1483">
        <v>3898.8143018343198</v>
      </c>
      <c r="M1483">
        <v>63.384625325369598</v>
      </c>
      <c r="N1483">
        <v>62.104661857280099</v>
      </c>
      <c r="O1483">
        <v>61.449270835230898</v>
      </c>
      <c r="P1483">
        <v>-0.19924196259038099</v>
      </c>
      <c r="Q1483">
        <v>0.22736662298599999</v>
      </c>
      <c r="R1483">
        <v>0.844741578855563</v>
      </c>
      <c r="S1483" t="s">
        <v>7935</v>
      </c>
      <c r="T1483" t="s">
        <v>12902</v>
      </c>
      <c r="U1483" t="s">
        <v>12902</v>
      </c>
      <c r="V1483" t="s">
        <v>12902</v>
      </c>
      <c r="W1483" t="s">
        <v>14355</v>
      </c>
      <c r="X1483">
        <v>19</v>
      </c>
      <c r="Y1483" t="s">
        <v>20736</v>
      </c>
      <c r="Z1483" t="s">
        <v>27058</v>
      </c>
      <c r="AA1483">
        <v>0.78264162261367898</v>
      </c>
      <c r="AB1483" t="str">
        <f>HYPERLINK("Melting_Curves/meltCurve_O43818_RRP9.pdf", "Melting_Curves/meltCurve_O43818_RRP9.pdf")</f>
        <v>Melting_Curves/meltCurve_O43818_RRP9.pdf</v>
      </c>
    </row>
    <row r="1484" spans="1:28" x14ac:dyDescent="0.25">
      <c r="A1484" t="s">
        <v>1488</v>
      </c>
      <c r="B1484">
        <v>0.99673306730245903</v>
      </c>
      <c r="C1484">
        <v>0.89671173614802202</v>
      </c>
      <c r="D1484">
        <v>0.84089003332908996</v>
      </c>
      <c r="E1484">
        <v>0.49601057473327897</v>
      </c>
      <c r="F1484">
        <v>0.248143761841916</v>
      </c>
      <c r="G1484">
        <v>0.18492951837398999</v>
      </c>
      <c r="H1484">
        <v>0.156528051365105</v>
      </c>
      <c r="I1484">
        <v>0.16266815466376</v>
      </c>
      <c r="J1484">
        <v>0.120990996055407</v>
      </c>
      <c r="K1484">
        <v>0.100598222256404</v>
      </c>
      <c r="L1484">
        <v>1001.38876622769</v>
      </c>
      <c r="M1484">
        <v>20.4863986013976</v>
      </c>
      <c r="N1484">
        <v>49.5917769441456</v>
      </c>
      <c r="O1484">
        <v>48.422061030481402</v>
      </c>
      <c r="P1484">
        <v>-9.2311080544942095E-2</v>
      </c>
      <c r="Q1484">
        <v>0.12727259176304501</v>
      </c>
      <c r="R1484">
        <v>0.99443497426011396</v>
      </c>
      <c r="S1484" t="s">
        <v>7936</v>
      </c>
      <c r="T1484" t="s">
        <v>12902</v>
      </c>
      <c r="U1484" t="s">
        <v>12902</v>
      </c>
      <c r="V1484" t="s">
        <v>12902</v>
      </c>
      <c r="W1484" t="s">
        <v>14356</v>
      </c>
      <c r="X1484">
        <v>5</v>
      </c>
      <c r="Y1484" t="s">
        <v>20737</v>
      </c>
      <c r="Z1484" t="s">
        <v>27059</v>
      </c>
      <c r="AA1484">
        <v>0.39727129807786332</v>
      </c>
      <c r="AB1484" t="str">
        <f>HYPERLINK("Melting_Curves/meltCurve_O43819_SCO2.pdf", "Melting_Curves/meltCurve_O43819_SCO2.pdf")</f>
        <v>Melting_Curves/meltCurve_O43819_SCO2.pdf</v>
      </c>
    </row>
    <row r="1485" spans="1:28" x14ac:dyDescent="0.25">
      <c r="A1485" t="s">
        <v>1489</v>
      </c>
      <c r="B1485">
        <v>0.99673306730245903</v>
      </c>
      <c r="C1485">
        <v>0.94733806490190997</v>
      </c>
      <c r="D1485">
        <v>0.99172550889935696</v>
      </c>
      <c r="E1485">
        <v>0.901789615895212</v>
      </c>
      <c r="F1485">
        <v>1.09599760660242</v>
      </c>
      <c r="G1485">
        <v>1.6861811829636399</v>
      </c>
      <c r="H1485">
        <v>0.592807324587033</v>
      </c>
      <c r="I1485">
        <v>2.4655228027237199</v>
      </c>
      <c r="J1485">
        <v>1.2313518882478101</v>
      </c>
      <c r="K1485">
        <v>2.5468403507173001</v>
      </c>
      <c r="L1485">
        <v>13376.4532012539</v>
      </c>
      <c r="M1485">
        <v>250</v>
      </c>
      <c r="O1485">
        <v>53.502388803105902</v>
      </c>
      <c r="P1485">
        <v>0.58408607063356499</v>
      </c>
      <c r="Q1485">
        <v>1.5</v>
      </c>
      <c r="R1485">
        <v>0.267961823141183</v>
      </c>
      <c r="S1485" t="s">
        <v>7937</v>
      </c>
      <c r="T1485" t="s">
        <v>12902</v>
      </c>
      <c r="U1485" t="s">
        <v>12902</v>
      </c>
      <c r="V1485" t="s">
        <v>12902</v>
      </c>
      <c r="W1485" t="s">
        <v>14357</v>
      </c>
      <c r="X1485">
        <v>1</v>
      </c>
      <c r="Y1485" t="s">
        <v>20738</v>
      </c>
      <c r="Z1485" t="s">
        <v>27060</v>
      </c>
      <c r="AA1485">
        <v>1.2748561689820399</v>
      </c>
      <c r="AB1485" t="str">
        <f>HYPERLINK("Melting_Curves/meltCurve_O43820_4_HYAL3.pdf", "Melting_Curves/meltCurve_O43820_4_HYAL3.pdf")</f>
        <v>Melting_Curves/meltCurve_O43820_4_HYAL3.pdf</v>
      </c>
    </row>
    <row r="1486" spans="1:28" x14ac:dyDescent="0.25">
      <c r="A1486" t="s">
        <v>1490</v>
      </c>
      <c r="B1486">
        <v>0.99673306730245903</v>
      </c>
      <c r="C1486">
        <v>0.87805642951871898</v>
      </c>
      <c r="D1486">
        <v>0.88582469166754096</v>
      </c>
      <c r="E1486">
        <v>0.69522003807657595</v>
      </c>
      <c r="F1486">
        <v>0.44274626595393402</v>
      </c>
      <c r="G1486">
        <v>0.323604560338213</v>
      </c>
      <c r="H1486">
        <v>0.25206680254788999</v>
      </c>
      <c r="I1486">
        <v>0.31364731642402</v>
      </c>
      <c r="J1486">
        <v>0.40039020860587698</v>
      </c>
      <c r="K1486">
        <v>0.48850028031672499</v>
      </c>
      <c r="L1486">
        <v>1148.20493729892</v>
      </c>
      <c r="M1486">
        <v>23.258779951678701</v>
      </c>
      <c r="N1486">
        <v>52.050271579858901</v>
      </c>
      <c r="O1486">
        <v>49.0059464251067</v>
      </c>
      <c r="P1486">
        <v>-7.7210074778542095E-2</v>
      </c>
      <c r="Q1486">
        <v>0.34928938201895998</v>
      </c>
      <c r="R1486">
        <v>0.92603274000940505</v>
      </c>
      <c r="S1486" t="s">
        <v>7938</v>
      </c>
      <c r="T1486" t="s">
        <v>12902</v>
      </c>
      <c r="U1486" t="s">
        <v>12902</v>
      </c>
      <c r="V1486" t="s">
        <v>12902</v>
      </c>
      <c r="W1486" t="s">
        <v>14358</v>
      </c>
      <c r="X1486">
        <v>9</v>
      </c>
      <c r="Y1486" t="s">
        <v>20739</v>
      </c>
      <c r="Z1486" t="s">
        <v>27061</v>
      </c>
      <c r="AA1486">
        <v>0.55915094323629233</v>
      </c>
      <c r="AB1486" t="str">
        <f>HYPERLINK("Melting_Curves/meltCurve_O43823_AKAP8.pdf", "Melting_Curves/meltCurve_O43823_AKAP8.pdf")</f>
        <v>Melting_Curves/meltCurve_O43823_AKAP8.pdf</v>
      </c>
    </row>
    <row r="1487" spans="1:28" x14ac:dyDescent="0.25">
      <c r="A1487" t="s">
        <v>1491</v>
      </c>
      <c r="B1487">
        <v>0.99673306730245903</v>
      </c>
      <c r="C1487">
        <v>0.91238476642369504</v>
      </c>
      <c r="D1487">
        <v>0.94411367971725901</v>
      </c>
      <c r="E1487">
        <v>0.74402253216924696</v>
      </c>
      <c r="F1487">
        <v>0.56929074173762595</v>
      </c>
      <c r="G1487">
        <v>0.48137772377298899</v>
      </c>
      <c r="H1487">
        <v>0.54945996737630998</v>
      </c>
      <c r="I1487">
        <v>0.688184652609235</v>
      </c>
      <c r="J1487">
        <v>0.84208880449803403</v>
      </c>
      <c r="K1487">
        <v>0.87928439287298898</v>
      </c>
      <c r="L1487">
        <v>2020.3748568728699</v>
      </c>
      <c r="M1487">
        <v>42.303713990972099</v>
      </c>
      <c r="O1487">
        <v>47.652459053675699</v>
      </c>
      <c r="P1487">
        <v>-7.3243647158107703E-2</v>
      </c>
      <c r="Q1487">
        <v>0.66998322834853397</v>
      </c>
      <c r="R1487">
        <v>0.52141746423665203</v>
      </c>
      <c r="S1487" t="s">
        <v>7939</v>
      </c>
      <c r="T1487" t="s">
        <v>12902</v>
      </c>
      <c r="U1487" t="s">
        <v>12902</v>
      </c>
      <c r="V1487" t="s">
        <v>12902</v>
      </c>
      <c r="W1487" t="s">
        <v>14359</v>
      </c>
      <c r="X1487">
        <v>2</v>
      </c>
      <c r="Y1487" t="s">
        <v>20740</v>
      </c>
      <c r="Z1487" t="s">
        <v>27062</v>
      </c>
      <c r="AA1487">
        <v>0.75631007365148262</v>
      </c>
      <c r="AB1487" t="str">
        <f>HYPERLINK("Melting_Curves/meltCurve_O43826_SLC37A4.pdf", "Melting_Curves/meltCurve_O43826_SLC37A4.pdf")</f>
        <v>Melting_Curves/meltCurve_O43826_SLC37A4.pdf</v>
      </c>
    </row>
    <row r="1488" spans="1:28" x14ac:dyDescent="0.25">
      <c r="A1488" t="s">
        <v>1492</v>
      </c>
      <c r="B1488">
        <v>0.99673306730245903</v>
      </c>
      <c r="C1488">
        <v>0.94002849964224799</v>
      </c>
      <c r="D1488">
        <v>0.948911421682756</v>
      </c>
      <c r="E1488">
        <v>0.82494908457148897</v>
      </c>
      <c r="F1488">
        <v>0.73570495269107306</v>
      </c>
      <c r="G1488">
        <v>0.61119515275968805</v>
      </c>
      <c r="H1488">
        <v>0.60626924177209696</v>
      </c>
      <c r="I1488">
        <v>0.70330167168206603</v>
      </c>
      <c r="J1488">
        <v>0.79870046504563796</v>
      </c>
      <c r="K1488">
        <v>0.59004922521383696</v>
      </c>
      <c r="L1488">
        <v>1146.52242926962</v>
      </c>
      <c r="M1488">
        <v>23.257433273999599</v>
      </c>
      <c r="O1488">
        <v>48.936925052806998</v>
      </c>
      <c r="P1488">
        <v>-4.0128730474403497E-2</v>
      </c>
      <c r="Q1488">
        <v>0.66226006834934004</v>
      </c>
      <c r="R1488">
        <v>0.82419775805592999</v>
      </c>
      <c r="S1488" t="s">
        <v>7940</v>
      </c>
      <c r="T1488" t="s">
        <v>12902</v>
      </c>
      <c r="U1488" t="s">
        <v>12902</v>
      </c>
      <c r="V1488" t="s">
        <v>12902</v>
      </c>
      <c r="W1488" t="s">
        <v>14360</v>
      </c>
      <c r="X1488">
        <v>7</v>
      </c>
      <c r="Y1488" t="s">
        <v>20741</v>
      </c>
      <c r="Z1488" t="s">
        <v>27063</v>
      </c>
      <c r="AA1488">
        <v>0.77040222337069986</v>
      </c>
      <c r="AB1488" t="str">
        <f>HYPERLINK("Melting_Curves/meltCurve_O43829_ZBTB14.pdf", "Melting_Curves/meltCurve_O43829_ZBTB14.pdf")</f>
        <v>Melting_Curves/meltCurve_O43829_ZBTB14.pdf</v>
      </c>
    </row>
    <row r="1489" spans="1:28" x14ac:dyDescent="0.25">
      <c r="A1489" t="s">
        <v>1493</v>
      </c>
      <c r="B1489">
        <v>0.99673306730245903</v>
      </c>
      <c r="C1489">
        <v>0.98105799720664899</v>
      </c>
      <c r="D1489">
        <v>0.59998651078172005</v>
      </c>
      <c r="E1489">
        <v>0.73701499426865302</v>
      </c>
      <c r="F1489">
        <v>0.40726649614134403</v>
      </c>
      <c r="G1489">
        <v>0.24331158905581399</v>
      </c>
      <c r="H1489">
        <v>9.7242092788037804E-2</v>
      </c>
      <c r="I1489">
        <v>6.7934995854296396E-2</v>
      </c>
      <c r="J1489">
        <v>7.4500075715378297E-2</v>
      </c>
      <c r="K1489">
        <v>6.3553621435022398E-2</v>
      </c>
      <c r="L1489">
        <v>593.61393142384998</v>
      </c>
      <c r="M1489">
        <v>11.5454360891428</v>
      </c>
      <c r="N1489">
        <v>51.415462098789597</v>
      </c>
      <c r="O1489">
        <v>49.94555582265</v>
      </c>
      <c r="P1489">
        <v>-5.7806284134881897E-2</v>
      </c>
      <c r="Q1489">
        <v>0</v>
      </c>
      <c r="R1489">
        <v>0.94889056814571204</v>
      </c>
      <c r="S1489" t="s">
        <v>7941</v>
      </c>
      <c r="T1489" t="s">
        <v>12902</v>
      </c>
      <c r="U1489" t="s">
        <v>12902</v>
      </c>
      <c r="V1489" t="s">
        <v>12902</v>
      </c>
      <c r="W1489" t="s">
        <v>14361</v>
      </c>
      <c r="X1489">
        <v>13</v>
      </c>
      <c r="Y1489" t="s">
        <v>20742</v>
      </c>
      <c r="Z1489" t="s">
        <v>27064</v>
      </c>
      <c r="AA1489">
        <v>0.41400470103239301</v>
      </c>
      <c r="AB1489" t="str">
        <f>HYPERLINK("Melting_Curves/meltCurve_O43837_IDH3B.pdf", "Melting_Curves/meltCurve_O43837_IDH3B.pdf")</f>
        <v>Melting_Curves/meltCurve_O43837_IDH3B.pdf</v>
      </c>
    </row>
    <row r="1490" spans="1:28" x14ac:dyDescent="0.25">
      <c r="A1490" t="s">
        <v>1494</v>
      </c>
      <c r="B1490">
        <v>0.99673306730245903</v>
      </c>
      <c r="C1490">
        <v>0.98121768051987202</v>
      </c>
      <c r="D1490">
        <v>0.93931466726523205</v>
      </c>
      <c r="E1490">
        <v>0.83923411267357395</v>
      </c>
      <c r="F1490">
        <v>0.74940998374728296</v>
      </c>
      <c r="G1490">
        <v>0.61262813344469202</v>
      </c>
      <c r="H1490">
        <v>0.475004161769086</v>
      </c>
      <c r="I1490">
        <v>0.72350206019797003</v>
      </c>
      <c r="J1490">
        <v>1.0363077647905801</v>
      </c>
      <c r="K1490">
        <v>0.978955725734313</v>
      </c>
      <c r="L1490">
        <v>1593.73180884981</v>
      </c>
      <c r="M1490">
        <v>33.335772936669002</v>
      </c>
      <c r="O1490">
        <v>47.637395264016</v>
      </c>
      <c r="P1490">
        <v>-4.1347694763807903E-2</v>
      </c>
      <c r="Q1490">
        <v>0.76365473215233604</v>
      </c>
      <c r="R1490">
        <v>0.277342014646482</v>
      </c>
      <c r="S1490" t="s">
        <v>7942</v>
      </c>
      <c r="T1490" t="s">
        <v>12902</v>
      </c>
      <c r="U1490" t="s">
        <v>12902</v>
      </c>
      <c r="V1490" t="s">
        <v>12902</v>
      </c>
      <c r="W1490" t="s">
        <v>14362</v>
      </c>
      <c r="X1490">
        <v>18</v>
      </c>
      <c r="Y1490" t="s">
        <v>20743</v>
      </c>
      <c r="Z1490" t="s">
        <v>27065</v>
      </c>
      <c r="AA1490">
        <v>0.82631097719901259</v>
      </c>
      <c r="AB1490" t="str">
        <f>HYPERLINK("Melting_Curves/meltCurve_O43852_CALU.pdf", "Melting_Curves/meltCurve_O43852_CALU.pdf")</f>
        <v>Melting_Curves/meltCurve_O43852_CALU.pdf</v>
      </c>
    </row>
    <row r="1491" spans="1:28" x14ac:dyDescent="0.25">
      <c r="A1491" t="s">
        <v>1495</v>
      </c>
      <c r="B1491">
        <v>0.99673306730245903</v>
      </c>
      <c r="C1491">
        <v>0.95379311800209898</v>
      </c>
      <c r="D1491">
        <v>0.94349795815604498</v>
      </c>
      <c r="E1491">
        <v>0.88563170714426998</v>
      </c>
      <c r="F1491">
        <v>0.63401045426867098</v>
      </c>
      <c r="G1491">
        <v>0.442710297353543</v>
      </c>
      <c r="H1491">
        <v>0.32142906082210299</v>
      </c>
      <c r="I1491">
        <v>0.18104769983631999</v>
      </c>
      <c r="J1491">
        <v>9.5960663594990905E-2</v>
      </c>
      <c r="K1491">
        <v>7.9536241969527396E-2</v>
      </c>
      <c r="L1491">
        <v>700.89606867684097</v>
      </c>
      <c r="M1491">
        <v>12.480693256775901</v>
      </c>
      <c r="N1491">
        <v>56.163702236268101</v>
      </c>
      <c r="O1491">
        <v>54.775132905401698</v>
      </c>
      <c r="P1491">
        <v>-5.6941744591342901E-2</v>
      </c>
      <c r="Q1491">
        <v>5.8535490854828105E-4</v>
      </c>
      <c r="R1491">
        <v>0.99472272494979497</v>
      </c>
      <c r="S1491" t="s">
        <v>7943</v>
      </c>
      <c r="T1491" t="s">
        <v>12902</v>
      </c>
      <c r="U1491" t="s">
        <v>12902</v>
      </c>
      <c r="V1491" t="s">
        <v>12902</v>
      </c>
      <c r="W1491" t="s">
        <v>14363</v>
      </c>
      <c r="X1491">
        <v>22</v>
      </c>
      <c r="Y1491" t="s">
        <v>20744</v>
      </c>
      <c r="Z1491" t="s">
        <v>27066</v>
      </c>
      <c r="AA1491">
        <v>0.55843776022194846</v>
      </c>
      <c r="AB1491" t="str">
        <f>HYPERLINK("Melting_Curves/meltCurve_O43865_AHCYL1.pdf", "Melting_Curves/meltCurve_O43865_AHCYL1.pdf")</f>
        <v>Melting_Curves/meltCurve_O43865_AHCYL1.pdf</v>
      </c>
    </row>
    <row r="1492" spans="1:28" x14ac:dyDescent="0.25">
      <c r="A1492" t="s">
        <v>1496</v>
      </c>
      <c r="B1492">
        <v>0.99673306730245903</v>
      </c>
      <c r="C1492">
        <v>0.91096563148455301</v>
      </c>
      <c r="D1492">
        <v>0.86700749375409703</v>
      </c>
      <c r="E1492">
        <v>0.78517790471618398</v>
      </c>
      <c r="F1492">
        <v>0.36990847083581901</v>
      </c>
      <c r="G1492">
        <v>0.19030028028999699</v>
      </c>
      <c r="H1492">
        <v>0.165106650289954</v>
      </c>
      <c r="I1492">
        <v>0.11187695082482001</v>
      </c>
      <c r="J1492">
        <v>0.117796208679285</v>
      </c>
      <c r="K1492">
        <v>8.39335961396276E-2</v>
      </c>
      <c r="L1492">
        <v>1085.7428688827799</v>
      </c>
      <c r="M1492">
        <v>21.086439324377501</v>
      </c>
      <c r="N1492">
        <v>52.0326575309467</v>
      </c>
      <c r="O1492">
        <v>51.033719401698399</v>
      </c>
      <c r="P1492">
        <v>-9.3104600417640307E-2</v>
      </c>
      <c r="Q1492">
        <v>9.8691174703647896E-2</v>
      </c>
      <c r="R1492">
        <v>0.98696386357132304</v>
      </c>
      <c r="S1492" t="s">
        <v>7944</v>
      </c>
      <c r="T1492" t="s">
        <v>12902</v>
      </c>
      <c r="U1492" t="s">
        <v>12902</v>
      </c>
      <c r="V1492" t="s">
        <v>12902</v>
      </c>
      <c r="W1492" t="s">
        <v>14364</v>
      </c>
      <c r="X1492">
        <v>3</v>
      </c>
      <c r="Y1492" t="s">
        <v>20745</v>
      </c>
      <c r="Z1492" t="s">
        <v>27067</v>
      </c>
      <c r="AA1492">
        <v>0.4552258985895461</v>
      </c>
      <c r="AB1492" t="str">
        <f>HYPERLINK("Melting_Curves/meltCurve_O43909_EXTL3.pdf", "Melting_Curves/meltCurve_O43909_EXTL3.pdf")</f>
        <v>Melting_Curves/meltCurve_O43909_EXTL3.pdf</v>
      </c>
    </row>
    <row r="1493" spans="1:28" x14ac:dyDescent="0.25">
      <c r="A1493" t="s">
        <v>1497</v>
      </c>
      <c r="B1493">
        <v>0.99673306730245903</v>
      </c>
      <c r="C1493">
        <v>0.92340300510338003</v>
      </c>
      <c r="D1493">
        <v>0.71913189328471905</v>
      </c>
      <c r="E1493">
        <v>0.32312275905270399</v>
      </c>
      <c r="F1493">
        <v>0.17898440038177399</v>
      </c>
      <c r="G1493">
        <v>0.106742227521717</v>
      </c>
      <c r="H1493">
        <v>7.1699837866722294E-2</v>
      </c>
      <c r="I1493">
        <v>8.0395118525719705E-2</v>
      </c>
      <c r="J1493">
        <v>9.1503118499409106E-2</v>
      </c>
      <c r="K1493">
        <v>7.6094871495882802E-2</v>
      </c>
      <c r="L1493">
        <v>1087.7915107513199</v>
      </c>
      <c r="M1493">
        <v>22.871373872876902</v>
      </c>
      <c r="N1493">
        <v>47.932692269075503</v>
      </c>
      <c r="O1493">
        <v>47.202151296790902</v>
      </c>
      <c r="P1493">
        <v>-0.111300502295646</v>
      </c>
      <c r="Q1493">
        <v>8.1205681744101699E-2</v>
      </c>
      <c r="R1493">
        <v>0.99891673283517202</v>
      </c>
      <c r="S1493" t="s">
        <v>7945</v>
      </c>
      <c r="T1493" t="s">
        <v>12902</v>
      </c>
      <c r="U1493" t="s">
        <v>12902</v>
      </c>
      <c r="V1493" t="s">
        <v>12902</v>
      </c>
      <c r="W1493" t="s">
        <v>14365</v>
      </c>
      <c r="X1493">
        <v>8</v>
      </c>
      <c r="Y1493" t="s">
        <v>20746</v>
      </c>
      <c r="Z1493" t="s">
        <v>27068</v>
      </c>
      <c r="AA1493">
        <v>0.32264862342788242</v>
      </c>
      <c r="AB1493" t="str">
        <f>HYPERLINK("Melting_Curves/meltCurve_O43913_ORC5.pdf", "Melting_Curves/meltCurve_O43913_ORC5.pdf")</f>
        <v>Melting_Curves/meltCurve_O43913_ORC5.pdf</v>
      </c>
    </row>
    <row r="1494" spans="1:28" x14ac:dyDescent="0.25">
      <c r="A1494" t="s">
        <v>1498</v>
      </c>
      <c r="B1494">
        <v>0.99673306730245903</v>
      </c>
      <c r="C1494">
        <v>1.06415867716973</v>
      </c>
      <c r="D1494">
        <v>1.05528505150475</v>
      </c>
      <c r="E1494">
        <v>0.95587633696459695</v>
      </c>
      <c r="F1494">
        <v>0.66985090542682801</v>
      </c>
      <c r="G1494">
        <v>0.46754471445092</v>
      </c>
      <c r="H1494">
        <v>0.33330319642177098</v>
      </c>
      <c r="I1494">
        <v>0.39121501609698001</v>
      </c>
      <c r="J1494">
        <v>0.412825565547355</v>
      </c>
      <c r="K1494">
        <v>0.38876136199693001</v>
      </c>
      <c r="L1494">
        <v>1866.780999737</v>
      </c>
      <c r="M1494">
        <v>35.1782219412705</v>
      </c>
      <c r="N1494">
        <v>55.375426677623103</v>
      </c>
      <c r="O1494">
        <v>52.895774315445301</v>
      </c>
      <c r="P1494">
        <v>-0.102305419852411</v>
      </c>
      <c r="Q1494">
        <v>0.38467546819837101</v>
      </c>
      <c r="R1494">
        <v>0.98553570859488304</v>
      </c>
      <c r="S1494" t="s">
        <v>7946</v>
      </c>
      <c r="T1494" t="s">
        <v>12902</v>
      </c>
      <c r="U1494" t="s">
        <v>12902</v>
      </c>
      <c r="V1494" t="s">
        <v>12902</v>
      </c>
      <c r="W1494" t="s">
        <v>14366</v>
      </c>
      <c r="X1494">
        <v>6</v>
      </c>
      <c r="Y1494" t="s">
        <v>20747</v>
      </c>
      <c r="Z1494" t="s">
        <v>27069</v>
      </c>
      <c r="AA1494">
        <v>0.65559280250243157</v>
      </c>
      <c r="AB1494" t="str">
        <f>HYPERLINK("Melting_Curves/meltCurve_O43920_NDUFS5.pdf", "Melting_Curves/meltCurve_O43920_NDUFS5.pdf")</f>
        <v>Melting_Curves/meltCurve_O43920_NDUFS5.pdf</v>
      </c>
    </row>
    <row r="1495" spans="1:28" x14ac:dyDescent="0.25">
      <c r="A1495" t="s">
        <v>1499</v>
      </c>
      <c r="B1495">
        <v>0.99673306730245903</v>
      </c>
      <c r="C1495">
        <v>0.97512000052563896</v>
      </c>
      <c r="D1495">
        <v>0.78791612459386895</v>
      </c>
      <c r="E1495">
        <v>0.72397828460522196</v>
      </c>
      <c r="F1495">
        <v>0.78102445641530405</v>
      </c>
      <c r="G1495">
        <v>0.40858738671154698</v>
      </c>
      <c r="H1495">
        <v>0.29286830988061302</v>
      </c>
      <c r="I1495">
        <v>0.25602500809623502</v>
      </c>
      <c r="J1495">
        <v>0.24496834259971301</v>
      </c>
      <c r="K1495">
        <v>0.195575530679718</v>
      </c>
      <c r="L1495">
        <v>528.61159477802403</v>
      </c>
      <c r="M1495">
        <v>9.5813828724709698</v>
      </c>
      <c r="N1495">
        <v>56.109035149749097</v>
      </c>
      <c r="O1495">
        <v>52.927993203677701</v>
      </c>
      <c r="P1495">
        <v>-4.1930446515968202E-2</v>
      </c>
      <c r="Q1495">
        <v>7.4027642710583305E-2</v>
      </c>
      <c r="R1495">
        <v>0.94923177089704303</v>
      </c>
      <c r="S1495" t="s">
        <v>7947</v>
      </c>
      <c r="T1495" t="s">
        <v>12902</v>
      </c>
      <c r="U1495" t="s">
        <v>12902</v>
      </c>
      <c r="V1495" t="s">
        <v>12902</v>
      </c>
      <c r="W1495" t="s">
        <v>14367</v>
      </c>
      <c r="X1495">
        <v>3</v>
      </c>
      <c r="Y1495" t="s">
        <v>20748</v>
      </c>
      <c r="Z1495" t="s">
        <v>27070</v>
      </c>
      <c r="AA1495">
        <v>0.56581060544505213</v>
      </c>
      <c r="AB1495" t="str">
        <f>HYPERLINK("Melting_Curves/meltCurve_O43924_PDE6D.pdf", "Melting_Curves/meltCurve_O43924_PDE6D.pdf")</f>
        <v>Melting_Curves/meltCurve_O43924_PDE6D.pdf</v>
      </c>
    </row>
    <row r="1496" spans="1:28" x14ac:dyDescent="0.25">
      <c r="A1496" t="s">
        <v>1500</v>
      </c>
      <c r="B1496">
        <v>0.99673306730245903</v>
      </c>
      <c r="C1496">
        <v>0.86636850558013301</v>
      </c>
      <c r="D1496">
        <v>0.836240847436725</v>
      </c>
      <c r="E1496">
        <v>0.75331460976171505</v>
      </c>
      <c r="F1496">
        <v>0.46856873880822902</v>
      </c>
      <c r="G1496">
        <v>0.18770808548866799</v>
      </c>
      <c r="H1496">
        <v>0.1152835190345</v>
      </c>
      <c r="I1496">
        <v>8.3399002654842597E-2</v>
      </c>
      <c r="J1496">
        <v>7.3395475279408706E-2</v>
      </c>
      <c r="K1496">
        <v>5.3675809961584699E-2</v>
      </c>
      <c r="L1496">
        <v>765.613292768164</v>
      </c>
      <c r="M1496">
        <v>14.6567190686891</v>
      </c>
      <c r="N1496">
        <v>52.364782865063603</v>
      </c>
      <c r="O1496">
        <v>51.292827009794102</v>
      </c>
      <c r="P1496">
        <v>-7.0182808279797601E-2</v>
      </c>
      <c r="Q1496">
        <v>1.7658358021310602E-2</v>
      </c>
      <c r="R1496">
        <v>0.98490666330511001</v>
      </c>
      <c r="S1496" t="s">
        <v>7948</v>
      </c>
      <c r="T1496" t="s">
        <v>12902</v>
      </c>
      <c r="U1496" t="s">
        <v>12902</v>
      </c>
      <c r="V1496" t="s">
        <v>12902</v>
      </c>
      <c r="W1496" t="s">
        <v>14368</v>
      </c>
      <c r="X1496">
        <v>9</v>
      </c>
      <c r="Y1496" t="s">
        <v>20749</v>
      </c>
      <c r="Z1496" t="s">
        <v>27071</v>
      </c>
      <c r="AA1496">
        <v>0.44087320833666399</v>
      </c>
      <c r="AB1496" t="str">
        <f>HYPERLINK("Melting_Curves/meltCurve_O43933_PEX1.pdf", "Melting_Curves/meltCurve_O43933_PEX1.pdf")</f>
        <v>Melting_Curves/meltCurve_O43933_PEX1.pdf</v>
      </c>
    </row>
    <row r="1497" spans="1:28" x14ac:dyDescent="0.25">
      <c r="A1497" t="s">
        <v>1501</v>
      </c>
      <c r="B1497">
        <v>0.99673306730245903</v>
      </c>
      <c r="C1497">
        <v>0.98181545039380702</v>
      </c>
      <c r="D1497">
        <v>1.05389302996583</v>
      </c>
      <c r="E1497">
        <v>1.22804605255489</v>
      </c>
      <c r="F1497">
        <v>0.82109010748275002</v>
      </c>
      <c r="G1497">
        <v>0.36451100555767202</v>
      </c>
      <c r="H1497">
        <v>0.17461191701878601</v>
      </c>
      <c r="I1497">
        <v>0.148729685951308</v>
      </c>
      <c r="J1497">
        <v>0.16497612981337401</v>
      </c>
      <c r="K1497">
        <v>0.141230659633652</v>
      </c>
      <c r="L1497">
        <v>2304.4832807983598</v>
      </c>
      <c r="M1497">
        <v>41.761556215135698</v>
      </c>
      <c r="N1497">
        <v>55.672261369396502</v>
      </c>
      <c r="O1497">
        <v>55.055850671750903</v>
      </c>
      <c r="P1497">
        <v>-0.16045291174839099</v>
      </c>
      <c r="Q1497">
        <v>0.15387674122369099</v>
      </c>
      <c r="R1497">
        <v>0.96633293169767498</v>
      </c>
      <c r="S1497" t="s">
        <v>7949</v>
      </c>
      <c r="T1497" t="s">
        <v>12902</v>
      </c>
      <c r="U1497" t="s">
        <v>12902</v>
      </c>
      <c r="V1497" t="s">
        <v>12902</v>
      </c>
      <c r="W1497" t="s">
        <v>14369</v>
      </c>
      <c r="X1497">
        <v>11</v>
      </c>
      <c r="Y1497" t="s">
        <v>20750</v>
      </c>
      <c r="Z1497" t="s">
        <v>27072</v>
      </c>
      <c r="AA1497">
        <v>0.58501983334164642</v>
      </c>
      <c r="AB1497" t="str">
        <f>HYPERLINK("Melting_Curves/meltCurve_O60216_RAD21.pdf", "Melting_Curves/meltCurve_O60216_RAD21.pdf")</f>
        <v>Melting_Curves/meltCurve_O60216_RAD21.pdf</v>
      </c>
    </row>
    <row r="1498" spans="1:28" x14ac:dyDescent="0.25">
      <c r="A1498" t="s">
        <v>1502</v>
      </c>
      <c r="B1498">
        <v>0.99673306730245903</v>
      </c>
      <c r="C1498">
        <v>1.06303408972735</v>
      </c>
      <c r="D1498">
        <v>1.06382005674692</v>
      </c>
      <c r="E1498">
        <v>0.92333342666871498</v>
      </c>
      <c r="F1498">
        <v>0.660323109890254</v>
      </c>
      <c r="G1498">
        <v>0.32384450563891798</v>
      </c>
      <c r="H1498">
        <v>0.137724995528171</v>
      </c>
      <c r="I1498">
        <v>0.13093835726061501</v>
      </c>
      <c r="J1498">
        <v>0.12637392091454899</v>
      </c>
      <c r="K1498">
        <v>9.1909996507364602E-2</v>
      </c>
      <c r="L1498">
        <v>1445.09921303902</v>
      </c>
      <c r="M1498">
        <v>26.643428916710398</v>
      </c>
      <c r="N1498">
        <v>54.7271733358753</v>
      </c>
      <c r="O1498">
        <v>53.935701338637799</v>
      </c>
      <c r="P1498">
        <v>-0.110423522184541</v>
      </c>
      <c r="Q1498">
        <v>0.10586466410572699</v>
      </c>
      <c r="R1498">
        <v>0.99384305923289296</v>
      </c>
      <c r="S1498" t="s">
        <v>7950</v>
      </c>
      <c r="T1498" t="s">
        <v>12902</v>
      </c>
      <c r="U1498" t="s">
        <v>12902</v>
      </c>
      <c r="V1498" t="s">
        <v>12902</v>
      </c>
      <c r="W1498" t="s">
        <v>14370</v>
      </c>
      <c r="X1498">
        <v>1</v>
      </c>
      <c r="Y1498" t="s">
        <v>20751</v>
      </c>
      <c r="Z1498" t="s">
        <v>27073</v>
      </c>
      <c r="AA1498">
        <v>0.53760365124669429</v>
      </c>
      <c r="AB1498" t="str">
        <f>HYPERLINK("Melting_Curves/meltCurve_O60218_AKR1B10.pdf", "Melting_Curves/meltCurve_O60218_AKR1B10.pdf")</f>
        <v>Melting_Curves/meltCurve_O60218_AKR1B10.pdf</v>
      </c>
    </row>
    <row r="1499" spans="1:28" x14ac:dyDescent="0.25">
      <c r="A1499" t="s">
        <v>1503</v>
      </c>
      <c r="B1499">
        <v>0.99673306730245903</v>
      </c>
      <c r="C1499">
        <v>1.00746972698319</v>
      </c>
      <c r="D1499">
        <v>1.0578701359018401</v>
      </c>
      <c r="E1499">
        <v>1.0206383600606499</v>
      </c>
      <c r="F1499">
        <v>1.0132847083113199</v>
      </c>
      <c r="G1499">
        <v>0.854282829812953</v>
      </c>
      <c r="H1499">
        <v>0.60214516180852795</v>
      </c>
      <c r="I1499">
        <v>0.72523077659100399</v>
      </c>
      <c r="J1499">
        <v>1.16614255188441</v>
      </c>
      <c r="K1499">
        <v>1.0387142220786401</v>
      </c>
      <c r="L1499">
        <v>5767.2474701186902</v>
      </c>
      <c r="M1499">
        <v>105.194377924167</v>
      </c>
      <c r="O1499">
        <v>54.804844494792398</v>
      </c>
      <c r="P1499">
        <v>-5.90208495681247E-2</v>
      </c>
      <c r="Q1499">
        <v>0.87700370263812499</v>
      </c>
      <c r="R1499">
        <v>0.18438648800025501</v>
      </c>
      <c r="S1499" t="s">
        <v>7951</v>
      </c>
      <c r="T1499" t="s">
        <v>12902</v>
      </c>
      <c r="U1499" t="s">
        <v>12902</v>
      </c>
      <c r="V1499" t="s">
        <v>12902</v>
      </c>
      <c r="W1499" t="s">
        <v>14371</v>
      </c>
      <c r="X1499">
        <v>8</v>
      </c>
      <c r="Y1499" t="s">
        <v>20752</v>
      </c>
      <c r="Z1499" t="s">
        <v>27074</v>
      </c>
      <c r="AA1499">
        <v>0.93784994499467644</v>
      </c>
      <c r="AB1499" t="str">
        <f>HYPERLINK("Melting_Curves/meltCurve_O60220_TIMM8A.pdf", "Melting_Curves/meltCurve_O60220_TIMM8A.pdf")</f>
        <v>Melting_Curves/meltCurve_O60220_TIMM8A.pdf</v>
      </c>
    </row>
    <row r="1500" spans="1:28" x14ac:dyDescent="0.25">
      <c r="A1500" t="s">
        <v>1504</v>
      </c>
      <c r="B1500">
        <v>0.99673306730245903</v>
      </c>
      <c r="C1500">
        <v>0.94002748556903504</v>
      </c>
      <c r="D1500">
        <v>0.902817668600157</v>
      </c>
      <c r="E1500">
        <v>0.707391509488841</v>
      </c>
      <c r="F1500">
        <v>0.33545078578676402</v>
      </c>
      <c r="G1500">
        <v>0.180950168329713</v>
      </c>
      <c r="H1500">
        <v>0.12337335579316</v>
      </c>
      <c r="I1500">
        <v>0.125092159297162</v>
      </c>
      <c r="J1500">
        <v>0.16189915352061199</v>
      </c>
      <c r="K1500">
        <v>0.131713357050628</v>
      </c>
      <c r="L1500">
        <v>1215.4625073234099</v>
      </c>
      <c r="M1500">
        <v>23.9408044270575</v>
      </c>
      <c r="N1500">
        <v>51.395177516642697</v>
      </c>
      <c r="O1500">
        <v>50.419228704235103</v>
      </c>
      <c r="P1500">
        <v>-0.10370445672388701</v>
      </c>
      <c r="Q1500">
        <v>0.12640909210014201</v>
      </c>
      <c r="R1500">
        <v>0.99564142708022596</v>
      </c>
      <c r="S1500" t="s">
        <v>7952</v>
      </c>
      <c r="T1500" t="s">
        <v>12902</v>
      </c>
      <c r="U1500" t="s">
        <v>12902</v>
      </c>
      <c r="V1500" t="s">
        <v>12902</v>
      </c>
      <c r="W1500" t="s">
        <v>14372</v>
      </c>
      <c r="X1500">
        <v>29</v>
      </c>
      <c r="Y1500" t="s">
        <v>20753</v>
      </c>
      <c r="Z1500" t="s">
        <v>27075</v>
      </c>
      <c r="AA1500">
        <v>0.44858696150879601</v>
      </c>
      <c r="AB1500" t="str">
        <f>HYPERLINK("Melting_Curves/meltCurve_O60231_DHX16.pdf", "Melting_Curves/meltCurve_O60231_DHX16.pdf")</f>
        <v>Melting_Curves/meltCurve_O60231_DHX16.pdf</v>
      </c>
    </row>
    <row r="1501" spans="1:28" x14ac:dyDescent="0.25">
      <c r="A1501" t="s">
        <v>1505</v>
      </c>
      <c r="B1501">
        <v>0.99673306730245903</v>
      </c>
      <c r="C1501">
        <v>0.86766686219075795</v>
      </c>
      <c r="D1501">
        <v>0.98477230759333301</v>
      </c>
      <c r="E1501">
        <v>0.68092655331783303</v>
      </c>
      <c r="F1501">
        <v>0.50081064973822298</v>
      </c>
      <c r="G1501">
        <v>0.31686726054447001</v>
      </c>
      <c r="H1501">
        <v>0.285180408323986</v>
      </c>
      <c r="I1501">
        <v>0.30470850437818803</v>
      </c>
      <c r="J1501">
        <v>0.39296088972391002</v>
      </c>
      <c r="K1501">
        <v>0.31246065933085498</v>
      </c>
      <c r="L1501">
        <v>1188.1925379854299</v>
      </c>
      <c r="M1501">
        <v>23.6552630198156</v>
      </c>
      <c r="N1501">
        <v>52.444670255212401</v>
      </c>
      <c r="O1501">
        <v>49.874683395450099</v>
      </c>
      <c r="P1501">
        <v>-8.1117195593473801E-2</v>
      </c>
      <c r="Q1501">
        <v>0.31590246770927899</v>
      </c>
      <c r="R1501">
        <v>0.96212393453423095</v>
      </c>
      <c r="S1501" t="s">
        <v>7953</v>
      </c>
      <c r="T1501" t="s">
        <v>12902</v>
      </c>
      <c r="U1501" t="s">
        <v>12902</v>
      </c>
      <c r="V1501" t="s">
        <v>12902</v>
      </c>
      <c r="W1501" t="s">
        <v>14373</v>
      </c>
      <c r="X1501">
        <v>2</v>
      </c>
      <c r="Y1501" t="s">
        <v>20754</v>
      </c>
      <c r="Z1501" t="s">
        <v>27076</v>
      </c>
      <c r="AA1501">
        <v>0.55601241326557505</v>
      </c>
      <c r="AB1501" t="str">
        <f>HYPERLINK("Melting_Curves/meltCurve_O60239_SH3BP5.pdf", "Melting_Curves/meltCurve_O60239_SH3BP5.pdf")</f>
        <v>Melting_Curves/meltCurve_O60239_SH3BP5.pdf</v>
      </c>
    </row>
    <row r="1502" spans="1:28" x14ac:dyDescent="0.25">
      <c r="A1502" t="s">
        <v>1506</v>
      </c>
      <c r="B1502">
        <v>0.99673306730245903</v>
      </c>
      <c r="C1502">
        <v>0.98470521174705605</v>
      </c>
      <c r="D1502">
        <v>1.00361221081957</v>
      </c>
      <c r="E1502">
        <v>1.0487977984129599</v>
      </c>
      <c r="F1502">
        <v>1.02458936522632</v>
      </c>
      <c r="G1502">
        <v>1.05012147187333</v>
      </c>
      <c r="H1502">
        <v>0.707174541415591</v>
      </c>
      <c r="I1502">
        <v>0.40565948266212098</v>
      </c>
      <c r="J1502">
        <v>0.26014865935213799</v>
      </c>
      <c r="K1502">
        <v>0.18410323283022401</v>
      </c>
      <c r="L1502">
        <v>2255.0721960577198</v>
      </c>
      <c r="M1502">
        <v>36.374457990318497</v>
      </c>
      <c r="N1502">
        <v>62.847157097161599</v>
      </c>
      <c r="O1502">
        <v>61.809553028024503</v>
      </c>
      <c r="P1502">
        <v>-0.118510258878594</v>
      </c>
      <c r="Q1502">
        <v>0.19448494282585199</v>
      </c>
      <c r="R1502">
        <v>0.98981379319497198</v>
      </c>
      <c r="S1502" t="s">
        <v>7954</v>
      </c>
      <c r="T1502" t="s">
        <v>12902</v>
      </c>
      <c r="U1502" t="s">
        <v>12902</v>
      </c>
      <c r="V1502" t="s">
        <v>12902</v>
      </c>
      <c r="W1502" t="s">
        <v>14374</v>
      </c>
      <c r="X1502">
        <v>11</v>
      </c>
      <c r="Y1502" t="s">
        <v>20755</v>
      </c>
      <c r="Z1502" t="s">
        <v>27077</v>
      </c>
      <c r="AA1502">
        <v>0.78830616693772637</v>
      </c>
      <c r="AB1502" t="str">
        <f>HYPERLINK("Melting_Curves/meltCurve_O60256_PRPSAP2.pdf", "Melting_Curves/meltCurve_O60256_PRPSAP2.pdf")</f>
        <v>Melting_Curves/meltCurve_O60256_PRPSAP2.pdf</v>
      </c>
    </row>
    <row r="1503" spans="1:28" x14ac:dyDescent="0.25">
      <c r="A1503" t="s">
        <v>1507</v>
      </c>
      <c r="B1503">
        <v>0.99673306730245903</v>
      </c>
      <c r="C1503">
        <v>0.95482771511687403</v>
      </c>
      <c r="D1503">
        <v>0.70460981791146005</v>
      </c>
      <c r="E1503">
        <v>0.35525282521079099</v>
      </c>
      <c r="F1503">
        <v>0.29208093201103402</v>
      </c>
      <c r="G1503">
        <v>0.22149208931829201</v>
      </c>
      <c r="H1503">
        <v>0.26384679905064201</v>
      </c>
      <c r="I1503">
        <v>0.120541527739139</v>
      </c>
      <c r="J1503">
        <v>9.9042361819818805E-2</v>
      </c>
      <c r="K1503">
        <v>8.41303406155616E-2</v>
      </c>
      <c r="L1503">
        <v>954.38238896912901</v>
      </c>
      <c r="M1503">
        <v>20.092931762087801</v>
      </c>
      <c r="N1503">
        <v>48.361678763284999</v>
      </c>
      <c r="O1503">
        <v>47.035418172164803</v>
      </c>
      <c r="P1503">
        <v>-9.0705729587844203E-2</v>
      </c>
      <c r="Q1503">
        <v>0.15069686294889201</v>
      </c>
      <c r="R1503">
        <v>0.97395371038573597</v>
      </c>
      <c r="S1503" t="s">
        <v>7955</v>
      </c>
      <c r="T1503" t="s">
        <v>12902</v>
      </c>
      <c r="U1503" t="s">
        <v>12902</v>
      </c>
      <c r="V1503" t="s">
        <v>12902</v>
      </c>
      <c r="W1503" t="s">
        <v>14375</v>
      </c>
      <c r="X1503">
        <v>22</v>
      </c>
      <c r="Y1503" t="s">
        <v>20756</v>
      </c>
      <c r="Z1503" t="s">
        <v>27078</v>
      </c>
      <c r="AA1503">
        <v>0.37507651055731273</v>
      </c>
      <c r="AB1503" t="str">
        <f>HYPERLINK("Melting_Curves/meltCurve_O60264_SMARCA5.pdf", "Melting_Curves/meltCurve_O60264_SMARCA5.pdf")</f>
        <v>Melting_Curves/meltCurve_O60264_SMARCA5.pdf</v>
      </c>
    </row>
    <row r="1504" spans="1:28" x14ac:dyDescent="0.25">
      <c r="A1504" t="s">
        <v>1508</v>
      </c>
      <c r="B1504">
        <v>0.99673306730245903</v>
      </c>
      <c r="C1504">
        <v>0.96963731900549499</v>
      </c>
      <c r="D1504">
        <v>0.96020042896290603</v>
      </c>
      <c r="E1504">
        <v>0.55919322188515996</v>
      </c>
      <c r="F1504">
        <v>0.27501915234324098</v>
      </c>
      <c r="G1504">
        <v>0.17105751799015201</v>
      </c>
      <c r="H1504">
        <v>0.11578699633874601</v>
      </c>
      <c r="I1504">
        <v>0.11260875671624899</v>
      </c>
      <c r="J1504">
        <v>0.120644165024689</v>
      </c>
      <c r="K1504">
        <v>0.10547238552052</v>
      </c>
      <c r="L1504">
        <v>1345.42255475253</v>
      </c>
      <c r="M1504">
        <v>26.998443067687401</v>
      </c>
      <c r="N1504">
        <v>50.337798798496401</v>
      </c>
      <c r="O1504">
        <v>49.562358016079102</v>
      </c>
      <c r="P1504">
        <v>-0.120043864034616</v>
      </c>
      <c r="Q1504">
        <v>0.118527416831607</v>
      </c>
      <c r="R1504">
        <v>0.99687712314360999</v>
      </c>
      <c r="S1504" t="s">
        <v>7956</v>
      </c>
      <c r="T1504" t="s">
        <v>12902</v>
      </c>
      <c r="U1504" t="s">
        <v>12902</v>
      </c>
      <c r="V1504" t="s">
        <v>12902</v>
      </c>
      <c r="W1504" t="s">
        <v>14376</v>
      </c>
      <c r="X1504">
        <v>25</v>
      </c>
      <c r="Y1504" t="s">
        <v>20757</v>
      </c>
      <c r="Z1504" t="s">
        <v>27079</v>
      </c>
      <c r="AA1504">
        <v>0.41418726119282101</v>
      </c>
      <c r="AB1504" t="str">
        <f>HYPERLINK("Melting_Curves/meltCurve_O60271_4_SPAG9.pdf", "Melting_Curves/meltCurve_O60271_4_SPAG9.pdf")</f>
        <v>Melting_Curves/meltCurve_O60271_4_SPAG9.pdf</v>
      </c>
    </row>
    <row r="1505" spans="1:28" x14ac:dyDescent="0.25">
      <c r="A1505" t="s">
        <v>1509</v>
      </c>
      <c r="B1505">
        <v>0.99673306730245903</v>
      </c>
      <c r="C1505">
        <v>0.97565224698930197</v>
      </c>
      <c r="D1505">
        <v>0.96979813930898595</v>
      </c>
      <c r="E1505">
        <v>0.80199469882966401</v>
      </c>
      <c r="F1505">
        <v>0.96694965862039095</v>
      </c>
      <c r="G1505">
        <v>0.52273403897538895</v>
      </c>
      <c r="H1505">
        <v>0.46954495394963502</v>
      </c>
      <c r="I1505">
        <v>0.27636435042590402</v>
      </c>
      <c r="J1505">
        <v>0.20656786956704301</v>
      </c>
      <c r="K1505">
        <v>0.138749748199852</v>
      </c>
      <c r="L1505">
        <v>727.24256940058001</v>
      </c>
      <c r="M1505">
        <v>12.2845551136101</v>
      </c>
      <c r="N1505">
        <v>59.310217357781397</v>
      </c>
      <c r="O1505">
        <v>57.696584305341098</v>
      </c>
      <c r="P1505">
        <v>-5.2638664032439601E-2</v>
      </c>
      <c r="Q1505">
        <v>1.1310498939227601E-2</v>
      </c>
      <c r="R1505">
        <v>0.95039175726198699</v>
      </c>
      <c r="S1505" t="s">
        <v>7957</v>
      </c>
      <c r="T1505" t="s">
        <v>12902</v>
      </c>
      <c r="U1505" t="s">
        <v>12902</v>
      </c>
      <c r="V1505" t="s">
        <v>12902</v>
      </c>
      <c r="W1505" t="s">
        <v>14377</v>
      </c>
      <c r="X1505">
        <v>4</v>
      </c>
      <c r="Y1505" t="s">
        <v>20758</v>
      </c>
      <c r="Z1505" t="s">
        <v>27080</v>
      </c>
      <c r="AA1505">
        <v>0.65131259097055738</v>
      </c>
      <c r="AB1505" t="str">
        <f>HYPERLINK("Melting_Curves/meltCurve_O60292_SIPA1L3.pdf", "Melting_Curves/meltCurve_O60292_SIPA1L3.pdf")</f>
        <v>Melting_Curves/meltCurve_O60292_SIPA1L3.pdf</v>
      </c>
    </row>
    <row r="1506" spans="1:28" x14ac:dyDescent="0.25">
      <c r="A1506" t="s">
        <v>1510</v>
      </c>
      <c r="B1506">
        <v>0.99673306730245903</v>
      </c>
      <c r="C1506">
        <v>0.96681924017716003</v>
      </c>
      <c r="D1506">
        <v>0.808747530842572</v>
      </c>
      <c r="E1506">
        <v>0.45087435506406998</v>
      </c>
      <c r="F1506">
        <v>0.23129012012214301</v>
      </c>
      <c r="G1506">
        <v>0.125475257559998</v>
      </c>
      <c r="H1506">
        <v>7.0430331660233395E-2</v>
      </c>
      <c r="I1506">
        <v>6.5440292503579398E-2</v>
      </c>
      <c r="J1506">
        <v>6.8559934402855197E-2</v>
      </c>
      <c r="K1506">
        <v>6.0824017059405502E-2</v>
      </c>
      <c r="L1506">
        <v>1012.86047315912</v>
      </c>
      <c r="M1506">
        <v>20.691896852804799</v>
      </c>
      <c r="N1506">
        <v>49.272732906083696</v>
      </c>
      <c r="O1506">
        <v>48.499313640500702</v>
      </c>
      <c r="P1506">
        <v>-9.9896700333437602E-2</v>
      </c>
      <c r="Q1506">
        <v>6.3443456800146097E-2</v>
      </c>
      <c r="R1506">
        <v>0.99916865715461201</v>
      </c>
      <c r="S1506" t="s">
        <v>7958</v>
      </c>
      <c r="T1506" t="s">
        <v>12902</v>
      </c>
      <c r="U1506" t="s">
        <v>12902</v>
      </c>
      <c r="V1506" t="s">
        <v>12902</v>
      </c>
      <c r="W1506" t="s">
        <v>14378</v>
      </c>
      <c r="X1506">
        <v>6</v>
      </c>
      <c r="Y1506" t="s">
        <v>20759</v>
      </c>
      <c r="Z1506" t="s">
        <v>27081</v>
      </c>
      <c r="AA1506">
        <v>0.35508253417785562</v>
      </c>
      <c r="AB1506" t="str">
        <f>HYPERLINK("Melting_Curves/meltCurve_O60294_LCMT2.pdf", "Melting_Curves/meltCurve_O60294_LCMT2.pdf")</f>
        <v>Melting_Curves/meltCurve_O60294_LCMT2.pdf</v>
      </c>
    </row>
    <row r="1507" spans="1:28" x14ac:dyDescent="0.25">
      <c r="A1507" t="s">
        <v>1511</v>
      </c>
      <c r="B1507">
        <v>0.99673306730245903</v>
      </c>
      <c r="C1507">
        <v>0.97956660843334298</v>
      </c>
      <c r="D1507">
        <v>0.99833973796992903</v>
      </c>
      <c r="E1507">
        <v>0.93017185571987604</v>
      </c>
      <c r="F1507">
        <v>0.95603311492092602</v>
      </c>
      <c r="G1507">
        <v>0.57255585843969103</v>
      </c>
      <c r="H1507">
        <v>0.326733873093139</v>
      </c>
      <c r="I1507">
        <v>0.39501880493402503</v>
      </c>
      <c r="J1507">
        <v>0.51022775606798998</v>
      </c>
      <c r="K1507">
        <v>0.64023566257165099</v>
      </c>
      <c r="L1507">
        <v>3460.5454882410099</v>
      </c>
      <c r="M1507">
        <v>62.436898769220697</v>
      </c>
      <c r="N1507">
        <v>58.009615607235297</v>
      </c>
      <c r="O1507">
        <v>55.367913078067303</v>
      </c>
      <c r="P1507">
        <v>-0.14968475014548999</v>
      </c>
      <c r="Q1507">
        <v>0.46904926434698402</v>
      </c>
      <c r="R1507">
        <v>0.90386798651587197</v>
      </c>
      <c r="S1507" t="s">
        <v>7959</v>
      </c>
      <c r="T1507" t="s">
        <v>12902</v>
      </c>
      <c r="U1507" t="s">
        <v>12902</v>
      </c>
      <c r="V1507" t="s">
        <v>12902</v>
      </c>
      <c r="W1507" t="s">
        <v>14379</v>
      </c>
      <c r="X1507">
        <v>2</v>
      </c>
      <c r="Y1507" t="s">
        <v>20760</v>
      </c>
      <c r="Z1507" t="s">
        <v>27082</v>
      </c>
      <c r="AA1507">
        <v>0.74287158261442565</v>
      </c>
      <c r="AB1507" t="str">
        <f>HYPERLINK("Melting_Curves/meltCurve_O60299_2_LZTS3.pdf", "Melting_Curves/meltCurve_O60299_2_LZTS3.pdf")</f>
        <v>Melting_Curves/meltCurve_O60299_2_LZTS3.pdf</v>
      </c>
    </row>
    <row r="1508" spans="1:28" x14ac:dyDescent="0.25">
      <c r="A1508" t="s">
        <v>1512</v>
      </c>
      <c r="B1508">
        <v>0.99673306730245903</v>
      </c>
      <c r="C1508">
        <v>0.82889926630806499</v>
      </c>
      <c r="D1508">
        <v>0.66728338007412302</v>
      </c>
      <c r="E1508">
        <v>0.65059063902142</v>
      </c>
      <c r="F1508">
        <v>0.42602106959140201</v>
      </c>
      <c r="G1508">
        <v>0.25178698304117902</v>
      </c>
      <c r="H1508">
        <v>0.15604013271375899</v>
      </c>
      <c r="I1508">
        <v>0.106873630251571</v>
      </c>
      <c r="J1508">
        <v>7.7353973398649606E-2</v>
      </c>
      <c r="K1508">
        <v>7.0552688566382304E-2</v>
      </c>
      <c r="L1508">
        <v>501.10100032498002</v>
      </c>
      <c r="M1508">
        <v>9.8093769604460999</v>
      </c>
      <c r="N1508">
        <v>51.083856682472003</v>
      </c>
      <c r="O1508">
        <v>49.096644716405798</v>
      </c>
      <c r="P1508">
        <v>-4.9975480439502902E-2</v>
      </c>
      <c r="Q1508">
        <v>0</v>
      </c>
      <c r="R1508">
        <v>0.98208589101065802</v>
      </c>
      <c r="S1508" t="s">
        <v>7960</v>
      </c>
      <c r="T1508" t="s">
        <v>12902</v>
      </c>
      <c r="U1508" t="s">
        <v>12902</v>
      </c>
      <c r="V1508" t="s">
        <v>12902</v>
      </c>
      <c r="W1508" t="s">
        <v>14380</v>
      </c>
      <c r="X1508">
        <v>12</v>
      </c>
      <c r="Y1508" t="s">
        <v>20761</v>
      </c>
      <c r="Z1508" t="s">
        <v>27083</v>
      </c>
      <c r="AA1508">
        <v>0.41172793149438791</v>
      </c>
      <c r="AB1508" t="str">
        <f>HYPERLINK("Melting_Curves/meltCurve_O60306_AQR.pdf", "Melting_Curves/meltCurve_O60306_AQR.pdf")</f>
        <v>Melting_Curves/meltCurve_O60306_AQR.pdf</v>
      </c>
    </row>
    <row r="1509" spans="1:28" x14ac:dyDescent="0.25">
      <c r="A1509" t="s">
        <v>1513</v>
      </c>
      <c r="B1509">
        <v>0.99673306730245903</v>
      </c>
      <c r="C1509">
        <v>0.92245301871593099</v>
      </c>
      <c r="D1509">
        <v>0.83692579677621004</v>
      </c>
      <c r="E1509">
        <v>0.76649058740628695</v>
      </c>
      <c r="F1509">
        <v>0.235731188671054</v>
      </c>
      <c r="G1509">
        <v>0.150504797177751</v>
      </c>
      <c r="H1509">
        <v>8.9946502774284495E-2</v>
      </c>
      <c r="I1509">
        <v>7.84283917840123E-2</v>
      </c>
      <c r="J1509">
        <v>7.8452953474426004E-2</v>
      </c>
      <c r="K1509">
        <v>6.9448997779596094E-2</v>
      </c>
      <c r="L1509">
        <v>1408.3712262655899</v>
      </c>
      <c r="M1509">
        <v>27.658296345416399</v>
      </c>
      <c r="N1509">
        <v>51.2195378404517</v>
      </c>
      <c r="O1509">
        <v>50.6564312732621</v>
      </c>
      <c r="P1509">
        <v>-0.126320095039854</v>
      </c>
      <c r="Q1509">
        <v>7.45825577088228E-2</v>
      </c>
      <c r="R1509">
        <v>0.98123444096321</v>
      </c>
      <c r="S1509" t="s">
        <v>7961</v>
      </c>
      <c r="T1509" t="s">
        <v>12902</v>
      </c>
      <c r="U1509" t="s">
        <v>12902</v>
      </c>
      <c r="V1509" t="s">
        <v>12902</v>
      </c>
      <c r="W1509" t="s">
        <v>14381</v>
      </c>
      <c r="X1509">
        <v>44</v>
      </c>
      <c r="Y1509" t="s">
        <v>20762</v>
      </c>
      <c r="Z1509" t="s">
        <v>27084</v>
      </c>
      <c r="AA1509">
        <v>0.41828271025237612</v>
      </c>
      <c r="AB1509" t="str">
        <f>HYPERLINK("Melting_Curves/meltCurve_O60313_2_OPA1.pdf", "Melting_Curves/meltCurve_O60313_2_OPA1.pdf")</f>
        <v>Melting_Curves/meltCurve_O60313_2_OPA1.pdf</v>
      </c>
    </row>
    <row r="1510" spans="1:28" x14ac:dyDescent="0.25">
      <c r="A1510" t="s">
        <v>1514</v>
      </c>
      <c r="B1510">
        <v>0.99673306730245903</v>
      </c>
      <c r="C1510">
        <v>0.81977032134689698</v>
      </c>
      <c r="D1510">
        <v>0.97953845090643799</v>
      </c>
      <c r="E1510">
        <v>0.59019673108773896</v>
      </c>
      <c r="F1510">
        <v>0.29104585343539002</v>
      </c>
      <c r="G1510">
        <v>0.21591427034222599</v>
      </c>
      <c r="H1510">
        <v>0.17945530442060201</v>
      </c>
      <c r="I1510">
        <v>0.21905377194978501</v>
      </c>
      <c r="J1510">
        <v>0.297828452672663</v>
      </c>
      <c r="K1510">
        <v>0.315970040413456</v>
      </c>
      <c r="L1510">
        <v>2015.4072741873899</v>
      </c>
      <c r="M1510">
        <v>40.798822218435298</v>
      </c>
      <c r="N1510">
        <v>50.232279525636301</v>
      </c>
      <c r="O1510">
        <v>49.280427875950302</v>
      </c>
      <c r="P1510">
        <v>-0.156068562929149</v>
      </c>
      <c r="Q1510">
        <v>0.24594775042233699</v>
      </c>
      <c r="R1510">
        <v>0.95230347989785202</v>
      </c>
      <c r="S1510" t="s">
        <v>7962</v>
      </c>
      <c r="T1510" t="s">
        <v>12902</v>
      </c>
      <c r="U1510" t="s">
        <v>12902</v>
      </c>
      <c r="V1510" t="s">
        <v>12902</v>
      </c>
      <c r="W1510" t="s">
        <v>14382</v>
      </c>
      <c r="X1510">
        <v>2</v>
      </c>
      <c r="Y1510" t="s">
        <v>20763</v>
      </c>
      <c r="Z1510" t="s">
        <v>27085</v>
      </c>
      <c r="AA1510">
        <v>0.48465955909540742</v>
      </c>
      <c r="AB1510" t="str">
        <f>HYPERLINK("Melting_Curves/meltCurve_O60331_4_PIP5K1C.pdf", "Melting_Curves/meltCurve_O60331_4_PIP5K1C.pdf")</f>
        <v>Melting_Curves/meltCurve_O60331_4_PIP5K1C.pdf</v>
      </c>
    </row>
    <row r="1511" spans="1:28" x14ac:dyDescent="0.25">
      <c r="A1511" t="s">
        <v>1515</v>
      </c>
      <c r="B1511">
        <v>0.99673306730245903</v>
      </c>
      <c r="C1511">
        <v>0.909169189053883</v>
      </c>
      <c r="D1511">
        <v>0.81420287742516995</v>
      </c>
      <c r="E1511">
        <v>0.58485752596987395</v>
      </c>
      <c r="F1511">
        <v>0.23493874380565599</v>
      </c>
      <c r="G1511">
        <v>0.14101893723355399</v>
      </c>
      <c r="H1511">
        <v>8.7115732833465298E-2</v>
      </c>
      <c r="I1511">
        <v>7.1216625415633603E-2</v>
      </c>
      <c r="J1511">
        <v>7.9495516607795802E-2</v>
      </c>
      <c r="K1511">
        <v>6.5586957624117107E-2</v>
      </c>
      <c r="L1511">
        <v>921.17518048513796</v>
      </c>
      <c r="M1511">
        <v>18.5237806884845</v>
      </c>
      <c r="N1511">
        <v>50.059718570449299</v>
      </c>
      <c r="O1511">
        <v>49.160631482542399</v>
      </c>
      <c r="P1511">
        <v>-8.8784021120733206E-2</v>
      </c>
      <c r="Q1511">
        <v>5.7538763235502298E-2</v>
      </c>
      <c r="R1511">
        <v>0.99554843958961103</v>
      </c>
      <c r="S1511" t="s">
        <v>7963</v>
      </c>
      <c r="T1511" t="s">
        <v>12902</v>
      </c>
      <c r="U1511" t="s">
        <v>12902</v>
      </c>
      <c r="V1511" t="s">
        <v>12902</v>
      </c>
      <c r="W1511" t="s">
        <v>14383</v>
      </c>
      <c r="X1511">
        <v>23</v>
      </c>
      <c r="Y1511" t="s">
        <v>20764</v>
      </c>
      <c r="Z1511" t="s">
        <v>27086</v>
      </c>
      <c r="AA1511">
        <v>0.37845115785610628</v>
      </c>
      <c r="AB1511" t="str">
        <f>HYPERLINK("Melting_Curves/meltCurve_O60333_2_KIF1B.pdf", "Melting_Curves/meltCurve_O60333_2_KIF1B.pdf")</f>
        <v>Melting_Curves/meltCurve_O60333_2_KIF1B.pdf</v>
      </c>
    </row>
    <row r="1512" spans="1:28" x14ac:dyDescent="0.25">
      <c r="A1512" t="s">
        <v>1516</v>
      </c>
      <c r="B1512">
        <v>0.99673306730245903</v>
      </c>
      <c r="C1512">
        <v>0.803073305989496</v>
      </c>
      <c r="D1512">
        <v>0.67334714105583704</v>
      </c>
      <c r="E1512">
        <v>0.437479234522275</v>
      </c>
      <c r="F1512">
        <v>0.22356271077859399</v>
      </c>
      <c r="G1512">
        <v>0.122128013324847</v>
      </c>
      <c r="H1512">
        <v>7.5718257074307793E-2</v>
      </c>
      <c r="I1512">
        <v>6.3554268915515993E-2</v>
      </c>
      <c r="J1512">
        <v>6.4124589948750699E-2</v>
      </c>
      <c r="K1512">
        <v>5.7708436565055699E-2</v>
      </c>
      <c r="L1512">
        <v>680.25682194750595</v>
      </c>
      <c r="M1512">
        <v>14.1517938046326</v>
      </c>
      <c r="N1512">
        <v>48.333673856458702</v>
      </c>
      <c r="O1512">
        <v>47.139313394216202</v>
      </c>
      <c r="P1512">
        <v>-7.2259822738743595E-2</v>
      </c>
      <c r="Q1512">
        <v>3.73386056049732E-2</v>
      </c>
      <c r="R1512">
        <v>0.99479505533659895</v>
      </c>
      <c r="S1512" t="s">
        <v>7964</v>
      </c>
      <c r="T1512" t="s">
        <v>12902</v>
      </c>
      <c r="U1512" t="s">
        <v>12902</v>
      </c>
      <c r="V1512" t="s">
        <v>12902</v>
      </c>
      <c r="W1512" t="s">
        <v>14384</v>
      </c>
      <c r="X1512">
        <v>22</v>
      </c>
      <c r="Y1512" t="s">
        <v>20765</v>
      </c>
      <c r="Z1512" t="s">
        <v>27087</v>
      </c>
      <c r="AA1512">
        <v>0.32390967703134882</v>
      </c>
      <c r="AB1512" t="str">
        <f>HYPERLINK("Melting_Curves/meltCurve_O60341_KDM1A.pdf", "Melting_Curves/meltCurve_O60341_KDM1A.pdf")</f>
        <v>Melting_Curves/meltCurve_O60341_KDM1A.pdf</v>
      </c>
    </row>
    <row r="1513" spans="1:28" x14ac:dyDescent="0.25">
      <c r="A1513" t="s">
        <v>1517</v>
      </c>
      <c r="B1513">
        <v>0.99673306730245903</v>
      </c>
      <c r="C1513">
        <v>0.90420719491726398</v>
      </c>
      <c r="D1513">
        <v>0.88439561141030498</v>
      </c>
      <c r="E1513">
        <v>0.64193590708570503</v>
      </c>
      <c r="F1513">
        <v>0.191017073670468</v>
      </c>
      <c r="G1513">
        <v>0.13045694668659899</v>
      </c>
      <c r="H1513">
        <v>8.4397892681354003E-2</v>
      </c>
      <c r="I1513">
        <v>7.6713581772821393E-2</v>
      </c>
      <c r="J1513">
        <v>7.9394534045733794E-2</v>
      </c>
      <c r="K1513">
        <v>7.2017340979247099E-2</v>
      </c>
      <c r="L1513">
        <v>1320.94083777336</v>
      </c>
      <c r="M1513">
        <v>26.351191152965601</v>
      </c>
      <c r="N1513">
        <v>50.428212049911401</v>
      </c>
      <c r="O1513">
        <v>49.842292039897401</v>
      </c>
      <c r="P1513">
        <v>-0.122588497361847</v>
      </c>
      <c r="Q1513">
        <v>7.2523852591208998E-2</v>
      </c>
      <c r="R1513">
        <v>0.99104604000860097</v>
      </c>
      <c r="S1513" t="s">
        <v>7965</v>
      </c>
      <c r="T1513" t="s">
        <v>12902</v>
      </c>
      <c r="U1513" t="s">
        <v>12902</v>
      </c>
      <c r="V1513" t="s">
        <v>12902</v>
      </c>
      <c r="W1513" t="s">
        <v>14385</v>
      </c>
      <c r="X1513">
        <v>27</v>
      </c>
      <c r="Y1513" t="s">
        <v>20766</v>
      </c>
      <c r="Z1513" t="s">
        <v>27088</v>
      </c>
      <c r="AA1513">
        <v>0.39311714789513341</v>
      </c>
      <c r="AB1513" t="str">
        <f>HYPERLINK("Melting_Curves/meltCurve_O60343_2_TBC1D4.pdf", "Melting_Curves/meltCurve_O60343_2_TBC1D4.pdf")</f>
        <v>Melting_Curves/meltCurve_O60343_2_TBC1D4.pdf</v>
      </c>
    </row>
    <row r="1514" spans="1:28" x14ac:dyDescent="0.25">
      <c r="A1514" t="s">
        <v>1518</v>
      </c>
      <c r="B1514">
        <v>0.99673306730245903</v>
      </c>
      <c r="C1514">
        <v>0.92004800639200701</v>
      </c>
      <c r="D1514">
        <v>0.48772999372759201</v>
      </c>
      <c r="E1514">
        <v>0.30680027993978598</v>
      </c>
      <c r="F1514">
        <v>0.22289379917181701</v>
      </c>
      <c r="G1514">
        <v>0.14387803503426599</v>
      </c>
      <c r="H1514">
        <v>9.12508314717905E-2</v>
      </c>
      <c r="I1514">
        <v>9.5671523524192503E-2</v>
      </c>
      <c r="J1514">
        <v>7.7761487705519799E-2</v>
      </c>
      <c r="K1514">
        <v>6.2987327494818002E-2</v>
      </c>
      <c r="L1514">
        <v>956.835197181995</v>
      </c>
      <c r="M1514">
        <v>20.714918641251799</v>
      </c>
      <c r="N1514">
        <v>46.698451569790898</v>
      </c>
      <c r="O1514">
        <v>45.766627916611398</v>
      </c>
      <c r="P1514">
        <v>-0.101746961599097</v>
      </c>
      <c r="Q1514">
        <v>0.100844409531111</v>
      </c>
      <c r="R1514">
        <v>0.98065738618613096</v>
      </c>
      <c r="S1514" t="s">
        <v>7966</v>
      </c>
      <c r="T1514" t="s">
        <v>12902</v>
      </c>
      <c r="U1514" t="s">
        <v>12902</v>
      </c>
      <c r="V1514" t="s">
        <v>12902</v>
      </c>
      <c r="W1514" t="s">
        <v>14386</v>
      </c>
      <c r="X1514">
        <v>5</v>
      </c>
      <c r="Y1514" t="s">
        <v>20767</v>
      </c>
      <c r="Z1514" t="s">
        <v>27089</v>
      </c>
      <c r="AA1514">
        <v>0.2990553409765232</v>
      </c>
      <c r="AB1514" t="str">
        <f>HYPERLINK("Melting_Curves/meltCurve_O60344_4_ECE2.pdf", "Melting_Curves/meltCurve_O60344_4_ECE2.pdf")</f>
        <v>Melting_Curves/meltCurve_O60344_4_ECE2.pdf</v>
      </c>
    </row>
    <row r="1515" spans="1:28" x14ac:dyDescent="0.25">
      <c r="A1515" t="s">
        <v>1519</v>
      </c>
      <c r="B1515">
        <v>0.99673306730245903</v>
      </c>
      <c r="C1515">
        <v>0.92919495163215304</v>
      </c>
      <c r="D1515">
        <v>0.92308848771698404</v>
      </c>
      <c r="E1515">
        <v>0.84282198953861298</v>
      </c>
      <c r="F1515">
        <v>0.30788359013514699</v>
      </c>
      <c r="G1515">
        <v>0.19161509429901799</v>
      </c>
      <c r="H1515">
        <v>0.12035802467102</v>
      </c>
      <c r="I1515">
        <v>0.12798124742873501</v>
      </c>
      <c r="J1515">
        <v>0.12955332487092799</v>
      </c>
      <c r="K1515">
        <v>0.124015501704079</v>
      </c>
      <c r="L1515">
        <v>1941.6403674216799</v>
      </c>
      <c r="M1515">
        <v>37.7550901631421</v>
      </c>
      <c r="N1515">
        <v>51.845014962541804</v>
      </c>
      <c r="O1515">
        <v>51.283607245716397</v>
      </c>
      <c r="P1515">
        <v>-0.15991086812428801</v>
      </c>
      <c r="Q1515">
        <v>0.13115983192310099</v>
      </c>
      <c r="R1515">
        <v>0.99183297389222802</v>
      </c>
      <c r="S1515" t="s">
        <v>7967</v>
      </c>
      <c r="T1515" t="s">
        <v>12902</v>
      </c>
      <c r="U1515" t="s">
        <v>12902</v>
      </c>
      <c r="V1515" t="s">
        <v>12902</v>
      </c>
      <c r="W1515" t="s">
        <v>14387</v>
      </c>
      <c r="X1515">
        <v>2</v>
      </c>
      <c r="Y1515" t="s">
        <v>20768</v>
      </c>
      <c r="Z1515" t="s">
        <v>27090</v>
      </c>
      <c r="AA1515">
        <v>0.46557672467288852</v>
      </c>
      <c r="AB1515" t="str">
        <f>HYPERLINK("Melting_Curves/meltCurve_O60346_PHLPP1.pdf", "Melting_Curves/meltCurve_O60346_PHLPP1.pdf")</f>
        <v>Melting_Curves/meltCurve_O60346_PHLPP1.pdf</v>
      </c>
    </row>
    <row r="1516" spans="1:28" x14ac:dyDescent="0.25">
      <c r="A1516" t="s">
        <v>1520</v>
      </c>
      <c r="B1516">
        <v>0.99673306730245903</v>
      </c>
      <c r="C1516">
        <v>0.91807981929636895</v>
      </c>
      <c r="D1516">
        <v>0.88843283244007998</v>
      </c>
      <c r="E1516">
        <v>0.79799174040285703</v>
      </c>
      <c r="F1516">
        <v>0.46302477347579701</v>
      </c>
      <c r="G1516">
        <v>0.303360320795448</v>
      </c>
      <c r="H1516">
        <v>0.23617202872075199</v>
      </c>
      <c r="I1516">
        <v>0.21004822026122799</v>
      </c>
      <c r="J1516">
        <v>0.29826965809041001</v>
      </c>
      <c r="K1516">
        <v>0.285077208310692</v>
      </c>
      <c r="L1516">
        <v>1183.4819859188799</v>
      </c>
      <c r="M1516">
        <v>23.1053830406589</v>
      </c>
      <c r="N1516">
        <v>52.777361844138397</v>
      </c>
      <c r="O1516">
        <v>50.841971175912697</v>
      </c>
      <c r="P1516">
        <v>-8.5549249155715101E-2</v>
      </c>
      <c r="Q1516">
        <v>0.24703008914241301</v>
      </c>
      <c r="R1516">
        <v>0.98125060608453196</v>
      </c>
      <c r="S1516" t="s">
        <v>7968</v>
      </c>
      <c r="T1516" t="s">
        <v>12902</v>
      </c>
      <c r="U1516" t="s">
        <v>12902</v>
      </c>
      <c r="V1516" t="s">
        <v>12902</v>
      </c>
      <c r="W1516" t="s">
        <v>14388</v>
      </c>
      <c r="X1516">
        <v>2</v>
      </c>
      <c r="Y1516" t="s">
        <v>20769</v>
      </c>
      <c r="Z1516" t="s">
        <v>27091</v>
      </c>
      <c r="AA1516">
        <v>0.53661496882025239</v>
      </c>
      <c r="AB1516" t="str">
        <f>HYPERLINK("Melting_Curves/meltCurve_O60347_TBC1D12.pdf", "Melting_Curves/meltCurve_O60347_TBC1D12.pdf")</f>
        <v>Melting_Curves/meltCurve_O60347_TBC1D12.pdf</v>
      </c>
    </row>
    <row r="1517" spans="1:28" x14ac:dyDescent="0.25">
      <c r="A1517" t="s">
        <v>1521</v>
      </c>
      <c r="B1517">
        <v>0.99673306730245903</v>
      </c>
      <c r="C1517">
        <v>0.88568677300873599</v>
      </c>
      <c r="D1517">
        <v>0.89581269237338901</v>
      </c>
      <c r="E1517">
        <v>0.69586403865979796</v>
      </c>
      <c r="F1517">
        <v>0.51526665994250798</v>
      </c>
      <c r="G1517">
        <v>0.434408888830005</v>
      </c>
      <c r="H1517">
        <v>0.32668263830240601</v>
      </c>
      <c r="I1517">
        <v>0.34965345104670997</v>
      </c>
      <c r="J1517">
        <v>0.42402334078270298</v>
      </c>
      <c r="K1517">
        <v>0.31854201071793897</v>
      </c>
      <c r="L1517">
        <v>785.94505554290299</v>
      </c>
      <c r="M1517">
        <v>15.7209872620185</v>
      </c>
      <c r="N1517">
        <v>53.8458357284077</v>
      </c>
      <c r="O1517">
        <v>49.205419123003097</v>
      </c>
      <c r="P1517">
        <v>-5.2910164813005998E-2</v>
      </c>
      <c r="Q1517">
        <v>0.33763757651240001</v>
      </c>
      <c r="R1517">
        <v>0.97619997753704701</v>
      </c>
      <c r="S1517" t="s">
        <v>7969</v>
      </c>
      <c r="T1517" t="s">
        <v>12902</v>
      </c>
      <c r="U1517" t="s">
        <v>12902</v>
      </c>
      <c r="V1517" t="s">
        <v>12902</v>
      </c>
      <c r="W1517" t="s">
        <v>14389</v>
      </c>
      <c r="X1517">
        <v>2</v>
      </c>
      <c r="Y1517" t="s">
        <v>20770</v>
      </c>
      <c r="Z1517" t="s">
        <v>27092</v>
      </c>
      <c r="AA1517">
        <v>0.5728029194634453</v>
      </c>
      <c r="AB1517" t="str">
        <f>HYPERLINK("Melting_Curves/meltCurve_O60353_2_FZD6.pdf", "Melting_Curves/meltCurve_O60353_2_FZD6.pdf")</f>
        <v>Melting_Curves/meltCurve_O60353_2_FZD6.pdf</v>
      </c>
    </row>
    <row r="1518" spans="1:28" x14ac:dyDescent="0.25">
      <c r="A1518" t="s">
        <v>1522</v>
      </c>
      <c r="B1518">
        <v>0.99673306730245903</v>
      </c>
      <c r="C1518">
        <v>0.95966721290928403</v>
      </c>
      <c r="D1518">
        <v>0.80745042235267805</v>
      </c>
      <c r="E1518">
        <v>0.54603378924601098</v>
      </c>
      <c r="F1518">
        <v>0.325789561461444</v>
      </c>
      <c r="G1518">
        <v>0.162912685908181</v>
      </c>
      <c r="H1518">
        <v>0.11292575163490599</v>
      </c>
      <c r="I1518">
        <v>0.109115257207376</v>
      </c>
      <c r="J1518">
        <v>0.11680777125127099</v>
      </c>
      <c r="K1518">
        <v>9.3406623504687994E-2</v>
      </c>
      <c r="L1518">
        <v>871.38581988710405</v>
      </c>
      <c r="M1518">
        <v>17.550104737604801</v>
      </c>
      <c r="N1518">
        <v>50.222209822167997</v>
      </c>
      <c r="O1518">
        <v>49.020126084934901</v>
      </c>
      <c r="P1518">
        <v>-8.1415228164322798E-2</v>
      </c>
      <c r="Q1518">
        <v>9.0428869596349701E-2</v>
      </c>
      <c r="R1518">
        <v>0.99873194390194997</v>
      </c>
      <c r="S1518" t="s">
        <v>7970</v>
      </c>
      <c r="T1518" t="s">
        <v>12902</v>
      </c>
      <c r="U1518" t="s">
        <v>12902</v>
      </c>
      <c r="V1518" t="s">
        <v>12902</v>
      </c>
      <c r="W1518" t="s">
        <v>14390</v>
      </c>
      <c r="X1518">
        <v>3</v>
      </c>
      <c r="Y1518" t="s">
        <v>20771</v>
      </c>
      <c r="Z1518" t="s">
        <v>27093</v>
      </c>
      <c r="AA1518">
        <v>0.39941180325628972</v>
      </c>
      <c r="AB1518" t="str">
        <f>HYPERLINK("Melting_Curves/meltCurve_O60427_FADS1.pdf", "Melting_Curves/meltCurve_O60427_FADS1.pdf")</f>
        <v>Melting_Curves/meltCurve_O60427_FADS1.pdf</v>
      </c>
    </row>
    <row r="1519" spans="1:28" x14ac:dyDescent="0.25">
      <c r="A1519" t="s">
        <v>1523</v>
      </c>
      <c r="B1519">
        <v>0.99673306730245903</v>
      </c>
      <c r="C1519">
        <v>0.94079881422712996</v>
      </c>
      <c r="D1519">
        <v>0.97636289909677598</v>
      </c>
      <c r="E1519">
        <v>0.84934114879550504</v>
      </c>
      <c r="F1519">
        <v>0.61458657165781505</v>
      </c>
      <c r="G1519">
        <v>0.38168003809801399</v>
      </c>
      <c r="H1519">
        <v>0.26694940181419502</v>
      </c>
      <c r="I1519">
        <v>0.20173248834343699</v>
      </c>
      <c r="J1519">
        <v>0.19984584571380501</v>
      </c>
      <c r="K1519">
        <v>0.14846066989083001</v>
      </c>
      <c r="L1519">
        <v>950.716704845442</v>
      </c>
      <c r="M1519">
        <v>17.688517940190099</v>
      </c>
      <c r="N1519">
        <v>54.916771674226403</v>
      </c>
      <c r="O1519">
        <v>53.0748315153985</v>
      </c>
      <c r="P1519">
        <v>-7.0250459438561896E-2</v>
      </c>
      <c r="Q1519">
        <v>0.156891552869423</v>
      </c>
      <c r="R1519">
        <v>0.99654074617701205</v>
      </c>
      <c r="S1519" t="s">
        <v>7971</v>
      </c>
      <c r="T1519" t="s">
        <v>12902</v>
      </c>
      <c r="U1519" t="s">
        <v>12902</v>
      </c>
      <c r="V1519" t="s">
        <v>12902</v>
      </c>
      <c r="W1519" t="s">
        <v>14391</v>
      </c>
      <c r="X1519">
        <v>11</v>
      </c>
      <c r="Y1519" t="s">
        <v>20772</v>
      </c>
      <c r="Z1519" t="s">
        <v>27094</v>
      </c>
      <c r="AA1519">
        <v>0.55719224446694504</v>
      </c>
      <c r="AB1519" t="str">
        <f>HYPERLINK("Melting_Curves/meltCurve_O60449_2_LY75.pdf", "Melting_Curves/meltCurve_O60449_2_LY75.pdf")</f>
        <v>Melting_Curves/meltCurve_O60449_2_LY75.pdf</v>
      </c>
    </row>
    <row r="1520" spans="1:28" x14ac:dyDescent="0.25">
      <c r="A1520" t="s">
        <v>1524</v>
      </c>
      <c r="B1520">
        <v>0.99673306730245903</v>
      </c>
      <c r="C1520">
        <v>0.89755504516041196</v>
      </c>
      <c r="D1520">
        <v>0.84975261666666901</v>
      </c>
      <c r="E1520">
        <v>0.74210385755125796</v>
      </c>
      <c r="F1520">
        <v>0.53716923025681795</v>
      </c>
      <c r="G1520">
        <v>0.31404400100639601</v>
      </c>
      <c r="H1520">
        <v>0.16707717927584601</v>
      </c>
      <c r="I1520">
        <v>0.17551284748673701</v>
      </c>
      <c r="J1520">
        <v>0.195171669813198</v>
      </c>
      <c r="K1520">
        <v>0.16583725246214601</v>
      </c>
      <c r="L1520">
        <v>723.38842972580699</v>
      </c>
      <c r="M1520">
        <v>13.8646641247733</v>
      </c>
      <c r="N1520">
        <v>53.2331219497121</v>
      </c>
      <c r="O1520">
        <v>51.125495186496103</v>
      </c>
      <c r="P1520">
        <v>-5.9639875410868397E-2</v>
      </c>
      <c r="Q1520">
        <v>0.12044053862978001</v>
      </c>
      <c r="R1520">
        <v>0.98758189475810998</v>
      </c>
      <c r="S1520" t="s">
        <v>7972</v>
      </c>
      <c r="T1520" t="s">
        <v>12902</v>
      </c>
      <c r="U1520" t="s">
        <v>12902</v>
      </c>
      <c r="V1520" t="s">
        <v>12902</v>
      </c>
      <c r="W1520" t="s">
        <v>14392</v>
      </c>
      <c r="X1520">
        <v>6</v>
      </c>
      <c r="Y1520" t="s">
        <v>20773</v>
      </c>
      <c r="Z1520" t="s">
        <v>27095</v>
      </c>
      <c r="AA1520">
        <v>0.49932051564086122</v>
      </c>
      <c r="AB1520" t="str">
        <f>HYPERLINK("Melting_Curves/meltCurve_O60476_MAN1A2.pdf", "Melting_Curves/meltCurve_O60476_MAN1A2.pdf")</f>
        <v>Melting_Curves/meltCurve_O60476_MAN1A2.pdf</v>
      </c>
    </row>
    <row r="1521" spans="1:28" x14ac:dyDescent="0.25">
      <c r="A1521" t="s">
        <v>1525</v>
      </c>
      <c r="B1521">
        <v>0.99673306730245903</v>
      </c>
      <c r="C1521">
        <v>0.977093899947862</v>
      </c>
      <c r="D1521">
        <v>1.0454786304411401</v>
      </c>
      <c r="E1521">
        <v>1.02113468685491</v>
      </c>
      <c r="F1521">
        <v>0.94191138513684203</v>
      </c>
      <c r="G1521">
        <v>0.35249612984152101</v>
      </c>
      <c r="H1521">
        <v>0.814586023913346</v>
      </c>
      <c r="I1521">
        <v>0.44454084202780703</v>
      </c>
      <c r="J1521">
        <v>0.14187573301426201</v>
      </c>
      <c r="K1521">
        <v>9.4856013874716302E-2</v>
      </c>
      <c r="L1521">
        <v>746.39734778854802</v>
      </c>
      <c r="M1521">
        <v>12.2063063339574</v>
      </c>
      <c r="N1521">
        <v>61.148502097319103</v>
      </c>
      <c r="O1521">
        <v>59.576748122819403</v>
      </c>
      <c r="P1521">
        <v>-5.1232506272066901E-2</v>
      </c>
      <c r="Q1521">
        <v>0</v>
      </c>
      <c r="R1521">
        <v>0.80042527414012699</v>
      </c>
      <c r="S1521" t="s">
        <v>7973</v>
      </c>
      <c r="T1521" t="s">
        <v>12902</v>
      </c>
      <c r="U1521" t="s">
        <v>12902</v>
      </c>
      <c r="V1521" t="s">
        <v>12902</v>
      </c>
      <c r="W1521" t="s">
        <v>14393</v>
      </c>
      <c r="X1521">
        <v>17</v>
      </c>
      <c r="Y1521" t="s">
        <v>20774</v>
      </c>
      <c r="Z1521" t="s">
        <v>27096</v>
      </c>
      <c r="AA1521">
        <v>0.70055698609272488</v>
      </c>
      <c r="AB1521" t="str">
        <f>HYPERLINK("Melting_Curves/meltCurve_O60486_PLXNC1.pdf", "Melting_Curves/meltCurve_O60486_PLXNC1.pdf")</f>
        <v>Melting_Curves/meltCurve_O60486_PLXNC1.pdf</v>
      </c>
    </row>
    <row r="1522" spans="1:28" x14ac:dyDescent="0.25">
      <c r="A1522" t="s">
        <v>1526</v>
      </c>
      <c r="B1522">
        <v>0.99673306730245903</v>
      </c>
      <c r="C1522">
        <v>0.98356467863986896</v>
      </c>
      <c r="D1522">
        <v>0.95627702441528595</v>
      </c>
      <c r="E1522">
        <v>0.81976869323572898</v>
      </c>
      <c r="F1522">
        <v>0.67954440174499497</v>
      </c>
      <c r="G1522">
        <v>0.47734498054345198</v>
      </c>
      <c r="H1522">
        <v>0.32352927546124999</v>
      </c>
      <c r="I1522">
        <v>0.299454463500261</v>
      </c>
      <c r="J1522">
        <v>0.27556854940383901</v>
      </c>
      <c r="K1522">
        <v>0.23079666245134201</v>
      </c>
      <c r="L1522">
        <v>802.573915426246</v>
      </c>
      <c r="M1522">
        <v>14.8166133213312</v>
      </c>
      <c r="N1522">
        <v>56.315035160435798</v>
      </c>
      <c r="O1522">
        <v>53.209168692843697</v>
      </c>
      <c r="P1522">
        <v>-5.4594366901551998E-2</v>
      </c>
      <c r="Q1522">
        <v>0.215849720630447</v>
      </c>
      <c r="R1522">
        <v>0.99790175404210602</v>
      </c>
      <c r="S1522" t="s">
        <v>7974</v>
      </c>
      <c r="T1522" t="s">
        <v>12902</v>
      </c>
      <c r="U1522" t="s">
        <v>12902</v>
      </c>
      <c r="V1522" t="s">
        <v>12902</v>
      </c>
      <c r="W1522" t="s">
        <v>14394</v>
      </c>
      <c r="X1522">
        <v>1</v>
      </c>
      <c r="Y1522" t="s">
        <v>20775</v>
      </c>
      <c r="Z1522" t="s">
        <v>27097</v>
      </c>
      <c r="AA1522">
        <v>0.6023348029084945</v>
      </c>
      <c r="AB1522" t="str">
        <f>HYPERLINK("Melting_Curves/meltCurve_O60487_MPZL2.pdf", "Melting_Curves/meltCurve_O60487_MPZL2.pdf")</f>
        <v>Melting_Curves/meltCurve_O60487_MPZL2.pdf</v>
      </c>
    </row>
    <row r="1523" spans="1:28" x14ac:dyDescent="0.25">
      <c r="A1523" t="s">
        <v>1527</v>
      </c>
      <c r="B1523">
        <v>0.99673306730245903</v>
      </c>
      <c r="C1523">
        <v>1.18570438814888</v>
      </c>
      <c r="D1523">
        <v>0.51972206240922603</v>
      </c>
      <c r="E1523">
        <v>0.53305340612628704</v>
      </c>
      <c r="F1523">
        <v>0.13352093136318099</v>
      </c>
      <c r="G1523">
        <v>8.6388915552219697E-2</v>
      </c>
      <c r="H1523">
        <v>4.9955246294750101E-2</v>
      </c>
      <c r="I1523">
        <v>4.5037909254351298E-2</v>
      </c>
      <c r="J1523">
        <v>4.8982865249879E-2</v>
      </c>
      <c r="K1523">
        <v>3.8946637731503198E-2</v>
      </c>
      <c r="L1523">
        <v>936.72544077098098</v>
      </c>
      <c r="M1523">
        <v>19.367974532556602</v>
      </c>
      <c r="N1523">
        <v>48.559558924625598</v>
      </c>
      <c r="O1523">
        <v>47.857912493057299</v>
      </c>
      <c r="P1523">
        <v>-9.7394443641122194E-2</v>
      </c>
      <c r="Q1523">
        <v>3.7395995057529198E-2</v>
      </c>
      <c r="R1523">
        <v>0.91855862245696895</v>
      </c>
      <c r="S1523" t="s">
        <v>7975</v>
      </c>
      <c r="T1523" t="s">
        <v>12902</v>
      </c>
      <c r="U1523" t="s">
        <v>12902</v>
      </c>
      <c r="V1523" t="s">
        <v>12902</v>
      </c>
      <c r="W1523" t="s">
        <v>14395</v>
      </c>
      <c r="X1523">
        <v>26</v>
      </c>
      <c r="Y1523" t="s">
        <v>20776</v>
      </c>
      <c r="Z1523" t="s">
        <v>27098</v>
      </c>
      <c r="AA1523">
        <v>0.3203214654306144</v>
      </c>
      <c r="AB1523" t="str">
        <f>HYPERLINK("Melting_Curves/meltCurve_O60488_2_ACSL4.pdf", "Melting_Curves/meltCurve_O60488_2_ACSL4.pdf")</f>
        <v>Melting_Curves/meltCurve_O60488_2_ACSL4.pdf</v>
      </c>
    </row>
    <row r="1524" spans="1:28" x14ac:dyDescent="0.25">
      <c r="A1524" t="s">
        <v>1528</v>
      </c>
      <c r="B1524">
        <v>0.99673306730245903</v>
      </c>
      <c r="C1524">
        <v>0.97805120496708098</v>
      </c>
      <c r="D1524">
        <v>0.75053660218348595</v>
      </c>
      <c r="E1524">
        <v>0.342541048229695</v>
      </c>
      <c r="F1524">
        <v>0.21452979973380401</v>
      </c>
      <c r="G1524">
        <v>0.153983490756055</v>
      </c>
      <c r="H1524">
        <v>0.110191240851172</v>
      </c>
      <c r="I1524">
        <v>0.121310610571547</v>
      </c>
      <c r="J1524">
        <v>0.18093749190307901</v>
      </c>
      <c r="K1524">
        <v>0.17237973078492599</v>
      </c>
      <c r="L1524">
        <v>1332.1445760448701</v>
      </c>
      <c r="M1524">
        <v>28.052560439277901</v>
      </c>
      <c r="N1524">
        <v>48.096620543608303</v>
      </c>
      <c r="O1524">
        <v>47.248099913803699</v>
      </c>
      <c r="P1524">
        <v>-0.12624001623939701</v>
      </c>
      <c r="Q1524">
        <v>0.149517899446243</v>
      </c>
      <c r="R1524">
        <v>0.99569585072989397</v>
      </c>
      <c r="S1524" t="s">
        <v>7976</v>
      </c>
      <c r="T1524" t="s">
        <v>12902</v>
      </c>
      <c r="U1524" t="s">
        <v>12902</v>
      </c>
      <c r="V1524" t="s">
        <v>12902</v>
      </c>
      <c r="W1524" t="s">
        <v>14396</v>
      </c>
      <c r="X1524">
        <v>12</v>
      </c>
      <c r="Y1524" t="s">
        <v>20777</v>
      </c>
      <c r="Z1524" t="s">
        <v>27099</v>
      </c>
      <c r="AA1524">
        <v>0.3676677419334356</v>
      </c>
      <c r="AB1524" t="str">
        <f>HYPERLINK("Melting_Curves/meltCurve_O60493_SNX3.pdf", "Melting_Curves/meltCurve_O60493_SNX3.pdf")</f>
        <v>Melting_Curves/meltCurve_O60493_SNX3.pdf</v>
      </c>
    </row>
    <row r="1525" spans="1:28" x14ac:dyDescent="0.25">
      <c r="A1525" t="s">
        <v>1529</v>
      </c>
      <c r="B1525">
        <v>0.99673306730245903</v>
      </c>
      <c r="C1525">
        <v>0.91886764412121402</v>
      </c>
      <c r="D1525">
        <v>0.89410352262342396</v>
      </c>
      <c r="E1525">
        <v>0.78926452933746905</v>
      </c>
      <c r="F1525">
        <v>0.32638420790587502</v>
      </c>
      <c r="G1525">
        <v>0.124362984109297</v>
      </c>
      <c r="H1525">
        <v>7.3132891114492102E-2</v>
      </c>
      <c r="I1525">
        <v>6.3480741856424897E-2</v>
      </c>
      <c r="J1525">
        <v>7.5079398484749704E-2</v>
      </c>
      <c r="K1525">
        <v>7.1255038507618801E-2</v>
      </c>
      <c r="L1525">
        <v>1411.76620026825</v>
      </c>
      <c r="M1525">
        <v>27.408728790117301</v>
      </c>
      <c r="N1525">
        <v>51.762720516169701</v>
      </c>
      <c r="O1525">
        <v>51.236058274926698</v>
      </c>
      <c r="P1525">
        <v>-0.12529923990594299</v>
      </c>
      <c r="Q1525">
        <v>6.3104413804193002E-2</v>
      </c>
      <c r="R1525">
        <v>0.99176659050590399</v>
      </c>
      <c r="S1525" t="s">
        <v>7977</v>
      </c>
      <c r="T1525" t="s">
        <v>12902</v>
      </c>
      <c r="U1525" t="s">
        <v>12902</v>
      </c>
      <c r="V1525" t="s">
        <v>12902</v>
      </c>
      <c r="W1525" t="s">
        <v>14397</v>
      </c>
      <c r="X1525">
        <v>13</v>
      </c>
      <c r="Y1525" t="s">
        <v>20778</v>
      </c>
      <c r="Z1525" t="s">
        <v>27100</v>
      </c>
      <c r="AA1525">
        <v>0.42960020212277222</v>
      </c>
      <c r="AB1525" t="str">
        <f>HYPERLINK("Melting_Curves/meltCurve_O60502_MGEA5.pdf", "Melting_Curves/meltCurve_O60502_MGEA5.pdf")</f>
        <v>Melting_Curves/meltCurve_O60502_MGEA5.pdf</v>
      </c>
    </row>
    <row r="1526" spans="1:28" x14ac:dyDescent="0.25">
      <c r="A1526" t="s">
        <v>1530</v>
      </c>
      <c r="B1526">
        <v>0.99673306730245903</v>
      </c>
      <c r="C1526">
        <v>0.83274069370051096</v>
      </c>
      <c r="D1526">
        <v>0.73979250979009303</v>
      </c>
      <c r="E1526">
        <v>0.47877797882970802</v>
      </c>
      <c r="F1526">
        <v>0.229663806115081</v>
      </c>
      <c r="G1526">
        <v>0.15514705207997401</v>
      </c>
      <c r="H1526">
        <v>0.10347167666882599</v>
      </c>
      <c r="I1526">
        <v>0.13029175813675101</v>
      </c>
      <c r="J1526">
        <v>0.185587390805485</v>
      </c>
      <c r="K1526">
        <v>0.16536736152581399</v>
      </c>
      <c r="L1526">
        <v>836.94005084248795</v>
      </c>
      <c r="M1526">
        <v>17.446661641589198</v>
      </c>
      <c r="N1526">
        <v>48.801126035851098</v>
      </c>
      <c r="O1526">
        <v>47.354424454564899</v>
      </c>
      <c r="P1526">
        <v>-8.02896162359997E-2</v>
      </c>
      <c r="Q1526">
        <v>0.128347537057273</v>
      </c>
      <c r="R1526">
        <v>0.98552504432983801</v>
      </c>
      <c r="S1526" t="s">
        <v>7978</v>
      </c>
      <c r="T1526" t="s">
        <v>12902</v>
      </c>
      <c r="U1526" t="s">
        <v>12902</v>
      </c>
      <c r="V1526" t="s">
        <v>12902</v>
      </c>
      <c r="W1526" t="s">
        <v>14398</v>
      </c>
      <c r="X1526">
        <v>2</v>
      </c>
      <c r="Y1526" t="s">
        <v>20779</v>
      </c>
      <c r="Z1526" t="s">
        <v>27101</v>
      </c>
      <c r="AA1526">
        <v>0.37647573657159172</v>
      </c>
      <c r="AB1526" t="str">
        <f>HYPERLINK("Melting_Curves/meltCurve_O60504_2_SORBS3.pdf", "Melting_Curves/meltCurve_O60504_2_SORBS3.pdf")</f>
        <v>Melting_Curves/meltCurve_O60504_2_SORBS3.pdf</v>
      </c>
    </row>
    <row r="1527" spans="1:28" x14ac:dyDescent="0.25">
      <c r="A1527" t="s">
        <v>1531</v>
      </c>
      <c r="B1527">
        <v>0.99673306730245903</v>
      </c>
      <c r="C1527">
        <v>0.92890198905099697</v>
      </c>
      <c r="D1527">
        <v>0.81590334086087801</v>
      </c>
      <c r="E1527">
        <v>0.94156436666265697</v>
      </c>
      <c r="F1527">
        <v>0.32222394902859802</v>
      </c>
      <c r="G1527">
        <v>0.173572193996755</v>
      </c>
      <c r="H1527">
        <v>9.9262820686811401E-2</v>
      </c>
      <c r="I1527">
        <v>9.3535929044589405E-2</v>
      </c>
      <c r="J1527">
        <v>0.10498838179313701</v>
      </c>
      <c r="K1527">
        <v>0.106210475351256</v>
      </c>
      <c r="L1527">
        <v>2566.2942188256602</v>
      </c>
      <c r="M1527">
        <v>49.351098534671003</v>
      </c>
      <c r="N1527">
        <v>52.267618061953598</v>
      </c>
      <c r="O1527">
        <v>51.9155831432521</v>
      </c>
      <c r="P1527">
        <v>-0.21118540970180499</v>
      </c>
      <c r="Q1527">
        <v>0.11136296631048501</v>
      </c>
      <c r="R1527">
        <v>0.971883966808331</v>
      </c>
      <c r="S1527" t="s">
        <v>7979</v>
      </c>
      <c r="T1527" t="s">
        <v>12902</v>
      </c>
      <c r="U1527" t="s">
        <v>12902</v>
      </c>
      <c r="V1527" t="s">
        <v>12902</v>
      </c>
      <c r="W1527" t="s">
        <v>14399</v>
      </c>
      <c r="X1527">
        <v>26</v>
      </c>
      <c r="Y1527" t="s">
        <v>20780</v>
      </c>
      <c r="Z1527" t="s">
        <v>27102</v>
      </c>
      <c r="AA1527">
        <v>0.46893246893399559</v>
      </c>
      <c r="AB1527" t="str">
        <f>HYPERLINK("Melting_Curves/meltCurve_O60506_3_SYNCRIP.pdf", "Melting_Curves/meltCurve_O60506_3_SYNCRIP.pdf")</f>
        <v>Melting_Curves/meltCurve_O60506_3_SYNCRIP.pdf</v>
      </c>
    </row>
    <row r="1528" spans="1:28" x14ac:dyDescent="0.25">
      <c r="A1528" t="s">
        <v>1532</v>
      </c>
      <c r="B1528">
        <v>0.99673306730245903</v>
      </c>
      <c r="C1528">
        <v>0.94008225412544599</v>
      </c>
      <c r="D1528">
        <v>0.96224293490450696</v>
      </c>
      <c r="E1528">
        <v>1.0650627202979901</v>
      </c>
      <c r="F1528">
        <v>0.61674034636902397</v>
      </c>
      <c r="G1528">
        <v>0.21408794388447699</v>
      </c>
      <c r="H1528">
        <v>0.122585227208034</v>
      </c>
      <c r="I1528">
        <v>0.12326842345035099</v>
      </c>
      <c r="J1528">
        <v>0.17572527279773101</v>
      </c>
      <c r="K1528">
        <v>0.17199443404852699</v>
      </c>
      <c r="L1528">
        <v>3168.2256361845698</v>
      </c>
      <c r="M1528">
        <v>59.3366817699794</v>
      </c>
      <c r="N1528">
        <v>53.732931286886</v>
      </c>
      <c r="O1528">
        <v>53.333502207383603</v>
      </c>
      <c r="P1528">
        <v>-0.23472581669100001</v>
      </c>
      <c r="Q1528">
        <v>0.15608732473063</v>
      </c>
      <c r="R1528">
        <v>0.99057076396092902</v>
      </c>
      <c r="S1528" t="s">
        <v>7980</v>
      </c>
      <c r="T1528" t="s">
        <v>12902</v>
      </c>
      <c r="U1528" t="s">
        <v>12902</v>
      </c>
      <c r="V1528" t="s">
        <v>12902</v>
      </c>
      <c r="W1528" t="s">
        <v>14400</v>
      </c>
      <c r="X1528">
        <v>9</v>
      </c>
      <c r="Y1528" t="s">
        <v>20781</v>
      </c>
      <c r="Z1528" t="s">
        <v>27103</v>
      </c>
      <c r="AA1528">
        <v>0.53427654062506547</v>
      </c>
      <c r="AB1528" t="str">
        <f>HYPERLINK("Melting_Curves/meltCurve_O60508_CDC40.pdf", "Melting_Curves/meltCurve_O60508_CDC40.pdf")</f>
        <v>Melting_Curves/meltCurve_O60508_CDC40.pdf</v>
      </c>
    </row>
    <row r="1529" spans="1:28" x14ac:dyDescent="0.25">
      <c r="A1529" t="s">
        <v>1533</v>
      </c>
      <c r="B1529">
        <v>0.99673306730245903</v>
      </c>
      <c r="C1529">
        <v>0.84253596963799904</v>
      </c>
      <c r="D1529">
        <v>0.53720550287666002</v>
      </c>
      <c r="E1529">
        <v>0.30747440393957998</v>
      </c>
      <c r="F1529">
        <v>0.228489766780791</v>
      </c>
      <c r="G1529">
        <v>0.16190437859312101</v>
      </c>
      <c r="H1529">
        <v>0.16671582170405</v>
      </c>
      <c r="I1529">
        <v>8.5278192003475806E-2</v>
      </c>
      <c r="J1529">
        <v>9.4565469177578104E-2</v>
      </c>
      <c r="K1529">
        <v>8.0428244839013299E-2</v>
      </c>
      <c r="L1529">
        <v>846.89243352788901</v>
      </c>
      <c r="M1529">
        <v>18.337004200814</v>
      </c>
      <c r="N1529">
        <v>46.841107878737603</v>
      </c>
      <c r="O1529">
        <v>45.646117363648798</v>
      </c>
      <c r="P1529">
        <v>-8.9058108252491899E-2</v>
      </c>
      <c r="Q1529">
        <v>0.113274909533184</v>
      </c>
      <c r="R1529">
        <v>0.98934372777809598</v>
      </c>
      <c r="S1529" t="s">
        <v>7981</v>
      </c>
      <c r="T1529" t="s">
        <v>12902</v>
      </c>
      <c r="U1529" t="s">
        <v>12902</v>
      </c>
      <c r="V1529" t="s">
        <v>12902</v>
      </c>
      <c r="W1529" t="s">
        <v>14401</v>
      </c>
      <c r="X1529">
        <v>7</v>
      </c>
      <c r="Y1529" t="s">
        <v>20782</v>
      </c>
      <c r="Z1529" t="s">
        <v>27104</v>
      </c>
      <c r="AA1529">
        <v>0.31255922586881019</v>
      </c>
      <c r="AB1529" t="str">
        <f>HYPERLINK("Melting_Curves/meltCurve_O60518_RANBP6.pdf", "Melting_Curves/meltCurve_O60518_RANBP6.pdf")</f>
        <v>Melting_Curves/meltCurve_O60518_RANBP6.pdf</v>
      </c>
    </row>
    <row r="1530" spans="1:28" x14ac:dyDescent="0.25">
      <c r="A1530" t="s">
        <v>1534</v>
      </c>
      <c r="B1530">
        <v>0.99673306730245903</v>
      </c>
      <c r="C1530">
        <v>0.938492867329078</v>
      </c>
      <c r="D1530">
        <v>0.76435589254596703</v>
      </c>
      <c r="E1530">
        <v>0.53744083745001403</v>
      </c>
      <c r="F1530">
        <v>0.25452581520193501</v>
      </c>
      <c r="G1530">
        <v>0.19428787004906301</v>
      </c>
      <c r="H1530">
        <v>0.12860781923438899</v>
      </c>
      <c r="I1530">
        <v>0.104100509348114</v>
      </c>
      <c r="J1530">
        <v>0.116371936954397</v>
      </c>
      <c r="K1530">
        <v>0.10673855572537699</v>
      </c>
      <c r="L1530">
        <v>857.16059967930698</v>
      </c>
      <c r="M1530">
        <v>17.465872937949101</v>
      </c>
      <c r="N1530">
        <v>49.713008713486403</v>
      </c>
      <c r="O1530">
        <v>48.446533967254702</v>
      </c>
      <c r="P1530">
        <v>-8.1101363605856694E-2</v>
      </c>
      <c r="Q1530">
        <v>0.10021997154675701</v>
      </c>
      <c r="R1530">
        <v>0.99750940206726302</v>
      </c>
      <c r="S1530" t="s">
        <v>7982</v>
      </c>
      <c r="T1530" t="s">
        <v>12902</v>
      </c>
      <c r="U1530" t="s">
        <v>12902</v>
      </c>
      <c r="V1530" t="s">
        <v>12902</v>
      </c>
      <c r="W1530" t="s">
        <v>14402</v>
      </c>
      <c r="X1530">
        <v>8</v>
      </c>
      <c r="Y1530" t="s">
        <v>20783</v>
      </c>
      <c r="Z1530" t="s">
        <v>27105</v>
      </c>
      <c r="AA1530">
        <v>0.38896175000322408</v>
      </c>
      <c r="AB1530" t="str">
        <f>HYPERLINK("Melting_Curves/meltCurve_O60524_4_NEMF.pdf", "Melting_Curves/meltCurve_O60524_4_NEMF.pdf")</f>
        <v>Melting_Curves/meltCurve_O60524_4_NEMF.pdf</v>
      </c>
    </row>
    <row r="1531" spans="1:28" x14ac:dyDescent="0.25">
      <c r="A1531" t="s">
        <v>1535</v>
      </c>
      <c r="B1531">
        <v>0.99673306730245903</v>
      </c>
      <c r="C1531">
        <v>0.981866897507498</v>
      </c>
      <c r="D1531">
        <v>1.06004735442189</v>
      </c>
      <c r="E1531">
        <v>1.06128146693468</v>
      </c>
      <c r="F1531">
        <v>1.0520496789917799</v>
      </c>
      <c r="G1531">
        <v>0.96490675750011901</v>
      </c>
      <c r="H1531">
        <v>0.59108149422021306</v>
      </c>
      <c r="I1531">
        <v>0.12377529382498099</v>
      </c>
      <c r="J1531">
        <v>0.11590271239252301</v>
      </c>
      <c r="K1531">
        <v>9.29929352878444E-2</v>
      </c>
      <c r="L1531">
        <v>4196.3851002950296</v>
      </c>
      <c r="M1531">
        <v>68.844175875575104</v>
      </c>
      <c r="N1531">
        <v>61.1523638589954</v>
      </c>
      <c r="O1531">
        <v>60.903459336924897</v>
      </c>
      <c r="P1531">
        <v>-0.25442261792606202</v>
      </c>
      <c r="Q1531">
        <v>9.9693550929446303E-2</v>
      </c>
      <c r="R1531">
        <v>0.99306971922947196</v>
      </c>
      <c r="S1531" t="s">
        <v>7983</v>
      </c>
      <c r="T1531" t="s">
        <v>12902</v>
      </c>
      <c r="U1531" t="s">
        <v>12902</v>
      </c>
      <c r="V1531" t="s">
        <v>12902</v>
      </c>
      <c r="W1531" t="s">
        <v>14403</v>
      </c>
      <c r="X1531">
        <v>27</v>
      </c>
      <c r="Y1531" t="s">
        <v>20784</v>
      </c>
      <c r="Z1531" t="s">
        <v>27106</v>
      </c>
      <c r="AA1531">
        <v>0.72982104924934899</v>
      </c>
      <c r="AB1531" t="str">
        <f>HYPERLINK("Melting_Curves/meltCurve_O60547_GMDS.pdf", "Melting_Curves/meltCurve_O60547_GMDS.pdf")</f>
        <v>Melting_Curves/meltCurve_O60547_GMDS.pdf</v>
      </c>
    </row>
    <row r="1532" spans="1:28" x14ac:dyDescent="0.25">
      <c r="A1532" t="s">
        <v>1536</v>
      </c>
      <c r="B1532">
        <v>0.99673306730245903</v>
      </c>
      <c r="C1532">
        <v>1.07780717159405</v>
      </c>
      <c r="D1532">
        <v>0.982416139117677</v>
      </c>
      <c r="E1532">
        <v>0.78840272890712904</v>
      </c>
      <c r="F1532">
        <v>0.22110005355493301</v>
      </c>
      <c r="G1532">
        <v>0.13396932251405899</v>
      </c>
      <c r="H1532">
        <v>8.5015652364313299E-2</v>
      </c>
      <c r="I1532">
        <v>9.2423876311018005E-2</v>
      </c>
      <c r="J1532">
        <v>0.114911796313686</v>
      </c>
      <c r="K1532">
        <v>0.110495733521318</v>
      </c>
      <c r="L1532">
        <v>2222.2762292918101</v>
      </c>
      <c r="M1532">
        <v>43.639987652265297</v>
      </c>
      <c r="N1532">
        <v>51.198525196457098</v>
      </c>
      <c r="O1532">
        <v>50.816351253429502</v>
      </c>
      <c r="P1532">
        <v>-0.19222048522344801</v>
      </c>
      <c r="Q1532">
        <v>0.104680822442831</v>
      </c>
      <c r="R1532">
        <v>0.99578494030317699</v>
      </c>
      <c r="S1532" t="s">
        <v>7984</v>
      </c>
      <c r="T1532" t="s">
        <v>12902</v>
      </c>
      <c r="U1532" t="s">
        <v>12902</v>
      </c>
      <c r="V1532" t="s">
        <v>12902</v>
      </c>
      <c r="W1532" t="s">
        <v>14404</v>
      </c>
      <c r="X1532">
        <v>10</v>
      </c>
      <c r="Y1532" t="s">
        <v>20785</v>
      </c>
      <c r="Z1532" t="s">
        <v>27107</v>
      </c>
      <c r="AA1532">
        <v>0.43330890677714901</v>
      </c>
      <c r="AB1532" t="str">
        <f>HYPERLINK("Melting_Curves/meltCurve_O60551_NMT2.pdf", "Melting_Curves/meltCurve_O60551_NMT2.pdf")</f>
        <v>Melting_Curves/meltCurve_O60551_NMT2.pdf</v>
      </c>
    </row>
    <row r="1533" spans="1:28" x14ac:dyDescent="0.25">
      <c r="A1533" t="s">
        <v>1537</v>
      </c>
      <c r="B1533">
        <v>0.99673306730245903</v>
      </c>
      <c r="C1533">
        <v>0.95902715789886195</v>
      </c>
      <c r="D1533">
        <v>0.99421651858540505</v>
      </c>
      <c r="E1533">
        <v>0.90237313519862405</v>
      </c>
      <c r="F1533">
        <v>0.47429168415181899</v>
      </c>
      <c r="G1533">
        <v>0.23240208532792</v>
      </c>
      <c r="H1533">
        <v>0.13764336704578001</v>
      </c>
      <c r="I1533">
        <v>0.12834040402326899</v>
      </c>
      <c r="J1533">
        <v>0.13721430677494501</v>
      </c>
      <c r="K1533">
        <v>0.12565247682182101</v>
      </c>
      <c r="L1533">
        <v>1669.52093504922</v>
      </c>
      <c r="M1533">
        <v>31.744430265249299</v>
      </c>
      <c r="N1533">
        <v>53.106467617054697</v>
      </c>
      <c r="O1533">
        <v>52.385172355846201</v>
      </c>
      <c r="P1533">
        <v>-0.13146171340872101</v>
      </c>
      <c r="Q1533">
        <v>0.13224353115868601</v>
      </c>
      <c r="R1533">
        <v>0.998105527281127</v>
      </c>
      <c r="S1533" t="s">
        <v>7985</v>
      </c>
      <c r="T1533" t="s">
        <v>12902</v>
      </c>
      <c r="U1533" t="s">
        <v>12902</v>
      </c>
      <c r="V1533" t="s">
        <v>12902</v>
      </c>
      <c r="W1533" t="s">
        <v>14405</v>
      </c>
      <c r="X1533">
        <v>10</v>
      </c>
      <c r="Y1533" t="s">
        <v>20786</v>
      </c>
      <c r="Z1533" t="s">
        <v>27108</v>
      </c>
      <c r="AA1533">
        <v>0.50148938410639576</v>
      </c>
      <c r="AB1533" t="str">
        <f>HYPERLINK("Melting_Curves/meltCurve_O60563_CCNT1.pdf", "Melting_Curves/meltCurve_O60563_CCNT1.pdf")</f>
        <v>Melting_Curves/meltCurve_O60563_CCNT1.pdf</v>
      </c>
    </row>
    <row r="1534" spans="1:28" x14ac:dyDescent="0.25">
      <c r="A1534" t="s">
        <v>1538</v>
      </c>
      <c r="B1534">
        <v>0.99673306730245903</v>
      </c>
      <c r="C1534">
        <v>0.92125280540676302</v>
      </c>
      <c r="D1534">
        <v>0.71366408186311103</v>
      </c>
      <c r="E1534">
        <v>0.37171608953299301</v>
      </c>
      <c r="F1534">
        <v>0.32514522273643898</v>
      </c>
      <c r="G1534">
        <v>0.21075701878529099</v>
      </c>
      <c r="H1534">
        <v>0.14051553897302799</v>
      </c>
      <c r="I1534">
        <v>0.13052724408796601</v>
      </c>
      <c r="J1534">
        <v>0.16739662352132101</v>
      </c>
      <c r="K1534">
        <v>0.16572201603752801</v>
      </c>
      <c r="L1534">
        <v>907.86207812393195</v>
      </c>
      <c r="M1534">
        <v>19.096310549618799</v>
      </c>
      <c r="N1534">
        <v>48.5019428263046</v>
      </c>
      <c r="O1534">
        <v>47.029116254299097</v>
      </c>
      <c r="P1534">
        <v>-8.5531032131834106E-2</v>
      </c>
      <c r="Q1534">
        <v>0.15747290855240401</v>
      </c>
      <c r="R1534">
        <v>0.98990714851310602</v>
      </c>
      <c r="S1534" t="s">
        <v>7986</v>
      </c>
      <c r="T1534" t="s">
        <v>12902</v>
      </c>
      <c r="U1534" t="s">
        <v>12902</v>
      </c>
      <c r="V1534" t="s">
        <v>12902</v>
      </c>
      <c r="W1534" t="s">
        <v>14406</v>
      </c>
      <c r="X1534">
        <v>4</v>
      </c>
      <c r="Y1534" t="s">
        <v>20787</v>
      </c>
      <c r="Z1534" t="s">
        <v>27109</v>
      </c>
      <c r="AA1534">
        <v>0.38264076092301619</v>
      </c>
      <c r="AB1534" t="str">
        <f>HYPERLINK("Melting_Curves/meltCurve_O60566_3_BUB1B.pdf", "Melting_Curves/meltCurve_O60566_3_BUB1B.pdf")</f>
        <v>Melting_Curves/meltCurve_O60566_3_BUB1B.pdf</v>
      </c>
    </row>
    <row r="1535" spans="1:28" x14ac:dyDescent="0.25">
      <c r="A1535" t="s">
        <v>1539</v>
      </c>
      <c r="B1535">
        <v>0.99673306730245903</v>
      </c>
      <c r="C1535">
        <v>1.00447312714396</v>
      </c>
      <c r="D1535">
        <v>1.0577675006799501</v>
      </c>
      <c r="E1535">
        <v>1.1400612762808799</v>
      </c>
      <c r="F1535">
        <v>0.83111058456787001</v>
      </c>
      <c r="G1535">
        <v>0.33114883538541401</v>
      </c>
      <c r="H1535">
        <v>0.226840325803115</v>
      </c>
      <c r="I1535">
        <v>0.16703550357732599</v>
      </c>
      <c r="J1535">
        <v>0.16358091138151001</v>
      </c>
      <c r="K1535">
        <v>0.13289755276217499</v>
      </c>
      <c r="L1535">
        <v>2428.5537601564902</v>
      </c>
      <c r="M1535">
        <v>44.180944607087099</v>
      </c>
      <c r="N1535">
        <v>55.485939323417803</v>
      </c>
      <c r="O1535">
        <v>54.856094424079501</v>
      </c>
      <c r="P1535">
        <v>-0.16734544837283599</v>
      </c>
      <c r="Q1535">
        <v>0.168881075073468</v>
      </c>
      <c r="R1535">
        <v>0.98298602365919097</v>
      </c>
      <c r="S1535" t="s">
        <v>7987</v>
      </c>
      <c r="T1535" t="s">
        <v>12902</v>
      </c>
      <c r="U1535" t="s">
        <v>12902</v>
      </c>
      <c r="V1535" t="s">
        <v>12902</v>
      </c>
      <c r="W1535" t="s">
        <v>14407</v>
      </c>
      <c r="X1535">
        <v>20</v>
      </c>
      <c r="Y1535" t="s">
        <v>20788</v>
      </c>
      <c r="Z1535" t="s">
        <v>27110</v>
      </c>
      <c r="AA1535">
        <v>0.58614438381421219</v>
      </c>
      <c r="AB1535" t="str">
        <f>HYPERLINK("Melting_Curves/meltCurve_O60568_PLOD3.pdf", "Melting_Curves/meltCurve_O60568_PLOD3.pdf")</f>
        <v>Melting_Curves/meltCurve_O60568_PLOD3.pdf</v>
      </c>
    </row>
    <row r="1536" spans="1:28" x14ac:dyDescent="0.25">
      <c r="A1536" t="s">
        <v>1540</v>
      </c>
      <c r="B1536">
        <v>0.99673306730245903</v>
      </c>
      <c r="C1536">
        <v>0.92343738420065002</v>
      </c>
      <c r="D1536">
        <v>0.73196224006611799</v>
      </c>
      <c r="E1536">
        <v>0.459761520964583</v>
      </c>
      <c r="F1536">
        <v>0.312942500967205</v>
      </c>
      <c r="G1536">
        <v>0.17281691075276001</v>
      </c>
      <c r="H1536">
        <v>9.4047325665659098E-2</v>
      </c>
      <c r="I1536">
        <v>9.9238833178837596E-2</v>
      </c>
      <c r="J1536">
        <v>0.114109997614322</v>
      </c>
      <c r="K1536">
        <v>8.9301736598111303E-2</v>
      </c>
      <c r="L1536">
        <v>772.87640729989403</v>
      </c>
      <c r="M1536">
        <v>15.854345308120401</v>
      </c>
      <c r="N1536">
        <v>49.323525043203396</v>
      </c>
      <c r="O1536">
        <v>47.992764124688698</v>
      </c>
      <c r="P1536">
        <v>-7.5625310587494304E-2</v>
      </c>
      <c r="Q1536">
        <v>8.4371491267590706E-2</v>
      </c>
      <c r="R1536">
        <v>0.99658457598598105</v>
      </c>
      <c r="S1536" t="s">
        <v>7988</v>
      </c>
      <c r="T1536" t="s">
        <v>12902</v>
      </c>
      <c r="U1536" t="s">
        <v>12902</v>
      </c>
      <c r="V1536" t="s">
        <v>12902</v>
      </c>
      <c r="W1536" t="s">
        <v>14408</v>
      </c>
      <c r="X1536">
        <v>4</v>
      </c>
      <c r="Y1536" t="s">
        <v>20789</v>
      </c>
      <c r="Z1536" t="s">
        <v>27111</v>
      </c>
      <c r="AA1536">
        <v>0.37189173181763802</v>
      </c>
      <c r="AB1536" t="str">
        <f>HYPERLINK("Melting_Curves/meltCurve_O60573_EIF4E2.pdf", "Melting_Curves/meltCurve_O60573_EIF4E2.pdf")</f>
        <v>Melting_Curves/meltCurve_O60573_EIF4E2.pdf</v>
      </c>
    </row>
    <row r="1537" spans="1:28" x14ac:dyDescent="0.25">
      <c r="A1537" t="s">
        <v>1541</v>
      </c>
      <c r="B1537">
        <v>0.99673306730245903</v>
      </c>
      <c r="C1537">
        <v>0.83487619160516202</v>
      </c>
      <c r="D1537">
        <v>0.82808675314701996</v>
      </c>
      <c r="E1537">
        <v>0.710944660962605</v>
      </c>
      <c r="F1537">
        <v>0.30184299062585401</v>
      </c>
      <c r="G1537">
        <v>0.17556177035329401</v>
      </c>
      <c r="H1537">
        <v>0.12956713307105799</v>
      </c>
      <c r="I1537">
        <v>0.112174721206124</v>
      </c>
      <c r="J1537">
        <v>9.1488471858869796E-2</v>
      </c>
      <c r="K1537">
        <v>9.1017017049702206E-2</v>
      </c>
      <c r="L1537">
        <v>832.75317293806199</v>
      </c>
      <c r="M1537">
        <v>16.446567083253498</v>
      </c>
      <c r="N1537">
        <v>51.102005896145997</v>
      </c>
      <c r="O1537">
        <v>49.903033799131002</v>
      </c>
      <c r="P1537">
        <v>-7.6636053035555193E-2</v>
      </c>
      <c r="Q1537">
        <v>6.9933016048702196E-2</v>
      </c>
      <c r="R1537">
        <v>0.976509386744559</v>
      </c>
      <c r="S1537" t="s">
        <v>7989</v>
      </c>
      <c r="T1537" t="s">
        <v>12902</v>
      </c>
      <c r="U1537" t="s">
        <v>12902</v>
      </c>
      <c r="V1537" t="s">
        <v>12902</v>
      </c>
      <c r="W1537" t="s">
        <v>14409</v>
      </c>
      <c r="X1537">
        <v>2</v>
      </c>
      <c r="Y1537" t="s">
        <v>20790</v>
      </c>
      <c r="Z1537" t="s">
        <v>27112</v>
      </c>
      <c r="AA1537">
        <v>0.41813252027041092</v>
      </c>
      <c r="AB1537" t="str">
        <f>HYPERLINK("Melting_Curves/meltCurve_O60583_2_CCNT2.pdf", "Melting_Curves/meltCurve_O60583_2_CCNT2.pdf")</f>
        <v>Melting_Curves/meltCurve_O60583_2_CCNT2.pdf</v>
      </c>
    </row>
    <row r="1538" spans="1:28" x14ac:dyDescent="0.25">
      <c r="A1538" t="s">
        <v>1542</v>
      </c>
      <c r="B1538">
        <v>0.99673306730245903</v>
      </c>
      <c r="C1538">
        <v>0.97788053968376099</v>
      </c>
      <c r="D1538">
        <v>1.0369683385072299</v>
      </c>
      <c r="E1538">
        <v>1.0444239069913399</v>
      </c>
      <c r="F1538">
        <v>0.460053422400585</v>
      </c>
      <c r="G1538">
        <v>0.28580745362429899</v>
      </c>
      <c r="H1538">
        <v>0.190630019498127</v>
      </c>
      <c r="I1538">
        <v>0.195511427794158</v>
      </c>
      <c r="J1538">
        <v>0.18286458856493801</v>
      </c>
      <c r="K1538">
        <v>0.156331845190602</v>
      </c>
      <c r="L1538">
        <v>5750.3317605639604</v>
      </c>
      <c r="M1538">
        <v>108.82556254540199</v>
      </c>
      <c r="N1538">
        <v>53.092546545588199</v>
      </c>
      <c r="O1538">
        <v>52.822062892061197</v>
      </c>
      <c r="P1538">
        <v>-0.41096514441054799</v>
      </c>
      <c r="Q1538">
        <v>0.20209828610584199</v>
      </c>
      <c r="R1538">
        <v>0.99093404466016299</v>
      </c>
      <c r="S1538" t="s">
        <v>7990</v>
      </c>
      <c r="T1538" t="s">
        <v>12902</v>
      </c>
      <c r="U1538" t="s">
        <v>12902</v>
      </c>
      <c r="V1538" t="s">
        <v>12902</v>
      </c>
      <c r="W1538" t="s">
        <v>14410</v>
      </c>
      <c r="X1538">
        <v>6</v>
      </c>
      <c r="Y1538" t="s">
        <v>20791</v>
      </c>
      <c r="Z1538" t="s">
        <v>27113</v>
      </c>
      <c r="AA1538">
        <v>0.54398839395460763</v>
      </c>
      <c r="AB1538" t="str">
        <f>HYPERLINK("Melting_Curves/meltCurve_O60613_SEP15.pdf", "Melting_Curves/meltCurve_O60613_SEP15.pdf")</f>
        <v>Melting_Curves/meltCurve_O60613_SEP15.pdf</v>
      </c>
    </row>
    <row r="1539" spans="1:28" x14ac:dyDescent="0.25">
      <c r="A1539" t="s">
        <v>1543</v>
      </c>
      <c r="B1539">
        <v>0.99673306730245903</v>
      </c>
      <c r="C1539">
        <v>1.03346555540485</v>
      </c>
      <c r="D1539">
        <v>0.924995909387754</v>
      </c>
      <c r="E1539">
        <v>0.808541629377309</v>
      </c>
      <c r="F1539">
        <v>0.74193229545903905</v>
      </c>
      <c r="G1539">
        <v>0.62291115787933704</v>
      </c>
      <c r="H1539">
        <v>0.45237043329573901</v>
      </c>
      <c r="I1539">
        <v>0.51182920885779903</v>
      </c>
      <c r="J1539">
        <v>0.51703111725626405</v>
      </c>
      <c r="K1539">
        <v>0.52520678382155095</v>
      </c>
      <c r="L1539">
        <v>820.43477367198204</v>
      </c>
      <c r="M1539">
        <v>15.731504558233899</v>
      </c>
      <c r="N1539">
        <v>67.5740438778206</v>
      </c>
      <c r="O1539">
        <v>51.331437940555901</v>
      </c>
      <c r="P1539">
        <v>-3.9368961954291001E-2</v>
      </c>
      <c r="Q1539">
        <v>0.48620405838716302</v>
      </c>
      <c r="R1539">
        <v>0.96683433627885496</v>
      </c>
      <c r="S1539" t="s">
        <v>7991</v>
      </c>
      <c r="T1539" t="s">
        <v>12902</v>
      </c>
      <c r="U1539" t="s">
        <v>12902</v>
      </c>
      <c r="V1539" t="s">
        <v>12902</v>
      </c>
      <c r="W1539" t="s">
        <v>14411</v>
      </c>
      <c r="X1539">
        <v>2</v>
      </c>
      <c r="Y1539" t="s">
        <v>20792</v>
      </c>
      <c r="Z1539" t="s">
        <v>27114</v>
      </c>
      <c r="AA1539">
        <v>0.70495211706022398</v>
      </c>
      <c r="AB1539" t="str">
        <f>HYPERLINK("Melting_Curves/meltCurve_O60635_TSPAN1.pdf", "Melting_Curves/meltCurve_O60635_TSPAN1.pdf")</f>
        <v>Melting_Curves/meltCurve_O60635_TSPAN1.pdf</v>
      </c>
    </row>
    <row r="1540" spans="1:28" x14ac:dyDescent="0.25">
      <c r="A1540" t="s">
        <v>1544</v>
      </c>
      <c r="B1540">
        <v>0.99673306730245903</v>
      </c>
      <c r="C1540">
        <v>0.89320133330701701</v>
      </c>
      <c r="D1540">
        <v>0.82279657368191905</v>
      </c>
      <c r="E1540">
        <v>0.37123236457536302</v>
      </c>
      <c r="F1540">
        <v>0.30058348560312198</v>
      </c>
      <c r="G1540">
        <v>0.177778216598005</v>
      </c>
      <c r="H1540">
        <v>0.12908299310863</v>
      </c>
      <c r="I1540">
        <v>0.13219131282060501</v>
      </c>
      <c r="J1540">
        <v>0.162949353896853</v>
      </c>
      <c r="K1540">
        <v>0.14324362201243401</v>
      </c>
      <c r="L1540">
        <v>1062.2725656268599</v>
      </c>
      <c r="M1540">
        <v>22.103852634486302</v>
      </c>
      <c r="N1540">
        <v>48.823477043297103</v>
      </c>
      <c r="O1540">
        <v>47.670087309791697</v>
      </c>
      <c r="P1540">
        <v>-9.8952499445866801E-2</v>
      </c>
      <c r="Q1540">
        <v>0.14639840810023</v>
      </c>
      <c r="R1540">
        <v>0.98677946773445302</v>
      </c>
      <c r="S1540" t="s">
        <v>7992</v>
      </c>
      <c r="T1540" t="s">
        <v>12902</v>
      </c>
      <c r="U1540" t="s">
        <v>12902</v>
      </c>
      <c r="V1540" t="s">
        <v>12902</v>
      </c>
      <c r="W1540" t="s">
        <v>14412</v>
      </c>
      <c r="X1540">
        <v>9</v>
      </c>
      <c r="Y1540" t="s">
        <v>20793</v>
      </c>
      <c r="Z1540" t="s">
        <v>27115</v>
      </c>
      <c r="AA1540">
        <v>0.38548224674606513</v>
      </c>
      <c r="AB1540" t="str">
        <f>HYPERLINK("Melting_Curves/meltCurve_O60645_3_EXOC3.pdf", "Melting_Curves/meltCurve_O60645_3_EXOC3.pdf")</f>
        <v>Melting_Curves/meltCurve_O60645_3_EXOC3.pdf</v>
      </c>
    </row>
    <row r="1541" spans="1:28" x14ac:dyDescent="0.25">
      <c r="A1541" t="s">
        <v>1545</v>
      </c>
      <c r="B1541">
        <v>0.99673306730245903</v>
      </c>
      <c r="C1541">
        <v>1.0157720936786001</v>
      </c>
      <c r="D1541">
        <v>1.02689878068118</v>
      </c>
      <c r="E1541">
        <v>1.08349979567848</v>
      </c>
      <c r="F1541">
        <v>0.38127067895691502</v>
      </c>
      <c r="G1541">
        <v>0.201677815933653</v>
      </c>
      <c r="H1541">
        <v>0.103988030356841</v>
      </c>
      <c r="I1541">
        <v>6.6214712393263195E-2</v>
      </c>
      <c r="J1541">
        <v>7.9061623312641494E-2</v>
      </c>
      <c r="K1541">
        <v>6.4596873754199299E-2</v>
      </c>
      <c r="L1541">
        <v>9070.2514033626903</v>
      </c>
      <c r="M1541">
        <v>171.29285765209599</v>
      </c>
      <c r="N1541">
        <v>53.023206207620298</v>
      </c>
      <c r="O1541">
        <v>52.9445027237944</v>
      </c>
      <c r="P1541">
        <v>-0.72543743451728004</v>
      </c>
      <c r="Q1541">
        <v>0.103105068074325</v>
      </c>
      <c r="R1541">
        <v>0.98915839377449899</v>
      </c>
      <c r="S1541" t="s">
        <v>7993</v>
      </c>
      <c r="T1541" t="s">
        <v>12902</v>
      </c>
      <c r="U1541" t="s">
        <v>12902</v>
      </c>
      <c r="V1541" t="s">
        <v>12902</v>
      </c>
      <c r="W1541" t="s">
        <v>14413</v>
      </c>
      <c r="X1541">
        <v>11</v>
      </c>
      <c r="Y1541" t="s">
        <v>20794</v>
      </c>
      <c r="Z1541" t="s">
        <v>27116</v>
      </c>
      <c r="AA1541">
        <v>0.4904937143993407</v>
      </c>
      <c r="AB1541" t="str">
        <f>HYPERLINK("Melting_Curves/meltCurve_O60662_KLHL41.pdf", "Melting_Curves/meltCurve_O60662_KLHL41.pdf")</f>
        <v>Melting_Curves/meltCurve_O60662_KLHL41.pdf</v>
      </c>
    </row>
    <row r="1542" spans="1:28" x14ac:dyDescent="0.25">
      <c r="A1542" t="s">
        <v>1546</v>
      </c>
      <c r="B1542">
        <v>0.99673306730245903</v>
      </c>
      <c r="C1542">
        <v>1.02259759561278</v>
      </c>
      <c r="D1542">
        <v>1.0240320063808599</v>
      </c>
      <c r="E1542">
        <v>0.93315538370449003</v>
      </c>
      <c r="F1542">
        <v>0.77635278561992105</v>
      </c>
      <c r="G1542">
        <v>0.59713090183732298</v>
      </c>
      <c r="H1542">
        <v>0.47603363587998798</v>
      </c>
      <c r="I1542">
        <v>0.65211159120619799</v>
      </c>
      <c r="J1542">
        <v>0.87102005133446103</v>
      </c>
      <c r="K1542">
        <v>0.78435478106186796</v>
      </c>
      <c r="L1542">
        <v>2193.0495652242498</v>
      </c>
      <c r="M1542">
        <v>42.458304159946501</v>
      </c>
      <c r="O1542">
        <v>51.537653431541202</v>
      </c>
      <c r="P1542">
        <v>-6.62173151405821E-2</v>
      </c>
      <c r="Q1542">
        <v>0.67849121357069697</v>
      </c>
      <c r="R1542">
        <v>0.69487737949081296</v>
      </c>
      <c r="S1542" t="s">
        <v>7994</v>
      </c>
      <c r="T1542" t="s">
        <v>12902</v>
      </c>
      <c r="U1542" t="s">
        <v>12902</v>
      </c>
      <c r="V1542" t="s">
        <v>12902</v>
      </c>
      <c r="W1542" t="s">
        <v>14414</v>
      </c>
      <c r="X1542">
        <v>24</v>
      </c>
      <c r="Y1542" t="s">
        <v>20795</v>
      </c>
      <c r="Z1542" t="s">
        <v>27117</v>
      </c>
      <c r="AA1542">
        <v>0.8043812644009104</v>
      </c>
      <c r="AB1542" t="str">
        <f>HYPERLINK("Melting_Curves/meltCurve_O60664_PLIN3.pdf", "Melting_Curves/meltCurve_O60664_PLIN3.pdf")</f>
        <v>Melting_Curves/meltCurve_O60664_PLIN3.pdf</v>
      </c>
    </row>
    <row r="1543" spans="1:28" x14ac:dyDescent="0.25">
      <c r="A1543" t="s">
        <v>1547</v>
      </c>
      <c r="B1543">
        <v>0.99673306730245903</v>
      </c>
      <c r="C1543">
        <v>0.97744901891472802</v>
      </c>
      <c r="D1543">
        <v>0.93455061923456295</v>
      </c>
      <c r="E1543">
        <v>0.87173758586991101</v>
      </c>
      <c r="F1543">
        <v>0.67072808952505403</v>
      </c>
      <c r="G1543">
        <v>0.41595842393033799</v>
      </c>
      <c r="H1543">
        <v>0.19836590280955299</v>
      </c>
      <c r="I1543">
        <v>0.10697766947063</v>
      </c>
      <c r="J1543">
        <v>8.6023528501056698E-2</v>
      </c>
      <c r="K1543">
        <v>4.9736291978493802E-2</v>
      </c>
      <c r="L1543">
        <v>878.95534449400202</v>
      </c>
      <c r="M1543">
        <v>15.862151122541</v>
      </c>
      <c r="N1543">
        <v>55.509101731802801</v>
      </c>
      <c r="O1543">
        <v>54.553838158959501</v>
      </c>
      <c r="P1543">
        <v>-7.1702702016457398E-2</v>
      </c>
      <c r="Q1543">
        <v>1.36671390388701E-2</v>
      </c>
      <c r="R1543">
        <v>0.998977415943898</v>
      </c>
      <c r="S1543" t="s">
        <v>7995</v>
      </c>
      <c r="T1543" t="s">
        <v>12902</v>
      </c>
      <c r="U1543" t="s">
        <v>12902</v>
      </c>
      <c r="V1543" t="s">
        <v>12902</v>
      </c>
      <c r="W1543" t="s">
        <v>14415</v>
      </c>
      <c r="X1543">
        <v>5</v>
      </c>
      <c r="Y1543" t="s">
        <v>20796</v>
      </c>
      <c r="Z1543" t="s">
        <v>27118</v>
      </c>
      <c r="AA1543">
        <v>0.53778664855114</v>
      </c>
      <c r="AB1543" t="str">
        <f>HYPERLINK("Melting_Curves/meltCurve_O60671_RAD1.pdf", "Melting_Curves/meltCurve_O60671_RAD1.pdf")</f>
        <v>Melting_Curves/meltCurve_O60671_RAD1.pdf</v>
      </c>
    </row>
    <row r="1544" spans="1:28" x14ac:dyDescent="0.25">
      <c r="A1544" t="s">
        <v>1548</v>
      </c>
      <c r="B1544">
        <v>0.99673306730245903</v>
      </c>
      <c r="C1544">
        <v>0.96324653630843704</v>
      </c>
      <c r="D1544">
        <v>0.98597270035278906</v>
      </c>
      <c r="E1544">
        <v>0.96555078729682497</v>
      </c>
      <c r="F1544">
        <v>0.259638564760865</v>
      </c>
      <c r="G1544">
        <v>0.182669745751253</v>
      </c>
      <c r="H1544">
        <v>0.11899373579443499</v>
      </c>
      <c r="I1544">
        <v>0.110762462480213</v>
      </c>
      <c r="J1544">
        <v>8.7578130750051594E-2</v>
      </c>
      <c r="K1544">
        <v>6.4683872217600996E-2</v>
      </c>
      <c r="L1544">
        <v>3410.37200658642</v>
      </c>
      <c r="M1544">
        <v>65.689950687856197</v>
      </c>
      <c r="N1544">
        <v>52.116922088656999</v>
      </c>
      <c r="O1544">
        <v>51.8681408864893</v>
      </c>
      <c r="P1544">
        <v>-0.28123161238122302</v>
      </c>
      <c r="Q1544">
        <v>0.11176936637694</v>
      </c>
      <c r="R1544">
        <v>0.99475180633782301</v>
      </c>
      <c r="S1544" t="s">
        <v>7996</v>
      </c>
      <c r="T1544" t="s">
        <v>12902</v>
      </c>
      <c r="U1544" t="s">
        <v>12902</v>
      </c>
      <c r="V1544" t="s">
        <v>12902</v>
      </c>
      <c r="W1544" t="s">
        <v>14416</v>
      </c>
      <c r="X1544">
        <v>10</v>
      </c>
      <c r="Y1544" t="s">
        <v>20797</v>
      </c>
      <c r="Z1544" t="s">
        <v>27119</v>
      </c>
      <c r="AA1544">
        <v>0.46575589111623611</v>
      </c>
      <c r="AB1544" t="str">
        <f>HYPERLINK("Melting_Curves/meltCurve_O60678_PRMT3.pdf", "Melting_Curves/meltCurve_O60678_PRMT3.pdf")</f>
        <v>Melting_Curves/meltCurve_O60678_PRMT3.pdf</v>
      </c>
    </row>
    <row r="1545" spans="1:28" x14ac:dyDescent="0.25">
      <c r="A1545" t="s">
        <v>1549</v>
      </c>
      <c r="B1545">
        <v>0.99673306730245903</v>
      </c>
      <c r="C1545">
        <v>0.94241803145680403</v>
      </c>
      <c r="D1545">
        <v>0.93943729486427296</v>
      </c>
      <c r="E1545">
        <v>0.82380681818957202</v>
      </c>
      <c r="F1545">
        <v>0.43025126380762102</v>
      </c>
      <c r="G1545">
        <v>0.23182509849774699</v>
      </c>
      <c r="H1545">
        <v>0.120308117492561</v>
      </c>
      <c r="I1545">
        <v>0.104636115681849</v>
      </c>
      <c r="J1545">
        <v>9.68915071201807E-2</v>
      </c>
      <c r="K1545">
        <v>8.0396545433902997E-2</v>
      </c>
      <c r="L1545">
        <v>1204.6774915593301</v>
      </c>
      <c r="M1545">
        <v>23.044520143109999</v>
      </c>
      <c r="N1545">
        <v>52.719830375283401</v>
      </c>
      <c r="O1545">
        <v>51.887209740946098</v>
      </c>
      <c r="P1545">
        <v>-0.101245667546495</v>
      </c>
      <c r="Q1545">
        <v>8.81550016331797E-2</v>
      </c>
      <c r="R1545">
        <v>0.99654290516711597</v>
      </c>
      <c r="S1545" t="s">
        <v>7997</v>
      </c>
      <c r="T1545" t="s">
        <v>12902</v>
      </c>
      <c r="U1545" t="s">
        <v>12902</v>
      </c>
      <c r="V1545" t="s">
        <v>12902</v>
      </c>
      <c r="W1545" t="s">
        <v>14417</v>
      </c>
      <c r="X1545">
        <v>19</v>
      </c>
      <c r="Y1545" t="s">
        <v>20798</v>
      </c>
      <c r="Z1545" t="s">
        <v>27120</v>
      </c>
      <c r="AA1545">
        <v>0.47102078743932158</v>
      </c>
      <c r="AB1545" t="str">
        <f>HYPERLINK("Melting_Curves/meltCurve_O60701_UGDH.pdf", "Melting_Curves/meltCurve_O60701_UGDH.pdf")</f>
        <v>Melting_Curves/meltCurve_O60701_UGDH.pdf</v>
      </c>
    </row>
    <row r="1546" spans="1:28" x14ac:dyDescent="0.25">
      <c r="A1546" t="s">
        <v>1550</v>
      </c>
      <c r="B1546">
        <v>0.99673306730245903</v>
      </c>
      <c r="C1546">
        <v>0.87972924550724596</v>
      </c>
      <c r="D1546">
        <v>0.48523257793438501</v>
      </c>
      <c r="E1546">
        <v>0.35093261752641502</v>
      </c>
      <c r="F1546">
        <v>0.20946815971861699</v>
      </c>
      <c r="G1546">
        <v>0.15308417389473999</v>
      </c>
      <c r="H1546">
        <v>0.10564653022748401</v>
      </c>
      <c r="I1546">
        <v>0.111752531932932</v>
      </c>
      <c r="J1546">
        <v>0.100438013808031</v>
      </c>
      <c r="K1546">
        <v>9.1510097209211702E-2</v>
      </c>
      <c r="L1546">
        <v>867.55846456723702</v>
      </c>
      <c r="M1546">
        <v>18.798272949169</v>
      </c>
      <c r="N1546">
        <v>46.778813167446202</v>
      </c>
      <c r="O1546">
        <v>45.6382106575631</v>
      </c>
      <c r="P1546">
        <v>-9.1497155801368094E-2</v>
      </c>
      <c r="Q1546">
        <v>0.11149436812036299</v>
      </c>
      <c r="R1546">
        <v>0.98406417488324804</v>
      </c>
      <c r="S1546" t="s">
        <v>7998</v>
      </c>
      <c r="T1546" t="s">
        <v>12902</v>
      </c>
      <c r="U1546" t="s">
        <v>12902</v>
      </c>
      <c r="V1546" t="s">
        <v>12902</v>
      </c>
      <c r="W1546" t="s">
        <v>14418</v>
      </c>
      <c r="X1546">
        <v>35</v>
      </c>
      <c r="Y1546" t="s">
        <v>20799</v>
      </c>
      <c r="Z1546" t="s">
        <v>27121</v>
      </c>
      <c r="AA1546">
        <v>0.30931392547264153</v>
      </c>
      <c r="AB1546" t="str">
        <f>HYPERLINK("Melting_Curves/meltCurve_O60716_5_CTNND1.pdf", "Melting_Curves/meltCurve_O60716_5_CTNND1.pdf")</f>
        <v>Melting_Curves/meltCurve_O60716_5_CTNND1.pdf</v>
      </c>
    </row>
    <row r="1547" spans="1:28" x14ac:dyDescent="0.25">
      <c r="A1547" t="s">
        <v>1551</v>
      </c>
      <c r="B1547">
        <v>0.99673306730245903</v>
      </c>
      <c r="C1547">
        <v>0.95260413916297404</v>
      </c>
      <c r="D1547">
        <v>0.799641548270146</v>
      </c>
      <c r="E1547">
        <v>0.50893347196523797</v>
      </c>
      <c r="F1547">
        <v>0.18150950986657699</v>
      </c>
      <c r="G1547">
        <v>0.104468437697552</v>
      </c>
      <c r="H1547">
        <v>5.49010448028057E-2</v>
      </c>
      <c r="I1547">
        <v>5.0828332345682702E-2</v>
      </c>
      <c r="J1547">
        <v>3.8575422376676799E-2</v>
      </c>
      <c r="K1547">
        <v>4.44784130394957E-2</v>
      </c>
      <c r="L1547">
        <v>1010.02348999074</v>
      </c>
      <c r="M1547">
        <v>20.510461403619999</v>
      </c>
      <c r="N1547">
        <v>49.431981099449096</v>
      </c>
      <c r="O1547">
        <v>48.783358537948601</v>
      </c>
      <c r="P1547">
        <v>-0.101175756015194</v>
      </c>
      <c r="Q1547">
        <v>3.7457466573036703E-2</v>
      </c>
      <c r="R1547">
        <v>0.99871065807100501</v>
      </c>
      <c r="S1547" t="s">
        <v>7999</v>
      </c>
      <c r="T1547" t="s">
        <v>12902</v>
      </c>
      <c r="U1547" t="s">
        <v>12902</v>
      </c>
      <c r="V1547" t="s">
        <v>12902</v>
      </c>
      <c r="W1547" t="s">
        <v>14419</v>
      </c>
      <c r="X1547">
        <v>2</v>
      </c>
      <c r="Y1547" t="s">
        <v>20800</v>
      </c>
      <c r="Z1547" t="s">
        <v>27122</v>
      </c>
      <c r="AA1547">
        <v>0.34684755601707529</v>
      </c>
      <c r="AB1547" t="str">
        <f>HYPERLINK("Melting_Curves/meltCurve_O60725_ICMT.pdf", "Melting_Curves/meltCurve_O60725_ICMT.pdf")</f>
        <v>Melting_Curves/meltCurve_O60725_ICMT.pdf</v>
      </c>
    </row>
    <row r="1548" spans="1:28" x14ac:dyDescent="0.25">
      <c r="A1548" t="s">
        <v>1552</v>
      </c>
      <c r="B1548">
        <v>0.99673306730245903</v>
      </c>
      <c r="C1548">
        <v>1.07491566474302</v>
      </c>
      <c r="D1548">
        <v>0.62577423069544702</v>
      </c>
      <c r="E1548">
        <v>0.62340361295166802</v>
      </c>
      <c r="F1548">
        <v>0.15607267060477401</v>
      </c>
      <c r="G1548">
        <v>8.3652767954104201E-2</v>
      </c>
      <c r="H1548">
        <v>4.7852965753043597E-2</v>
      </c>
      <c r="I1548">
        <v>4.45034642902222E-2</v>
      </c>
      <c r="J1548">
        <v>5.9323117033514103E-2</v>
      </c>
      <c r="K1548">
        <v>4.8551692688443802E-2</v>
      </c>
      <c r="L1548">
        <v>907.09718905933005</v>
      </c>
      <c r="M1548">
        <v>18.3988642143783</v>
      </c>
      <c r="N1548">
        <v>49.4561028709835</v>
      </c>
      <c r="O1548">
        <v>48.730451066797499</v>
      </c>
      <c r="P1548">
        <v>-9.1762257495446906E-2</v>
      </c>
      <c r="Q1548">
        <v>2.7893288013546499E-2</v>
      </c>
      <c r="R1548">
        <v>0.95379824044924699</v>
      </c>
      <c r="S1548" t="s">
        <v>8000</v>
      </c>
      <c r="T1548" t="s">
        <v>12902</v>
      </c>
      <c r="U1548" t="s">
        <v>12902</v>
      </c>
      <c r="V1548" t="s">
        <v>12902</v>
      </c>
      <c r="W1548" t="s">
        <v>14420</v>
      </c>
      <c r="X1548">
        <v>25</v>
      </c>
      <c r="Y1548" t="s">
        <v>20801</v>
      </c>
      <c r="Z1548" t="s">
        <v>27123</v>
      </c>
      <c r="AA1548">
        <v>0.34534501431394532</v>
      </c>
      <c r="AB1548" t="str">
        <f>HYPERLINK("Melting_Curves/meltCurve_O60749_SNX2.pdf", "Melting_Curves/meltCurve_O60749_SNX2.pdf")</f>
        <v>Melting_Curves/meltCurve_O60749_SNX2.pdf</v>
      </c>
    </row>
    <row r="1549" spans="1:28" x14ac:dyDescent="0.25">
      <c r="A1549" t="s">
        <v>1553</v>
      </c>
      <c r="B1549">
        <v>0.99673306730245903</v>
      </c>
      <c r="C1549">
        <v>0.79563715187576201</v>
      </c>
      <c r="D1549">
        <v>0.93170255396528601</v>
      </c>
      <c r="E1549">
        <v>0.80282023335179198</v>
      </c>
      <c r="F1549">
        <v>0.175379033005195</v>
      </c>
      <c r="G1549">
        <v>0.113602845548864</v>
      </c>
      <c r="H1549">
        <v>6.44730279523507E-2</v>
      </c>
      <c r="I1549">
        <v>5.5011279542130503E-2</v>
      </c>
      <c r="J1549">
        <v>5.2168854695403798E-2</v>
      </c>
      <c r="K1549">
        <v>4.3005549826565397E-2</v>
      </c>
      <c r="L1549">
        <v>2298.4458835711398</v>
      </c>
      <c r="M1549">
        <v>45.070106339571304</v>
      </c>
      <c r="N1549">
        <v>51.1467003817652</v>
      </c>
      <c r="O1549">
        <v>50.897014482788798</v>
      </c>
      <c r="P1549">
        <v>-0.20771082047977699</v>
      </c>
      <c r="Q1549">
        <v>6.17416656602102E-2</v>
      </c>
      <c r="R1549">
        <v>0.96943618979683199</v>
      </c>
      <c r="S1549" t="s">
        <v>8001</v>
      </c>
      <c r="T1549" t="s">
        <v>12902</v>
      </c>
      <c r="U1549" t="s">
        <v>12902</v>
      </c>
      <c r="V1549" t="s">
        <v>12902</v>
      </c>
      <c r="W1549" t="s">
        <v>14421</v>
      </c>
      <c r="X1549">
        <v>32</v>
      </c>
      <c r="Y1549" t="s">
        <v>20802</v>
      </c>
      <c r="Z1549" t="s">
        <v>27124</v>
      </c>
      <c r="AA1549">
        <v>0.408280563145002</v>
      </c>
      <c r="AB1549" t="str">
        <f>HYPERLINK("Melting_Curves/meltCurve_O60763_USO1.pdf", "Melting_Curves/meltCurve_O60763_USO1.pdf")</f>
        <v>Melting_Curves/meltCurve_O60763_USO1.pdf</v>
      </c>
    </row>
    <row r="1550" spans="1:28" x14ac:dyDescent="0.25">
      <c r="A1550" t="s">
        <v>1554</v>
      </c>
      <c r="B1550">
        <v>0.99673306730245903</v>
      </c>
      <c r="C1550">
        <v>0.98219626238345203</v>
      </c>
      <c r="D1550">
        <v>0.98278685031200796</v>
      </c>
      <c r="E1550">
        <v>0.92631509303172899</v>
      </c>
      <c r="F1550">
        <v>0.550879045399432</v>
      </c>
      <c r="G1550">
        <v>0.23164503051943</v>
      </c>
      <c r="H1550">
        <v>0.12040843886208601</v>
      </c>
      <c r="I1550">
        <v>0.129473535289444</v>
      </c>
      <c r="J1550">
        <v>0.15471552723611801</v>
      </c>
      <c r="K1550">
        <v>0.138368626112334</v>
      </c>
      <c r="L1550">
        <v>1757.4237914549899</v>
      </c>
      <c r="M1550">
        <v>33.096569893101098</v>
      </c>
      <c r="N1550">
        <v>53.6016166638762</v>
      </c>
      <c r="O1550">
        <v>52.907144727913298</v>
      </c>
      <c r="P1550">
        <v>-0.13555834395774399</v>
      </c>
      <c r="Q1550">
        <v>0.13320645279448201</v>
      </c>
      <c r="R1550">
        <v>0.99886190332978997</v>
      </c>
      <c r="S1550" t="s">
        <v>8002</v>
      </c>
      <c r="T1550" t="s">
        <v>12902</v>
      </c>
      <c r="U1550" t="s">
        <v>12902</v>
      </c>
      <c r="V1550" t="s">
        <v>12902</v>
      </c>
      <c r="W1550" t="s">
        <v>14422</v>
      </c>
      <c r="X1550">
        <v>13</v>
      </c>
      <c r="Y1550" t="s">
        <v>20803</v>
      </c>
      <c r="Z1550" t="s">
        <v>27125</v>
      </c>
      <c r="AA1550">
        <v>0.51634122781638381</v>
      </c>
      <c r="AB1550" t="str">
        <f>HYPERLINK("Melting_Curves/meltCurve_O60825_2_PFKFB2.pdf", "Melting_Curves/meltCurve_O60825_2_PFKFB2.pdf")</f>
        <v>Melting_Curves/meltCurve_O60825_2_PFKFB2.pdf</v>
      </c>
    </row>
    <row r="1551" spans="1:28" x14ac:dyDescent="0.25">
      <c r="A1551" t="s">
        <v>1555</v>
      </c>
      <c r="B1551">
        <v>0.99673306730245903</v>
      </c>
      <c r="C1551">
        <v>0.85589746516616405</v>
      </c>
      <c r="D1551">
        <v>1.0521780413678501</v>
      </c>
      <c r="E1551">
        <v>0.737507240247681</v>
      </c>
      <c r="F1551">
        <v>0.298798344148138</v>
      </c>
      <c r="G1551">
        <v>0.176384363492709</v>
      </c>
      <c r="H1551">
        <v>0.10581163358666899</v>
      </c>
      <c r="I1551">
        <v>9.4105183877590495E-2</v>
      </c>
      <c r="J1551">
        <v>8.7643645164634396E-2</v>
      </c>
      <c r="K1551">
        <v>7.5048517065964299E-2</v>
      </c>
      <c r="L1551">
        <v>1580.3976504289701</v>
      </c>
      <c r="M1551">
        <v>30.903777177325502</v>
      </c>
      <c r="N1551">
        <v>51.495795240328199</v>
      </c>
      <c r="O1551">
        <v>50.926601841654403</v>
      </c>
      <c r="P1551">
        <v>-0.137098639136608</v>
      </c>
      <c r="Q1551">
        <v>9.6301115810545193E-2</v>
      </c>
      <c r="R1551">
        <v>0.98104669730557703</v>
      </c>
      <c r="S1551" t="s">
        <v>8003</v>
      </c>
      <c r="T1551" t="s">
        <v>12902</v>
      </c>
      <c r="U1551" t="s">
        <v>12902</v>
      </c>
      <c r="V1551" t="s">
        <v>12902</v>
      </c>
      <c r="W1551" t="s">
        <v>14423</v>
      </c>
      <c r="X1551">
        <v>5</v>
      </c>
      <c r="Y1551" t="s">
        <v>20804</v>
      </c>
      <c r="Z1551" t="s">
        <v>27126</v>
      </c>
      <c r="AA1551">
        <v>0.43722005816307608</v>
      </c>
      <c r="AB1551" t="str">
        <f>HYPERLINK("Melting_Curves/meltCurve_O60826_CCDC22.pdf", "Melting_Curves/meltCurve_O60826_CCDC22.pdf")</f>
        <v>Melting_Curves/meltCurve_O60826_CCDC22.pdf</v>
      </c>
    </row>
    <row r="1552" spans="1:28" x14ac:dyDescent="0.25">
      <c r="A1552" t="s">
        <v>1556</v>
      </c>
      <c r="B1552">
        <v>0.99673306730245903</v>
      </c>
      <c r="C1552">
        <v>1.00269881220803</v>
      </c>
      <c r="D1552">
        <v>0.99921358505397295</v>
      </c>
      <c r="E1552">
        <v>0.99663553292404405</v>
      </c>
      <c r="F1552">
        <v>0.94258056438833704</v>
      </c>
      <c r="G1552">
        <v>0.80107206007852405</v>
      </c>
      <c r="H1552">
        <v>0.64616978116972301</v>
      </c>
      <c r="I1552">
        <v>0.91999531775108501</v>
      </c>
      <c r="J1552">
        <v>1.2789509777599</v>
      </c>
      <c r="K1552">
        <v>1.3583414057935701</v>
      </c>
      <c r="L1552">
        <v>15000</v>
      </c>
      <c r="M1552">
        <v>224.80271227636601</v>
      </c>
      <c r="O1552">
        <v>66.719892969189004</v>
      </c>
      <c r="P1552">
        <v>0.30186910931404498</v>
      </c>
      <c r="Q1552">
        <v>1.3583706691438999</v>
      </c>
      <c r="R1552">
        <v>0.54125618343193005</v>
      </c>
      <c r="S1552" t="s">
        <v>8004</v>
      </c>
      <c r="T1552" t="s">
        <v>12902</v>
      </c>
      <c r="U1552" t="s">
        <v>12902</v>
      </c>
      <c r="V1552" t="s">
        <v>12902</v>
      </c>
      <c r="W1552" t="s">
        <v>14424</v>
      </c>
      <c r="X1552">
        <v>10</v>
      </c>
      <c r="Y1552" t="s">
        <v>20805</v>
      </c>
      <c r="Z1552" t="s">
        <v>27127</v>
      </c>
      <c r="AA1552">
        <v>1.0390682610619759</v>
      </c>
      <c r="AB1552" t="str">
        <f>HYPERLINK("Melting_Curves/meltCurve_O60828_PQBP1.pdf", "Melting_Curves/meltCurve_O60828_PQBP1.pdf")</f>
        <v>Melting_Curves/meltCurve_O60828_PQBP1.pdf</v>
      </c>
    </row>
    <row r="1553" spans="1:28" x14ac:dyDescent="0.25">
      <c r="A1553" t="s">
        <v>1557</v>
      </c>
      <c r="B1553">
        <v>0.99673306730245903</v>
      </c>
      <c r="C1553">
        <v>0.96110594503469804</v>
      </c>
      <c r="D1553">
        <v>0.99491798789638597</v>
      </c>
      <c r="E1553">
        <v>0.90256420131982196</v>
      </c>
      <c r="F1553">
        <v>0.82713099840526305</v>
      </c>
      <c r="G1553">
        <v>0.783412888053863</v>
      </c>
      <c r="H1553">
        <v>1.00968984587988</v>
      </c>
      <c r="I1553">
        <v>1.55293629839825</v>
      </c>
      <c r="J1553">
        <v>1.40064944515774</v>
      </c>
      <c r="K1553">
        <v>0.69133723613853704</v>
      </c>
      <c r="L1553">
        <v>15000</v>
      </c>
      <c r="M1553">
        <v>243.72467427463499</v>
      </c>
      <c r="O1553">
        <v>61.540714081483401</v>
      </c>
      <c r="P1553">
        <v>0.212831331553132</v>
      </c>
      <c r="Q1553">
        <v>1.21496045481353</v>
      </c>
      <c r="R1553">
        <v>0.211834956141528</v>
      </c>
      <c r="S1553" t="s">
        <v>8005</v>
      </c>
      <c r="T1553" t="s">
        <v>12902</v>
      </c>
      <c r="U1553" t="s">
        <v>12902</v>
      </c>
      <c r="V1553" t="s">
        <v>12902</v>
      </c>
      <c r="W1553" t="s">
        <v>14425</v>
      </c>
      <c r="X1553">
        <v>2</v>
      </c>
      <c r="Y1553" t="s">
        <v>20806</v>
      </c>
      <c r="Z1553" t="s">
        <v>27128</v>
      </c>
      <c r="AA1553">
        <v>1.0605596235705119</v>
      </c>
      <c r="AB1553" t="str">
        <f>HYPERLINK("Melting_Curves/meltCurve_O60830_TIMM17B.pdf", "Melting_Curves/meltCurve_O60830_TIMM17B.pdf")</f>
        <v>Melting_Curves/meltCurve_O60830_TIMM17B.pdf</v>
      </c>
    </row>
    <row r="1554" spans="1:28" x14ac:dyDescent="0.25">
      <c r="A1554" t="s">
        <v>1558</v>
      </c>
      <c r="B1554">
        <v>0.99673306730245903</v>
      </c>
      <c r="C1554">
        <v>1.0109010490989601</v>
      </c>
      <c r="D1554">
        <v>0.89893775857186498</v>
      </c>
      <c r="E1554">
        <v>0.71326030616225</v>
      </c>
      <c r="F1554">
        <v>0.63403030220217205</v>
      </c>
      <c r="G1554">
        <v>0.538087016866026</v>
      </c>
      <c r="H1554">
        <v>0.40365038550298599</v>
      </c>
      <c r="I1554">
        <v>0.44675929836435302</v>
      </c>
      <c r="J1554">
        <v>0.474659227125036</v>
      </c>
      <c r="K1554">
        <v>0.42604575054410099</v>
      </c>
      <c r="L1554">
        <v>806.37472689421702</v>
      </c>
      <c r="M1554">
        <v>15.9901767380283</v>
      </c>
      <c r="N1554">
        <v>57.4319109446986</v>
      </c>
      <c r="O1554">
        <v>49.660426010499201</v>
      </c>
      <c r="P1554">
        <v>-4.5980846160541301E-2</v>
      </c>
      <c r="Q1554">
        <v>0.42883711106359701</v>
      </c>
      <c r="R1554">
        <v>0.98006165945592305</v>
      </c>
      <c r="S1554" t="s">
        <v>8006</v>
      </c>
      <c r="T1554" t="s">
        <v>12902</v>
      </c>
      <c r="U1554" t="s">
        <v>12902</v>
      </c>
      <c r="V1554" t="s">
        <v>12902</v>
      </c>
      <c r="W1554" t="s">
        <v>14426</v>
      </c>
      <c r="X1554">
        <v>4</v>
      </c>
      <c r="Y1554" t="s">
        <v>20807</v>
      </c>
      <c r="Z1554" t="s">
        <v>27129</v>
      </c>
      <c r="AA1554">
        <v>0.63941433940853021</v>
      </c>
      <c r="AB1554" t="str">
        <f>HYPERLINK("Melting_Curves/meltCurve_O60831_PRAF2.pdf", "Melting_Curves/meltCurve_O60831_PRAF2.pdf")</f>
        <v>Melting_Curves/meltCurve_O60831_PRAF2.pdf</v>
      </c>
    </row>
    <row r="1555" spans="1:28" x14ac:dyDescent="0.25">
      <c r="A1555" t="s">
        <v>1559</v>
      </c>
      <c r="B1555">
        <v>0.99673306730245903</v>
      </c>
      <c r="C1555">
        <v>0.90851489633626703</v>
      </c>
      <c r="D1555">
        <v>0.89841964376848704</v>
      </c>
      <c r="E1555">
        <v>0.90863898960406198</v>
      </c>
      <c r="F1555">
        <v>0.84627812792513402</v>
      </c>
      <c r="G1555">
        <v>0.82618916981245605</v>
      </c>
      <c r="H1555">
        <v>0.82211939433544001</v>
      </c>
      <c r="I1555">
        <v>0.75385717368841199</v>
      </c>
      <c r="J1555">
        <v>0.45090426865865002</v>
      </c>
      <c r="K1555">
        <v>0.23471764033394699</v>
      </c>
      <c r="L1555">
        <v>1042.6981568947199</v>
      </c>
      <c r="M1555">
        <v>15.704136607763999</v>
      </c>
      <c r="N1555">
        <v>66.3964255292545</v>
      </c>
      <c r="O1555">
        <v>65.347733049356904</v>
      </c>
      <c r="P1555">
        <v>-6.0084188818750203E-2</v>
      </c>
      <c r="Q1555">
        <v>0</v>
      </c>
      <c r="R1555">
        <v>0.85490963815485899</v>
      </c>
      <c r="S1555" t="s">
        <v>8007</v>
      </c>
      <c r="T1555" t="s">
        <v>12902</v>
      </c>
      <c r="U1555" t="s">
        <v>12902</v>
      </c>
      <c r="V1555" t="s">
        <v>12902</v>
      </c>
      <c r="W1555" t="s">
        <v>14427</v>
      </c>
      <c r="X1555">
        <v>16</v>
      </c>
      <c r="Y1555" t="s">
        <v>20808</v>
      </c>
      <c r="Z1555" t="s">
        <v>27130</v>
      </c>
      <c r="AA1555">
        <v>0.84252996462323171</v>
      </c>
      <c r="AB1555" t="str">
        <f>HYPERLINK("Melting_Curves/meltCurve_O60832_DKC1.pdf", "Melting_Curves/meltCurve_O60832_DKC1.pdf")</f>
        <v>Melting_Curves/meltCurve_O60832_DKC1.pdf</v>
      </c>
    </row>
    <row r="1556" spans="1:28" x14ac:dyDescent="0.25">
      <c r="A1556" t="s">
        <v>1560</v>
      </c>
      <c r="B1556">
        <v>0.99673306730245903</v>
      </c>
      <c r="C1556">
        <v>0.97237559030251897</v>
      </c>
      <c r="D1556">
        <v>0.95291745307976505</v>
      </c>
      <c r="E1556">
        <v>0.86299831970705998</v>
      </c>
      <c r="F1556">
        <v>0.38120401587330499</v>
      </c>
      <c r="G1556">
        <v>0.18335613966377101</v>
      </c>
      <c r="H1556">
        <v>0.12588819333014201</v>
      </c>
      <c r="I1556">
        <v>0.13106009620846801</v>
      </c>
      <c r="J1556">
        <v>0.15034529749199699</v>
      </c>
      <c r="K1556">
        <v>0.14401844850012199</v>
      </c>
      <c r="L1556">
        <v>1838.8901105402001</v>
      </c>
      <c r="M1556">
        <v>35.473414566982498</v>
      </c>
      <c r="N1556">
        <v>52.313951732916699</v>
      </c>
      <c r="O1556">
        <v>51.6746294543332</v>
      </c>
      <c r="P1556">
        <v>-0.14797309717131199</v>
      </c>
      <c r="Q1556">
        <v>0.137784790181427</v>
      </c>
      <c r="R1556">
        <v>0.99804150325869501</v>
      </c>
      <c r="S1556" t="s">
        <v>8008</v>
      </c>
      <c r="T1556" t="s">
        <v>12902</v>
      </c>
      <c r="U1556" t="s">
        <v>12902</v>
      </c>
      <c r="V1556" t="s">
        <v>12902</v>
      </c>
      <c r="W1556" t="s">
        <v>14428</v>
      </c>
      <c r="X1556">
        <v>57</v>
      </c>
      <c r="Y1556" t="s">
        <v>20809</v>
      </c>
      <c r="Z1556" t="s">
        <v>27131</v>
      </c>
      <c r="AA1556">
        <v>0.48196178231976389</v>
      </c>
      <c r="AB1556" t="str">
        <f>HYPERLINK("Melting_Curves/meltCurve_O60841_EIF5B.pdf", "Melting_Curves/meltCurve_O60841_EIF5B.pdf")</f>
        <v>Melting_Curves/meltCurve_O60841_EIF5B.pdf</v>
      </c>
    </row>
    <row r="1557" spans="1:28" x14ac:dyDescent="0.25">
      <c r="A1557" t="s">
        <v>1561</v>
      </c>
      <c r="B1557">
        <v>0.99673306730245903</v>
      </c>
      <c r="C1557">
        <v>1.0042493704261899</v>
      </c>
      <c r="D1557">
        <v>1.06525245989357</v>
      </c>
      <c r="E1557">
        <v>0.94453157601373605</v>
      </c>
      <c r="F1557">
        <v>0.88897278049816297</v>
      </c>
      <c r="G1557">
        <v>0.81231835232858696</v>
      </c>
      <c r="H1557">
        <v>0.76720753857921697</v>
      </c>
      <c r="I1557">
        <v>1.1638453398408399</v>
      </c>
      <c r="J1557">
        <v>1.7822003175172501</v>
      </c>
      <c r="K1557">
        <v>1.7137270624938701</v>
      </c>
      <c r="L1557">
        <v>15000</v>
      </c>
      <c r="M1557">
        <v>233.656803959553</v>
      </c>
      <c r="O1557">
        <v>64.192013713473401</v>
      </c>
      <c r="P1557">
        <v>0.45499584948698901</v>
      </c>
      <c r="Q1557">
        <v>1.5</v>
      </c>
      <c r="R1557">
        <v>0.79206680848120503</v>
      </c>
      <c r="S1557" t="s">
        <v>8009</v>
      </c>
      <c r="T1557" t="s">
        <v>12902</v>
      </c>
      <c r="U1557" t="s">
        <v>12902</v>
      </c>
      <c r="V1557" t="s">
        <v>12902</v>
      </c>
      <c r="W1557" t="s">
        <v>14429</v>
      </c>
      <c r="X1557">
        <v>15</v>
      </c>
      <c r="Y1557" t="s">
        <v>20810</v>
      </c>
      <c r="Z1557" t="s">
        <v>27132</v>
      </c>
      <c r="AA1557">
        <v>1.096656873187619</v>
      </c>
      <c r="AB1557" t="str">
        <f>HYPERLINK("Melting_Curves/meltCurve_O60869_EDF1.pdf", "Melting_Curves/meltCurve_O60869_EDF1.pdf")</f>
        <v>Melting_Curves/meltCurve_O60869_EDF1.pdf</v>
      </c>
    </row>
    <row r="1558" spans="1:28" x14ac:dyDescent="0.25">
      <c r="A1558" t="s">
        <v>1562</v>
      </c>
      <c r="B1558">
        <v>0.99673306730245903</v>
      </c>
      <c r="C1558">
        <v>0.94123018284473103</v>
      </c>
      <c r="D1558">
        <v>0.780586563388046</v>
      </c>
      <c r="E1558">
        <v>0.37103301621212997</v>
      </c>
      <c r="F1558">
        <v>0.222356862290126</v>
      </c>
      <c r="G1558">
        <v>0.146220272010679</v>
      </c>
      <c r="H1558">
        <v>0.114047891098136</v>
      </c>
      <c r="I1558">
        <v>9.6600304277343105E-2</v>
      </c>
      <c r="J1558">
        <v>0.100775126201836</v>
      </c>
      <c r="K1558">
        <v>9.46480993245606E-2</v>
      </c>
      <c r="L1558">
        <v>1105.60330298126</v>
      </c>
      <c r="M1558">
        <v>23.010366873018299</v>
      </c>
      <c r="N1558">
        <v>48.548155256151702</v>
      </c>
      <c r="O1558">
        <v>47.6895713052863</v>
      </c>
      <c r="P1558">
        <v>-0.107899164405425</v>
      </c>
      <c r="Q1558">
        <v>0.105521636295191</v>
      </c>
      <c r="R1558">
        <v>0.99796185960858097</v>
      </c>
      <c r="S1558" t="s">
        <v>8010</v>
      </c>
      <c r="T1558" t="s">
        <v>12902</v>
      </c>
      <c r="U1558" t="s">
        <v>12902</v>
      </c>
      <c r="V1558" t="s">
        <v>12902</v>
      </c>
      <c r="W1558" t="s">
        <v>14430</v>
      </c>
      <c r="X1558">
        <v>13</v>
      </c>
      <c r="Y1558" t="s">
        <v>20811</v>
      </c>
      <c r="Z1558" t="s">
        <v>27133</v>
      </c>
      <c r="AA1558">
        <v>0.35490995905311612</v>
      </c>
      <c r="AB1558" t="str">
        <f>HYPERLINK("Melting_Curves/meltCurve_O60870_KIN.pdf", "Melting_Curves/meltCurve_O60870_KIN.pdf")</f>
        <v>Melting_Curves/meltCurve_O60870_KIN.pdf</v>
      </c>
    </row>
    <row r="1559" spans="1:28" x14ac:dyDescent="0.25">
      <c r="A1559" t="s">
        <v>1563</v>
      </c>
      <c r="B1559">
        <v>0.99673306730245903</v>
      </c>
      <c r="C1559">
        <v>0.91238681682579403</v>
      </c>
      <c r="D1559">
        <v>0.95685772533288505</v>
      </c>
      <c r="E1559">
        <v>0.90273818477002699</v>
      </c>
      <c r="F1559">
        <v>0.55946631559517002</v>
      </c>
      <c r="G1559">
        <v>0.27673034134915497</v>
      </c>
      <c r="H1559">
        <v>0.126711893563659</v>
      </c>
      <c r="I1559">
        <v>0.12576593771749001</v>
      </c>
      <c r="J1559">
        <v>0.12660967961594799</v>
      </c>
      <c r="K1559">
        <v>0.106981179686786</v>
      </c>
      <c r="L1559">
        <v>1354.19613202544</v>
      </c>
      <c r="M1559">
        <v>25.391104774751099</v>
      </c>
      <c r="N1559">
        <v>53.8551996166767</v>
      </c>
      <c r="O1559">
        <v>53.005985209105503</v>
      </c>
      <c r="P1559">
        <v>-0.106700824835397</v>
      </c>
      <c r="Q1559">
        <v>0.10902514903233899</v>
      </c>
      <c r="R1559">
        <v>0.99344412417076</v>
      </c>
      <c r="S1559" t="s">
        <v>8011</v>
      </c>
      <c r="T1559" t="s">
        <v>12902</v>
      </c>
      <c r="U1559" t="s">
        <v>12902</v>
      </c>
      <c r="V1559" t="s">
        <v>12902</v>
      </c>
      <c r="W1559" t="s">
        <v>14431</v>
      </c>
      <c r="X1559">
        <v>19</v>
      </c>
      <c r="Y1559" t="s">
        <v>20812</v>
      </c>
      <c r="Z1559" t="s">
        <v>27134</v>
      </c>
      <c r="AA1559">
        <v>0.51300496019134612</v>
      </c>
      <c r="AB1559" t="str">
        <f>HYPERLINK("Melting_Curves/meltCurve_O60884_DNAJA2.pdf", "Melting_Curves/meltCurve_O60884_DNAJA2.pdf")</f>
        <v>Melting_Curves/meltCurve_O60884_DNAJA2.pdf</v>
      </c>
    </row>
    <row r="1560" spans="1:28" x14ac:dyDescent="0.25">
      <c r="A1560" t="s">
        <v>1564</v>
      </c>
      <c r="B1560">
        <v>0.99673306730245903</v>
      </c>
      <c r="C1560">
        <v>0.87225789288043498</v>
      </c>
      <c r="D1560">
        <v>0.57126267121851704</v>
      </c>
      <c r="E1560">
        <v>0.37771247242528899</v>
      </c>
      <c r="F1560">
        <v>0.23410544404907199</v>
      </c>
      <c r="G1560">
        <v>0.13819211578739299</v>
      </c>
      <c r="H1560">
        <v>8.3837127768228506E-2</v>
      </c>
      <c r="I1560">
        <v>8.2079233949671898E-2</v>
      </c>
      <c r="J1560">
        <v>0.112019710134138</v>
      </c>
      <c r="K1560">
        <v>0.125114490405419</v>
      </c>
      <c r="L1560">
        <v>798.99409499711601</v>
      </c>
      <c r="M1560">
        <v>17.037219060947699</v>
      </c>
      <c r="N1560">
        <v>47.506521490197599</v>
      </c>
      <c r="O1560">
        <v>46.2652024400141</v>
      </c>
      <c r="P1560">
        <v>-8.3029365047982306E-2</v>
      </c>
      <c r="Q1560">
        <v>9.8178384313625605E-2</v>
      </c>
      <c r="R1560">
        <v>0.99145012063513704</v>
      </c>
      <c r="S1560" t="s">
        <v>8012</v>
      </c>
      <c r="T1560" t="s">
        <v>12902</v>
      </c>
      <c r="U1560" t="s">
        <v>12902</v>
      </c>
      <c r="V1560" t="s">
        <v>12902</v>
      </c>
      <c r="W1560" t="s">
        <v>14432</v>
      </c>
      <c r="X1560">
        <v>12</v>
      </c>
      <c r="Y1560" t="s">
        <v>20813</v>
      </c>
      <c r="Z1560" t="s">
        <v>27135</v>
      </c>
      <c r="AA1560">
        <v>0.32435083922527269</v>
      </c>
      <c r="AB1560" t="str">
        <f>HYPERLINK("Melting_Curves/meltCurve_O60885_BRD4.pdf", "Melting_Curves/meltCurve_O60885_BRD4.pdf")</f>
        <v>Melting_Curves/meltCurve_O60885_BRD4.pdf</v>
      </c>
    </row>
    <row r="1561" spans="1:28" x14ac:dyDescent="0.25">
      <c r="A1561" t="s">
        <v>1565</v>
      </c>
      <c r="B1561">
        <v>0.99673306730245903</v>
      </c>
      <c r="C1561">
        <v>0.96627106422978004</v>
      </c>
      <c r="D1561">
        <v>1.02440925196482</v>
      </c>
      <c r="E1561">
        <v>0.98799922191899203</v>
      </c>
      <c r="F1561">
        <v>0.76934569243619999</v>
      </c>
      <c r="G1561">
        <v>0.59205020138247599</v>
      </c>
      <c r="H1561">
        <v>0.39222773158498098</v>
      </c>
      <c r="I1561">
        <v>0.58040550874273</v>
      </c>
      <c r="J1561">
        <v>0.58702414339611997</v>
      </c>
      <c r="K1561">
        <v>0.54687881246982395</v>
      </c>
      <c r="L1561">
        <v>2247.6273928331302</v>
      </c>
      <c r="M1561">
        <v>42.172225691419797</v>
      </c>
      <c r="O1561">
        <v>53.176971610888202</v>
      </c>
      <c r="P1561">
        <v>-9.2800514953048904E-2</v>
      </c>
      <c r="Q1561">
        <v>0.53193441798891505</v>
      </c>
      <c r="R1561">
        <v>0.941887719519788</v>
      </c>
      <c r="S1561" t="s">
        <v>8013</v>
      </c>
      <c r="T1561" t="s">
        <v>12902</v>
      </c>
      <c r="U1561" t="s">
        <v>12902</v>
      </c>
      <c r="V1561" t="s">
        <v>12902</v>
      </c>
      <c r="W1561" t="s">
        <v>14433</v>
      </c>
      <c r="X1561">
        <v>6</v>
      </c>
      <c r="Y1561" t="s">
        <v>20814</v>
      </c>
      <c r="Z1561" t="s">
        <v>27136</v>
      </c>
      <c r="AA1561">
        <v>0.74093598264835958</v>
      </c>
      <c r="AB1561" t="str">
        <f>HYPERLINK("Melting_Curves/meltCurve_O60888_3_CUTA.pdf", "Melting_Curves/meltCurve_O60888_3_CUTA.pdf")</f>
        <v>Melting_Curves/meltCurve_O60888_3_CUTA.pdf</v>
      </c>
    </row>
    <row r="1562" spans="1:28" x14ac:dyDescent="0.25">
      <c r="A1562" t="s">
        <v>1566</v>
      </c>
      <c r="B1562">
        <v>0.99673306730245903</v>
      </c>
      <c r="C1562">
        <v>1.0130591179357</v>
      </c>
      <c r="D1562">
        <v>1.0842650109126999</v>
      </c>
      <c r="E1562">
        <v>1.04384669885828</v>
      </c>
      <c r="F1562">
        <v>1.0269079399487699</v>
      </c>
      <c r="G1562">
        <v>0.69803537812887795</v>
      </c>
      <c r="H1562">
        <v>0.385228424855309</v>
      </c>
      <c r="I1562">
        <v>0.26305526296091503</v>
      </c>
      <c r="J1562">
        <v>0.34303091840257099</v>
      </c>
      <c r="K1562">
        <v>0.344197000359868</v>
      </c>
      <c r="L1562">
        <v>3027.8751892011401</v>
      </c>
      <c r="M1562">
        <v>53.053905178424102</v>
      </c>
      <c r="N1562">
        <v>58.2310175188545</v>
      </c>
      <c r="O1562">
        <v>56.990760912211897</v>
      </c>
      <c r="P1562">
        <v>-0.15683127891266599</v>
      </c>
      <c r="Q1562">
        <v>0.32612478448317</v>
      </c>
      <c r="R1562">
        <v>0.98456557853030302</v>
      </c>
      <c r="S1562" t="s">
        <v>8014</v>
      </c>
      <c r="T1562" t="s">
        <v>12902</v>
      </c>
      <c r="U1562" t="s">
        <v>12902</v>
      </c>
      <c r="V1562" t="s">
        <v>12902</v>
      </c>
      <c r="W1562" t="s">
        <v>14434</v>
      </c>
      <c r="X1562">
        <v>10</v>
      </c>
      <c r="Y1562" t="s">
        <v>20815</v>
      </c>
      <c r="Z1562" t="s">
        <v>27137</v>
      </c>
      <c r="AA1562">
        <v>0.71110108992021381</v>
      </c>
      <c r="AB1562" t="str">
        <f>HYPERLINK("Melting_Curves/meltCurve_O60925_PFDN1.pdf", "Melting_Curves/meltCurve_O60925_PFDN1.pdf")</f>
        <v>Melting_Curves/meltCurve_O60925_PFDN1.pdf</v>
      </c>
    </row>
    <row r="1563" spans="1:28" x14ac:dyDescent="0.25">
      <c r="A1563" t="s">
        <v>1567</v>
      </c>
      <c r="B1563">
        <v>0.99673306730245903</v>
      </c>
      <c r="C1563">
        <v>0.92798600807222997</v>
      </c>
      <c r="D1563">
        <v>0.99075173234215796</v>
      </c>
      <c r="E1563">
        <v>0.87529821985273804</v>
      </c>
      <c r="F1563">
        <v>0.76688257464644105</v>
      </c>
      <c r="G1563">
        <v>0.62591734647285402</v>
      </c>
      <c r="H1563">
        <v>0.53723525555212803</v>
      </c>
      <c r="I1563">
        <v>0.60047453010922203</v>
      </c>
      <c r="J1563">
        <v>0.78156731807151103</v>
      </c>
      <c r="K1563">
        <v>0.72584781255985498</v>
      </c>
      <c r="L1563">
        <v>1473.88867406895</v>
      </c>
      <c r="M1563">
        <v>28.971957123357399</v>
      </c>
      <c r="O1563">
        <v>50.632417936299397</v>
      </c>
      <c r="P1563">
        <v>-4.9287118687649803E-2</v>
      </c>
      <c r="Q1563">
        <v>0.65545893328670402</v>
      </c>
      <c r="R1563">
        <v>0.80388264304391799</v>
      </c>
      <c r="S1563" t="s">
        <v>8015</v>
      </c>
      <c r="T1563" t="s">
        <v>12902</v>
      </c>
      <c r="U1563" t="s">
        <v>12902</v>
      </c>
      <c r="V1563" t="s">
        <v>12902</v>
      </c>
      <c r="W1563" t="s">
        <v>14435</v>
      </c>
      <c r="X1563">
        <v>6</v>
      </c>
      <c r="Y1563" t="s">
        <v>20816</v>
      </c>
      <c r="Z1563" t="s">
        <v>27138</v>
      </c>
      <c r="AA1563">
        <v>0.78264961696890345</v>
      </c>
      <c r="AB1563" t="str">
        <f>HYPERLINK("Melting_Curves/meltCurve_O60927_PPP1R11.pdf", "Melting_Curves/meltCurve_O60927_PPP1R11.pdf")</f>
        <v>Melting_Curves/meltCurve_O60927_PPP1R11.pdf</v>
      </c>
    </row>
    <row r="1564" spans="1:28" x14ac:dyDescent="0.25">
      <c r="A1564" t="s">
        <v>1568</v>
      </c>
      <c r="B1564">
        <v>0.99673306730245903</v>
      </c>
      <c r="C1564">
        <v>0.89851079814239099</v>
      </c>
      <c r="D1564">
        <v>0.87058043519952499</v>
      </c>
      <c r="E1564">
        <v>0.47575048322566799</v>
      </c>
      <c r="F1564">
        <v>0.19493974436662501</v>
      </c>
      <c r="G1564">
        <v>0.10717684886658101</v>
      </c>
      <c r="H1564">
        <v>7.6393619985444305E-2</v>
      </c>
      <c r="I1564">
        <v>8.4191308242907506E-2</v>
      </c>
      <c r="J1564">
        <v>0.114438038885476</v>
      </c>
      <c r="K1564">
        <v>0.110064545514589</v>
      </c>
      <c r="L1564">
        <v>1227.0095427064</v>
      </c>
      <c r="M1564">
        <v>25.0503754368915</v>
      </c>
      <c r="N1564">
        <v>49.3739086168735</v>
      </c>
      <c r="O1564">
        <v>48.6727364075957</v>
      </c>
      <c r="P1564">
        <v>-0.117059999821662</v>
      </c>
      <c r="Q1564">
        <v>9.0224490646957894E-2</v>
      </c>
      <c r="R1564">
        <v>0.99414988880378097</v>
      </c>
      <c r="S1564" t="s">
        <v>8016</v>
      </c>
      <c r="T1564" t="s">
        <v>12902</v>
      </c>
      <c r="U1564" t="s">
        <v>12902</v>
      </c>
      <c r="V1564" t="s">
        <v>12902</v>
      </c>
      <c r="W1564" t="s">
        <v>14436</v>
      </c>
      <c r="X1564">
        <v>19</v>
      </c>
      <c r="Y1564" t="s">
        <v>20817</v>
      </c>
      <c r="Z1564" t="s">
        <v>27139</v>
      </c>
      <c r="AA1564">
        <v>0.37062923763375299</v>
      </c>
      <c r="AB1564" t="str">
        <f>HYPERLINK("Melting_Curves/meltCurve_O60934_NBN.pdf", "Melting_Curves/meltCurve_O60934_NBN.pdf")</f>
        <v>Melting_Curves/meltCurve_O60934_NBN.pdf</v>
      </c>
    </row>
    <row r="1565" spans="1:28" x14ac:dyDescent="0.25">
      <c r="A1565" t="s">
        <v>1569</v>
      </c>
      <c r="B1565">
        <v>0.99673306730245903</v>
      </c>
      <c r="C1565">
        <v>0.98906502368693305</v>
      </c>
      <c r="D1565">
        <v>0.90238343018982303</v>
      </c>
      <c r="E1565">
        <v>0.49154079836392101</v>
      </c>
      <c r="F1565">
        <v>0.234839534229867</v>
      </c>
      <c r="G1565">
        <v>0.131986836916273</v>
      </c>
      <c r="H1565">
        <v>8.4151576472064296E-2</v>
      </c>
      <c r="I1565">
        <v>8.4025097263865103E-2</v>
      </c>
      <c r="J1565">
        <v>9.6060699598871202E-2</v>
      </c>
      <c r="K1565">
        <v>7.9676152563445901E-2</v>
      </c>
      <c r="L1565">
        <v>1278.71040742634</v>
      </c>
      <c r="M1565">
        <v>25.911976119477899</v>
      </c>
      <c r="N1565">
        <v>49.726595791123003</v>
      </c>
      <c r="O1565">
        <v>49.057141529711402</v>
      </c>
      <c r="P1565">
        <v>-0.120237169380203</v>
      </c>
      <c r="Q1565">
        <v>8.9467747054811905E-2</v>
      </c>
      <c r="R1565">
        <v>0.99848485366663597</v>
      </c>
      <c r="S1565" t="s">
        <v>8017</v>
      </c>
      <c r="T1565" t="s">
        <v>12902</v>
      </c>
      <c r="U1565" t="s">
        <v>12902</v>
      </c>
      <c r="V1565" t="s">
        <v>12902</v>
      </c>
      <c r="W1565" t="s">
        <v>14437</v>
      </c>
      <c r="X1565">
        <v>14</v>
      </c>
      <c r="Y1565" t="s">
        <v>20818</v>
      </c>
      <c r="Z1565" t="s">
        <v>27140</v>
      </c>
      <c r="AA1565">
        <v>0.38071514849748478</v>
      </c>
      <c r="AB1565" t="str">
        <f>HYPERLINK("Melting_Curves/meltCurve_O60942_RNGTT.pdf", "Melting_Curves/meltCurve_O60942_RNGTT.pdf")</f>
        <v>Melting_Curves/meltCurve_O60942_RNGTT.pdf</v>
      </c>
    </row>
    <row r="1566" spans="1:28" x14ac:dyDescent="0.25">
      <c r="A1566" t="s">
        <v>1570</v>
      </c>
      <c r="B1566">
        <v>0.99673306730245903</v>
      </c>
      <c r="C1566">
        <v>0.97930512659286895</v>
      </c>
      <c r="D1566">
        <v>0.91032384373452102</v>
      </c>
      <c r="E1566">
        <v>0.81125274329885499</v>
      </c>
      <c r="F1566">
        <v>0.483657416580619</v>
      </c>
      <c r="G1566">
        <v>0.24093083376479801</v>
      </c>
      <c r="H1566">
        <v>0.129670166080048</v>
      </c>
      <c r="I1566">
        <v>0.107187027957295</v>
      </c>
      <c r="J1566">
        <v>0.10504419029657799</v>
      </c>
      <c r="K1566">
        <v>8.8200098782870898E-2</v>
      </c>
      <c r="L1566">
        <v>1072.40015097182</v>
      </c>
      <c r="M1566">
        <v>20.406297344305798</v>
      </c>
      <c r="N1566">
        <v>53.026137375754999</v>
      </c>
      <c r="O1566">
        <v>52.055542467315099</v>
      </c>
      <c r="P1566">
        <v>-8.9838996251297196E-2</v>
      </c>
      <c r="Q1566">
        <v>8.3326682962979806E-2</v>
      </c>
      <c r="R1566">
        <v>0.99819090416190503</v>
      </c>
      <c r="S1566" t="s">
        <v>8018</v>
      </c>
      <c r="T1566" t="s">
        <v>12902</v>
      </c>
      <c r="U1566" t="s">
        <v>12902</v>
      </c>
      <c r="V1566" t="s">
        <v>12902</v>
      </c>
      <c r="W1566" t="s">
        <v>14438</v>
      </c>
      <c r="X1566">
        <v>23</v>
      </c>
      <c r="Y1566" t="s">
        <v>20819</v>
      </c>
      <c r="Z1566" t="s">
        <v>27141</v>
      </c>
      <c r="AA1566">
        <v>0.47908634109068449</v>
      </c>
      <c r="AB1566" t="str">
        <f>HYPERLINK("Melting_Curves/meltCurve_O75027_ABCB7.pdf", "Melting_Curves/meltCurve_O75027_ABCB7.pdf")</f>
        <v>Melting_Curves/meltCurve_O75027_ABCB7.pdf</v>
      </c>
    </row>
    <row r="1567" spans="1:28" x14ac:dyDescent="0.25">
      <c r="A1567" t="s">
        <v>1571</v>
      </c>
      <c r="B1567">
        <v>0.99673306730245903</v>
      </c>
      <c r="C1567">
        <v>0.94297991748050503</v>
      </c>
      <c r="D1567">
        <v>0.72306377118158704</v>
      </c>
      <c r="E1567">
        <v>0.64353513456371003</v>
      </c>
      <c r="F1567">
        <v>0.41000892924639898</v>
      </c>
      <c r="G1567">
        <v>0.24184433469811301</v>
      </c>
      <c r="H1567">
        <v>0.169596156670801</v>
      </c>
      <c r="I1567">
        <v>0.14829130334594401</v>
      </c>
      <c r="J1567">
        <v>0.18080308777448201</v>
      </c>
      <c r="K1567">
        <v>0.16211658623299299</v>
      </c>
      <c r="L1567">
        <v>682.31817747119101</v>
      </c>
      <c r="M1567">
        <v>13.627879776501</v>
      </c>
      <c r="N1567">
        <v>51.147187018312998</v>
      </c>
      <c r="O1567">
        <v>49.026636408773598</v>
      </c>
      <c r="P1567">
        <v>-6.0816983242038401E-2</v>
      </c>
      <c r="Q1567">
        <v>0.12496619594906699</v>
      </c>
      <c r="R1567">
        <v>0.98726645070653896</v>
      </c>
      <c r="S1567" t="s">
        <v>8019</v>
      </c>
      <c r="T1567" t="s">
        <v>12902</v>
      </c>
      <c r="U1567" t="s">
        <v>12902</v>
      </c>
      <c r="V1567" t="s">
        <v>12902</v>
      </c>
      <c r="W1567" t="s">
        <v>14439</v>
      </c>
      <c r="X1567">
        <v>7</v>
      </c>
      <c r="Y1567" t="s">
        <v>20820</v>
      </c>
      <c r="Z1567" t="s">
        <v>27142</v>
      </c>
      <c r="AA1567">
        <v>0.44318287981756072</v>
      </c>
      <c r="AB1567" t="str">
        <f>HYPERLINK("Melting_Curves/meltCurve_O75044_SRGAP2.pdf", "Melting_Curves/meltCurve_O75044_SRGAP2.pdf")</f>
        <v>Melting_Curves/meltCurve_O75044_SRGAP2.pdf</v>
      </c>
    </row>
    <row r="1568" spans="1:28" x14ac:dyDescent="0.25">
      <c r="A1568" t="s">
        <v>1572</v>
      </c>
      <c r="B1568">
        <v>0.99673306730245903</v>
      </c>
      <c r="C1568">
        <v>1.0138060337747401</v>
      </c>
      <c r="D1568">
        <v>1.0338941664443799</v>
      </c>
      <c r="E1568">
        <v>0.93967550774312902</v>
      </c>
      <c r="F1568">
        <v>0.82967225823180402</v>
      </c>
      <c r="G1568">
        <v>0.54176532366608199</v>
      </c>
      <c r="H1568">
        <v>0.35958560077044699</v>
      </c>
      <c r="I1568">
        <v>0.25318540992504801</v>
      </c>
      <c r="J1568">
        <v>0.31889290981093399</v>
      </c>
      <c r="K1568">
        <v>0.210890314689365</v>
      </c>
      <c r="L1568">
        <v>1277.9402422426699</v>
      </c>
      <c r="M1568">
        <v>22.870269955725799</v>
      </c>
      <c r="N1568">
        <v>57.551408462848002</v>
      </c>
      <c r="O1568">
        <v>55.455839182177897</v>
      </c>
      <c r="P1568">
        <v>-7.8061327679630393E-2</v>
      </c>
      <c r="Q1568">
        <v>0.24288195144615299</v>
      </c>
      <c r="R1568">
        <v>0.99196215573025703</v>
      </c>
      <c r="S1568" t="s">
        <v>8020</v>
      </c>
      <c r="T1568" t="s">
        <v>12902</v>
      </c>
      <c r="U1568" t="s">
        <v>12902</v>
      </c>
      <c r="V1568" t="s">
        <v>12902</v>
      </c>
      <c r="W1568" t="s">
        <v>14440</v>
      </c>
      <c r="X1568">
        <v>5</v>
      </c>
      <c r="Y1568" t="s">
        <v>20821</v>
      </c>
      <c r="Z1568" t="s">
        <v>27143</v>
      </c>
      <c r="AA1568">
        <v>0.6516356257597945</v>
      </c>
      <c r="AB1568" t="str">
        <f>HYPERLINK("Melting_Curves/meltCurve_O75051_PLXNA2.pdf", "Melting_Curves/meltCurve_O75051_PLXNA2.pdf")</f>
        <v>Melting_Curves/meltCurve_O75051_PLXNA2.pdf</v>
      </c>
    </row>
    <row r="1569" spans="1:28" x14ac:dyDescent="0.25">
      <c r="A1569" t="s">
        <v>1573</v>
      </c>
      <c r="B1569">
        <v>0.99673306730245903</v>
      </c>
      <c r="C1569">
        <v>0.96689096168218702</v>
      </c>
      <c r="D1569">
        <v>0.95651196520641701</v>
      </c>
      <c r="E1569">
        <v>0.85951844444145198</v>
      </c>
      <c r="F1569">
        <v>0.65752567897275005</v>
      </c>
      <c r="G1569">
        <v>0.36595657915941598</v>
      </c>
      <c r="H1569">
        <v>0.23805406010028701</v>
      </c>
      <c r="I1569">
        <v>0.20099530426558901</v>
      </c>
      <c r="J1569">
        <v>0.19629950810935601</v>
      </c>
      <c r="K1569">
        <v>0.167087687131526</v>
      </c>
      <c r="L1569">
        <v>1067.49838934076</v>
      </c>
      <c r="M1569">
        <v>19.821480194778299</v>
      </c>
      <c r="N1569">
        <v>54.963623621779099</v>
      </c>
      <c r="O1569">
        <v>53.316465820156502</v>
      </c>
      <c r="P1569">
        <v>-7.7637916760454603E-2</v>
      </c>
      <c r="Q1569">
        <v>0.164696245501704</v>
      </c>
      <c r="R1569">
        <v>0.99792366842904401</v>
      </c>
      <c r="S1569" t="s">
        <v>8021</v>
      </c>
      <c r="T1569" t="s">
        <v>12902</v>
      </c>
      <c r="U1569" t="s">
        <v>12902</v>
      </c>
      <c r="V1569" t="s">
        <v>12902</v>
      </c>
      <c r="W1569" t="s">
        <v>14441</v>
      </c>
      <c r="X1569">
        <v>19</v>
      </c>
      <c r="Y1569" t="s">
        <v>20822</v>
      </c>
      <c r="Z1569" t="s">
        <v>27144</v>
      </c>
      <c r="AA1569">
        <v>0.56202916702702188</v>
      </c>
      <c r="AB1569" t="str">
        <f>HYPERLINK("Melting_Curves/meltCurve_O75054_IGSF3.pdf", "Melting_Curves/meltCurve_O75054_IGSF3.pdf")</f>
        <v>Melting_Curves/meltCurve_O75054_IGSF3.pdf</v>
      </c>
    </row>
    <row r="1570" spans="1:28" x14ac:dyDescent="0.25">
      <c r="A1570" t="s">
        <v>1574</v>
      </c>
      <c r="B1570">
        <v>0.99673306730245903</v>
      </c>
      <c r="C1570">
        <v>0.96227041765007404</v>
      </c>
      <c r="D1570">
        <v>0.82477251456201095</v>
      </c>
      <c r="E1570">
        <v>0.56272325019943403</v>
      </c>
      <c r="F1570">
        <v>0.27511288532033401</v>
      </c>
      <c r="G1570">
        <v>0.168047172228484</v>
      </c>
      <c r="H1570">
        <v>0.12936419998021201</v>
      </c>
      <c r="I1570">
        <v>0.14702546885355</v>
      </c>
      <c r="J1570">
        <v>0.200478533700085</v>
      </c>
      <c r="K1570">
        <v>0.168651609908119</v>
      </c>
      <c r="L1570">
        <v>1085.6598258736799</v>
      </c>
      <c r="M1570">
        <v>22.073867676465699</v>
      </c>
      <c r="N1570">
        <v>49.9956009580049</v>
      </c>
      <c r="O1570">
        <v>48.784729391134597</v>
      </c>
      <c r="P1570">
        <v>-9.6070707972487901E-2</v>
      </c>
      <c r="Q1570">
        <v>0.15072803506205801</v>
      </c>
      <c r="R1570">
        <v>0.99503439129209004</v>
      </c>
      <c r="S1570" t="s">
        <v>8022</v>
      </c>
      <c r="T1570" t="s">
        <v>12902</v>
      </c>
      <c r="U1570" t="s">
        <v>12902</v>
      </c>
      <c r="V1570" t="s">
        <v>12902</v>
      </c>
      <c r="W1570" t="s">
        <v>14442</v>
      </c>
      <c r="X1570">
        <v>3</v>
      </c>
      <c r="Y1570" t="s">
        <v>20823</v>
      </c>
      <c r="Z1570" t="s">
        <v>27145</v>
      </c>
      <c r="AA1570">
        <v>0.42041306611281681</v>
      </c>
      <c r="AB1570" t="str">
        <f>HYPERLINK("Melting_Curves/meltCurve_O75063_FAM20B.pdf", "Melting_Curves/meltCurve_O75063_FAM20B.pdf")</f>
        <v>Melting_Curves/meltCurve_O75063_FAM20B.pdf</v>
      </c>
    </row>
    <row r="1571" spans="1:28" x14ac:dyDescent="0.25">
      <c r="A1571" t="s">
        <v>1575</v>
      </c>
      <c r="B1571">
        <v>0.99673306730245903</v>
      </c>
      <c r="C1571">
        <v>0.946427251708574</v>
      </c>
      <c r="D1571">
        <v>0.85233796989668398</v>
      </c>
      <c r="E1571">
        <v>0.67948491264866795</v>
      </c>
      <c r="F1571">
        <v>0.69709564504418497</v>
      </c>
      <c r="G1571">
        <v>0.53797692957793097</v>
      </c>
      <c r="H1571">
        <v>0.30964534314359099</v>
      </c>
      <c r="I1571">
        <v>0.359713468776167</v>
      </c>
      <c r="J1571">
        <v>0.340050209160909</v>
      </c>
      <c r="K1571">
        <v>0.36368218904508198</v>
      </c>
      <c r="L1571">
        <v>550.05237020655602</v>
      </c>
      <c r="M1571">
        <v>10.467161420460201</v>
      </c>
      <c r="N1571">
        <v>56.7715817235228</v>
      </c>
      <c r="O1571">
        <v>50.740824912515897</v>
      </c>
      <c r="P1571">
        <v>-3.7641772724787498E-2</v>
      </c>
      <c r="Q1571">
        <v>0.27040547193294501</v>
      </c>
      <c r="R1571">
        <v>0.95781659208779801</v>
      </c>
      <c r="S1571" t="s">
        <v>8023</v>
      </c>
      <c r="T1571" t="s">
        <v>12902</v>
      </c>
      <c r="U1571" t="s">
        <v>12902</v>
      </c>
      <c r="V1571" t="s">
        <v>12902</v>
      </c>
      <c r="W1571" t="s">
        <v>14443</v>
      </c>
      <c r="X1571">
        <v>3</v>
      </c>
      <c r="Y1571" t="s">
        <v>20824</v>
      </c>
      <c r="Z1571" t="s">
        <v>27146</v>
      </c>
      <c r="AA1571">
        <v>0.600652017080053</v>
      </c>
      <c r="AB1571" t="str">
        <f>HYPERLINK("Melting_Curves/meltCurve_O75071_EFCAB14.pdf", "Melting_Curves/meltCurve_O75071_EFCAB14.pdf")</f>
        <v>Melting_Curves/meltCurve_O75071_EFCAB14.pdf</v>
      </c>
    </row>
    <row r="1572" spans="1:28" x14ac:dyDescent="0.25">
      <c r="A1572" t="s">
        <v>1576</v>
      </c>
      <c r="B1572">
        <v>0.99673306730245903</v>
      </c>
      <c r="C1572">
        <v>0.73327476561689198</v>
      </c>
      <c r="D1572">
        <v>1.0891603426940999</v>
      </c>
      <c r="E1572">
        <v>0.85211838921155802</v>
      </c>
      <c r="F1572">
        <v>0.38858161850553502</v>
      </c>
      <c r="G1572">
        <v>0.11688261920785301</v>
      </c>
      <c r="H1572">
        <v>6.0919282836699798E-2</v>
      </c>
      <c r="I1572">
        <v>4.9057480735824499E-2</v>
      </c>
      <c r="J1572">
        <v>4.8386383890283199E-2</v>
      </c>
      <c r="K1572">
        <v>3.8683788238949697E-2</v>
      </c>
      <c r="L1572">
        <v>1731.2821420436101</v>
      </c>
      <c r="M1572">
        <v>33.126066070580698</v>
      </c>
      <c r="N1572">
        <v>52.421511608131802</v>
      </c>
      <c r="O1572">
        <v>52.074078402010599</v>
      </c>
      <c r="P1572">
        <v>-0.15147503868534601</v>
      </c>
      <c r="Q1572">
        <v>4.7530920993968002E-2</v>
      </c>
      <c r="R1572">
        <v>0.95253430900506197</v>
      </c>
      <c r="S1572" t="s">
        <v>8024</v>
      </c>
      <c r="T1572" t="s">
        <v>12902</v>
      </c>
      <c r="U1572" t="s">
        <v>12902</v>
      </c>
      <c r="V1572" t="s">
        <v>12902</v>
      </c>
      <c r="W1572" t="s">
        <v>14444</v>
      </c>
      <c r="X1572">
        <v>31</v>
      </c>
      <c r="Y1572" t="s">
        <v>20825</v>
      </c>
      <c r="Z1572" t="s">
        <v>27147</v>
      </c>
      <c r="AA1572">
        <v>0.4419005637201755</v>
      </c>
      <c r="AB1572" t="str">
        <f>HYPERLINK("Melting_Curves/meltCurve_O75083_WDR1.pdf", "Melting_Curves/meltCurve_O75083_WDR1.pdf")</f>
        <v>Melting_Curves/meltCurve_O75083_WDR1.pdf</v>
      </c>
    </row>
    <row r="1573" spans="1:28" x14ac:dyDescent="0.25">
      <c r="A1573" t="s">
        <v>1577</v>
      </c>
      <c r="B1573">
        <v>0.99673306730245903</v>
      </c>
      <c r="C1573">
        <v>0.91466251352364403</v>
      </c>
      <c r="D1573">
        <v>0.82727649675340198</v>
      </c>
      <c r="E1573">
        <v>0.76820945908996496</v>
      </c>
      <c r="F1573">
        <v>0.50499105435949898</v>
      </c>
      <c r="G1573">
        <v>0.381958207113197</v>
      </c>
      <c r="H1573">
        <v>0.31441804162944098</v>
      </c>
      <c r="I1573">
        <v>0.38611436418588801</v>
      </c>
      <c r="J1573">
        <v>0.479786143450744</v>
      </c>
      <c r="K1573">
        <v>0.38960291886415099</v>
      </c>
      <c r="L1573">
        <v>884.95466699470296</v>
      </c>
      <c r="M1573">
        <v>17.823804202135602</v>
      </c>
      <c r="N1573">
        <v>53.8101362256171</v>
      </c>
      <c r="O1573">
        <v>49.037828862898998</v>
      </c>
      <c r="P1573">
        <v>-5.6890647099823201E-2</v>
      </c>
      <c r="Q1573">
        <v>0.37394950617440798</v>
      </c>
      <c r="R1573">
        <v>0.94641570219483795</v>
      </c>
      <c r="S1573" t="s">
        <v>8025</v>
      </c>
      <c r="T1573" t="s">
        <v>12902</v>
      </c>
      <c r="U1573" t="s">
        <v>12902</v>
      </c>
      <c r="V1573" t="s">
        <v>12902</v>
      </c>
      <c r="W1573" t="s">
        <v>14445</v>
      </c>
      <c r="X1573">
        <v>9</v>
      </c>
      <c r="Y1573" t="s">
        <v>20826</v>
      </c>
      <c r="Z1573" t="s">
        <v>27148</v>
      </c>
      <c r="AA1573">
        <v>0.58626579828110181</v>
      </c>
      <c r="AB1573" t="str">
        <f>HYPERLINK("Melting_Curves/meltCurve_O75095_MEGF6.pdf", "Melting_Curves/meltCurve_O75095_MEGF6.pdf")</f>
        <v>Melting_Curves/meltCurve_O75095_MEGF6.pdf</v>
      </c>
    </row>
    <row r="1574" spans="1:28" x14ac:dyDescent="0.25">
      <c r="A1574" t="s">
        <v>1578</v>
      </c>
      <c r="B1574">
        <v>0.99673306730245903</v>
      </c>
      <c r="C1574">
        <v>0.93816344573126398</v>
      </c>
      <c r="D1574">
        <v>0.92947330788710203</v>
      </c>
      <c r="E1574">
        <v>0.70222961402180595</v>
      </c>
      <c r="F1574">
        <v>0.615191381911392</v>
      </c>
      <c r="G1574">
        <v>0.286390568555495</v>
      </c>
      <c r="H1574">
        <v>0.15462565470192899</v>
      </c>
      <c r="I1574">
        <v>0.142544800302361</v>
      </c>
      <c r="J1574">
        <v>8.66025935477239E-2</v>
      </c>
      <c r="K1574">
        <v>4.8921375621505003E-2</v>
      </c>
      <c r="L1574">
        <v>726.71448324210098</v>
      </c>
      <c r="M1574">
        <v>13.543894213161501</v>
      </c>
      <c r="N1574">
        <v>53.780970982997303</v>
      </c>
      <c r="O1574">
        <v>52.527041611502902</v>
      </c>
      <c r="P1574">
        <v>-6.3474454538466105E-2</v>
      </c>
      <c r="Q1574">
        <v>1.54609174674421E-2</v>
      </c>
      <c r="R1574">
        <v>0.98941084073611296</v>
      </c>
      <c r="S1574" t="s">
        <v>8026</v>
      </c>
      <c r="T1574" t="s">
        <v>12902</v>
      </c>
      <c r="U1574" t="s">
        <v>12902</v>
      </c>
      <c r="V1574" t="s">
        <v>12902</v>
      </c>
      <c r="W1574" t="s">
        <v>14446</v>
      </c>
      <c r="X1574">
        <v>1</v>
      </c>
      <c r="Y1574" t="s">
        <v>20827</v>
      </c>
      <c r="Z1574" t="s">
        <v>27149</v>
      </c>
      <c r="AA1574">
        <v>0.48693405590305711</v>
      </c>
      <c r="AB1574" t="str">
        <f>HYPERLINK("Melting_Curves/meltCurve_O75096_LRP4.pdf", "Melting_Curves/meltCurve_O75096_LRP4.pdf")</f>
        <v>Melting_Curves/meltCurve_O75096_LRP4.pdf</v>
      </c>
    </row>
    <row r="1575" spans="1:28" x14ac:dyDescent="0.25">
      <c r="A1575" t="s">
        <v>1579</v>
      </c>
      <c r="B1575">
        <v>0.99673306730245903</v>
      </c>
      <c r="C1575">
        <v>1.0938178338494899</v>
      </c>
      <c r="D1575">
        <v>1.0451793458104599</v>
      </c>
      <c r="E1575">
        <v>0.813909453936001</v>
      </c>
      <c r="F1575">
        <v>0.61992519734478302</v>
      </c>
      <c r="G1575">
        <v>0.42556432226973301</v>
      </c>
      <c r="H1575">
        <v>0.299856885291577</v>
      </c>
      <c r="I1575">
        <v>0.31222690313592399</v>
      </c>
      <c r="J1575">
        <v>0.15715407459549099</v>
      </c>
      <c r="K1575">
        <v>5.1537299787190301E-2</v>
      </c>
      <c r="L1575">
        <v>782.76057310551903</v>
      </c>
      <c r="M1575">
        <v>14.2319716033651</v>
      </c>
      <c r="N1575">
        <v>55.8418452207111</v>
      </c>
      <c r="O1575">
        <v>53.948425126141302</v>
      </c>
      <c r="P1575">
        <v>-5.95925477616642E-2</v>
      </c>
      <c r="Q1575">
        <v>9.6533922331803496E-2</v>
      </c>
      <c r="R1575">
        <v>0.96756132763223202</v>
      </c>
      <c r="S1575" t="s">
        <v>8027</v>
      </c>
      <c r="T1575" t="s">
        <v>12902</v>
      </c>
      <c r="U1575" t="s">
        <v>12902</v>
      </c>
      <c r="V1575" t="s">
        <v>12902</v>
      </c>
      <c r="W1575" t="s">
        <v>14447</v>
      </c>
      <c r="X1575">
        <v>3</v>
      </c>
      <c r="Y1575" t="s">
        <v>20828</v>
      </c>
      <c r="Z1575" t="s">
        <v>27150</v>
      </c>
      <c r="AA1575">
        <v>0.56665152221415849</v>
      </c>
      <c r="AB1575" t="str">
        <f>HYPERLINK("Melting_Curves/meltCurve_O75110_ATP9A.pdf", "Melting_Curves/meltCurve_O75110_ATP9A.pdf")</f>
        <v>Melting_Curves/meltCurve_O75110_ATP9A.pdf</v>
      </c>
    </row>
    <row r="1576" spans="1:28" x14ac:dyDescent="0.25">
      <c r="A1576" t="s">
        <v>1580</v>
      </c>
      <c r="B1576">
        <v>0.99673306730245903</v>
      </c>
      <c r="C1576">
        <v>0.98049617496762798</v>
      </c>
      <c r="D1576">
        <v>0.80950363588971697</v>
      </c>
      <c r="E1576">
        <v>0.36318177325961598</v>
      </c>
      <c r="F1576">
        <v>0.19574677279958599</v>
      </c>
      <c r="G1576">
        <v>0.12928970691930999</v>
      </c>
      <c r="H1576">
        <v>9.4971877735582202E-2</v>
      </c>
      <c r="I1576">
        <v>0.102500815754551</v>
      </c>
      <c r="J1576">
        <v>0.12067399382485799</v>
      </c>
      <c r="K1576">
        <v>0.110364282884006</v>
      </c>
      <c r="L1576">
        <v>1348.0230989187701</v>
      </c>
      <c r="M1576">
        <v>28.037090656154401</v>
      </c>
      <c r="N1576">
        <v>48.519092916252099</v>
      </c>
      <c r="O1576">
        <v>47.837396767793898</v>
      </c>
      <c r="P1576">
        <v>-0.13010593330136799</v>
      </c>
      <c r="Q1576">
        <v>0.112051215428984</v>
      </c>
      <c r="R1576">
        <v>0.99875557406837701</v>
      </c>
      <c r="S1576" t="s">
        <v>8028</v>
      </c>
      <c r="T1576" t="s">
        <v>12902</v>
      </c>
      <c r="U1576" t="s">
        <v>12902</v>
      </c>
      <c r="V1576" t="s">
        <v>12902</v>
      </c>
      <c r="W1576" t="s">
        <v>14448</v>
      </c>
      <c r="X1576">
        <v>8</v>
      </c>
      <c r="Y1576" t="s">
        <v>20829</v>
      </c>
      <c r="Z1576" t="s">
        <v>27151</v>
      </c>
      <c r="AA1576">
        <v>0.35736666850359761</v>
      </c>
      <c r="AB1576" t="str">
        <f>HYPERLINK("Melting_Curves/meltCurve_O75113_N4BP1.pdf", "Melting_Curves/meltCurve_O75113_N4BP1.pdf")</f>
        <v>Melting_Curves/meltCurve_O75113_N4BP1.pdf</v>
      </c>
    </row>
    <row r="1577" spans="1:28" x14ac:dyDescent="0.25">
      <c r="A1577" t="s">
        <v>1581</v>
      </c>
      <c r="B1577">
        <v>0.99673306730245903</v>
      </c>
      <c r="C1577">
        <v>0.85821285740453401</v>
      </c>
      <c r="D1577">
        <v>0.89740732306807403</v>
      </c>
      <c r="E1577">
        <v>0.45807548484383998</v>
      </c>
      <c r="F1577">
        <v>0.17666897040367599</v>
      </c>
      <c r="G1577">
        <v>0.115802889410098</v>
      </c>
      <c r="H1577">
        <v>7.8499035127798503E-2</v>
      </c>
      <c r="I1577">
        <v>7.3810399939978899E-2</v>
      </c>
      <c r="J1577">
        <v>8.4939360313874501E-2</v>
      </c>
      <c r="K1577">
        <v>7.5444071530434406E-2</v>
      </c>
      <c r="L1577">
        <v>1260.8024815656199</v>
      </c>
      <c r="M1577">
        <v>25.729213597973501</v>
      </c>
      <c r="N1577">
        <v>49.322453623778799</v>
      </c>
      <c r="O1577">
        <v>48.709598069876698</v>
      </c>
      <c r="P1577">
        <v>-0.121913525007909</v>
      </c>
      <c r="Q1577">
        <v>7.6801996714370102E-2</v>
      </c>
      <c r="R1577">
        <v>0.988010644784866</v>
      </c>
      <c r="S1577" t="s">
        <v>8029</v>
      </c>
      <c r="T1577" t="s">
        <v>12902</v>
      </c>
      <c r="U1577" t="s">
        <v>12902</v>
      </c>
      <c r="V1577" t="s">
        <v>12902</v>
      </c>
      <c r="W1577" t="s">
        <v>14449</v>
      </c>
      <c r="X1577">
        <v>32</v>
      </c>
      <c r="Y1577" t="s">
        <v>20830</v>
      </c>
      <c r="Z1577" t="s">
        <v>27152</v>
      </c>
      <c r="AA1577">
        <v>0.36155679206287961</v>
      </c>
      <c r="AB1577" t="str">
        <f>HYPERLINK("Melting_Curves/meltCurve_O75116_ROCK2.pdf", "Melting_Curves/meltCurve_O75116_ROCK2.pdf")</f>
        <v>Melting_Curves/meltCurve_O75116_ROCK2.pdf</v>
      </c>
    </row>
    <row r="1578" spans="1:28" x14ac:dyDescent="0.25">
      <c r="A1578" t="s">
        <v>1582</v>
      </c>
      <c r="B1578">
        <v>0.99673306730245903</v>
      </c>
      <c r="C1578">
        <v>0.87640856189828498</v>
      </c>
      <c r="D1578">
        <v>0.75253647546968405</v>
      </c>
      <c r="E1578">
        <v>0.45651423179856998</v>
      </c>
      <c r="F1578">
        <v>0.38992207774614301</v>
      </c>
      <c r="G1578">
        <v>0.313444806214631</v>
      </c>
      <c r="H1578">
        <v>0.298988223257937</v>
      </c>
      <c r="I1578">
        <v>0.351008453304826</v>
      </c>
      <c r="J1578">
        <v>0.51719827948817398</v>
      </c>
      <c r="K1578">
        <v>0.50535759871006303</v>
      </c>
      <c r="L1578">
        <v>1235.3468503772899</v>
      </c>
      <c r="M1578">
        <v>26.7206570631575</v>
      </c>
      <c r="N1578">
        <v>49.030485345046699</v>
      </c>
      <c r="O1578">
        <v>45.9752921714121</v>
      </c>
      <c r="P1578">
        <v>-8.8457763103229295E-2</v>
      </c>
      <c r="Q1578">
        <v>0.39120815870909098</v>
      </c>
      <c r="R1578">
        <v>0.90581661142856396</v>
      </c>
      <c r="S1578" t="s">
        <v>8030</v>
      </c>
      <c r="T1578" t="s">
        <v>12902</v>
      </c>
      <c r="U1578" t="s">
        <v>12902</v>
      </c>
      <c r="V1578" t="s">
        <v>12902</v>
      </c>
      <c r="W1578" t="s">
        <v>14450</v>
      </c>
      <c r="X1578">
        <v>9</v>
      </c>
      <c r="Y1578" t="s">
        <v>20831</v>
      </c>
      <c r="Z1578" t="s">
        <v>27153</v>
      </c>
      <c r="AA1578">
        <v>0.52245431552090094</v>
      </c>
      <c r="AB1578" t="str">
        <f>HYPERLINK("Melting_Curves/meltCurve_O75128_3_COBL.pdf", "Melting_Curves/meltCurve_O75128_3_COBL.pdf")</f>
        <v>Melting_Curves/meltCurve_O75128_3_COBL.pdf</v>
      </c>
    </row>
    <row r="1579" spans="1:28" x14ac:dyDescent="0.25">
      <c r="A1579" t="s">
        <v>1583</v>
      </c>
      <c r="B1579">
        <v>0.99673306730245903</v>
      </c>
      <c r="C1579">
        <v>0.94759146957640705</v>
      </c>
      <c r="D1579">
        <v>0.73455704627889995</v>
      </c>
      <c r="E1579">
        <v>0.86310287200504099</v>
      </c>
      <c r="F1579">
        <v>0.20356132096554799</v>
      </c>
      <c r="G1579">
        <v>0.127120179834423</v>
      </c>
      <c r="H1579">
        <v>7.6267268063856197E-2</v>
      </c>
      <c r="I1579">
        <v>7.0820215364294295E-2</v>
      </c>
      <c r="J1579">
        <v>7.0542191958567299E-2</v>
      </c>
      <c r="K1579">
        <v>5.9541746205185903E-2</v>
      </c>
      <c r="L1579">
        <v>2391.5652962107501</v>
      </c>
      <c r="M1579">
        <v>46.641286098970397</v>
      </c>
      <c r="N1579">
        <v>51.458378672118002</v>
      </c>
      <c r="O1579">
        <v>51.181737720148398</v>
      </c>
      <c r="P1579">
        <v>-0.21044187345676199</v>
      </c>
      <c r="Q1579">
        <v>7.6289186698342504E-2</v>
      </c>
      <c r="R1579">
        <v>0.95186507991570402</v>
      </c>
      <c r="S1579" t="s">
        <v>8031</v>
      </c>
      <c r="T1579" t="s">
        <v>12902</v>
      </c>
      <c r="U1579" t="s">
        <v>12902</v>
      </c>
      <c r="V1579" t="s">
        <v>12902</v>
      </c>
      <c r="W1579" t="s">
        <v>14451</v>
      </c>
      <c r="X1579">
        <v>32</v>
      </c>
      <c r="Y1579" t="s">
        <v>20832</v>
      </c>
      <c r="Z1579" t="s">
        <v>27154</v>
      </c>
      <c r="AA1579">
        <v>0.42587530230495552</v>
      </c>
      <c r="AB1579" t="str">
        <f>HYPERLINK("Melting_Curves/meltCurve_O75131_CPNE3.pdf", "Melting_Curves/meltCurve_O75131_CPNE3.pdf")</f>
        <v>Melting_Curves/meltCurve_O75131_CPNE3.pdf</v>
      </c>
    </row>
    <row r="1580" spans="1:28" x14ac:dyDescent="0.25">
      <c r="A1580" t="s">
        <v>1584</v>
      </c>
      <c r="B1580">
        <v>0.99673306730245903</v>
      </c>
      <c r="C1580">
        <v>0.98356930883086102</v>
      </c>
      <c r="D1580">
        <v>0.77838773915049697</v>
      </c>
      <c r="E1580">
        <v>0.58200067636491604</v>
      </c>
      <c r="F1580">
        <v>0.19547438880565601</v>
      </c>
      <c r="G1580">
        <v>0.13177652866938899</v>
      </c>
      <c r="H1580">
        <v>8.8338657918520802E-2</v>
      </c>
      <c r="I1580">
        <v>7.0436521526533194E-2</v>
      </c>
      <c r="J1580">
        <v>5.74351675432338E-2</v>
      </c>
      <c r="K1580">
        <v>5.9512306023039897E-2</v>
      </c>
      <c r="L1580">
        <v>986.62558253286602</v>
      </c>
      <c r="M1580">
        <v>19.907808523178101</v>
      </c>
      <c r="N1580">
        <v>49.851554647359002</v>
      </c>
      <c r="O1580">
        <v>49.067776602473501</v>
      </c>
      <c r="P1580">
        <v>-9.5854454785295806E-2</v>
      </c>
      <c r="Q1580">
        <v>5.5001997379992999E-2</v>
      </c>
      <c r="R1580">
        <v>0.99301177951757502</v>
      </c>
      <c r="S1580" t="s">
        <v>8032</v>
      </c>
      <c r="T1580" t="s">
        <v>12902</v>
      </c>
      <c r="U1580" t="s">
        <v>12902</v>
      </c>
      <c r="V1580" t="s">
        <v>12902</v>
      </c>
      <c r="W1580" t="s">
        <v>14452</v>
      </c>
      <c r="X1580">
        <v>36</v>
      </c>
      <c r="Y1580" t="s">
        <v>20833</v>
      </c>
      <c r="Z1580" t="s">
        <v>27155</v>
      </c>
      <c r="AA1580">
        <v>0.36943706847490521</v>
      </c>
      <c r="AB1580" t="str">
        <f>HYPERLINK("Melting_Curves/meltCurve_O75146_HIP1R.pdf", "Melting_Curves/meltCurve_O75146_HIP1R.pdf")</f>
        <v>Melting_Curves/meltCurve_O75146_HIP1R.pdf</v>
      </c>
    </row>
    <row r="1581" spans="1:28" x14ac:dyDescent="0.25">
      <c r="A1581" t="s">
        <v>1585</v>
      </c>
      <c r="B1581">
        <v>0.99673306730245903</v>
      </c>
      <c r="C1581">
        <v>0.81626537592526605</v>
      </c>
      <c r="D1581">
        <v>0.41455689320984102</v>
      </c>
      <c r="E1581">
        <v>0.224774038795506</v>
      </c>
      <c r="F1581">
        <v>0.17017157299906799</v>
      </c>
      <c r="G1581">
        <v>0.11932521130393101</v>
      </c>
      <c r="H1581">
        <v>8.8460516537397199E-2</v>
      </c>
      <c r="I1581">
        <v>6.8966665449922401E-2</v>
      </c>
      <c r="J1581">
        <v>6.3622026985354199E-2</v>
      </c>
      <c r="K1581">
        <v>5.0112944189257498E-2</v>
      </c>
      <c r="L1581">
        <v>1052.7297381010001</v>
      </c>
      <c r="M1581">
        <v>23.280720586992899</v>
      </c>
      <c r="N1581">
        <v>45.600287929152401</v>
      </c>
      <c r="O1581">
        <v>44.889296526676802</v>
      </c>
      <c r="P1581">
        <v>-0.118190165967951</v>
      </c>
      <c r="Q1581">
        <v>8.8451578421439095E-2</v>
      </c>
      <c r="R1581">
        <v>0.98974497864030797</v>
      </c>
      <c r="S1581" t="s">
        <v>8033</v>
      </c>
      <c r="T1581" t="s">
        <v>12902</v>
      </c>
      <c r="U1581" t="s">
        <v>12902</v>
      </c>
      <c r="V1581" t="s">
        <v>12902</v>
      </c>
      <c r="W1581" t="s">
        <v>14453</v>
      </c>
      <c r="X1581">
        <v>22</v>
      </c>
      <c r="Y1581" t="s">
        <v>20834</v>
      </c>
      <c r="Z1581" t="s">
        <v>27156</v>
      </c>
      <c r="AA1581">
        <v>0.25756526950086528</v>
      </c>
      <c r="AB1581" t="str">
        <f>HYPERLINK("Melting_Curves/meltCurve_O75150_RNF40.pdf", "Melting_Curves/meltCurve_O75150_RNF40.pdf")</f>
        <v>Melting_Curves/meltCurve_O75150_RNF40.pdf</v>
      </c>
    </row>
    <row r="1582" spans="1:28" x14ac:dyDescent="0.25">
      <c r="A1582" t="s">
        <v>1586</v>
      </c>
      <c r="B1582">
        <v>0.99673306730245903</v>
      </c>
      <c r="C1582">
        <v>0.85932091024236501</v>
      </c>
      <c r="D1582">
        <v>0.63638497022318896</v>
      </c>
      <c r="E1582">
        <v>0.35570910206657702</v>
      </c>
      <c r="F1582">
        <v>0.22625828475888199</v>
      </c>
      <c r="G1582">
        <v>0.16692327817188499</v>
      </c>
      <c r="H1582">
        <v>0.136116519334577</v>
      </c>
      <c r="I1582">
        <v>0.13333070929617599</v>
      </c>
      <c r="J1582">
        <v>0.18401231181957101</v>
      </c>
      <c r="K1582">
        <v>0.167506362924285</v>
      </c>
      <c r="L1582">
        <v>923.90211563013997</v>
      </c>
      <c r="M1582">
        <v>19.799291048989001</v>
      </c>
      <c r="N1582">
        <v>47.5287245059233</v>
      </c>
      <c r="O1582">
        <v>46.195193221976801</v>
      </c>
      <c r="P1582">
        <v>-9.09385787444877E-2</v>
      </c>
      <c r="Q1582">
        <v>0.15132659886726799</v>
      </c>
      <c r="R1582">
        <v>0.99657943209351996</v>
      </c>
      <c r="S1582" t="s">
        <v>8034</v>
      </c>
      <c r="T1582" t="s">
        <v>12902</v>
      </c>
      <c r="U1582" t="s">
        <v>12902</v>
      </c>
      <c r="V1582" t="s">
        <v>12902</v>
      </c>
      <c r="W1582" t="s">
        <v>14454</v>
      </c>
      <c r="X1582">
        <v>7</v>
      </c>
      <c r="Y1582" t="s">
        <v>20835</v>
      </c>
      <c r="Z1582" t="s">
        <v>27157</v>
      </c>
      <c r="AA1582">
        <v>0.35272813552298238</v>
      </c>
      <c r="AB1582" t="str">
        <f>HYPERLINK("Melting_Curves/meltCurve_O75152_ZC3H11A.pdf", "Melting_Curves/meltCurve_O75152_ZC3H11A.pdf")</f>
        <v>Melting_Curves/meltCurve_O75152_ZC3H11A.pdf</v>
      </c>
    </row>
    <row r="1583" spans="1:28" x14ac:dyDescent="0.25">
      <c r="A1583" t="s">
        <v>1587</v>
      </c>
      <c r="B1583">
        <v>0.99673306730245903</v>
      </c>
      <c r="C1583">
        <v>0.93239174140647496</v>
      </c>
      <c r="D1583">
        <v>0.91324023021758205</v>
      </c>
      <c r="E1583">
        <v>0.55825231257890995</v>
      </c>
      <c r="F1583">
        <v>0.22596907850453399</v>
      </c>
      <c r="G1583">
        <v>0.141758563517176</v>
      </c>
      <c r="H1583">
        <v>8.8054960594319706E-2</v>
      </c>
      <c r="I1583">
        <v>8.50981296692538E-2</v>
      </c>
      <c r="J1583">
        <v>8.9720464791037194E-2</v>
      </c>
      <c r="K1583">
        <v>8.4616658337253403E-2</v>
      </c>
      <c r="L1583">
        <v>1255.0190292157899</v>
      </c>
      <c r="M1583">
        <v>25.230142172855299</v>
      </c>
      <c r="N1583">
        <v>50.117152664026499</v>
      </c>
      <c r="O1583">
        <v>49.433508232089302</v>
      </c>
      <c r="P1583">
        <v>-0.116640938065266</v>
      </c>
      <c r="Q1583">
        <v>8.5871859908403597E-2</v>
      </c>
      <c r="R1583">
        <v>0.997583371722366</v>
      </c>
      <c r="S1583" t="s">
        <v>8035</v>
      </c>
      <c r="T1583" t="s">
        <v>12902</v>
      </c>
      <c r="U1583" t="s">
        <v>12902</v>
      </c>
      <c r="V1583" t="s">
        <v>12902</v>
      </c>
      <c r="W1583" t="s">
        <v>13895</v>
      </c>
      <c r="X1583">
        <v>34</v>
      </c>
      <c r="Y1583" t="s">
        <v>20284</v>
      </c>
      <c r="Z1583" t="s">
        <v>27158</v>
      </c>
      <c r="AA1583">
        <v>0.39074536370824647</v>
      </c>
      <c r="AB1583" t="str">
        <f>HYPERLINK("Melting_Curves/meltCurve_O75153_CLUH.pdf", "Melting_Curves/meltCurve_O75153_CLUH.pdf")</f>
        <v>Melting_Curves/meltCurve_O75153_CLUH.pdf</v>
      </c>
    </row>
    <row r="1584" spans="1:28" x14ac:dyDescent="0.25">
      <c r="A1584" t="s">
        <v>1588</v>
      </c>
      <c r="B1584">
        <v>0.99673306730245903</v>
      </c>
      <c r="C1584">
        <v>1.05722309409952</v>
      </c>
      <c r="D1584">
        <v>0.95057785699076203</v>
      </c>
      <c r="E1584">
        <v>0.70895434998509399</v>
      </c>
      <c r="F1584">
        <v>0.33402879507616601</v>
      </c>
      <c r="G1584">
        <v>0.21148479462268899</v>
      </c>
      <c r="H1584">
        <v>0.14648145119088801</v>
      </c>
      <c r="I1584">
        <v>0.194529579420717</v>
      </c>
      <c r="J1584">
        <v>0.42404803114960399</v>
      </c>
      <c r="K1584">
        <v>0.43889966487809001</v>
      </c>
      <c r="L1584">
        <v>2189.6718939122002</v>
      </c>
      <c r="M1584">
        <v>43.788780504288802</v>
      </c>
      <c r="N1584">
        <v>50.977339501138303</v>
      </c>
      <c r="O1584">
        <v>49.901368186014601</v>
      </c>
      <c r="P1584">
        <v>-0.15728186939267799</v>
      </c>
      <c r="Q1584">
        <v>0.28305211574923</v>
      </c>
      <c r="R1584">
        <v>0.92780119057597799</v>
      </c>
      <c r="S1584" t="s">
        <v>8036</v>
      </c>
      <c r="T1584" t="s">
        <v>12902</v>
      </c>
      <c r="U1584" t="s">
        <v>12902</v>
      </c>
      <c r="V1584" t="s">
        <v>12902</v>
      </c>
      <c r="W1584" t="s">
        <v>14455</v>
      </c>
      <c r="X1584">
        <v>7</v>
      </c>
      <c r="Y1584" t="s">
        <v>20836</v>
      </c>
      <c r="Z1584" t="s">
        <v>27159</v>
      </c>
      <c r="AA1584">
        <v>0.52422732595696175</v>
      </c>
      <c r="AB1584" t="str">
        <f>HYPERLINK("Melting_Curves/meltCurve_O75157_2_TSC22D2.pdf", "Melting_Curves/meltCurve_O75157_2_TSC22D2.pdf")</f>
        <v>Melting_Curves/meltCurve_O75157_2_TSC22D2.pdf</v>
      </c>
    </row>
    <row r="1585" spans="1:28" x14ac:dyDescent="0.25">
      <c r="A1585" t="s">
        <v>1589</v>
      </c>
      <c r="B1585">
        <v>0.99673306730245903</v>
      </c>
      <c r="C1585">
        <v>0.99838051116303805</v>
      </c>
      <c r="D1585">
        <v>1.0031118893494599</v>
      </c>
      <c r="E1585">
        <v>0.94856570355926395</v>
      </c>
      <c r="F1585">
        <v>0.956857314055227</v>
      </c>
      <c r="G1585">
        <v>0.71298224925555898</v>
      </c>
      <c r="H1585">
        <v>0.40053426740891601</v>
      </c>
      <c r="I1585">
        <v>0.18204171050457801</v>
      </c>
      <c r="J1585">
        <v>0.156002699048295</v>
      </c>
      <c r="K1585">
        <v>6.8203557311335705E-2</v>
      </c>
      <c r="L1585">
        <v>1312.7520880884699</v>
      </c>
      <c r="M1585">
        <v>22.210856277639</v>
      </c>
      <c r="N1585">
        <v>59.440045835852303</v>
      </c>
      <c r="O1585">
        <v>58.631215293863299</v>
      </c>
      <c r="P1585">
        <v>-8.9120580354791007E-2</v>
      </c>
      <c r="Q1585">
        <v>5.8994255721515197E-2</v>
      </c>
      <c r="R1585">
        <v>0.99653511633491398</v>
      </c>
      <c r="S1585" t="s">
        <v>8037</v>
      </c>
      <c r="T1585" t="s">
        <v>12902</v>
      </c>
      <c r="U1585" t="s">
        <v>12902</v>
      </c>
      <c r="V1585" t="s">
        <v>12902</v>
      </c>
      <c r="W1585" t="s">
        <v>14456</v>
      </c>
      <c r="X1585">
        <v>1</v>
      </c>
      <c r="Y1585" t="s">
        <v>20837</v>
      </c>
      <c r="Z1585" t="s">
        <v>27160</v>
      </c>
      <c r="AA1585">
        <v>0.66685957637466731</v>
      </c>
      <c r="AB1585" t="str">
        <f>HYPERLINK("Melting_Curves/meltCurve_O75161_NPHP4.pdf", "Melting_Curves/meltCurve_O75161_NPHP4.pdf")</f>
        <v>Melting_Curves/meltCurve_O75161_NPHP4.pdf</v>
      </c>
    </row>
    <row r="1586" spans="1:28" x14ac:dyDescent="0.25">
      <c r="A1586" t="s">
        <v>1590</v>
      </c>
      <c r="B1586">
        <v>0.99673306730245903</v>
      </c>
      <c r="C1586">
        <v>0.80495766859861195</v>
      </c>
      <c r="D1586">
        <v>0.44751593102640402</v>
      </c>
      <c r="E1586">
        <v>0.24841502552688799</v>
      </c>
      <c r="F1586">
        <v>0.17810640317906201</v>
      </c>
      <c r="G1586">
        <v>0.12533127105865999</v>
      </c>
      <c r="H1586">
        <v>8.5925863142108497E-2</v>
      </c>
      <c r="I1586">
        <v>9.0214055368920507E-2</v>
      </c>
      <c r="J1586">
        <v>8.6772462776042406E-2</v>
      </c>
      <c r="K1586">
        <v>6.9382945515827105E-2</v>
      </c>
      <c r="L1586">
        <v>967.60112415610604</v>
      </c>
      <c r="M1586">
        <v>21.325210970609898</v>
      </c>
      <c r="N1586">
        <v>45.8375323238972</v>
      </c>
      <c r="O1586">
        <v>44.980259573226</v>
      </c>
      <c r="P1586">
        <v>-0.10702277444232799</v>
      </c>
      <c r="Q1586">
        <v>9.7070947289746398E-2</v>
      </c>
      <c r="R1586">
        <v>0.99253352496838398</v>
      </c>
      <c r="S1586" t="s">
        <v>8038</v>
      </c>
      <c r="T1586" t="s">
        <v>12902</v>
      </c>
      <c r="U1586" t="s">
        <v>12902</v>
      </c>
      <c r="V1586" t="s">
        <v>12902</v>
      </c>
      <c r="W1586" t="s">
        <v>14457</v>
      </c>
      <c r="X1586">
        <v>5</v>
      </c>
      <c r="Y1586" t="s">
        <v>20838</v>
      </c>
      <c r="Z1586" t="s">
        <v>27161</v>
      </c>
      <c r="AA1586">
        <v>0.27145841155613648</v>
      </c>
      <c r="AB1586" t="str">
        <f>HYPERLINK("Melting_Curves/meltCurve_O75164_KDM4A.pdf", "Melting_Curves/meltCurve_O75164_KDM4A.pdf")</f>
        <v>Melting_Curves/meltCurve_O75164_KDM4A.pdf</v>
      </c>
    </row>
    <row r="1587" spans="1:28" x14ac:dyDescent="0.25">
      <c r="A1587" t="s">
        <v>1591</v>
      </c>
      <c r="B1587">
        <v>0.99673306730245903</v>
      </c>
      <c r="C1587">
        <v>0.90816229931013404</v>
      </c>
      <c r="D1587">
        <v>0.98218270130484397</v>
      </c>
      <c r="E1587">
        <v>0.77479358539316701</v>
      </c>
      <c r="F1587">
        <v>0.544514999978291</v>
      </c>
      <c r="G1587">
        <v>0.29012607319179001</v>
      </c>
      <c r="H1587">
        <v>0.236358273389221</v>
      </c>
      <c r="I1587">
        <v>0.22413819161372101</v>
      </c>
      <c r="J1587">
        <v>0.18591837213443399</v>
      </c>
      <c r="K1587">
        <v>0.17174155160826701</v>
      </c>
      <c r="L1587">
        <v>1027.8939305976201</v>
      </c>
      <c r="M1587">
        <v>19.6526851759611</v>
      </c>
      <c r="N1587">
        <v>53.504610447672903</v>
      </c>
      <c r="O1587">
        <v>51.770484340557502</v>
      </c>
      <c r="P1587">
        <v>-7.7972854764087399E-2</v>
      </c>
      <c r="Q1587">
        <v>0.17842268019937099</v>
      </c>
      <c r="R1587">
        <v>0.99074740642552095</v>
      </c>
      <c r="S1587" t="s">
        <v>8039</v>
      </c>
      <c r="T1587" t="s">
        <v>12902</v>
      </c>
      <c r="U1587" t="s">
        <v>12902</v>
      </c>
      <c r="V1587" t="s">
        <v>12902</v>
      </c>
      <c r="W1587" t="s">
        <v>14458</v>
      </c>
      <c r="X1587">
        <v>4</v>
      </c>
      <c r="Y1587" t="s">
        <v>20839</v>
      </c>
      <c r="Z1587" t="s">
        <v>27162</v>
      </c>
      <c r="AA1587">
        <v>0.52705985170627168</v>
      </c>
      <c r="AB1587" t="str">
        <f>HYPERLINK("Melting_Curves/meltCurve_O75165_DNAJC13.pdf", "Melting_Curves/meltCurve_O75165_DNAJC13.pdf")</f>
        <v>Melting_Curves/meltCurve_O75165_DNAJC13.pdf</v>
      </c>
    </row>
    <row r="1588" spans="1:28" x14ac:dyDescent="0.25">
      <c r="A1588" t="s">
        <v>1592</v>
      </c>
      <c r="B1588">
        <v>0.99673306730245903</v>
      </c>
      <c r="C1588">
        <v>0.96751161333456703</v>
      </c>
      <c r="D1588">
        <v>0.95301074903177396</v>
      </c>
      <c r="E1588">
        <v>0.99437435370149196</v>
      </c>
      <c r="F1588">
        <v>0.74815163243414295</v>
      </c>
      <c r="G1588">
        <v>0.40766713248804698</v>
      </c>
      <c r="H1588">
        <v>0.249084242848684</v>
      </c>
      <c r="I1588">
        <v>0.204228822980072</v>
      </c>
      <c r="J1588">
        <v>0.118743367740317</v>
      </c>
      <c r="K1588">
        <v>0.104637581491446</v>
      </c>
      <c r="L1588">
        <v>1307.83996070746</v>
      </c>
      <c r="M1588">
        <v>23.657817404145099</v>
      </c>
      <c r="N1588">
        <v>55.985999618337601</v>
      </c>
      <c r="O1588">
        <v>54.891088122034603</v>
      </c>
      <c r="P1588">
        <v>-9.3879839558982506E-2</v>
      </c>
      <c r="Q1588">
        <v>0.12873134253403501</v>
      </c>
      <c r="R1588">
        <v>0.99305508291998301</v>
      </c>
      <c r="S1588" t="s">
        <v>8040</v>
      </c>
      <c r="T1588" t="s">
        <v>12902</v>
      </c>
      <c r="U1588" t="s">
        <v>12902</v>
      </c>
      <c r="V1588" t="s">
        <v>12902</v>
      </c>
      <c r="W1588" t="s">
        <v>14459</v>
      </c>
      <c r="X1588">
        <v>8</v>
      </c>
      <c r="Y1588" t="s">
        <v>20840</v>
      </c>
      <c r="Z1588" t="s">
        <v>27163</v>
      </c>
      <c r="AA1588">
        <v>0.58138336405937696</v>
      </c>
      <c r="AB1588" t="str">
        <f>HYPERLINK("Melting_Curves/meltCurve_O75170_4_PPP6R2.pdf", "Melting_Curves/meltCurve_O75170_4_PPP6R2.pdf")</f>
        <v>Melting_Curves/meltCurve_O75170_4_PPP6R2.pdf</v>
      </c>
    </row>
    <row r="1589" spans="1:28" x14ac:dyDescent="0.25">
      <c r="A1589" t="s">
        <v>1593</v>
      </c>
      <c r="B1589">
        <v>0.99673306730245903</v>
      </c>
      <c r="C1589">
        <v>0.90556427810509399</v>
      </c>
      <c r="D1589">
        <v>0.91310938912474304</v>
      </c>
      <c r="E1589">
        <v>0.74974517324763901</v>
      </c>
      <c r="F1589">
        <v>0.41294535152620498</v>
      </c>
      <c r="G1589">
        <v>0.24015785753674701</v>
      </c>
      <c r="H1589">
        <v>0.150473355062198</v>
      </c>
      <c r="I1589">
        <v>0.17499765543672599</v>
      </c>
      <c r="J1589">
        <v>0.18747555133299201</v>
      </c>
      <c r="K1589">
        <v>0.178734956567904</v>
      </c>
      <c r="L1589">
        <v>1127.5593964069701</v>
      </c>
      <c r="M1589">
        <v>22.013466681682701</v>
      </c>
      <c r="N1589">
        <v>52.143482071884499</v>
      </c>
      <c r="O1589">
        <v>50.804268100415896</v>
      </c>
      <c r="P1589">
        <v>-9.08612192900244E-2</v>
      </c>
      <c r="Q1589">
        <v>0.161234266446908</v>
      </c>
      <c r="R1589">
        <v>0.99119064291394599</v>
      </c>
      <c r="S1589" t="s">
        <v>8041</v>
      </c>
      <c r="T1589" t="s">
        <v>12902</v>
      </c>
      <c r="U1589" t="s">
        <v>12902</v>
      </c>
      <c r="V1589" t="s">
        <v>12902</v>
      </c>
      <c r="W1589" t="s">
        <v>14460</v>
      </c>
      <c r="X1589">
        <v>11</v>
      </c>
      <c r="Y1589" t="s">
        <v>20841</v>
      </c>
      <c r="Z1589" t="s">
        <v>27164</v>
      </c>
      <c r="AA1589">
        <v>0.48468528490178409</v>
      </c>
      <c r="AB1589" t="str">
        <f>HYPERLINK("Melting_Curves/meltCurve_O75175_CNOT3.pdf", "Melting_Curves/meltCurve_O75175_CNOT3.pdf")</f>
        <v>Melting_Curves/meltCurve_O75175_CNOT3.pdf</v>
      </c>
    </row>
    <row r="1590" spans="1:28" x14ac:dyDescent="0.25">
      <c r="A1590" t="s">
        <v>1594</v>
      </c>
      <c r="B1590">
        <v>0.99673306730245903</v>
      </c>
      <c r="C1590">
        <v>0.85367097338658104</v>
      </c>
      <c r="D1590">
        <v>0.69782061337906898</v>
      </c>
      <c r="E1590">
        <v>0.50810660571031496</v>
      </c>
      <c r="F1590">
        <v>0.379993886970036</v>
      </c>
      <c r="G1590">
        <v>0.27189234663960798</v>
      </c>
      <c r="H1590">
        <v>0.180145783844605</v>
      </c>
      <c r="I1590">
        <v>0.18656730756375001</v>
      </c>
      <c r="J1590">
        <v>0.225236328119059</v>
      </c>
      <c r="K1590">
        <v>0.19278278290929901</v>
      </c>
      <c r="L1590">
        <v>653.96240345594094</v>
      </c>
      <c r="M1590">
        <v>13.583933626932399</v>
      </c>
      <c r="N1590">
        <v>49.729942745692803</v>
      </c>
      <c r="O1590">
        <v>47.1349407786415</v>
      </c>
      <c r="P1590">
        <v>-5.9381281056394203E-2</v>
      </c>
      <c r="Q1590">
        <v>0.175933382026321</v>
      </c>
      <c r="R1590">
        <v>0.99228346763776698</v>
      </c>
      <c r="S1590" t="s">
        <v>8042</v>
      </c>
      <c r="T1590" t="s">
        <v>12902</v>
      </c>
      <c r="U1590" t="s">
        <v>12902</v>
      </c>
      <c r="V1590" t="s">
        <v>12902</v>
      </c>
      <c r="W1590" t="s">
        <v>14461</v>
      </c>
      <c r="X1590">
        <v>2</v>
      </c>
      <c r="Y1590" t="s">
        <v>20842</v>
      </c>
      <c r="Z1590" t="s">
        <v>27165</v>
      </c>
      <c r="AA1590">
        <v>0.42509178135290743</v>
      </c>
      <c r="AB1590" t="str">
        <f>HYPERLINK("Melting_Curves/meltCurve_O75177_2_SS18L1.pdf", "Melting_Curves/meltCurve_O75177_2_SS18L1.pdf")</f>
        <v>Melting_Curves/meltCurve_O75177_2_SS18L1.pdf</v>
      </c>
    </row>
    <row r="1591" spans="1:28" x14ac:dyDescent="0.25">
      <c r="A1591" t="s">
        <v>1595</v>
      </c>
      <c r="B1591">
        <v>0.99673306730245903</v>
      </c>
      <c r="C1591">
        <v>0.80913288381247805</v>
      </c>
      <c r="D1591">
        <v>0.628283551434904</v>
      </c>
      <c r="E1591">
        <v>0.31614514507152403</v>
      </c>
      <c r="F1591">
        <v>0.216513045369322</v>
      </c>
      <c r="G1591">
        <v>0.15226081709231401</v>
      </c>
      <c r="H1591">
        <v>9.2650171415578395E-2</v>
      </c>
      <c r="I1591">
        <v>6.6458080742962597E-2</v>
      </c>
      <c r="J1591">
        <v>7.3131764294921103E-2</v>
      </c>
      <c r="K1591">
        <v>7.2732368931543001E-2</v>
      </c>
      <c r="L1591">
        <v>764.94493957671</v>
      </c>
      <c r="M1591">
        <v>16.294777011614201</v>
      </c>
      <c r="N1591">
        <v>47.401736428919499</v>
      </c>
      <c r="O1591">
        <v>46.254247292130501</v>
      </c>
      <c r="P1591">
        <v>-8.1668801609271605E-2</v>
      </c>
      <c r="Q1591">
        <v>7.2769864783972696E-2</v>
      </c>
      <c r="R1591">
        <v>0.99439910241127305</v>
      </c>
      <c r="S1591" t="s">
        <v>8043</v>
      </c>
      <c r="T1591" t="s">
        <v>12902</v>
      </c>
      <c r="U1591" t="s">
        <v>12902</v>
      </c>
      <c r="V1591" t="s">
        <v>12902</v>
      </c>
      <c r="W1591" t="s">
        <v>14462</v>
      </c>
      <c r="X1591">
        <v>23</v>
      </c>
      <c r="Y1591" t="s">
        <v>20843</v>
      </c>
      <c r="Z1591" t="s">
        <v>27166</v>
      </c>
      <c r="AA1591">
        <v>0.30865522243566068</v>
      </c>
      <c r="AB1591" t="str">
        <f>HYPERLINK("Melting_Curves/meltCurve_O75179_2_ANKRD17.pdf", "Melting_Curves/meltCurve_O75179_2_ANKRD17.pdf")</f>
        <v>Melting_Curves/meltCurve_O75179_2_ANKRD17.pdf</v>
      </c>
    </row>
    <row r="1592" spans="1:28" x14ac:dyDescent="0.25">
      <c r="A1592" t="s">
        <v>1596</v>
      </c>
      <c r="B1592">
        <v>0.99673306730245903</v>
      </c>
      <c r="C1592">
        <v>0.94562636825942403</v>
      </c>
      <c r="D1592">
        <v>0.82549821049148797</v>
      </c>
      <c r="E1592">
        <v>0.63775694753233503</v>
      </c>
      <c r="F1592">
        <v>0.41154103221875998</v>
      </c>
      <c r="G1592">
        <v>0.17986917129173399</v>
      </c>
      <c r="H1592">
        <v>0.11895875648427499</v>
      </c>
      <c r="I1592">
        <v>0.10214552852440401</v>
      </c>
      <c r="J1592">
        <v>0.11090479221547</v>
      </c>
      <c r="K1592">
        <v>7.8148670658790595E-2</v>
      </c>
      <c r="L1592">
        <v>790.45305909629406</v>
      </c>
      <c r="M1592">
        <v>15.5253864092806</v>
      </c>
      <c r="N1592">
        <v>51.365664632878101</v>
      </c>
      <c r="O1592">
        <v>50.091325311080404</v>
      </c>
      <c r="P1592">
        <v>-7.2543668487125706E-2</v>
      </c>
      <c r="Q1592">
        <v>6.3858982669133701E-2</v>
      </c>
      <c r="R1592">
        <v>0.99668543091255901</v>
      </c>
      <c r="S1592" t="s">
        <v>8044</v>
      </c>
      <c r="T1592" t="s">
        <v>12902</v>
      </c>
      <c r="U1592" t="s">
        <v>12902</v>
      </c>
      <c r="V1592" t="s">
        <v>12902</v>
      </c>
      <c r="W1592" t="s">
        <v>14463</v>
      </c>
      <c r="X1592">
        <v>3</v>
      </c>
      <c r="Y1592" t="s">
        <v>20844</v>
      </c>
      <c r="Z1592" t="s">
        <v>27167</v>
      </c>
      <c r="AA1592">
        <v>0.42488403036092998</v>
      </c>
      <c r="AB1592" t="str">
        <f>HYPERLINK("Melting_Curves/meltCurve_O75185_ATP2C2.pdf", "Melting_Curves/meltCurve_O75185_ATP2C2.pdf")</f>
        <v>Melting_Curves/meltCurve_O75185_ATP2C2.pdf</v>
      </c>
    </row>
    <row r="1593" spans="1:28" x14ac:dyDescent="0.25">
      <c r="A1593" t="s">
        <v>1597</v>
      </c>
      <c r="B1593">
        <v>0.99673306730245903</v>
      </c>
      <c r="C1593">
        <v>1.05675233853272</v>
      </c>
      <c r="D1593">
        <v>1.0954283043934401</v>
      </c>
      <c r="E1593">
        <v>0.41339002739978398</v>
      </c>
      <c r="F1593">
        <v>0.21671103707245001</v>
      </c>
      <c r="G1593">
        <v>0.11548413006517801</v>
      </c>
      <c r="H1593">
        <v>6.20995024421735E-2</v>
      </c>
      <c r="I1593">
        <v>6.2024885644861798E-2</v>
      </c>
      <c r="J1593">
        <v>6.3217498357105897E-2</v>
      </c>
      <c r="K1593">
        <v>6.2911412449041901E-2</v>
      </c>
      <c r="L1593">
        <v>5412.3589016579599</v>
      </c>
      <c r="M1593">
        <v>109.735889952877</v>
      </c>
      <c r="N1593">
        <v>49.418796549352201</v>
      </c>
      <c r="O1593">
        <v>49.305315397247298</v>
      </c>
      <c r="P1593">
        <v>-0.50244512973852795</v>
      </c>
      <c r="Q1593">
        <v>9.6987797049745403E-2</v>
      </c>
      <c r="R1593">
        <v>0.98273890401241604</v>
      </c>
      <c r="S1593" t="s">
        <v>8045</v>
      </c>
      <c r="T1593" t="s">
        <v>12902</v>
      </c>
      <c r="U1593" t="s">
        <v>12902</v>
      </c>
      <c r="V1593" t="s">
        <v>12902</v>
      </c>
      <c r="W1593" t="s">
        <v>14464</v>
      </c>
      <c r="X1593">
        <v>5</v>
      </c>
      <c r="Y1593" t="s">
        <v>20845</v>
      </c>
      <c r="Z1593" t="s">
        <v>27168</v>
      </c>
      <c r="AA1593">
        <v>0.37798034147725029</v>
      </c>
      <c r="AB1593" t="str">
        <f>HYPERLINK("Melting_Curves/meltCurve_O75191_XYLB.pdf", "Melting_Curves/meltCurve_O75191_XYLB.pdf")</f>
        <v>Melting_Curves/meltCurve_O75191_XYLB.pdf</v>
      </c>
    </row>
    <row r="1594" spans="1:28" x14ac:dyDescent="0.25">
      <c r="A1594" t="s">
        <v>1598</v>
      </c>
      <c r="B1594">
        <v>0.99673306730245903</v>
      </c>
      <c r="C1594">
        <v>1.0094437611343501</v>
      </c>
      <c r="D1594">
        <v>0.96953066142395405</v>
      </c>
      <c r="E1594">
        <v>0.82342772765696004</v>
      </c>
      <c r="F1594">
        <v>0.61554902800010003</v>
      </c>
      <c r="G1594">
        <v>0.447897961454713</v>
      </c>
      <c r="H1594">
        <v>0.28356536776088698</v>
      </c>
      <c r="I1594">
        <v>0.237240919953771</v>
      </c>
      <c r="J1594">
        <v>0.184389667470123</v>
      </c>
      <c r="K1594">
        <v>0.122908918781552</v>
      </c>
      <c r="L1594">
        <v>771.77021413864804</v>
      </c>
      <c r="M1594">
        <v>14.1380117070017</v>
      </c>
      <c r="N1594">
        <v>55.616932072154597</v>
      </c>
      <c r="O1594">
        <v>53.531000063012499</v>
      </c>
      <c r="P1594">
        <v>-5.8438761249078798E-2</v>
      </c>
      <c r="Q1594">
        <v>0.115041904338366</v>
      </c>
      <c r="R1594">
        <v>0.99674071277337695</v>
      </c>
      <c r="S1594" t="s">
        <v>8046</v>
      </c>
      <c r="T1594" t="s">
        <v>12902</v>
      </c>
      <c r="U1594" t="s">
        <v>12902</v>
      </c>
      <c r="V1594" t="s">
        <v>12902</v>
      </c>
      <c r="W1594" t="s">
        <v>14465</v>
      </c>
      <c r="X1594">
        <v>14</v>
      </c>
      <c r="Y1594" t="s">
        <v>20846</v>
      </c>
      <c r="Z1594" t="s">
        <v>27169</v>
      </c>
      <c r="AA1594">
        <v>0.5640931521249144</v>
      </c>
      <c r="AB1594" t="str">
        <f>HYPERLINK("Melting_Curves/meltCurve_O75208_COQ9.pdf", "Melting_Curves/meltCurve_O75208_COQ9.pdf")</f>
        <v>Melting_Curves/meltCurve_O75208_COQ9.pdf</v>
      </c>
    </row>
    <row r="1595" spans="1:28" x14ac:dyDescent="0.25">
      <c r="A1595" t="s">
        <v>1599</v>
      </c>
      <c r="B1595">
        <v>0.99673306730245903</v>
      </c>
      <c r="C1595">
        <v>0.99345502412493403</v>
      </c>
      <c r="D1595">
        <v>0.79139147474532601</v>
      </c>
      <c r="E1595">
        <v>0.99258956859102199</v>
      </c>
      <c r="F1595">
        <v>0.74086014045346005</v>
      </c>
      <c r="G1595">
        <v>0.30942535007459099</v>
      </c>
      <c r="H1595">
        <v>7.6343651691471504E-2</v>
      </c>
      <c r="I1595">
        <v>6.36402555942394E-2</v>
      </c>
      <c r="J1595">
        <v>7.0709681730203797E-2</v>
      </c>
      <c r="K1595">
        <v>5.6729619265287197E-2</v>
      </c>
      <c r="L1595">
        <v>1706.70031880438</v>
      </c>
      <c r="M1595">
        <v>31.080202113751501</v>
      </c>
      <c r="N1595">
        <v>55.112268313164002</v>
      </c>
      <c r="O1595">
        <v>54.686950274647103</v>
      </c>
      <c r="P1595">
        <v>-0.13452417956242699</v>
      </c>
      <c r="Q1595">
        <v>5.3201072569600903E-2</v>
      </c>
      <c r="R1595">
        <v>0.97352309582957397</v>
      </c>
      <c r="S1595" t="s">
        <v>8047</v>
      </c>
      <c r="T1595" t="s">
        <v>12902</v>
      </c>
      <c r="U1595" t="s">
        <v>12902</v>
      </c>
      <c r="V1595" t="s">
        <v>12902</v>
      </c>
      <c r="W1595" t="s">
        <v>14466</v>
      </c>
      <c r="X1595">
        <v>22</v>
      </c>
      <c r="Y1595" t="s">
        <v>20847</v>
      </c>
      <c r="Z1595" t="s">
        <v>27170</v>
      </c>
      <c r="AA1595">
        <v>0.52971566075341059</v>
      </c>
      <c r="AB1595" t="str">
        <f>HYPERLINK("Melting_Curves/meltCurve_O75223_GGCT.pdf", "Melting_Curves/meltCurve_O75223_GGCT.pdf")</f>
        <v>Melting_Curves/meltCurve_O75223_GGCT.pdf</v>
      </c>
    </row>
    <row r="1596" spans="1:28" x14ac:dyDescent="0.25">
      <c r="A1596" t="s">
        <v>1600</v>
      </c>
      <c r="B1596">
        <v>0.99673306730245903</v>
      </c>
      <c r="C1596">
        <v>0.98871157413604005</v>
      </c>
      <c r="D1596">
        <v>0.94580863867289799</v>
      </c>
      <c r="E1596">
        <v>0.96051716677397003</v>
      </c>
      <c r="F1596">
        <v>0.71054797234321898</v>
      </c>
      <c r="G1596">
        <v>0.42197801226742698</v>
      </c>
      <c r="H1596">
        <v>0.18843639004679</v>
      </c>
      <c r="I1596">
        <v>8.3838023413299601E-2</v>
      </c>
      <c r="J1596">
        <v>7.1191272871869299E-2</v>
      </c>
      <c r="K1596">
        <v>5.8713537455720499E-2</v>
      </c>
      <c r="L1596">
        <v>1146.0144316645001</v>
      </c>
      <c r="M1596">
        <v>20.6175995953346</v>
      </c>
      <c r="N1596">
        <v>55.8136269132264</v>
      </c>
      <c r="O1596">
        <v>55.0692776492684</v>
      </c>
      <c r="P1596">
        <v>-8.9799463516705105E-2</v>
      </c>
      <c r="Q1596">
        <v>4.0615656138690497E-2</v>
      </c>
      <c r="R1596">
        <v>0.99768460297444495</v>
      </c>
      <c r="S1596" t="s">
        <v>8048</v>
      </c>
      <c r="T1596" t="s">
        <v>12902</v>
      </c>
      <c r="U1596" t="s">
        <v>12902</v>
      </c>
      <c r="V1596" t="s">
        <v>12902</v>
      </c>
      <c r="W1596" t="s">
        <v>14467</v>
      </c>
      <c r="X1596">
        <v>14</v>
      </c>
      <c r="Y1596" t="s">
        <v>20848</v>
      </c>
      <c r="Z1596" t="s">
        <v>27171</v>
      </c>
      <c r="AA1596">
        <v>0.55100642268205602</v>
      </c>
      <c r="AB1596" t="str">
        <f>HYPERLINK("Melting_Curves/meltCurve_O75306_NDUFS2.pdf", "Melting_Curves/meltCurve_O75306_NDUFS2.pdf")</f>
        <v>Melting_Curves/meltCurve_O75306_NDUFS2.pdf</v>
      </c>
    </row>
    <row r="1597" spans="1:28" x14ac:dyDescent="0.25">
      <c r="A1597" t="s">
        <v>1601</v>
      </c>
      <c r="B1597">
        <v>0.99673306730245903</v>
      </c>
      <c r="C1597">
        <v>0.97503450212304599</v>
      </c>
      <c r="D1597">
        <v>0.95024754753061902</v>
      </c>
      <c r="E1597">
        <v>0.84280271941873997</v>
      </c>
      <c r="F1597">
        <v>0.47047010001016898</v>
      </c>
      <c r="G1597">
        <v>0.20670871586169501</v>
      </c>
      <c r="H1597">
        <v>0.10309174293305599</v>
      </c>
      <c r="I1597">
        <v>8.7871758156868304E-2</v>
      </c>
      <c r="J1597">
        <v>8.7919255009976105E-2</v>
      </c>
      <c r="K1597">
        <v>7.7191817833047197E-2</v>
      </c>
      <c r="L1597">
        <v>1303.68526327056</v>
      </c>
      <c r="M1597">
        <v>24.7837025492294</v>
      </c>
      <c r="N1597">
        <v>52.960098454514799</v>
      </c>
      <c r="O1597">
        <v>52.2636371310223</v>
      </c>
      <c r="P1597">
        <v>-0.109419485641499</v>
      </c>
      <c r="Q1597">
        <v>7.7041762765566305E-2</v>
      </c>
      <c r="R1597">
        <v>0.99917418571265004</v>
      </c>
      <c r="S1597" t="s">
        <v>8049</v>
      </c>
      <c r="T1597" t="s">
        <v>12902</v>
      </c>
      <c r="U1597" t="s">
        <v>12902</v>
      </c>
      <c r="V1597" t="s">
        <v>12902</v>
      </c>
      <c r="W1597" t="s">
        <v>14468</v>
      </c>
      <c r="X1597">
        <v>20</v>
      </c>
      <c r="Y1597" t="s">
        <v>20849</v>
      </c>
      <c r="Z1597" t="s">
        <v>27172</v>
      </c>
      <c r="AA1597">
        <v>0.47337435621220603</v>
      </c>
      <c r="AB1597" t="str">
        <f>HYPERLINK("Melting_Curves/meltCurve_O75312_ZNF259.pdf", "Melting_Curves/meltCurve_O75312_ZNF259.pdf")</f>
        <v>Melting_Curves/meltCurve_O75312_ZNF259.pdf</v>
      </c>
    </row>
    <row r="1598" spans="1:28" x14ac:dyDescent="0.25">
      <c r="A1598" t="s">
        <v>1602</v>
      </c>
      <c r="B1598">
        <v>0.99673306730245903</v>
      </c>
      <c r="C1598">
        <v>0.96989983186515405</v>
      </c>
      <c r="D1598">
        <v>1.0370599792391</v>
      </c>
      <c r="E1598">
        <v>1.1255042669763899</v>
      </c>
      <c r="F1598">
        <v>0.96710378950269504</v>
      </c>
      <c r="G1598">
        <v>0.67039163080244002</v>
      </c>
      <c r="H1598">
        <v>0.13041576075141001</v>
      </c>
      <c r="I1598">
        <v>9.2843262424660303E-2</v>
      </c>
      <c r="J1598">
        <v>8.9048347145313206E-2</v>
      </c>
      <c r="K1598">
        <v>8.0803564884299406E-2</v>
      </c>
      <c r="L1598">
        <v>2936.7433606176201</v>
      </c>
      <c r="M1598">
        <v>51.137626361928099</v>
      </c>
      <c r="N1598">
        <v>57.636656631997802</v>
      </c>
      <c r="O1598">
        <v>57.340610794038199</v>
      </c>
      <c r="P1598">
        <v>-0.204134634716618</v>
      </c>
      <c r="Q1598">
        <v>8.4416203120761896E-2</v>
      </c>
      <c r="R1598">
        <v>0.99030488474691902</v>
      </c>
      <c r="S1598" t="s">
        <v>8050</v>
      </c>
      <c r="T1598" t="s">
        <v>12902</v>
      </c>
      <c r="U1598" t="s">
        <v>12902</v>
      </c>
      <c r="V1598" t="s">
        <v>12902</v>
      </c>
      <c r="W1598" t="s">
        <v>14469</v>
      </c>
      <c r="X1598">
        <v>21</v>
      </c>
      <c r="Y1598" t="s">
        <v>20850</v>
      </c>
      <c r="Z1598" t="s">
        <v>27173</v>
      </c>
      <c r="AA1598">
        <v>0.6185276162785811</v>
      </c>
      <c r="AB1598" t="str">
        <f>HYPERLINK("Melting_Curves/meltCurve_O75323_GBAS.pdf", "Melting_Curves/meltCurve_O75323_GBAS.pdf")</f>
        <v>Melting_Curves/meltCurve_O75323_GBAS.pdf</v>
      </c>
    </row>
    <row r="1599" spans="1:28" x14ac:dyDescent="0.25">
      <c r="A1599" t="s">
        <v>1603</v>
      </c>
      <c r="B1599">
        <v>0.99673306730245903</v>
      </c>
      <c r="C1599">
        <v>0.90033484515999596</v>
      </c>
      <c r="D1599">
        <v>0.62820930780400197</v>
      </c>
      <c r="E1599">
        <v>0.36793403607765701</v>
      </c>
      <c r="F1599">
        <v>0.25380345116314301</v>
      </c>
      <c r="G1599">
        <v>0.16298320002474201</v>
      </c>
      <c r="H1599">
        <v>0.12392629131065</v>
      </c>
      <c r="I1599">
        <v>0.118329870141414</v>
      </c>
      <c r="J1599">
        <v>0.14330209638304101</v>
      </c>
      <c r="K1599">
        <v>0.141797978472329</v>
      </c>
      <c r="L1599">
        <v>889.22323393126999</v>
      </c>
      <c r="M1599">
        <v>18.916236489745501</v>
      </c>
      <c r="N1599">
        <v>47.785192351666701</v>
      </c>
      <c r="O1599">
        <v>46.4925571340762</v>
      </c>
      <c r="P1599">
        <v>-8.8257933287548801E-2</v>
      </c>
      <c r="Q1599">
        <v>0.13234948890623699</v>
      </c>
      <c r="R1599">
        <v>0.99600353946963305</v>
      </c>
      <c r="S1599" t="s">
        <v>8051</v>
      </c>
      <c r="T1599" t="s">
        <v>12902</v>
      </c>
      <c r="U1599" t="s">
        <v>12902</v>
      </c>
      <c r="V1599" t="s">
        <v>12902</v>
      </c>
      <c r="W1599" t="s">
        <v>14470</v>
      </c>
      <c r="X1599">
        <v>4</v>
      </c>
      <c r="Y1599" t="s">
        <v>20851</v>
      </c>
      <c r="Z1599" t="s">
        <v>27174</v>
      </c>
      <c r="AA1599">
        <v>0.34940167031890118</v>
      </c>
      <c r="AB1599" t="str">
        <f>HYPERLINK("Melting_Curves/meltCurve_O75330_2_HMMR.pdf", "Melting_Curves/meltCurve_O75330_2_HMMR.pdf")</f>
        <v>Melting_Curves/meltCurve_O75330_2_HMMR.pdf</v>
      </c>
    </row>
    <row r="1600" spans="1:28" x14ac:dyDescent="0.25">
      <c r="A1600" t="s">
        <v>1604</v>
      </c>
      <c r="B1600">
        <v>0.99673306730245903</v>
      </c>
      <c r="C1600">
        <v>0.943616453983252</v>
      </c>
      <c r="D1600">
        <v>0.72269721464456604</v>
      </c>
      <c r="E1600">
        <v>0.72263889998014597</v>
      </c>
      <c r="F1600">
        <v>0.252736254082427</v>
      </c>
      <c r="G1600">
        <v>0.135600262925932</v>
      </c>
      <c r="H1600">
        <v>7.6727960989972796E-2</v>
      </c>
      <c r="I1600">
        <v>7.5842057790084003E-2</v>
      </c>
      <c r="J1600">
        <v>7.9548293600722006E-2</v>
      </c>
      <c r="K1600">
        <v>6.6576751852747806E-2</v>
      </c>
      <c r="L1600">
        <v>851.71164151996504</v>
      </c>
      <c r="M1600">
        <v>16.903787277277601</v>
      </c>
      <c r="N1600">
        <v>50.646903294320097</v>
      </c>
      <c r="O1600">
        <v>49.696545152341301</v>
      </c>
      <c r="P1600">
        <v>-8.1492467637867494E-2</v>
      </c>
      <c r="Q1600">
        <v>4.1720787897233297E-2</v>
      </c>
      <c r="R1600">
        <v>0.97116519647889399</v>
      </c>
      <c r="S1600" t="s">
        <v>8052</v>
      </c>
      <c r="T1600" t="s">
        <v>12902</v>
      </c>
      <c r="U1600" t="s">
        <v>12902</v>
      </c>
      <c r="V1600" t="s">
        <v>12902</v>
      </c>
      <c r="W1600" t="s">
        <v>14471</v>
      </c>
      <c r="X1600">
        <v>9</v>
      </c>
      <c r="Y1600" t="s">
        <v>20852</v>
      </c>
      <c r="Z1600" t="s">
        <v>27175</v>
      </c>
      <c r="AA1600">
        <v>0.39173075730881513</v>
      </c>
      <c r="AB1600" t="str">
        <f>HYPERLINK("Melting_Curves/meltCurve_O75340_PDCD6.pdf", "Melting_Curves/meltCurve_O75340_PDCD6.pdf")</f>
        <v>Melting_Curves/meltCurve_O75340_PDCD6.pdf</v>
      </c>
    </row>
    <row r="1601" spans="1:28" x14ac:dyDescent="0.25">
      <c r="A1601" t="s">
        <v>1605</v>
      </c>
      <c r="B1601">
        <v>0.99673306730245903</v>
      </c>
      <c r="C1601">
        <v>1.0192812869060801</v>
      </c>
      <c r="D1601">
        <v>1.0164774659392599</v>
      </c>
      <c r="E1601">
        <v>0.99292535891996303</v>
      </c>
      <c r="F1601">
        <v>0.91740640915418403</v>
      </c>
      <c r="G1601">
        <v>0.79528452606787103</v>
      </c>
      <c r="H1601">
        <v>0.61865684267243304</v>
      </c>
      <c r="I1601">
        <v>0.75305783826384698</v>
      </c>
      <c r="J1601">
        <v>1.11622917008726</v>
      </c>
      <c r="K1601">
        <v>1.0486371802057901</v>
      </c>
      <c r="L1601">
        <v>13274.386615875599</v>
      </c>
      <c r="M1601">
        <v>250</v>
      </c>
      <c r="O1601">
        <v>53.094150655846903</v>
      </c>
      <c r="P1601">
        <v>-0.157299450836972</v>
      </c>
      <c r="Q1601">
        <v>0.86637311354312596</v>
      </c>
      <c r="R1601">
        <v>0.198511981121679</v>
      </c>
      <c r="S1601" t="s">
        <v>8053</v>
      </c>
      <c r="T1601" t="s">
        <v>12902</v>
      </c>
      <c r="U1601" t="s">
        <v>12902</v>
      </c>
      <c r="V1601" t="s">
        <v>12902</v>
      </c>
      <c r="W1601" t="s">
        <v>14472</v>
      </c>
      <c r="X1601">
        <v>19</v>
      </c>
      <c r="Y1601" t="s">
        <v>20853</v>
      </c>
      <c r="Z1601" t="s">
        <v>27176</v>
      </c>
      <c r="AA1601">
        <v>0.92472504408507228</v>
      </c>
      <c r="AB1601" t="str">
        <f>HYPERLINK("Melting_Curves/meltCurve_O75347_TBCA.pdf", "Melting_Curves/meltCurve_O75347_TBCA.pdf")</f>
        <v>Melting_Curves/meltCurve_O75347_TBCA.pdf</v>
      </c>
    </row>
    <row r="1602" spans="1:28" x14ac:dyDescent="0.25">
      <c r="A1602" t="s">
        <v>1606</v>
      </c>
      <c r="B1602">
        <v>0.99673306730245903</v>
      </c>
      <c r="C1602">
        <v>0.99000320265340702</v>
      </c>
      <c r="D1602">
        <v>1.01271747162362</v>
      </c>
      <c r="E1602">
        <v>1.09281485618133</v>
      </c>
      <c r="F1602">
        <v>0.89661956707725099</v>
      </c>
      <c r="G1602">
        <v>0.62835611088909005</v>
      </c>
      <c r="H1602">
        <v>0.42178926377115999</v>
      </c>
      <c r="I1602">
        <v>0.52913716576806802</v>
      </c>
      <c r="J1602">
        <v>0.74059105471169095</v>
      </c>
      <c r="K1602">
        <v>0.76532666501424396</v>
      </c>
      <c r="L1602">
        <v>4680.6782156009504</v>
      </c>
      <c r="M1602">
        <v>86.975927492626795</v>
      </c>
      <c r="O1602">
        <v>53.787358897374801</v>
      </c>
      <c r="P1602">
        <v>-0.15515041447886399</v>
      </c>
      <c r="Q1602">
        <v>0.61620965809416794</v>
      </c>
      <c r="R1602">
        <v>0.80202865944476898</v>
      </c>
      <c r="S1602" t="s">
        <v>8054</v>
      </c>
      <c r="T1602" t="s">
        <v>12902</v>
      </c>
      <c r="U1602" t="s">
        <v>12902</v>
      </c>
      <c r="V1602" t="s">
        <v>12902</v>
      </c>
      <c r="W1602" t="s">
        <v>14473</v>
      </c>
      <c r="X1602">
        <v>8</v>
      </c>
      <c r="Y1602" t="s">
        <v>20854</v>
      </c>
      <c r="Z1602" t="s">
        <v>27177</v>
      </c>
      <c r="AA1602">
        <v>0.79325516886309055</v>
      </c>
      <c r="AB1602" t="str">
        <f>HYPERLINK("Melting_Curves/meltCurve_O75348_ATP6V1G1.pdf", "Melting_Curves/meltCurve_O75348_ATP6V1G1.pdf")</f>
        <v>Melting_Curves/meltCurve_O75348_ATP6V1G1.pdf</v>
      </c>
    </row>
    <row r="1603" spans="1:28" x14ac:dyDescent="0.25">
      <c r="A1603" t="s">
        <v>1607</v>
      </c>
      <c r="B1603">
        <v>0.99673306730245903</v>
      </c>
      <c r="C1603">
        <v>1.0146191268185201</v>
      </c>
      <c r="D1603">
        <v>0.55082064649280305</v>
      </c>
      <c r="E1603">
        <v>0.79989346033908504</v>
      </c>
      <c r="F1603">
        <v>0.23439092524055499</v>
      </c>
      <c r="G1603">
        <v>0.15042827620035901</v>
      </c>
      <c r="H1603">
        <v>8.5210634560380596E-2</v>
      </c>
      <c r="I1603">
        <v>7.6618631793200997E-2</v>
      </c>
      <c r="J1603">
        <v>7.8163956764623899E-2</v>
      </c>
      <c r="K1603">
        <v>6.5963808673420901E-2</v>
      </c>
      <c r="L1603">
        <v>712.85003711143997</v>
      </c>
      <c r="M1603">
        <v>14.179712933746501</v>
      </c>
      <c r="N1603">
        <v>50.469558541022401</v>
      </c>
      <c r="O1603">
        <v>49.304345040343499</v>
      </c>
      <c r="P1603">
        <v>-6.9971754219286503E-2</v>
      </c>
      <c r="Q1603">
        <v>2.6926074613725998E-2</v>
      </c>
      <c r="R1603">
        <v>0.90293048709051904</v>
      </c>
      <c r="S1603" t="s">
        <v>8055</v>
      </c>
      <c r="T1603" t="s">
        <v>12902</v>
      </c>
      <c r="U1603" t="s">
        <v>12902</v>
      </c>
      <c r="V1603" t="s">
        <v>12902</v>
      </c>
      <c r="W1603" t="s">
        <v>14474</v>
      </c>
      <c r="X1603">
        <v>19</v>
      </c>
      <c r="Y1603" t="s">
        <v>20855</v>
      </c>
      <c r="Z1603" t="s">
        <v>27178</v>
      </c>
      <c r="AA1603">
        <v>0.38545676530076201</v>
      </c>
      <c r="AB1603" t="str">
        <f>HYPERLINK("Melting_Curves/meltCurve_O75351_VPS4B.pdf", "Melting_Curves/meltCurve_O75351_VPS4B.pdf")</f>
        <v>Melting_Curves/meltCurve_O75351_VPS4B.pdf</v>
      </c>
    </row>
    <row r="1604" spans="1:28" x14ac:dyDescent="0.25">
      <c r="A1604" t="s">
        <v>1608</v>
      </c>
      <c r="B1604">
        <v>0.99673306730245903</v>
      </c>
      <c r="C1604">
        <v>0.99006053961209095</v>
      </c>
      <c r="D1604">
        <v>0.95296453500362099</v>
      </c>
      <c r="E1604">
        <v>0.84895699621700005</v>
      </c>
      <c r="F1604">
        <v>0.75423912804705495</v>
      </c>
      <c r="G1604">
        <v>0.68266307726827902</v>
      </c>
      <c r="H1604">
        <v>0.56932894728301797</v>
      </c>
      <c r="I1604">
        <v>0.53517919115002899</v>
      </c>
      <c r="J1604">
        <v>0.38072357784195499</v>
      </c>
      <c r="K1604">
        <v>0.228765982695013</v>
      </c>
      <c r="L1604">
        <v>476.30725206056098</v>
      </c>
      <c r="M1604">
        <v>7.6160501777445804</v>
      </c>
      <c r="N1604">
        <v>62.539930174538803</v>
      </c>
      <c r="O1604">
        <v>58.665284275905599</v>
      </c>
      <c r="P1604">
        <v>-3.2499595884456799E-2</v>
      </c>
      <c r="Q1604">
        <v>0</v>
      </c>
      <c r="R1604">
        <v>0.97508072286412095</v>
      </c>
      <c r="S1604" t="s">
        <v>8056</v>
      </c>
      <c r="T1604" t="s">
        <v>12902</v>
      </c>
      <c r="U1604" t="s">
        <v>12902</v>
      </c>
      <c r="V1604" t="s">
        <v>12902</v>
      </c>
      <c r="W1604" t="s">
        <v>14475</v>
      </c>
      <c r="X1604">
        <v>7</v>
      </c>
      <c r="Y1604" t="s">
        <v>20856</v>
      </c>
      <c r="Z1604" t="s">
        <v>27179</v>
      </c>
      <c r="AA1604">
        <v>0.70402638444586818</v>
      </c>
      <c r="AB1604" t="str">
        <f>HYPERLINK("Melting_Curves/meltCurve_O75355_ENTPD3.pdf", "Melting_Curves/meltCurve_O75355_ENTPD3.pdf")</f>
        <v>Melting_Curves/meltCurve_O75355_ENTPD3.pdf</v>
      </c>
    </row>
    <row r="1605" spans="1:28" x14ac:dyDescent="0.25">
      <c r="A1605" t="s">
        <v>1609</v>
      </c>
      <c r="B1605">
        <v>0.99673306730245903</v>
      </c>
      <c r="C1605">
        <v>0.87920600642589697</v>
      </c>
      <c r="D1605">
        <v>0.89459464675676603</v>
      </c>
      <c r="E1605">
        <v>0.87874088790103999</v>
      </c>
      <c r="F1605">
        <v>0.66109612889506597</v>
      </c>
      <c r="G1605">
        <v>0.629939558592572</v>
      </c>
      <c r="H1605">
        <v>0.53132845730973799</v>
      </c>
      <c r="I1605">
        <v>0.71985800010761503</v>
      </c>
      <c r="J1605">
        <v>0.73753537006647596</v>
      </c>
      <c r="K1605">
        <v>0.74057810570397797</v>
      </c>
      <c r="L1605">
        <v>832.47896803393996</v>
      </c>
      <c r="M1605">
        <v>17.328672534754698</v>
      </c>
      <c r="O1605">
        <v>47.414466937233897</v>
      </c>
      <c r="P1605">
        <v>-3.0572029471519199E-2</v>
      </c>
      <c r="Q1605">
        <v>0.66541616914173396</v>
      </c>
      <c r="R1605">
        <v>0.70098526220225899</v>
      </c>
      <c r="S1605" t="s">
        <v>8057</v>
      </c>
      <c r="T1605" t="s">
        <v>12902</v>
      </c>
      <c r="U1605" t="s">
        <v>12902</v>
      </c>
      <c r="V1605" t="s">
        <v>12902</v>
      </c>
      <c r="W1605" t="s">
        <v>14476</v>
      </c>
      <c r="X1605">
        <v>7</v>
      </c>
      <c r="Y1605" t="s">
        <v>20857</v>
      </c>
      <c r="Z1605" t="s">
        <v>27180</v>
      </c>
      <c r="AA1605">
        <v>0.7615068032675365</v>
      </c>
      <c r="AB1605" t="str">
        <f>HYPERLINK("Melting_Curves/meltCurve_O75362_ZNF217.pdf", "Melting_Curves/meltCurve_O75362_ZNF217.pdf")</f>
        <v>Melting_Curves/meltCurve_O75362_ZNF217.pdf</v>
      </c>
    </row>
    <row r="1606" spans="1:28" x14ac:dyDescent="0.25">
      <c r="A1606" t="s">
        <v>1610</v>
      </c>
      <c r="B1606">
        <v>0.99673306730245903</v>
      </c>
      <c r="C1606">
        <v>0.92306438909659405</v>
      </c>
      <c r="D1606">
        <v>0.93416865448504904</v>
      </c>
      <c r="E1606">
        <v>0.99971637006626801</v>
      </c>
      <c r="F1606">
        <v>1.18200207517052</v>
      </c>
      <c r="G1606">
        <v>1.0213132813291499</v>
      </c>
      <c r="H1606">
        <v>1.11328637456823</v>
      </c>
      <c r="I1606">
        <v>0.45253699716343998</v>
      </c>
      <c r="J1606">
        <v>0.31975545277577899</v>
      </c>
      <c r="K1606">
        <v>0.30454683539809302</v>
      </c>
      <c r="L1606">
        <v>15000</v>
      </c>
      <c r="M1606">
        <v>235.735750908223</v>
      </c>
      <c r="N1606">
        <v>63.895926867918398</v>
      </c>
      <c r="O1606">
        <v>63.625993978387498</v>
      </c>
      <c r="P1606">
        <v>-0.63712917831132998</v>
      </c>
      <c r="Q1606">
        <v>0.31214549763418298</v>
      </c>
      <c r="R1606">
        <v>0.942949857825229</v>
      </c>
      <c r="S1606" t="s">
        <v>8058</v>
      </c>
      <c r="T1606" t="s">
        <v>12902</v>
      </c>
      <c r="U1606" t="s">
        <v>12902</v>
      </c>
      <c r="V1606" t="s">
        <v>12902</v>
      </c>
      <c r="W1606" t="s">
        <v>14477</v>
      </c>
      <c r="X1606">
        <v>2</v>
      </c>
      <c r="Y1606" t="s">
        <v>20858</v>
      </c>
      <c r="Z1606" t="s">
        <v>27181</v>
      </c>
      <c r="AA1606">
        <v>0.85404500311817422</v>
      </c>
      <c r="AB1606" t="str">
        <f>HYPERLINK("Melting_Curves/meltCurve_O75367_2_H2AFY.pdf", "Melting_Curves/meltCurve_O75367_2_H2AFY.pdf")</f>
        <v>Melting_Curves/meltCurve_O75367_2_H2AFY.pdf</v>
      </c>
    </row>
    <row r="1607" spans="1:28" x14ac:dyDescent="0.25">
      <c r="A1607" t="s">
        <v>1611</v>
      </c>
      <c r="B1607">
        <v>0.99673306730245903</v>
      </c>
      <c r="C1607">
        <v>0.88862533492409201</v>
      </c>
      <c r="D1607">
        <v>0.86414135863738495</v>
      </c>
      <c r="E1607">
        <v>0.98512212502112095</v>
      </c>
      <c r="F1607">
        <v>0.572097397835026</v>
      </c>
      <c r="G1607">
        <v>0.44794579640189502</v>
      </c>
      <c r="H1607">
        <v>0.23848714943444299</v>
      </c>
      <c r="I1607">
        <v>0.356667443837062</v>
      </c>
      <c r="J1607">
        <v>0.49720007141137101</v>
      </c>
      <c r="K1607">
        <v>0.50310079947150699</v>
      </c>
      <c r="L1607">
        <v>3016.6397952264001</v>
      </c>
      <c r="M1607">
        <v>57.631439502599299</v>
      </c>
      <c r="N1607">
        <v>53.916642551753199</v>
      </c>
      <c r="O1607">
        <v>52.280736082716103</v>
      </c>
      <c r="P1607">
        <v>-0.16343939913432101</v>
      </c>
      <c r="Q1607">
        <v>0.406939820062095</v>
      </c>
      <c r="R1607">
        <v>0.88172445285772405</v>
      </c>
      <c r="S1607" t="s">
        <v>8059</v>
      </c>
      <c r="T1607" t="s">
        <v>12902</v>
      </c>
      <c r="U1607" t="s">
        <v>12902</v>
      </c>
      <c r="V1607" t="s">
        <v>12902</v>
      </c>
      <c r="W1607" t="s">
        <v>14478</v>
      </c>
      <c r="X1607">
        <v>9</v>
      </c>
      <c r="Y1607" t="s">
        <v>20859</v>
      </c>
      <c r="Z1607" t="s">
        <v>27182</v>
      </c>
      <c r="AA1607">
        <v>0.65198659571016537</v>
      </c>
      <c r="AB1607" t="str">
        <f>HYPERLINK("Melting_Curves/meltCurve_O75368_SH3BGRL.pdf", "Melting_Curves/meltCurve_O75368_SH3BGRL.pdf")</f>
        <v>Melting_Curves/meltCurve_O75368_SH3BGRL.pdf</v>
      </c>
    </row>
    <row r="1608" spans="1:28" x14ac:dyDescent="0.25">
      <c r="A1608" t="s">
        <v>1612</v>
      </c>
      <c r="B1608">
        <v>0.99673306730245903</v>
      </c>
      <c r="C1608">
        <v>0.90321355559986405</v>
      </c>
      <c r="D1608">
        <v>0.93525399471791104</v>
      </c>
      <c r="E1608">
        <v>0.90723657895944498</v>
      </c>
      <c r="F1608">
        <v>0.33818147066755599</v>
      </c>
      <c r="G1608">
        <v>0.159705394286735</v>
      </c>
      <c r="H1608">
        <v>9.5891901467889298E-2</v>
      </c>
      <c r="I1608">
        <v>7.9835309663258899E-2</v>
      </c>
      <c r="J1608">
        <v>8.4501378677354105E-2</v>
      </c>
      <c r="K1608">
        <v>7.2184230829045501E-2</v>
      </c>
      <c r="L1608">
        <v>2127.3136878815399</v>
      </c>
      <c r="M1608">
        <v>40.898123963538701</v>
      </c>
      <c r="N1608">
        <v>52.269864353652203</v>
      </c>
      <c r="O1608">
        <v>51.891059730658597</v>
      </c>
      <c r="P1608">
        <v>-0.17922389511266301</v>
      </c>
      <c r="Q1608">
        <v>9.0413192400917705E-2</v>
      </c>
      <c r="R1608">
        <v>0.99012506583168602</v>
      </c>
      <c r="S1608" t="s">
        <v>8060</v>
      </c>
      <c r="T1608" t="s">
        <v>12902</v>
      </c>
      <c r="U1608" t="s">
        <v>12902</v>
      </c>
      <c r="V1608" t="s">
        <v>12902</v>
      </c>
      <c r="W1608" t="s">
        <v>14479</v>
      </c>
      <c r="X1608">
        <v>98</v>
      </c>
      <c r="Y1608" t="s">
        <v>20860</v>
      </c>
      <c r="Z1608" t="s">
        <v>27183</v>
      </c>
      <c r="AA1608">
        <v>0.4578270927383874</v>
      </c>
      <c r="AB1608" t="str">
        <f>HYPERLINK("Melting_Curves/meltCurve_O75369_2_FLNB.pdf", "Melting_Curves/meltCurve_O75369_2_FLNB.pdf")</f>
        <v>Melting_Curves/meltCurve_O75369_2_FLNB.pdf</v>
      </c>
    </row>
    <row r="1609" spans="1:28" x14ac:dyDescent="0.25">
      <c r="A1609" t="s">
        <v>1613</v>
      </c>
      <c r="B1609">
        <v>0.99673306730245903</v>
      </c>
      <c r="C1609">
        <v>0.73341016644111301</v>
      </c>
      <c r="D1609">
        <v>0.62675047718241805</v>
      </c>
      <c r="E1609">
        <v>0.50234854588391098</v>
      </c>
      <c r="F1609">
        <v>0.32888164387200203</v>
      </c>
      <c r="G1609">
        <v>0.20432123906351601</v>
      </c>
      <c r="H1609">
        <v>0.13163579049329099</v>
      </c>
      <c r="I1609">
        <v>0.18995271238418299</v>
      </c>
      <c r="J1609">
        <v>0.36741838703477298</v>
      </c>
      <c r="K1609">
        <v>0.68562251552186304</v>
      </c>
      <c r="L1609">
        <v>822.29348098432001</v>
      </c>
      <c r="M1609">
        <v>18.229049795506299</v>
      </c>
      <c r="N1609">
        <v>47.758759904574099</v>
      </c>
      <c r="O1609">
        <v>44.5766145484601</v>
      </c>
      <c r="P1609">
        <v>-6.9712217342669094E-2</v>
      </c>
      <c r="Q1609">
        <v>0.31814574874933199</v>
      </c>
      <c r="R1609">
        <v>0.68604297931621205</v>
      </c>
      <c r="S1609" t="s">
        <v>8061</v>
      </c>
      <c r="T1609" t="s">
        <v>12902</v>
      </c>
      <c r="U1609" t="s">
        <v>12902</v>
      </c>
      <c r="V1609" t="s">
        <v>12902</v>
      </c>
      <c r="W1609" t="s">
        <v>14480</v>
      </c>
      <c r="X1609">
        <v>13</v>
      </c>
      <c r="Y1609" t="s">
        <v>20861</v>
      </c>
      <c r="Z1609" t="s">
        <v>27184</v>
      </c>
      <c r="AA1609">
        <v>0.44838345259907769</v>
      </c>
      <c r="AB1609" t="str">
        <f>HYPERLINK("Melting_Curves/meltCurve_O75376_NCOR1.pdf", "Melting_Curves/meltCurve_O75376_NCOR1.pdf")</f>
        <v>Melting_Curves/meltCurve_O75376_NCOR1.pdf</v>
      </c>
    </row>
    <row r="1610" spans="1:28" x14ac:dyDescent="0.25">
      <c r="A1610" t="s">
        <v>1614</v>
      </c>
      <c r="B1610">
        <v>0.99673306730245903</v>
      </c>
      <c r="C1610">
        <v>1.0141016593691601</v>
      </c>
      <c r="D1610">
        <v>1.02765029634509</v>
      </c>
      <c r="E1610">
        <v>0.84286268294549604</v>
      </c>
      <c r="F1610">
        <v>0.77790388745565098</v>
      </c>
      <c r="G1610">
        <v>0.57468360892078896</v>
      </c>
      <c r="H1610">
        <v>0.53158265669209603</v>
      </c>
      <c r="I1610">
        <v>0.75158264506098305</v>
      </c>
      <c r="J1610">
        <v>0.72812442108210096</v>
      </c>
      <c r="K1610">
        <v>0.90150578529588898</v>
      </c>
      <c r="L1610">
        <v>2082.22256730448</v>
      </c>
      <c r="M1610">
        <v>41.931559474441002</v>
      </c>
      <c r="O1610">
        <v>49.545121126828001</v>
      </c>
      <c r="P1610">
        <v>-6.2103593294589997E-2</v>
      </c>
      <c r="Q1610">
        <v>0.70648135358644204</v>
      </c>
      <c r="R1610">
        <v>0.661772738647738</v>
      </c>
      <c r="S1610" t="s">
        <v>8062</v>
      </c>
      <c r="T1610" t="s">
        <v>12902</v>
      </c>
      <c r="U1610" t="s">
        <v>12902</v>
      </c>
      <c r="V1610" t="s">
        <v>12902</v>
      </c>
      <c r="W1610" t="s">
        <v>14481</v>
      </c>
      <c r="X1610">
        <v>1</v>
      </c>
      <c r="Y1610" t="s">
        <v>20862</v>
      </c>
      <c r="Z1610" t="s">
        <v>27185</v>
      </c>
      <c r="AA1610">
        <v>0.80188784225136278</v>
      </c>
      <c r="AB1610" t="str">
        <f>HYPERLINK("Melting_Curves/meltCurve_O75379_2_VAMP4.pdf", "Melting_Curves/meltCurve_O75379_2_VAMP4.pdf")</f>
        <v>Melting_Curves/meltCurve_O75379_2_VAMP4.pdf</v>
      </c>
    </row>
    <row r="1611" spans="1:28" x14ac:dyDescent="0.25">
      <c r="A1611" t="s">
        <v>1615</v>
      </c>
      <c r="B1611">
        <v>0.99673306730245903</v>
      </c>
      <c r="C1611">
        <v>1.02075174040793</v>
      </c>
      <c r="D1611">
        <v>1.00876634335034</v>
      </c>
      <c r="E1611">
        <v>1.16484234923825</v>
      </c>
      <c r="F1611">
        <v>1.2500535098800301</v>
      </c>
      <c r="G1611">
        <v>1.10376236030603</v>
      </c>
      <c r="H1611">
        <v>0.869642303993021</v>
      </c>
      <c r="I1611">
        <v>1.1557155979176701</v>
      </c>
      <c r="J1611">
        <v>1.84510239416027</v>
      </c>
      <c r="K1611">
        <v>1.76313925481913</v>
      </c>
      <c r="L1611">
        <v>15000</v>
      </c>
      <c r="M1611">
        <v>233.582209518832</v>
      </c>
      <c r="O1611">
        <v>64.212507315463</v>
      </c>
      <c r="P1611">
        <v>0.45470540418275501</v>
      </c>
      <c r="Q1611">
        <v>1.5</v>
      </c>
      <c r="R1611">
        <v>0.68229994994735399</v>
      </c>
      <c r="S1611" t="s">
        <v>8063</v>
      </c>
      <c r="T1611" t="s">
        <v>12902</v>
      </c>
      <c r="U1611" t="s">
        <v>12902</v>
      </c>
      <c r="V1611" t="s">
        <v>12902</v>
      </c>
      <c r="W1611" t="s">
        <v>14482</v>
      </c>
      <c r="X1611">
        <v>7</v>
      </c>
      <c r="Y1611" t="s">
        <v>20863</v>
      </c>
      <c r="Z1611" t="s">
        <v>27186</v>
      </c>
      <c r="AA1611">
        <v>1.096315124515278</v>
      </c>
      <c r="AB1611" t="str">
        <f>HYPERLINK("Melting_Curves/meltCurve_O75380_NDUFS6.pdf", "Melting_Curves/meltCurve_O75380_NDUFS6.pdf")</f>
        <v>Melting_Curves/meltCurve_O75380_NDUFS6.pdf</v>
      </c>
    </row>
    <row r="1612" spans="1:28" x14ac:dyDescent="0.25">
      <c r="A1612" t="s">
        <v>1616</v>
      </c>
      <c r="B1612">
        <v>0.99673306730245903</v>
      </c>
      <c r="C1612">
        <v>0.93175831581620705</v>
      </c>
      <c r="D1612">
        <v>0.82805356288174903</v>
      </c>
      <c r="E1612">
        <v>0.79367796343618502</v>
      </c>
      <c r="F1612">
        <v>0.55833773129945197</v>
      </c>
      <c r="G1612">
        <v>0.42786374122587401</v>
      </c>
      <c r="H1612">
        <v>0.354894814167239</v>
      </c>
      <c r="I1612">
        <v>0.37748732017566899</v>
      </c>
      <c r="J1612">
        <v>0.34851204309766998</v>
      </c>
      <c r="K1612">
        <v>0.33584784553691699</v>
      </c>
      <c r="L1612">
        <v>701.10899851220495</v>
      </c>
      <c r="M1612">
        <v>13.7105800878292</v>
      </c>
      <c r="N1612">
        <v>55.103605067592703</v>
      </c>
      <c r="O1612">
        <v>50.085311342132698</v>
      </c>
      <c r="P1612">
        <v>-4.6976197828166102E-2</v>
      </c>
      <c r="Q1612">
        <v>0.31367472563582199</v>
      </c>
      <c r="R1612">
        <v>0.98490511008292803</v>
      </c>
      <c r="S1612" t="s">
        <v>8064</v>
      </c>
      <c r="T1612" t="s">
        <v>12902</v>
      </c>
      <c r="U1612" t="s">
        <v>12902</v>
      </c>
      <c r="V1612" t="s">
        <v>12902</v>
      </c>
      <c r="W1612" t="s">
        <v>14483</v>
      </c>
      <c r="X1612">
        <v>7</v>
      </c>
      <c r="Y1612" t="s">
        <v>20864</v>
      </c>
      <c r="Z1612" t="s">
        <v>27187</v>
      </c>
      <c r="AA1612">
        <v>0.58666781319959227</v>
      </c>
      <c r="AB1612" t="str">
        <f>HYPERLINK("Melting_Curves/meltCurve_O75381_2_PEX14.pdf", "Melting_Curves/meltCurve_O75381_2_PEX14.pdf")</f>
        <v>Melting_Curves/meltCurve_O75381_2_PEX14.pdf</v>
      </c>
    </row>
    <row r="1613" spans="1:28" x14ac:dyDescent="0.25">
      <c r="A1613" t="s">
        <v>1617</v>
      </c>
      <c r="B1613">
        <v>0.99673306730245903</v>
      </c>
      <c r="C1613">
        <v>0.90653371774421898</v>
      </c>
      <c r="D1613">
        <v>0.70302812016635596</v>
      </c>
      <c r="E1613">
        <v>0.40781520879836303</v>
      </c>
      <c r="F1613">
        <v>9.9533776130501406E-2</v>
      </c>
      <c r="G1613">
        <v>5.93574612696538E-2</v>
      </c>
      <c r="H1613">
        <v>3.7915913420486502E-2</v>
      </c>
      <c r="I1613">
        <v>4.0482033055429099E-2</v>
      </c>
      <c r="J1613">
        <v>2.6894095439686998E-2</v>
      </c>
      <c r="K1613">
        <v>2.8277777064317899E-2</v>
      </c>
      <c r="L1613">
        <v>958.61249614083499</v>
      </c>
      <c r="M1613">
        <v>19.929309107339598</v>
      </c>
      <c r="N1613">
        <v>48.200909412709898</v>
      </c>
      <c r="O1613">
        <v>47.624191004968601</v>
      </c>
      <c r="P1613">
        <v>-0.102496186280079</v>
      </c>
      <c r="Q1613">
        <v>2.03098769364689E-2</v>
      </c>
      <c r="R1613">
        <v>0.99660051925257997</v>
      </c>
      <c r="S1613" t="s">
        <v>8065</v>
      </c>
      <c r="T1613" t="s">
        <v>12902</v>
      </c>
      <c r="U1613" t="s">
        <v>12902</v>
      </c>
      <c r="V1613" t="s">
        <v>12902</v>
      </c>
      <c r="W1613" t="s">
        <v>14484</v>
      </c>
      <c r="X1613">
        <v>2</v>
      </c>
      <c r="Y1613" t="s">
        <v>20865</v>
      </c>
      <c r="Z1613" t="s">
        <v>27188</v>
      </c>
      <c r="AA1613">
        <v>0.29884613235571822</v>
      </c>
      <c r="AB1613" t="str">
        <f>HYPERLINK("Melting_Curves/meltCurve_O75382_2_TRIM3.pdf", "Melting_Curves/meltCurve_O75382_2_TRIM3.pdf")</f>
        <v>Melting_Curves/meltCurve_O75382_2_TRIM3.pdf</v>
      </c>
    </row>
    <row r="1614" spans="1:28" x14ac:dyDescent="0.25">
      <c r="A1614" t="s">
        <v>1618</v>
      </c>
      <c r="B1614">
        <v>0.99673306730245903</v>
      </c>
      <c r="C1614">
        <v>1.01836269198407</v>
      </c>
      <c r="D1614">
        <v>1.0320426104237499</v>
      </c>
      <c r="E1614">
        <v>0.88751920465</v>
      </c>
      <c r="F1614">
        <v>0.68618810374087602</v>
      </c>
      <c r="G1614">
        <v>0.50003727111982199</v>
      </c>
      <c r="H1614">
        <v>0.37339694658095601</v>
      </c>
      <c r="I1614">
        <v>0.46893398056343299</v>
      </c>
      <c r="J1614">
        <v>0.74886946230289198</v>
      </c>
      <c r="K1614">
        <v>0.74731735517675901</v>
      </c>
      <c r="L1614">
        <v>1984.5660177805501</v>
      </c>
      <c r="M1614">
        <v>38.726064427202203</v>
      </c>
      <c r="O1614">
        <v>51.1101825117495</v>
      </c>
      <c r="P1614">
        <v>-8.1366029603528997E-2</v>
      </c>
      <c r="Q1614">
        <v>0.57045747994739204</v>
      </c>
      <c r="R1614">
        <v>0.76435608974943203</v>
      </c>
      <c r="S1614" t="s">
        <v>8066</v>
      </c>
      <c r="T1614" t="s">
        <v>12902</v>
      </c>
      <c r="U1614" t="s">
        <v>12902</v>
      </c>
      <c r="V1614" t="s">
        <v>12902</v>
      </c>
      <c r="W1614" t="s">
        <v>14485</v>
      </c>
      <c r="X1614">
        <v>19</v>
      </c>
      <c r="Y1614" t="s">
        <v>20866</v>
      </c>
      <c r="Z1614" t="s">
        <v>27189</v>
      </c>
      <c r="AA1614">
        <v>0.73310616575765175</v>
      </c>
      <c r="AB1614" t="str">
        <f>HYPERLINK("Melting_Curves/meltCurve_O75391_SPAG7.pdf", "Melting_Curves/meltCurve_O75391_SPAG7.pdf")</f>
        <v>Melting_Curves/meltCurve_O75391_SPAG7.pdf</v>
      </c>
    </row>
    <row r="1615" spans="1:28" x14ac:dyDescent="0.25">
      <c r="A1615" t="s">
        <v>1619</v>
      </c>
      <c r="B1615">
        <v>0.99673306730245903</v>
      </c>
      <c r="C1615">
        <v>0.948732975563504</v>
      </c>
      <c r="D1615">
        <v>0.87791434718345596</v>
      </c>
      <c r="E1615">
        <v>0.70316621822585101</v>
      </c>
      <c r="F1615">
        <v>0.43711320069794402</v>
      </c>
      <c r="G1615">
        <v>0.160484119515547</v>
      </c>
      <c r="H1615">
        <v>7.1355528928474896E-2</v>
      </c>
      <c r="I1615">
        <v>5.5526285724770703E-2</v>
      </c>
      <c r="J1615">
        <v>5.0247214953496003E-2</v>
      </c>
      <c r="K1615">
        <v>4.57669441438701E-2</v>
      </c>
      <c r="L1615">
        <v>903.41326513693002</v>
      </c>
      <c r="M1615">
        <v>17.414473524830701</v>
      </c>
      <c r="N1615">
        <v>51.995279183196999</v>
      </c>
      <c r="O1615">
        <v>51.207563742096703</v>
      </c>
      <c r="P1615">
        <v>-8.3374708467602199E-2</v>
      </c>
      <c r="Q1615">
        <v>1.9395836138234E-2</v>
      </c>
      <c r="R1615">
        <v>0.99696689329497401</v>
      </c>
      <c r="S1615" t="s">
        <v>8067</v>
      </c>
      <c r="T1615" t="s">
        <v>12902</v>
      </c>
      <c r="U1615" t="s">
        <v>12902</v>
      </c>
      <c r="V1615" t="s">
        <v>12902</v>
      </c>
      <c r="W1615" t="s">
        <v>14486</v>
      </c>
      <c r="X1615">
        <v>10</v>
      </c>
      <c r="Y1615" t="s">
        <v>20867</v>
      </c>
      <c r="Z1615" t="s">
        <v>27190</v>
      </c>
      <c r="AA1615">
        <v>0.4249145508351741</v>
      </c>
      <c r="AB1615" t="str">
        <f>HYPERLINK("Melting_Curves/meltCurve_O75396_SEC22B.pdf", "Melting_Curves/meltCurve_O75396_SEC22B.pdf")</f>
        <v>Melting_Curves/meltCurve_O75396_SEC22B.pdf</v>
      </c>
    </row>
    <row r="1616" spans="1:28" x14ac:dyDescent="0.25">
      <c r="A1616" t="s">
        <v>1620</v>
      </c>
      <c r="B1616">
        <v>0.99673306730245903</v>
      </c>
      <c r="C1616">
        <v>0.89487800126762196</v>
      </c>
      <c r="D1616">
        <v>0.40109237529529401</v>
      </c>
      <c r="E1616">
        <v>0.33261301681389399</v>
      </c>
      <c r="F1616">
        <v>0.14082769382375601</v>
      </c>
      <c r="G1616">
        <v>8.0692946181236097E-2</v>
      </c>
      <c r="H1616">
        <v>5.0078591097905599E-2</v>
      </c>
      <c r="I1616">
        <v>5.4472720921482802E-2</v>
      </c>
      <c r="J1616">
        <v>6.5323392989904194E-2</v>
      </c>
      <c r="K1616">
        <v>6.2986303405959093E-2</v>
      </c>
      <c r="L1616">
        <v>948.25187139428897</v>
      </c>
      <c r="M1616">
        <v>20.686495447556499</v>
      </c>
      <c r="N1616">
        <v>46.173413132365603</v>
      </c>
      <c r="O1616">
        <v>45.417259394819702</v>
      </c>
      <c r="P1616">
        <v>-0.10595442346828</v>
      </c>
      <c r="Q1616">
        <v>6.9533554740712405E-2</v>
      </c>
      <c r="R1616">
        <v>0.97137244215555096</v>
      </c>
      <c r="S1616" t="s">
        <v>8068</v>
      </c>
      <c r="T1616" t="s">
        <v>12902</v>
      </c>
      <c r="U1616" t="s">
        <v>12902</v>
      </c>
      <c r="V1616" t="s">
        <v>12902</v>
      </c>
      <c r="W1616" t="s">
        <v>14487</v>
      </c>
      <c r="X1616">
        <v>24</v>
      </c>
      <c r="Y1616" t="s">
        <v>20868</v>
      </c>
      <c r="Z1616" t="s">
        <v>27191</v>
      </c>
      <c r="AA1616">
        <v>0.26410431059311401</v>
      </c>
      <c r="AB1616" t="str">
        <f>HYPERLINK("Melting_Curves/meltCurve_O75400_3_PRPF40A.pdf", "Melting_Curves/meltCurve_O75400_3_PRPF40A.pdf")</f>
        <v>Melting_Curves/meltCurve_O75400_3_PRPF40A.pdf</v>
      </c>
    </row>
    <row r="1617" spans="1:28" x14ac:dyDescent="0.25">
      <c r="A1617" t="s">
        <v>1621</v>
      </c>
      <c r="B1617">
        <v>0.99673306730245903</v>
      </c>
      <c r="C1617">
        <v>0.87731311639897902</v>
      </c>
      <c r="D1617">
        <v>0.485710126389585</v>
      </c>
      <c r="E1617">
        <v>0.20591999766654001</v>
      </c>
      <c r="F1617">
        <v>0.112899158636485</v>
      </c>
      <c r="G1617">
        <v>6.8855890392757094E-2</v>
      </c>
      <c r="H1617">
        <v>3.2598568543465697E-2</v>
      </c>
      <c r="I1617">
        <v>3.3978976146649999E-2</v>
      </c>
      <c r="J1617">
        <v>2.8984419666512998E-2</v>
      </c>
      <c r="K1617">
        <v>1.6228353638922999E-2</v>
      </c>
      <c r="L1617">
        <v>1075.7770245944</v>
      </c>
      <c r="M1617">
        <v>23.3933471396602</v>
      </c>
      <c r="N1617">
        <v>46.151567143404598</v>
      </c>
      <c r="O1617">
        <v>45.654359666666799</v>
      </c>
      <c r="P1617">
        <v>-0.122960220568004</v>
      </c>
      <c r="Q1617">
        <v>4.0142129181562403E-2</v>
      </c>
      <c r="R1617">
        <v>0.99585824035137105</v>
      </c>
      <c r="S1617" t="s">
        <v>8069</v>
      </c>
      <c r="T1617" t="s">
        <v>12902</v>
      </c>
      <c r="U1617" t="s">
        <v>12902</v>
      </c>
      <c r="V1617" t="s">
        <v>12902</v>
      </c>
      <c r="W1617" t="s">
        <v>14488</v>
      </c>
      <c r="X1617">
        <v>2</v>
      </c>
      <c r="Y1617" t="s">
        <v>20869</v>
      </c>
      <c r="Z1617" t="s">
        <v>27192</v>
      </c>
      <c r="AA1617">
        <v>0.2420261878627889</v>
      </c>
      <c r="AB1617" t="str">
        <f>HYPERLINK("Melting_Curves/meltCurve_O75419_2_CDC45.pdf", "Melting_Curves/meltCurve_O75419_2_CDC45.pdf")</f>
        <v>Melting_Curves/meltCurve_O75419_2_CDC45.pdf</v>
      </c>
    </row>
    <row r="1618" spans="1:28" x14ac:dyDescent="0.25">
      <c r="A1618" t="s">
        <v>1622</v>
      </c>
      <c r="B1618">
        <v>0.99673306730245903</v>
      </c>
      <c r="C1618">
        <v>0.85798403526732503</v>
      </c>
      <c r="D1618">
        <v>0.71547044561013295</v>
      </c>
      <c r="E1618">
        <v>0.53185564842751998</v>
      </c>
      <c r="F1618">
        <v>0.38082975953766102</v>
      </c>
      <c r="G1618">
        <v>0.204849439621478</v>
      </c>
      <c r="H1618">
        <v>0.15256707744641301</v>
      </c>
      <c r="I1618">
        <v>0.19548840833849601</v>
      </c>
      <c r="J1618">
        <v>0.22026588036242301</v>
      </c>
      <c r="K1618">
        <v>0.207821379944789</v>
      </c>
      <c r="L1618">
        <v>701.66062896908898</v>
      </c>
      <c r="M1618">
        <v>14.517830411024899</v>
      </c>
      <c r="N1618">
        <v>49.758100321750497</v>
      </c>
      <c r="O1618">
        <v>47.4417136723483</v>
      </c>
      <c r="P1618">
        <v>-6.3483002000455299E-2</v>
      </c>
      <c r="Q1618">
        <v>0.17029016989359899</v>
      </c>
      <c r="R1618">
        <v>0.98600911963790705</v>
      </c>
      <c r="S1618" t="s">
        <v>8070</v>
      </c>
      <c r="T1618" t="s">
        <v>12902</v>
      </c>
      <c r="U1618" t="s">
        <v>12902</v>
      </c>
      <c r="V1618" t="s">
        <v>12902</v>
      </c>
      <c r="W1618" t="s">
        <v>14489</v>
      </c>
      <c r="X1618">
        <v>2</v>
      </c>
      <c r="Y1618" t="s">
        <v>20870</v>
      </c>
      <c r="Z1618" t="s">
        <v>27193</v>
      </c>
      <c r="AA1618">
        <v>0.42310685395814068</v>
      </c>
      <c r="AB1618" t="str">
        <f>HYPERLINK("Melting_Curves/meltCurve_O75420_GIGYF1.pdf", "Melting_Curves/meltCurve_O75420_GIGYF1.pdf")</f>
        <v>Melting_Curves/meltCurve_O75420_GIGYF1.pdf</v>
      </c>
    </row>
    <row r="1619" spans="1:28" x14ac:dyDescent="0.25">
      <c r="A1619" t="s">
        <v>1623</v>
      </c>
      <c r="B1619">
        <v>0.99673306730245903</v>
      </c>
      <c r="C1619">
        <v>0.871995064691234</v>
      </c>
      <c r="D1619">
        <v>0.68134463838665604</v>
      </c>
      <c r="E1619">
        <v>0.39203146175111198</v>
      </c>
      <c r="F1619">
        <v>0.28303453077808499</v>
      </c>
      <c r="G1619">
        <v>0.18762091095127101</v>
      </c>
      <c r="H1619">
        <v>0.138377263685592</v>
      </c>
      <c r="I1619">
        <v>0.11688598857586099</v>
      </c>
      <c r="J1619">
        <v>0.121483002411583</v>
      </c>
      <c r="K1619">
        <v>0.112218703802955</v>
      </c>
      <c r="L1619">
        <v>775.66709154483499</v>
      </c>
      <c r="M1619">
        <v>16.289215062810499</v>
      </c>
      <c r="N1619">
        <v>48.397482168362501</v>
      </c>
      <c r="O1619">
        <v>46.918128580148597</v>
      </c>
      <c r="P1619">
        <v>-7.6792083271424894E-2</v>
      </c>
      <c r="Q1619">
        <v>0.115322128457096</v>
      </c>
      <c r="R1619">
        <v>0.99675206962492402</v>
      </c>
      <c r="S1619" t="s">
        <v>8071</v>
      </c>
      <c r="T1619" t="s">
        <v>12902</v>
      </c>
      <c r="U1619" t="s">
        <v>12902</v>
      </c>
      <c r="V1619" t="s">
        <v>12902</v>
      </c>
      <c r="W1619" t="s">
        <v>14490</v>
      </c>
      <c r="X1619">
        <v>5</v>
      </c>
      <c r="Y1619" t="s">
        <v>20871</v>
      </c>
      <c r="Z1619" t="s">
        <v>27194</v>
      </c>
      <c r="AA1619">
        <v>0.35958943999181597</v>
      </c>
      <c r="AB1619" t="str">
        <f>HYPERLINK("Melting_Curves/meltCurve_O75427_LRCH4.pdf", "Melting_Curves/meltCurve_O75427_LRCH4.pdf")</f>
        <v>Melting_Curves/meltCurve_O75427_LRCH4.pdf</v>
      </c>
    </row>
    <row r="1620" spans="1:28" x14ac:dyDescent="0.25">
      <c r="A1620" t="s">
        <v>1624</v>
      </c>
      <c r="B1620">
        <v>0.99673306730245903</v>
      </c>
      <c r="C1620">
        <v>0.96200501828251095</v>
      </c>
      <c r="D1620">
        <v>1.0197246526802399</v>
      </c>
      <c r="E1620">
        <v>1.0269030228830101</v>
      </c>
      <c r="F1620">
        <v>0.69443400652484499</v>
      </c>
      <c r="G1620">
        <v>0.35701903467020502</v>
      </c>
      <c r="H1620">
        <v>0.15701893492826</v>
      </c>
      <c r="I1620">
        <v>0.16290746794900901</v>
      </c>
      <c r="J1620">
        <v>0.101904911582385</v>
      </c>
      <c r="K1620">
        <v>6.9561444202495507E-2</v>
      </c>
      <c r="L1620">
        <v>1545.04906621758</v>
      </c>
      <c r="M1620">
        <v>28.219677518213299</v>
      </c>
      <c r="N1620">
        <v>55.214817564502503</v>
      </c>
      <c r="O1620">
        <v>54.478041925534001</v>
      </c>
      <c r="P1620">
        <v>-0.11582967876353301</v>
      </c>
      <c r="Q1620">
        <v>0.105571407249187</v>
      </c>
      <c r="R1620">
        <v>0.99268567503976501</v>
      </c>
      <c r="S1620" t="s">
        <v>8072</v>
      </c>
      <c r="T1620" t="s">
        <v>12902</v>
      </c>
      <c r="U1620" t="s">
        <v>12902</v>
      </c>
      <c r="V1620" t="s">
        <v>12902</v>
      </c>
      <c r="W1620" t="s">
        <v>14491</v>
      </c>
      <c r="X1620">
        <v>11</v>
      </c>
      <c r="Y1620" t="s">
        <v>20872</v>
      </c>
      <c r="Z1620" t="s">
        <v>27195</v>
      </c>
      <c r="AA1620">
        <v>0.5519980852971802</v>
      </c>
      <c r="AB1620" t="str">
        <f>HYPERLINK("Melting_Curves/meltCurve_O75436_VPS26A.pdf", "Melting_Curves/meltCurve_O75436_VPS26A.pdf")</f>
        <v>Melting_Curves/meltCurve_O75436_VPS26A.pdf</v>
      </c>
    </row>
    <row r="1621" spans="1:28" x14ac:dyDescent="0.25">
      <c r="A1621" t="s">
        <v>1625</v>
      </c>
      <c r="B1621">
        <v>0.99673306730245903</v>
      </c>
      <c r="C1621">
        <v>1.09541541876893</v>
      </c>
      <c r="D1621">
        <v>1.0256123084673601</v>
      </c>
      <c r="E1621">
        <v>0.95896459313309901</v>
      </c>
      <c r="F1621">
        <v>0.77179993474682096</v>
      </c>
      <c r="G1621">
        <v>0.57707543189247301</v>
      </c>
      <c r="H1621">
        <v>0.52225630358910002</v>
      </c>
      <c r="I1621">
        <v>0.89334352079172896</v>
      </c>
      <c r="J1621">
        <v>1.1792484639178</v>
      </c>
      <c r="K1621">
        <v>1.2083551064395699</v>
      </c>
      <c r="L1621">
        <v>15000</v>
      </c>
      <c r="M1621">
        <v>225.35766561797601</v>
      </c>
      <c r="O1621">
        <v>66.555618115311503</v>
      </c>
      <c r="P1621">
        <v>0.17644257969825</v>
      </c>
      <c r="Q1621">
        <v>1.20843746130578</v>
      </c>
      <c r="R1621">
        <v>3.2248300579473498E-2</v>
      </c>
      <c r="S1621" t="s">
        <v>8073</v>
      </c>
      <c r="T1621" t="s">
        <v>12902</v>
      </c>
      <c r="U1621" t="s">
        <v>12902</v>
      </c>
      <c r="V1621" t="s">
        <v>12902</v>
      </c>
      <c r="W1621" t="s">
        <v>14492</v>
      </c>
      <c r="X1621">
        <v>3</v>
      </c>
      <c r="Y1621" t="s">
        <v>20873</v>
      </c>
      <c r="Z1621" t="s">
        <v>27196</v>
      </c>
      <c r="AA1621">
        <v>1.0238649244852129</v>
      </c>
      <c r="AB1621" t="str">
        <f>HYPERLINK("Melting_Curves/meltCurve_O75438_NDUFB1.pdf", "Melting_Curves/meltCurve_O75438_NDUFB1.pdf")</f>
        <v>Melting_Curves/meltCurve_O75438_NDUFB1.pdf</v>
      </c>
    </row>
    <row r="1622" spans="1:28" x14ac:dyDescent="0.25">
      <c r="A1622" t="s">
        <v>1626</v>
      </c>
      <c r="B1622">
        <v>0.99673306730245903</v>
      </c>
      <c r="C1622">
        <v>0.86520268678453205</v>
      </c>
      <c r="D1622">
        <v>0.805229370900305</v>
      </c>
      <c r="E1622">
        <v>0.83077470666226405</v>
      </c>
      <c r="F1622">
        <v>0.27900962914510302</v>
      </c>
      <c r="G1622">
        <v>0.13842252233008401</v>
      </c>
      <c r="H1622">
        <v>8.1227218828662601E-2</v>
      </c>
      <c r="I1622">
        <v>7.6909860275541295E-2</v>
      </c>
      <c r="J1622">
        <v>5.7733731563275402E-2</v>
      </c>
      <c r="K1622">
        <v>5.4687850795590402E-2</v>
      </c>
      <c r="L1622">
        <v>1464.61219533026</v>
      </c>
      <c r="M1622">
        <v>28.472493353263701</v>
      </c>
      <c r="N1622">
        <v>51.680587205917597</v>
      </c>
      <c r="O1622">
        <v>51.187807365796203</v>
      </c>
      <c r="P1622">
        <v>-0.13041305987847401</v>
      </c>
      <c r="Q1622">
        <v>6.2181879538715998E-2</v>
      </c>
      <c r="R1622">
        <v>0.96397228578423899</v>
      </c>
      <c r="S1622" t="s">
        <v>8074</v>
      </c>
      <c r="T1622" t="s">
        <v>12902</v>
      </c>
      <c r="U1622" t="s">
        <v>12902</v>
      </c>
      <c r="V1622" t="s">
        <v>12902</v>
      </c>
      <c r="W1622" t="s">
        <v>14493</v>
      </c>
      <c r="X1622">
        <v>22</v>
      </c>
      <c r="Y1622" t="s">
        <v>20874</v>
      </c>
      <c r="Z1622" t="s">
        <v>27197</v>
      </c>
      <c r="AA1622">
        <v>0.42637871625930662</v>
      </c>
      <c r="AB1622" t="str">
        <f>HYPERLINK("Melting_Curves/meltCurve_O75439_PMPCB.pdf", "Melting_Curves/meltCurve_O75439_PMPCB.pdf")</f>
        <v>Melting_Curves/meltCurve_O75439_PMPCB.pdf</v>
      </c>
    </row>
    <row r="1623" spans="1:28" x14ac:dyDescent="0.25">
      <c r="A1623" t="s">
        <v>1627</v>
      </c>
      <c r="B1623">
        <v>0.99673306730245903</v>
      </c>
      <c r="C1623">
        <v>0.90854003762348701</v>
      </c>
      <c r="D1623">
        <v>0.93017644652382603</v>
      </c>
      <c r="E1623">
        <v>0.91058547408550605</v>
      </c>
      <c r="F1623">
        <v>1.2078394740054399</v>
      </c>
      <c r="G1623">
        <v>0.75887769216357404</v>
      </c>
      <c r="H1623">
        <v>0.51285585376880705</v>
      </c>
      <c r="I1623">
        <v>0.230971204416903</v>
      </c>
      <c r="J1623">
        <v>0.13077900593011599</v>
      </c>
      <c r="K1623">
        <v>8.2038202615251701E-2</v>
      </c>
      <c r="L1623">
        <v>1597.64817838472</v>
      </c>
      <c r="M1623">
        <v>26.479274987610601</v>
      </c>
      <c r="N1623">
        <v>60.661014594300198</v>
      </c>
      <c r="O1623">
        <v>59.994825560747501</v>
      </c>
      <c r="P1623">
        <v>-0.10303946628789699</v>
      </c>
      <c r="Q1623">
        <v>6.6172521916017205E-2</v>
      </c>
      <c r="R1623">
        <v>0.94142346828108603</v>
      </c>
      <c r="S1623" t="s">
        <v>8075</v>
      </c>
      <c r="T1623" t="s">
        <v>12902</v>
      </c>
      <c r="U1623" t="s">
        <v>12902</v>
      </c>
      <c r="V1623" t="s">
        <v>12902</v>
      </c>
      <c r="W1623" t="s">
        <v>14494</v>
      </c>
      <c r="X1623">
        <v>1</v>
      </c>
      <c r="Y1623" t="s">
        <v>20875</v>
      </c>
      <c r="Z1623" t="s">
        <v>27198</v>
      </c>
      <c r="AA1623">
        <v>0.7054857053862158</v>
      </c>
      <c r="AB1623" t="str">
        <f>HYPERLINK("Melting_Curves/meltCurve_O75446_SAP30.pdf", "Melting_Curves/meltCurve_O75446_SAP30.pdf")</f>
        <v>Melting_Curves/meltCurve_O75446_SAP30.pdf</v>
      </c>
    </row>
    <row r="1624" spans="1:28" x14ac:dyDescent="0.25">
      <c r="A1624" t="s">
        <v>1628</v>
      </c>
      <c r="B1624">
        <v>0.99673306730245903</v>
      </c>
      <c r="C1624">
        <v>0.92029605868845699</v>
      </c>
      <c r="D1624">
        <v>0.88341940651166195</v>
      </c>
      <c r="E1624">
        <v>0.70659171223839501</v>
      </c>
      <c r="F1624">
        <v>0.28305208759918199</v>
      </c>
      <c r="G1624">
        <v>0.15603152317240301</v>
      </c>
      <c r="H1624">
        <v>9.3339975544013604E-2</v>
      </c>
      <c r="I1624">
        <v>9.35462749602127E-2</v>
      </c>
      <c r="J1624">
        <v>9.9294229596148198E-2</v>
      </c>
      <c r="K1624">
        <v>8.9363193715425407E-2</v>
      </c>
      <c r="L1624">
        <v>1200.46445332844</v>
      </c>
      <c r="M1624">
        <v>23.656795337964201</v>
      </c>
      <c r="N1624">
        <v>51.144805040547404</v>
      </c>
      <c r="O1624">
        <v>50.386582306581403</v>
      </c>
      <c r="P1624">
        <v>-0.107469942127305</v>
      </c>
      <c r="Q1624">
        <v>8.4414871611547898E-2</v>
      </c>
      <c r="R1624">
        <v>0.99317396695194105</v>
      </c>
      <c r="S1624" t="s">
        <v>8076</v>
      </c>
      <c r="T1624" t="s">
        <v>12902</v>
      </c>
      <c r="U1624" t="s">
        <v>12902</v>
      </c>
      <c r="V1624" t="s">
        <v>12902</v>
      </c>
      <c r="W1624" t="s">
        <v>14495</v>
      </c>
      <c r="X1624">
        <v>10</v>
      </c>
      <c r="Y1624" t="s">
        <v>20876</v>
      </c>
      <c r="Z1624" t="s">
        <v>27199</v>
      </c>
      <c r="AA1624">
        <v>0.42154419732376941</v>
      </c>
      <c r="AB1624" t="str">
        <f>HYPERLINK("Melting_Curves/meltCurve_O75449_KATNA1.pdf", "Melting_Curves/meltCurve_O75449_KATNA1.pdf")</f>
        <v>Melting_Curves/meltCurve_O75449_KATNA1.pdf</v>
      </c>
    </row>
    <row r="1625" spans="1:28" x14ac:dyDescent="0.25">
      <c r="A1625" t="s">
        <v>1629</v>
      </c>
      <c r="B1625">
        <v>0.99673306730245903</v>
      </c>
      <c r="C1625">
        <v>0.86249341915274502</v>
      </c>
      <c r="D1625">
        <v>0.80644786593395701</v>
      </c>
      <c r="E1625">
        <v>0.42299998037074799</v>
      </c>
      <c r="F1625">
        <v>0.158541311756113</v>
      </c>
      <c r="G1625">
        <v>0.10634418999720199</v>
      </c>
      <c r="H1625">
        <v>6.1613885592713601E-2</v>
      </c>
      <c r="I1625">
        <v>2.0210414150179299E-2</v>
      </c>
      <c r="J1625">
        <v>2.6729654185200801E-2</v>
      </c>
      <c r="K1625">
        <v>3.6176067829663101E-2</v>
      </c>
      <c r="L1625">
        <v>948.38545785280201</v>
      </c>
      <c r="M1625">
        <v>19.477124340242</v>
      </c>
      <c r="N1625">
        <v>48.834484008464003</v>
      </c>
      <c r="O1625">
        <v>48.187700050740197</v>
      </c>
      <c r="P1625">
        <v>-9.8265829661176599E-2</v>
      </c>
      <c r="Q1625">
        <v>2.7570380520847499E-2</v>
      </c>
      <c r="R1625">
        <v>0.99365137249965596</v>
      </c>
      <c r="S1625" t="s">
        <v>8077</v>
      </c>
      <c r="T1625" t="s">
        <v>12902</v>
      </c>
      <c r="U1625" t="s">
        <v>12902</v>
      </c>
      <c r="V1625" t="s">
        <v>12902</v>
      </c>
      <c r="W1625" t="s">
        <v>14496</v>
      </c>
      <c r="X1625">
        <v>2</v>
      </c>
      <c r="Y1625" t="s">
        <v>20877</v>
      </c>
      <c r="Z1625" t="s">
        <v>27200</v>
      </c>
      <c r="AA1625">
        <v>0.32375576383536192</v>
      </c>
      <c r="AB1625" t="str">
        <f>HYPERLINK("Melting_Curves/meltCurve_O75460_ERN1.pdf", "Melting_Curves/meltCurve_O75460_ERN1.pdf")</f>
        <v>Melting_Curves/meltCurve_O75460_ERN1.pdf</v>
      </c>
    </row>
    <row r="1626" spans="1:28" x14ac:dyDescent="0.25">
      <c r="A1626" t="s">
        <v>1630</v>
      </c>
      <c r="B1626">
        <v>0.99673306730245903</v>
      </c>
      <c r="C1626">
        <v>0.953688431051674</v>
      </c>
      <c r="D1626">
        <v>0.900464498679305</v>
      </c>
      <c r="E1626">
        <v>0.76212527738507596</v>
      </c>
      <c r="F1626">
        <v>0.44010089391469598</v>
      </c>
      <c r="G1626">
        <v>0.33923030052747599</v>
      </c>
      <c r="H1626">
        <v>0.252938245226487</v>
      </c>
      <c r="I1626">
        <v>0.371359031541522</v>
      </c>
      <c r="J1626">
        <v>0.54825146567687899</v>
      </c>
      <c r="K1626">
        <v>0.62946606866590604</v>
      </c>
      <c r="L1626">
        <v>2052.5034595098</v>
      </c>
      <c r="M1626">
        <v>41.166686151033801</v>
      </c>
      <c r="N1626">
        <v>52.2531338248398</v>
      </c>
      <c r="O1626">
        <v>49.741139941158302</v>
      </c>
      <c r="P1626">
        <v>-0.119133511823003</v>
      </c>
      <c r="Q1626">
        <v>0.42421153663808198</v>
      </c>
      <c r="R1626">
        <v>0.83853229059990897</v>
      </c>
      <c r="S1626" t="s">
        <v>8078</v>
      </c>
      <c r="T1626" t="s">
        <v>12902</v>
      </c>
      <c r="U1626" t="s">
        <v>12902</v>
      </c>
      <c r="V1626" t="s">
        <v>12902</v>
      </c>
      <c r="W1626" t="s">
        <v>14497</v>
      </c>
      <c r="X1626">
        <v>26</v>
      </c>
      <c r="Y1626" t="s">
        <v>20878</v>
      </c>
      <c r="Z1626" t="s">
        <v>27201</v>
      </c>
      <c r="AA1626">
        <v>0.61529584307708707</v>
      </c>
      <c r="AB1626" t="str">
        <f>HYPERLINK("Melting_Curves/meltCurve_O75475_PSIP1.pdf", "Melting_Curves/meltCurve_O75475_PSIP1.pdf")</f>
        <v>Melting_Curves/meltCurve_O75475_PSIP1.pdf</v>
      </c>
    </row>
    <row r="1627" spans="1:28" x14ac:dyDescent="0.25">
      <c r="A1627" t="s">
        <v>1631</v>
      </c>
      <c r="B1627">
        <v>0.99673306730245903</v>
      </c>
      <c r="C1627">
        <v>0.95834973494040399</v>
      </c>
      <c r="D1627">
        <v>0.878018218892474</v>
      </c>
      <c r="E1627">
        <v>0.80494493703455505</v>
      </c>
      <c r="F1627">
        <v>0.758665100443073</v>
      </c>
      <c r="G1627">
        <v>0.513902507161344</v>
      </c>
      <c r="H1627">
        <v>0.39613616792768602</v>
      </c>
      <c r="I1627">
        <v>0.52339818857329801</v>
      </c>
      <c r="J1627">
        <v>0.82398216908653499</v>
      </c>
      <c r="K1627">
        <v>0.92603146576453699</v>
      </c>
      <c r="L1627">
        <v>1045.4048600271899</v>
      </c>
      <c r="M1627">
        <v>21.7021200409614</v>
      </c>
      <c r="O1627">
        <v>47.767222469296698</v>
      </c>
      <c r="P1627">
        <v>-3.9832325291646299E-2</v>
      </c>
      <c r="Q1627">
        <v>0.649318180709617</v>
      </c>
      <c r="R1627">
        <v>0.44388993984109198</v>
      </c>
      <c r="S1627" t="s">
        <v>8079</v>
      </c>
      <c r="T1627" t="s">
        <v>12902</v>
      </c>
      <c r="U1627" t="s">
        <v>12902</v>
      </c>
      <c r="V1627" t="s">
        <v>12902</v>
      </c>
      <c r="W1627" t="s">
        <v>14498</v>
      </c>
      <c r="X1627">
        <v>18</v>
      </c>
      <c r="Y1627" t="s">
        <v>20878</v>
      </c>
      <c r="Z1627" t="s">
        <v>27202</v>
      </c>
      <c r="AA1627">
        <v>0.74900819233854954</v>
      </c>
      <c r="AB1627" t="str">
        <f>HYPERLINK("Melting_Curves/meltCurve_O75475_3_PSIP1.pdf", "Melting_Curves/meltCurve_O75475_3_PSIP1.pdf")</f>
        <v>Melting_Curves/meltCurve_O75475_3_PSIP1.pdf</v>
      </c>
    </row>
    <row r="1628" spans="1:28" x14ac:dyDescent="0.25">
      <c r="A1628" t="s">
        <v>1632</v>
      </c>
      <c r="B1628">
        <v>0.99673306730245903</v>
      </c>
      <c r="C1628">
        <v>1.11825562349704</v>
      </c>
      <c r="D1628">
        <v>0.85628403759427596</v>
      </c>
      <c r="E1628">
        <v>0.65162030831737905</v>
      </c>
      <c r="F1628">
        <v>0.250873195090002</v>
      </c>
      <c r="G1628">
        <v>0.13747109418211201</v>
      </c>
      <c r="H1628">
        <v>0.108251847976866</v>
      </c>
      <c r="I1628">
        <v>0.12030748936999</v>
      </c>
      <c r="J1628">
        <v>0.14995549898990801</v>
      </c>
      <c r="K1628">
        <v>0.146088241945736</v>
      </c>
      <c r="L1628">
        <v>1399.53063369509</v>
      </c>
      <c r="M1628">
        <v>27.9378543385203</v>
      </c>
      <c r="N1628">
        <v>50.607539332470601</v>
      </c>
      <c r="O1628">
        <v>49.839867448984101</v>
      </c>
      <c r="P1628">
        <v>-0.122854432130659</v>
      </c>
      <c r="Q1628">
        <v>0.123340551388446</v>
      </c>
      <c r="R1628">
        <v>0.98339017507038695</v>
      </c>
      <c r="S1628" t="s">
        <v>8080</v>
      </c>
      <c r="T1628" t="s">
        <v>12902</v>
      </c>
      <c r="U1628" t="s">
        <v>12902</v>
      </c>
      <c r="V1628" t="s">
        <v>12902</v>
      </c>
      <c r="W1628" t="s">
        <v>14499</v>
      </c>
      <c r="X1628">
        <v>6</v>
      </c>
      <c r="Y1628" t="s">
        <v>20879</v>
      </c>
      <c r="Z1628" t="s">
        <v>27203</v>
      </c>
      <c r="AA1628">
        <v>0.42459041188684649</v>
      </c>
      <c r="AB1628" t="str">
        <f>HYPERLINK("Melting_Curves/meltCurve_O75477_ERLIN1.pdf", "Melting_Curves/meltCurve_O75477_ERLIN1.pdf")</f>
        <v>Melting_Curves/meltCurve_O75477_ERLIN1.pdf</v>
      </c>
    </row>
    <row r="1629" spans="1:28" x14ac:dyDescent="0.25">
      <c r="A1629" t="s">
        <v>1633</v>
      </c>
      <c r="B1629">
        <v>0.99673306730245903</v>
      </c>
      <c r="C1629">
        <v>0.99256401477656497</v>
      </c>
      <c r="D1629">
        <v>0.94441781922229395</v>
      </c>
      <c r="E1629">
        <v>0.89944129598799305</v>
      </c>
      <c r="F1629">
        <v>0.77493490695706002</v>
      </c>
      <c r="G1629">
        <v>0.55057459692058597</v>
      </c>
      <c r="H1629">
        <v>0.31763078618756402</v>
      </c>
      <c r="I1629">
        <v>0.28724466113973102</v>
      </c>
      <c r="J1629">
        <v>0.26098254357053902</v>
      </c>
      <c r="K1629">
        <v>0.20928854365285199</v>
      </c>
      <c r="L1629">
        <v>948.67445458784596</v>
      </c>
      <c r="M1629">
        <v>16.992196930752101</v>
      </c>
      <c r="N1629">
        <v>57.496283413451501</v>
      </c>
      <c r="O1629">
        <v>55.073961226273802</v>
      </c>
      <c r="P1629">
        <v>-6.2139955325999502E-2</v>
      </c>
      <c r="Q1629">
        <v>0.194434602512394</v>
      </c>
      <c r="R1629">
        <v>0.99593097213355997</v>
      </c>
      <c r="S1629" t="s">
        <v>8081</v>
      </c>
      <c r="T1629" t="s">
        <v>12902</v>
      </c>
      <c r="U1629" t="s">
        <v>12902</v>
      </c>
      <c r="V1629" t="s">
        <v>12902</v>
      </c>
      <c r="W1629" t="s">
        <v>14500</v>
      </c>
      <c r="X1629">
        <v>4</v>
      </c>
      <c r="Y1629" t="s">
        <v>20880</v>
      </c>
      <c r="Z1629" t="s">
        <v>27204</v>
      </c>
      <c r="AA1629">
        <v>0.63231965218745956</v>
      </c>
      <c r="AB1629" t="str">
        <f>HYPERLINK("Melting_Curves/meltCurve_O75487_GPC4.pdf", "Melting_Curves/meltCurve_O75487_GPC4.pdf")</f>
        <v>Melting_Curves/meltCurve_O75487_GPC4.pdf</v>
      </c>
    </row>
    <row r="1630" spans="1:28" x14ac:dyDescent="0.25">
      <c r="A1630" t="s">
        <v>1634</v>
      </c>
      <c r="B1630">
        <v>0.99673306730245903</v>
      </c>
      <c r="C1630">
        <v>0.99116284710728997</v>
      </c>
      <c r="D1630">
        <v>0.90975481684941994</v>
      </c>
      <c r="E1630">
        <v>0.90359278474033899</v>
      </c>
      <c r="F1630">
        <v>0.680969297780043</v>
      </c>
      <c r="G1630">
        <v>0.447567183346327</v>
      </c>
      <c r="H1630">
        <v>0.20864369187328499</v>
      </c>
      <c r="I1630">
        <v>0.116401878954139</v>
      </c>
      <c r="J1630">
        <v>0.10793874474771201</v>
      </c>
      <c r="K1630">
        <v>8.6664390442437594E-2</v>
      </c>
      <c r="L1630">
        <v>930.24866699458096</v>
      </c>
      <c r="M1630">
        <v>16.774030200612199</v>
      </c>
      <c r="N1630">
        <v>55.781900320138</v>
      </c>
      <c r="O1630">
        <v>54.687456570776703</v>
      </c>
      <c r="P1630">
        <v>-7.3124323981091005E-2</v>
      </c>
      <c r="Q1630">
        <v>4.6449120865873397E-2</v>
      </c>
      <c r="R1630">
        <v>0.99609807973403097</v>
      </c>
      <c r="S1630" t="s">
        <v>8082</v>
      </c>
      <c r="T1630" t="s">
        <v>12902</v>
      </c>
      <c r="U1630" t="s">
        <v>12902</v>
      </c>
      <c r="V1630" t="s">
        <v>12902</v>
      </c>
      <c r="W1630" t="s">
        <v>14501</v>
      </c>
      <c r="X1630">
        <v>17</v>
      </c>
      <c r="Y1630" t="s">
        <v>20881</v>
      </c>
      <c r="Z1630" t="s">
        <v>27205</v>
      </c>
      <c r="AA1630">
        <v>0.55352925015183807</v>
      </c>
      <c r="AB1630" t="str">
        <f>HYPERLINK("Melting_Curves/meltCurve_O75489_NDUFS3.pdf", "Melting_Curves/meltCurve_O75489_NDUFS3.pdf")</f>
        <v>Melting_Curves/meltCurve_O75489_NDUFS3.pdf</v>
      </c>
    </row>
    <row r="1631" spans="1:28" x14ac:dyDescent="0.25">
      <c r="A1631" t="s">
        <v>1635</v>
      </c>
      <c r="B1631">
        <v>0.99673306730245903</v>
      </c>
      <c r="C1631">
        <v>0.99958178505434203</v>
      </c>
      <c r="D1631">
        <v>0.95635270853189203</v>
      </c>
      <c r="E1631">
        <v>0.87187164156701502</v>
      </c>
      <c r="F1631">
        <v>0.430948468835468</v>
      </c>
      <c r="G1631">
        <v>0.20690727521194799</v>
      </c>
      <c r="H1631">
        <v>0.115054580568626</v>
      </c>
      <c r="I1631">
        <v>0.123202009810205</v>
      </c>
      <c r="J1631">
        <v>0.156447629976534</v>
      </c>
      <c r="K1631">
        <v>0.16707853952940799</v>
      </c>
      <c r="L1631">
        <v>1708.6457108401701</v>
      </c>
      <c r="M1631">
        <v>32.768231901226599</v>
      </c>
      <c r="N1631">
        <v>52.672043779966998</v>
      </c>
      <c r="O1631">
        <v>51.950309830047203</v>
      </c>
      <c r="P1631">
        <v>-0.13559146870469099</v>
      </c>
      <c r="Q1631">
        <v>0.140144430739676</v>
      </c>
      <c r="R1631">
        <v>0.99743922459830403</v>
      </c>
      <c r="S1631" t="s">
        <v>8083</v>
      </c>
      <c r="T1631" t="s">
        <v>12902</v>
      </c>
      <c r="U1631" t="s">
        <v>12902</v>
      </c>
      <c r="V1631" t="s">
        <v>12902</v>
      </c>
      <c r="W1631" t="s">
        <v>14502</v>
      </c>
      <c r="X1631">
        <v>8</v>
      </c>
      <c r="Y1631" t="s">
        <v>20882</v>
      </c>
      <c r="Z1631" t="s">
        <v>27206</v>
      </c>
      <c r="AA1631">
        <v>0.49281557176043422</v>
      </c>
      <c r="AB1631" t="str">
        <f>HYPERLINK("Melting_Curves/meltCurve_O75503_CLN5.pdf", "Melting_Curves/meltCurve_O75503_CLN5.pdf")</f>
        <v>Melting_Curves/meltCurve_O75503_CLN5.pdf</v>
      </c>
    </row>
    <row r="1632" spans="1:28" x14ac:dyDescent="0.25">
      <c r="A1632" t="s">
        <v>1636</v>
      </c>
      <c r="B1632">
        <v>0.99673306730245903</v>
      </c>
      <c r="C1632">
        <v>0.96808493964069198</v>
      </c>
      <c r="D1632">
        <v>0.87372052205507</v>
      </c>
      <c r="E1632">
        <v>0.84067865622133298</v>
      </c>
      <c r="F1632">
        <v>0.74109423219549597</v>
      </c>
      <c r="G1632">
        <v>0.64998085285775298</v>
      </c>
      <c r="H1632">
        <v>0.46750085658619001</v>
      </c>
      <c r="I1632">
        <v>0.835353297812087</v>
      </c>
      <c r="J1632">
        <v>0.956416347250583</v>
      </c>
      <c r="K1632">
        <v>0.98654439202384703</v>
      </c>
      <c r="L1632">
        <v>1265.49096281994</v>
      </c>
      <c r="M1632">
        <v>27.643301957856501</v>
      </c>
      <c r="O1632">
        <v>45.541733587955001</v>
      </c>
      <c r="P1632">
        <v>-3.3794140716247097E-2</v>
      </c>
      <c r="Q1632">
        <v>0.77730158688331097</v>
      </c>
      <c r="R1632">
        <v>0.25273019654124901</v>
      </c>
      <c r="S1632" t="s">
        <v>8084</v>
      </c>
      <c r="T1632" t="s">
        <v>12902</v>
      </c>
      <c r="U1632" t="s">
        <v>12902</v>
      </c>
      <c r="V1632" t="s">
        <v>12902</v>
      </c>
      <c r="W1632" t="s">
        <v>14503</v>
      </c>
      <c r="X1632">
        <v>3</v>
      </c>
      <c r="Y1632" t="s">
        <v>20883</v>
      </c>
      <c r="Z1632" t="s">
        <v>27207</v>
      </c>
      <c r="AA1632">
        <v>0.82185274737052672</v>
      </c>
      <c r="AB1632" t="str">
        <f>HYPERLINK("Melting_Curves/meltCurve_O75506_HSBP1.pdf", "Melting_Curves/meltCurve_O75506_HSBP1.pdf")</f>
        <v>Melting_Curves/meltCurve_O75506_HSBP1.pdf</v>
      </c>
    </row>
    <row r="1633" spans="1:28" x14ac:dyDescent="0.25">
      <c r="A1633" t="s">
        <v>1637</v>
      </c>
      <c r="B1633">
        <v>0.99673306730245903</v>
      </c>
      <c r="C1633">
        <v>0.684028874529933</v>
      </c>
      <c r="D1633">
        <v>1.13265059730533</v>
      </c>
      <c r="E1633">
        <v>1.0070603611242299</v>
      </c>
      <c r="F1633">
        <v>0.52567553584562099</v>
      </c>
      <c r="G1633">
        <v>0.44558244058648799</v>
      </c>
      <c r="H1633">
        <v>0.207669419905573</v>
      </c>
      <c r="I1633">
        <v>8.0226803535278293E-2</v>
      </c>
      <c r="J1633">
        <v>7.6695386529510107E-2</v>
      </c>
      <c r="K1633">
        <v>9.10971911343154E-2</v>
      </c>
      <c r="L1633">
        <v>1093.30938126725</v>
      </c>
      <c r="M1633">
        <v>19.999596875756598</v>
      </c>
      <c r="N1633">
        <v>55.085901743347797</v>
      </c>
      <c r="O1633">
        <v>54.128848158968601</v>
      </c>
      <c r="P1633">
        <v>-8.5850911399147897E-2</v>
      </c>
      <c r="Q1633">
        <v>7.0609753963014804E-2</v>
      </c>
      <c r="R1633">
        <v>0.895954541606373</v>
      </c>
      <c r="S1633" t="s">
        <v>8085</v>
      </c>
      <c r="T1633" t="s">
        <v>12902</v>
      </c>
      <c r="U1633" t="s">
        <v>12902</v>
      </c>
      <c r="V1633" t="s">
        <v>12902</v>
      </c>
      <c r="W1633" t="s">
        <v>14504</v>
      </c>
      <c r="X1633">
        <v>16</v>
      </c>
      <c r="Y1633" t="s">
        <v>20884</v>
      </c>
      <c r="Z1633" t="s">
        <v>27208</v>
      </c>
      <c r="AA1633">
        <v>0.53745006539673978</v>
      </c>
      <c r="AB1633" t="str">
        <f>HYPERLINK("Melting_Curves/meltCurve_O75521_2_ECI2.pdf", "Melting_Curves/meltCurve_O75521_2_ECI2.pdf")</f>
        <v>Melting_Curves/meltCurve_O75521_2_ECI2.pdf</v>
      </c>
    </row>
    <row r="1634" spans="1:28" x14ac:dyDescent="0.25">
      <c r="A1634" t="s">
        <v>1638</v>
      </c>
      <c r="B1634">
        <v>0.99673306730245903</v>
      </c>
      <c r="C1634">
        <v>0.95642586568972399</v>
      </c>
      <c r="D1634">
        <v>0.95326834556426399</v>
      </c>
      <c r="E1634">
        <v>0.82902841901118995</v>
      </c>
      <c r="F1634">
        <v>0.28755189345171001</v>
      </c>
      <c r="G1634">
        <v>0.18443100558586001</v>
      </c>
      <c r="H1634">
        <v>0.11680714287805501</v>
      </c>
      <c r="I1634">
        <v>0.126703285556098</v>
      </c>
      <c r="J1634">
        <v>0.13249523808209601</v>
      </c>
      <c r="K1634">
        <v>7.6912690195653097E-2</v>
      </c>
      <c r="L1634">
        <v>1970.48874097731</v>
      </c>
      <c r="M1634">
        <v>38.385120816679503</v>
      </c>
      <c r="N1634">
        <v>51.706102140829202</v>
      </c>
      <c r="O1634">
        <v>51.195967439207102</v>
      </c>
      <c r="P1634">
        <v>-0.16485762196678999</v>
      </c>
      <c r="Q1634">
        <v>0.12048995971844099</v>
      </c>
      <c r="R1634">
        <v>0.99502646186006605</v>
      </c>
      <c r="S1634" t="s">
        <v>8086</v>
      </c>
      <c r="T1634" t="s">
        <v>12902</v>
      </c>
      <c r="U1634" t="s">
        <v>12902</v>
      </c>
      <c r="V1634" t="s">
        <v>12902</v>
      </c>
      <c r="W1634" t="s">
        <v>14505</v>
      </c>
      <c r="X1634">
        <v>8</v>
      </c>
      <c r="Y1634" t="s">
        <v>20885</v>
      </c>
      <c r="Z1634" t="s">
        <v>27209</v>
      </c>
      <c r="AA1634">
        <v>0.45617959095734939</v>
      </c>
      <c r="AB1634" t="str">
        <f>HYPERLINK("Melting_Curves/meltCurve_O75530_3_EED.pdf", "Melting_Curves/meltCurve_O75530_3_EED.pdf")</f>
        <v>Melting_Curves/meltCurve_O75530_3_EED.pdf</v>
      </c>
    </row>
    <row r="1635" spans="1:28" x14ac:dyDescent="0.25">
      <c r="A1635" t="s">
        <v>1639</v>
      </c>
      <c r="B1635">
        <v>0.99673306730245903</v>
      </c>
      <c r="C1635">
        <v>0.88561804263344202</v>
      </c>
      <c r="D1635">
        <v>4.1737857229492201</v>
      </c>
      <c r="E1635">
        <v>6.3641134195972198</v>
      </c>
      <c r="F1635">
        <v>1.50537396025531</v>
      </c>
      <c r="G1635">
        <v>1.47716790645921</v>
      </c>
      <c r="H1635">
        <v>0.49463344833615602</v>
      </c>
      <c r="I1635">
        <v>0.69973856828238901</v>
      </c>
      <c r="J1635">
        <v>0.90168713838579295</v>
      </c>
      <c r="K1635">
        <v>1.0240862075806501</v>
      </c>
      <c r="L1635">
        <v>11030.502364062</v>
      </c>
      <c r="M1635">
        <v>250</v>
      </c>
      <c r="O1635">
        <v>44.119185964953502</v>
      </c>
      <c r="P1635">
        <v>0.70830862742836598</v>
      </c>
      <c r="Q1635">
        <v>1.5</v>
      </c>
      <c r="R1635">
        <v>-1.9227979787454798E-2</v>
      </c>
      <c r="S1635" t="s">
        <v>8087</v>
      </c>
      <c r="T1635" t="s">
        <v>12902</v>
      </c>
      <c r="U1635" t="s">
        <v>12902</v>
      </c>
      <c r="V1635" t="s">
        <v>12902</v>
      </c>
      <c r="W1635" t="s">
        <v>14506</v>
      </c>
      <c r="X1635">
        <v>11</v>
      </c>
      <c r="Y1635" t="s">
        <v>20886</v>
      </c>
      <c r="Z1635" t="s">
        <v>27210</v>
      </c>
      <c r="AA1635">
        <v>1.4312611256758889</v>
      </c>
      <c r="AB1635" t="str">
        <f>HYPERLINK("Melting_Curves/meltCurve_O75531_BANF1.pdf", "Melting_Curves/meltCurve_O75531_BANF1.pdf")</f>
        <v>Melting_Curves/meltCurve_O75531_BANF1.pdf</v>
      </c>
    </row>
    <row r="1636" spans="1:28" x14ac:dyDescent="0.25">
      <c r="A1636" t="s">
        <v>1640</v>
      </c>
      <c r="B1636">
        <v>0.99673306730245903</v>
      </c>
      <c r="C1636">
        <v>0.85749562946620395</v>
      </c>
      <c r="D1636">
        <v>0.82355911915557201</v>
      </c>
      <c r="E1636">
        <v>0.58400853931967101</v>
      </c>
      <c r="F1636">
        <v>0.28420881364343697</v>
      </c>
      <c r="G1636">
        <v>0.18221403723191601</v>
      </c>
      <c r="H1636">
        <v>0.12653913770983199</v>
      </c>
      <c r="I1636">
        <v>0.14632065154735999</v>
      </c>
      <c r="J1636">
        <v>0.180574187363303</v>
      </c>
      <c r="K1636">
        <v>0.194262960335464</v>
      </c>
      <c r="L1636">
        <v>915.95615008432696</v>
      </c>
      <c r="M1636">
        <v>18.619095113082601</v>
      </c>
      <c r="N1636">
        <v>50.108786384045104</v>
      </c>
      <c r="O1636">
        <v>48.637509955502097</v>
      </c>
      <c r="P1636">
        <v>-8.1923432767645799E-2</v>
      </c>
      <c r="Q1636">
        <v>0.14402293833514199</v>
      </c>
      <c r="R1636">
        <v>0.98412896117832604</v>
      </c>
      <c r="S1636" t="s">
        <v>8088</v>
      </c>
      <c r="T1636" t="s">
        <v>12902</v>
      </c>
      <c r="U1636" t="s">
        <v>12902</v>
      </c>
      <c r="V1636" t="s">
        <v>12902</v>
      </c>
      <c r="W1636" t="s">
        <v>14507</v>
      </c>
      <c r="X1636">
        <v>39</v>
      </c>
      <c r="Y1636" t="s">
        <v>20887</v>
      </c>
      <c r="Z1636" t="s">
        <v>27211</v>
      </c>
      <c r="AA1636">
        <v>0.42018010890997493</v>
      </c>
      <c r="AB1636" t="str">
        <f>HYPERLINK("Melting_Curves/meltCurve_O75533_SF3B1.pdf", "Melting_Curves/meltCurve_O75533_SF3B1.pdf")</f>
        <v>Melting_Curves/meltCurve_O75533_SF3B1.pdf</v>
      </c>
    </row>
    <row r="1637" spans="1:28" x14ac:dyDescent="0.25">
      <c r="A1637" t="s">
        <v>1641</v>
      </c>
      <c r="B1637">
        <v>0.99673306730245903</v>
      </c>
      <c r="C1637">
        <v>0.92242288100394598</v>
      </c>
      <c r="D1637">
        <v>0.340059976373981</v>
      </c>
      <c r="E1637">
        <v>0.16487329347694099</v>
      </c>
      <c r="F1637">
        <v>0.101724657846003</v>
      </c>
      <c r="G1637">
        <v>6.4213266400579797E-2</v>
      </c>
      <c r="H1637">
        <v>4.0832667880550302E-2</v>
      </c>
      <c r="I1637">
        <v>3.6195925698035598E-2</v>
      </c>
      <c r="J1637">
        <v>3.6523039445131501E-2</v>
      </c>
      <c r="K1637">
        <v>3.2916086376998499E-2</v>
      </c>
      <c r="L1637">
        <v>1856.1265550834601</v>
      </c>
      <c r="M1637">
        <v>41.126657948176401</v>
      </c>
      <c r="N1637">
        <v>45.28005268239</v>
      </c>
      <c r="O1637">
        <v>45.025629201949698</v>
      </c>
      <c r="P1637">
        <v>-0.21398189268468401</v>
      </c>
      <c r="Q1637">
        <v>6.2928529401177394E-2</v>
      </c>
      <c r="R1637">
        <v>0.99105118181832597</v>
      </c>
      <c r="S1637" t="s">
        <v>8089</v>
      </c>
      <c r="T1637" t="s">
        <v>12902</v>
      </c>
      <c r="U1637" t="s">
        <v>12902</v>
      </c>
      <c r="V1637" t="s">
        <v>12902</v>
      </c>
      <c r="W1637" t="s">
        <v>14508</v>
      </c>
      <c r="X1637">
        <v>35</v>
      </c>
      <c r="Y1637" t="s">
        <v>20888</v>
      </c>
      <c r="Z1637" t="s">
        <v>27212</v>
      </c>
      <c r="AA1637">
        <v>0.2261253397065898</v>
      </c>
      <c r="AB1637" t="str">
        <f>HYPERLINK("Melting_Curves/meltCurve_O75534_CSDE1.pdf", "Melting_Curves/meltCurve_O75534_CSDE1.pdf")</f>
        <v>Melting_Curves/meltCurve_O75534_CSDE1.pdf</v>
      </c>
    </row>
    <row r="1638" spans="1:28" x14ac:dyDescent="0.25">
      <c r="A1638" t="s">
        <v>1642</v>
      </c>
      <c r="B1638">
        <v>0.99673306730245903</v>
      </c>
      <c r="C1638">
        <v>0.97227813152345399</v>
      </c>
      <c r="D1638">
        <v>1.00127599704255</v>
      </c>
      <c r="E1638">
        <v>0.97693885538661096</v>
      </c>
      <c r="F1638">
        <v>0.88122426488356098</v>
      </c>
      <c r="G1638">
        <v>0.76057561000115603</v>
      </c>
      <c r="H1638">
        <v>0.55534792657028997</v>
      </c>
      <c r="I1638">
        <v>0.73317687066187698</v>
      </c>
      <c r="J1638">
        <v>0.87601126877362501</v>
      </c>
      <c r="K1638">
        <v>0.92011446858125101</v>
      </c>
      <c r="L1638">
        <v>3927.216022094</v>
      </c>
      <c r="M1638">
        <v>73.889148572714404</v>
      </c>
      <c r="O1638">
        <v>53.1112121244294</v>
      </c>
      <c r="P1638">
        <v>-8.0435930905067801E-2</v>
      </c>
      <c r="Q1638">
        <v>0.76873199346452203</v>
      </c>
      <c r="R1638">
        <v>0.55948064838865796</v>
      </c>
      <c r="S1638" t="s">
        <v>8090</v>
      </c>
      <c r="T1638" t="s">
        <v>12902</v>
      </c>
      <c r="U1638" t="s">
        <v>12902</v>
      </c>
      <c r="V1638" t="s">
        <v>12902</v>
      </c>
      <c r="W1638" t="s">
        <v>14509</v>
      </c>
      <c r="X1638">
        <v>9</v>
      </c>
      <c r="Y1638" t="s">
        <v>20889</v>
      </c>
      <c r="Z1638" t="s">
        <v>27213</v>
      </c>
      <c r="AA1638">
        <v>0.87035280604305021</v>
      </c>
      <c r="AB1638" t="str">
        <f>HYPERLINK("Melting_Curves/meltCurve_O75554_WBP4.pdf", "Melting_Curves/meltCurve_O75554_WBP4.pdf")</f>
        <v>Melting_Curves/meltCurve_O75554_WBP4.pdf</v>
      </c>
    </row>
    <row r="1639" spans="1:28" x14ac:dyDescent="0.25">
      <c r="A1639" t="s">
        <v>1643</v>
      </c>
      <c r="B1639">
        <v>0.99673306730245903</v>
      </c>
      <c r="C1639">
        <v>0.95105197295381305</v>
      </c>
      <c r="D1639">
        <v>0.67901301329019803</v>
      </c>
      <c r="E1639">
        <v>0.44330221567383699</v>
      </c>
      <c r="F1639">
        <v>0.31006853217698499</v>
      </c>
      <c r="G1639">
        <v>0.19111094448407301</v>
      </c>
      <c r="H1639">
        <v>0.132499547333847</v>
      </c>
      <c r="I1639">
        <v>0.13121737515698301</v>
      </c>
      <c r="J1639">
        <v>0.136053260647923</v>
      </c>
      <c r="K1639">
        <v>0.118800694489321</v>
      </c>
      <c r="L1639">
        <v>805.30867075172705</v>
      </c>
      <c r="M1639">
        <v>16.741106715070998</v>
      </c>
      <c r="N1639">
        <v>48.930721065621299</v>
      </c>
      <c r="O1639">
        <v>47.433019599315202</v>
      </c>
      <c r="P1639">
        <v>-7.7367279082684801E-2</v>
      </c>
      <c r="Q1639">
        <v>0.12323053880292199</v>
      </c>
      <c r="R1639">
        <v>0.99318119717903297</v>
      </c>
      <c r="S1639" t="s">
        <v>8091</v>
      </c>
      <c r="T1639" t="s">
        <v>12902</v>
      </c>
      <c r="U1639" t="s">
        <v>12902</v>
      </c>
      <c r="V1639" t="s">
        <v>12902</v>
      </c>
      <c r="W1639" t="s">
        <v>14510</v>
      </c>
      <c r="X1639">
        <v>2</v>
      </c>
      <c r="Y1639" t="s">
        <v>20890</v>
      </c>
      <c r="Z1639" t="s">
        <v>27214</v>
      </c>
      <c r="AA1639">
        <v>0.37807489666367228</v>
      </c>
      <c r="AB1639" t="str">
        <f>HYPERLINK("Melting_Curves/meltCurve_O75569_3_PRKRA.pdf", "Melting_Curves/meltCurve_O75569_3_PRKRA.pdf")</f>
        <v>Melting_Curves/meltCurve_O75569_3_PRKRA.pdf</v>
      </c>
    </row>
    <row r="1640" spans="1:28" x14ac:dyDescent="0.25">
      <c r="A1640" t="s">
        <v>1644</v>
      </c>
      <c r="B1640">
        <v>0.99673306730245903</v>
      </c>
      <c r="C1640">
        <v>0.89365785835543299</v>
      </c>
      <c r="D1640">
        <v>0.69869625267458302</v>
      </c>
      <c r="E1640">
        <v>0.28583009685060101</v>
      </c>
      <c r="F1640">
        <v>0.110502666793195</v>
      </c>
      <c r="G1640">
        <v>5.8222511711005898E-2</v>
      </c>
      <c r="H1640">
        <v>3.87740541953039E-2</v>
      </c>
      <c r="I1640">
        <v>2.9797365461624599E-2</v>
      </c>
      <c r="J1640">
        <v>3.87160532073293E-2</v>
      </c>
      <c r="K1640">
        <v>2.7714451080917701E-2</v>
      </c>
      <c r="L1640">
        <v>1072.2877467727301</v>
      </c>
      <c r="M1640">
        <v>22.594638211987402</v>
      </c>
      <c r="N1640">
        <v>47.593251752027399</v>
      </c>
      <c r="O1640">
        <v>47.0905438335841</v>
      </c>
      <c r="P1640">
        <v>-0.116215227560877</v>
      </c>
      <c r="Q1640">
        <v>3.1180640709268001E-2</v>
      </c>
      <c r="R1640">
        <v>0.99907614294655001</v>
      </c>
      <c r="S1640" t="s">
        <v>8092</v>
      </c>
      <c r="T1640" t="s">
        <v>12902</v>
      </c>
      <c r="U1640" t="s">
        <v>12902</v>
      </c>
      <c r="V1640" t="s">
        <v>12902</v>
      </c>
      <c r="W1640" t="s">
        <v>14511</v>
      </c>
      <c r="X1640">
        <v>1</v>
      </c>
      <c r="Y1640" t="s">
        <v>20891</v>
      </c>
      <c r="Z1640" t="s">
        <v>27215</v>
      </c>
      <c r="AA1640">
        <v>0.28272052232567763</v>
      </c>
      <c r="AB1640" t="str">
        <f>HYPERLINK("Melting_Curves/meltCurve_O75570_MTRF1.pdf", "Melting_Curves/meltCurve_O75570_MTRF1.pdf")</f>
        <v>Melting_Curves/meltCurve_O75570_MTRF1.pdf</v>
      </c>
    </row>
    <row r="1641" spans="1:28" x14ac:dyDescent="0.25">
      <c r="A1641" t="s">
        <v>1645</v>
      </c>
      <c r="B1641">
        <v>0.99673306730245903</v>
      </c>
      <c r="C1641">
        <v>0.85011042870859799</v>
      </c>
      <c r="D1641">
        <v>0.69019064427438104</v>
      </c>
      <c r="E1641">
        <v>0.54481659995536802</v>
      </c>
      <c r="F1641">
        <v>0.34374004859781798</v>
      </c>
      <c r="G1641">
        <v>0.211672040291109</v>
      </c>
      <c r="H1641">
        <v>0.13392681172981799</v>
      </c>
      <c r="I1641">
        <v>0.14022201083658201</v>
      </c>
      <c r="J1641">
        <v>0.123974749025483</v>
      </c>
      <c r="K1641">
        <v>0.112033759036739</v>
      </c>
      <c r="L1641">
        <v>611.369594090644</v>
      </c>
      <c r="M1641">
        <v>12.457625115785399</v>
      </c>
      <c r="N1641">
        <v>49.810808251767703</v>
      </c>
      <c r="O1641">
        <v>47.862811402242102</v>
      </c>
      <c r="P1641">
        <v>-5.9619600829516499E-2</v>
      </c>
      <c r="Q1641">
        <v>8.39451710962901E-2</v>
      </c>
      <c r="R1641">
        <v>0.99405677021680405</v>
      </c>
      <c r="S1641" t="s">
        <v>8093</v>
      </c>
      <c r="T1641" t="s">
        <v>12902</v>
      </c>
      <c r="U1641" t="s">
        <v>12902</v>
      </c>
      <c r="V1641" t="s">
        <v>12902</v>
      </c>
      <c r="W1641" t="s">
        <v>14512</v>
      </c>
      <c r="X1641">
        <v>2</v>
      </c>
      <c r="Y1641" t="s">
        <v>20892</v>
      </c>
      <c r="Z1641" t="s">
        <v>27216</v>
      </c>
      <c r="AA1641">
        <v>0.3925318222859332</v>
      </c>
      <c r="AB1641" t="str">
        <f>HYPERLINK("Melting_Curves/meltCurve_O75600_GCAT.pdf", "Melting_Curves/meltCurve_O75600_GCAT.pdf")</f>
        <v>Melting_Curves/meltCurve_O75600_GCAT.pdf</v>
      </c>
    </row>
    <row r="1642" spans="1:28" x14ac:dyDescent="0.25">
      <c r="A1642" t="s">
        <v>1646</v>
      </c>
      <c r="B1642">
        <v>0.99673306730245903</v>
      </c>
      <c r="C1642">
        <v>0.94294841975797095</v>
      </c>
      <c r="D1642">
        <v>0.95464144692415098</v>
      </c>
      <c r="E1642">
        <v>0.833875397796771</v>
      </c>
      <c r="F1642">
        <v>0.85408895570578303</v>
      </c>
      <c r="G1642">
        <v>0.41196014458784502</v>
      </c>
      <c r="H1642">
        <v>0.45472407195780201</v>
      </c>
      <c r="I1642">
        <v>0.49103140803189999</v>
      </c>
      <c r="J1642">
        <v>0.57256976892568701</v>
      </c>
      <c r="K1642">
        <v>0.52014778956438801</v>
      </c>
      <c r="L1642">
        <v>13348.6334204697</v>
      </c>
      <c r="M1642">
        <v>250</v>
      </c>
      <c r="N1642">
        <v>54.245250154023502</v>
      </c>
      <c r="O1642">
        <v>53.391125734503902</v>
      </c>
      <c r="P1642">
        <v>-0.59690803288976502</v>
      </c>
      <c r="Q1642">
        <v>0.49008661646319102</v>
      </c>
      <c r="R1642">
        <v>0.901847074661838</v>
      </c>
      <c r="S1642" t="s">
        <v>8094</v>
      </c>
      <c r="T1642" t="s">
        <v>12902</v>
      </c>
      <c r="U1642" t="s">
        <v>12902</v>
      </c>
      <c r="V1642" t="s">
        <v>12902</v>
      </c>
      <c r="W1642" t="s">
        <v>14513</v>
      </c>
      <c r="X1642">
        <v>4</v>
      </c>
      <c r="Y1642" t="s">
        <v>20893</v>
      </c>
      <c r="Z1642" t="s">
        <v>27217</v>
      </c>
      <c r="AA1642">
        <v>0.71780279838770611</v>
      </c>
      <c r="AB1642" t="str">
        <f>HYPERLINK("Melting_Curves/meltCurve_O75607_NPM3.pdf", "Melting_Curves/meltCurve_O75607_NPM3.pdf")</f>
        <v>Melting_Curves/meltCurve_O75607_NPM3.pdf</v>
      </c>
    </row>
    <row r="1643" spans="1:28" x14ac:dyDescent="0.25">
      <c r="A1643" t="s">
        <v>1647</v>
      </c>
      <c r="B1643">
        <v>0.99673306730245903</v>
      </c>
      <c r="C1643">
        <v>0.95568847306481697</v>
      </c>
      <c r="D1643">
        <v>0.98571105033503204</v>
      </c>
      <c r="E1643">
        <v>0.94538525272523</v>
      </c>
      <c r="F1643">
        <v>0.73485894005686703</v>
      </c>
      <c r="G1643">
        <v>0.31475410370748402</v>
      </c>
      <c r="H1643">
        <v>0.107252267066291</v>
      </c>
      <c r="I1643">
        <v>0.101980562350239</v>
      </c>
      <c r="J1643">
        <v>0.109906841690445</v>
      </c>
      <c r="K1643">
        <v>8.4661235055539505E-2</v>
      </c>
      <c r="L1643">
        <v>1673.512725072</v>
      </c>
      <c r="M1643">
        <v>30.588703342679501</v>
      </c>
      <c r="N1643">
        <v>55.058651661418203</v>
      </c>
      <c r="O1643">
        <v>54.477921926656599</v>
      </c>
      <c r="P1643">
        <v>-0.12801845253163699</v>
      </c>
      <c r="Q1643">
        <v>8.8011398646685099E-2</v>
      </c>
      <c r="R1643">
        <v>0.997970050484973</v>
      </c>
      <c r="S1643" t="s">
        <v>8095</v>
      </c>
      <c r="T1643" t="s">
        <v>12902</v>
      </c>
      <c r="U1643" t="s">
        <v>12902</v>
      </c>
      <c r="V1643" t="s">
        <v>12902</v>
      </c>
      <c r="W1643" t="s">
        <v>14514</v>
      </c>
      <c r="X1643">
        <v>9</v>
      </c>
      <c r="Y1643" t="s">
        <v>20894</v>
      </c>
      <c r="Z1643" t="s">
        <v>27218</v>
      </c>
      <c r="AA1643">
        <v>0.54100982827525312</v>
      </c>
      <c r="AB1643" t="str">
        <f>HYPERLINK("Melting_Curves/meltCurve_O75608_2_LYPLA1.pdf", "Melting_Curves/meltCurve_O75608_2_LYPLA1.pdf")</f>
        <v>Melting_Curves/meltCurve_O75608_2_LYPLA1.pdf</v>
      </c>
    </row>
    <row r="1644" spans="1:28" x14ac:dyDescent="0.25">
      <c r="A1644" t="s">
        <v>1648</v>
      </c>
      <c r="B1644">
        <v>0.99673306730245903</v>
      </c>
      <c r="C1644">
        <v>0.90476383993044895</v>
      </c>
      <c r="D1644">
        <v>0.53968356717666099</v>
      </c>
      <c r="E1644">
        <v>0.216519515035525</v>
      </c>
      <c r="F1644">
        <v>0.126405104991721</v>
      </c>
      <c r="G1644">
        <v>7.4185245478608899E-2</v>
      </c>
      <c r="H1644">
        <v>5.5284012308648503E-2</v>
      </c>
      <c r="I1644">
        <v>6.5308636926297098E-2</v>
      </c>
      <c r="J1644">
        <v>7.3017569659334897E-2</v>
      </c>
      <c r="K1644">
        <v>7.9398816370471803E-2</v>
      </c>
      <c r="L1644">
        <v>1194.1978423853</v>
      </c>
      <c r="M1644">
        <v>25.8720665296946</v>
      </c>
      <c r="N1644">
        <v>46.440924505243501</v>
      </c>
      <c r="O1644">
        <v>45.884691867972599</v>
      </c>
      <c r="P1644">
        <v>-0.13068025202704001</v>
      </c>
      <c r="Q1644">
        <v>7.2953417658115693E-2</v>
      </c>
      <c r="R1644">
        <v>0.99827697967869899</v>
      </c>
      <c r="S1644" t="s">
        <v>8096</v>
      </c>
      <c r="T1644" t="s">
        <v>12902</v>
      </c>
      <c r="U1644" t="s">
        <v>12902</v>
      </c>
      <c r="V1644" t="s">
        <v>12902</v>
      </c>
      <c r="W1644" t="s">
        <v>14515</v>
      </c>
      <c r="X1644">
        <v>4</v>
      </c>
      <c r="Y1644" t="s">
        <v>20895</v>
      </c>
      <c r="Z1644" t="s">
        <v>27219</v>
      </c>
      <c r="AA1644">
        <v>0.27109754781470152</v>
      </c>
      <c r="AB1644" t="str">
        <f>HYPERLINK("Melting_Curves/meltCurve_O75616_ERAL1.pdf", "Melting_Curves/meltCurve_O75616_ERAL1.pdf")</f>
        <v>Melting_Curves/meltCurve_O75616_ERAL1.pdf</v>
      </c>
    </row>
    <row r="1645" spans="1:28" x14ac:dyDescent="0.25">
      <c r="A1645" t="s">
        <v>1649</v>
      </c>
      <c r="B1645">
        <v>0.99673306730245903</v>
      </c>
      <c r="C1645">
        <v>0.98966615226099197</v>
      </c>
      <c r="D1645">
        <v>1.01640334194921</v>
      </c>
      <c r="E1645">
        <v>0.94718282710566604</v>
      </c>
      <c r="F1645">
        <v>0.860088014254769</v>
      </c>
      <c r="G1645">
        <v>0.63294978187970796</v>
      </c>
      <c r="H1645">
        <v>0.54353409625877103</v>
      </c>
      <c r="I1645">
        <v>0.60591229225640497</v>
      </c>
      <c r="J1645">
        <v>0.87924636357087604</v>
      </c>
      <c r="K1645">
        <v>0.86234531417438598</v>
      </c>
      <c r="L1645">
        <v>13305.5478607593</v>
      </c>
      <c r="M1645">
        <v>250</v>
      </c>
      <c r="O1645">
        <v>53.218761694601</v>
      </c>
      <c r="P1645">
        <v>-0.34668495012138401</v>
      </c>
      <c r="Q1645">
        <v>0.70479756705042995</v>
      </c>
      <c r="R1645">
        <v>0.64142081583960997</v>
      </c>
      <c r="S1645" t="s">
        <v>8097</v>
      </c>
      <c r="T1645" t="s">
        <v>12902</v>
      </c>
      <c r="U1645" t="s">
        <v>12902</v>
      </c>
      <c r="V1645" t="s">
        <v>12902</v>
      </c>
      <c r="W1645" t="s">
        <v>14516</v>
      </c>
      <c r="X1645">
        <v>4</v>
      </c>
      <c r="Y1645" t="s">
        <v>20896</v>
      </c>
      <c r="Z1645" t="s">
        <v>27220</v>
      </c>
      <c r="AA1645">
        <v>0.83493257627019701</v>
      </c>
      <c r="AB1645" t="str">
        <f>HYPERLINK("Melting_Curves/meltCurve_O75629_CREG1.pdf", "Melting_Curves/meltCurve_O75629_CREG1.pdf")</f>
        <v>Melting_Curves/meltCurve_O75629_CREG1.pdf</v>
      </c>
    </row>
    <row r="1646" spans="1:28" x14ac:dyDescent="0.25">
      <c r="A1646" t="s">
        <v>1650</v>
      </c>
      <c r="B1646">
        <v>0.99673306730245903</v>
      </c>
      <c r="C1646">
        <v>0.93513915115429402</v>
      </c>
      <c r="D1646">
        <v>1.0599597523645701</v>
      </c>
      <c r="E1646">
        <v>1.2550238076019</v>
      </c>
      <c r="F1646">
        <v>0.98463500249983105</v>
      </c>
      <c r="G1646">
        <v>0.23167218375896001</v>
      </c>
      <c r="H1646">
        <v>0.12916707780720901</v>
      </c>
      <c r="I1646">
        <v>0.108175861731448</v>
      </c>
      <c r="J1646">
        <v>0.114772568671881</v>
      </c>
      <c r="K1646">
        <v>9.5435466882961104E-2</v>
      </c>
      <c r="L1646">
        <v>4958.4152046362296</v>
      </c>
      <c r="M1646">
        <v>89.152552429175699</v>
      </c>
      <c r="N1646">
        <v>55.775459134062402</v>
      </c>
      <c r="O1646">
        <v>55.589232065399202</v>
      </c>
      <c r="P1646">
        <v>-0.356136765782402</v>
      </c>
      <c r="Q1646">
        <v>0.111753187065538</v>
      </c>
      <c r="R1646">
        <v>0.96579239938985095</v>
      </c>
      <c r="S1646" t="s">
        <v>8098</v>
      </c>
      <c r="T1646" t="s">
        <v>12902</v>
      </c>
      <c r="U1646" t="s">
        <v>12902</v>
      </c>
      <c r="V1646" t="s">
        <v>12902</v>
      </c>
      <c r="W1646" t="s">
        <v>14517</v>
      </c>
      <c r="X1646">
        <v>56</v>
      </c>
      <c r="Y1646" t="s">
        <v>20897</v>
      </c>
      <c r="Z1646" t="s">
        <v>27221</v>
      </c>
      <c r="AA1646">
        <v>0.57483354045614166</v>
      </c>
      <c r="AB1646" t="str">
        <f>HYPERLINK("Melting_Curves/meltCurve_O75643_SNRNP200.pdf", "Melting_Curves/meltCurve_O75643_SNRNP200.pdf")</f>
        <v>Melting_Curves/meltCurve_O75643_SNRNP200.pdf</v>
      </c>
    </row>
    <row r="1647" spans="1:28" x14ac:dyDescent="0.25">
      <c r="A1647" t="s">
        <v>1651</v>
      </c>
      <c r="B1647">
        <v>0.99673306730245903</v>
      </c>
      <c r="C1647">
        <v>1.06075113159526</v>
      </c>
      <c r="D1647">
        <v>0.29674928013225599</v>
      </c>
      <c r="E1647">
        <v>0.56855015643065498</v>
      </c>
      <c r="F1647">
        <v>0.18045962637070201</v>
      </c>
      <c r="G1647">
        <v>0.101893439849761</v>
      </c>
      <c r="H1647">
        <v>5.5136761023664001E-2</v>
      </c>
      <c r="I1647">
        <v>4.84630987581691E-2</v>
      </c>
      <c r="J1647">
        <v>5.4456433016612002E-2</v>
      </c>
      <c r="K1647">
        <v>4.45624779179589E-2</v>
      </c>
      <c r="L1647">
        <v>718.01559467901495</v>
      </c>
      <c r="M1647">
        <v>15.170100303105199</v>
      </c>
      <c r="N1647">
        <v>47.604622713907801</v>
      </c>
      <c r="O1647">
        <v>46.531376072312099</v>
      </c>
      <c r="P1647">
        <v>-7.8109040343427402E-2</v>
      </c>
      <c r="Q1647">
        <v>4.1754879005935303E-2</v>
      </c>
      <c r="R1647">
        <v>0.85573819888371505</v>
      </c>
      <c r="S1647" t="s">
        <v>8099</v>
      </c>
      <c r="T1647" t="s">
        <v>12902</v>
      </c>
      <c r="U1647" t="s">
        <v>12902</v>
      </c>
      <c r="V1647" t="s">
        <v>12902</v>
      </c>
      <c r="W1647" t="s">
        <v>14518</v>
      </c>
      <c r="X1647">
        <v>11</v>
      </c>
      <c r="Y1647" t="s">
        <v>20898</v>
      </c>
      <c r="Z1647" t="s">
        <v>27222</v>
      </c>
      <c r="AA1647">
        <v>0.3008642355762875</v>
      </c>
      <c r="AB1647" t="str">
        <f>HYPERLINK("Melting_Curves/meltCurve_O75663_TIPRL.pdf", "Melting_Curves/meltCurve_O75663_TIPRL.pdf")</f>
        <v>Melting_Curves/meltCurve_O75663_TIPRL.pdf</v>
      </c>
    </row>
    <row r="1648" spans="1:28" x14ac:dyDescent="0.25">
      <c r="A1648" t="s">
        <v>1652</v>
      </c>
      <c r="B1648">
        <v>0.99673306730245903</v>
      </c>
      <c r="C1648">
        <v>0.96816886492856802</v>
      </c>
      <c r="D1648">
        <v>1.00977259534015</v>
      </c>
      <c r="E1648">
        <v>1.14000524918958</v>
      </c>
      <c r="F1648">
        <v>1.0758513252116799</v>
      </c>
      <c r="G1648">
        <v>0.95358439301293496</v>
      </c>
      <c r="H1648">
        <v>0.66296215440830397</v>
      </c>
      <c r="I1648">
        <v>0.79211831795812404</v>
      </c>
      <c r="J1648">
        <v>0.756491518812759</v>
      </c>
      <c r="K1648">
        <v>0.67692709904934301</v>
      </c>
      <c r="L1648">
        <v>14291.264338925699</v>
      </c>
      <c r="M1648">
        <v>250</v>
      </c>
      <c r="O1648">
        <v>57.161411285074202</v>
      </c>
      <c r="P1648">
        <v>-0.3038274560509</v>
      </c>
      <c r="Q1648">
        <v>0.72212476021911098</v>
      </c>
      <c r="R1648">
        <v>0.85090611785037495</v>
      </c>
      <c r="S1648" t="s">
        <v>8100</v>
      </c>
      <c r="T1648" t="s">
        <v>12902</v>
      </c>
      <c r="U1648" t="s">
        <v>12902</v>
      </c>
      <c r="V1648" t="s">
        <v>12902</v>
      </c>
      <c r="W1648" t="s">
        <v>14519</v>
      </c>
      <c r="X1648">
        <v>3</v>
      </c>
      <c r="Y1648" t="s">
        <v>20899</v>
      </c>
      <c r="Z1648" t="s">
        <v>27223</v>
      </c>
      <c r="AA1648">
        <v>0.88114411866748221</v>
      </c>
      <c r="AB1648" t="str">
        <f>HYPERLINK("Melting_Curves/meltCurve_O75683_SURF6.pdf", "Melting_Curves/meltCurve_O75683_SURF6.pdf")</f>
        <v>Melting_Curves/meltCurve_O75683_SURF6.pdf</v>
      </c>
    </row>
    <row r="1649" spans="1:28" x14ac:dyDescent="0.25">
      <c r="A1649" t="s">
        <v>1653</v>
      </c>
      <c r="B1649">
        <v>0.99673306730245903</v>
      </c>
      <c r="C1649">
        <v>1.01166395914098</v>
      </c>
      <c r="D1649">
        <v>0.94650289613860905</v>
      </c>
      <c r="E1649">
        <v>0.81836909140444802</v>
      </c>
      <c r="F1649">
        <v>0.25829708764693898</v>
      </c>
      <c r="G1649">
        <v>0.17268814205715899</v>
      </c>
      <c r="H1649">
        <v>9.8911913786294603E-2</v>
      </c>
      <c r="I1649">
        <v>9.5837932952931706E-2</v>
      </c>
      <c r="J1649">
        <v>9.6346373551324305E-2</v>
      </c>
      <c r="K1649">
        <v>8.5338684279429297E-2</v>
      </c>
      <c r="L1649">
        <v>2007.9613672606499</v>
      </c>
      <c r="M1649">
        <v>39.1889419135859</v>
      </c>
      <c r="N1649">
        <v>51.541907059346599</v>
      </c>
      <c r="O1649">
        <v>51.105075022091697</v>
      </c>
      <c r="P1649">
        <v>-0.17192905373825201</v>
      </c>
      <c r="Q1649">
        <v>0.103172646174171</v>
      </c>
      <c r="R1649">
        <v>0.99663738312470196</v>
      </c>
      <c r="S1649" t="s">
        <v>8101</v>
      </c>
      <c r="T1649" t="s">
        <v>12902</v>
      </c>
      <c r="U1649" t="s">
        <v>12902</v>
      </c>
      <c r="V1649" t="s">
        <v>12902</v>
      </c>
      <c r="W1649" t="s">
        <v>14520</v>
      </c>
      <c r="X1649">
        <v>18</v>
      </c>
      <c r="Y1649" t="s">
        <v>20900</v>
      </c>
      <c r="Z1649" t="s">
        <v>27224</v>
      </c>
      <c r="AA1649">
        <v>0.4424324747311722</v>
      </c>
      <c r="AB1649" t="str">
        <f>HYPERLINK("Melting_Curves/meltCurve_O75688_PPM1B.pdf", "Melting_Curves/meltCurve_O75688_PPM1B.pdf")</f>
        <v>Melting_Curves/meltCurve_O75688_PPM1B.pdf</v>
      </c>
    </row>
    <row r="1650" spans="1:28" x14ac:dyDescent="0.25">
      <c r="A1650" t="s">
        <v>1654</v>
      </c>
      <c r="B1650">
        <v>0.99673306730245903</v>
      </c>
      <c r="C1650">
        <v>0.93326594605215396</v>
      </c>
      <c r="D1650">
        <v>0.62761484007669099</v>
      </c>
      <c r="E1650">
        <v>0.18476360178280199</v>
      </c>
      <c r="F1650">
        <v>0.121476561825148</v>
      </c>
      <c r="G1650">
        <v>7.4408970418973597E-2</v>
      </c>
      <c r="H1650">
        <v>4.9898966037724798E-2</v>
      </c>
      <c r="I1650">
        <v>4.66926917287908E-2</v>
      </c>
      <c r="J1650">
        <v>5.2214867772314398E-2</v>
      </c>
      <c r="K1650">
        <v>4.4641324347672998E-2</v>
      </c>
      <c r="L1650">
        <v>1360.54824224135</v>
      </c>
      <c r="M1650">
        <v>29.163237436593601</v>
      </c>
      <c r="N1650">
        <v>46.849235562279603</v>
      </c>
      <c r="O1650">
        <v>46.4351426050249</v>
      </c>
      <c r="P1650">
        <v>-0.147978186961603</v>
      </c>
      <c r="Q1650">
        <v>5.75342461750874E-2</v>
      </c>
      <c r="R1650">
        <v>0.99831621219241296</v>
      </c>
      <c r="S1650" t="s">
        <v>8102</v>
      </c>
      <c r="T1650" t="s">
        <v>12902</v>
      </c>
      <c r="U1650" t="s">
        <v>12902</v>
      </c>
      <c r="V1650" t="s">
        <v>12902</v>
      </c>
      <c r="W1650" t="s">
        <v>14521</v>
      </c>
      <c r="X1650">
        <v>15</v>
      </c>
      <c r="Y1650" t="s">
        <v>20901</v>
      </c>
      <c r="Z1650" t="s">
        <v>27225</v>
      </c>
      <c r="AA1650">
        <v>0.27256692454150222</v>
      </c>
      <c r="AB1650" t="str">
        <f>HYPERLINK("Melting_Curves/meltCurve_O75691_UTP20.pdf", "Melting_Curves/meltCurve_O75691_UTP20.pdf")</f>
        <v>Melting_Curves/meltCurve_O75691_UTP20.pdf</v>
      </c>
    </row>
    <row r="1651" spans="1:28" x14ac:dyDescent="0.25">
      <c r="A1651" t="s">
        <v>1655</v>
      </c>
      <c r="B1651">
        <v>0.99673306730245903</v>
      </c>
      <c r="C1651">
        <v>0.89672116555161396</v>
      </c>
      <c r="D1651">
        <v>0.85039022909839002</v>
      </c>
      <c r="E1651">
        <v>0.49748720930666701</v>
      </c>
      <c r="F1651">
        <v>0.22349669833805499</v>
      </c>
      <c r="G1651">
        <v>0.12610829498040099</v>
      </c>
      <c r="H1651">
        <v>7.4766831881468501E-2</v>
      </c>
      <c r="I1651">
        <v>7.3837983967797699E-2</v>
      </c>
      <c r="J1651">
        <v>8.9558627779993599E-2</v>
      </c>
      <c r="K1651">
        <v>8.19097069125439E-2</v>
      </c>
      <c r="L1651">
        <v>1031.9780640466199</v>
      </c>
      <c r="M1651">
        <v>20.972563865738</v>
      </c>
      <c r="N1651">
        <v>49.573405581908801</v>
      </c>
      <c r="O1651">
        <v>48.765282555722401</v>
      </c>
      <c r="P1651">
        <v>-9.9783558667464106E-2</v>
      </c>
      <c r="Q1651">
        <v>7.19604398453393E-2</v>
      </c>
      <c r="R1651">
        <v>0.99615620159847695</v>
      </c>
      <c r="S1651" t="s">
        <v>8103</v>
      </c>
      <c r="T1651" t="s">
        <v>12902</v>
      </c>
      <c r="U1651" t="s">
        <v>12902</v>
      </c>
      <c r="V1651" t="s">
        <v>12902</v>
      </c>
      <c r="W1651" t="s">
        <v>14522</v>
      </c>
      <c r="X1651">
        <v>19</v>
      </c>
      <c r="Y1651" t="s">
        <v>20902</v>
      </c>
      <c r="Z1651" t="s">
        <v>27226</v>
      </c>
      <c r="AA1651">
        <v>0.36853668241880028</v>
      </c>
      <c r="AB1651" t="str">
        <f>HYPERLINK("Melting_Curves/meltCurve_O75717_WDHD1.pdf", "Melting_Curves/meltCurve_O75717_WDHD1.pdf")</f>
        <v>Melting_Curves/meltCurve_O75717_WDHD1.pdf</v>
      </c>
    </row>
    <row r="1652" spans="1:28" x14ac:dyDescent="0.25">
      <c r="A1652" t="s">
        <v>1656</v>
      </c>
      <c r="B1652">
        <v>0.99673306730245903</v>
      </c>
      <c r="C1652">
        <v>0.98092840824137295</v>
      </c>
      <c r="D1652">
        <v>0.91843807948622702</v>
      </c>
      <c r="E1652">
        <v>0.88931438199635005</v>
      </c>
      <c r="F1652">
        <v>0.74558043471031599</v>
      </c>
      <c r="G1652">
        <v>0.62114248441032405</v>
      </c>
      <c r="H1652">
        <v>0.51432846950510203</v>
      </c>
      <c r="I1652">
        <v>0.47410209711620699</v>
      </c>
      <c r="J1652">
        <v>0.22003960722899901</v>
      </c>
      <c r="K1652">
        <v>0.10623191984682299</v>
      </c>
      <c r="L1652">
        <v>584.73352050823303</v>
      </c>
      <c r="M1652">
        <v>9.7205151162930292</v>
      </c>
      <c r="N1652">
        <v>60.154567880664501</v>
      </c>
      <c r="O1652">
        <v>57.774298724890897</v>
      </c>
      <c r="P1652">
        <v>-4.2085267426328399E-2</v>
      </c>
      <c r="Q1652">
        <v>0</v>
      </c>
      <c r="R1652">
        <v>0.96719210522144705</v>
      </c>
      <c r="S1652" t="s">
        <v>8104</v>
      </c>
      <c r="T1652" t="s">
        <v>12902</v>
      </c>
      <c r="U1652" t="s">
        <v>12902</v>
      </c>
      <c r="V1652" t="s">
        <v>12902</v>
      </c>
      <c r="W1652" t="s">
        <v>14523</v>
      </c>
      <c r="X1652">
        <v>21</v>
      </c>
      <c r="Y1652" t="s">
        <v>20903</v>
      </c>
      <c r="Z1652" t="s">
        <v>27227</v>
      </c>
      <c r="AA1652">
        <v>0.6653636441130959</v>
      </c>
      <c r="AB1652" t="str">
        <f>HYPERLINK("Melting_Curves/meltCurve_O75746_SLC25A12.pdf", "Melting_Curves/meltCurve_O75746_SLC25A12.pdf")</f>
        <v>Melting_Curves/meltCurve_O75746_SLC25A12.pdf</v>
      </c>
    </row>
    <row r="1653" spans="1:28" x14ac:dyDescent="0.25">
      <c r="A1653" t="s">
        <v>1657</v>
      </c>
      <c r="B1653">
        <v>0.99673306730245903</v>
      </c>
      <c r="C1653">
        <v>0.91640790243305204</v>
      </c>
      <c r="D1653">
        <v>0.69227266589663305</v>
      </c>
      <c r="E1653">
        <v>0.46737274968764297</v>
      </c>
      <c r="F1653">
        <v>0.27140586521362497</v>
      </c>
      <c r="G1653">
        <v>0.14428511684866099</v>
      </c>
      <c r="H1653">
        <v>4.2614525769555101E-2</v>
      </c>
      <c r="I1653">
        <v>4.8145987624851498E-2</v>
      </c>
      <c r="J1653">
        <v>7.4820804667236604E-2</v>
      </c>
      <c r="K1653">
        <v>5.8603813547385399E-2</v>
      </c>
      <c r="L1653">
        <v>741.66225654286302</v>
      </c>
      <c r="M1653">
        <v>15.1944191165869</v>
      </c>
      <c r="N1653">
        <v>49.0601130543957</v>
      </c>
      <c r="O1653">
        <v>47.989411644892598</v>
      </c>
      <c r="P1653">
        <v>-7.62292276033016E-2</v>
      </c>
      <c r="Q1653">
        <v>3.7055394221447199E-2</v>
      </c>
      <c r="R1653">
        <v>0.99558521586234505</v>
      </c>
      <c r="S1653" t="s">
        <v>8105</v>
      </c>
      <c r="T1653" t="s">
        <v>12902</v>
      </c>
      <c r="U1653" t="s">
        <v>12902</v>
      </c>
      <c r="V1653" t="s">
        <v>12902</v>
      </c>
      <c r="W1653" t="s">
        <v>14524</v>
      </c>
      <c r="X1653">
        <v>2</v>
      </c>
      <c r="Y1653" t="s">
        <v>20904</v>
      </c>
      <c r="Z1653" t="s">
        <v>27228</v>
      </c>
      <c r="AA1653">
        <v>0.3432445320720911</v>
      </c>
      <c r="AB1653" t="str">
        <f>HYPERLINK("Melting_Curves/meltCurve_O75791_GRAP2.pdf", "Melting_Curves/meltCurve_O75791_GRAP2.pdf")</f>
        <v>Melting_Curves/meltCurve_O75791_GRAP2.pdf</v>
      </c>
    </row>
    <row r="1654" spans="1:28" x14ac:dyDescent="0.25">
      <c r="A1654" t="s">
        <v>1658</v>
      </c>
      <c r="B1654">
        <v>0.99673306730245903</v>
      </c>
      <c r="C1654">
        <v>0.98403132432982598</v>
      </c>
      <c r="D1654">
        <v>0.834583620393065</v>
      </c>
      <c r="E1654">
        <v>0.485305673199105</v>
      </c>
      <c r="F1654">
        <v>0.19172618123555901</v>
      </c>
      <c r="G1654">
        <v>9.9107710139285099E-2</v>
      </c>
      <c r="H1654">
        <v>5.6476602982011397E-2</v>
      </c>
      <c r="I1654">
        <v>5.1927157694342002E-2</v>
      </c>
      <c r="J1654">
        <v>5.0786650208028E-2</v>
      </c>
      <c r="K1654">
        <v>4.7168430292635198E-2</v>
      </c>
      <c r="L1654">
        <v>1125.66876898444</v>
      </c>
      <c r="M1654">
        <v>22.8649800507823</v>
      </c>
      <c r="N1654">
        <v>49.449368714540597</v>
      </c>
      <c r="O1654">
        <v>48.8591821305018</v>
      </c>
      <c r="P1654">
        <v>-0.11138138296743599</v>
      </c>
      <c r="Q1654">
        <v>4.79938518534836E-2</v>
      </c>
      <c r="R1654">
        <v>0.99975167906691098</v>
      </c>
      <c r="S1654" t="s">
        <v>8106</v>
      </c>
      <c r="T1654" t="s">
        <v>12902</v>
      </c>
      <c r="U1654" t="s">
        <v>12902</v>
      </c>
      <c r="V1654" t="s">
        <v>12902</v>
      </c>
      <c r="W1654" t="s">
        <v>14525</v>
      </c>
      <c r="X1654">
        <v>12</v>
      </c>
      <c r="Y1654" t="s">
        <v>20905</v>
      </c>
      <c r="Z1654" t="s">
        <v>27229</v>
      </c>
      <c r="AA1654">
        <v>0.3510729289285705</v>
      </c>
      <c r="AB1654" t="str">
        <f>HYPERLINK("Melting_Curves/meltCurve_O75792_RNASEH2A.pdf", "Melting_Curves/meltCurve_O75792_RNASEH2A.pdf")</f>
        <v>Melting_Curves/meltCurve_O75792_RNASEH2A.pdf</v>
      </c>
    </row>
    <row r="1655" spans="1:28" x14ac:dyDescent="0.25">
      <c r="A1655" t="s">
        <v>1659</v>
      </c>
      <c r="B1655">
        <v>0.99673306730245903</v>
      </c>
      <c r="C1655">
        <v>1.00737527475059</v>
      </c>
      <c r="D1655">
        <v>1.0151883394432699</v>
      </c>
      <c r="E1655">
        <v>0.88821539879684097</v>
      </c>
      <c r="F1655">
        <v>0.47091829289088599</v>
      </c>
      <c r="G1655">
        <v>0.25943034948618499</v>
      </c>
      <c r="H1655">
        <v>0.14161014006178099</v>
      </c>
      <c r="I1655">
        <v>0.14506935857230999</v>
      </c>
      <c r="J1655">
        <v>0.12609880020627801</v>
      </c>
      <c r="K1655">
        <v>9.3538930077647006E-2</v>
      </c>
      <c r="L1655">
        <v>1503.3524082158899</v>
      </c>
      <c r="M1655">
        <v>28.560043413062001</v>
      </c>
      <c r="N1655">
        <v>53.175855628752501</v>
      </c>
      <c r="O1655">
        <v>52.382266314063699</v>
      </c>
      <c r="P1655">
        <v>-0.11921613494224099</v>
      </c>
      <c r="Q1655">
        <v>0.12538482302545401</v>
      </c>
      <c r="R1655">
        <v>0.99696803743456097</v>
      </c>
      <c r="S1655" t="s">
        <v>8107</v>
      </c>
      <c r="T1655" t="s">
        <v>12902</v>
      </c>
      <c r="U1655" t="s">
        <v>12902</v>
      </c>
      <c r="V1655" t="s">
        <v>12902</v>
      </c>
      <c r="W1655" t="s">
        <v>14526</v>
      </c>
      <c r="X1655">
        <v>3</v>
      </c>
      <c r="Y1655" t="s">
        <v>20906</v>
      </c>
      <c r="Z1655" t="s">
        <v>27230</v>
      </c>
      <c r="AA1655">
        <v>0.50005396092097465</v>
      </c>
      <c r="AB1655" t="str">
        <f>HYPERLINK("Melting_Curves/meltCurve_O75794_CDC123.pdf", "Melting_Curves/meltCurve_O75794_CDC123.pdf")</f>
        <v>Melting_Curves/meltCurve_O75794_CDC123.pdf</v>
      </c>
    </row>
    <row r="1656" spans="1:28" x14ac:dyDescent="0.25">
      <c r="A1656" t="s">
        <v>1660</v>
      </c>
      <c r="B1656">
        <v>0.99673306730245903</v>
      </c>
      <c r="C1656">
        <v>0.85244903714235498</v>
      </c>
      <c r="D1656">
        <v>0.80833054937316695</v>
      </c>
      <c r="E1656">
        <v>0.32691823339397802</v>
      </c>
      <c r="F1656">
        <v>9.98346272630323E-2</v>
      </c>
      <c r="G1656">
        <v>0.105397292768629</v>
      </c>
      <c r="H1656">
        <v>5.2386496688885599E-2</v>
      </c>
      <c r="I1656">
        <v>0</v>
      </c>
      <c r="J1656">
        <v>5.4173514399848299E-2</v>
      </c>
      <c r="K1656">
        <v>0</v>
      </c>
      <c r="L1656">
        <v>1139.6414187564999</v>
      </c>
      <c r="M1656">
        <v>23.690400172569099</v>
      </c>
      <c r="N1656">
        <v>48.230701912168399</v>
      </c>
      <c r="O1656">
        <v>47.766784798273299</v>
      </c>
      <c r="P1656">
        <v>-0.120298043567896</v>
      </c>
      <c r="Q1656">
        <v>2.9791829289792501E-2</v>
      </c>
      <c r="R1656">
        <v>0.98714070362196304</v>
      </c>
      <c r="S1656" t="s">
        <v>8108</v>
      </c>
      <c r="T1656" t="s">
        <v>12902</v>
      </c>
      <c r="U1656" t="s">
        <v>12902</v>
      </c>
      <c r="V1656" t="s">
        <v>12902</v>
      </c>
      <c r="W1656" t="s">
        <v>14527</v>
      </c>
      <c r="X1656">
        <v>2</v>
      </c>
      <c r="Y1656" t="s">
        <v>20907</v>
      </c>
      <c r="Z1656" t="s">
        <v>27231</v>
      </c>
      <c r="AA1656">
        <v>0.30153899165977088</v>
      </c>
      <c r="AB1656" t="str">
        <f>HYPERLINK("Melting_Curves/meltCurve_O75808_SOLH.pdf", "Melting_Curves/meltCurve_O75808_SOLH.pdf")</f>
        <v>Melting_Curves/meltCurve_O75808_SOLH.pdf</v>
      </c>
    </row>
    <row r="1657" spans="1:28" x14ac:dyDescent="0.25">
      <c r="A1657" t="s">
        <v>1661</v>
      </c>
      <c r="B1657">
        <v>0.99673306730245903</v>
      </c>
      <c r="C1657">
        <v>0.92624478872382998</v>
      </c>
      <c r="D1657">
        <v>1.1229910054021699</v>
      </c>
      <c r="E1657">
        <v>1.22475743773176</v>
      </c>
      <c r="F1657">
        <v>1.32395811827694</v>
      </c>
      <c r="G1657">
        <v>1.08043767495281</v>
      </c>
      <c r="H1657">
        <v>0.79179713082998304</v>
      </c>
      <c r="I1657">
        <v>0.60018078865347102</v>
      </c>
      <c r="J1657">
        <v>0.40277600731609697</v>
      </c>
      <c r="K1657">
        <v>0.281185847151256</v>
      </c>
      <c r="L1657">
        <v>1931.86669982435</v>
      </c>
      <c r="M1657">
        <v>30.424953090181599</v>
      </c>
      <c r="N1657">
        <v>65.063350628015996</v>
      </c>
      <c r="O1657">
        <v>63.223710681275399</v>
      </c>
      <c r="P1657">
        <v>-8.9059416518854906E-2</v>
      </c>
      <c r="Q1657">
        <v>0.25973498644454401</v>
      </c>
      <c r="R1657">
        <v>0.82620272722912902</v>
      </c>
      <c r="S1657" t="s">
        <v>8109</v>
      </c>
      <c r="T1657" t="s">
        <v>12902</v>
      </c>
      <c r="U1657" t="s">
        <v>12902</v>
      </c>
      <c r="V1657" t="s">
        <v>12902</v>
      </c>
      <c r="W1657" t="s">
        <v>14528</v>
      </c>
      <c r="X1657">
        <v>5</v>
      </c>
      <c r="Y1657" t="s">
        <v>20908</v>
      </c>
      <c r="Z1657" t="s">
        <v>27232</v>
      </c>
      <c r="AA1657">
        <v>0.84126986506833012</v>
      </c>
      <c r="AB1657" t="str">
        <f>HYPERLINK("Melting_Curves/meltCurve_O75818_2_RPP40.pdf", "Melting_Curves/meltCurve_O75818_2_RPP40.pdf")</f>
        <v>Melting_Curves/meltCurve_O75818_2_RPP40.pdf</v>
      </c>
    </row>
    <row r="1658" spans="1:28" x14ac:dyDescent="0.25">
      <c r="A1658" t="s">
        <v>1662</v>
      </c>
      <c r="B1658">
        <v>0.99673306730245903</v>
      </c>
      <c r="C1658">
        <v>0.905778983831105</v>
      </c>
      <c r="D1658">
        <v>0.89457480194142902</v>
      </c>
      <c r="E1658">
        <v>0.66379735955597297</v>
      </c>
      <c r="F1658">
        <v>0.327200275631714</v>
      </c>
      <c r="G1658">
        <v>0.212212200141812</v>
      </c>
      <c r="H1658">
        <v>0.136395225308377</v>
      </c>
      <c r="I1658">
        <v>0.16577012218500201</v>
      </c>
      <c r="J1658">
        <v>0.208736951783141</v>
      </c>
      <c r="K1658">
        <v>0.19278092104328501</v>
      </c>
      <c r="L1658">
        <v>1160.3981580014199</v>
      </c>
      <c r="M1658">
        <v>23.136191120847201</v>
      </c>
      <c r="N1658">
        <v>51.055996798578001</v>
      </c>
      <c r="O1658">
        <v>49.784915874206497</v>
      </c>
      <c r="P1658">
        <v>-9.67116959526194E-2</v>
      </c>
      <c r="Q1658">
        <v>0.167590610277247</v>
      </c>
      <c r="R1658">
        <v>0.98979018155412601</v>
      </c>
      <c r="S1658" t="s">
        <v>8110</v>
      </c>
      <c r="T1658" t="s">
        <v>12902</v>
      </c>
      <c r="U1658" t="s">
        <v>12902</v>
      </c>
      <c r="V1658" t="s">
        <v>12902</v>
      </c>
      <c r="W1658" t="s">
        <v>14529</v>
      </c>
      <c r="X1658">
        <v>13</v>
      </c>
      <c r="Y1658" t="s">
        <v>20909</v>
      </c>
      <c r="Z1658" t="s">
        <v>27233</v>
      </c>
      <c r="AA1658">
        <v>0.45806246695829061</v>
      </c>
      <c r="AB1658" t="str">
        <f>HYPERLINK("Melting_Curves/meltCurve_O75821_EIF3G.pdf", "Melting_Curves/meltCurve_O75821_EIF3G.pdf")</f>
        <v>Melting_Curves/meltCurve_O75821_EIF3G.pdf</v>
      </c>
    </row>
    <row r="1659" spans="1:28" x14ac:dyDescent="0.25">
      <c r="A1659" t="s">
        <v>1663</v>
      </c>
      <c r="B1659">
        <v>0.99673306730245903</v>
      </c>
      <c r="C1659">
        <v>0.98362885162813796</v>
      </c>
      <c r="D1659">
        <v>0.803620542455597</v>
      </c>
      <c r="E1659">
        <v>1.07334319580048</v>
      </c>
      <c r="F1659">
        <v>0.43612473570624799</v>
      </c>
      <c r="G1659">
        <v>0.190930934696115</v>
      </c>
      <c r="H1659">
        <v>9.7442899349742304E-2</v>
      </c>
      <c r="I1659">
        <v>0.105938040476118</v>
      </c>
      <c r="J1659">
        <v>0.123516357243709</v>
      </c>
      <c r="K1659">
        <v>0.119813901813642</v>
      </c>
      <c r="L1659">
        <v>8598.8407010761202</v>
      </c>
      <c r="M1659">
        <v>162.23507706147601</v>
      </c>
      <c r="N1659">
        <v>53.098717517606801</v>
      </c>
      <c r="O1659">
        <v>52.994299305524997</v>
      </c>
      <c r="P1659">
        <v>-0.66774287045945901</v>
      </c>
      <c r="Q1659">
        <v>0.12752369239130801</v>
      </c>
      <c r="R1659">
        <v>0.969027344239341</v>
      </c>
      <c r="S1659" t="s">
        <v>8111</v>
      </c>
      <c r="T1659" t="s">
        <v>12902</v>
      </c>
      <c r="U1659" t="s">
        <v>12902</v>
      </c>
      <c r="V1659" t="s">
        <v>12902</v>
      </c>
      <c r="W1659" t="s">
        <v>14530</v>
      </c>
      <c r="X1659">
        <v>17</v>
      </c>
      <c r="Y1659" t="s">
        <v>20910</v>
      </c>
      <c r="Z1659" t="s">
        <v>27234</v>
      </c>
      <c r="AA1659">
        <v>0.5058579406548952</v>
      </c>
      <c r="AB1659" t="str">
        <f>HYPERLINK("Melting_Curves/meltCurve_O75822_EIF3J.pdf", "Melting_Curves/meltCurve_O75822_EIF3J.pdf")</f>
        <v>Melting_Curves/meltCurve_O75822_EIF3J.pdf</v>
      </c>
    </row>
    <row r="1660" spans="1:28" x14ac:dyDescent="0.25">
      <c r="A1660" t="s">
        <v>1664</v>
      </c>
      <c r="B1660">
        <v>0.99673306730245903</v>
      </c>
      <c r="C1660">
        <v>1.07076029079035</v>
      </c>
      <c r="D1660">
        <v>1.0184083300900599</v>
      </c>
      <c r="E1660">
        <v>0.98958545663196196</v>
      </c>
      <c r="F1660">
        <v>0.648883682760099</v>
      </c>
      <c r="G1660">
        <v>0.230657847791777</v>
      </c>
      <c r="H1660">
        <v>3.8869254627809498E-2</v>
      </c>
      <c r="I1660">
        <v>3.3558522373106497E-2</v>
      </c>
      <c r="J1660">
        <v>3.2742753308314998E-2</v>
      </c>
      <c r="K1660">
        <v>2.6881994114640199E-2</v>
      </c>
      <c r="L1660">
        <v>1754.29314688059</v>
      </c>
      <c r="M1660">
        <v>32.324596486602204</v>
      </c>
      <c r="N1660">
        <v>54.360657837745599</v>
      </c>
      <c r="O1660">
        <v>54.064711165425301</v>
      </c>
      <c r="P1660">
        <v>-0.14559862454463901</v>
      </c>
      <c r="Q1660">
        <v>2.5917096139791498E-2</v>
      </c>
      <c r="R1660">
        <v>0.99630753743548806</v>
      </c>
      <c r="S1660" t="s">
        <v>8112</v>
      </c>
      <c r="T1660" t="s">
        <v>12902</v>
      </c>
      <c r="U1660" t="s">
        <v>12902</v>
      </c>
      <c r="V1660" t="s">
        <v>12902</v>
      </c>
      <c r="W1660" t="s">
        <v>14531</v>
      </c>
      <c r="X1660">
        <v>4</v>
      </c>
      <c r="Y1660" t="s">
        <v>20911</v>
      </c>
      <c r="Z1660" t="s">
        <v>27235</v>
      </c>
      <c r="AA1660">
        <v>0.49484820956585052</v>
      </c>
      <c r="AB1660" t="str">
        <f>HYPERLINK("Melting_Curves/meltCurve_O75828_CBR3.pdf", "Melting_Curves/meltCurve_O75828_CBR3.pdf")</f>
        <v>Melting_Curves/meltCurve_O75828_CBR3.pdf</v>
      </c>
    </row>
    <row r="1661" spans="1:28" x14ac:dyDescent="0.25">
      <c r="A1661" t="s">
        <v>1665</v>
      </c>
      <c r="B1661">
        <v>0.99673306730245903</v>
      </c>
      <c r="C1661">
        <v>1.05274830649815</v>
      </c>
      <c r="D1661">
        <v>0.98424548379999299</v>
      </c>
      <c r="E1661">
        <v>0.78956517604076704</v>
      </c>
      <c r="F1661">
        <v>0.353003730917065</v>
      </c>
      <c r="G1661">
        <v>0.263538007379301</v>
      </c>
      <c r="H1661">
        <v>0.16718046174415499</v>
      </c>
      <c r="I1661">
        <v>0.26981357065994599</v>
      </c>
      <c r="J1661">
        <v>0.31832048928670897</v>
      </c>
      <c r="K1661">
        <v>0.26653032137913701</v>
      </c>
      <c r="L1661">
        <v>2090.9125752772002</v>
      </c>
      <c r="M1661">
        <v>41.220805122484101</v>
      </c>
      <c r="N1661">
        <v>51.620323625240601</v>
      </c>
      <c r="O1661">
        <v>50.605742911707701</v>
      </c>
      <c r="P1661">
        <v>-0.151617637994894</v>
      </c>
      <c r="Q1661">
        <v>0.25545273233972898</v>
      </c>
      <c r="R1661">
        <v>0.98720380633643101</v>
      </c>
      <c r="S1661" t="s">
        <v>8113</v>
      </c>
      <c r="T1661" t="s">
        <v>12902</v>
      </c>
      <c r="U1661" t="s">
        <v>12902</v>
      </c>
      <c r="V1661" t="s">
        <v>12902</v>
      </c>
      <c r="W1661" t="s">
        <v>14532</v>
      </c>
      <c r="X1661">
        <v>5</v>
      </c>
      <c r="Y1661" t="s">
        <v>20912</v>
      </c>
      <c r="Z1661" t="s">
        <v>27236</v>
      </c>
      <c r="AA1661">
        <v>0.5240778999153044</v>
      </c>
      <c r="AB1661" t="str">
        <f>HYPERLINK("Melting_Curves/meltCurve_O75832_PSMD10.pdf", "Melting_Curves/meltCurve_O75832_PSMD10.pdf")</f>
        <v>Melting_Curves/meltCurve_O75832_PSMD10.pdf</v>
      </c>
    </row>
    <row r="1662" spans="1:28" x14ac:dyDescent="0.25">
      <c r="A1662" t="s">
        <v>1666</v>
      </c>
      <c r="B1662">
        <v>0.99673306730245903</v>
      </c>
      <c r="C1662">
        <v>0.93245425359810796</v>
      </c>
      <c r="D1662">
        <v>0.94897716442431301</v>
      </c>
      <c r="E1662">
        <v>0.65792996302154605</v>
      </c>
      <c r="F1662">
        <v>0.45434192979483601</v>
      </c>
      <c r="G1662">
        <v>0.32466882570106897</v>
      </c>
      <c r="H1662">
        <v>0.16709216986409101</v>
      </c>
      <c r="I1662">
        <v>0.101463225128333</v>
      </c>
      <c r="J1662">
        <v>9.8589064090300702E-2</v>
      </c>
      <c r="K1662">
        <v>7.5875836475339006E-2</v>
      </c>
      <c r="L1662">
        <v>742.81166146477597</v>
      </c>
      <c r="M1662">
        <v>14.209906719166099</v>
      </c>
      <c r="N1662">
        <v>52.700678286382299</v>
      </c>
      <c r="O1662">
        <v>51.271616009098601</v>
      </c>
      <c r="P1662">
        <v>-6.5532402144145796E-2</v>
      </c>
      <c r="Q1662">
        <v>5.4312541079591901E-2</v>
      </c>
      <c r="R1662">
        <v>0.99279274250955096</v>
      </c>
      <c r="S1662" t="s">
        <v>8114</v>
      </c>
      <c r="T1662" t="s">
        <v>12902</v>
      </c>
      <c r="U1662" t="s">
        <v>12902</v>
      </c>
      <c r="V1662" t="s">
        <v>12902</v>
      </c>
      <c r="W1662" t="s">
        <v>14533</v>
      </c>
      <c r="X1662">
        <v>8</v>
      </c>
      <c r="Y1662" t="s">
        <v>20913</v>
      </c>
      <c r="Z1662" t="s">
        <v>27237</v>
      </c>
      <c r="AA1662">
        <v>0.46389184413193801</v>
      </c>
      <c r="AB1662" t="str">
        <f>HYPERLINK("Melting_Curves/meltCurve_O75844_ZMPSTE24.pdf", "Melting_Curves/meltCurve_O75844_ZMPSTE24.pdf")</f>
        <v>Melting_Curves/meltCurve_O75844_ZMPSTE24.pdf</v>
      </c>
    </row>
    <row r="1663" spans="1:28" x14ac:dyDescent="0.25">
      <c r="A1663" t="s">
        <v>1667</v>
      </c>
      <c r="B1663">
        <v>0.99673306730245903</v>
      </c>
      <c r="C1663">
        <v>0.77078363239444003</v>
      </c>
      <c r="D1663">
        <v>0.71392911395301795</v>
      </c>
      <c r="E1663">
        <v>0.66858049156715005</v>
      </c>
      <c r="F1663">
        <v>0.43423687777439102</v>
      </c>
      <c r="G1663">
        <v>0.36153856399168099</v>
      </c>
      <c r="H1663">
        <v>0.28482106609583202</v>
      </c>
      <c r="I1663">
        <v>0.38558646207845698</v>
      </c>
      <c r="J1663">
        <v>0.38873982481145303</v>
      </c>
      <c r="K1663">
        <v>0.33716664681826702</v>
      </c>
      <c r="L1663">
        <v>571.06639184633696</v>
      </c>
      <c r="M1663">
        <v>12.0296395536429</v>
      </c>
      <c r="N1663">
        <v>51.842464870280899</v>
      </c>
      <c r="O1663">
        <v>46.216860275121299</v>
      </c>
      <c r="P1663">
        <v>-4.4346692105189801E-2</v>
      </c>
      <c r="Q1663">
        <v>0.31865769026033802</v>
      </c>
      <c r="R1663">
        <v>0.93564694355947398</v>
      </c>
      <c r="S1663" t="s">
        <v>8115</v>
      </c>
      <c r="T1663" t="s">
        <v>12902</v>
      </c>
      <c r="U1663" t="s">
        <v>12902</v>
      </c>
      <c r="V1663" t="s">
        <v>12902</v>
      </c>
      <c r="W1663" t="s">
        <v>14534</v>
      </c>
      <c r="X1663">
        <v>3</v>
      </c>
      <c r="Y1663" t="s">
        <v>20914</v>
      </c>
      <c r="Z1663" t="s">
        <v>27238</v>
      </c>
      <c r="AA1663">
        <v>0.51586677006396453</v>
      </c>
      <c r="AB1663" t="str">
        <f>HYPERLINK("Melting_Curves/meltCurve_O75845_SC5D.pdf", "Melting_Curves/meltCurve_O75845_SC5D.pdf")</f>
        <v>Melting_Curves/meltCurve_O75845_SC5D.pdf</v>
      </c>
    </row>
    <row r="1664" spans="1:28" x14ac:dyDescent="0.25">
      <c r="A1664" t="s">
        <v>1668</v>
      </c>
      <c r="B1664">
        <v>0.99673306730245903</v>
      </c>
      <c r="C1664">
        <v>1.01908752674273</v>
      </c>
      <c r="D1664">
        <v>0.84293675336950902</v>
      </c>
      <c r="E1664">
        <v>0.56602616721597998</v>
      </c>
      <c r="F1664">
        <v>0.225076301546251</v>
      </c>
      <c r="G1664">
        <v>0.13561231578091701</v>
      </c>
      <c r="H1664">
        <v>7.7829523426032596E-2</v>
      </c>
      <c r="I1664">
        <v>6.2023503759498798E-2</v>
      </c>
      <c r="J1664">
        <v>8.8469485159483302E-2</v>
      </c>
      <c r="K1664">
        <v>7.4422230450759505E-2</v>
      </c>
      <c r="L1664">
        <v>1134.0122533418701</v>
      </c>
      <c r="M1664">
        <v>22.8077079095948</v>
      </c>
      <c r="N1664">
        <v>50.056601602698699</v>
      </c>
      <c r="O1664">
        <v>49.343074368097099</v>
      </c>
      <c r="P1664">
        <v>-0.10735647444409301</v>
      </c>
      <c r="Q1664">
        <v>7.0981443346005701E-2</v>
      </c>
      <c r="R1664">
        <v>0.99727312241944999</v>
      </c>
      <c r="S1664" t="s">
        <v>8116</v>
      </c>
      <c r="T1664" t="s">
        <v>12902</v>
      </c>
      <c r="U1664" t="s">
        <v>12902</v>
      </c>
      <c r="V1664" t="s">
        <v>12902</v>
      </c>
      <c r="W1664" t="s">
        <v>14535</v>
      </c>
      <c r="X1664">
        <v>1</v>
      </c>
      <c r="Y1664" t="s">
        <v>20915</v>
      </c>
      <c r="Z1664" t="s">
        <v>27239</v>
      </c>
      <c r="AA1664">
        <v>0.38196638129302107</v>
      </c>
      <c r="AB1664" t="str">
        <f>HYPERLINK("Melting_Curves/meltCurve_O75865_TRAPPC6A.pdf", "Melting_Curves/meltCurve_O75865_TRAPPC6A.pdf")</f>
        <v>Melting_Curves/meltCurve_O75865_TRAPPC6A.pdf</v>
      </c>
    </row>
    <row r="1665" spans="1:28" x14ac:dyDescent="0.25">
      <c r="A1665" t="s">
        <v>1669</v>
      </c>
      <c r="B1665">
        <v>0.99673306730245903</v>
      </c>
      <c r="C1665">
        <v>1.0035107925468101</v>
      </c>
      <c r="D1665">
        <v>1.0306668812061801</v>
      </c>
      <c r="E1665">
        <v>1.03466533125004</v>
      </c>
      <c r="F1665">
        <v>0.92636573611078799</v>
      </c>
      <c r="G1665">
        <v>0.76665550381485803</v>
      </c>
      <c r="H1665">
        <v>0.330224951029845</v>
      </c>
      <c r="I1665">
        <v>9.5288018187981993E-2</v>
      </c>
      <c r="J1665">
        <v>9.8056171562033403E-2</v>
      </c>
      <c r="K1665">
        <v>8.4939067613520797E-2</v>
      </c>
      <c r="L1665">
        <v>1793.1580571069301</v>
      </c>
      <c r="M1665">
        <v>30.493034052432002</v>
      </c>
      <c r="N1665">
        <v>59.069155691558699</v>
      </c>
      <c r="O1665">
        <v>58.5543225765472</v>
      </c>
      <c r="P1665">
        <v>-0.121908523965246</v>
      </c>
      <c r="Q1665">
        <v>6.3625161520019402E-2</v>
      </c>
      <c r="R1665">
        <v>0.99631514904936302</v>
      </c>
      <c r="S1665" t="s">
        <v>8117</v>
      </c>
      <c r="T1665" t="s">
        <v>12902</v>
      </c>
      <c r="U1665" t="s">
        <v>12902</v>
      </c>
      <c r="V1665" t="s">
        <v>12902</v>
      </c>
      <c r="W1665" t="s">
        <v>14536</v>
      </c>
      <c r="X1665">
        <v>37</v>
      </c>
      <c r="Y1665" t="s">
        <v>20916</v>
      </c>
      <c r="Z1665" t="s">
        <v>27240</v>
      </c>
      <c r="AA1665">
        <v>0.65648026902513412</v>
      </c>
      <c r="AB1665" t="str">
        <f>HYPERLINK("Melting_Curves/meltCurve_O75874_IDH1.pdf", "Melting_Curves/meltCurve_O75874_IDH1.pdf")</f>
        <v>Melting_Curves/meltCurve_O75874_IDH1.pdf</v>
      </c>
    </row>
    <row r="1666" spans="1:28" x14ac:dyDescent="0.25">
      <c r="A1666" t="s">
        <v>1670</v>
      </c>
      <c r="B1666">
        <v>0.99673306730245903</v>
      </c>
      <c r="C1666">
        <v>0.95180028681875295</v>
      </c>
      <c r="D1666">
        <v>0.98875982520183803</v>
      </c>
      <c r="E1666">
        <v>0.93090370630623798</v>
      </c>
      <c r="F1666">
        <v>0.69755973689567397</v>
      </c>
      <c r="G1666">
        <v>0.603699660179011</v>
      </c>
      <c r="H1666">
        <v>0.54083302519528498</v>
      </c>
      <c r="I1666">
        <v>0.504478827798858</v>
      </c>
      <c r="J1666">
        <v>0.369068607986971</v>
      </c>
      <c r="K1666">
        <v>0.21342895089873201</v>
      </c>
      <c r="L1666">
        <v>483.06723994509201</v>
      </c>
      <c r="M1666">
        <v>7.8470807838574403</v>
      </c>
      <c r="N1666">
        <v>61.560119890720301</v>
      </c>
      <c r="O1666">
        <v>57.946465302592301</v>
      </c>
      <c r="P1666">
        <v>-3.38960158834418E-2</v>
      </c>
      <c r="Q1666">
        <v>0</v>
      </c>
      <c r="R1666">
        <v>0.96071839728859298</v>
      </c>
      <c r="S1666" t="s">
        <v>8118</v>
      </c>
      <c r="T1666" t="s">
        <v>12902</v>
      </c>
      <c r="U1666" t="s">
        <v>12902</v>
      </c>
      <c r="V1666" t="s">
        <v>12902</v>
      </c>
      <c r="W1666" t="s">
        <v>14537</v>
      </c>
      <c r="X1666">
        <v>13</v>
      </c>
      <c r="Y1666" t="s">
        <v>20917</v>
      </c>
      <c r="Z1666" t="s">
        <v>27241</v>
      </c>
      <c r="AA1666">
        <v>0.68550897960268975</v>
      </c>
      <c r="AB1666" t="str">
        <f>HYPERLINK("Melting_Curves/meltCurve_O75882_ATRN.pdf", "Melting_Curves/meltCurve_O75882_ATRN.pdf")</f>
        <v>Melting_Curves/meltCurve_O75882_ATRN.pdf</v>
      </c>
    </row>
    <row r="1667" spans="1:28" x14ac:dyDescent="0.25">
      <c r="A1667" t="s">
        <v>1671</v>
      </c>
      <c r="B1667">
        <v>0.99673306730245903</v>
      </c>
      <c r="C1667">
        <v>1.05218720203312</v>
      </c>
      <c r="D1667">
        <v>0.97453563721452596</v>
      </c>
      <c r="E1667">
        <v>0.82620709427392403</v>
      </c>
      <c r="F1667">
        <v>0.31900114583033301</v>
      </c>
      <c r="G1667">
        <v>0.17066646973265201</v>
      </c>
      <c r="H1667">
        <v>0.105027213327837</v>
      </c>
      <c r="I1667">
        <v>9.43115603614718E-2</v>
      </c>
      <c r="J1667">
        <v>0.108540744527357</v>
      </c>
      <c r="K1667">
        <v>8.9546250990141699E-2</v>
      </c>
      <c r="L1667">
        <v>1797.35663532939</v>
      </c>
      <c r="M1667">
        <v>34.865410645410698</v>
      </c>
      <c r="N1667">
        <v>51.897772511622499</v>
      </c>
      <c r="O1667">
        <v>51.3825742534654</v>
      </c>
      <c r="P1667">
        <v>-0.15202279327950199</v>
      </c>
      <c r="Q1667">
        <v>0.103834506620506</v>
      </c>
      <c r="R1667">
        <v>0.99724666947999296</v>
      </c>
      <c r="S1667" t="s">
        <v>8119</v>
      </c>
      <c r="T1667" t="s">
        <v>12902</v>
      </c>
      <c r="U1667" t="s">
        <v>12902</v>
      </c>
      <c r="V1667" t="s">
        <v>12902</v>
      </c>
      <c r="W1667" t="s">
        <v>14538</v>
      </c>
      <c r="X1667">
        <v>6</v>
      </c>
      <c r="Y1667" t="s">
        <v>20918</v>
      </c>
      <c r="Z1667" t="s">
        <v>27242</v>
      </c>
      <c r="AA1667">
        <v>0.45310489656211861</v>
      </c>
      <c r="AB1667" t="str">
        <f>HYPERLINK("Melting_Curves/meltCurve_O75884_RBBP9.pdf", "Melting_Curves/meltCurve_O75884_RBBP9.pdf")</f>
        <v>Melting_Curves/meltCurve_O75884_RBBP9.pdf</v>
      </c>
    </row>
    <row r="1668" spans="1:28" x14ac:dyDescent="0.25">
      <c r="A1668" t="s">
        <v>1672</v>
      </c>
      <c r="B1668">
        <v>0.99673306730245903</v>
      </c>
      <c r="C1668">
        <v>0.90373959859531305</v>
      </c>
      <c r="D1668">
        <v>0.80569838941208904</v>
      </c>
      <c r="E1668">
        <v>0.49867779749885199</v>
      </c>
      <c r="F1668">
        <v>0.204975921684384</v>
      </c>
      <c r="G1668">
        <v>0.13772410020357401</v>
      </c>
      <c r="H1668">
        <v>9.68890280298777E-2</v>
      </c>
      <c r="I1668">
        <v>0.13141458624462499</v>
      </c>
      <c r="J1668">
        <v>0.17328128920400501</v>
      </c>
      <c r="K1668">
        <v>0.455351575737305</v>
      </c>
      <c r="L1668">
        <v>1237.5249729938801</v>
      </c>
      <c r="M1668">
        <v>25.681879796487198</v>
      </c>
      <c r="N1668">
        <v>49.1038195387382</v>
      </c>
      <c r="O1668">
        <v>47.897384221637601</v>
      </c>
      <c r="P1668">
        <v>-0.10851115392461</v>
      </c>
      <c r="Q1668">
        <v>0.19050515412761199</v>
      </c>
      <c r="R1668">
        <v>0.91118884558022595</v>
      </c>
      <c r="S1668" t="s">
        <v>8120</v>
      </c>
      <c r="T1668" t="s">
        <v>12902</v>
      </c>
      <c r="U1668" t="s">
        <v>12902</v>
      </c>
      <c r="V1668" t="s">
        <v>12902</v>
      </c>
      <c r="W1668" t="s">
        <v>14539</v>
      </c>
      <c r="X1668">
        <v>7</v>
      </c>
      <c r="Y1668" t="s">
        <v>20919</v>
      </c>
      <c r="Z1668" t="s">
        <v>27243</v>
      </c>
      <c r="AA1668">
        <v>0.41816664468928871</v>
      </c>
      <c r="AB1668" t="str">
        <f>HYPERLINK("Melting_Curves/meltCurve_O75886_STAM2.pdf", "Melting_Curves/meltCurve_O75886_STAM2.pdf")</f>
        <v>Melting_Curves/meltCurve_O75886_STAM2.pdf</v>
      </c>
    </row>
    <row r="1669" spans="1:28" x14ac:dyDescent="0.25">
      <c r="A1669" t="s">
        <v>1673</v>
      </c>
      <c r="B1669">
        <v>0.99673306730245903</v>
      </c>
      <c r="C1669">
        <v>1.06193225766151</v>
      </c>
      <c r="D1669">
        <v>0.14847970752358899</v>
      </c>
      <c r="E1669">
        <v>0.56484101621980898</v>
      </c>
      <c r="F1669">
        <v>0.155057135556776</v>
      </c>
      <c r="G1669">
        <v>0.114458590797027</v>
      </c>
      <c r="H1669">
        <v>8.3155918846522694E-2</v>
      </c>
      <c r="I1669">
        <v>0.10660395566988699</v>
      </c>
      <c r="J1669">
        <v>0.14733838904098501</v>
      </c>
      <c r="K1669">
        <v>0.132012053140659</v>
      </c>
      <c r="L1669">
        <v>11115.0248378367</v>
      </c>
      <c r="M1669">
        <v>250</v>
      </c>
      <c r="N1669">
        <v>44.540433879642698</v>
      </c>
      <c r="O1669">
        <v>44.4572541889926</v>
      </c>
      <c r="P1669">
        <v>-1.15072410385973</v>
      </c>
      <c r="Q1669">
        <v>0.18147145697177999</v>
      </c>
      <c r="R1669">
        <v>0.86710703534012201</v>
      </c>
      <c r="S1669" t="s">
        <v>8121</v>
      </c>
      <c r="T1669" t="s">
        <v>12902</v>
      </c>
      <c r="U1669" t="s">
        <v>12902</v>
      </c>
      <c r="V1669" t="s">
        <v>12902</v>
      </c>
      <c r="W1669" t="s">
        <v>14540</v>
      </c>
      <c r="X1669">
        <v>4</v>
      </c>
      <c r="Y1669" t="s">
        <v>20920</v>
      </c>
      <c r="Z1669" t="s">
        <v>27244</v>
      </c>
      <c r="AA1669">
        <v>0.30322594491427268</v>
      </c>
      <c r="AB1669" t="str">
        <f>HYPERLINK("Melting_Curves/meltCurve_O75891_ALDH1L1.pdf", "Melting_Curves/meltCurve_O75891_ALDH1L1.pdf")</f>
        <v>Melting_Curves/meltCurve_O75891_ALDH1L1.pdf</v>
      </c>
    </row>
    <row r="1670" spans="1:28" x14ac:dyDescent="0.25">
      <c r="A1670" t="s">
        <v>1674</v>
      </c>
      <c r="B1670">
        <v>0.99673306730245903</v>
      </c>
      <c r="C1670">
        <v>0.99442101458725796</v>
      </c>
      <c r="D1670">
        <v>0.93120612725139595</v>
      </c>
      <c r="E1670">
        <v>0.83734721377403898</v>
      </c>
      <c r="F1670">
        <v>0.36401998539437402</v>
      </c>
      <c r="G1670">
        <v>0.17359019643249601</v>
      </c>
      <c r="H1670">
        <v>6.1915390163119699E-2</v>
      </c>
      <c r="I1670">
        <v>3.8370813892765497E-2</v>
      </c>
      <c r="J1670">
        <v>4.2296091759852598E-2</v>
      </c>
      <c r="K1670">
        <v>4.7164747372392901E-2</v>
      </c>
      <c r="L1670">
        <v>1412.6358037897501</v>
      </c>
      <c r="M1670">
        <v>27.108071698063501</v>
      </c>
      <c r="N1670">
        <v>52.293582033775401</v>
      </c>
      <c r="O1670">
        <v>51.830150932266299</v>
      </c>
      <c r="P1670">
        <v>-0.12485959073349601</v>
      </c>
      <c r="Q1670">
        <v>4.5092052201873102E-2</v>
      </c>
      <c r="R1670">
        <v>0.99694592855209796</v>
      </c>
      <c r="S1670" t="s">
        <v>8122</v>
      </c>
      <c r="T1670" t="s">
        <v>12902</v>
      </c>
      <c r="U1670" t="s">
        <v>12902</v>
      </c>
      <c r="V1670" t="s">
        <v>12902</v>
      </c>
      <c r="W1670" t="s">
        <v>14541</v>
      </c>
      <c r="X1670">
        <v>3</v>
      </c>
      <c r="Y1670" t="s">
        <v>20921</v>
      </c>
      <c r="Z1670" t="s">
        <v>27245</v>
      </c>
      <c r="AA1670">
        <v>0.43805712919463868</v>
      </c>
      <c r="AB1670" t="str">
        <f>HYPERLINK("Melting_Curves/meltCurve_O75896_TUSC2.pdf", "Melting_Curves/meltCurve_O75896_TUSC2.pdf")</f>
        <v>Melting_Curves/meltCurve_O75896_TUSC2.pdf</v>
      </c>
    </row>
    <row r="1671" spans="1:28" x14ac:dyDescent="0.25">
      <c r="A1671" t="s">
        <v>1675</v>
      </c>
      <c r="B1671">
        <v>0.99673306730245903</v>
      </c>
      <c r="C1671">
        <v>1.0089363800448301</v>
      </c>
      <c r="D1671">
        <v>0.98265416976653197</v>
      </c>
      <c r="E1671">
        <v>0.91065591485170205</v>
      </c>
      <c r="F1671">
        <v>0.80541040737633596</v>
      </c>
      <c r="G1671">
        <v>0.60918478544960297</v>
      </c>
      <c r="H1671">
        <v>0.41943475482124598</v>
      </c>
      <c r="I1671">
        <v>0.49796455156354902</v>
      </c>
      <c r="J1671">
        <v>0.43282717724657199</v>
      </c>
      <c r="K1671">
        <v>0.45805454050414202</v>
      </c>
      <c r="L1671">
        <v>1226.0243282481799</v>
      </c>
      <c r="M1671">
        <v>22.534100891391699</v>
      </c>
      <c r="N1671">
        <v>59.914690905971</v>
      </c>
      <c r="O1671">
        <v>53.984491831938399</v>
      </c>
      <c r="P1671">
        <v>-5.8754119813583403E-2</v>
      </c>
      <c r="Q1671">
        <v>0.43698743912182297</v>
      </c>
      <c r="R1671">
        <v>0.98558051058116503</v>
      </c>
      <c r="S1671" t="s">
        <v>8123</v>
      </c>
      <c r="T1671" t="s">
        <v>12902</v>
      </c>
      <c r="U1671" t="s">
        <v>12902</v>
      </c>
      <c r="V1671" t="s">
        <v>12902</v>
      </c>
      <c r="W1671" t="s">
        <v>14542</v>
      </c>
      <c r="X1671">
        <v>10</v>
      </c>
      <c r="Y1671" t="s">
        <v>20922</v>
      </c>
      <c r="Z1671" t="s">
        <v>27246</v>
      </c>
      <c r="AA1671">
        <v>0.71362584275111163</v>
      </c>
      <c r="AB1671" t="str">
        <f>HYPERLINK("Melting_Curves/meltCurve_O75915_ARL6IP5.pdf", "Melting_Curves/meltCurve_O75915_ARL6IP5.pdf")</f>
        <v>Melting_Curves/meltCurve_O75915_ARL6IP5.pdf</v>
      </c>
    </row>
    <row r="1672" spans="1:28" x14ac:dyDescent="0.25">
      <c r="A1672" t="s">
        <v>1676</v>
      </c>
      <c r="B1672">
        <v>0.99673306730245903</v>
      </c>
      <c r="C1672">
        <v>0.87316283161687303</v>
      </c>
      <c r="D1672">
        <v>0.80581527680768905</v>
      </c>
      <c r="E1672">
        <v>0.60636913798337</v>
      </c>
      <c r="F1672">
        <v>0.32032576814683</v>
      </c>
      <c r="G1672">
        <v>0.180752558695744</v>
      </c>
      <c r="H1672">
        <v>9.5151201901781501E-2</v>
      </c>
      <c r="I1672">
        <v>9.0740061294625696E-2</v>
      </c>
      <c r="J1672">
        <v>0.112176501453469</v>
      </c>
      <c r="K1672">
        <v>0.13074808874706201</v>
      </c>
      <c r="L1672">
        <v>791.97852330047897</v>
      </c>
      <c r="M1672">
        <v>15.8610111263307</v>
      </c>
      <c r="N1672">
        <v>50.4846309421455</v>
      </c>
      <c r="O1672">
        <v>49.158901291455699</v>
      </c>
      <c r="P1672">
        <v>-7.4244158494340101E-2</v>
      </c>
      <c r="Q1672">
        <v>7.9638754506735104E-2</v>
      </c>
      <c r="R1672">
        <v>0.99157503372485001</v>
      </c>
      <c r="S1672" t="s">
        <v>8124</v>
      </c>
      <c r="T1672" t="s">
        <v>12902</v>
      </c>
      <c r="U1672" t="s">
        <v>12902</v>
      </c>
      <c r="V1672" t="s">
        <v>12902</v>
      </c>
      <c r="W1672" t="s">
        <v>14543</v>
      </c>
      <c r="X1672">
        <v>12</v>
      </c>
      <c r="Y1672" t="s">
        <v>20923</v>
      </c>
      <c r="Z1672" t="s">
        <v>27247</v>
      </c>
      <c r="AA1672">
        <v>0.40424397880545693</v>
      </c>
      <c r="AB1672" t="str">
        <f>HYPERLINK("Melting_Curves/meltCurve_O75934_BCAS2.pdf", "Melting_Curves/meltCurve_O75934_BCAS2.pdf")</f>
        <v>Melting_Curves/meltCurve_O75934_BCAS2.pdf</v>
      </c>
    </row>
    <row r="1673" spans="1:28" x14ac:dyDescent="0.25">
      <c r="A1673" t="s">
        <v>1677</v>
      </c>
      <c r="B1673">
        <v>0.99673306730245903</v>
      </c>
      <c r="C1673">
        <v>1.0212694110601901</v>
      </c>
      <c r="D1673">
        <v>1.00675051255336</v>
      </c>
      <c r="E1673">
        <v>0.93350774500379596</v>
      </c>
      <c r="F1673">
        <v>0.36477960190515102</v>
      </c>
      <c r="G1673">
        <v>0.196940740534186</v>
      </c>
      <c r="H1673">
        <v>7.9602165137884096E-2</v>
      </c>
      <c r="I1673">
        <v>7.6862492724309006E-2</v>
      </c>
      <c r="J1673">
        <v>0.10427492289031599</v>
      </c>
      <c r="K1673">
        <v>8.1791123166152002E-2</v>
      </c>
      <c r="L1673">
        <v>2223.4856015773698</v>
      </c>
      <c r="M1673">
        <v>42.576303300784502</v>
      </c>
      <c r="N1673">
        <v>52.4964803110473</v>
      </c>
      <c r="O1673">
        <v>52.108748512991397</v>
      </c>
      <c r="P1673">
        <v>-0.18398636645317701</v>
      </c>
      <c r="Q1673">
        <v>9.9284792403195196E-2</v>
      </c>
      <c r="R1673">
        <v>0.99580601158506299</v>
      </c>
      <c r="S1673" t="s">
        <v>8125</v>
      </c>
      <c r="T1673" t="s">
        <v>12902</v>
      </c>
      <c r="U1673" t="s">
        <v>12902</v>
      </c>
      <c r="V1673" t="s">
        <v>12902</v>
      </c>
      <c r="W1673" t="s">
        <v>14544</v>
      </c>
      <c r="X1673">
        <v>6</v>
      </c>
      <c r="Y1673" t="s">
        <v>20924</v>
      </c>
      <c r="Z1673" t="s">
        <v>27248</v>
      </c>
      <c r="AA1673">
        <v>0.46914893785847511</v>
      </c>
      <c r="AB1673" t="str">
        <f>HYPERLINK("Melting_Curves/meltCurve_O75935_DCTN3.pdf", "Melting_Curves/meltCurve_O75935_DCTN3.pdf")</f>
        <v>Melting_Curves/meltCurve_O75935_DCTN3.pdf</v>
      </c>
    </row>
    <row r="1674" spans="1:28" x14ac:dyDescent="0.25">
      <c r="A1674" t="s">
        <v>1678</v>
      </c>
      <c r="B1674">
        <v>0.99673306730245903</v>
      </c>
      <c r="C1674">
        <v>0.90905802425516702</v>
      </c>
      <c r="D1674">
        <v>0.857228938482964</v>
      </c>
      <c r="E1674">
        <v>0.78918881287009102</v>
      </c>
      <c r="F1674">
        <v>0.32816885389126699</v>
      </c>
      <c r="G1674">
        <v>0.19643239590640399</v>
      </c>
      <c r="H1674">
        <v>0.13389911517478201</v>
      </c>
      <c r="I1674">
        <v>0.19117514801993399</v>
      </c>
      <c r="J1674">
        <v>0.30131084806397002</v>
      </c>
      <c r="K1674">
        <v>0.33180578225391799</v>
      </c>
      <c r="L1674">
        <v>1912.9144071826499</v>
      </c>
      <c r="M1674">
        <v>37.733626877554798</v>
      </c>
      <c r="N1674">
        <v>51.5221061267561</v>
      </c>
      <c r="O1674">
        <v>50.553460337541502</v>
      </c>
      <c r="P1674">
        <v>-0.14422081419419</v>
      </c>
      <c r="Q1674">
        <v>0.22712521218826501</v>
      </c>
      <c r="R1674">
        <v>0.94876245302962503</v>
      </c>
      <c r="S1674" t="s">
        <v>8126</v>
      </c>
      <c r="T1674" t="s">
        <v>12902</v>
      </c>
      <c r="U1674" t="s">
        <v>12902</v>
      </c>
      <c r="V1674" t="s">
        <v>12902</v>
      </c>
      <c r="W1674" t="s">
        <v>14545</v>
      </c>
      <c r="X1674">
        <v>18</v>
      </c>
      <c r="Y1674" t="s">
        <v>20925</v>
      </c>
      <c r="Z1674" t="s">
        <v>27249</v>
      </c>
      <c r="AA1674">
        <v>0.50570702230124265</v>
      </c>
      <c r="AB1674" t="str">
        <f>HYPERLINK("Melting_Curves/meltCurve_O75937_DNAJC8.pdf", "Melting_Curves/meltCurve_O75937_DNAJC8.pdf")</f>
        <v>Melting_Curves/meltCurve_O75937_DNAJC8.pdf</v>
      </c>
    </row>
    <row r="1675" spans="1:28" x14ac:dyDescent="0.25">
      <c r="A1675" t="s">
        <v>1679</v>
      </c>
      <c r="B1675">
        <v>0.99673306730245903</v>
      </c>
      <c r="C1675">
        <v>0.99131088557943103</v>
      </c>
      <c r="D1675">
        <v>0.94759495197584198</v>
      </c>
      <c r="E1675">
        <v>1.0149969383933799</v>
      </c>
      <c r="F1675">
        <v>1.4516444388129199</v>
      </c>
      <c r="G1675">
        <v>1.5340666375316401</v>
      </c>
      <c r="H1675">
        <v>1.33447042884393</v>
      </c>
      <c r="I1675">
        <v>1.8371880225777599</v>
      </c>
      <c r="J1675">
        <v>2.8527875987968501</v>
      </c>
      <c r="K1675">
        <v>2.8099011855243301</v>
      </c>
      <c r="L1675">
        <v>4237.9984668389297</v>
      </c>
      <c r="M1675">
        <v>81.907595617429806</v>
      </c>
      <c r="O1675">
        <v>51.710395539470703</v>
      </c>
      <c r="P1675">
        <v>0.19799598436483101</v>
      </c>
      <c r="Q1675">
        <v>1.5</v>
      </c>
      <c r="R1675">
        <v>0.21191548864180201</v>
      </c>
      <c r="S1675" t="s">
        <v>8127</v>
      </c>
      <c r="T1675" t="s">
        <v>12902</v>
      </c>
      <c r="U1675" t="s">
        <v>12902</v>
      </c>
      <c r="V1675" t="s">
        <v>12902</v>
      </c>
      <c r="W1675" t="s">
        <v>14546</v>
      </c>
      <c r="X1675">
        <v>11</v>
      </c>
      <c r="Y1675" t="s">
        <v>20926</v>
      </c>
      <c r="Z1675" t="s">
        <v>27250</v>
      </c>
      <c r="AA1675">
        <v>1.3038893396966751</v>
      </c>
      <c r="AB1675" t="str">
        <f>HYPERLINK("Melting_Curves/meltCurve_O75940_SMNDC1.pdf", "Melting_Curves/meltCurve_O75940_SMNDC1.pdf")</f>
        <v>Melting_Curves/meltCurve_O75940_SMNDC1.pdf</v>
      </c>
    </row>
    <row r="1676" spans="1:28" x14ac:dyDescent="0.25">
      <c r="A1676" t="s">
        <v>1680</v>
      </c>
      <c r="B1676">
        <v>0.99673306730245903</v>
      </c>
      <c r="C1676">
        <v>0.96618421111067798</v>
      </c>
      <c r="D1676">
        <v>0.94202533942151001</v>
      </c>
      <c r="E1676">
        <v>0.89756881077051298</v>
      </c>
      <c r="F1676">
        <v>0.76587231582928605</v>
      </c>
      <c r="G1676">
        <v>0.66892442607039004</v>
      </c>
      <c r="H1676">
        <v>0.61658385954795603</v>
      </c>
      <c r="I1676">
        <v>0.44393684247735898</v>
      </c>
      <c r="J1676">
        <v>0.50430438593798799</v>
      </c>
      <c r="K1676">
        <v>0.56183022988864295</v>
      </c>
      <c r="L1676">
        <v>751.62390841962599</v>
      </c>
      <c r="M1676">
        <v>13.8933782980465</v>
      </c>
      <c r="O1676">
        <v>53.015595213852102</v>
      </c>
      <c r="P1676">
        <v>-3.3873978984330498E-2</v>
      </c>
      <c r="Q1676">
        <v>0.48303305296455001</v>
      </c>
      <c r="R1676">
        <v>0.96084151729159695</v>
      </c>
      <c r="S1676" t="s">
        <v>8128</v>
      </c>
      <c r="T1676" t="s">
        <v>12902</v>
      </c>
      <c r="U1676" t="s">
        <v>12902</v>
      </c>
      <c r="V1676" t="s">
        <v>12902</v>
      </c>
      <c r="W1676" t="s">
        <v>14547</v>
      </c>
      <c r="X1676">
        <v>16</v>
      </c>
      <c r="Y1676" t="s">
        <v>20927</v>
      </c>
      <c r="Z1676" t="s">
        <v>27251</v>
      </c>
      <c r="AA1676">
        <v>0.73753543041737601</v>
      </c>
      <c r="AB1676" t="str">
        <f>HYPERLINK("Melting_Curves/meltCurve_O75947_ATP5H.pdf", "Melting_Curves/meltCurve_O75947_ATP5H.pdf")</f>
        <v>Melting_Curves/meltCurve_O75947_ATP5H.pdf</v>
      </c>
    </row>
    <row r="1677" spans="1:28" x14ac:dyDescent="0.25">
      <c r="A1677" t="s">
        <v>1681</v>
      </c>
      <c r="B1677">
        <v>0.99673306730245903</v>
      </c>
      <c r="C1677">
        <v>1.02928582515124</v>
      </c>
      <c r="D1677">
        <v>0.91526994479851598</v>
      </c>
      <c r="E1677">
        <v>0.82444038375550899</v>
      </c>
      <c r="F1677">
        <v>0.643140472161563</v>
      </c>
      <c r="G1677">
        <v>0.34939927759942302</v>
      </c>
      <c r="H1677">
        <v>0.185552333435027</v>
      </c>
      <c r="I1677">
        <v>0.134846106224604</v>
      </c>
      <c r="J1677">
        <v>0.17985800134479599</v>
      </c>
      <c r="K1677">
        <v>0.15364645066584701</v>
      </c>
      <c r="L1677">
        <v>1005.4798433872</v>
      </c>
      <c r="M1677">
        <v>18.712659376941701</v>
      </c>
      <c r="N1677">
        <v>54.572456248973097</v>
      </c>
      <c r="O1677">
        <v>53.130237957069198</v>
      </c>
      <c r="P1677">
        <v>-7.7037860657688806E-2</v>
      </c>
      <c r="Q1677">
        <v>0.125112824273169</v>
      </c>
      <c r="R1677">
        <v>0.99279894161555204</v>
      </c>
      <c r="S1677" t="s">
        <v>8129</v>
      </c>
      <c r="T1677" t="s">
        <v>12902</v>
      </c>
      <c r="U1677" t="s">
        <v>12902</v>
      </c>
      <c r="V1677" t="s">
        <v>12902</v>
      </c>
      <c r="W1677" t="s">
        <v>14548</v>
      </c>
      <c r="X1677">
        <v>11</v>
      </c>
      <c r="Y1677" t="s">
        <v>20928</v>
      </c>
      <c r="Z1677" t="s">
        <v>27252</v>
      </c>
      <c r="AA1677">
        <v>0.53887417196903875</v>
      </c>
      <c r="AB1677" t="str">
        <f>HYPERLINK("Melting_Curves/meltCurve_O75955_FLOT1.pdf", "Melting_Curves/meltCurve_O75955_FLOT1.pdf")</f>
        <v>Melting_Curves/meltCurve_O75955_FLOT1.pdf</v>
      </c>
    </row>
    <row r="1678" spans="1:28" x14ac:dyDescent="0.25">
      <c r="A1678" t="s">
        <v>1682</v>
      </c>
      <c r="B1678">
        <v>0.99673306730245903</v>
      </c>
      <c r="C1678">
        <v>0.89212264718202305</v>
      </c>
      <c r="D1678">
        <v>0.76731597833805698</v>
      </c>
      <c r="E1678">
        <v>0.38653888939995401</v>
      </c>
      <c r="F1678">
        <v>0.199028027448167</v>
      </c>
      <c r="G1678">
        <v>0.103184696956219</v>
      </c>
      <c r="H1678">
        <v>6.2851831415287399E-2</v>
      </c>
      <c r="I1678">
        <v>5.5534844834965402E-2</v>
      </c>
      <c r="J1678">
        <v>6.7071135190960196E-2</v>
      </c>
      <c r="K1678">
        <v>6.6340172364091801E-2</v>
      </c>
      <c r="L1678">
        <v>955.36094467500402</v>
      </c>
      <c r="M1678">
        <v>19.797534822758699</v>
      </c>
      <c r="N1678">
        <v>48.553524283646802</v>
      </c>
      <c r="O1678">
        <v>47.772301553997103</v>
      </c>
      <c r="P1678">
        <v>-9.7699373836408407E-2</v>
      </c>
      <c r="Q1678">
        <v>5.7021033395873298E-2</v>
      </c>
      <c r="R1678">
        <v>0.99784508990138499</v>
      </c>
      <c r="S1678" t="s">
        <v>8130</v>
      </c>
      <c r="T1678" t="s">
        <v>12902</v>
      </c>
      <c r="U1678" t="s">
        <v>12902</v>
      </c>
      <c r="V1678" t="s">
        <v>12902</v>
      </c>
      <c r="W1678" t="s">
        <v>14549</v>
      </c>
      <c r="X1678">
        <v>16</v>
      </c>
      <c r="Y1678" t="s">
        <v>20929</v>
      </c>
      <c r="Z1678" t="s">
        <v>27253</v>
      </c>
      <c r="AA1678">
        <v>0.33017038156066297</v>
      </c>
      <c r="AB1678" t="str">
        <f>HYPERLINK("Melting_Curves/meltCurve_O75962_TRIO.pdf", "Melting_Curves/meltCurve_O75962_TRIO.pdf")</f>
        <v>Melting_Curves/meltCurve_O75962_TRIO.pdf</v>
      </c>
    </row>
    <row r="1679" spans="1:28" x14ac:dyDescent="0.25">
      <c r="A1679" t="s">
        <v>1683</v>
      </c>
      <c r="B1679">
        <v>0.99673306730245903</v>
      </c>
      <c r="C1679">
        <v>0.75238616892035204</v>
      </c>
      <c r="D1679">
        <v>0.88922013143384504</v>
      </c>
      <c r="E1679">
        <v>0.53669287387345699</v>
      </c>
      <c r="F1679">
        <v>0.91646348368684405</v>
      </c>
      <c r="G1679">
        <v>0.70367210766278598</v>
      </c>
      <c r="H1679">
        <v>0.66726555571032298</v>
      </c>
      <c r="I1679">
        <v>0.34309310551183497</v>
      </c>
      <c r="J1679">
        <v>0.13184070911155299</v>
      </c>
      <c r="K1679">
        <v>8.36234670078288E-2</v>
      </c>
      <c r="L1679">
        <v>508.64872751573199</v>
      </c>
      <c r="M1679">
        <v>8.5171910084194895</v>
      </c>
      <c r="N1679">
        <v>59.720243786948799</v>
      </c>
      <c r="O1679">
        <v>56.701111787974</v>
      </c>
      <c r="P1679">
        <v>-3.7586605951867802E-2</v>
      </c>
      <c r="Q1679">
        <v>0</v>
      </c>
      <c r="R1679">
        <v>0.71130733057864703</v>
      </c>
      <c r="S1679" t="s">
        <v>8131</v>
      </c>
      <c r="T1679" t="s">
        <v>12902</v>
      </c>
      <c r="U1679" t="s">
        <v>12902</v>
      </c>
      <c r="V1679" t="s">
        <v>12902</v>
      </c>
      <c r="W1679" t="s">
        <v>14550</v>
      </c>
      <c r="X1679">
        <v>5</v>
      </c>
      <c r="Y1679" t="s">
        <v>20930</v>
      </c>
      <c r="Z1679" t="s">
        <v>27254</v>
      </c>
      <c r="AA1679">
        <v>0.64829573982375643</v>
      </c>
      <c r="AB1679" t="str">
        <f>HYPERLINK("Melting_Curves/meltCurve_O75964_ATP5L.pdf", "Melting_Curves/meltCurve_O75964_ATP5L.pdf")</f>
        <v>Melting_Curves/meltCurve_O75964_ATP5L.pdf</v>
      </c>
    </row>
    <row r="1680" spans="1:28" x14ac:dyDescent="0.25">
      <c r="A1680" t="s">
        <v>1684</v>
      </c>
      <c r="B1680">
        <v>0.99673306730245903</v>
      </c>
      <c r="C1680">
        <v>0.92174080819339199</v>
      </c>
      <c r="D1680">
        <v>0.85182247566418801</v>
      </c>
      <c r="E1680">
        <v>0.65431776490726501</v>
      </c>
      <c r="F1680">
        <v>0.32290928152399101</v>
      </c>
      <c r="G1680">
        <v>0.19418711724795601</v>
      </c>
      <c r="H1680">
        <v>0.13169406730028599</v>
      </c>
      <c r="I1680">
        <v>0.12851441549745601</v>
      </c>
      <c r="J1680">
        <v>0.115963311840214</v>
      </c>
      <c r="K1680">
        <v>9.4150626118568295E-2</v>
      </c>
      <c r="L1680">
        <v>917.21897058898401</v>
      </c>
      <c r="M1680">
        <v>18.185948782969898</v>
      </c>
      <c r="N1680">
        <v>51.035208880342402</v>
      </c>
      <c r="O1680">
        <v>49.8376093432598</v>
      </c>
      <c r="P1680">
        <v>-8.2454665149206394E-2</v>
      </c>
      <c r="Q1680">
        <v>9.6192619702162294E-2</v>
      </c>
      <c r="R1680">
        <v>0.99635483810236203</v>
      </c>
      <c r="S1680" t="s">
        <v>8132</v>
      </c>
      <c r="T1680" t="s">
        <v>12902</v>
      </c>
      <c r="U1680" t="s">
        <v>12902</v>
      </c>
      <c r="V1680" t="s">
        <v>12902</v>
      </c>
      <c r="W1680" t="s">
        <v>14551</v>
      </c>
      <c r="X1680">
        <v>31</v>
      </c>
      <c r="Y1680" t="s">
        <v>20931</v>
      </c>
      <c r="Z1680" t="s">
        <v>27255</v>
      </c>
      <c r="AA1680">
        <v>0.4256239062253146</v>
      </c>
      <c r="AB1680" t="str">
        <f>HYPERLINK("Melting_Curves/meltCurve_O75976_CPD.pdf", "Melting_Curves/meltCurve_O75976_CPD.pdf")</f>
        <v>Melting_Curves/meltCurve_O75976_CPD.pdf</v>
      </c>
    </row>
    <row r="1681" spans="1:28" x14ac:dyDescent="0.25">
      <c r="A1681" t="s">
        <v>1685</v>
      </c>
      <c r="B1681">
        <v>0.99673306730245903</v>
      </c>
      <c r="C1681">
        <v>0.999953457212441</v>
      </c>
      <c r="D1681">
        <v>0.93336418860637005</v>
      </c>
      <c r="E1681">
        <v>0.76094122436884504</v>
      </c>
      <c r="F1681">
        <v>0.23928935251080999</v>
      </c>
      <c r="G1681">
        <v>0.14990030752244199</v>
      </c>
      <c r="H1681">
        <v>7.50452565259664E-2</v>
      </c>
      <c r="I1681">
        <v>6.54525773530482E-2</v>
      </c>
      <c r="J1681">
        <v>6.9715098834004396E-2</v>
      </c>
      <c r="K1681">
        <v>5.9314078656930003E-2</v>
      </c>
      <c r="L1681">
        <v>1696.35717560734</v>
      </c>
      <c r="M1681">
        <v>33.2412577870533</v>
      </c>
      <c r="N1681">
        <v>51.275890678859703</v>
      </c>
      <c r="O1681">
        <v>50.848052177220097</v>
      </c>
      <c r="P1681">
        <v>-0.15146971832403899</v>
      </c>
      <c r="Q1681">
        <v>7.3211150604991296E-2</v>
      </c>
      <c r="R1681">
        <v>0.99687741840169597</v>
      </c>
      <c r="S1681" t="s">
        <v>8133</v>
      </c>
      <c r="T1681" t="s">
        <v>12902</v>
      </c>
      <c r="U1681" t="s">
        <v>12902</v>
      </c>
      <c r="V1681" t="s">
        <v>12902</v>
      </c>
      <c r="W1681" t="s">
        <v>14552</v>
      </c>
      <c r="X1681">
        <v>19</v>
      </c>
      <c r="Y1681" t="s">
        <v>20932</v>
      </c>
      <c r="Z1681" t="s">
        <v>27256</v>
      </c>
      <c r="AA1681">
        <v>0.41875753603993859</v>
      </c>
      <c r="AB1681" t="str">
        <f>HYPERLINK("Melting_Curves/meltCurve_O76003_GLRX3.pdf", "Melting_Curves/meltCurve_O76003_GLRX3.pdf")</f>
        <v>Melting_Curves/meltCurve_O76003_GLRX3.pdf</v>
      </c>
    </row>
    <row r="1682" spans="1:28" x14ac:dyDescent="0.25">
      <c r="A1682" t="s">
        <v>1686</v>
      </c>
      <c r="B1682">
        <v>0.99673306730245903</v>
      </c>
      <c r="C1682">
        <v>0.95401445140666197</v>
      </c>
      <c r="D1682">
        <v>1.1096451256572899</v>
      </c>
      <c r="E1682">
        <v>0.81403302596513705</v>
      </c>
      <c r="F1682">
        <v>0.75896179367411898</v>
      </c>
      <c r="G1682">
        <v>0.30358500181685999</v>
      </c>
      <c r="H1682">
        <v>0.16863381696513099</v>
      </c>
      <c r="I1682">
        <v>0.19494916171551199</v>
      </c>
      <c r="J1682">
        <v>0.39074541115158201</v>
      </c>
      <c r="K1682">
        <v>0.30288167407349598</v>
      </c>
      <c r="L1682">
        <v>2222.9934999688899</v>
      </c>
      <c r="M1682">
        <v>41.266033781363198</v>
      </c>
      <c r="N1682">
        <v>54.830834775073299</v>
      </c>
      <c r="O1682">
        <v>53.743767982838399</v>
      </c>
      <c r="P1682">
        <v>-0.14254414558723699</v>
      </c>
      <c r="Q1682">
        <v>0.257418776551816</v>
      </c>
      <c r="R1682">
        <v>0.93503081646121</v>
      </c>
      <c r="S1682" t="s">
        <v>8134</v>
      </c>
      <c r="T1682" t="s">
        <v>12902</v>
      </c>
      <c r="U1682" t="s">
        <v>12902</v>
      </c>
      <c r="V1682" t="s">
        <v>12902</v>
      </c>
      <c r="W1682" t="s">
        <v>14553</v>
      </c>
      <c r="X1682">
        <v>2</v>
      </c>
      <c r="Y1682" t="s">
        <v>20933</v>
      </c>
      <c r="Z1682" t="s">
        <v>27257</v>
      </c>
      <c r="AA1682">
        <v>0.60332725733667047</v>
      </c>
      <c r="AB1682" t="str">
        <f>HYPERLINK("Melting_Curves/meltCurve_O76024_WFS1.pdf", "Melting_Curves/meltCurve_O76024_WFS1.pdf")</f>
        <v>Melting_Curves/meltCurve_O76024_WFS1.pdf</v>
      </c>
    </row>
    <row r="1683" spans="1:28" x14ac:dyDescent="0.25">
      <c r="A1683" t="s">
        <v>1687</v>
      </c>
      <c r="B1683">
        <v>0.99673306730245903</v>
      </c>
      <c r="C1683">
        <v>0.97381887050517002</v>
      </c>
      <c r="D1683">
        <v>0.92096639816991799</v>
      </c>
      <c r="E1683">
        <v>0.86238509786009998</v>
      </c>
      <c r="F1683">
        <v>0.64321096177127901</v>
      </c>
      <c r="G1683">
        <v>0.33215257100617501</v>
      </c>
      <c r="H1683">
        <v>8.4564539377555398E-2</v>
      </c>
      <c r="I1683">
        <v>7.2017662885422606E-2</v>
      </c>
      <c r="J1683">
        <v>6.1496443465860702E-2</v>
      </c>
      <c r="K1683">
        <v>5.7106100444127499E-2</v>
      </c>
      <c r="L1683">
        <v>1080.89891015587</v>
      </c>
      <c r="M1683">
        <v>19.862692527793602</v>
      </c>
      <c r="N1683">
        <v>54.5650372116163</v>
      </c>
      <c r="O1683">
        <v>53.8759633447509</v>
      </c>
      <c r="P1683">
        <v>-8.9778586969259694E-2</v>
      </c>
      <c r="Q1683">
        <v>2.5963734565478801E-2</v>
      </c>
      <c r="R1683">
        <v>0.99546539459333305</v>
      </c>
      <c r="S1683" t="s">
        <v>8135</v>
      </c>
      <c r="T1683" t="s">
        <v>12902</v>
      </c>
      <c r="U1683" t="s">
        <v>12902</v>
      </c>
      <c r="V1683" t="s">
        <v>12902</v>
      </c>
      <c r="W1683" t="s">
        <v>14554</v>
      </c>
      <c r="X1683">
        <v>23</v>
      </c>
      <c r="Y1683" t="s">
        <v>20934</v>
      </c>
      <c r="Z1683" t="s">
        <v>27258</v>
      </c>
      <c r="AA1683">
        <v>0.50738690619990368</v>
      </c>
      <c r="AB1683" t="str">
        <f>HYPERLINK("Melting_Curves/meltCurve_O76031_CLPX.pdf", "Melting_Curves/meltCurve_O76031_CLPX.pdf")</f>
        <v>Melting_Curves/meltCurve_O76031_CLPX.pdf</v>
      </c>
    </row>
    <row r="1684" spans="1:28" x14ac:dyDescent="0.25">
      <c r="A1684" t="s">
        <v>1688</v>
      </c>
      <c r="B1684">
        <v>0.99673306730245903</v>
      </c>
      <c r="C1684">
        <v>0.98043315181177004</v>
      </c>
      <c r="D1684">
        <v>0.96371199202830304</v>
      </c>
      <c r="E1684">
        <v>0.82993176998552798</v>
      </c>
      <c r="F1684">
        <v>0.58654991275749002</v>
      </c>
      <c r="G1684">
        <v>0.49451335940032498</v>
      </c>
      <c r="H1684">
        <v>0.40065547757547998</v>
      </c>
      <c r="I1684">
        <v>0.53690970283343098</v>
      </c>
      <c r="J1684">
        <v>0.69064624710748201</v>
      </c>
      <c r="K1684">
        <v>0.77895514102220897</v>
      </c>
      <c r="L1684">
        <v>2887.1847347407602</v>
      </c>
      <c r="M1684">
        <v>57.840412640892097</v>
      </c>
      <c r="O1684">
        <v>49.856845673988303</v>
      </c>
      <c r="P1684">
        <v>-0.121957225501195</v>
      </c>
      <c r="Q1684">
        <v>0.57950523317926395</v>
      </c>
      <c r="R1684">
        <v>0.77655286340699803</v>
      </c>
      <c r="S1684" t="s">
        <v>8136</v>
      </c>
      <c r="T1684" t="s">
        <v>12902</v>
      </c>
      <c r="U1684" t="s">
        <v>12902</v>
      </c>
      <c r="V1684" t="s">
        <v>12902</v>
      </c>
      <c r="W1684" t="s">
        <v>14555</v>
      </c>
      <c r="X1684">
        <v>22</v>
      </c>
      <c r="Y1684" t="s">
        <v>20935</v>
      </c>
      <c r="Z1684" t="s">
        <v>27259</v>
      </c>
      <c r="AA1684">
        <v>0.71918915742549161</v>
      </c>
      <c r="AB1684" t="str">
        <f>HYPERLINK("Melting_Curves/meltCurve_O76041_2_NEBL.pdf", "Melting_Curves/meltCurve_O76041_2_NEBL.pdf")</f>
        <v>Melting_Curves/meltCurve_O76041_2_NEBL.pdf</v>
      </c>
    </row>
    <row r="1685" spans="1:28" x14ac:dyDescent="0.25">
      <c r="A1685" t="s">
        <v>1689</v>
      </c>
      <c r="B1685">
        <v>0.99673306730245903</v>
      </c>
      <c r="C1685">
        <v>0.96691101252530198</v>
      </c>
      <c r="D1685">
        <v>0.91831102504330597</v>
      </c>
      <c r="E1685">
        <v>0.75659198318045795</v>
      </c>
      <c r="F1685">
        <v>0.63901228057054404</v>
      </c>
      <c r="G1685">
        <v>0.35535813092977198</v>
      </c>
      <c r="H1685">
        <v>0.198203510741537</v>
      </c>
      <c r="I1685">
        <v>7.0480848024425793E-2</v>
      </c>
      <c r="J1685">
        <v>6.7470687202871193E-2</v>
      </c>
      <c r="K1685">
        <v>4.32155519322781E-2</v>
      </c>
      <c r="L1685">
        <v>762.47218619818204</v>
      </c>
      <c r="M1685">
        <v>13.9846017735501</v>
      </c>
      <c r="N1685">
        <v>54.5222666562398</v>
      </c>
      <c r="O1685">
        <v>53.443696818722401</v>
      </c>
      <c r="P1685">
        <v>-6.5426145671867206E-2</v>
      </c>
      <c r="Q1685">
        <v>0</v>
      </c>
      <c r="R1685">
        <v>0.99518657561057899</v>
      </c>
      <c r="S1685" t="s">
        <v>8137</v>
      </c>
      <c r="T1685" t="s">
        <v>12902</v>
      </c>
      <c r="U1685" t="s">
        <v>12902</v>
      </c>
      <c r="V1685" t="s">
        <v>12902</v>
      </c>
      <c r="W1685" t="s">
        <v>14556</v>
      </c>
      <c r="X1685">
        <v>3</v>
      </c>
      <c r="Y1685" t="s">
        <v>20936</v>
      </c>
      <c r="Z1685" t="s">
        <v>27260</v>
      </c>
      <c r="AA1685">
        <v>0.5055735955123507</v>
      </c>
      <c r="AB1685" t="str">
        <f>HYPERLINK("Melting_Curves/meltCurve_O76054_4_SEC14L2.pdf", "Melting_Curves/meltCurve_O76054_4_SEC14L2.pdf")</f>
        <v>Melting_Curves/meltCurve_O76054_4_SEC14L2.pdf</v>
      </c>
    </row>
    <row r="1686" spans="1:28" x14ac:dyDescent="0.25">
      <c r="A1686" t="s">
        <v>1690</v>
      </c>
      <c r="B1686">
        <v>0.99673306730245903</v>
      </c>
      <c r="C1686">
        <v>0.94967495020053305</v>
      </c>
      <c r="D1686">
        <v>0.93470325640567697</v>
      </c>
      <c r="E1686">
        <v>0.79478613645111096</v>
      </c>
      <c r="F1686">
        <v>0.66153005905672002</v>
      </c>
      <c r="G1686">
        <v>0.56862778559737603</v>
      </c>
      <c r="H1686">
        <v>0.49491475386269201</v>
      </c>
      <c r="I1686">
        <v>0.57281531876015501</v>
      </c>
      <c r="J1686">
        <v>0.80939183814340299</v>
      </c>
      <c r="K1686">
        <v>0.57514889503260702</v>
      </c>
      <c r="L1686">
        <v>1275.10372566711</v>
      </c>
      <c r="M1686">
        <v>25.910901586990501</v>
      </c>
      <c r="O1686">
        <v>48.920773237059002</v>
      </c>
      <c r="P1686">
        <v>-5.2473150473928601E-2</v>
      </c>
      <c r="Q1686">
        <v>0.60371936289044403</v>
      </c>
      <c r="R1686">
        <v>0.80160377150183704</v>
      </c>
      <c r="S1686" t="s">
        <v>8138</v>
      </c>
      <c r="T1686" t="s">
        <v>12902</v>
      </c>
      <c r="U1686" t="s">
        <v>12902</v>
      </c>
      <c r="V1686" t="s">
        <v>12902</v>
      </c>
      <c r="W1686" t="s">
        <v>14557</v>
      </c>
      <c r="X1686">
        <v>6</v>
      </c>
      <c r="Y1686" t="s">
        <v>20937</v>
      </c>
      <c r="Z1686" t="s">
        <v>27261</v>
      </c>
      <c r="AA1686">
        <v>0.72865999336835219</v>
      </c>
      <c r="AB1686" t="str">
        <f>HYPERLINK("Melting_Curves/meltCurve_O76061_STC2.pdf", "Melting_Curves/meltCurve_O76061_STC2.pdf")</f>
        <v>Melting_Curves/meltCurve_O76061_STC2.pdf</v>
      </c>
    </row>
    <row r="1687" spans="1:28" x14ac:dyDescent="0.25">
      <c r="A1687" t="s">
        <v>1691</v>
      </c>
      <c r="B1687">
        <v>0.99673306730245903</v>
      </c>
      <c r="C1687">
        <v>0.93109623945061204</v>
      </c>
      <c r="D1687">
        <v>0.86431040783996005</v>
      </c>
      <c r="E1687">
        <v>0.70722297287337199</v>
      </c>
      <c r="F1687">
        <v>0.66222707146675397</v>
      </c>
      <c r="G1687">
        <v>0.61697174817095302</v>
      </c>
      <c r="H1687">
        <v>0.59885062776230702</v>
      </c>
      <c r="I1687">
        <v>0.90062242724164199</v>
      </c>
      <c r="J1687">
        <v>1.2622448924605201</v>
      </c>
      <c r="K1687">
        <v>1.2603369419291199</v>
      </c>
      <c r="L1687">
        <v>2693.0579770962199</v>
      </c>
      <c r="M1687">
        <v>62.727849387761303</v>
      </c>
      <c r="O1687">
        <v>42.888843529933702</v>
      </c>
      <c r="P1687">
        <v>-5.1619285118537798E-2</v>
      </c>
      <c r="Q1687">
        <v>0.85882566040755404</v>
      </c>
      <c r="R1687">
        <v>3.7018292913091902E-2</v>
      </c>
      <c r="S1687" t="s">
        <v>8139</v>
      </c>
      <c r="T1687" t="s">
        <v>12902</v>
      </c>
      <c r="U1687" t="s">
        <v>12902</v>
      </c>
      <c r="V1687" t="s">
        <v>12902</v>
      </c>
      <c r="W1687" t="s">
        <v>14558</v>
      </c>
      <c r="X1687">
        <v>1</v>
      </c>
      <c r="Y1687" t="s">
        <v>20938</v>
      </c>
      <c r="Z1687" t="s">
        <v>27262</v>
      </c>
      <c r="AA1687">
        <v>0.87282176531688338</v>
      </c>
      <c r="AB1687" t="str">
        <f>HYPERLINK("Melting_Curves/meltCurve_O76070_SNCG.pdf", "Melting_Curves/meltCurve_O76070_SNCG.pdf")</f>
        <v>Melting_Curves/meltCurve_O76070_SNCG.pdf</v>
      </c>
    </row>
    <row r="1688" spans="1:28" x14ac:dyDescent="0.25">
      <c r="A1688" t="s">
        <v>1692</v>
      </c>
      <c r="B1688">
        <v>0.99673306730245903</v>
      </c>
      <c r="C1688">
        <v>0.87202170997084105</v>
      </c>
      <c r="D1688">
        <v>0.89302441400226296</v>
      </c>
      <c r="E1688">
        <v>0.886208539618075</v>
      </c>
      <c r="F1688">
        <v>0.75395160459389798</v>
      </c>
      <c r="G1688">
        <v>0.53284675626398104</v>
      </c>
      <c r="H1688">
        <v>0.233094363187174</v>
      </c>
      <c r="I1688">
        <v>0.126798097817935</v>
      </c>
      <c r="J1688">
        <v>8.8612738308548294E-2</v>
      </c>
      <c r="K1688">
        <v>7.01996875070975E-2</v>
      </c>
      <c r="L1688">
        <v>856.43470500376202</v>
      </c>
      <c r="M1688">
        <v>15.0934504587684</v>
      </c>
      <c r="N1688">
        <v>56.7421417337873</v>
      </c>
      <c r="O1688">
        <v>55.7740532912646</v>
      </c>
      <c r="P1688">
        <v>-6.7661117331323795E-2</v>
      </c>
      <c r="Q1688">
        <v>0</v>
      </c>
      <c r="R1688">
        <v>0.980963915989435</v>
      </c>
      <c r="S1688" t="s">
        <v>8140</v>
      </c>
      <c r="T1688" t="s">
        <v>12902</v>
      </c>
      <c r="U1688" t="s">
        <v>12902</v>
      </c>
      <c r="V1688" t="s">
        <v>12902</v>
      </c>
      <c r="W1688" t="s">
        <v>14559</v>
      </c>
      <c r="X1688">
        <v>6</v>
      </c>
      <c r="Y1688" t="s">
        <v>20939</v>
      </c>
      <c r="Z1688" t="s">
        <v>27263</v>
      </c>
      <c r="AA1688">
        <v>0.57436131781077926</v>
      </c>
      <c r="AB1688" t="str">
        <f>HYPERLINK("Melting_Curves/meltCurve_O76071_CIAO1.pdf", "Melting_Curves/meltCurve_O76071_CIAO1.pdf")</f>
        <v>Melting_Curves/meltCurve_O76071_CIAO1.pdf</v>
      </c>
    </row>
    <row r="1689" spans="1:28" x14ac:dyDescent="0.25">
      <c r="A1689" t="s">
        <v>1693</v>
      </c>
      <c r="B1689">
        <v>0.99673306730245903</v>
      </c>
      <c r="C1689">
        <v>0.98097778667299695</v>
      </c>
      <c r="D1689">
        <v>0.98543951864229395</v>
      </c>
      <c r="E1689">
        <v>0.95157517154032401</v>
      </c>
      <c r="F1689">
        <v>0.74221826229754395</v>
      </c>
      <c r="G1689">
        <v>0.45300645895970498</v>
      </c>
      <c r="H1689">
        <v>0.16084540091340699</v>
      </c>
      <c r="I1689">
        <v>0.111443981781532</v>
      </c>
      <c r="J1689">
        <v>0.13341400664931</v>
      </c>
      <c r="K1689">
        <v>9.9107621227275094E-2</v>
      </c>
      <c r="L1689">
        <v>1308.96071149823</v>
      </c>
      <c r="M1689">
        <v>23.584281176879699</v>
      </c>
      <c r="N1689">
        <v>55.970408108148298</v>
      </c>
      <c r="O1689">
        <v>55.106964919961896</v>
      </c>
      <c r="P1689">
        <v>-9.7401685218975798E-2</v>
      </c>
      <c r="Q1689">
        <v>8.9661023005499996E-2</v>
      </c>
      <c r="R1689">
        <v>0.99761007820383896</v>
      </c>
      <c r="S1689" t="s">
        <v>8141</v>
      </c>
      <c r="T1689" t="s">
        <v>12902</v>
      </c>
      <c r="U1689" t="s">
        <v>12902</v>
      </c>
      <c r="V1689" t="s">
        <v>12902</v>
      </c>
      <c r="W1689" t="s">
        <v>14560</v>
      </c>
      <c r="X1689">
        <v>10</v>
      </c>
      <c r="Y1689" t="s">
        <v>20940</v>
      </c>
      <c r="Z1689" t="s">
        <v>27264</v>
      </c>
      <c r="AA1689">
        <v>0.56930719834996601</v>
      </c>
      <c r="AB1689" t="str">
        <f>HYPERLINK("Melting_Curves/meltCurve_O76074_2_PDE5A.pdf", "Melting_Curves/meltCurve_O76074_2_PDE5A.pdf")</f>
        <v>Melting_Curves/meltCurve_O76074_2_PDE5A.pdf</v>
      </c>
    </row>
    <row r="1690" spans="1:28" x14ac:dyDescent="0.25">
      <c r="A1690" t="s">
        <v>1694</v>
      </c>
      <c r="B1690">
        <v>0.99673306730245903</v>
      </c>
      <c r="C1690">
        <v>0.97976045787260402</v>
      </c>
      <c r="D1690">
        <v>0.98284856001420895</v>
      </c>
      <c r="E1690">
        <v>0.95641423598148601</v>
      </c>
      <c r="F1690">
        <v>0.51897332934947504</v>
      </c>
      <c r="G1690">
        <v>0.196819835440465</v>
      </c>
      <c r="H1690">
        <v>0.11015675824339199</v>
      </c>
      <c r="I1690">
        <v>9.8224370193509797E-2</v>
      </c>
      <c r="J1690">
        <v>0.12782456106795001</v>
      </c>
      <c r="K1690">
        <v>0.115918315289364</v>
      </c>
      <c r="L1690">
        <v>2027.91160853674</v>
      </c>
      <c r="M1690">
        <v>38.253766053815902</v>
      </c>
      <c r="N1690">
        <v>53.374614140034197</v>
      </c>
      <c r="O1690">
        <v>52.867837022343501</v>
      </c>
      <c r="P1690">
        <v>-0.16019808794417001</v>
      </c>
      <c r="Q1690">
        <v>0.114408342076308</v>
      </c>
      <c r="R1690">
        <v>0.99883150759708095</v>
      </c>
      <c r="S1690" t="s">
        <v>8142</v>
      </c>
      <c r="T1690" t="s">
        <v>12902</v>
      </c>
      <c r="U1690" t="s">
        <v>12902</v>
      </c>
      <c r="V1690" t="s">
        <v>12902</v>
      </c>
      <c r="W1690" t="s">
        <v>13580</v>
      </c>
      <c r="X1690">
        <v>6</v>
      </c>
      <c r="Y1690" t="s">
        <v>20941</v>
      </c>
      <c r="Z1690" t="s">
        <v>27265</v>
      </c>
      <c r="AA1690">
        <v>0.50206632739571733</v>
      </c>
      <c r="AB1690" t="str">
        <f>HYPERLINK("Melting_Curves/meltCurve_O76075_DFFB.pdf", "Melting_Curves/meltCurve_O76075_DFFB.pdf")</f>
        <v>Melting_Curves/meltCurve_O76075_DFFB.pdf</v>
      </c>
    </row>
    <row r="1691" spans="1:28" x14ac:dyDescent="0.25">
      <c r="A1691" t="s">
        <v>1695</v>
      </c>
      <c r="B1691">
        <v>0.99673306730245903</v>
      </c>
      <c r="C1691">
        <v>1.02123048963934</v>
      </c>
      <c r="D1691">
        <v>1.08904403315697</v>
      </c>
      <c r="E1691">
        <v>0.97654387692118605</v>
      </c>
      <c r="F1691">
        <v>0.910450665517332</v>
      </c>
      <c r="G1691">
        <v>0.93731807261871203</v>
      </c>
      <c r="H1691">
        <v>0.85345431081923995</v>
      </c>
      <c r="I1691">
        <v>1.19649533480841</v>
      </c>
      <c r="J1691">
        <v>1.5466961806991</v>
      </c>
      <c r="K1691">
        <v>1.37752284973112</v>
      </c>
      <c r="L1691">
        <v>15000</v>
      </c>
      <c r="M1691">
        <v>234.073646491364</v>
      </c>
      <c r="O1691">
        <v>64.077717753836893</v>
      </c>
      <c r="P1691">
        <v>0.422020428537488</v>
      </c>
      <c r="Q1691">
        <v>1.4621127796551201</v>
      </c>
      <c r="R1691">
        <v>0.87130197345717197</v>
      </c>
      <c r="S1691" t="s">
        <v>8143</v>
      </c>
      <c r="T1691" t="s">
        <v>12902</v>
      </c>
      <c r="U1691" t="s">
        <v>12902</v>
      </c>
      <c r="V1691" t="s">
        <v>12902</v>
      </c>
      <c r="W1691" t="s">
        <v>14561</v>
      </c>
      <c r="X1691">
        <v>8</v>
      </c>
      <c r="Y1691" t="s">
        <v>20942</v>
      </c>
      <c r="Z1691" t="s">
        <v>27266</v>
      </c>
      <c r="AA1691">
        <v>1.091094069373747</v>
      </c>
      <c r="AB1691" t="str">
        <f>HYPERLINK("Melting_Curves/meltCurve_O76080_ZFAND5.pdf", "Melting_Curves/meltCurve_O76080_ZFAND5.pdf")</f>
        <v>Melting_Curves/meltCurve_O76080_ZFAND5.pdf</v>
      </c>
    </row>
    <row r="1692" spans="1:28" x14ac:dyDescent="0.25">
      <c r="A1692" t="s">
        <v>1696</v>
      </c>
      <c r="B1692">
        <v>0.99673306730245903</v>
      </c>
      <c r="C1692">
        <v>0.65471530755397001</v>
      </c>
      <c r="D1692">
        <v>0.96611253185809398</v>
      </c>
      <c r="E1692">
        <v>0.38854364476096698</v>
      </c>
      <c r="F1692">
        <v>0.17745949008770201</v>
      </c>
      <c r="G1692">
        <v>0.114597899848894</v>
      </c>
      <c r="H1692">
        <v>7.6162346348093699E-2</v>
      </c>
      <c r="I1692">
        <v>7.3017142746929706E-2</v>
      </c>
      <c r="J1692">
        <v>6.8503810396587303E-2</v>
      </c>
      <c r="K1692">
        <v>6.18474229882644E-2</v>
      </c>
      <c r="S1692" t="s">
        <v>8144</v>
      </c>
      <c r="T1692" t="s">
        <v>12902</v>
      </c>
      <c r="U1692" t="s">
        <v>12903</v>
      </c>
      <c r="V1692" t="s">
        <v>12902</v>
      </c>
      <c r="W1692" t="s">
        <v>14562</v>
      </c>
      <c r="X1692">
        <v>17</v>
      </c>
      <c r="Y1692" t="s">
        <v>20943</v>
      </c>
      <c r="Z1692" t="s">
        <v>27267</v>
      </c>
      <c r="AB1692" t="str">
        <f>HYPERLINK("Melting_Curves/meltCurve_O76094_SRP72.pdf", "Melting_Curves/meltCurve_O76094_SRP72.pdf")</f>
        <v>Melting_Curves/meltCurve_O76094_SRP72.pdf</v>
      </c>
    </row>
    <row r="1693" spans="1:28" x14ac:dyDescent="0.25">
      <c r="A1693" t="s">
        <v>1697</v>
      </c>
      <c r="B1693">
        <v>0.99673306730245903</v>
      </c>
      <c r="C1693">
        <v>0.89826049199240598</v>
      </c>
      <c r="D1693">
        <v>0.81501222966866904</v>
      </c>
      <c r="E1693">
        <v>0.59933009596475395</v>
      </c>
      <c r="F1693">
        <v>0.42521168061998299</v>
      </c>
      <c r="G1693">
        <v>0.39571679514832703</v>
      </c>
      <c r="H1693">
        <v>0.37595091772352301</v>
      </c>
      <c r="I1693">
        <v>0.42574207057043101</v>
      </c>
      <c r="J1693">
        <v>0.45466242616239599</v>
      </c>
      <c r="K1693">
        <v>0.38945938552952702</v>
      </c>
      <c r="L1693">
        <v>983.98665235100395</v>
      </c>
      <c r="M1693">
        <v>20.691858534685402</v>
      </c>
      <c r="N1693">
        <v>51.5401256464162</v>
      </c>
      <c r="O1693">
        <v>47.116832483801801</v>
      </c>
      <c r="P1693">
        <v>-6.5977940336089197E-2</v>
      </c>
      <c r="Q1693">
        <v>0.39907151504433902</v>
      </c>
      <c r="R1693">
        <v>0.98249766935488003</v>
      </c>
      <c r="S1693" t="s">
        <v>8145</v>
      </c>
      <c r="T1693" t="s">
        <v>12902</v>
      </c>
      <c r="U1693" t="s">
        <v>12902</v>
      </c>
      <c r="V1693" t="s">
        <v>12902</v>
      </c>
      <c r="W1693" t="s">
        <v>14563</v>
      </c>
      <c r="X1693">
        <v>2</v>
      </c>
      <c r="Y1693" t="s">
        <v>20944</v>
      </c>
      <c r="Z1693" t="s">
        <v>27268</v>
      </c>
      <c r="AA1693">
        <v>0.55841177268509767</v>
      </c>
      <c r="AB1693" t="str">
        <f>HYPERLINK("Melting_Curves/meltCurve_O76095_2_JTB.pdf", "Melting_Curves/meltCurve_O76095_2_JTB.pdf")</f>
        <v>Melting_Curves/meltCurve_O76095_2_JTB.pdf</v>
      </c>
    </row>
    <row r="1694" spans="1:28" x14ac:dyDescent="0.25">
      <c r="A1694" t="s">
        <v>1698</v>
      </c>
      <c r="B1694">
        <v>0.99673306730245903</v>
      </c>
      <c r="C1694">
        <v>1.03660484421721</v>
      </c>
      <c r="D1694">
        <v>0.94370152198643997</v>
      </c>
      <c r="E1694">
        <v>0.91923598303585197</v>
      </c>
      <c r="F1694">
        <v>0.45534727752055498</v>
      </c>
      <c r="G1694">
        <v>0.251504568077968</v>
      </c>
      <c r="H1694">
        <v>0.19163242319929299</v>
      </c>
      <c r="I1694">
        <v>0.16113493693186301</v>
      </c>
      <c r="J1694">
        <v>0.18293570414705801</v>
      </c>
      <c r="K1694">
        <v>0.122487532088151</v>
      </c>
      <c r="L1694">
        <v>1818.3104171958601</v>
      </c>
      <c r="M1694">
        <v>34.721046624332097</v>
      </c>
      <c r="N1694">
        <v>52.992131593885603</v>
      </c>
      <c r="O1694">
        <v>52.196306616062103</v>
      </c>
      <c r="P1694">
        <v>-0.138432206198354</v>
      </c>
      <c r="Q1694">
        <v>0.16757995905840301</v>
      </c>
      <c r="R1694">
        <v>0.99407579333956697</v>
      </c>
      <c r="S1694" t="s">
        <v>8146</v>
      </c>
      <c r="T1694" t="s">
        <v>12902</v>
      </c>
      <c r="U1694" t="s">
        <v>12902</v>
      </c>
      <c r="V1694" t="s">
        <v>12902</v>
      </c>
      <c r="W1694" t="s">
        <v>14564</v>
      </c>
      <c r="X1694">
        <v>9</v>
      </c>
      <c r="Y1694" t="s">
        <v>20945</v>
      </c>
      <c r="Z1694" t="s">
        <v>27269</v>
      </c>
      <c r="AA1694">
        <v>0.5147895488067602</v>
      </c>
      <c r="AB1694" t="str">
        <f>HYPERLINK("Melting_Curves/meltCurve_O77932_DOM3Z.pdf", "Melting_Curves/meltCurve_O77932_DOM3Z.pdf")</f>
        <v>Melting_Curves/meltCurve_O77932_DOM3Z.pdf</v>
      </c>
    </row>
    <row r="1695" spans="1:28" x14ac:dyDescent="0.25">
      <c r="A1695" t="s">
        <v>1699</v>
      </c>
      <c r="B1695">
        <v>0.99673306730245903</v>
      </c>
      <c r="C1695">
        <v>1.00859603916435</v>
      </c>
      <c r="D1695">
        <v>0.991463104259521</v>
      </c>
      <c r="E1695">
        <v>0.96475632587423699</v>
      </c>
      <c r="F1695">
        <v>0.76606253531045598</v>
      </c>
      <c r="G1695">
        <v>0.53729638562855797</v>
      </c>
      <c r="H1695">
        <v>0.189899615226227</v>
      </c>
      <c r="I1695">
        <v>0.109419173485076</v>
      </c>
      <c r="J1695">
        <v>0.10163548370042499</v>
      </c>
      <c r="K1695">
        <v>8.7003991584231499E-2</v>
      </c>
      <c r="L1695">
        <v>1226.55089689275</v>
      </c>
      <c r="M1695">
        <v>21.741379184440099</v>
      </c>
      <c r="N1695">
        <v>56.747382701933901</v>
      </c>
      <c r="O1695">
        <v>55.944728389185698</v>
      </c>
      <c r="P1695">
        <v>-9.1357612943824704E-2</v>
      </c>
      <c r="Q1695">
        <v>5.9699516613159802E-2</v>
      </c>
      <c r="R1695">
        <v>0.99688725529606204</v>
      </c>
      <c r="S1695" t="s">
        <v>8147</v>
      </c>
      <c r="T1695" t="s">
        <v>12902</v>
      </c>
      <c r="U1695" t="s">
        <v>12902</v>
      </c>
      <c r="V1695" t="s">
        <v>12902</v>
      </c>
      <c r="W1695" t="s">
        <v>14565</v>
      </c>
      <c r="X1695">
        <v>17</v>
      </c>
      <c r="Y1695" t="s">
        <v>20946</v>
      </c>
      <c r="Z1695" t="s">
        <v>27270</v>
      </c>
      <c r="AA1695">
        <v>0.58482969713274657</v>
      </c>
      <c r="AB1695" t="str">
        <f>HYPERLINK("Melting_Curves/meltCurve_O94760_DDAH1.pdf", "Melting_Curves/meltCurve_O94760_DDAH1.pdf")</f>
        <v>Melting_Curves/meltCurve_O94760_DDAH1.pdf</v>
      </c>
    </row>
    <row r="1696" spans="1:28" x14ac:dyDescent="0.25">
      <c r="A1696" t="s">
        <v>1700</v>
      </c>
      <c r="B1696">
        <v>0.99673306730245903</v>
      </c>
      <c r="C1696">
        <v>0.870984137420722</v>
      </c>
      <c r="D1696">
        <v>0.89130028311303999</v>
      </c>
      <c r="E1696">
        <v>0.84571198444649998</v>
      </c>
      <c r="F1696">
        <v>0.79783961501312095</v>
      </c>
      <c r="G1696">
        <v>0.56774772434044196</v>
      </c>
      <c r="H1696">
        <v>0.31676880500960197</v>
      </c>
      <c r="I1696">
        <v>0.43934221048888999</v>
      </c>
      <c r="J1696">
        <v>0.56551105783354205</v>
      </c>
      <c r="K1696">
        <v>0.65368157168405805</v>
      </c>
      <c r="L1696">
        <v>1003.98719927058</v>
      </c>
      <c r="M1696">
        <v>19.234857487474599</v>
      </c>
      <c r="N1696">
        <v>66.349784487536994</v>
      </c>
      <c r="O1696">
        <v>51.641885201414802</v>
      </c>
      <c r="P1696">
        <v>-4.73292618782096E-2</v>
      </c>
      <c r="Q1696">
        <v>0.491739514686301</v>
      </c>
      <c r="R1696">
        <v>0.75609630953280205</v>
      </c>
      <c r="S1696" t="s">
        <v>8148</v>
      </c>
      <c r="T1696" t="s">
        <v>12902</v>
      </c>
      <c r="U1696" t="s">
        <v>12902</v>
      </c>
      <c r="V1696" t="s">
        <v>12902</v>
      </c>
      <c r="W1696" t="s">
        <v>14566</v>
      </c>
      <c r="X1696">
        <v>5</v>
      </c>
      <c r="Y1696" t="s">
        <v>20947</v>
      </c>
      <c r="Z1696" t="s">
        <v>27271</v>
      </c>
      <c r="AA1696">
        <v>0.7058953464842328</v>
      </c>
      <c r="AB1696" t="str">
        <f>HYPERLINK("Melting_Curves/meltCurve_O94763_URI1.pdf", "Melting_Curves/meltCurve_O94763_URI1.pdf")</f>
        <v>Melting_Curves/meltCurve_O94763_URI1.pdf</v>
      </c>
    </row>
    <row r="1697" spans="1:28" x14ac:dyDescent="0.25">
      <c r="A1697" t="s">
        <v>1701</v>
      </c>
      <c r="B1697">
        <v>0.99673306730245903</v>
      </c>
      <c r="C1697">
        <v>0.899059358987781</v>
      </c>
      <c r="D1697">
        <v>0.80578091591289502</v>
      </c>
      <c r="E1697">
        <v>0.64083769747944597</v>
      </c>
      <c r="F1697">
        <v>0.27193367977945299</v>
      </c>
      <c r="G1697">
        <v>0.167035625809898</v>
      </c>
      <c r="H1697">
        <v>0.109392820931293</v>
      </c>
      <c r="I1697">
        <v>8.5190342349267201E-2</v>
      </c>
      <c r="J1697">
        <v>5.5400125569819401E-2</v>
      </c>
      <c r="K1697">
        <v>5.7915866380402303E-2</v>
      </c>
      <c r="L1697">
        <v>821.64812598495405</v>
      </c>
      <c r="M1697">
        <v>16.3401490559115</v>
      </c>
      <c r="N1697">
        <v>50.579561628761503</v>
      </c>
      <c r="O1697">
        <v>49.548972016904202</v>
      </c>
      <c r="P1697">
        <v>-7.8696201443983801E-2</v>
      </c>
      <c r="Q1697">
        <v>4.5532744206062403E-2</v>
      </c>
      <c r="R1697">
        <v>0.99250702216283204</v>
      </c>
      <c r="S1697" t="s">
        <v>8149</v>
      </c>
      <c r="T1697" t="s">
        <v>12902</v>
      </c>
      <c r="U1697" t="s">
        <v>12902</v>
      </c>
      <c r="V1697" t="s">
        <v>12902</v>
      </c>
      <c r="W1697" t="s">
        <v>14567</v>
      </c>
      <c r="X1697">
        <v>7</v>
      </c>
      <c r="Y1697" t="s">
        <v>20948</v>
      </c>
      <c r="Z1697" t="s">
        <v>27272</v>
      </c>
      <c r="AA1697">
        <v>0.39210356705160693</v>
      </c>
      <c r="AB1697" t="str">
        <f>HYPERLINK("Melting_Curves/meltCurve_O94766_B3GAT3.pdf", "Melting_Curves/meltCurve_O94766_B3GAT3.pdf")</f>
        <v>Melting_Curves/meltCurve_O94766_B3GAT3.pdf</v>
      </c>
    </row>
    <row r="1698" spans="1:28" x14ac:dyDescent="0.25">
      <c r="A1698" t="s">
        <v>1702</v>
      </c>
      <c r="B1698">
        <v>0.99673306730245903</v>
      </c>
      <c r="C1698">
        <v>0.84774523670530799</v>
      </c>
      <c r="D1698">
        <v>0.72222465631488897</v>
      </c>
      <c r="E1698">
        <v>0.46586303625160802</v>
      </c>
      <c r="F1698">
        <v>0.21910122455175801</v>
      </c>
      <c r="G1698">
        <v>0.118554802986508</v>
      </c>
      <c r="H1698">
        <v>7.3043224266623893E-2</v>
      </c>
      <c r="I1698">
        <v>7.0328753973738597E-2</v>
      </c>
      <c r="J1698">
        <v>7.6828672779456403E-2</v>
      </c>
      <c r="K1698">
        <v>6.3891072393351095E-2</v>
      </c>
      <c r="L1698">
        <v>765.44378851680005</v>
      </c>
      <c r="M1698">
        <v>15.7884868142736</v>
      </c>
      <c r="N1698">
        <v>48.794384669263103</v>
      </c>
      <c r="O1698">
        <v>47.723371603739899</v>
      </c>
      <c r="P1698">
        <v>-7.8728706095228904E-2</v>
      </c>
      <c r="Q1698">
        <v>4.8195341050204302E-2</v>
      </c>
      <c r="R1698">
        <v>0.99620705430578105</v>
      </c>
      <c r="S1698" t="s">
        <v>8150</v>
      </c>
      <c r="T1698" t="s">
        <v>12902</v>
      </c>
      <c r="U1698" t="s">
        <v>12902</v>
      </c>
      <c r="V1698" t="s">
        <v>12902</v>
      </c>
      <c r="W1698" t="s">
        <v>14568</v>
      </c>
      <c r="X1698">
        <v>19</v>
      </c>
      <c r="Y1698" t="s">
        <v>20949</v>
      </c>
      <c r="Z1698" t="s">
        <v>27273</v>
      </c>
      <c r="AA1698">
        <v>0.33896858429251547</v>
      </c>
      <c r="AB1698" t="str">
        <f>HYPERLINK("Melting_Curves/meltCurve_O94776_MTA2.pdf", "Melting_Curves/meltCurve_O94776_MTA2.pdf")</f>
        <v>Melting_Curves/meltCurve_O94776_MTA2.pdf</v>
      </c>
    </row>
    <row r="1699" spans="1:28" x14ac:dyDescent="0.25">
      <c r="A1699" t="s">
        <v>1703</v>
      </c>
      <c r="B1699">
        <v>0.99673306730245903</v>
      </c>
      <c r="C1699">
        <v>0.980064364415692</v>
      </c>
      <c r="D1699">
        <v>0.61835980875699603</v>
      </c>
      <c r="E1699">
        <v>0.28756688148569798</v>
      </c>
      <c r="F1699">
        <v>0.18154344470123701</v>
      </c>
      <c r="G1699">
        <v>0.118886454380633</v>
      </c>
      <c r="H1699">
        <v>9.6114573731055905E-2</v>
      </c>
      <c r="I1699">
        <v>9.6643630858002899E-2</v>
      </c>
      <c r="J1699">
        <v>0.12393592851909301</v>
      </c>
      <c r="K1699">
        <v>0.116138473530014</v>
      </c>
      <c r="L1699">
        <v>1249.95804234974</v>
      </c>
      <c r="M1699">
        <v>26.746711649422199</v>
      </c>
      <c r="N1699">
        <v>47.197498163267703</v>
      </c>
      <c r="O1699">
        <v>46.474254622443603</v>
      </c>
      <c r="P1699">
        <v>-0.12723506214609101</v>
      </c>
      <c r="Q1699">
        <v>0.115690339921193</v>
      </c>
      <c r="R1699">
        <v>0.99476076606309105</v>
      </c>
      <c r="S1699" t="s">
        <v>8151</v>
      </c>
      <c r="T1699" t="s">
        <v>12902</v>
      </c>
      <c r="U1699" t="s">
        <v>12902</v>
      </c>
      <c r="V1699" t="s">
        <v>12902</v>
      </c>
      <c r="W1699" t="s">
        <v>14569</v>
      </c>
      <c r="X1699">
        <v>12</v>
      </c>
      <c r="Y1699" t="s">
        <v>20950</v>
      </c>
      <c r="Z1699" t="s">
        <v>27274</v>
      </c>
      <c r="AA1699">
        <v>0.32099987122611923</v>
      </c>
      <c r="AB1699" t="str">
        <f>HYPERLINK("Melting_Curves/meltCurve_O94804_STK10.pdf", "Melting_Curves/meltCurve_O94804_STK10.pdf")</f>
        <v>Melting_Curves/meltCurve_O94804_STK10.pdf</v>
      </c>
    </row>
    <row r="1700" spans="1:28" x14ac:dyDescent="0.25">
      <c r="A1700" t="s">
        <v>1704</v>
      </c>
      <c r="B1700">
        <v>0.99673306730245903</v>
      </c>
      <c r="C1700">
        <v>0.95658786599835199</v>
      </c>
      <c r="D1700">
        <v>0.88165619008254403</v>
      </c>
      <c r="E1700">
        <v>0.64801787661543697</v>
      </c>
      <c r="F1700">
        <v>0.17222091445242699</v>
      </c>
      <c r="G1700">
        <v>0.115589354474512</v>
      </c>
      <c r="H1700">
        <v>6.9488091561626497E-2</v>
      </c>
      <c r="I1700">
        <v>6.5257041865744103E-2</v>
      </c>
      <c r="J1700">
        <v>7.2627663058960901E-2</v>
      </c>
      <c r="K1700">
        <v>7.7553382855731406E-2</v>
      </c>
      <c r="L1700">
        <v>1474.5562938027099</v>
      </c>
      <c r="M1700">
        <v>29.3923646873309</v>
      </c>
      <c r="N1700">
        <v>50.417407857920203</v>
      </c>
      <c r="O1700">
        <v>49.937493562197602</v>
      </c>
      <c r="P1700">
        <v>-0.13719077868046001</v>
      </c>
      <c r="Q1700">
        <v>6.7660470232361505E-2</v>
      </c>
      <c r="R1700">
        <v>0.99453900166340103</v>
      </c>
      <c r="S1700" t="s">
        <v>8152</v>
      </c>
      <c r="T1700" t="s">
        <v>12902</v>
      </c>
      <c r="U1700" t="s">
        <v>12902</v>
      </c>
      <c r="V1700" t="s">
        <v>12902</v>
      </c>
      <c r="W1700" t="s">
        <v>14570</v>
      </c>
      <c r="X1700">
        <v>31</v>
      </c>
      <c r="Y1700" t="s">
        <v>20951</v>
      </c>
      <c r="Z1700" t="s">
        <v>27275</v>
      </c>
      <c r="AA1700">
        <v>0.38968796627295088</v>
      </c>
      <c r="AB1700" t="str">
        <f>HYPERLINK("Melting_Curves/meltCurve_O94826_TOMM70A.pdf", "Melting_Curves/meltCurve_O94826_TOMM70A.pdf")</f>
        <v>Melting_Curves/meltCurve_O94826_TOMM70A.pdf</v>
      </c>
    </row>
    <row r="1701" spans="1:28" x14ac:dyDescent="0.25">
      <c r="A1701" t="s">
        <v>1705</v>
      </c>
      <c r="B1701">
        <v>0.99673306730245903</v>
      </c>
      <c r="C1701">
        <v>0.97200808577531905</v>
      </c>
      <c r="D1701">
        <v>1.04410163832902</v>
      </c>
      <c r="E1701">
        <v>0.70393339233427299</v>
      </c>
      <c r="F1701">
        <v>0.62493133164230197</v>
      </c>
      <c r="G1701">
        <v>0.51611233666897605</v>
      </c>
      <c r="H1701">
        <v>0.40568820387031301</v>
      </c>
      <c r="I1701">
        <v>0.36070411241422801</v>
      </c>
      <c r="J1701">
        <v>0.53329657879435399</v>
      </c>
      <c r="K1701">
        <v>0.50426756212647506</v>
      </c>
      <c r="L1701">
        <v>1248.9190882722801</v>
      </c>
      <c r="M1701">
        <v>24.862813954633801</v>
      </c>
      <c r="N1701">
        <v>55.965877345654597</v>
      </c>
      <c r="O1701">
        <v>49.910828269557399</v>
      </c>
      <c r="P1701">
        <v>-6.7145172575587206E-2</v>
      </c>
      <c r="Q1701">
        <v>0.46084539861589302</v>
      </c>
      <c r="R1701">
        <v>0.93199426631223103</v>
      </c>
      <c r="S1701" t="s">
        <v>8153</v>
      </c>
      <c r="T1701" t="s">
        <v>12902</v>
      </c>
      <c r="U1701" t="s">
        <v>12902</v>
      </c>
      <c r="V1701" t="s">
        <v>12902</v>
      </c>
      <c r="W1701" t="s">
        <v>14571</v>
      </c>
      <c r="X1701">
        <v>1</v>
      </c>
      <c r="Y1701" t="s">
        <v>20952</v>
      </c>
      <c r="Z1701" t="s">
        <v>27276</v>
      </c>
      <c r="AA1701">
        <v>0.64962431373872309</v>
      </c>
      <c r="AB1701" t="str">
        <f>HYPERLINK("Melting_Curves/meltCurve_O94829_IPO13.pdf", "Melting_Curves/meltCurve_O94829_IPO13.pdf")</f>
        <v>Melting_Curves/meltCurve_O94829_IPO13.pdf</v>
      </c>
    </row>
    <row r="1702" spans="1:28" x14ac:dyDescent="0.25">
      <c r="A1702" t="s">
        <v>1706</v>
      </c>
      <c r="B1702">
        <v>0.99673306730245903</v>
      </c>
      <c r="C1702">
        <v>0.99120822261102803</v>
      </c>
      <c r="D1702">
        <v>0.92776253173821099</v>
      </c>
      <c r="E1702">
        <v>0.83974742984270401</v>
      </c>
      <c r="F1702">
        <v>0.62701098961453405</v>
      </c>
      <c r="G1702">
        <v>0.43766841872996198</v>
      </c>
      <c r="H1702">
        <v>0.179116352305738</v>
      </c>
      <c r="I1702">
        <v>0.14072951880610499</v>
      </c>
      <c r="J1702">
        <v>0.16874628306120201</v>
      </c>
      <c r="K1702">
        <v>0.175368438459374</v>
      </c>
      <c r="L1702">
        <v>924.27794004367399</v>
      </c>
      <c r="M1702">
        <v>17.0710828730221</v>
      </c>
      <c r="N1702">
        <v>55.017415068248603</v>
      </c>
      <c r="O1702">
        <v>53.416310259889599</v>
      </c>
      <c r="P1702">
        <v>-7.0407008317960595E-2</v>
      </c>
      <c r="Q1702">
        <v>0.118824736108714</v>
      </c>
      <c r="R1702">
        <v>0.99217428151978804</v>
      </c>
      <c r="S1702" t="s">
        <v>8154</v>
      </c>
      <c r="T1702" t="s">
        <v>12902</v>
      </c>
      <c r="U1702" t="s">
        <v>12902</v>
      </c>
      <c r="V1702" t="s">
        <v>12902</v>
      </c>
      <c r="W1702" t="s">
        <v>14572</v>
      </c>
      <c r="X1702">
        <v>10</v>
      </c>
      <c r="Y1702" t="s">
        <v>20953</v>
      </c>
      <c r="Z1702" t="s">
        <v>27277</v>
      </c>
      <c r="AA1702">
        <v>0.54938512946795914</v>
      </c>
      <c r="AB1702" t="str">
        <f>HYPERLINK("Melting_Curves/meltCurve_O94830_DDHD2.pdf", "Melting_Curves/meltCurve_O94830_DDHD2.pdf")</f>
        <v>Melting_Curves/meltCurve_O94830_DDHD2.pdf</v>
      </c>
    </row>
    <row r="1703" spans="1:28" x14ac:dyDescent="0.25">
      <c r="A1703" t="s">
        <v>1707</v>
      </c>
      <c r="B1703">
        <v>0.99673306730245903</v>
      </c>
      <c r="C1703">
        <v>1.0042841582616999</v>
      </c>
      <c r="D1703">
        <v>0.77107099388685896</v>
      </c>
      <c r="E1703">
        <v>0.58565674199597095</v>
      </c>
      <c r="F1703">
        <v>0.28284402841900802</v>
      </c>
      <c r="G1703">
        <v>0.18135836001477201</v>
      </c>
      <c r="H1703">
        <v>0.13772722184594499</v>
      </c>
      <c r="I1703">
        <v>0.15281672868408899</v>
      </c>
      <c r="J1703">
        <v>0.19308801482033</v>
      </c>
      <c r="K1703">
        <v>0.18023717118676599</v>
      </c>
      <c r="L1703">
        <v>1003.14777054406</v>
      </c>
      <c r="M1703">
        <v>20.4118413758498</v>
      </c>
      <c r="N1703">
        <v>50.0456692688334</v>
      </c>
      <c r="O1703">
        <v>48.680974416777502</v>
      </c>
      <c r="P1703">
        <v>-8.8719668421773701E-2</v>
      </c>
      <c r="Q1703">
        <v>0.153661813202432</v>
      </c>
      <c r="R1703">
        <v>0.98956389427827096</v>
      </c>
      <c r="S1703" t="s">
        <v>8155</v>
      </c>
      <c r="T1703" t="s">
        <v>12902</v>
      </c>
      <c r="U1703" t="s">
        <v>12902</v>
      </c>
      <c r="V1703" t="s">
        <v>12902</v>
      </c>
      <c r="W1703" t="s">
        <v>14573</v>
      </c>
      <c r="X1703">
        <v>4</v>
      </c>
      <c r="Y1703" t="s">
        <v>20954</v>
      </c>
      <c r="Z1703" t="s">
        <v>27278</v>
      </c>
      <c r="AA1703">
        <v>0.42302645339033529</v>
      </c>
      <c r="AB1703" t="str">
        <f>HYPERLINK("Melting_Curves/meltCurve_O94832_MYO1D.pdf", "Melting_Curves/meltCurve_O94832_MYO1D.pdf")</f>
        <v>Melting_Curves/meltCurve_O94832_MYO1D.pdf</v>
      </c>
    </row>
    <row r="1704" spans="1:28" x14ac:dyDescent="0.25">
      <c r="A1704" t="s">
        <v>1708</v>
      </c>
      <c r="B1704">
        <v>0.99673306730245903</v>
      </c>
      <c r="C1704">
        <v>1.0028424002535601</v>
      </c>
      <c r="D1704">
        <v>0.77875356732711098</v>
      </c>
      <c r="E1704">
        <v>0.39898238507810901</v>
      </c>
      <c r="F1704">
        <v>0.113785990697249</v>
      </c>
      <c r="G1704">
        <v>8.8914700984456294E-2</v>
      </c>
      <c r="H1704">
        <v>4.3032808816032803E-2</v>
      </c>
      <c r="I1704">
        <v>2.9776091536213099E-2</v>
      </c>
      <c r="J1704">
        <v>2.96080674766807E-2</v>
      </c>
      <c r="K1704">
        <v>1.93966769738129E-2</v>
      </c>
      <c r="L1704">
        <v>1189.5280057177099</v>
      </c>
      <c r="M1704">
        <v>24.524760691627101</v>
      </c>
      <c r="N1704">
        <v>48.635244405695303</v>
      </c>
      <c r="O1704">
        <v>48.184110536678403</v>
      </c>
      <c r="P1704">
        <v>-0.12314686474433401</v>
      </c>
      <c r="Q1704">
        <v>3.2221237215475103E-2</v>
      </c>
      <c r="R1704">
        <v>0.99766753150820697</v>
      </c>
      <c r="S1704" t="s">
        <v>8156</v>
      </c>
      <c r="T1704" t="s">
        <v>12902</v>
      </c>
      <c r="U1704" t="s">
        <v>12902</v>
      </c>
      <c r="V1704" t="s">
        <v>12902</v>
      </c>
      <c r="W1704" t="s">
        <v>14574</v>
      </c>
      <c r="X1704">
        <v>1</v>
      </c>
      <c r="Y1704" t="s">
        <v>20955</v>
      </c>
      <c r="Z1704" t="s">
        <v>27279</v>
      </c>
      <c r="AA1704">
        <v>0.31543255492350142</v>
      </c>
      <c r="AB1704" t="str">
        <f>HYPERLINK("Melting_Curves/meltCurve_O94851_6_MICAL2.pdf", "Melting_Curves/meltCurve_O94851_6_MICAL2.pdf")</f>
        <v>Melting_Curves/meltCurve_O94851_6_MICAL2.pdf</v>
      </c>
    </row>
    <row r="1705" spans="1:28" x14ac:dyDescent="0.25">
      <c r="A1705" t="s">
        <v>1709</v>
      </c>
      <c r="B1705">
        <v>0.99673306730245903</v>
      </c>
      <c r="C1705">
        <v>0.95199733381393803</v>
      </c>
      <c r="D1705">
        <v>0.91002793437854501</v>
      </c>
      <c r="E1705">
        <v>0.81700442234161696</v>
      </c>
      <c r="F1705">
        <v>0.248379865074529</v>
      </c>
      <c r="G1705">
        <v>0.156967032138528</v>
      </c>
      <c r="H1705">
        <v>0.113429557083825</v>
      </c>
      <c r="I1705">
        <v>0.111272976880209</v>
      </c>
      <c r="J1705">
        <v>0.122287074155531</v>
      </c>
      <c r="K1705">
        <v>0.11180083364053001</v>
      </c>
      <c r="L1705">
        <v>2134.0434961143701</v>
      </c>
      <c r="M1705">
        <v>41.765733385652702</v>
      </c>
      <c r="N1705">
        <v>51.428781780361902</v>
      </c>
      <c r="O1705">
        <v>50.9788385508472</v>
      </c>
      <c r="P1705">
        <v>-0.18053820261015399</v>
      </c>
      <c r="Q1705">
        <v>0.11854900307385501</v>
      </c>
      <c r="R1705">
        <v>0.99321613197433001</v>
      </c>
      <c r="S1705" t="s">
        <v>8157</v>
      </c>
      <c r="T1705" t="s">
        <v>12902</v>
      </c>
      <c r="U1705" t="s">
        <v>12902</v>
      </c>
      <c r="V1705" t="s">
        <v>12902</v>
      </c>
      <c r="W1705" t="s">
        <v>14575</v>
      </c>
      <c r="X1705">
        <v>12</v>
      </c>
      <c r="Y1705" t="s">
        <v>20956</v>
      </c>
      <c r="Z1705" t="s">
        <v>27280</v>
      </c>
      <c r="AA1705">
        <v>0.44740889637719378</v>
      </c>
      <c r="AB1705" t="str">
        <f>HYPERLINK("Melting_Curves/meltCurve_O94855_SEC24D.pdf", "Melting_Curves/meltCurve_O94855_SEC24D.pdf")</f>
        <v>Melting_Curves/meltCurve_O94855_SEC24D.pdf</v>
      </c>
    </row>
    <row r="1706" spans="1:28" x14ac:dyDescent="0.25">
      <c r="A1706" t="s">
        <v>1710</v>
      </c>
      <c r="B1706">
        <v>0.99673306730245903</v>
      </c>
      <c r="C1706">
        <v>0.927202630866926</v>
      </c>
      <c r="D1706">
        <v>0.63600913700780104</v>
      </c>
      <c r="E1706">
        <v>0.40792604583009701</v>
      </c>
      <c r="F1706">
        <v>0.32614586362001102</v>
      </c>
      <c r="G1706">
        <v>0.219667282362219</v>
      </c>
      <c r="H1706">
        <v>0.137122920188085</v>
      </c>
      <c r="I1706">
        <v>0.11686076408584201</v>
      </c>
      <c r="J1706">
        <v>0.107782872329655</v>
      </c>
      <c r="K1706">
        <v>8.4256180153292504E-2</v>
      </c>
      <c r="L1706">
        <v>710.57805527300604</v>
      </c>
      <c r="M1706">
        <v>14.8198693999428</v>
      </c>
      <c r="N1706">
        <v>48.709742516624502</v>
      </c>
      <c r="O1706">
        <v>47.1000115273077</v>
      </c>
      <c r="P1706">
        <v>-7.0529700206130502E-2</v>
      </c>
      <c r="Q1706">
        <v>0.103474242269184</v>
      </c>
      <c r="R1706">
        <v>0.98641197779821199</v>
      </c>
      <c r="S1706" t="s">
        <v>8158</v>
      </c>
      <c r="T1706" t="s">
        <v>12902</v>
      </c>
      <c r="U1706" t="s">
        <v>12902</v>
      </c>
      <c r="V1706" t="s">
        <v>12902</v>
      </c>
      <c r="W1706" t="s">
        <v>14576</v>
      </c>
      <c r="X1706">
        <v>3</v>
      </c>
      <c r="Y1706" t="s">
        <v>20957</v>
      </c>
      <c r="Z1706" t="s">
        <v>27281</v>
      </c>
      <c r="AA1706">
        <v>0.36467136350559581</v>
      </c>
      <c r="AB1706" t="str">
        <f>HYPERLINK("Melting_Curves/meltCurve_O94864_2_SUPT7L.pdf", "Melting_Curves/meltCurve_O94864_2_SUPT7L.pdf")</f>
        <v>Melting_Curves/meltCurve_O94864_2_SUPT7L.pdf</v>
      </c>
    </row>
    <row r="1707" spans="1:28" x14ac:dyDescent="0.25">
      <c r="A1707" t="s">
        <v>1711</v>
      </c>
      <c r="B1707">
        <v>0.99673306730245903</v>
      </c>
      <c r="C1707">
        <v>0.81783633903632602</v>
      </c>
      <c r="D1707">
        <v>0.51968262551230904</v>
      </c>
      <c r="E1707">
        <v>0.33472361094693798</v>
      </c>
      <c r="F1707">
        <v>0.149908909394356</v>
      </c>
      <c r="G1707">
        <v>9.7534849679443605E-2</v>
      </c>
      <c r="H1707">
        <v>6.5007404471460806E-2</v>
      </c>
      <c r="I1707">
        <v>6.0576062691788203E-2</v>
      </c>
      <c r="J1707">
        <v>6.4989288171308404E-2</v>
      </c>
      <c r="K1707">
        <v>5.9276673743574003E-2</v>
      </c>
      <c r="L1707">
        <v>796.000895106558</v>
      </c>
      <c r="M1707">
        <v>17.152695159471101</v>
      </c>
      <c r="N1707">
        <v>46.741606788900697</v>
      </c>
      <c r="O1707">
        <v>45.789750445329098</v>
      </c>
      <c r="P1707">
        <v>-8.8240080729765802E-2</v>
      </c>
      <c r="Q1707">
        <v>5.7815384308039203E-2</v>
      </c>
      <c r="R1707">
        <v>0.99375008863174397</v>
      </c>
      <c r="S1707" t="s">
        <v>8159</v>
      </c>
      <c r="T1707" t="s">
        <v>12902</v>
      </c>
      <c r="U1707" t="s">
        <v>12902</v>
      </c>
      <c r="V1707" t="s">
        <v>12902</v>
      </c>
      <c r="W1707" t="s">
        <v>14577</v>
      </c>
      <c r="X1707">
        <v>21</v>
      </c>
      <c r="Y1707" t="s">
        <v>20958</v>
      </c>
      <c r="Z1707" t="s">
        <v>27282</v>
      </c>
      <c r="AA1707">
        <v>0.2790197356953022</v>
      </c>
      <c r="AB1707" t="str">
        <f>HYPERLINK("Melting_Curves/meltCurve_O94874_UFL1.pdf", "Melting_Curves/meltCurve_O94874_UFL1.pdf")</f>
        <v>Melting_Curves/meltCurve_O94874_UFL1.pdf</v>
      </c>
    </row>
    <row r="1708" spans="1:28" x14ac:dyDescent="0.25">
      <c r="A1708" t="s">
        <v>1712</v>
      </c>
      <c r="B1708">
        <v>0.99673306730245903</v>
      </c>
      <c r="C1708">
        <v>0.97117623442718803</v>
      </c>
      <c r="D1708">
        <v>0.90975456507083197</v>
      </c>
      <c r="E1708">
        <v>0.73304510104568898</v>
      </c>
      <c r="F1708">
        <v>0.476513264913412</v>
      </c>
      <c r="G1708">
        <v>0.36189022495795797</v>
      </c>
      <c r="H1708">
        <v>0.28152023355830602</v>
      </c>
      <c r="I1708">
        <v>0.38210605486600702</v>
      </c>
      <c r="J1708">
        <v>0.48058111246787799</v>
      </c>
      <c r="K1708">
        <v>0.49003073212993498</v>
      </c>
      <c r="L1708">
        <v>1441.2827204273599</v>
      </c>
      <c r="M1708">
        <v>28.965767248406699</v>
      </c>
      <c r="N1708">
        <v>52.6224432850101</v>
      </c>
      <c r="O1708">
        <v>49.5227870145319</v>
      </c>
      <c r="P1708">
        <v>-8.8222837752858094E-2</v>
      </c>
      <c r="Q1708">
        <v>0.39666599741648101</v>
      </c>
      <c r="R1708">
        <v>0.94666587906350197</v>
      </c>
      <c r="S1708" t="s">
        <v>8160</v>
      </c>
      <c r="T1708" t="s">
        <v>12902</v>
      </c>
      <c r="U1708" t="s">
        <v>12902</v>
      </c>
      <c r="V1708" t="s">
        <v>12902</v>
      </c>
      <c r="W1708" t="s">
        <v>14578</v>
      </c>
      <c r="X1708">
        <v>9</v>
      </c>
      <c r="Y1708" t="s">
        <v>20959</v>
      </c>
      <c r="Z1708" t="s">
        <v>27283</v>
      </c>
      <c r="AA1708">
        <v>0.5969048028969699</v>
      </c>
      <c r="AB1708" t="str">
        <f>HYPERLINK("Melting_Curves/meltCurve_O94875_12_SORBS2.pdf", "Melting_Curves/meltCurve_O94875_12_SORBS2.pdf")</f>
        <v>Melting_Curves/meltCurve_O94875_12_SORBS2.pdf</v>
      </c>
    </row>
    <row r="1709" spans="1:28" x14ac:dyDescent="0.25">
      <c r="A1709" t="s">
        <v>1713</v>
      </c>
      <c r="B1709">
        <v>0.99673306730245903</v>
      </c>
      <c r="C1709">
        <v>1.07862624026104</v>
      </c>
      <c r="D1709">
        <v>0.929596833843776</v>
      </c>
      <c r="E1709">
        <v>0.86667591840391101</v>
      </c>
      <c r="F1709">
        <v>0.97785192657432596</v>
      </c>
      <c r="G1709">
        <v>0.546841923831062</v>
      </c>
      <c r="H1709">
        <v>0.36622885432637697</v>
      </c>
      <c r="I1709">
        <v>0.342165719852221</v>
      </c>
      <c r="J1709">
        <v>0.24306702533861599</v>
      </c>
      <c r="K1709">
        <v>0.204635537284621</v>
      </c>
      <c r="L1709">
        <v>1758.72842896149</v>
      </c>
      <c r="M1709">
        <v>31.168392826568098</v>
      </c>
      <c r="N1709">
        <v>57.784546514373197</v>
      </c>
      <c r="O1709">
        <v>56.195910585521098</v>
      </c>
      <c r="P1709">
        <v>-0.102659980401979</v>
      </c>
      <c r="Q1709">
        <v>0.25962961147194002</v>
      </c>
      <c r="R1709">
        <v>0.96036860611489905</v>
      </c>
      <c r="S1709" t="s">
        <v>8161</v>
      </c>
      <c r="T1709" t="s">
        <v>12902</v>
      </c>
      <c r="U1709" t="s">
        <v>12902</v>
      </c>
      <c r="V1709" t="s">
        <v>12902</v>
      </c>
      <c r="W1709" t="s">
        <v>14579</v>
      </c>
      <c r="X1709">
        <v>3</v>
      </c>
      <c r="Y1709" t="s">
        <v>20960</v>
      </c>
      <c r="Z1709" t="s">
        <v>27284</v>
      </c>
      <c r="AA1709">
        <v>0.66963096806754074</v>
      </c>
      <c r="AB1709" t="str">
        <f>HYPERLINK("Melting_Curves/meltCurve_O94876_TMCC1.pdf", "Melting_Curves/meltCurve_O94876_TMCC1.pdf")</f>
        <v>Melting_Curves/meltCurve_O94876_TMCC1.pdf</v>
      </c>
    </row>
    <row r="1710" spans="1:28" x14ac:dyDescent="0.25">
      <c r="A1710" t="s">
        <v>1714</v>
      </c>
      <c r="B1710">
        <v>0.99673306730245903</v>
      </c>
      <c r="C1710">
        <v>0.90204270516027996</v>
      </c>
      <c r="D1710">
        <v>0.83541505850190201</v>
      </c>
      <c r="E1710">
        <v>0.71577063751737202</v>
      </c>
      <c r="F1710">
        <v>0.53808043585467402</v>
      </c>
      <c r="G1710">
        <v>0.36889444945991801</v>
      </c>
      <c r="H1710">
        <v>0.27865420601448398</v>
      </c>
      <c r="I1710">
        <v>0.34934222591796399</v>
      </c>
      <c r="J1710">
        <v>0.52887609797972901</v>
      </c>
      <c r="K1710">
        <v>0.48223657286359101</v>
      </c>
      <c r="L1710">
        <v>892.94806948609505</v>
      </c>
      <c r="M1710">
        <v>18.2102522326221</v>
      </c>
      <c r="N1710">
        <v>53.638783311544103</v>
      </c>
      <c r="O1710">
        <v>48.455608085084101</v>
      </c>
      <c r="P1710">
        <v>-5.6823027149562902E-2</v>
      </c>
      <c r="Q1710">
        <v>0.39522764416408901</v>
      </c>
      <c r="R1710">
        <v>0.89833666154992597</v>
      </c>
      <c r="S1710" t="s">
        <v>8162</v>
      </c>
      <c r="T1710" t="s">
        <v>12902</v>
      </c>
      <c r="U1710" t="s">
        <v>12902</v>
      </c>
      <c r="V1710" t="s">
        <v>12902</v>
      </c>
      <c r="W1710" t="s">
        <v>14580</v>
      </c>
      <c r="X1710">
        <v>5</v>
      </c>
      <c r="Y1710" t="s">
        <v>20961</v>
      </c>
      <c r="Z1710" t="s">
        <v>27285</v>
      </c>
      <c r="AA1710">
        <v>0.58760283386603429</v>
      </c>
      <c r="AB1710" t="str">
        <f>HYPERLINK("Melting_Curves/meltCurve_O94880_PHF14.pdf", "Melting_Curves/meltCurve_O94880_PHF14.pdf")</f>
        <v>Melting_Curves/meltCurve_O94880_PHF14.pdf</v>
      </c>
    </row>
    <row r="1711" spans="1:28" x14ac:dyDescent="0.25">
      <c r="A1711" t="s">
        <v>1715</v>
      </c>
      <c r="B1711">
        <v>0.99673306730245903</v>
      </c>
      <c r="C1711">
        <v>0.85911182745457304</v>
      </c>
      <c r="D1711">
        <v>0.75800791540145196</v>
      </c>
      <c r="E1711">
        <v>0.75111382496429602</v>
      </c>
      <c r="F1711">
        <v>0.61920798950393097</v>
      </c>
      <c r="G1711">
        <v>0.445312414825556</v>
      </c>
      <c r="H1711">
        <v>0.51112454231225601</v>
      </c>
      <c r="I1711">
        <v>0.35224932287283001</v>
      </c>
      <c r="J1711">
        <v>0.476894672179212</v>
      </c>
      <c r="K1711">
        <v>0.47753858513639802</v>
      </c>
      <c r="L1711">
        <v>528.45326342888404</v>
      </c>
      <c r="M1711">
        <v>10.779648870388099</v>
      </c>
      <c r="N1711">
        <v>58.2051878279104</v>
      </c>
      <c r="O1711">
        <v>47.426540010075598</v>
      </c>
      <c r="P1711">
        <v>-3.3611377852433399E-2</v>
      </c>
      <c r="Q1711">
        <v>0.40870422970926501</v>
      </c>
      <c r="R1711">
        <v>0.91985250283619302</v>
      </c>
      <c r="S1711" t="s">
        <v>8163</v>
      </c>
      <c r="T1711" t="s">
        <v>12902</v>
      </c>
      <c r="U1711" t="s">
        <v>12902</v>
      </c>
      <c r="V1711" t="s">
        <v>12902</v>
      </c>
      <c r="W1711" t="s">
        <v>14581</v>
      </c>
      <c r="X1711">
        <v>5</v>
      </c>
      <c r="Y1711" t="s">
        <v>20961</v>
      </c>
      <c r="Z1711" t="s">
        <v>27286</v>
      </c>
      <c r="AA1711">
        <v>0.61234133638978172</v>
      </c>
      <c r="AB1711" t="str">
        <f>HYPERLINK("Melting_Curves/meltCurve_O94880_2_PHF14.pdf", "Melting_Curves/meltCurve_O94880_2_PHF14.pdf")</f>
        <v>Melting_Curves/meltCurve_O94880_2_PHF14.pdf</v>
      </c>
    </row>
    <row r="1712" spans="1:28" x14ac:dyDescent="0.25">
      <c r="A1712" t="s">
        <v>1716</v>
      </c>
      <c r="B1712">
        <v>0.99673306730245903</v>
      </c>
      <c r="C1712">
        <v>0.97632094385358603</v>
      </c>
      <c r="D1712">
        <v>0.900854083729557</v>
      </c>
      <c r="E1712">
        <v>0.82253893216237695</v>
      </c>
      <c r="F1712">
        <v>0.35966730920463902</v>
      </c>
      <c r="G1712">
        <v>0.17085926928557199</v>
      </c>
      <c r="H1712">
        <v>9.9971844654384703E-2</v>
      </c>
      <c r="I1712">
        <v>9.1806224036918002E-2</v>
      </c>
      <c r="J1712">
        <v>0.10953867888671601</v>
      </c>
      <c r="K1712">
        <v>9.8789584788417206E-2</v>
      </c>
      <c r="L1712">
        <v>1488.9181115578999</v>
      </c>
      <c r="M1712">
        <v>28.792979187734499</v>
      </c>
      <c r="N1712">
        <v>52.0992278708108</v>
      </c>
      <c r="O1712">
        <v>51.463639237077203</v>
      </c>
      <c r="P1712">
        <v>-0.12637163274486701</v>
      </c>
      <c r="Q1712">
        <v>9.65166622502827E-2</v>
      </c>
      <c r="R1712">
        <v>0.99502513671861903</v>
      </c>
      <c r="S1712" t="s">
        <v>8164</v>
      </c>
      <c r="T1712" t="s">
        <v>12902</v>
      </c>
      <c r="U1712" t="s">
        <v>12902</v>
      </c>
      <c r="V1712" t="s">
        <v>12902</v>
      </c>
      <c r="W1712" t="s">
        <v>14582</v>
      </c>
      <c r="X1712">
        <v>16</v>
      </c>
      <c r="Y1712" t="s">
        <v>20962</v>
      </c>
      <c r="Z1712" t="s">
        <v>27287</v>
      </c>
      <c r="AA1712">
        <v>0.45544539674732409</v>
      </c>
      <c r="AB1712" t="str">
        <f>HYPERLINK("Melting_Curves/meltCurve_O94888_UBXN7.pdf", "Melting_Curves/meltCurve_O94888_UBXN7.pdf")</f>
        <v>Melting_Curves/meltCurve_O94888_UBXN7.pdf</v>
      </c>
    </row>
    <row r="1713" spans="1:28" x14ac:dyDescent="0.25">
      <c r="A1713" t="s">
        <v>1717</v>
      </c>
      <c r="B1713">
        <v>0.99673306730245903</v>
      </c>
      <c r="C1713">
        <v>0.976838895747</v>
      </c>
      <c r="D1713">
        <v>0.79920801738088698</v>
      </c>
      <c r="E1713">
        <v>0.71339906702149702</v>
      </c>
      <c r="F1713">
        <v>0.49418807806592002</v>
      </c>
      <c r="G1713">
        <v>0.279809834101935</v>
      </c>
      <c r="H1713">
        <v>0.20045193742571499</v>
      </c>
      <c r="I1713">
        <v>0.192477777748253</v>
      </c>
      <c r="J1713">
        <v>0.16524570563516899</v>
      </c>
      <c r="K1713">
        <v>0.19422005283712501</v>
      </c>
      <c r="L1713">
        <v>745.52150765849797</v>
      </c>
      <c r="M1713">
        <v>14.517478110030501</v>
      </c>
      <c r="N1713">
        <v>52.581989275834601</v>
      </c>
      <c r="O1713">
        <v>50.408479236421798</v>
      </c>
      <c r="P1713">
        <v>-6.16505197801046E-2</v>
      </c>
      <c r="Q1713">
        <v>0.14383142910646299</v>
      </c>
      <c r="R1713">
        <v>0.99042195067902605</v>
      </c>
      <c r="S1713" t="s">
        <v>8165</v>
      </c>
      <c r="T1713" t="s">
        <v>12902</v>
      </c>
      <c r="U1713" t="s">
        <v>12902</v>
      </c>
      <c r="V1713" t="s">
        <v>12902</v>
      </c>
      <c r="W1713" t="s">
        <v>14583</v>
      </c>
      <c r="X1713">
        <v>2</v>
      </c>
      <c r="Y1713" t="s">
        <v>20963</v>
      </c>
      <c r="Z1713" t="s">
        <v>27288</v>
      </c>
      <c r="AA1713">
        <v>0.4884514331407957</v>
      </c>
      <c r="AB1713" t="str">
        <f>HYPERLINK("Melting_Curves/meltCurve_O94889_KLHL18.pdf", "Melting_Curves/meltCurve_O94889_KLHL18.pdf")</f>
        <v>Melting_Curves/meltCurve_O94889_KLHL18.pdf</v>
      </c>
    </row>
    <row r="1714" spans="1:28" x14ac:dyDescent="0.25">
      <c r="A1714" t="s">
        <v>1718</v>
      </c>
      <c r="B1714">
        <v>0.99673306730245903</v>
      </c>
      <c r="C1714">
        <v>1.1262488552573</v>
      </c>
      <c r="D1714">
        <v>0.52262003658881795</v>
      </c>
      <c r="E1714">
        <v>0.43167015633931799</v>
      </c>
      <c r="F1714">
        <v>0.20392155552402499</v>
      </c>
      <c r="G1714">
        <v>0.107169738301458</v>
      </c>
      <c r="H1714">
        <v>6.4374331562298007E-2</v>
      </c>
      <c r="I1714">
        <v>5.1717506786555401E-2</v>
      </c>
      <c r="J1714">
        <v>6.6531660802920195E-2</v>
      </c>
      <c r="K1714">
        <v>5.6151729611541801E-2</v>
      </c>
      <c r="L1714">
        <v>943.01438063877902</v>
      </c>
      <c r="M1714">
        <v>19.774033959198601</v>
      </c>
      <c r="N1714">
        <v>48.028718597585197</v>
      </c>
      <c r="O1714">
        <v>47.2098312182694</v>
      </c>
      <c r="P1714">
        <v>-9.7892896536051405E-2</v>
      </c>
      <c r="Q1714">
        <v>6.5168040864303195E-2</v>
      </c>
      <c r="R1714">
        <v>0.94266310371065598</v>
      </c>
      <c r="S1714" t="s">
        <v>8166</v>
      </c>
      <c r="T1714" t="s">
        <v>12902</v>
      </c>
      <c r="U1714" t="s">
        <v>12902</v>
      </c>
      <c r="V1714" t="s">
        <v>12902</v>
      </c>
      <c r="W1714" t="s">
        <v>14584</v>
      </c>
      <c r="X1714">
        <v>11</v>
      </c>
      <c r="Y1714" t="s">
        <v>20964</v>
      </c>
      <c r="Z1714" t="s">
        <v>27289</v>
      </c>
      <c r="AA1714">
        <v>0.31849355459479378</v>
      </c>
      <c r="AB1714" t="str">
        <f>HYPERLINK("Melting_Curves/meltCurve_O94903_PROSC.pdf", "Melting_Curves/meltCurve_O94903_PROSC.pdf")</f>
        <v>Melting_Curves/meltCurve_O94903_PROSC.pdf</v>
      </c>
    </row>
    <row r="1715" spans="1:28" x14ac:dyDescent="0.25">
      <c r="A1715" t="s">
        <v>1719</v>
      </c>
      <c r="B1715">
        <v>0.99673306730245903</v>
      </c>
      <c r="C1715">
        <v>0.679983800546199</v>
      </c>
      <c r="D1715">
        <v>0.582253479477151</v>
      </c>
      <c r="E1715">
        <v>0.47374646724022101</v>
      </c>
      <c r="F1715">
        <v>0.41701870387662499</v>
      </c>
      <c r="G1715">
        <v>0.29720805888331497</v>
      </c>
      <c r="H1715">
        <v>0.24353690968115099</v>
      </c>
      <c r="I1715">
        <v>0.161662770751447</v>
      </c>
      <c r="J1715">
        <v>0.226646674461397</v>
      </c>
      <c r="K1715">
        <v>0.201457942753415</v>
      </c>
      <c r="L1715">
        <v>482.82169143621002</v>
      </c>
      <c r="M1715">
        <v>10.3401280425556</v>
      </c>
      <c r="N1715">
        <v>48.7159145909499</v>
      </c>
      <c r="O1715">
        <v>45.048707289584002</v>
      </c>
      <c r="P1715">
        <v>-4.7391478281844798E-2</v>
      </c>
      <c r="Q1715">
        <v>0.17447340611583201</v>
      </c>
      <c r="R1715">
        <v>0.95077174295992195</v>
      </c>
      <c r="S1715" t="s">
        <v>8167</v>
      </c>
      <c r="T1715" t="s">
        <v>12902</v>
      </c>
      <c r="U1715" t="s">
        <v>12902</v>
      </c>
      <c r="V1715" t="s">
        <v>12902</v>
      </c>
      <c r="W1715" t="s">
        <v>14585</v>
      </c>
      <c r="X1715">
        <v>4</v>
      </c>
      <c r="Y1715" t="s">
        <v>20965</v>
      </c>
      <c r="Z1715" t="s">
        <v>27290</v>
      </c>
      <c r="AA1715">
        <v>0.40473379304810952</v>
      </c>
      <c r="AB1715" t="str">
        <f>HYPERLINK("Melting_Curves/meltCurve_O94906_2_PRPF6.pdf", "Melting_Curves/meltCurve_O94906_2_PRPF6.pdf")</f>
        <v>Melting_Curves/meltCurve_O94906_2_PRPF6.pdf</v>
      </c>
    </row>
    <row r="1716" spans="1:28" x14ac:dyDescent="0.25">
      <c r="A1716" t="s">
        <v>1720</v>
      </c>
      <c r="B1716">
        <v>0.99673306730245903</v>
      </c>
      <c r="C1716">
        <v>0.95523764934882505</v>
      </c>
      <c r="D1716">
        <v>1.12765752699588</v>
      </c>
      <c r="E1716">
        <v>1.00943860571806</v>
      </c>
      <c r="F1716">
        <v>0.77439167503505701</v>
      </c>
      <c r="G1716">
        <v>0.64461923775318797</v>
      </c>
      <c r="H1716">
        <v>0.56521818126572299</v>
      </c>
      <c r="I1716">
        <v>0.81401285564308901</v>
      </c>
      <c r="J1716">
        <v>1.04226571887361</v>
      </c>
      <c r="K1716">
        <v>0.91996605157563405</v>
      </c>
      <c r="L1716">
        <v>12818.198084060699</v>
      </c>
      <c r="M1716">
        <v>250</v>
      </c>
      <c r="O1716">
        <v>51.269512245263698</v>
      </c>
      <c r="P1716">
        <v>-0.25184438297244799</v>
      </c>
      <c r="Q1716">
        <v>0.79340898555447903</v>
      </c>
      <c r="R1716">
        <v>0.41928650148512397</v>
      </c>
      <c r="S1716" t="s">
        <v>8168</v>
      </c>
      <c r="T1716" t="s">
        <v>12902</v>
      </c>
      <c r="U1716" t="s">
        <v>12902</v>
      </c>
      <c r="V1716" t="s">
        <v>12902</v>
      </c>
      <c r="W1716" t="s">
        <v>14586</v>
      </c>
      <c r="X1716">
        <v>2</v>
      </c>
      <c r="Y1716" t="s">
        <v>20966</v>
      </c>
      <c r="Z1716" t="s">
        <v>27291</v>
      </c>
      <c r="AA1716">
        <v>0.87105616203653624</v>
      </c>
      <c r="AB1716" t="str">
        <f>HYPERLINK("Melting_Curves/meltCurve_O94907_DKK1.pdf", "Melting_Curves/meltCurve_O94907_DKK1.pdf")</f>
        <v>Melting_Curves/meltCurve_O94907_DKK1.pdf</v>
      </c>
    </row>
    <row r="1717" spans="1:28" x14ac:dyDescent="0.25">
      <c r="A1717" t="s">
        <v>1721</v>
      </c>
      <c r="B1717">
        <v>0.99673306730245903</v>
      </c>
      <c r="C1717">
        <v>0.74898660626273394</v>
      </c>
      <c r="D1717">
        <v>0.341379831396809</v>
      </c>
      <c r="E1717">
        <v>0.23138636966196499</v>
      </c>
      <c r="F1717">
        <v>0.15948201917526</v>
      </c>
      <c r="G1717">
        <v>0.103932491497186</v>
      </c>
      <c r="H1717">
        <v>6.8707862474017306E-2</v>
      </c>
      <c r="I1717">
        <v>6.3412971047745598E-2</v>
      </c>
      <c r="J1717">
        <v>9.1347515891327405E-2</v>
      </c>
      <c r="K1717">
        <v>0.125699916284253</v>
      </c>
      <c r="L1717">
        <v>1132.2538003050399</v>
      </c>
      <c r="M1717">
        <v>25.4548317005763</v>
      </c>
      <c r="N1717">
        <v>44.899260294033397</v>
      </c>
      <c r="O1717">
        <v>44.209110196156097</v>
      </c>
      <c r="P1717">
        <v>-0.12875003081354799</v>
      </c>
      <c r="Q1717">
        <v>0.105576294248573</v>
      </c>
      <c r="R1717">
        <v>0.98607526598700501</v>
      </c>
      <c r="S1717" t="s">
        <v>8169</v>
      </c>
      <c r="T1717" t="s">
        <v>12902</v>
      </c>
      <c r="U1717" t="s">
        <v>12902</v>
      </c>
      <c r="V1717" t="s">
        <v>12902</v>
      </c>
      <c r="W1717" t="s">
        <v>14587</v>
      </c>
      <c r="X1717">
        <v>9</v>
      </c>
      <c r="Y1717" t="s">
        <v>20967</v>
      </c>
      <c r="Z1717" t="s">
        <v>27292</v>
      </c>
      <c r="AA1717">
        <v>0.24825312930791379</v>
      </c>
      <c r="AB1717" t="str">
        <f>HYPERLINK("Melting_Curves/meltCurve_O94913_PCF11.pdf", "Melting_Curves/meltCurve_O94913_PCF11.pdf")</f>
        <v>Melting_Curves/meltCurve_O94913_PCF11.pdf</v>
      </c>
    </row>
    <row r="1718" spans="1:28" x14ac:dyDescent="0.25">
      <c r="A1718" t="s">
        <v>1722</v>
      </c>
      <c r="B1718">
        <v>0.99673306730245903</v>
      </c>
      <c r="C1718">
        <v>0.89740279371736997</v>
      </c>
      <c r="D1718">
        <v>0.73480906236416599</v>
      </c>
      <c r="E1718">
        <v>0.51025981726001501</v>
      </c>
      <c r="F1718">
        <v>0.33283051522547402</v>
      </c>
      <c r="G1718">
        <v>0.21108004404863101</v>
      </c>
      <c r="H1718">
        <v>0.15085285917697899</v>
      </c>
      <c r="I1718">
        <v>0.183789235399964</v>
      </c>
      <c r="J1718">
        <v>0.25540118226416803</v>
      </c>
      <c r="K1718">
        <v>0.24208721624077401</v>
      </c>
      <c r="L1718">
        <v>848.73257593389201</v>
      </c>
      <c r="M1718">
        <v>17.671632581478601</v>
      </c>
      <c r="N1718">
        <v>49.421618258232897</v>
      </c>
      <c r="O1718">
        <v>47.425605517146202</v>
      </c>
      <c r="P1718">
        <v>-7.4879009463545296E-2</v>
      </c>
      <c r="Q1718">
        <v>0.19622728258324501</v>
      </c>
      <c r="R1718">
        <v>0.98657747129523399</v>
      </c>
      <c r="S1718" t="s">
        <v>8170</v>
      </c>
      <c r="T1718" t="s">
        <v>12902</v>
      </c>
      <c r="U1718" t="s">
        <v>12902</v>
      </c>
      <c r="V1718" t="s">
        <v>12902</v>
      </c>
      <c r="W1718" t="s">
        <v>14588</v>
      </c>
      <c r="X1718">
        <v>3</v>
      </c>
      <c r="Y1718" t="s">
        <v>20968</v>
      </c>
      <c r="Z1718" t="s">
        <v>27293</v>
      </c>
      <c r="AA1718">
        <v>0.42612169666162159</v>
      </c>
      <c r="AB1718" t="str">
        <f>HYPERLINK("Melting_Curves/meltCurve_O94916_2_NFAT5.pdf", "Melting_Curves/meltCurve_O94916_2_NFAT5.pdf")</f>
        <v>Melting_Curves/meltCurve_O94916_2_NFAT5.pdf</v>
      </c>
    </row>
    <row r="1719" spans="1:28" x14ac:dyDescent="0.25">
      <c r="A1719" t="s">
        <v>1723</v>
      </c>
      <c r="B1719">
        <v>0.99673306730245903</v>
      </c>
      <c r="C1719">
        <v>0.95482374983398199</v>
      </c>
      <c r="D1719">
        <v>0.91824046017248595</v>
      </c>
      <c r="E1719">
        <v>0.60895748335031796</v>
      </c>
      <c r="F1719">
        <v>0.17610659263523001</v>
      </c>
      <c r="G1719">
        <v>0.10678466334903899</v>
      </c>
      <c r="H1719">
        <v>5.8853999366167198E-2</v>
      </c>
      <c r="I1719">
        <v>5.17131080383521E-2</v>
      </c>
      <c r="J1719">
        <v>5.48510514988374E-2</v>
      </c>
      <c r="K1719">
        <v>4.88008328811044E-2</v>
      </c>
      <c r="L1719">
        <v>1453.3787724040501</v>
      </c>
      <c r="M1719">
        <v>29.0162576513174</v>
      </c>
      <c r="N1719">
        <v>50.284322229840598</v>
      </c>
      <c r="O1719">
        <v>49.852327652341302</v>
      </c>
      <c r="P1719">
        <v>-0.13773566667405099</v>
      </c>
      <c r="Q1719">
        <v>5.34419674823816E-2</v>
      </c>
      <c r="R1719">
        <v>0.99807681238477497</v>
      </c>
      <c r="S1719" t="s">
        <v>8171</v>
      </c>
      <c r="T1719" t="s">
        <v>12902</v>
      </c>
      <c r="U1719" t="s">
        <v>12902</v>
      </c>
      <c r="V1719" t="s">
        <v>12902</v>
      </c>
      <c r="W1719" t="s">
        <v>14589</v>
      </c>
      <c r="X1719">
        <v>24</v>
      </c>
      <c r="Y1719" t="s">
        <v>20969</v>
      </c>
      <c r="Z1719" t="s">
        <v>27294</v>
      </c>
      <c r="AA1719">
        <v>0.37802315553681692</v>
      </c>
      <c r="AB1719" t="str">
        <f>HYPERLINK("Melting_Curves/meltCurve_O94925_GLS.pdf", "Melting_Curves/meltCurve_O94925_GLS.pdf")</f>
        <v>Melting_Curves/meltCurve_O94925_GLS.pdf</v>
      </c>
    </row>
    <row r="1720" spans="1:28" x14ac:dyDescent="0.25">
      <c r="A1720" t="s">
        <v>1724</v>
      </c>
      <c r="B1720">
        <v>0.99673306730245903</v>
      </c>
      <c r="C1720">
        <v>0.99614144664523496</v>
      </c>
      <c r="D1720">
        <v>0.95952661885120705</v>
      </c>
      <c r="E1720">
        <v>0.61712247442826396</v>
      </c>
      <c r="F1720">
        <v>0.22657539475892299</v>
      </c>
      <c r="G1720">
        <v>0.15257689259125101</v>
      </c>
      <c r="H1720">
        <v>0.11541633711028999</v>
      </c>
      <c r="I1720">
        <v>0.119800931627848</v>
      </c>
      <c r="J1720">
        <v>9.2216595594397002E-2</v>
      </c>
      <c r="K1720">
        <v>6.7752092521948706E-2</v>
      </c>
      <c r="L1720">
        <v>1545.23779491907</v>
      </c>
      <c r="M1720">
        <v>30.840603787057798</v>
      </c>
      <c r="N1720">
        <v>50.480797917318299</v>
      </c>
      <c r="O1720">
        <v>49.894754250030999</v>
      </c>
      <c r="P1720">
        <v>-0.13864170821994901</v>
      </c>
      <c r="Q1720">
        <v>0.102812063385362</v>
      </c>
      <c r="R1720">
        <v>0.99827069170990601</v>
      </c>
      <c r="S1720" t="s">
        <v>8172</v>
      </c>
      <c r="T1720" t="s">
        <v>12902</v>
      </c>
      <c r="U1720" t="s">
        <v>12902</v>
      </c>
      <c r="V1720" t="s">
        <v>12902</v>
      </c>
      <c r="W1720" t="s">
        <v>14590</v>
      </c>
      <c r="X1720">
        <v>22</v>
      </c>
      <c r="Y1720" t="s">
        <v>20969</v>
      </c>
      <c r="Z1720" t="s">
        <v>27295</v>
      </c>
      <c r="AA1720">
        <v>0.41024173451765139</v>
      </c>
      <c r="AB1720" t="str">
        <f>HYPERLINK("Melting_Curves/meltCurve_O94925_3_GLS.pdf", "Melting_Curves/meltCurve_O94925_3_GLS.pdf")</f>
        <v>Melting_Curves/meltCurve_O94925_3_GLS.pdf</v>
      </c>
    </row>
    <row r="1721" spans="1:28" x14ac:dyDescent="0.25">
      <c r="A1721" t="s">
        <v>1725</v>
      </c>
      <c r="B1721">
        <v>0.99673306730245903</v>
      </c>
      <c r="C1721">
        <v>0.81383149708436897</v>
      </c>
      <c r="D1721">
        <v>0.50092751151570702</v>
      </c>
      <c r="E1721">
        <v>0.33104374434024803</v>
      </c>
      <c r="F1721">
        <v>0.18269950018039999</v>
      </c>
      <c r="G1721">
        <v>0.105907128547948</v>
      </c>
      <c r="H1721">
        <v>5.4977026159756602E-2</v>
      </c>
      <c r="I1721">
        <v>2.14130477855996E-2</v>
      </c>
      <c r="J1721">
        <v>0</v>
      </c>
      <c r="K1721">
        <v>3.6815687050953803E-2</v>
      </c>
      <c r="L1721">
        <v>709.30610914752697</v>
      </c>
      <c r="M1721">
        <v>15.193660946314701</v>
      </c>
      <c r="N1721">
        <v>46.833256230556898</v>
      </c>
      <c r="O1721">
        <v>45.898046008254298</v>
      </c>
      <c r="P1721">
        <v>-8.0813965281289799E-2</v>
      </c>
      <c r="Q1721">
        <v>2.35807425149662E-2</v>
      </c>
      <c r="R1721">
        <v>0.98901663383151694</v>
      </c>
      <c r="S1721" t="s">
        <v>8173</v>
      </c>
      <c r="T1721" t="s">
        <v>12902</v>
      </c>
      <c r="U1721" t="s">
        <v>12902</v>
      </c>
      <c r="V1721" t="s">
        <v>12902</v>
      </c>
      <c r="W1721" t="s">
        <v>14591</v>
      </c>
      <c r="X1721">
        <v>2</v>
      </c>
      <c r="Y1721" t="s">
        <v>20970</v>
      </c>
      <c r="Z1721" t="s">
        <v>27296</v>
      </c>
      <c r="AA1721">
        <v>0.26750590413648939</v>
      </c>
      <c r="AB1721" t="str">
        <f>HYPERLINK("Melting_Curves/meltCurve_O94941_2_UBOX5.pdf", "Melting_Curves/meltCurve_O94941_2_UBOX5.pdf")</f>
        <v>Melting_Curves/meltCurve_O94941_2_UBOX5.pdf</v>
      </c>
    </row>
    <row r="1722" spans="1:28" x14ac:dyDescent="0.25">
      <c r="A1722" t="s">
        <v>1726</v>
      </c>
      <c r="B1722">
        <v>0.99673306730245903</v>
      </c>
      <c r="C1722">
        <v>0.96134555516272002</v>
      </c>
      <c r="D1722">
        <v>0.90797425255976105</v>
      </c>
      <c r="E1722">
        <v>0.73658734489357103</v>
      </c>
      <c r="F1722">
        <v>0.242455179535363</v>
      </c>
      <c r="G1722">
        <v>0.16804043537327101</v>
      </c>
      <c r="H1722">
        <v>0.101143949451991</v>
      </c>
      <c r="I1722">
        <v>0.10027904310188</v>
      </c>
      <c r="J1722">
        <v>9.8316918051169502E-2</v>
      </c>
      <c r="K1722">
        <v>8.9445185441457506E-2</v>
      </c>
      <c r="L1722">
        <v>1587.5262641675699</v>
      </c>
      <c r="M1722">
        <v>31.265741362335799</v>
      </c>
      <c r="N1722">
        <v>51.138736875125602</v>
      </c>
      <c r="O1722">
        <v>50.568903330545098</v>
      </c>
      <c r="P1722">
        <v>-0.139170683755134</v>
      </c>
      <c r="Q1722">
        <v>9.9631778760730594E-2</v>
      </c>
      <c r="R1722">
        <v>0.99461857854901403</v>
      </c>
      <c r="S1722" t="s">
        <v>8174</v>
      </c>
      <c r="T1722" t="s">
        <v>12902</v>
      </c>
      <c r="U1722" t="s">
        <v>12902</v>
      </c>
      <c r="V1722" t="s">
        <v>12902</v>
      </c>
      <c r="W1722" t="s">
        <v>14592</v>
      </c>
      <c r="X1722">
        <v>16</v>
      </c>
      <c r="Y1722" t="s">
        <v>20971</v>
      </c>
      <c r="Z1722" t="s">
        <v>27297</v>
      </c>
      <c r="AA1722">
        <v>0.42821270915964349</v>
      </c>
      <c r="AB1722" t="str">
        <f>HYPERLINK("Melting_Curves/meltCurve_O94966_7_USP19.pdf", "Melting_Curves/meltCurve_O94966_7_USP19.pdf")</f>
        <v>Melting_Curves/meltCurve_O94966_7_USP19.pdf</v>
      </c>
    </row>
    <row r="1723" spans="1:28" x14ac:dyDescent="0.25">
      <c r="A1723" t="s">
        <v>1727</v>
      </c>
      <c r="B1723">
        <v>0.99673306730245903</v>
      </c>
      <c r="C1723">
        <v>0.87083080093919396</v>
      </c>
      <c r="D1723">
        <v>0.90638379273202097</v>
      </c>
      <c r="E1723">
        <v>0.75840163815380002</v>
      </c>
      <c r="F1723">
        <v>0.75183568173225401</v>
      </c>
      <c r="G1723">
        <v>0.384669146146213</v>
      </c>
      <c r="H1723">
        <v>0.24999742077241</v>
      </c>
      <c r="I1723">
        <v>0.17636052168431501</v>
      </c>
      <c r="J1723">
        <v>0.18198396745655901</v>
      </c>
      <c r="K1723">
        <v>0.13068777434305001</v>
      </c>
      <c r="L1723">
        <v>651.57754450890297</v>
      </c>
      <c r="M1723">
        <v>11.810078016019</v>
      </c>
      <c r="N1723">
        <v>55.608317251037903</v>
      </c>
      <c r="O1723">
        <v>53.660785740898199</v>
      </c>
      <c r="P1723">
        <v>-5.2597010522236802E-2</v>
      </c>
      <c r="Q1723">
        <v>4.4316786567112597E-2</v>
      </c>
      <c r="R1723">
        <v>0.968695380594636</v>
      </c>
      <c r="S1723" t="s">
        <v>8175</v>
      </c>
      <c r="T1723" t="s">
        <v>12902</v>
      </c>
      <c r="U1723" t="s">
        <v>12902</v>
      </c>
      <c r="V1723" t="s">
        <v>12902</v>
      </c>
      <c r="W1723" t="s">
        <v>14593</v>
      </c>
      <c r="X1723">
        <v>3</v>
      </c>
      <c r="Y1723" t="s">
        <v>20972</v>
      </c>
      <c r="Z1723" t="s">
        <v>27298</v>
      </c>
      <c r="AA1723">
        <v>0.54977694453998338</v>
      </c>
      <c r="AB1723" t="str">
        <f>HYPERLINK("Melting_Curves/meltCurve_O94967_4_WDR47.pdf", "Melting_Curves/meltCurve_O94967_4_WDR47.pdf")</f>
        <v>Melting_Curves/meltCurve_O94967_4_WDR47.pdf</v>
      </c>
    </row>
    <row r="1724" spans="1:28" x14ac:dyDescent="0.25">
      <c r="A1724" t="s">
        <v>1728</v>
      </c>
      <c r="B1724">
        <v>0.99673306730245903</v>
      </c>
      <c r="C1724">
        <v>0.95118065638013505</v>
      </c>
      <c r="D1724">
        <v>0.97884331771050903</v>
      </c>
      <c r="E1724">
        <v>1.0301009929371501</v>
      </c>
      <c r="F1724">
        <v>0.47755812504283202</v>
      </c>
      <c r="G1724">
        <v>0.193363913100114</v>
      </c>
      <c r="H1724">
        <v>9.8462576841846394E-2</v>
      </c>
      <c r="I1724">
        <v>7.9639791847032695E-2</v>
      </c>
      <c r="J1724">
        <v>6.9830218272160197E-2</v>
      </c>
      <c r="K1724">
        <v>5.1753101620989797E-2</v>
      </c>
      <c r="L1724">
        <v>2545.5550725416401</v>
      </c>
      <c r="M1724">
        <v>48.058735514334501</v>
      </c>
      <c r="N1724">
        <v>53.184855920789602</v>
      </c>
      <c r="O1724">
        <v>52.876114845329397</v>
      </c>
      <c r="P1724">
        <v>-0.20697049307346799</v>
      </c>
      <c r="Q1724">
        <v>8.9132545544750003E-2</v>
      </c>
      <c r="R1724">
        <v>0.99209153160682295</v>
      </c>
      <c r="S1724" t="s">
        <v>8176</v>
      </c>
      <c r="T1724" t="s">
        <v>12902</v>
      </c>
      <c r="U1724" t="s">
        <v>12902</v>
      </c>
      <c r="V1724" t="s">
        <v>12902</v>
      </c>
      <c r="W1724" t="s">
        <v>14594</v>
      </c>
      <c r="X1724">
        <v>26</v>
      </c>
      <c r="Y1724" t="s">
        <v>20973</v>
      </c>
      <c r="Z1724" t="s">
        <v>27299</v>
      </c>
      <c r="AA1724">
        <v>0.4851616608268049</v>
      </c>
      <c r="AB1724" t="str">
        <f>HYPERLINK("Melting_Curves/meltCurve_O94973_2_AP2A2.pdf", "Melting_Curves/meltCurve_O94973_2_AP2A2.pdf")</f>
        <v>Melting_Curves/meltCurve_O94973_2_AP2A2.pdf</v>
      </c>
    </row>
    <row r="1725" spans="1:28" x14ac:dyDescent="0.25">
      <c r="A1725" t="s">
        <v>1729</v>
      </c>
      <c r="B1725">
        <v>0.99673306730245903</v>
      </c>
      <c r="C1725">
        <v>0.978902782178668</v>
      </c>
      <c r="D1725">
        <v>0.96179699551826703</v>
      </c>
      <c r="E1725">
        <v>0.90083038963348505</v>
      </c>
      <c r="F1725">
        <v>0.79750049612831198</v>
      </c>
      <c r="G1725">
        <v>0.64621743123304498</v>
      </c>
      <c r="H1725">
        <v>0.55095369850233</v>
      </c>
      <c r="I1725">
        <v>0.79581419983325696</v>
      </c>
      <c r="J1725">
        <v>1.1474763437316999</v>
      </c>
      <c r="K1725">
        <v>1.17041435059357</v>
      </c>
      <c r="L1725">
        <v>1805.45827947156</v>
      </c>
      <c r="M1725">
        <v>37.929864864800301</v>
      </c>
      <c r="O1725">
        <v>47.468168690620999</v>
      </c>
      <c r="P1725">
        <v>-2.9218640148770798E-2</v>
      </c>
      <c r="Q1725">
        <v>0.85373508593561798</v>
      </c>
      <c r="R1725">
        <v>8.8453062881510197E-2</v>
      </c>
      <c r="S1725" t="s">
        <v>8177</v>
      </c>
      <c r="T1725" t="s">
        <v>12902</v>
      </c>
      <c r="U1725" t="s">
        <v>12902</v>
      </c>
      <c r="V1725" t="s">
        <v>12902</v>
      </c>
      <c r="W1725" t="s">
        <v>14595</v>
      </c>
      <c r="X1725">
        <v>21</v>
      </c>
      <c r="Y1725" t="s">
        <v>20974</v>
      </c>
      <c r="Z1725" t="s">
        <v>27300</v>
      </c>
      <c r="AA1725">
        <v>0.89132733673139819</v>
      </c>
      <c r="AB1725" t="str">
        <f>HYPERLINK("Melting_Curves/meltCurve_O94992_HEXIM1.pdf", "Melting_Curves/meltCurve_O94992_HEXIM1.pdf")</f>
        <v>Melting_Curves/meltCurve_O94992_HEXIM1.pdf</v>
      </c>
    </row>
    <row r="1726" spans="1:28" x14ac:dyDescent="0.25">
      <c r="A1726" t="s">
        <v>1730</v>
      </c>
      <c r="B1726">
        <v>0.99673306730245903</v>
      </c>
      <c r="C1726">
        <v>0.93748246902725696</v>
      </c>
      <c r="D1726">
        <v>1.1868064362304001</v>
      </c>
      <c r="E1726">
        <v>1.40677655495603</v>
      </c>
      <c r="F1726">
        <v>1.6842582900664</v>
      </c>
      <c r="G1726">
        <v>1.3313786636868301</v>
      </c>
      <c r="H1726">
        <v>0.66753976552848304</v>
      </c>
      <c r="I1726">
        <v>0.52168769725135999</v>
      </c>
      <c r="J1726">
        <v>0.166637946215245</v>
      </c>
      <c r="K1726">
        <v>9.1332125615645202E-2</v>
      </c>
      <c r="L1726">
        <v>2135.7322336718998</v>
      </c>
      <c r="M1726">
        <v>33.720475263565199</v>
      </c>
      <c r="N1726">
        <v>63.5830041839329</v>
      </c>
      <c r="O1726">
        <v>63.114862394979902</v>
      </c>
      <c r="P1726">
        <v>-0.12537933340995899</v>
      </c>
      <c r="Q1726">
        <v>6.13102655633736E-2</v>
      </c>
      <c r="R1726">
        <v>0.67526023370622601</v>
      </c>
      <c r="S1726" t="s">
        <v>8178</v>
      </c>
      <c r="T1726" t="s">
        <v>12902</v>
      </c>
      <c r="U1726" t="s">
        <v>12902</v>
      </c>
      <c r="V1726" t="s">
        <v>12902</v>
      </c>
      <c r="W1726" t="s">
        <v>14596</v>
      </c>
      <c r="X1726">
        <v>1</v>
      </c>
      <c r="Y1726" t="s">
        <v>20975</v>
      </c>
      <c r="Z1726" t="s">
        <v>27301</v>
      </c>
      <c r="AA1726">
        <v>0.79425289290280388</v>
      </c>
      <c r="AB1726" t="str">
        <f>HYPERLINK("Melting_Curves/meltCurve_O95059_RPP14.pdf", "Melting_Curves/meltCurve_O95059_RPP14.pdf")</f>
        <v>Melting_Curves/meltCurve_O95059_RPP14.pdf</v>
      </c>
    </row>
    <row r="1727" spans="1:28" x14ac:dyDescent="0.25">
      <c r="A1727" t="s">
        <v>1731</v>
      </c>
      <c r="B1727">
        <v>0.99673306730245903</v>
      </c>
      <c r="C1727">
        <v>0.92494058168299997</v>
      </c>
      <c r="D1727">
        <v>0.80839526706115705</v>
      </c>
      <c r="E1727">
        <v>0.60676288550833901</v>
      </c>
      <c r="F1727">
        <v>0.43443278490447601</v>
      </c>
      <c r="G1727">
        <v>0.26720193843459999</v>
      </c>
      <c r="H1727">
        <v>0.119865090192049</v>
      </c>
      <c r="I1727">
        <v>9.2559377334726703E-2</v>
      </c>
      <c r="J1727">
        <v>6.8884180688813995E-2</v>
      </c>
      <c r="K1727">
        <v>5.7668266376968903E-2</v>
      </c>
      <c r="L1727">
        <v>625.35395415462301</v>
      </c>
      <c r="M1727">
        <v>12.119052020367601</v>
      </c>
      <c r="N1727">
        <v>51.680387121448703</v>
      </c>
      <c r="O1727">
        <v>50.2561922686982</v>
      </c>
      <c r="P1727">
        <v>-5.97435429454449E-2</v>
      </c>
      <c r="Q1727">
        <v>9.2338933552771705E-3</v>
      </c>
      <c r="R1727">
        <v>0.99818181144122997</v>
      </c>
      <c r="S1727" t="s">
        <v>8179</v>
      </c>
      <c r="T1727" t="s">
        <v>12902</v>
      </c>
      <c r="U1727" t="s">
        <v>12902</v>
      </c>
      <c r="V1727" t="s">
        <v>12902</v>
      </c>
      <c r="W1727" t="s">
        <v>14597</v>
      </c>
      <c r="X1727">
        <v>4</v>
      </c>
      <c r="Y1727" t="s">
        <v>20976</v>
      </c>
      <c r="Z1727" t="s">
        <v>27302</v>
      </c>
      <c r="AA1727">
        <v>0.42307233931048199</v>
      </c>
      <c r="AB1727" t="str">
        <f>HYPERLINK("Melting_Curves/meltCurve_O95067_CCNB2.pdf", "Melting_Curves/meltCurve_O95067_CCNB2.pdf")</f>
        <v>Melting_Curves/meltCurve_O95067_CCNB2.pdf</v>
      </c>
    </row>
    <row r="1728" spans="1:28" x14ac:dyDescent="0.25">
      <c r="A1728" t="s">
        <v>1732</v>
      </c>
      <c r="B1728">
        <v>0.99673306730245903</v>
      </c>
      <c r="C1728">
        <v>0.82995820651296903</v>
      </c>
      <c r="D1728">
        <v>0.40344979227592698</v>
      </c>
      <c r="E1728">
        <v>0.23085595811749701</v>
      </c>
      <c r="F1728">
        <v>0.20891104188551701</v>
      </c>
      <c r="G1728">
        <v>0.15227806093716301</v>
      </c>
      <c r="H1728">
        <v>8.5197391405541195E-2</v>
      </c>
      <c r="I1728">
        <v>6.0689004901866801E-2</v>
      </c>
      <c r="J1728">
        <v>2.1005501168552099E-2</v>
      </c>
      <c r="K1728">
        <v>0</v>
      </c>
      <c r="L1728">
        <v>966.90622057797304</v>
      </c>
      <c r="M1728">
        <v>21.309645871628799</v>
      </c>
      <c r="N1728">
        <v>45.730320214420999</v>
      </c>
      <c r="O1728">
        <v>44.9802207676262</v>
      </c>
      <c r="P1728">
        <v>-0.10938453877895001</v>
      </c>
      <c r="Q1728">
        <v>7.64720207463538E-2</v>
      </c>
      <c r="R1728">
        <v>0.97114029264039903</v>
      </c>
      <c r="S1728" t="s">
        <v>8180</v>
      </c>
      <c r="T1728" t="s">
        <v>12902</v>
      </c>
      <c r="U1728" t="s">
        <v>12902</v>
      </c>
      <c r="V1728" t="s">
        <v>12902</v>
      </c>
      <c r="W1728" t="s">
        <v>14598</v>
      </c>
      <c r="X1728">
        <v>2</v>
      </c>
      <c r="Y1728" t="s">
        <v>20977</v>
      </c>
      <c r="Z1728" t="s">
        <v>27303</v>
      </c>
      <c r="AA1728">
        <v>0.25487581153964362</v>
      </c>
      <c r="AB1728" t="str">
        <f>HYPERLINK("Melting_Curves/meltCurve_O95081_AGFG2.pdf", "Melting_Curves/meltCurve_O95081_AGFG2.pdf")</f>
        <v>Melting_Curves/meltCurve_O95081_AGFG2.pdf</v>
      </c>
    </row>
    <row r="1729" spans="1:28" x14ac:dyDescent="0.25">
      <c r="A1729" t="s">
        <v>1733</v>
      </c>
      <c r="B1729">
        <v>0.99673306730245903</v>
      </c>
      <c r="C1729">
        <v>0.97613739097105501</v>
      </c>
      <c r="D1729">
        <v>0.82175415123103901</v>
      </c>
      <c r="E1729">
        <v>0.41430689943006699</v>
      </c>
      <c r="F1729">
        <v>0.29942899553645003</v>
      </c>
      <c r="G1729">
        <v>0.220769980751333</v>
      </c>
      <c r="H1729">
        <v>0.17059555501366</v>
      </c>
      <c r="I1729">
        <v>0.16133692019088</v>
      </c>
      <c r="J1729">
        <v>0.20165449657587001</v>
      </c>
      <c r="K1729">
        <v>0.202718517397111</v>
      </c>
      <c r="L1729">
        <v>1262.26933942033</v>
      </c>
      <c r="M1729">
        <v>26.261629087048998</v>
      </c>
      <c r="N1729">
        <v>48.975896371520001</v>
      </c>
      <c r="O1729">
        <v>47.789065986379299</v>
      </c>
      <c r="P1729">
        <v>-0.110844420962923</v>
      </c>
      <c r="Q1729">
        <v>0.19318162685996301</v>
      </c>
      <c r="R1729">
        <v>0.99512757261357399</v>
      </c>
      <c r="S1729" t="s">
        <v>8181</v>
      </c>
      <c r="T1729" t="s">
        <v>12902</v>
      </c>
      <c r="U1729" t="s">
        <v>12902</v>
      </c>
      <c r="V1729" t="s">
        <v>12902</v>
      </c>
      <c r="W1729" t="s">
        <v>14599</v>
      </c>
      <c r="X1729">
        <v>7</v>
      </c>
      <c r="Y1729" t="s">
        <v>20978</v>
      </c>
      <c r="Z1729" t="s">
        <v>27304</v>
      </c>
      <c r="AA1729">
        <v>0.41651048925069301</v>
      </c>
      <c r="AB1729" t="str">
        <f>HYPERLINK("Melting_Curves/meltCurve_O95104_3_SCAF4.pdf", "Melting_Curves/meltCurve_O95104_3_SCAF4.pdf")</f>
        <v>Melting_Curves/meltCurve_O95104_3_SCAF4.pdf</v>
      </c>
    </row>
    <row r="1730" spans="1:28" x14ac:dyDescent="0.25">
      <c r="A1730" t="s">
        <v>1734</v>
      </c>
      <c r="B1730">
        <v>0.99673306730245903</v>
      </c>
      <c r="C1730">
        <v>1.0099801885893001</v>
      </c>
      <c r="D1730">
        <v>0.94639681117928098</v>
      </c>
      <c r="E1730">
        <v>0.83750850202445204</v>
      </c>
      <c r="F1730">
        <v>0.68916509469054799</v>
      </c>
      <c r="G1730">
        <v>0.47564258033652301</v>
      </c>
      <c r="H1730">
        <v>0.45858008524994298</v>
      </c>
      <c r="I1730">
        <v>0.59991468117333202</v>
      </c>
      <c r="J1730">
        <v>0.72042515330241097</v>
      </c>
      <c r="K1730">
        <v>0.749051205010409</v>
      </c>
      <c r="L1730">
        <v>1690.2338264126799</v>
      </c>
      <c r="M1730">
        <v>33.745748477240603</v>
      </c>
      <c r="O1730">
        <v>49.912403247461803</v>
      </c>
      <c r="P1730">
        <v>-6.66519907437058E-2</v>
      </c>
      <c r="Q1730">
        <v>0.60566916197722598</v>
      </c>
      <c r="R1730">
        <v>0.78695041932662502</v>
      </c>
      <c r="S1730" t="s">
        <v>8182</v>
      </c>
      <c r="T1730" t="s">
        <v>12902</v>
      </c>
      <c r="U1730" t="s">
        <v>12902</v>
      </c>
      <c r="V1730" t="s">
        <v>12902</v>
      </c>
      <c r="W1730" t="s">
        <v>14600</v>
      </c>
      <c r="X1730">
        <v>8</v>
      </c>
      <c r="Y1730" t="s">
        <v>20979</v>
      </c>
      <c r="Z1730" t="s">
        <v>27305</v>
      </c>
      <c r="AA1730">
        <v>0.74018573184540537</v>
      </c>
      <c r="AB1730" t="str">
        <f>HYPERLINK("Melting_Curves/meltCurve_O95139_NDUFB6.pdf", "Melting_Curves/meltCurve_O95139_NDUFB6.pdf")</f>
        <v>Melting_Curves/meltCurve_O95139_NDUFB6.pdf</v>
      </c>
    </row>
    <row r="1731" spans="1:28" x14ac:dyDescent="0.25">
      <c r="A1731" t="s">
        <v>1735</v>
      </c>
      <c r="B1731">
        <v>0.99673306730245903</v>
      </c>
      <c r="C1731">
        <v>0.93253935811225197</v>
      </c>
      <c r="D1731">
        <v>0.85781985431570096</v>
      </c>
      <c r="E1731">
        <v>0.56170178841640295</v>
      </c>
      <c r="F1731">
        <v>0.23617141303765901</v>
      </c>
      <c r="G1731">
        <v>0.117292258223323</v>
      </c>
      <c r="H1731">
        <v>7.0088058078458901E-2</v>
      </c>
      <c r="I1731">
        <v>6.5887394808568894E-2</v>
      </c>
      <c r="J1731">
        <v>7.31808219837147E-2</v>
      </c>
      <c r="K1731">
        <v>6.8136629713011806E-2</v>
      </c>
      <c r="L1731">
        <v>1058.0659084618401</v>
      </c>
      <c r="M1731">
        <v>21.2605877850689</v>
      </c>
      <c r="N1731">
        <v>50.061102485477399</v>
      </c>
      <c r="O1731">
        <v>49.332522026575397</v>
      </c>
      <c r="P1731">
        <v>-0.101409190801345</v>
      </c>
      <c r="Q1731">
        <v>5.87948096953059E-2</v>
      </c>
      <c r="R1731">
        <v>0.99855542462711999</v>
      </c>
      <c r="S1731" t="s">
        <v>8183</v>
      </c>
      <c r="T1731" t="s">
        <v>12902</v>
      </c>
      <c r="U1731" t="s">
        <v>12902</v>
      </c>
      <c r="V1731" t="s">
        <v>12902</v>
      </c>
      <c r="W1731" t="s">
        <v>14601</v>
      </c>
      <c r="X1731">
        <v>14</v>
      </c>
      <c r="Y1731" t="s">
        <v>20980</v>
      </c>
      <c r="Z1731" t="s">
        <v>27306</v>
      </c>
      <c r="AA1731">
        <v>0.3768260994061875</v>
      </c>
      <c r="AB1731" t="str">
        <f>HYPERLINK("Melting_Curves/meltCurve_O95140_MFN2.pdf", "Melting_Curves/meltCurve_O95140_MFN2.pdf")</f>
        <v>Melting_Curves/meltCurve_O95140_MFN2.pdf</v>
      </c>
    </row>
    <row r="1732" spans="1:28" x14ac:dyDescent="0.25">
      <c r="A1732" t="s">
        <v>1736</v>
      </c>
      <c r="B1732">
        <v>0.99673306730245903</v>
      </c>
      <c r="C1732">
        <v>0.97239907134513204</v>
      </c>
      <c r="D1732">
        <v>0.93266885192619498</v>
      </c>
      <c r="E1732">
        <v>0.67221760574335299</v>
      </c>
      <c r="F1732">
        <v>0.180764182874594</v>
      </c>
      <c r="G1732">
        <v>0.11782176056348299</v>
      </c>
      <c r="H1732">
        <v>8.0050332221220794E-2</v>
      </c>
      <c r="I1732">
        <v>8.2408652298215507E-2</v>
      </c>
      <c r="J1732">
        <v>8.6697711979333805E-2</v>
      </c>
      <c r="K1732">
        <v>6.8463802642775795E-2</v>
      </c>
      <c r="L1732">
        <v>1782.56397935159</v>
      </c>
      <c r="M1732">
        <v>35.409736992291499</v>
      </c>
      <c r="N1732">
        <v>50.592298015775498</v>
      </c>
      <c r="O1732">
        <v>50.181320017090997</v>
      </c>
      <c r="P1732">
        <v>-0.162187068389613</v>
      </c>
      <c r="Q1732">
        <v>8.0621947316557002E-2</v>
      </c>
      <c r="R1732">
        <v>0.99801328603853001</v>
      </c>
      <c r="S1732" t="s">
        <v>8184</v>
      </c>
      <c r="T1732" t="s">
        <v>12902</v>
      </c>
      <c r="U1732" t="s">
        <v>12902</v>
      </c>
      <c r="V1732" t="s">
        <v>12902</v>
      </c>
      <c r="W1732" t="s">
        <v>14602</v>
      </c>
      <c r="X1732">
        <v>18</v>
      </c>
      <c r="Y1732" t="s">
        <v>20981</v>
      </c>
      <c r="Z1732" t="s">
        <v>27307</v>
      </c>
      <c r="AA1732">
        <v>0.40162568876302818</v>
      </c>
      <c r="AB1732" t="str">
        <f>HYPERLINK("Melting_Curves/meltCurve_O95155_2_UBE4B.pdf", "Melting_Curves/meltCurve_O95155_2_UBE4B.pdf")</f>
        <v>Melting_Curves/meltCurve_O95155_2_UBE4B.pdf</v>
      </c>
    </row>
    <row r="1733" spans="1:28" x14ac:dyDescent="0.25">
      <c r="A1733" t="s">
        <v>1737</v>
      </c>
      <c r="B1733">
        <v>0.99673306730245903</v>
      </c>
      <c r="C1733">
        <v>0.91010295239886696</v>
      </c>
      <c r="D1733">
        <v>0.83983095373203998</v>
      </c>
      <c r="E1733">
        <v>0.61906314089910697</v>
      </c>
      <c r="F1733">
        <v>0.20671330168205601</v>
      </c>
      <c r="G1733">
        <v>9.4301927887010806E-2</v>
      </c>
      <c r="H1733">
        <v>4.6464530650052599E-2</v>
      </c>
      <c r="I1733">
        <v>3.59812780026489E-2</v>
      </c>
      <c r="J1733">
        <v>3.6479511170835498E-2</v>
      </c>
      <c r="K1733">
        <v>3.9274664556090098E-2</v>
      </c>
      <c r="L1733">
        <v>1049.15010368296</v>
      </c>
      <c r="M1733">
        <v>20.9292195493199</v>
      </c>
      <c r="N1733">
        <v>50.246209640457302</v>
      </c>
      <c r="O1733">
        <v>49.677572894662902</v>
      </c>
      <c r="P1733">
        <v>-0.10280803910033499</v>
      </c>
      <c r="Q1733">
        <v>2.39263447229697E-2</v>
      </c>
      <c r="R1733">
        <v>0.99361940572002405</v>
      </c>
      <c r="S1733" t="s">
        <v>8185</v>
      </c>
      <c r="T1733" t="s">
        <v>12902</v>
      </c>
      <c r="U1733" t="s">
        <v>12902</v>
      </c>
      <c r="V1733" t="s">
        <v>12902</v>
      </c>
      <c r="W1733" t="s">
        <v>14603</v>
      </c>
      <c r="X1733">
        <v>7</v>
      </c>
      <c r="Y1733" t="s">
        <v>20982</v>
      </c>
      <c r="Z1733" t="s">
        <v>27308</v>
      </c>
      <c r="AA1733">
        <v>0.36589554176229899</v>
      </c>
      <c r="AB1733" t="str">
        <f>HYPERLINK("Melting_Curves/meltCurve_O95159_ZFPL1.pdf", "Melting_Curves/meltCurve_O95159_ZFPL1.pdf")</f>
        <v>Melting_Curves/meltCurve_O95159_ZFPL1.pdf</v>
      </c>
    </row>
    <row r="1734" spans="1:28" x14ac:dyDescent="0.25">
      <c r="A1734" t="s">
        <v>1738</v>
      </c>
      <c r="B1734">
        <v>0.99673306730245903</v>
      </c>
      <c r="C1734">
        <v>0.86109488284756697</v>
      </c>
      <c r="D1734">
        <v>0.74575891751974299</v>
      </c>
      <c r="E1734">
        <v>0.74811451574563703</v>
      </c>
      <c r="F1734">
        <v>0.65194017184971598</v>
      </c>
      <c r="G1734">
        <v>0.305633419672316</v>
      </c>
      <c r="H1734">
        <v>8.9755453462172299E-2</v>
      </c>
      <c r="I1734">
        <v>7.9705308989086801E-2</v>
      </c>
      <c r="J1734">
        <v>7.3407104671325205E-2</v>
      </c>
      <c r="K1734">
        <v>6.3322540690809795E-2</v>
      </c>
      <c r="L1734">
        <v>649.98799086373401</v>
      </c>
      <c r="M1734">
        <v>12.1683282045061</v>
      </c>
      <c r="N1734">
        <v>53.416374555092503</v>
      </c>
      <c r="O1734">
        <v>52.0351327647966</v>
      </c>
      <c r="P1734">
        <v>-5.8475431917175399E-2</v>
      </c>
      <c r="Q1734">
        <v>0</v>
      </c>
      <c r="R1734">
        <v>0.95474121231501596</v>
      </c>
      <c r="S1734" t="s">
        <v>8186</v>
      </c>
      <c r="T1734" t="s">
        <v>12902</v>
      </c>
      <c r="U1734" t="s">
        <v>12902</v>
      </c>
      <c r="V1734" t="s">
        <v>12902</v>
      </c>
      <c r="W1734" t="s">
        <v>14604</v>
      </c>
      <c r="X1734">
        <v>16</v>
      </c>
      <c r="Y1734" t="s">
        <v>20983</v>
      </c>
      <c r="Z1734" t="s">
        <v>27309</v>
      </c>
      <c r="AA1734">
        <v>0.47433653016822969</v>
      </c>
      <c r="AB1734" t="str">
        <f>HYPERLINK("Melting_Curves/meltCurve_O95163_IKBKAP.pdf", "Melting_Curves/meltCurve_O95163_IKBKAP.pdf")</f>
        <v>Melting_Curves/meltCurve_O95163_IKBKAP.pdf</v>
      </c>
    </row>
    <row r="1735" spans="1:28" x14ac:dyDescent="0.25">
      <c r="A1735" t="s">
        <v>1739</v>
      </c>
      <c r="B1735">
        <v>0.99673306730245903</v>
      </c>
      <c r="C1735">
        <v>1.1269900693746799</v>
      </c>
      <c r="D1735">
        <v>1.0596176754840401</v>
      </c>
      <c r="E1735">
        <v>1.05489105519571</v>
      </c>
      <c r="F1735">
        <v>0.72216739910785399</v>
      </c>
      <c r="G1735">
        <v>0.70569725004612105</v>
      </c>
      <c r="H1735">
        <v>0.82946054392320301</v>
      </c>
      <c r="I1735">
        <v>1.17360307216132</v>
      </c>
      <c r="J1735">
        <v>1.26251460446384</v>
      </c>
      <c r="K1735">
        <v>0.99232847458163498</v>
      </c>
      <c r="L1735">
        <v>2368.4675800179898</v>
      </c>
      <c r="M1735">
        <v>37.306509972717897</v>
      </c>
      <c r="O1735">
        <v>63.3051167613392</v>
      </c>
      <c r="P1735">
        <v>2.0073724672414101E-2</v>
      </c>
      <c r="Q1735">
        <v>1.1362513952457101</v>
      </c>
      <c r="R1735">
        <v>0.129252906399968</v>
      </c>
      <c r="S1735" t="s">
        <v>8187</v>
      </c>
      <c r="T1735" t="s">
        <v>12902</v>
      </c>
      <c r="U1735" t="s">
        <v>12902</v>
      </c>
      <c r="V1735" t="s">
        <v>12902</v>
      </c>
      <c r="W1735" t="s">
        <v>14605</v>
      </c>
      <c r="X1735">
        <v>1</v>
      </c>
      <c r="Y1735" t="s">
        <v>20984</v>
      </c>
      <c r="Z1735" t="s">
        <v>27310</v>
      </c>
      <c r="AA1735">
        <v>1.0291994299869549</v>
      </c>
      <c r="AB1735" t="str">
        <f>HYPERLINK("Melting_Curves/meltCurve_O95167_NDUFA3.pdf", "Melting_Curves/meltCurve_O95167_NDUFA3.pdf")</f>
        <v>Melting_Curves/meltCurve_O95167_NDUFA3.pdf</v>
      </c>
    </row>
    <row r="1736" spans="1:28" x14ac:dyDescent="0.25">
      <c r="A1736" t="s">
        <v>1740</v>
      </c>
      <c r="B1736">
        <v>0.99673306730245903</v>
      </c>
      <c r="C1736">
        <v>1.0491077360107299</v>
      </c>
      <c r="D1736">
        <v>0.98182904895904399</v>
      </c>
      <c r="E1736">
        <v>0.87585117322225403</v>
      </c>
      <c r="F1736">
        <v>0.61093099212956503</v>
      </c>
      <c r="G1736">
        <v>0.36217641256817901</v>
      </c>
      <c r="H1736">
        <v>0.166507758892154</v>
      </c>
      <c r="I1736">
        <v>0.158848469604427</v>
      </c>
      <c r="J1736">
        <v>0.17924928425158099</v>
      </c>
      <c r="K1736">
        <v>0.15954016412246599</v>
      </c>
      <c r="L1736">
        <v>1207.0696815157801</v>
      </c>
      <c r="M1736">
        <v>22.492963916784898</v>
      </c>
      <c r="N1736">
        <v>54.510797080486199</v>
      </c>
      <c r="O1736">
        <v>53.245550613973798</v>
      </c>
      <c r="P1736">
        <v>-9.0044272338191997E-2</v>
      </c>
      <c r="Q1736">
        <v>0.14740292356635401</v>
      </c>
      <c r="R1736">
        <v>0.99601318731772903</v>
      </c>
      <c r="S1736" t="s">
        <v>8188</v>
      </c>
      <c r="T1736" t="s">
        <v>12902</v>
      </c>
      <c r="U1736" t="s">
        <v>12902</v>
      </c>
      <c r="V1736" t="s">
        <v>12902</v>
      </c>
      <c r="W1736" t="s">
        <v>14606</v>
      </c>
      <c r="X1736">
        <v>5</v>
      </c>
      <c r="Y1736" t="s">
        <v>20985</v>
      </c>
      <c r="Z1736" t="s">
        <v>27311</v>
      </c>
      <c r="AA1736">
        <v>0.54527420636776647</v>
      </c>
      <c r="AB1736" t="str">
        <f>HYPERLINK("Melting_Curves/meltCurve_O95168_NDUFB4.pdf", "Melting_Curves/meltCurve_O95168_NDUFB4.pdf")</f>
        <v>Melting_Curves/meltCurve_O95168_NDUFB4.pdf</v>
      </c>
    </row>
    <row r="1737" spans="1:28" x14ac:dyDescent="0.25">
      <c r="A1737" t="s">
        <v>1741</v>
      </c>
      <c r="B1737">
        <v>0.99673306730245903</v>
      </c>
      <c r="C1737">
        <v>0.99883480029790295</v>
      </c>
      <c r="D1737">
        <v>0.84435329088978095</v>
      </c>
      <c r="E1737">
        <v>0.78506977093135499</v>
      </c>
      <c r="F1737">
        <v>0.52476409882206199</v>
      </c>
      <c r="G1737">
        <v>0.32809923093401699</v>
      </c>
      <c r="H1737">
        <v>0.26373773083498497</v>
      </c>
      <c r="I1737">
        <v>0.272804644009768</v>
      </c>
      <c r="J1737">
        <v>0.22674132887633699</v>
      </c>
      <c r="K1737">
        <v>0.278477762669263</v>
      </c>
      <c r="L1737">
        <v>911.19797378538203</v>
      </c>
      <c r="M1737">
        <v>17.678673390939998</v>
      </c>
      <c r="N1737">
        <v>53.454279563574801</v>
      </c>
      <c r="O1737">
        <v>50.896283209016602</v>
      </c>
      <c r="P1737">
        <v>-6.6491471725782597E-2</v>
      </c>
      <c r="Q1737">
        <v>0.23433405823582801</v>
      </c>
      <c r="R1737">
        <v>0.98818473601176304</v>
      </c>
      <c r="S1737" t="s">
        <v>8189</v>
      </c>
      <c r="T1737" t="s">
        <v>12902</v>
      </c>
      <c r="U1737" t="s">
        <v>12902</v>
      </c>
      <c r="V1737" t="s">
        <v>12902</v>
      </c>
      <c r="W1737" t="s">
        <v>14607</v>
      </c>
      <c r="X1737">
        <v>2</v>
      </c>
      <c r="Y1737" t="s">
        <v>20986</v>
      </c>
      <c r="Z1737" t="s">
        <v>27312</v>
      </c>
      <c r="AA1737">
        <v>0.54214338024131226</v>
      </c>
      <c r="AB1737" t="str">
        <f>HYPERLINK("Melting_Curves/meltCurve_O95171_3_SCEL.pdf", "Melting_Curves/meltCurve_O95171_3_SCEL.pdf")</f>
        <v>Melting_Curves/meltCurve_O95171_3_SCEL.pdf</v>
      </c>
    </row>
    <row r="1738" spans="1:28" x14ac:dyDescent="0.25">
      <c r="A1738" t="s">
        <v>1742</v>
      </c>
      <c r="B1738">
        <v>0.99673306730245903</v>
      </c>
      <c r="C1738">
        <v>1.08242007450518</v>
      </c>
      <c r="D1738">
        <v>1.14541234698221</v>
      </c>
      <c r="E1738">
        <v>1.2335572047139001</v>
      </c>
      <c r="F1738">
        <v>1.09790337721975</v>
      </c>
      <c r="G1738">
        <v>0.84247948694041896</v>
      </c>
      <c r="H1738">
        <v>0.66716612992082103</v>
      </c>
      <c r="I1738">
        <v>0.87307211949656205</v>
      </c>
      <c r="J1738">
        <v>1.43855936971621</v>
      </c>
      <c r="K1738">
        <v>1.69464985782021</v>
      </c>
      <c r="L1738">
        <v>15000</v>
      </c>
      <c r="M1738">
        <v>225.50973727780101</v>
      </c>
      <c r="O1738">
        <v>66.5107375888946</v>
      </c>
      <c r="P1738">
        <v>0.423822012474249</v>
      </c>
      <c r="Q1738">
        <v>1.5</v>
      </c>
      <c r="R1738">
        <v>0.64952550883267002</v>
      </c>
      <c r="S1738" t="s">
        <v>8190</v>
      </c>
      <c r="T1738" t="s">
        <v>12902</v>
      </c>
      <c r="U1738" t="s">
        <v>12902</v>
      </c>
      <c r="V1738" t="s">
        <v>12902</v>
      </c>
      <c r="W1738" t="s">
        <v>14608</v>
      </c>
      <c r="X1738">
        <v>6</v>
      </c>
      <c r="Y1738" t="s">
        <v>20987</v>
      </c>
      <c r="Z1738" t="s">
        <v>27313</v>
      </c>
      <c r="AA1738">
        <v>1.057995423599271</v>
      </c>
      <c r="AB1738" t="str">
        <f>HYPERLINK("Melting_Curves/meltCurve_O95182_NDUFA7.pdf", "Melting_Curves/meltCurve_O95182_NDUFA7.pdf")</f>
        <v>Melting_Curves/meltCurve_O95182_NDUFA7.pdf</v>
      </c>
    </row>
    <row r="1739" spans="1:28" x14ac:dyDescent="0.25">
      <c r="A1739" t="s">
        <v>1743</v>
      </c>
      <c r="B1739">
        <v>0.99673306730245903</v>
      </c>
      <c r="C1739">
        <v>0.945385822294737</v>
      </c>
      <c r="D1739">
        <v>0.96922130127748995</v>
      </c>
      <c r="E1739">
        <v>0.83248890978085099</v>
      </c>
      <c r="F1739">
        <v>0.76697021170810598</v>
      </c>
      <c r="G1739">
        <v>0.68167881262809704</v>
      </c>
      <c r="H1739">
        <v>0.541815016273971</v>
      </c>
      <c r="I1739">
        <v>0.664861549767228</v>
      </c>
      <c r="J1739">
        <v>0.60812763129937197</v>
      </c>
      <c r="K1739">
        <v>0.51489143548293503</v>
      </c>
      <c r="L1739">
        <v>670.63759060073301</v>
      </c>
      <c r="M1739">
        <v>12.7807220503661</v>
      </c>
      <c r="O1739">
        <v>51.237747785959201</v>
      </c>
      <c r="P1739">
        <v>-2.8193213433676301E-2</v>
      </c>
      <c r="Q1739">
        <v>0.54798042247999401</v>
      </c>
      <c r="R1739">
        <v>0.93832806976225303</v>
      </c>
      <c r="S1739" t="s">
        <v>8191</v>
      </c>
      <c r="T1739" t="s">
        <v>12902</v>
      </c>
      <c r="U1739" t="s">
        <v>12902</v>
      </c>
      <c r="V1739" t="s">
        <v>12902</v>
      </c>
      <c r="W1739" t="s">
        <v>14609</v>
      </c>
      <c r="X1739">
        <v>2</v>
      </c>
      <c r="Y1739" t="s">
        <v>20988</v>
      </c>
      <c r="Z1739" t="s">
        <v>27314</v>
      </c>
      <c r="AA1739">
        <v>0.74828661261680862</v>
      </c>
      <c r="AB1739" t="str">
        <f>HYPERLINK("Melting_Curves/meltCurve_O95196_3_CSPG5.pdf", "Melting_Curves/meltCurve_O95196_3_CSPG5.pdf")</f>
        <v>Melting_Curves/meltCurve_O95196_3_CSPG5.pdf</v>
      </c>
    </row>
    <row r="1740" spans="1:28" x14ac:dyDescent="0.25">
      <c r="A1740" t="s">
        <v>1744</v>
      </c>
      <c r="B1740">
        <v>0.99673306730245903</v>
      </c>
      <c r="C1740">
        <v>0.98669400755440895</v>
      </c>
      <c r="D1740">
        <v>0.99353734929437498</v>
      </c>
      <c r="E1740">
        <v>0.92277368472598698</v>
      </c>
      <c r="F1740">
        <v>0.80567373478607696</v>
      </c>
      <c r="G1740">
        <v>0.63327838076967002</v>
      </c>
      <c r="H1740">
        <v>0.48453741029749797</v>
      </c>
      <c r="I1740">
        <v>0.55612235241639196</v>
      </c>
      <c r="J1740">
        <v>0.60147611472128304</v>
      </c>
      <c r="K1740">
        <v>0.62479278459014898</v>
      </c>
      <c r="L1740">
        <v>1565.5609358741001</v>
      </c>
      <c r="M1740">
        <v>29.386864643286401</v>
      </c>
      <c r="O1740">
        <v>53.029303806382998</v>
      </c>
      <c r="P1740">
        <v>-6.0094832627460001E-2</v>
      </c>
      <c r="Q1740">
        <v>0.56623278033454805</v>
      </c>
      <c r="R1740">
        <v>0.95919007863008399</v>
      </c>
      <c r="S1740" t="s">
        <v>8192</v>
      </c>
      <c r="T1740" t="s">
        <v>12902</v>
      </c>
      <c r="U1740" t="s">
        <v>12902</v>
      </c>
      <c r="V1740" t="s">
        <v>12902</v>
      </c>
      <c r="W1740" t="s">
        <v>14610</v>
      </c>
      <c r="X1740">
        <v>15</v>
      </c>
      <c r="Y1740" t="s">
        <v>20989</v>
      </c>
      <c r="Z1740" t="s">
        <v>27315</v>
      </c>
      <c r="AA1740">
        <v>0.76110228405249336</v>
      </c>
      <c r="AB1740" t="str">
        <f>HYPERLINK("Melting_Curves/meltCurve_O95197_2_RTN3.pdf", "Melting_Curves/meltCurve_O95197_2_RTN3.pdf")</f>
        <v>Melting_Curves/meltCurve_O95197_2_RTN3.pdf</v>
      </c>
    </row>
    <row r="1741" spans="1:28" x14ac:dyDescent="0.25">
      <c r="A1741" t="s">
        <v>1745</v>
      </c>
      <c r="B1741">
        <v>0.99673306730245903</v>
      </c>
      <c r="C1741">
        <v>1.0372137890334601</v>
      </c>
      <c r="D1741">
        <v>0.79063103838238102</v>
      </c>
      <c r="E1741">
        <v>0.83059508271281501</v>
      </c>
      <c r="F1741">
        <v>0.41506457106957401</v>
      </c>
      <c r="G1741">
        <v>0.18221703261983499</v>
      </c>
      <c r="H1741">
        <v>9.1318076092623393E-2</v>
      </c>
      <c r="I1741">
        <v>8.4706347425737197E-2</v>
      </c>
      <c r="J1741">
        <v>8.62559564484289E-2</v>
      </c>
      <c r="K1741">
        <v>7.4164838182350604E-2</v>
      </c>
      <c r="L1741">
        <v>1093.5101444156601</v>
      </c>
      <c r="M1741">
        <v>20.9960906573973</v>
      </c>
      <c r="N1741">
        <v>52.411115586572897</v>
      </c>
      <c r="O1741">
        <v>51.6160594904891</v>
      </c>
      <c r="P1741">
        <v>-9.5408402104457196E-2</v>
      </c>
      <c r="Q1741">
        <v>6.1830389890715702E-2</v>
      </c>
      <c r="R1741">
        <v>0.97841942944985705</v>
      </c>
      <c r="S1741" t="s">
        <v>8193</v>
      </c>
      <c r="T1741" t="s">
        <v>12902</v>
      </c>
      <c r="U1741" t="s">
        <v>12902</v>
      </c>
      <c r="V1741" t="s">
        <v>12902</v>
      </c>
      <c r="W1741" t="s">
        <v>14611</v>
      </c>
      <c r="X1741">
        <v>27</v>
      </c>
      <c r="Y1741" t="s">
        <v>20990</v>
      </c>
      <c r="Z1741" t="s">
        <v>27316</v>
      </c>
      <c r="AA1741">
        <v>0.45153958684165418</v>
      </c>
      <c r="AB1741" t="str">
        <f>HYPERLINK("Melting_Curves/meltCurve_O95202_LETM1.pdf", "Melting_Curves/meltCurve_O95202_LETM1.pdf")</f>
        <v>Melting_Curves/meltCurve_O95202_LETM1.pdf</v>
      </c>
    </row>
    <row r="1742" spans="1:28" x14ac:dyDescent="0.25">
      <c r="A1742" t="s">
        <v>1746</v>
      </c>
      <c r="B1742">
        <v>0.99673306730245903</v>
      </c>
      <c r="C1742">
        <v>1.0015235300768599</v>
      </c>
      <c r="D1742">
        <v>0.990734723217914</v>
      </c>
      <c r="E1742">
        <v>0.98072421879544203</v>
      </c>
      <c r="F1742">
        <v>0.87793597710617399</v>
      </c>
      <c r="G1742">
        <v>0.75095220252540495</v>
      </c>
      <c r="H1742">
        <v>0.63826924564661103</v>
      </c>
      <c r="I1742">
        <v>0.96228851014316497</v>
      </c>
      <c r="J1742">
        <v>1.34691958263058</v>
      </c>
      <c r="K1742">
        <v>1.3389417047721099</v>
      </c>
      <c r="L1742">
        <v>15000</v>
      </c>
      <c r="M1742">
        <v>228.023933979579</v>
      </c>
      <c r="O1742">
        <v>65.777507967547805</v>
      </c>
      <c r="P1742">
        <v>0.29882245481535802</v>
      </c>
      <c r="Q1742">
        <v>1.3448023388158801</v>
      </c>
      <c r="R1742">
        <v>0.52706930896194004</v>
      </c>
      <c r="S1742" t="s">
        <v>8194</v>
      </c>
      <c r="T1742" t="s">
        <v>12902</v>
      </c>
      <c r="U1742" t="s">
        <v>12902</v>
      </c>
      <c r="V1742" t="s">
        <v>12902</v>
      </c>
      <c r="W1742" t="s">
        <v>14612</v>
      </c>
      <c r="X1742">
        <v>15</v>
      </c>
      <c r="Y1742" t="s">
        <v>20991</v>
      </c>
      <c r="Z1742" t="s">
        <v>27317</v>
      </c>
      <c r="AA1742">
        <v>1.048424830580122</v>
      </c>
      <c r="AB1742" t="str">
        <f>HYPERLINK("Melting_Curves/meltCurve_O95218_2_ZRANB2.pdf", "Melting_Curves/meltCurve_O95218_2_ZRANB2.pdf")</f>
        <v>Melting_Curves/meltCurve_O95218_2_ZRANB2.pdf</v>
      </c>
    </row>
    <row r="1743" spans="1:28" x14ac:dyDescent="0.25">
      <c r="A1743" t="s">
        <v>1747</v>
      </c>
      <c r="B1743">
        <v>0.99673306730245903</v>
      </c>
      <c r="C1743">
        <v>1.0067555671600901</v>
      </c>
      <c r="D1743">
        <v>0.91845531532069602</v>
      </c>
      <c r="E1743">
        <v>0.70535259962590102</v>
      </c>
      <c r="F1743">
        <v>0.19272111782392101</v>
      </c>
      <c r="G1743">
        <v>0.11588590333117101</v>
      </c>
      <c r="H1743">
        <v>6.7194407359580002E-2</v>
      </c>
      <c r="I1743">
        <v>6.30229125054E-2</v>
      </c>
      <c r="J1743">
        <v>7.9624716734284201E-2</v>
      </c>
      <c r="K1743">
        <v>8.0746656809111902E-2</v>
      </c>
      <c r="L1743">
        <v>1772.40270206074</v>
      </c>
      <c r="M1743">
        <v>35.0525308741557</v>
      </c>
      <c r="N1743">
        <v>50.796508844831003</v>
      </c>
      <c r="O1743">
        <v>50.400464438948198</v>
      </c>
      <c r="P1743">
        <v>-0.16099366809604099</v>
      </c>
      <c r="Q1743">
        <v>7.4060967618012202E-2</v>
      </c>
      <c r="R1743">
        <v>0.99727571291399697</v>
      </c>
      <c r="S1743" t="s">
        <v>8195</v>
      </c>
      <c r="T1743" t="s">
        <v>12902</v>
      </c>
      <c r="U1743" t="s">
        <v>12902</v>
      </c>
      <c r="V1743" t="s">
        <v>12902</v>
      </c>
      <c r="W1743" t="s">
        <v>14613</v>
      </c>
      <c r="X1743">
        <v>6</v>
      </c>
      <c r="Y1743" t="s">
        <v>20992</v>
      </c>
      <c r="Z1743" t="s">
        <v>27318</v>
      </c>
      <c r="AA1743">
        <v>0.40434471535718619</v>
      </c>
      <c r="AB1743" t="str">
        <f>HYPERLINK("Melting_Curves/meltCurve_O95219_SNX4.pdf", "Melting_Curves/meltCurve_O95219_SNX4.pdf")</f>
        <v>Melting_Curves/meltCurve_O95219_SNX4.pdf</v>
      </c>
    </row>
    <row r="1744" spans="1:28" x14ac:dyDescent="0.25">
      <c r="A1744" t="s">
        <v>1748</v>
      </c>
      <c r="B1744">
        <v>0.99673306730245903</v>
      </c>
      <c r="C1744">
        <v>0.90665677684831503</v>
      </c>
      <c r="D1744">
        <v>0.77361900142717599</v>
      </c>
      <c r="E1744">
        <v>0.493393264830293</v>
      </c>
      <c r="F1744">
        <v>0.34843341643544301</v>
      </c>
      <c r="G1744">
        <v>0.237737021541744</v>
      </c>
      <c r="H1744">
        <v>0.191200142925428</v>
      </c>
      <c r="I1744">
        <v>0.23700014890801999</v>
      </c>
      <c r="J1744">
        <v>0.38542992977278501</v>
      </c>
      <c r="K1744">
        <v>0.32951930507951599</v>
      </c>
      <c r="L1744">
        <v>1045.20069077992</v>
      </c>
      <c r="M1744">
        <v>21.975746786481199</v>
      </c>
      <c r="N1744">
        <v>49.342645519798801</v>
      </c>
      <c r="O1744">
        <v>47.172973364133803</v>
      </c>
      <c r="P1744">
        <v>-8.4576327102327903E-2</v>
      </c>
      <c r="Q1744">
        <v>0.27381270405873398</v>
      </c>
      <c r="R1744">
        <v>0.96288665556039299</v>
      </c>
      <c r="S1744" t="s">
        <v>8196</v>
      </c>
      <c r="T1744" t="s">
        <v>12902</v>
      </c>
      <c r="U1744" t="s">
        <v>12902</v>
      </c>
      <c r="V1744" t="s">
        <v>12902</v>
      </c>
      <c r="W1744" t="s">
        <v>14614</v>
      </c>
      <c r="X1744">
        <v>2</v>
      </c>
      <c r="Y1744" t="s">
        <v>20993</v>
      </c>
      <c r="Z1744" t="s">
        <v>27319</v>
      </c>
      <c r="AA1744">
        <v>0.46535468568451288</v>
      </c>
      <c r="AB1744" t="str">
        <f>HYPERLINK("Melting_Curves/meltCurve_O95229_ZWINT.pdf", "Melting_Curves/meltCurve_O95229_ZWINT.pdf")</f>
        <v>Melting_Curves/meltCurve_O95229_ZWINT.pdf</v>
      </c>
    </row>
    <row r="1745" spans="1:28" x14ac:dyDescent="0.25">
      <c r="A1745" t="s">
        <v>1749</v>
      </c>
      <c r="B1745">
        <v>0.99673306730245903</v>
      </c>
      <c r="C1745">
        <v>0.91197704783193301</v>
      </c>
      <c r="D1745">
        <v>0.98579720884347699</v>
      </c>
      <c r="E1745">
        <v>0.98576912399793704</v>
      </c>
      <c r="F1745">
        <v>0.77543787658645802</v>
      </c>
      <c r="G1745">
        <v>0.264791002707645</v>
      </c>
      <c r="H1745">
        <v>7.5123665812423607E-2</v>
      </c>
      <c r="I1745">
        <v>5.8487987062009902E-2</v>
      </c>
      <c r="J1745">
        <v>8.0121035731349793E-2</v>
      </c>
      <c r="K1745">
        <v>6.9660245973488799E-2</v>
      </c>
      <c r="L1745">
        <v>2088.0902694231399</v>
      </c>
      <c r="M1745">
        <v>38.087013408416198</v>
      </c>
      <c r="N1745">
        <v>55.024882496827203</v>
      </c>
      <c r="O1745">
        <v>54.673722880078799</v>
      </c>
      <c r="P1745">
        <v>-0.16286334803684899</v>
      </c>
      <c r="Q1745">
        <v>6.4844176563276901E-2</v>
      </c>
      <c r="R1745">
        <v>0.99519293544529797</v>
      </c>
      <c r="S1745" t="s">
        <v>8197</v>
      </c>
      <c r="T1745" t="s">
        <v>12902</v>
      </c>
      <c r="U1745" t="s">
        <v>12902</v>
      </c>
      <c r="V1745" t="s">
        <v>12902</v>
      </c>
      <c r="W1745" t="s">
        <v>14615</v>
      </c>
      <c r="X1745">
        <v>1</v>
      </c>
      <c r="Y1745" t="s">
        <v>20994</v>
      </c>
      <c r="Z1745" t="s">
        <v>27320</v>
      </c>
      <c r="AA1745">
        <v>0.53083541730501171</v>
      </c>
      <c r="AB1745" t="str">
        <f>HYPERLINK("Melting_Curves/meltCurve_O95231_VENTX.pdf", "Melting_Curves/meltCurve_O95231_VENTX.pdf")</f>
        <v>Melting_Curves/meltCurve_O95231_VENTX.pdf</v>
      </c>
    </row>
    <row r="1746" spans="1:28" x14ac:dyDescent="0.25">
      <c r="A1746" t="s">
        <v>1750</v>
      </c>
      <c r="B1746">
        <v>0.99673306730245903</v>
      </c>
      <c r="C1746">
        <v>0.86012512863306001</v>
      </c>
      <c r="D1746">
        <v>0.83404039037037003</v>
      </c>
      <c r="E1746">
        <v>0.92965644977539397</v>
      </c>
      <c r="F1746">
        <v>0.43505573425100202</v>
      </c>
      <c r="G1746">
        <v>0.185868321718588</v>
      </c>
      <c r="H1746">
        <v>0.102255426159798</v>
      </c>
      <c r="I1746">
        <v>0.10512864368193101</v>
      </c>
      <c r="J1746">
        <v>0.121021808170875</v>
      </c>
      <c r="K1746">
        <v>0.111519101139156</v>
      </c>
      <c r="L1746">
        <v>1850.34978942167</v>
      </c>
      <c r="M1746">
        <v>35.271589856680599</v>
      </c>
      <c r="N1746">
        <v>52.835087649726098</v>
      </c>
      <c r="O1746">
        <v>52.2922936019513</v>
      </c>
      <c r="P1746">
        <v>-0.14995394096992901</v>
      </c>
      <c r="Q1746">
        <v>0.11073947319288401</v>
      </c>
      <c r="R1746">
        <v>0.96581266317491699</v>
      </c>
      <c r="S1746" t="s">
        <v>8198</v>
      </c>
      <c r="T1746" t="s">
        <v>12902</v>
      </c>
      <c r="U1746" t="s">
        <v>12902</v>
      </c>
      <c r="V1746" t="s">
        <v>12902</v>
      </c>
      <c r="W1746" t="s">
        <v>14616</v>
      </c>
      <c r="X1746">
        <v>16</v>
      </c>
      <c r="Y1746" t="s">
        <v>20338</v>
      </c>
      <c r="Z1746" t="s">
        <v>27321</v>
      </c>
      <c r="AA1746">
        <v>0.48422788301579822</v>
      </c>
      <c r="AB1746" t="str">
        <f>HYPERLINK("Melting_Curves/meltCurve_O95232_LUC7L3.pdf", "Melting_Curves/meltCurve_O95232_LUC7L3.pdf")</f>
        <v>Melting_Curves/meltCurve_O95232_LUC7L3.pdf</v>
      </c>
    </row>
    <row r="1747" spans="1:28" x14ac:dyDescent="0.25">
      <c r="A1747" t="s">
        <v>1751</v>
      </c>
      <c r="B1747">
        <v>0.99673306730245903</v>
      </c>
      <c r="C1747">
        <v>0.87601549131573797</v>
      </c>
      <c r="D1747">
        <v>0.36109662109153401</v>
      </c>
      <c r="E1747">
        <v>0.17679384145629401</v>
      </c>
      <c r="F1747">
        <v>0.128750221054901</v>
      </c>
      <c r="G1747">
        <v>8.5888039296538293E-2</v>
      </c>
      <c r="H1747">
        <v>6.5989379863679504E-2</v>
      </c>
      <c r="I1747">
        <v>6.8924150279275495E-2</v>
      </c>
      <c r="J1747">
        <v>9.0013436104129693E-2</v>
      </c>
      <c r="K1747">
        <v>7.79365619962131E-2</v>
      </c>
      <c r="L1747">
        <v>1582.4155426719401</v>
      </c>
      <c r="M1747">
        <v>35.171078746767598</v>
      </c>
      <c r="N1747">
        <v>45.253649102420198</v>
      </c>
      <c r="O1747">
        <v>44.847248460871803</v>
      </c>
      <c r="P1747">
        <v>-0.17801960290520699</v>
      </c>
      <c r="Q1747">
        <v>9.2019737756617204E-2</v>
      </c>
      <c r="R1747">
        <v>0.99479875844568899</v>
      </c>
      <c r="S1747" t="s">
        <v>8199</v>
      </c>
      <c r="T1747" t="s">
        <v>12902</v>
      </c>
      <c r="U1747" t="s">
        <v>12902</v>
      </c>
      <c r="V1747" t="s">
        <v>12902</v>
      </c>
      <c r="W1747" t="s">
        <v>14617</v>
      </c>
      <c r="X1747">
        <v>16</v>
      </c>
      <c r="Y1747" t="s">
        <v>20995</v>
      </c>
      <c r="Z1747" t="s">
        <v>27322</v>
      </c>
      <c r="AA1747">
        <v>0.24712858426919451</v>
      </c>
      <c r="AB1747" t="str">
        <f>HYPERLINK("Melting_Curves/meltCurve_O95239_KIF4A.pdf", "Melting_Curves/meltCurve_O95239_KIF4A.pdf")</f>
        <v>Melting_Curves/meltCurve_O95239_KIF4A.pdf</v>
      </c>
    </row>
    <row r="1748" spans="1:28" x14ac:dyDescent="0.25">
      <c r="A1748" t="s">
        <v>1752</v>
      </c>
      <c r="B1748">
        <v>0.99673306730245903</v>
      </c>
      <c r="C1748">
        <v>0.92345435110485996</v>
      </c>
      <c r="D1748">
        <v>0.85262995404651598</v>
      </c>
      <c r="E1748">
        <v>0.60990012334071297</v>
      </c>
      <c r="F1748">
        <v>0.47536115682369401</v>
      </c>
      <c r="G1748">
        <v>0.29070594666993099</v>
      </c>
      <c r="H1748">
        <v>0.14172253023258999</v>
      </c>
      <c r="I1748">
        <v>0.10003303644150099</v>
      </c>
      <c r="J1748">
        <v>0.103622609908446</v>
      </c>
      <c r="K1748">
        <v>8.07606188353759E-2</v>
      </c>
      <c r="L1748">
        <v>642.77009808571199</v>
      </c>
      <c r="M1748">
        <v>12.3944501680066</v>
      </c>
      <c r="N1748">
        <v>52.155752385988798</v>
      </c>
      <c r="O1748">
        <v>50.565015206092497</v>
      </c>
      <c r="P1748">
        <v>-5.9209483040196499E-2</v>
      </c>
      <c r="Q1748">
        <v>3.3989620690758802E-2</v>
      </c>
      <c r="R1748">
        <v>0.99586843440419004</v>
      </c>
      <c r="S1748" t="s">
        <v>8200</v>
      </c>
      <c r="T1748" t="s">
        <v>12902</v>
      </c>
      <c r="U1748" t="s">
        <v>12902</v>
      </c>
      <c r="V1748" t="s">
        <v>12902</v>
      </c>
      <c r="W1748" t="s">
        <v>14618</v>
      </c>
      <c r="X1748">
        <v>2</v>
      </c>
      <c r="Y1748" t="s">
        <v>20996</v>
      </c>
      <c r="Z1748" t="s">
        <v>27323</v>
      </c>
      <c r="AA1748">
        <v>0.44446064752384679</v>
      </c>
      <c r="AB1748" t="str">
        <f>HYPERLINK("Melting_Curves/meltCurve_O95273_CCNDBP1.pdf", "Melting_Curves/meltCurve_O95273_CCNDBP1.pdf")</f>
        <v>Melting_Curves/meltCurve_O95273_CCNDBP1.pdf</v>
      </c>
    </row>
    <row r="1749" spans="1:28" x14ac:dyDescent="0.25">
      <c r="A1749" t="s">
        <v>1753</v>
      </c>
      <c r="B1749">
        <v>0.99673306730245903</v>
      </c>
      <c r="C1749">
        <v>1.00187067108121</v>
      </c>
      <c r="D1749">
        <v>0.96587903097228101</v>
      </c>
      <c r="E1749">
        <v>0.88406745771489303</v>
      </c>
      <c r="F1749">
        <v>0.66667281190001304</v>
      </c>
      <c r="G1749">
        <v>0.57899543464357595</v>
      </c>
      <c r="H1749">
        <v>0.49846158846864103</v>
      </c>
      <c r="I1749">
        <v>0.74663727972554095</v>
      </c>
      <c r="J1749">
        <v>0.621005085025365</v>
      </c>
      <c r="K1749">
        <v>0.69282573169319694</v>
      </c>
      <c r="L1749">
        <v>2242.0762286499598</v>
      </c>
      <c r="M1749">
        <v>44.434770826127398</v>
      </c>
      <c r="O1749">
        <v>50.355841425269197</v>
      </c>
      <c r="P1749">
        <v>-8.2071684306646395E-2</v>
      </c>
      <c r="Q1749">
        <v>0.62796870429343399</v>
      </c>
      <c r="R1749">
        <v>0.87349787945590096</v>
      </c>
      <c r="S1749" t="s">
        <v>8201</v>
      </c>
      <c r="T1749" t="s">
        <v>12902</v>
      </c>
      <c r="U1749" t="s">
        <v>12902</v>
      </c>
      <c r="V1749" t="s">
        <v>12902</v>
      </c>
      <c r="W1749" t="s">
        <v>14619</v>
      </c>
      <c r="X1749">
        <v>2</v>
      </c>
      <c r="Y1749" t="s">
        <v>20997</v>
      </c>
      <c r="Z1749" t="s">
        <v>27324</v>
      </c>
      <c r="AA1749">
        <v>0.75870503839947667</v>
      </c>
      <c r="AB1749" t="str">
        <f>HYPERLINK("Melting_Curves/meltCurve_O95274_LYPD3.pdf", "Melting_Curves/meltCurve_O95274_LYPD3.pdf")</f>
        <v>Melting_Curves/meltCurve_O95274_LYPD3.pdf</v>
      </c>
    </row>
    <row r="1750" spans="1:28" x14ac:dyDescent="0.25">
      <c r="A1750" t="s">
        <v>1754</v>
      </c>
      <c r="B1750">
        <v>0.99673306730245903</v>
      </c>
      <c r="C1750">
        <v>0.93221669688231801</v>
      </c>
      <c r="D1750">
        <v>0.74119329134373502</v>
      </c>
      <c r="E1750">
        <v>0.66913843863863698</v>
      </c>
      <c r="F1750">
        <v>0.38075108888585402</v>
      </c>
      <c r="G1750">
        <v>0.20063435845144301</v>
      </c>
      <c r="H1750">
        <v>9.3969151528848799E-2</v>
      </c>
      <c r="I1750">
        <v>9.5356484682986895E-2</v>
      </c>
      <c r="J1750">
        <v>0.11702601686386201</v>
      </c>
      <c r="K1750">
        <v>0.12087715912401301</v>
      </c>
      <c r="L1750">
        <v>721.67683487142995</v>
      </c>
      <c r="M1750">
        <v>14.2664038581088</v>
      </c>
      <c r="N1750">
        <v>51.085704341741703</v>
      </c>
      <c r="O1750">
        <v>49.622985946050797</v>
      </c>
      <c r="P1750">
        <v>-6.7199331622127295E-2</v>
      </c>
      <c r="Q1750">
        <v>6.5154538642992796E-2</v>
      </c>
      <c r="R1750">
        <v>0.98607703017610104</v>
      </c>
      <c r="S1750" t="s">
        <v>8202</v>
      </c>
      <c r="T1750" t="s">
        <v>12902</v>
      </c>
      <c r="U1750" t="s">
        <v>12902</v>
      </c>
      <c r="V1750" t="s">
        <v>12902</v>
      </c>
      <c r="W1750" t="s">
        <v>14620</v>
      </c>
      <c r="X1750">
        <v>13</v>
      </c>
      <c r="Y1750" t="s">
        <v>20998</v>
      </c>
      <c r="Z1750" t="s">
        <v>27325</v>
      </c>
      <c r="AA1750">
        <v>0.41882956106180569</v>
      </c>
      <c r="AB1750" t="str">
        <f>HYPERLINK("Melting_Curves/meltCurve_O95292_VAPB.pdf", "Melting_Curves/meltCurve_O95292_VAPB.pdf")</f>
        <v>Melting_Curves/meltCurve_O95292_VAPB.pdf</v>
      </c>
    </row>
    <row r="1751" spans="1:28" x14ac:dyDescent="0.25">
      <c r="A1751" t="s">
        <v>1755</v>
      </c>
      <c r="B1751">
        <v>0.99673306730245903</v>
      </c>
      <c r="C1751">
        <v>0.99315641091134899</v>
      </c>
      <c r="D1751">
        <v>0.93860445653145497</v>
      </c>
      <c r="E1751">
        <v>0.89933930788558603</v>
      </c>
      <c r="F1751">
        <v>0.76964669091182203</v>
      </c>
      <c r="G1751">
        <v>0.51578761341206902</v>
      </c>
      <c r="H1751">
        <v>0.257162317040524</v>
      </c>
      <c r="I1751">
        <v>0.246002810957755</v>
      </c>
      <c r="J1751">
        <v>0.27505472203425901</v>
      </c>
      <c r="K1751">
        <v>0.26570192096556999</v>
      </c>
      <c r="L1751">
        <v>1217.99771510962</v>
      </c>
      <c r="M1751">
        <v>22.140420792222599</v>
      </c>
      <c r="N1751">
        <v>56.620125439640397</v>
      </c>
      <c r="O1751">
        <v>54.569515196777303</v>
      </c>
      <c r="P1751">
        <v>-7.7764562737767398E-2</v>
      </c>
      <c r="Q1751">
        <v>0.233351165275032</v>
      </c>
      <c r="R1751">
        <v>0.98965279808728102</v>
      </c>
      <c r="S1751" t="s">
        <v>8203</v>
      </c>
      <c r="T1751" t="s">
        <v>12902</v>
      </c>
      <c r="U1751" t="s">
        <v>12902</v>
      </c>
      <c r="V1751" t="s">
        <v>12902</v>
      </c>
      <c r="W1751" t="s">
        <v>14621</v>
      </c>
      <c r="X1751">
        <v>8</v>
      </c>
      <c r="Y1751" t="s">
        <v>20999</v>
      </c>
      <c r="Z1751" t="s">
        <v>27326</v>
      </c>
      <c r="AA1751">
        <v>0.62569977847371239</v>
      </c>
      <c r="AB1751" t="str">
        <f>HYPERLINK("Melting_Curves/meltCurve_O95295_SNAPIN.pdf", "Melting_Curves/meltCurve_O95295_SNAPIN.pdf")</f>
        <v>Melting_Curves/meltCurve_O95295_SNAPIN.pdf</v>
      </c>
    </row>
    <row r="1752" spans="1:28" x14ac:dyDescent="0.25">
      <c r="A1752" t="s">
        <v>1756</v>
      </c>
      <c r="B1752">
        <v>0.99673306730245903</v>
      </c>
      <c r="C1752">
        <v>0.97665066164804704</v>
      </c>
      <c r="D1752">
        <v>0.96531122840536399</v>
      </c>
      <c r="E1752">
        <v>0.81977483361616499</v>
      </c>
      <c r="F1752">
        <v>0.734644412874351</v>
      </c>
      <c r="G1752">
        <v>0.68455888513780505</v>
      </c>
      <c r="H1752">
        <v>0.59747467815031197</v>
      </c>
      <c r="I1752">
        <v>0.56889047836420403</v>
      </c>
      <c r="J1752">
        <v>0.48650451854121202</v>
      </c>
      <c r="K1752">
        <v>0.40675932585726199</v>
      </c>
      <c r="L1752">
        <v>440.00074546859798</v>
      </c>
      <c r="M1752">
        <v>7.4883664362084499</v>
      </c>
      <c r="N1752">
        <v>65.6487412185419</v>
      </c>
      <c r="O1752">
        <v>55.005307168333303</v>
      </c>
      <c r="P1752">
        <v>-2.4807276685742601E-2</v>
      </c>
      <c r="Q1752">
        <v>0.272171648488231</v>
      </c>
      <c r="R1752">
        <v>0.97941640804490604</v>
      </c>
      <c r="S1752" t="s">
        <v>8204</v>
      </c>
      <c r="T1752" t="s">
        <v>12902</v>
      </c>
      <c r="U1752" t="s">
        <v>12902</v>
      </c>
      <c r="V1752" t="s">
        <v>12902</v>
      </c>
      <c r="W1752" t="s">
        <v>14622</v>
      </c>
      <c r="X1752">
        <v>5</v>
      </c>
      <c r="Y1752" t="s">
        <v>21000</v>
      </c>
      <c r="Z1752" t="s">
        <v>27327</v>
      </c>
      <c r="AA1752">
        <v>0.72273928125717235</v>
      </c>
      <c r="AB1752" t="str">
        <f>HYPERLINK("Melting_Curves/meltCurve_O95297_2_MPZL1.pdf", "Melting_Curves/meltCurve_O95297_2_MPZL1.pdf")</f>
        <v>Melting_Curves/meltCurve_O95297_2_MPZL1.pdf</v>
      </c>
    </row>
    <row r="1753" spans="1:28" x14ac:dyDescent="0.25">
      <c r="A1753" t="s">
        <v>1757</v>
      </c>
      <c r="B1753">
        <v>0.99673306730245903</v>
      </c>
      <c r="C1753">
        <v>1.0009436299352901</v>
      </c>
      <c r="D1753">
        <v>0.93548504876207705</v>
      </c>
      <c r="E1753">
        <v>0.81143833221169004</v>
      </c>
      <c r="F1753">
        <v>0.42894611194444798</v>
      </c>
      <c r="G1753">
        <v>0.34889732903064602</v>
      </c>
      <c r="H1753">
        <v>0.33583797793291598</v>
      </c>
      <c r="I1753">
        <v>0.32907752288145797</v>
      </c>
      <c r="J1753">
        <v>0.24262570269843101</v>
      </c>
      <c r="K1753">
        <v>0.17800873044291299</v>
      </c>
      <c r="L1753">
        <v>1341.65622836737</v>
      </c>
      <c r="M1753">
        <v>26.194255259565502</v>
      </c>
      <c r="N1753">
        <v>52.767362119744902</v>
      </c>
      <c r="O1753">
        <v>50.923757630744603</v>
      </c>
      <c r="P1753">
        <v>-9.4117660632984004E-2</v>
      </c>
      <c r="Q1753">
        <v>0.26811870436362301</v>
      </c>
      <c r="R1753">
        <v>0.98049395399230499</v>
      </c>
      <c r="S1753" t="s">
        <v>8205</v>
      </c>
      <c r="T1753" t="s">
        <v>12902</v>
      </c>
      <c r="U1753" t="s">
        <v>12902</v>
      </c>
      <c r="V1753" t="s">
        <v>12902</v>
      </c>
      <c r="W1753" t="s">
        <v>14623</v>
      </c>
      <c r="X1753">
        <v>7</v>
      </c>
      <c r="Y1753" t="s">
        <v>21001</v>
      </c>
      <c r="Z1753" t="s">
        <v>27328</v>
      </c>
      <c r="AA1753">
        <v>0.54787649400974814</v>
      </c>
      <c r="AB1753" t="str">
        <f>HYPERLINK("Melting_Curves/meltCurve_O95298_2_NDUFC2.pdf", "Melting_Curves/meltCurve_O95298_2_NDUFC2.pdf")</f>
        <v>Melting_Curves/meltCurve_O95298_2_NDUFC2.pdf</v>
      </c>
    </row>
    <row r="1754" spans="1:28" x14ac:dyDescent="0.25">
      <c r="A1754" t="s">
        <v>1758</v>
      </c>
      <c r="B1754">
        <v>0.99673306730245903</v>
      </c>
      <c r="C1754">
        <v>0.95579289499587505</v>
      </c>
      <c r="D1754">
        <v>0.90326541938808602</v>
      </c>
      <c r="E1754">
        <v>0.57079536891843197</v>
      </c>
      <c r="F1754">
        <v>0.284062496703536</v>
      </c>
      <c r="G1754">
        <v>0.15143474580112701</v>
      </c>
      <c r="H1754">
        <v>0.119985619655712</v>
      </c>
      <c r="I1754">
        <v>0.112076810471986</v>
      </c>
      <c r="J1754">
        <v>0.10448403629541</v>
      </c>
      <c r="K1754">
        <v>6.9594657896711098E-2</v>
      </c>
      <c r="L1754">
        <v>1113.7076665750501</v>
      </c>
      <c r="M1754">
        <v>22.300617555275998</v>
      </c>
      <c r="N1754">
        <v>50.415293969455803</v>
      </c>
      <c r="O1754">
        <v>49.544300116015599</v>
      </c>
      <c r="P1754">
        <v>-0.10187602182785201</v>
      </c>
      <c r="Q1754">
        <v>9.4685497414568998E-2</v>
      </c>
      <c r="R1754">
        <v>0.99857259276099697</v>
      </c>
      <c r="S1754" t="s">
        <v>8206</v>
      </c>
      <c r="T1754" t="s">
        <v>12902</v>
      </c>
      <c r="U1754" t="s">
        <v>12902</v>
      </c>
      <c r="V1754" t="s">
        <v>12902</v>
      </c>
      <c r="W1754" t="s">
        <v>14624</v>
      </c>
      <c r="X1754">
        <v>25</v>
      </c>
      <c r="Y1754" t="s">
        <v>21002</v>
      </c>
      <c r="Z1754" t="s">
        <v>27329</v>
      </c>
      <c r="AA1754">
        <v>0.40483356650798269</v>
      </c>
      <c r="AB1754" t="str">
        <f>HYPERLINK("Melting_Curves/meltCurve_O95302_FKBP9.pdf", "Melting_Curves/meltCurve_O95302_FKBP9.pdf")</f>
        <v>Melting_Curves/meltCurve_O95302_FKBP9.pdf</v>
      </c>
    </row>
    <row r="1755" spans="1:28" x14ac:dyDescent="0.25">
      <c r="A1755" t="s">
        <v>1759</v>
      </c>
      <c r="B1755">
        <v>0.99673306730245903</v>
      </c>
      <c r="C1755">
        <v>1.00850730432795</v>
      </c>
      <c r="D1755">
        <v>0.98525539008438201</v>
      </c>
      <c r="E1755">
        <v>0.956643784339541</v>
      </c>
      <c r="F1755">
        <v>0.89448628012704501</v>
      </c>
      <c r="G1755">
        <v>0.74736898255846795</v>
      </c>
      <c r="H1755">
        <v>0.466729307258135</v>
      </c>
      <c r="I1755">
        <v>0.29336887595126898</v>
      </c>
      <c r="J1755">
        <v>0.120632348030782</v>
      </c>
      <c r="K1755">
        <v>8.3576651878758706E-2</v>
      </c>
      <c r="L1755">
        <v>1028.34396769301</v>
      </c>
      <c r="M1755">
        <v>17.051674032318498</v>
      </c>
      <c r="N1755">
        <v>60.3075079899005</v>
      </c>
      <c r="O1755">
        <v>59.496389856824997</v>
      </c>
      <c r="P1755">
        <v>-7.1654414883645698E-2</v>
      </c>
      <c r="Q1755">
        <v>0</v>
      </c>
      <c r="R1755">
        <v>0.99834471819167403</v>
      </c>
      <c r="S1755" t="s">
        <v>8207</v>
      </c>
      <c r="T1755" t="s">
        <v>12902</v>
      </c>
      <c r="U1755" t="s">
        <v>12902</v>
      </c>
      <c r="V1755" t="s">
        <v>12902</v>
      </c>
      <c r="W1755" t="s">
        <v>14625</v>
      </c>
      <c r="X1755">
        <v>14</v>
      </c>
      <c r="Y1755" t="s">
        <v>21003</v>
      </c>
      <c r="Z1755" t="s">
        <v>27330</v>
      </c>
      <c r="AA1755">
        <v>0.68399589548278006</v>
      </c>
      <c r="AB1755" t="str">
        <f>HYPERLINK("Melting_Curves/meltCurve_O95336_PGLS.pdf", "Melting_Curves/meltCurve_O95336_PGLS.pdf")</f>
        <v>Melting_Curves/meltCurve_O95336_PGLS.pdf</v>
      </c>
    </row>
    <row r="1756" spans="1:28" x14ac:dyDescent="0.25">
      <c r="A1756" t="s">
        <v>1760</v>
      </c>
      <c r="B1756">
        <v>0.99673306730245903</v>
      </c>
      <c r="C1756">
        <v>0.90131816710522605</v>
      </c>
      <c r="D1756">
        <v>0.85179516100596997</v>
      </c>
      <c r="E1756">
        <v>0.66543306456263995</v>
      </c>
      <c r="F1756">
        <v>0.16574581277667499</v>
      </c>
      <c r="G1756">
        <v>0.107625404618632</v>
      </c>
      <c r="H1756">
        <v>6.3811527788420294E-2</v>
      </c>
      <c r="I1756">
        <v>5.6406761083405699E-2</v>
      </c>
      <c r="J1756">
        <v>6.9420650066585501E-2</v>
      </c>
      <c r="K1756">
        <v>6.1849023204369101E-2</v>
      </c>
      <c r="L1756">
        <v>1330.7852433322</v>
      </c>
      <c r="M1756">
        <v>26.505154578715999</v>
      </c>
      <c r="N1756">
        <v>50.426959801641402</v>
      </c>
      <c r="O1756">
        <v>49.925349328455297</v>
      </c>
      <c r="P1756">
        <v>-0.12552781304282001</v>
      </c>
      <c r="Q1756">
        <v>5.42287103123264E-2</v>
      </c>
      <c r="R1756">
        <v>0.98574821577944405</v>
      </c>
      <c r="S1756" t="s">
        <v>8208</v>
      </c>
      <c r="T1756" t="s">
        <v>12902</v>
      </c>
      <c r="U1756" t="s">
        <v>12902</v>
      </c>
      <c r="V1756" t="s">
        <v>12902</v>
      </c>
      <c r="W1756" t="s">
        <v>14626</v>
      </c>
      <c r="X1756">
        <v>37</v>
      </c>
      <c r="Y1756" t="s">
        <v>21004</v>
      </c>
      <c r="Z1756" t="s">
        <v>27331</v>
      </c>
      <c r="AA1756">
        <v>0.38359417681034769</v>
      </c>
      <c r="AB1756" t="str">
        <f>HYPERLINK("Melting_Curves/meltCurve_O95347_SMC2.pdf", "Melting_Curves/meltCurve_O95347_SMC2.pdf")</f>
        <v>Melting_Curves/meltCurve_O95347_SMC2.pdf</v>
      </c>
    </row>
    <row r="1757" spans="1:28" x14ac:dyDescent="0.25">
      <c r="A1757" t="s">
        <v>1761</v>
      </c>
      <c r="B1757">
        <v>0.99673306730245903</v>
      </c>
      <c r="C1757">
        <v>0.97473876570940599</v>
      </c>
      <c r="D1757">
        <v>0.91317819510096399</v>
      </c>
      <c r="E1757">
        <v>0.79841820035732503</v>
      </c>
      <c r="F1757">
        <v>0.23603453499044499</v>
      </c>
      <c r="G1757">
        <v>0.15826743663158499</v>
      </c>
      <c r="H1757">
        <v>9.45505530244104E-2</v>
      </c>
      <c r="I1757">
        <v>8.0213405642640304E-2</v>
      </c>
      <c r="J1757">
        <v>7.8820212740142004E-2</v>
      </c>
      <c r="K1757">
        <v>5.7929845654982499E-2</v>
      </c>
      <c r="L1757">
        <v>1903.1417256684699</v>
      </c>
      <c r="M1757">
        <v>37.224826098292503</v>
      </c>
      <c r="N1757">
        <v>51.385129687510997</v>
      </c>
      <c r="O1757">
        <v>50.9787280990762</v>
      </c>
      <c r="P1757">
        <v>-0.16690731917450499</v>
      </c>
      <c r="Q1757">
        <v>8.5696260582311806E-2</v>
      </c>
      <c r="R1757">
        <v>0.99355369204607902</v>
      </c>
      <c r="S1757" t="s">
        <v>8209</v>
      </c>
      <c r="T1757" t="s">
        <v>12902</v>
      </c>
      <c r="U1757" t="s">
        <v>12902</v>
      </c>
      <c r="V1757" t="s">
        <v>12902</v>
      </c>
      <c r="W1757" t="s">
        <v>14627</v>
      </c>
      <c r="X1757">
        <v>12</v>
      </c>
      <c r="Y1757" t="s">
        <v>21005</v>
      </c>
      <c r="Z1757" t="s">
        <v>27332</v>
      </c>
      <c r="AA1757">
        <v>0.4285031105881642</v>
      </c>
      <c r="AB1757" t="str">
        <f>HYPERLINK("Melting_Curves/meltCurve_O95352_ATG7.pdf", "Melting_Curves/meltCurve_O95352_ATG7.pdf")</f>
        <v>Melting_Curves/meltCurve_O95352_ATG7.pdf</v>
      </c>
    </row>
    <row r="1758" spans="1:28" x14ac:dyDescent="0.25">
      <c r="A1758" t="s">
        <v>1762</v>
      </c>
      <c r="B1758">
        <v>0.99673306730245903</v>
      </c>
      <c r="C1758">
        <v>0.89863819768541697</v>
      </c>
      <c r="D1758">
        <v>0.71264309461472497</v>
      </c>
      <c r="E1758">
        <v>0.39668814271844699</v>
      </c>
      <c r="F1758">
        <v>0.16672594297123899</v>
      </c>
      <c r="G1758">
        <v>9.6646593892020002E-2</v>
      </c>
      <c r="H1758">
        <v>7.6256930047882004E-2</v>
      </c>
      <c r="I1758">
        <v>6.2549428576485905E-2</v>
      </c>
      <c r="J1758">
        <v>7.2525751056335894E-2</v>
      </c>
      <c r="K1758">
        <v>4.67920762464114E-2</v>
      </c>
      <c r="L1758">
        <v>919.76677913850699</v>
      </c>
      <c r="M1758">
        <v>19.162729290802702</v>
      </c>
      <c r="N1758">
        <v>48.2885758606999</v>
      </c>
      <c r="O1758">
        <v>47.484153794420699</v>
      </c>
      <c r="P1758">
        <v>-9.5394045353836998E-2</v>
      </c>
      <c r="Q1758">
        <v>5.4512357807784698E-2</v>
      </c>
      <c r="R1758">
        <v>0.99912733586679403</v>
      </c>
      <c r="S1758" t="s">
        <v>8210</v>
      </c>
      <c r="T1758" t="s">
        <v>12902</v>
      </c>
      <c r="U1758" t="s">
        <v>12902</v>
      </c>
      <c r="V1758" t="s">
        <v>12902</v>
      </c>
      <c r="W1758" t="s">
        <v>14628</v>
      </c>
      <c r="X1758">
        <v>5</v>
      </c>
      <c r="Y1758" t="s">
        <v>21006</v>
      </c>
      <c r="Z1758" t="s">
        <v>27333</v>
      </c>
      <c r="AA1758">
        <v>0.32127952673771099</v>
      </c>
      <c r="AB1758" t="str">
        <f>HYPERLINK("Melting_Curves/meltCurve_O95363_FARS2.pdf", "Melting_Curves/meltCurve_O95363_FARS2.pdf")</f>
        <v>Melting_Curves/meltCurve_O95363_FARS2.pdf</v>
      </c>
    </row>
    <row r="1759" spans="1:28" x14ac:dyDescent="0.25">
      <c r="A1759" t="s">
        <v>1763</v>
      </c>
      <c r="B1759">
        <v>0.99673306730245903</v>
      </c>
      <c r="C1759">
        <v>0.90019375280004099</v>
      </c>
      <c r="D1759">
        <v>0.89228198838672701</v>
      </c>
      <c r="E1759">
        <v>0.71228040666283399</v>
      </c>
      <c r="F1759">
        <v>0.52766371774995502</v>
      </c>
      <c r="G1759">
        <v>0.42888921041850397</v>
      </c>
      <c r="H1759">
        <v>0.29097801481768099</v>
      </c>
      <c r="I1759">
        <v>0.219449338248181</v>
      </c>
      <c r="J1759">
        <v>0.154288711334853</v>
      </c>
      <c r="K1759">
        <v>0.115978894313815</v>
      </c>
      <c r="L1759">
        <v>523.49890364747603</v>
      </c>
      <c r="M1759">
        <v>9.6434523746856406</v>
      </c>
      <c r="N1759">
        <v>54.587569112594501</v>
      </c>
      <c r="O1759">
        <v>52.105152873394402</v>
      </c>
      <c r="P1759">
        <v>-4.5091887422205899E-2</v>
      </c>
      <c r="Q1759">
        <v>2.5988741106934801E-2</v>
      </c>
      <c r="R1759">
        <v>0.99508444416440101</v>
      </c>
      <c r="S1759" t="s">
        <v>8211</v>
      </c>
      <c r="T1759" t="s">
        <v>12902</v>
      </c>
      <c r="U1759" t="s">
        <v>12902</v>
      </c>
      <c r="V1759" t="s">
        <v>12902</v>
      </c>
      <c r="W1759" t="s">
        <v>14629</v>
      </c>
      <c r="X1759">
        <v>6</v>
      </c>
      <c r="Y1759" t="s">
        <v>21007</v>
      </c>
      <c r="Z1759" t="s">
        <v>27334</v>
      </c>
      <c r="AA1759">
        <v>0.51865205981743157</v>
      </c>
      <c r="AB1759" t="str">
        <f>HYPERLINK("Melting_Curves/meltCurve_O95365_ZBTB7A.pdf", "Melting_Curves/meltCurve_O95365_ZBTB7A.pdf")</f>
        <v>Melting_Curves/meltCurve_O95365_ZBTB7A.pdf</v>
      </c>
    </row>
    <row r="1760" spans="1:28" x14ac:dyDescent="0.25">
      <c r="A1760" t="s">
        <v>1764</v>
      </c>
      <c r="B1760">
        <v>0.99673306730245903</v>
      </c>
      <c r="C1760">
        <v>1.0222910489879999</v>
      </c>
      <c r="D1760">
        <v>1.00016774635623</v>
      </c>
      <c r="E1760">
        <v>0.89084315321551399</v>
      </c>
      <c r="F1760">
        <v>0.595550009564912</v>
      </c>
      <c r="G1760">
        <v>0.27625796663060898</v>
      </c>
      <c r="H1760">
        <v>0.144054274574412</v>
      </c>
      <c r="I1760">
        <v>0.106848809681538</v>
      </c>
      <c r="J1760">
        <v>9.2754647804436097E-2</v>
      </c>
      <c r="K1760">
        <v>7.75131080513458E-2</v>
      </c>
      <c r="L1760">
        <v>1304.9760842022899</v>
      </c>
      <c r="M1760">
        <v>24.291531610882998</v>
      </c>
      <c r="N1760">
        <v>54.1355260128583</v>
      </c>
      <c r="O1760">
        <v>53.361335671565499</v>
      </c>
      <c r="P1760">
        <v>-0.104159477280964</v>
      </c>
      <c r="Q1760">
        <v>8.4783062688727998E-2</v>
      </c>
      <c r="R1760">
        <v>0.99935245889996405</v>
      </c>
      <c r="S1760" t="s">
        <v>8212</v>
      </c>
      <c r="T1760" t="s">
        <v>12902</v>
      </c>
      <c r="U1760" t="s">
        <v>12902</v>
      </c>
      <c r="V1760" t="s">
        <v>12902</v>
      </c>
      <c r="W1760" t="s">
        <v>14630</v>
      </c>
      <c r="X1760">
        <v>11</v>
      </c>
      <c r="Y1760" t="s">
        <v>21008</v>
      </c>
      <c r="Z1760" t="s">
        <v>27335</v>
      </c>
      <c r="AA1760">
        <v>0.5123037156585788</v>
      </c>
      <c r="AB1760" t="str">
        <f>HYPERLINK("Melting_Curves/meltCurve_O95372_LYPLA2.pdf", "Melting_Curves/meltCurve_O95372_LYPLA2.pdf")</f>
        <v>Melting_Curves/meltCurve_O95372_LYPLA2.pdf</v>
      </c>
    </row>
    <row r="1761" spans="1:28" x14ac:dyDescent="0.25">
      <c r="A1761" t="s">
        <v>1765</v>
      </c>
      <c r="B1761">
        <v>0.99673306730245903</v>
      </c>
      <c r="C1761">
        <v>0.92448980553692806</v>
      </c>
      <c r="D1761">
        <v>0.79449719787105599</v>
      </c>
      <c r="E1761">
        <v>0.56527141108020595</v>
      </c>
      <c r="F1761">
        <v>0.22531398156337401</v>
      </c>
      <c r="G1761">
        <v>0.135840023537798</v>
      </c>
      <c r="H1761">
        <v>7.6372190879139795E-2</v>
      </c>
      <c r="I1761">
        <v>7.3850072640448794E-2</v>
      </c>
      <c r="J1761">
        <v>8.2094227128843303E-2</v>
      </c>
      <c r="K1761">
        <v>7.1554672851393206E-2</v>
      </c>
      <c r="L1761">
        <v>923.33013862785901</v>
      </c>
      <c r="M1761">
        <v>18.653092979081901</v>
      </c>
      <c r="N1761">
        <v>49.8384683265745</v>
      </c>
      <c r="O1761">
        <v>48.941709527851899</v>
      </c>
      <c r="P1761">
        <v>-8.9619249269113604E-2</v>
      </c>
      <c r="Q1761">
        <v>5.9473680849005797E-2</v>
      </c>
      <c r="R1761">
        <v>0.99632734090110997</v>
      </c>
      <c r="S1761" t="s">
        <v>8213</v>
      </c>
      <c r="T1761" t="s">
        <v>12902</v>
      </c>
      <c r="U1761" t="s">
        <v>12902</v>
      </c>
      <c r="V1761" t="s">
        <v>12902</v>
      </c>
      <c r="W1761" t="s">
        <v>14631</v>
      </c>
      <c r="X1761">
        <v>27</v>
      </c>
      <c r="Y1761" t="s">
        <v>21009</v>
      </c>
      <c r="Z1761" t="s">
        <v>27336</v>
      </c>
      <c r="AA1761">
        <v>0.37237609580388981</v>
      </c>
      <c r="AB1761" t="str">
        <f>HYPERLINK("Melting_Curves/meltCurve_O95373_IPO7.pdf", "Melting_Curves/meltCurve_O95373_IPO7.pdf")</f>
        <v>Melting_Curves/meltCurve_O95373_IPO7.pdf</v>
      </c>
    </row>
    <row r="1762" spans="1:28" x14ac:dyDescent="0.25">
      <c r="A1762" t="s">
        <v>1766</v>
      </c>
      <c r="B1762">
        <v>0.99673306730245903</v>
      </c>
      <c r="C1762">
        <v>1.0077660094624401</v>
      </c>
      <c r="D1762">
        <v>0.99825080072114003</v>
      </c>
      <c r="E1762">
        <v>0.92779169338714496</v>
      </c>
      <c r="F1762">
        <v>0.46407727871377003</v>
      </c>
      <c r="G1762">
        <v>0.184546931079482</v>
      </c>
      <c r="H1762">
        <v>0.13546525485150601</v>
      </c>
      <c r="I1762">
        <v>0.114383827050095</v>
      </c>
      <c r="J1762">
        <v>0.13853163933329499</v>
      </c>
      <c r="K1762">
        <v>0.119858472852406</v>
      </c>
      <c r="L1762">
        <v>2032.4378818515299</v>
      </c>
      <c r="M1762">
        <v>38.649373372613901</v>
      </c>
      <c r="N1762">
        <v>52.990146234186597</v>
      </c>
      <c r="O1762">
        <v>52.446357502685402</v>
      </c>
      <c r="P1762">
        <v>-0.16074440081477401</v>
      </c>
      <c r="Q1762">
        <v>0.12749514336781101</v>
      </c>
      <c r="R1762">
        <v>0.99961931438347496</v>
      </c>
      <c r="S1762" t="s">
        <v>8214</v>
      </c>
      <c r="T1762" t="s">
        <v>12902</v>
      </c>
      <c r="U1762" t="s">
        <v>12902</v>
      </c>
      <c r="V1762" t="s">
        <v>12902</v>
      </c>
      <c r="W1762" t="s">
        <v>14632</v>
      </c>
      <c r="X1762">
        <v>14</v>
      </c>
      <c r="Y1762" t="s">
        <v>21010</v>
      </c>
      <c r="Z1762" t="s">
        <v>27337</v>
      </c>
      <c r="AA1762">
        <v>0.49695176043923311</v>
      </c>
      <c r="AB1762" t="str">
        <f>HYPERLINK("Melting_Curves/meltCurve_O95376_ARIH2.pdf", "Melting_Curves/meltCurve_O95376_ARIH2.pdf")</f>
        <v>Melting_Curves/meltCurve_O95376_ARIH2.pdf</v>
      </c>
    </row>
    <row r="1763" spans="1:28" x14ac:dyDescent="0.25">
      <c r="A1763" t="s">
        <v>1767</v>
      </c>
      <c r="B1763">
        <v>0.99673306730245903</v>
      </c>
      <c r="C1763">
        <v>0.75314286118294205</v>
      </c>
      <c r="D1763">
        <v>0.47130196316817502</v>
      </c>
      <c r="E1763">
        <v>0.32859195459254897</v>
      </c>
      <c r="F1763">
        <v>0.25161817451701501</v>
      </c>
      <c r="G1763">
        <v>0.188159545633201</v>
      </c>
      <c r="H1763">
        <v>0.12656759003641599</v>
      </c>
      <c r="I1763">
        <v>0.13043365336735899</v>
      </c>
      <c r="J1763">
        <v>0.17572061627916999</v>
      </c>
      <c r="K1763">
        <v>0.18043542900294199</v>
      </c>
      <c r="L1763">
        <v>846.55015225302895</v>
      </c>
      <c r="M1763">
        <v>18.771545703453398</v>
      </c>
      <c r="N1763">
        <v>46.076463326695198</v>
      </c>
      <c r="O1763">
        <v>44.595066579153404</v>
      </c>
      <c r="P1763">
        <v>-8.7931925805060596E-2</v>
      </c>
      <c r="Q1763">
        <v>0.16444469944217599</v>
      </c>
      <c r="R1763">
        <v>0.98395289705302702</v>
      </c>
      <c r="S1763" t="s">
        <v>8215</v>
      </c>
      <c r="T1763" t="s">
        <v>12902</v>
      </c>
      <c r="U1763" t="s">
        <v>12902</v>
      </c>
      <c r="V1763" t="s">
        <v>12902</v>
      </c>
      <c r="W1763" t="s">
        <v>14633</v>
      </c>
      <c r="X1763">
        <v>1</v>
      </c>
      <c r="Y1763" t="s">
        <v>21011</v>
      </c>
      <c r="Z1763" t="s">
        <v>27338</v>
      </c>
      <c r="AA1763">
        <v>0.32262148734962781</v>
      </c>
      <c r="AB1763" t="str">
        <f>HYPERLINK("Melting_Curves/meltCurve_O95391_SLU7.pdf", "Melting_Curves/meltCurve_O95391_SLU7.pdf")</f>
        <v>Melting_Curves/meltCurve_O95391_SLU7.pdf</v>
      </c>
    </row>
    <row r="1764" spans="1:28" x14ac:dyDescent="0.25">
      <c r="A1764" t="s">
        <v>1768</v>
      </c>
      <c r="B1764">
        <v>0.99673306730245903</v>
      </c>
      <c r="C1764">
        <v>1.1244560513389401</v>
      </c>
      <c r="D1764">
        <v>0.63315908495061701</v>
      </c>
      <c r="E1764">
        <v>0.59478260072850997</v>
      </c>
      <c r="F1764">
        <v>0.17014359068194199</v>
      </c>
      <c r="G1764">
        <v>0.116325945227055</v>
      </c>
      <c r="H1764">
        <v>6.97240495564381E-2</v>
      </c>
      <c r="I1764">
        <v>7.0996493510195394E-2</v>
      </c>
      <c r="J1764">
        <v>7.5445930053967297E-2</v>
      </c>
      <c r="K1764">
        <v>6.7647453206036101E-2</v>
      </c>
      <c r="L1764">
        <v>949.86913010190403</v>
      </c>
      <c r="M1764">
        <v>19.339843427167299</v>
      </c>
      <c r="N1764">
        <v>49.420199579405804</v>
      </c>
      <c r="O1764">
        <v>48.598552220212703</v>
      </c>
      <c r="P1764">
        <v>-9.3884661726967106E-2</v>
      </c>
      <c r="Q1764">
        <v>5.6354564519115899E-2</v>
      </c>
      <c r="R1764">
        <v>0.95065938676983697</v>
      </c>
      <c r="S1764" t="s">
        <v>8216</v>
      </c>
      <c r="T1764" t="s">
        <v>12902</v>
      </c>
      <c r="U1764" t="s">
        <v>12902</v>
      </c>
      <c r="V1764" t="s">
        <v>12902</v>
      </c>
      <c r="W1764" t="s">
        <v>14634</v>
      </c>
      <c r="X1764">
        <v>21</v>
      </c>
      <c r="Y1764" t="s">
        <v>21012</v>
      </c>
      <c r="Z1764" t="s">
        <v>27339</v>
      </c>
      <c r="AA1764">
        <v>0.35718389513816701</v>
      </c>
      <c r="AB1764" t="str">
        <f>HYPERLINK("Melting_Curves/meltCurve_O95394_PGM3.pdf", "Melting_Curves/meltCurve_O95394_PGM3.pdf")</f>
        <v>Melting_Curves/meltCurve_O95394_PGM3.pdf</v>
      </c>
    </row>
    <row r="1765" spans="1:28" x14ac:dyDescent="0.25">
      <c r="A1765" t="s">
        <v>1769</v>
      </c>
      <c r="B1765">
        <v>0.99673306730245903</v>
      </c>
      <c r="C1765">
        <v>0.97071511447138203</v>
      </c>
      <c r="D1765">
        <v>0.74523697756028395</v>
      </c>
      <c r="E1765">
        <v>0.48374957750865499</v>
      </c>
      <c r="F1765">
        <v>0.50001597632934702</v>
      </c>
      <c r="G1765">
        <v>0.19849033427413801</v>
      </c>
      <c r="H1765">
        <v>0.12114643537478</v>
      </c>
      <c r="I1765">
        <v>0.107029353718169</v>
      </c>
      <c r="J1765">
        <v>0.101234968915625</v>
      </c>
      <c r="K1765">
        <v>0.107864923341529</v>
      </c>
      <c r="L1765">
        <v>642.48362516818395</v>
      </c>
      <c r="M1765">
        <v>12.7928235524721</v>
      </c>
      <c r="N1765">
        <v>50.751244117030502</v>
      </c>
      <c r="O1765">
        <v>49.042455699023499</v>
      </c>
      <c r="P1765">
        <v>-6.1153637540996703E-2</v>
      </c>
      <c r="Q1765">
        <v>6.2424134782841402E-2</v>
      </c>
      <c r="R1765">
        <v>0.971729244534554</v>
      </c>
      <c r="S1765" t="s">
        <v>8217</v>
      </c>
      <c r="T1765" t="s">
        <v>12902</v>
      </c>
      <c r="U1765" t="s">
        <v>12902</v>
      </c>
      <c r="V1765" t="s">
        <v>12902</v>
      </c>
      <c r="W1765" t="s">
        <v>14635</v>
      </c>
      <c r="X1765">
        <v>7</v>
      </c>
      <c r="Y1765" t="s">
        <v>21013</v>
      </c>
      <c r="Z1765" t="s">
        <v>27340</v>
      </c>
      <c r="AA1765">
        <v>0.41087200046739658</v>
      </c>
      <c r="AB1765" t="str">
        <f>HYPERLINK("Melting_Curves/meltCurve_O95396_MOCS3.pdf", "Melting_Curves/meltCurve_O95396_MOCS3.pdf")</f>
        <v>Melting_Curves/meltCurve_O95396_MOCS3.pdf</v>
      </c>
    </row>
    <row r="1766" spans="1:28" x14ac:dyDescent="0.25">
      <c r="A1766" t="s">
        <v>1770</v>
      </c>
      <c r="B1766">
        <v>0.99673306730245903</v>
      </c>
      <c r="C1766">
        <v>0.70372499616292306</v>
      </c>
      <c r="D1766">
        <v>0.51639376608873</v>
      </c>
      <c r="E1766">
        <v>0.37992789151288803</v>
      </c>
      <c r="F1766">
        <v>0.49280859365603702</v>
      </c>
      <c r="G1766">
        <v>0.35091363333967601</v>
      </c>
      <c r="H1766">
        <v>0.25749229839603699</v>
      </c>
      <c r="I1766">
        <v>0.34253193675854299</v>
      </c>
      <c r="J1766">
        <v>0.497923509521776</v>
      </c>
      <c r="K1766">
        <v>0.57222035609840105</v>
      </c>
      <c r="L1766">
        <v>1431.18313754513</v>
      </c>
      <c r="M1766">
        <v>33.229692003509399</v>
      </c>
      <c r="N1766">
        <v>45.510822476689199</v>
      </c>
      <c r="O1766">
        <v>42.914324188449299</v>
      </c>
      <c r="P1766">
        <v>-0.113071562820906</v>
      </c>
      <c r="Q1766">
        <v>0.41589965309910598</v>
      </c>
      <c r="R1766">
        <v>0.81343178038776998</v>
      </c>
      <c r="S1766" t="s">
        <v>8218</v>
      </c>
      <c r="T1766" t="s">
        <v>12902</v>
      </c>
      <c r="U1766" t="s">
        <v>12902</v>
      </c>
      <c r="V1766" t="s">
        <v>12902</v>
      </c>
      <c r="W1766" t="s">
        <v>14636</v>
      </c>
      <c r="X1766">
        <v>6</v>
      </c>
      <c r="Y1766" t="s">
        <v>21014</v>
      </c>
      <c r="Z1766" t="s">
        <v>27341</v>
      </c>
      <c r="AA1766">
        <v>0.47974198463552681</v>
      </c>
      <c r="AB1766" t="str">
        <f>HYPERLINK("Melting_Curves/meltCurve_O95400_CD2BP2.pdf", "Melting_Curves/meltCurve_O95400_CD2BP2.pdf")</f>
        <v>Melting_Curves/meltCurve_O95400_CD2BP2.pdf</v>
      </c>
    </row>
    <row r="1767" spans="1:28" x14ac:dyDescent="0.25">
      <c r="A1767" t="s">
        <v>1771</v>
      </c>
      <c r="B1767">
        <v>0.99673306730245903</v>
      </c>
      <c r="C1767">
        <v>0.84170275618203605</v>
      </c>
      <c r="D1767">
        <v>0.81868803026155701</v>
      </c>
      <c r="E1767">
        <v>0.780251251924723</v>
      </c>
      <c r="F1767">
        <v>0.59845598913957798</v>
      </c>
      <c r="G1767">
        <v>0.38649320506983897</v>
      </c>
      <c r="H1767">
        <v>0.24492621002842899</v>
      </c>
      <c r="I1767">
        <v>0.19732282734127901</v>
      </c>
      <c r="J1767">
        <v>0.310477015925402</v>
      </c>
      <c r="K1767">
        <v>0.36345615085219402</v>
      </c>
      <c r="L1767">
        <v>657.25180987694603</v>
      </c>
      <c r="M1767">
        <v>12.737662375706901</v>
      </c>
      <c r="N1767">
        <v>54.256786759257203</v>
      </c>
      <c r="O1767">
        <v>50.376902536787597</v>
      </c>
      <c r="P1767">
        <v>-4.8550607595894697E-2</v>
      </c>
      <c r="Q1767">
        <v>0.23208466646046899</v>
      </c>
      <c r="R1767">
        <v>0.93242770771265504</v>
      </c>
      <c r="S1767" t="s">
        <v>8219</v>
      </c>
      <c r="T1767" t="s">
        <v>12902</v>
      </c>
      <c r="U1767" t="s">
        <v>12902</v>
      </c>
      <c r="V1767" t="s">
        <v>12902</v>
      </c>
      <c r="W1767" t="s">
        <v>14637</v>
      </c>
      <c r="X1767">
        <v>5</v>
      </c>
      <c r="Y1767" t="s">
        <v>21015</v>
      </c>
      <c r="Z1767" t="s">
        <v>27342</v>
      </c>
      <c r="AA1767">
        <v>0.55121242515591207</v>
      </c>
      <c r="AB1767" t="str">
        <f>HYPERLINK("Melting_Curves/meltCurve_O95402_MED26.pdf", "Melting_Curves/meltCurve_O95402_MED26.pdf")</f>
        <v>Melting_Curves/meltCurve_O95402_MED26.pdf</v>
      </c>
    </row>
    <row r="1768" spans="1:28" x14ac:dyDescent="0.25">
      <c r="A1768" t="s">
        <v>1772</v>
      </c>
      <c r="B1768">
        <v>0.99673306730245903</v>
      </c>
      <c r="C1768">
        <v>0.91436350057883098</v>
      </c>
      <c r="D1768">
        <v>0.83768017872698497</v>
      </c>
      <c r="E1768">
        <v>0.57168288324092498</v>
      </c>
      <c r="F1768">
        <v>0.30923045710129599</v>
      </c>
      <c r="G1768">
        <v>0.25456954624290701</v>
      </c>
      <c r="H1768">
        <v>0.16810987326521201</v>
      </c>
      <c r="I1768">
        <v>0.21434710891181999</v>
      </c>
      <c r="J1768">
        <v>0.27716907206129598</v>
      </c>
      <c r="K1768">
        <v>0.30200136485634199</v>
      </c>
      <c r="L1768">
        <v>1091.4595994497899</v>
      </c>
      <c r="M1768">
        <v>22.388299448015601</v>
      </c>
      <c r="N1768">
        <v>50.1530801749551</v>
      </c>
      <c r="O1768">
        <v>48.367399111618099</v>
      </c>
      <c r="P1768">
        <v>-8.8809306392795898E-2</v>
      </c>
      <c r="Q1768">
        <v>0.23256615691680599</v>
      </c>
      <c r="R1768">
        <v>0.98185294979662496</v>
      </c>
      <c r="S1768" t="s">
        <v>8220</v>
      </c>
      <c r="T1768" t="s">
        <v>12902</v>
      </c>
      <c r="U1768" t="s">
        <v>12902</v>
      </c>
      <c r="V1768" t="s">
        <v>12902</v>
      </c>
      <c r="W1768" t="s">
        <v>14638</v>
      </c>
      <c r="X1768">
        <v>2</v>
      </c>
      <c r="Y1768" t="s">
        <v>21016</v>
      </c>
      <c r="Z1768" t="s">
        <v>27343</v>
      </c>
      <c r="AA1768">
        <v>0.46497341400258912</v>
      </c>
      <c r="AB1768" t="str">
        <f>HYPERLINK("Melting_Curves/meltCurve_O95405_3_ZFYVE9.pdf", "Melting_Curves/meltCurve_O95405_3_ZFYVE9.pdf")</f>
        <v>Melting_Curves/meltCurve_O95405_3_ZFYVE9.pdf</v>
      </c>
    </row>
    <row r="1769" spans="1:28" x14ac:dyDescent="0.25">
      <c r="A1769" t="s">
        <v>1773</v>
      </c>
      <c r="B1769">
        <v>0.99673306730245903</v>
      </c>
      <c r="C1769">
        <v>0.88152814248405198</v>
      </c>
      <c r="D1769">
        <v>0.73267281574392196</v>
      </c>
      <c r="E1769">
        <v>0.46036453099485097</v>
      </c>
      <c r="F1769">
        <v>0.190566883766983</v>
      </c>
      <c r="G1769">
        <v>0.13045687849748</v>
      </c>
      <c r="H1769">
        <v>7.4954998566959405E-2</v>
      </c>
      <c r="I1769">
        <v>6.7224829316663098E-2</v>
      </c>
      <c r="J1769">
        <v>6.7510301174172893E-2</v>
      </c>
      <c r="K1769">
        <v>6.8193871462916805E-2</v>
      </c>
      <c r="L1769">
        <v>839.85064107538801</v>
      </c>
      <c r="M1769">
        <v>17.327541582833799</v>
      </c>
      <c r="N1769">
        <v>48.794843036986201</v>
      </c>
      <c r="O1769">
        <v>47.837367668441999</v>
      </c>
      <c r="P1769">
        <v>-8.5613722152074398E-2</v>
      </c>
      <c r="Q1769">
        <v>5.4614802893700201E-2</v>
      </c>
      <c r="R1769">
        <v>0.99758804097307097</v>
      </c>
      <c r="S1769" t="s">
        <v>8221</v>
      </c>
      <c r="T1769" t="s">
        <v>12902</v>
      </c>
      <c r="U1769" t="s">
        <v>12902</v>
      </c>
      <c r="V1769" t="s">
        <v>12902</v>
      </c>
      <c r="W1769" t="s">
        <v>14639</v>
      </c>
      <c r="X1769">
        <v>4</v>
      </c>
      <c r="Y1769" t="s">
        <v>21017</v>
      </c>
      <c r="Z1769" t="s">
        <v>27344</v>
      </c>
      <c r="AA1769">
        <v>0.33939706073839232</v>
      </c>
      <c r="AB1769" t="str">
        <f>HYPERLINK("Melting_Curves/meltCurve_O95409_ZIC2.pdf", "Melting_Curves/meltCurve_O95409_ZIC2.pdf")</f>
        <v>Melting_Curves/meltCurve_O95409_ZIC2.pdf</v>
      </c>
    </row>
    <row r="1770" spans="1:28" x14ac:dyDescent="0.25">
      <c r="A1770" t="s">
        <v>1774</v>
      </c>
      <c r="B1770">
        <v>0.99673306730245903</v>
      </c>
      <c r="C1770">
        <v>0.93030774232981694</v>
      </c>
      <c r="D1770">
        <v>0.86135484772011395</v>
      </c>
      <c r="E1770">
        <v>0.70529239178317704</v>
      </c>
      <c r="F1770">
        <v>0.58871689310201902</v>
      </c>
      <c r="G1770">
        <v>0.42130397980267698</v>
      </c>
      <c r="H1770">
        <v>0.31098330009182901</v>
      </c>
      <c r="I1770">
        <v>0.39342947987927701</v>
      </c>
      <c r="J1770">
        <v>0.61902144410196902</v>
      </c>
      <c r="K1770">
        <v>0.61045732521295804</v>
      </c>
      <c r="L1770">
        <v>1005.2956193087</v>
      </c>
      <c r="M1770">
        <v>20.687235572583301</v>
      </c>
      <c r="N1770">
        <v>56.573259206951199</v>
      </c>
      <c r="O1770">
        <v>48.1477295537739</v>
      </c>
      <c r="P1770">
        <v>-5.6613419701675299E-2</v>
      </c>
      <c r="Q1770">
        <v>0.472963972475206</v>
      </c>
      <c r="R1770">
        <v>0.82481330145248499</v>
      </c>
      <c r="S1770" t="s">
        <v>8222</v>
      </c>
      <c r="T1770" t="s">
        <v>12902</v>
      </c>
      <c r="U1770" t="s">
        <v>12902</v>
      </c>
      <c r="V1770" t="s">
        <v>12902</v>
      </c>
      <c r="W1770" t="s">
        <v>14640</v>
      </c>
      <c r="X1770">
        <v>5</v>
      </c>
      <c r="Y1770" t="s">
        <v>21018</v>
      </c>
      <c r="Z1770" t="s">
        <v>27345</v>
      </c>
      <c r="AA1770">
        <v>0.63087400113447745</v>
      </c>
      <c r="AB1770" t="str">
        <f>HYPERLINK("Melting_Curves/meltCurve_O95425_2_SVIL.pdf", "Melting_Curves/meltCurve_O95425_2_SVIL.pdf")</f>
        <v>Melting_Curves/meltCurve_O95425_2_SVIL.pdf</v>
      </c>
    </row>
    <row r="1771" spans="1:28" x14ac:dyDescent="0.25">
      <c r="A1771" t="s">
        <v>1775</v>
      </c>
      <c r="B1771">
        <v>0.99673306730245903</v>
      </c>
      <c r="C1771">
        <v>0.93206378478431096</v>
      </c>
      <c r="D1771">
        <v>0.85423097311554597</v>
      </c>
      <c r="E1771">
        <v>0.68330628614494104</v>
      </c>
      <c r="F1771">
        <v>0.35703709708223602</v>
      </c>
      <c r="G1771">
        <v>0.21289115045577001</v>
      </c>
      <c r="H1771">
        <v>0.105847973806294</v>
      </c>
      <c r="I1771">
        <v>0.13551771006125499</v>
      </c>
      <c r="J1771">
        <v>0.191003269896591</v>
      </c>
      <c r="K1771">
        <v>0.25816641960812098</v>
      </c>
      <c r="L1771">
        <v>1067.35353313675</v>
      </c>
      <c r="M1771">
        <v>21.222144162172398</v>
      </c>
      <c r="N1771">
        <v>51.239605078649298</v>
      </c>
      <c r="O1771">
        <v>49.854147246561702</v>
      </c>
      <c r="P1771">
        <v>-8.9185148729446106E-2</v>
      </c>
      <c r="Q1771">
        <v>0.16198192226601499</v>
      </c>
      <c r="R1771">
        <v>0.97987101624512196</v>
      </c>
      <c r="S1771" t="s">
        <v>8223</v>
      </c>
      <c r="T1771" t="s">
        <v>12902</v>
      </c>
      <c r="U1771" t="s">
        <v>12902</v>
      </c>
      <c r="V1771" t="s">
        <v>12902</v>
      </c>
      <c r="W1771" t="s">
        <v>14641</v>
      </c>
      <c r="X1771">
        <v>7</v>
      </c>
      <c r="Y1771" t="s">
        <v>21019</v>
      </c>
      <c r="Z1771" t="s">
        <v>27346</v>
      </c>
      <c r="AA1771">
        <v>0.45993077251672021</v>
      </c>
      <c r="AB1771" t="str">
        <f>HYPERLINK("Melting_Curves/meltCurve_O95429_2_BAG4.pdf", "Melting_Curves/meltCurve_O95429_2_BAG4.pdf")</f>
        <v>Melting_Curves/meltCurve_O95429_2_BAG4.pdf</v>
      </c>
    </row>
    <row r="1772" spans="1:28" x14ac:dyDescent="0.25">
      <c r="A1772" t="s">
        <v>1776</v>
      </c>
      <c r="B1772">
        <v>0.99673306730245903</v>
      </c>
      <c r="C1772">
        <v>1.1219114221694699</v>
      </c>
      <c r="D1772">
        <v>0.66593044696486303</v>
      </c>
      <c r="E1772">
        <v>0.72225575125390595</v>
      </c>
      <c r="F1772">
        <v>0.19813049003774699</v>
      </c>
      <c r="G1772">
        <v>0.12261027607179099</v>
      </c>
      <c r="H1772">
        <v>6.3381784591777998E-2</v>
      </c>
      <c r="I1772">
        <v>5.7337665314666997E-2</v>
      </c>
      <c r="J1772">
        <v>5.4138620502539599E-2</v>
      </c>
      <c r="K1772">
        <v>4.4778764907205199E-2</v>
      </c>
      <c r="L1772">
        <v>976.32729077660304</v>
      </c>
      <c r="M1772">
        <v>19.418531529529901</v>
      </c>
      <c r="N1772">
        <v>50.458154166478003</v>
      </c>
      <c r="O1772">
        <v>49.754020817403699</v>
      </c>
      <c r="P1772">
        <v>-9.4310801967833494E-2</v>
      </c>
      <c r="Q1772">
        <v>3.3465544419117303E-2</v>
      </c>
      <c r="R1772">
        <v>0.94507179779718697</v>
      </c>
      <c r="S1772" t="s">
        <v>8224</v>
      </c>
      <c r="T1772" t="s">
        <v>12902</v>
      </c>
      <c r="U1772" t="s">
        <v>12902</v>
      </c>
      <c r="V1772" t="s">
        <v>12902</v>
      </c>
      <c r="W1772" t="s">
        <v>14642</v>
      </c>
      <c r="X1772">
        <v>23</v>
      </c>
      <c r="Y1772" t="s">
        <v>21020</v>
      </c>
      <c r="Z1772" t="s">
        <v>27347</v>
      </c>
      <c r="AA1772">
        <v>0.3788308745181343</v>
      </c>
      <c r="AB1772" t="str">
        <f>HYPERLINK("Melting_Curves/meltCurve_O95433_AHSA1.pdf", "Melting_Curves/meltCurve_O95433_AHSA1.pdf")</f>
        <v>Melting_Curves/meltCurve_O95433_AHSA1.pdf</v>
      </c>
    </row>
    <row r="1773" spans="1:28" x14ac:dyDescent="0.25">
      <c r="A1773" t="s">
        <v>1777</v>
      </c>
      <c r="B1773">
        <v>0.99673306730245903</v>
      </c>
      <c r="C1773">
        <v>1.01457386944386</v>
      </c>
      <c r="D1773">
        <v>1.00685829969659</v>
      </c>
      <c r="E1773">
        <v>0.682656691403975</v>
      </c>
      <c r="F1773">
        <v>0.317196125455388</v>
      </c>
      <c r="G1773">
        <v>0.20981303647851701</v>
      </c>
      <c r="H1773">
        <v>0.137501403843168</v>
      </c>
      <c r="I1773">
        <v>0.11060938365295001</v>
      </c>
      <c r="J1773">
        <v>0.110397717203368</v>
      </c>
      <c r="K1773">
        <v>9.5661793630301403E-2</v>
      </c>
      <c r="L1773">
        <v>1382.2366297997</v>
      </c>
      <c r="M1773">
        <v>27.190798215968901</v>
      </c>
      <c r="N1773">
        <v>51.344854932815998</v>
      </c>
      <c r="O1773">
        <v>50.562164786558597</v>
      </c>
      <c r="P1773">
        <v>-0.118530230672326</v>
      </c>
      <c r="Q1773">
        <v>0.118365674859503</v>
      </c>
      <c r="R1773">
        <v>0.99565083117932995</v>
      </c>
      <c r="S1773" t="s">
        <v>8225</v>
      </c>
      <c r="T1773" t="s">
        <v>12902</v>
      </c>
      <c r="U1773" t="s">
        <v>12902</v>
      </c>
      <c r="V1773" t="s">
        <v>12902</v>
      </c>
      <c r="W1773" t="s">
        <v>14643</v>
      </c>
      <c r="X1773">
        <v>10</v>
      </c>
      <c r="Y1773" t="s">
        <v>21021</v>
      </c>
      <c r="Z1773" t="s">
        <v>27348</v>
      </c>
      <c r="AA1773">
        <v>0.44350402064098071</v>
      </c>
      <c r="AB1773" t="str">
        <f>HYPERLINK("Melting_Curves/meltCurve_O95453_2_PARN.pdf", "Melting_Curves/meltCurve_O95453_2_PARN.pdf")</f>
        <v>Melting_Curves/meltCurve_O95453_2_PARN.pdf</v>
      </c>
    </row>
    <row r="1774" spans="1:28" x14ac:dyDescent="0.25">
      <c r="A1774" t="s">
        <v>1778</v>
      </c>
      <c r="B1774">
        <v>0.99673306730245903</v>
      </c>
      <c r="C1774">
        <v>0.89940579309104096</v>
      </c>
      <c r="D1774">
        <v>0.90557327462570603</v>
      </c>
      <c r="E1774">
        <v>0.80451596743337195</v>
      </c>
      <c r="F1774">
        <v>0.64146705852827601</v>
      </c>
      <c r="G1774">
        <v>0.42588972924686902</v>
      </c>
      <c r="H1774">
        <v>0.19568416827757401</v>
      </c>
      <c r="I1774">
        <v>0.19866699850848399</v>
      </c>
      <c r="J1774">
        <v>0.210186376817386</v>
      </c>
      <c r="K1774">
        <v>0.205309650121933</v>
      </c>
      <c r="L1774">
        <v>792.58583201975205</v>
      </c>
      <c r="M1774">
        <v>14.753104114247</v>
      </c>
      <c r="N1774">
        <v>54.980548143216097</v>
      </c>
      <c r="O1774">
        <v>52.765248646693202</v>
      </c>
      <c r="P1774">
        <v>-5.9898527938653003E-2</v>
      </c>
      <c r="Q1774">
        <v>0.143171908013035</v>
      </c>
      <c r="R1774">
        <v>0.98307822523271104</v>
      </c>
      <c r="S1774" t="s">
        <v>8226</v>
      </c>
      <c r="T1774" t="s">
        <v>12902</v>
      </c>
      <c r="U1774" t="s">
        <v>12902</v>
      </c>
      <c r="V1774" t="s">
        <v>12902</v>
      </c>
      <c r="W1774" t="s">
        <v>14644</v>
      </c>
      <c r="X1774">
        <v>2</v>
      </c>
      <c r="Y1774" t="s">
        <v>21022</v>
      </c>
      <c r="Z1774" t="s">
        <v>27349</v>
      </c>
      <c r="AA1774">
        <v>0.55333847873614128</v>
      </c>
      <c r="AB1774" t="str">
        <f>HYPERLINK("Melting_Curves/meltCurve_O95455_TGDS.pdf", "Melting_Curves/meltCurve_O95455_TGDS.pdf")</f>
        <v>Melting_Curves/meltCurve_O95455_TGDS.pdf</v>
      </c>
    </row>
    <row r="1775" spans="1:28" x14ac:dyDescent="0.25">
      <c r="A1775" t="s">
        <v>1779</v>
      </c>
      <c r="B1775">
        <v>0.99673306730245903</v>
      </c>
      <c r="C1775">
        <v>1.0160506556348901</v>
      </c>
      <c r="D1775">
        <v>1.06404741077329</v>
      </c>
      <c r="E1775">
        <v>1.15899206652214</v>
      </c>
      <c r="F1775">
        <v>1.2002089880811799</v>
      </c>
      <c r="G1775">
        <v>0.70531460776153099</v>
      </c>
      <c r="H1775">
        <v>0.25932415980465401</v>
      </c>
      <c r="I1775">
        <v>0.16029679874137501</v>
      </c>
      <c r="J1775">
        <v>0.13420296257845499</v>
      </c>
      <c r="K1775">
        <v>0.102673047880403</v>
      </c>
      <c r="L1775">
        <v>2748.87273825179</v>
      </c>
      <c r="M1775">
        <v>47.566442926618898</v>
      </c>
      <c r="N1775">
        <v>58.193407043501701</v>
      </c>
      <c r="O1775">
        <v>57.688277884612098</v>
      </c>
      <c r="P1775">
        <v>-0.177195387427274</v>
      </c>
      <c r="Q1775">
        <v>0.14039481841525001</v>
      </c>
      <c r="R1775">
        <v>0.95857907406784804</v>
      </c>
      <c r="S1775" t="s">
        <v>8227</v>
      </c>
      <c r="T1775" t="s">
        <v>12902</v>
      </c>
      <c r="U1775" t="s">
        <v>12902</v>
      </c>
      <c r="V1775" t="s">
        <v>12902</v>
      </c>
      <c r="W1775" t="s">
        <v>14645</v>
      </c>
      <c r="X1775">
        <v>9</v>
      </c>
      <c r="Y1775" t="s">
        <v>21023</v>
      </c>
      <c r="Z1775" t="s">
        <v>27350</v>
      </c>
      <c r="AA1775">
        <v>0.65255472349396348</v>
      </c>
      <c r="AB1775" t="str">
        <f>HYPERLINK("Melting_Curves/meltCurve_O95456_2_PSMG1.pdf", "Melting_Curves/meltCurve_O95456_2_PSMG1.pdf")</f>
        <v>Melting_Curves/meltCurve_O95456_2_PSMG1.pdf</v>
      </c>
    </row>
    <row r="1776" spans="1:28" x14ac:dyDescent="0.25">
      <c r="A1776" t="s">
        <v>1780</v>
      </c>
      <c r="B1776">
        <v>0.99673306730245903</v>
      </c>
      <c r="C1776">
        <v>0.89637199347989904</v>
      </c>
      <c r="D1776">
        <v>0.91156600620845596</v>
      </c>
      <c r="E1776">
        <v>0.88619439729592298</v>
      </c>
      <c r="F1776">
        <v>0.44545050131261998</v>
      </c>
      <c r="G1776">
        <v>0.14331099052122001</v>
      </c>
      <c r="H1776">
        <v>6.8057835271557898E-2</v>
      </c>
      <c r="I1776">
        <v>5.5070239243489097E-2</v>
      </c>
      <c r="J1776">
        <v>5.7086111721316501E-2</v>
      </c>
      <c r="K1776">
        <v>5.0919831792249501E-2</v>
      </c>
      <c r="L1776">
        <v>1565.3803076266599</v>
      </c>
      <c r="M1776">
        <v>29.748382958756601</v>
      </c>
      <c r="N1776">
        <v>52.8113458360774</v>
      </c>
      <c r="O1776">
        <v>52.384622264282001</v>
      </c>
      <c r="P1776">
        <v>-0.13474330044479799</v>
      </c>
      <c r="Q1776">
        <v>5.0915950247511499E-2</v>
      </c>
      <c r="R1776">
        <v>0.98966872049665799</v>
      </c>
      <c r="S1776" t="s">
        <v>8228</v>
      </c>
      <c r="T1776" t="s">
        <v>12902</v>
      </c>
      <c r="U1776" t="s">
        <v>12902</v>
      </c>
      <c r="V1776" t="s">
        <v>12902</v>
      </c>
      <c r="W1776" t="s">
        <v>14646</v>
      </c>
      <c r="X1776">
        <v>38</v>
      </c>
      <c r="Y1776" t="s">
        <v>21024</v>
      </c>
      <c r="Z1776" t="s">
        <v>27351</v>
      </c>
      <c r="AA1776">
        <v>0.45640933897271052</v>
      </c>
      <c r="AB1776" t="str">
        <f>HYPERLINK("Melting_Curves/meltCurve_O95470_SGPL1.pdf", "Melting_Curves/meltCurve_O95470_SGPL1.pdf")</f>
        <v>Melting_Curves/meltCurve_O95470_SGPL1.pdf</v>
      </c>
    </row>
    <row r="1777" spans="1:28" x14ac:dyDescent="0.25">
      <c r="A1777" t="s">
        <v>1781</v>
      </c>
      <c r="B1777">
        <v>0.99673306730245903</v>
      </c>
      <c r="C1777">
        <v>0.91407832760774599</v>
      </c>
      <c r="D1777">
        <v>0.86398378884126603</v>
      </c>
      <c r="E1777">
        <v>0.84949375399403804</v>
      </c>
      <c r="F1777">
        <v>0.67258818088257899</v>
      </c>
      <c r="G1777">
        <v>0.776375363473223</v>
      </c>
      <c r="H1777">
        <v>0.78259651970200705</v>
      </c>
      <c r="I1777">
        <v>1.45597869472165</v>
      </c>
      <c r="J1777">
        <v>1.3059887116381299</v>
      </c>
      <c r="K1777">
        <v>1.3338825623833199</v>
      </c>
      <c r="L1777">
        <v>15000</v>
      </c>
      <c r="M1777">
        <v>240.107957243865</v>
      </c>
      <c r="O1777">
        <v>62.467564814284501</v>
      </c>
      <c r="P1777">
        <v>0.35119993023742202</v>
      </c>
      <c r="Q1777">
        <v>1.3654790059287301</v>
      </c>
      <c r="R1777">
        <v>0.60022230023798495</v>
      </c>
      <c r="S1777" t="s">
        <v>8229</v>
      </c>
      <c r="T1777" t="s">
        <v>12902</v>
      </c>
      <c r="U1777" t="s">
        <v>12902</v>
      </c>
      <c r="V1777" t="s">
        <v>12902</v>
      </c>
      <c r="W1777" t="s">
        <v>14647</v>
      </c>
      <c r="X1777">
        <v>3</v>
      </c>
      <c r="Y1777" t="s">
        <v>21025</v>
      </c>
      <c r="Z1777" t="s">
        <v>27352</v>
      </c>
      <c r="AA1777">
        <v>1.0916686578499439</v>
      </c>
      <c r="AB1777" t="str">
        <f>HYPERLINK("Melting_Curves/meltCurve_O95471_CLDN7.pdf", "Melting_Curves/meltCurve_O95471_CLDN7.pdf")</f>
        <v>Melting_Curves/meltCurve_O95471_CLDN7.pdf</v>
      </c>
    </row>
    <row r="1778" spans="1:28" x14ac:dyDescent="0.25">
      <c r="A1778" t="s">
        <v>1782</v>
      </c>
      <c r="B1778">
        <v>0.99673306730245903</v>
      </c>
      <c r="C1778">
        <v>0.90925998253663998</v>
      </c>
      <c r="D1778">
        <v>0.84343606442958596</v>
      </c>
      <c r="E1778">
        <v>0.53194579885726001</v>
      </c>
      <c r="F1778">
        <v>0.25136535078710298</v>
      </c>
      <c r="G1778">
        <v>0.162823695539518</v>
      </c>
      <c r="H1778">
        <v>9.6281334607394395E-2</v>
      </c>
      <c r="I1778">
        <v>8.4123066420208795E-2</v>
      </c>
      <c r="J1778">
        <v>7.5761945142669498E-2</v>
      </c>
      <c r="K1778">
        <v>7.0959102324559695E-2</v>
      </c>
      <c r="L1778">
        <v>932.99917631689902</v>
      </c>
      <c r="M1778">
        <v>18.8357921677989</v>
      </c>
      <c r="N1778">
        <v>49.933246216421999</v>
      </c>
      <c r="O1778">
        <v>48.985141948236098</v>
      </c>
      <c r="P1778">
        <v>-8.9403091955283204E-2</v>
      </c>
      <c r="Q1778">
        <v>7.0017094624378495E-2</v>
      </c>
      <c r="R1778">
        <v>0.99778077075382998</v>
      </c>
      <c r="S1778" t="s">
        <v>8230</v>
      </c>
      <c r="T1778" t="s">
        <v>12902</v>
      </c>
      <c r="U1778" t="s">
        <v>12902</v>
      </c>
      <c r="V1778" t="s">
        <v>12902</v>
      </c>
      <c r="W1778" t="s">
        <v>14648</v>
      </c>
      <c r="X1778">
        <v>6</v>
      </c>
      <c r="Y1778" t="s">
        <v>21026</v>
      </c>
      <c r="Z1778" t="s">
        <v>27353</v>
      </c>
      <c r="AA1778">
        <v>0.38015306524552528</v>
      </c>
      <c r="AB1778" t="str">
        <f>HYPERLINK("Melting_Curves/meltCurve_O95486_SEC24A.pdf", "Melting_Curves/meltCurve_O95486_SEC24A.pdf")</f>
        <v>Melting_Curves/meltCurve_O95486_SEC24A.pdf</v>
      </c>
    </row>
    <row r="1779" spans="1:28" x14ac:dyDescent="0.25">
      <c r="A1779" t="s">
        <v>1783</v>
      </c>
      <c r="B1779">
        <v>0.99673306730245903</v>
      </c>
      <c r="C1779">
        <v>0.88284879312710696</v>
      </c>
      <c r="D1779">
        <v>0.73564921262495298</v>
      </c>
      <c r="E1779">
        <v>0.31318493354764099</v>
      </c>
      <c r="F1779">
        <v>0.22155259372734401</v>
      </c>
      <c r="G1779">
        <v>0.16510287339280999</v>
      </c>
      <c r="H1779">
        <v>0.104267457425194</v>
      </c>
      <c r="I1779">
        <v>8.0363227786490299E-2</v>
      </c>
      <c r="J1779">
        <v>6.1860142390628398E-2</v>
      </c>
      <c r="K1779">
        <v>5.6386765841642997E-2</v>
      </c>
      <c r="L1779">
        <v>938.47799290062096</v>
      </c>
      <c r="M1779">
        <v>19.699791223151099</v>
      </c>
      <c r="N1779">
        <v>48.075610156324601</v>
      </c>
      <c r="O1779">
        <v>47.156239033081498</v>
      </c>
      <c r="P1779">
        <v>-9.5887478757462702E-2</v>
      </c>
      <c r="Q1779">
        <v>8.1911882861069304E-2</v>
      </c>
      <c r="R1779">
        <v>0.99117438961482296</v>
      </c>
      <c r="S1779" t="s">
        <v>8231</v>
      </c>
      <c r="T1779" t="s">
        <v>12902</v>
      </c>
      <c r="U1779" t="s">
        <v>12902</v>
      </c>
      <c r="V1779" t="s">
        <v>12902</v>
      </c>
      <c r="W1779" t="s">
        <v>14649</v>
      </c>
      <c r="X1779">
        <v>11</v>
      </c>
      <c r="Y1779" t="s">
        <v>21027</v>
      </c>
      <c r="Z1779" t="s">
        <v>27354</v>
      </c>
      <c r="AA1779">
        <v>0.32928121820598671</v>
      </c>
      <c r="AB1779" t="str">
        <f>HYPERLINK("Melting_Curves/meltCurve_O95487_2_SEC24B.pdf", "Melting_Curves/meltCurve_O95487_2_SEC24B.pdf")</f>
        <v>Melting_Curves/meltCurve_O95487_2_SEC24B.pdf</v>
      </c>
    </row>
    <row r="1780" spans="1:28" x14ac:dyDescent="0.25">
      <c r="A1780" t="s">
        <v>1784</v>
      </c>
      <c r="B1780">
        <v>0.99673306730245903</v>
      </c>
      <c r="C1780">
        <v>0.96372031027470995</v>
      </c>
      <c r="D1780">
        <v>0.98364638784784697</v>
      </c>
      <c r="E1780">
        <v>1.01142846367658</v>
      </c>
      <c r="F1780">
        <v>1.00527382021995</v>
      </c>
      <c r="G1780">
        <v>0.83746892616980895</v>
      </c>
      <c r="H1780">
        <v>0.74283430882331403</v>
      </c>
      <c r="I1780">
        <v>0.87796010031212302</v>
      </c>
      <c r="J1780">
        <v>0.91166535776643598</v>
      </c>
      <c r="K1780">
        <v>0.40097198939662898</v>
      </c>
      <c r="L1780">
        <v>832.06864015357996</v>
      </c>
      <c r="M1780">
        <v>11.6091556500939</v>
      </c>
      <c r="O1780">
        <v>69.645791754127401</v>
      </c>
      <c r="P1780">
        <v>-4.1683541685532503E-2</v>
      </c>
      <c r="Q1780">
        <v>0</v>
      </c>
      <c r="R1780">
        <v>0.61471759882918597</v>
      </c>
      <c r="S1780" t="s">
        <v>8232</v>
      </c>
      <c r="T1780" t="s">
        <v>12902</v>
      </c>
      <c r="U1780" t="s">
        <v>12902</v>
      </c>
      <c r="V1780" t="s">
        <v>12902</v>
      </c>
      <c r="W1780" t="s">
        <v>14650</v>
      </c>
      <c r="X1780">
        <v>10</v>
      </c>
      <c r="Y1780" t="s">
        <v>21028</v>
      </c>
      <c r="Z1780" t="s">
        <v>27355</v>
      </c>
      <c r="AA1780">
        <v>0.90634348950866661</v>
      </c>
      <c r="AB1780" t="str">
        <f>HYPERLINK("Melting_Curves/meltCurve_O95544_NADK.pdf", "Melting_Curves/meltCurve_O95544_NADK.pdf")</f>
        <v>Melting_Curves/meltCurve_O95544_NADK.pdf</v>
      </c>
    </row>
    <row r="1781" spans="1:28" x14ac:dyDescent="0.25">
      <c r="A1781" t="s">
        <v>1785</v>
      </c>
      <c r="B1781">
        <v>0.99673306730245903</v>
      </c>
      <c r="C1781">
        <v>0.94666043757249796</v>
      </c>
      <c r="D1781">
        <v>0.70317806486594003</v>
      </c>
      <c r="E1781">
        <v>0.48455704420836798</v>
      </c>
      <c r="F1781">
        <v>0.175921699795999</v>
      </c>
      <c r="G1781">
        <v>9.7230117038407504E-2</v>
      </c>
      <c r="H1781">
        <v>7.6211935005688097E-2</v>
      </c>
      <c r="I1781">
        <v>5.6404626886682102E-2</v>
      </c>
      <c r="J1781">
        <v>2.5502498528537899E-2</v>
      </c>
      <c r="K1781">
        <v>1.9183654035732699E-2</v>
      </c>
      <c r="L1781">
        <v>855.75232948345001</v>
      </c>
      <c r="M1781">
        <v>17.552525495753802</v>
      </c>
      <c r="N1781">
        <v>48.905288699360497</v>
      </c>
      <c r="O1781">
        <v>48.1341848704974</v>
      </c>
      <c r="P1781">
        <v>-8.8757230751445496E-2</v>
      </c>
      <c r="Q1781">
        <v>2.64593469698889E-2</v>
      </c>
      <c r="R1781">
        <v>0.99497963971783498</v>
      </c>
      <c r="S1781" t="s">
        <v>8233</v>
      </c>
      <c r="T1781" t="s">
        <v>12902</v>
      </c>
      <c r="U1781" t="s">
        <v>12902</v>
      </c>
      <c r="V1781" t="s">
        <v>12902</v>
      </c>
      <c r="W1781" t="s">
        <v>14651</v>
      </c>
      <c r="X1781">
        <v>4</v>
      </c>
      <c r="Y1781" t="s">
        <v>21029</v>
      </c>
      <c r="Z1781" t="s">
        <v>27356</v>
      </c>
      <c r="AA1781">
        <v>0.32835777204361982</v>
      </c>
      <c r="AB1781" t="str">
        <f>HYPERLINK("Melting_Curves/meltCurve_O95551_TDP2.pdf", "Melting_Curves/meltCurve_O95551_TDP2.pdf")</f>
        <v>Melting_Curves/meltCurve_O95551_TDP2.pdf</v>
      </c>
    </row>
    <row r="1782" spans="1:28" x14ac:dyDescent="0.25">
      <c r="A1782" t="s">
        <v>1786</v>
      </c>
      <c r="B1782">
        <v>0.99673306730245903</v>
      </c>
      <c r="C1782">
        <v>0.97879429580277599</v>
      </c>
      <c r="D1782">
        <v>1.0085705786494099</v>
      </c>
      <c r="E1782">
        <v>0.93807399021475801</v>
      </c>
      <c r="F1782">
        <v>0.81818630543121595</v>
      </c>
      <c r="G1782">
        <v>0.60542950652112004</v>
      </c>
      <c r="H1782">
        <v>0.39862490678982998</v>
      </c>
      <c r="I1782">
        <v>0.19618044824200701</v>
      </c>
      <c r="J1782">
        <v>0.121008768360678</v>
      </c>
      <c r="K1782">
        <v>8.8104244860329306E-2</v>
      </c>
      <c r="L1782">
        <v>882.97513054072999</v>
      </c>
      <c r="M1782">
        <v>15.067153347677699</v>
      </c>
      <c r="N1782">
        <v>58.602651406354802</v>
      </c>
      <c r="O1782">
        <v>57.599427087281803</v>
      </c>
      <c r="P1782">
        <v>-6.5402776657598596E-2</v>
      </c>
      <c r="Q1782">
        <v>0</v>
      </c>
      <c r="R1782">
        <v>0.99794304769007403</v>
      </c>
      <c r="S1782" t="s">
        <v>8234</v>
      </c>
      <c r="T1782" t="s">
        <v>12902</v>
      </c>
      <c r="U1782" t="s">
        <v>12902</v>
      </c>
      <c r="V1782" t="s">
        <v>12902</v>
      </c>
      <c r="W1782" t="s">
        <v>14652</v>
      </c>
      <c r="X1782">
        <v>16</v>
      </c>
      <c r="Y1782" t="s">
        <v>21030</v>
      </c>
      <c r="Z1782" t="s">
        <v>27357</v>
      </c>
      <c r="AA1782">
        <v>0.63182485343194683</v>
      </c>
      <c r="AB1782" t="str">
        <f>HYPERLINK("Melting_Curves/meltCurve_O95571_ETHE1.pdf", "Melting_Curves/meltCurve_O95571_ETHE1.pdf")</f>
        <v>Melting_Curves/meltCurve_O95571_ETHE1.pdf</v>
      </c>
    </row>
    <row r="1783" spans="1:28" x14ac:dyDescent="0.25">
      <c r="A1783" t="s">
        <v>1787</v>
      </c>
      <c r="B1783">
        <v>0.99673306730245903</v>
      </c>
      <c r="C1783">
        <v>0.96393211520392497</v>
      </c>
      <c r="D1783">
        <v>0.69759495678350303</v>
      </c>
      <c r="E1783">
        <v>0.71502007681913204</v>
      </c>
      <c r="F1783">
        <v>0.18565022921940699</v>
      </c>
      <c r="G1783">
        <v>0.12366183866629001</v>
      </c>
      <c r="H1783">
        <v>6.5453105965383201E-2</v>
      </c>
      <c r="I1783">
        <v>6.1230404784926501E-2</v>
      </c>
      <c r="J1783">
        <v>6.3150161660844695E-2</v>
      </c>
      <c r="K1783">
        <v>5.6579148041803903E-2</v>
      </c>
      <c r="L1783">
        <v>887.89776713296897</v>
      </c>
      <c r="M1783">
        <v>17.7322556828776</v>
      </c>
      <c r="N1783">
        <v>50.265699331606598</v>
      </c>
      <c r="O1783">
        <v>49.448660086989101</v>
      </c>
      <c r="P1783">
        <v>-8.6700598667263096E-2</v>
      </c>
      <c r="Q1783">
        <v>3.2947797833239201E-2</v>
      </c>
      <c r="R1783">
        <v>0.96222559343272196</v>
      </c>
      <c r="S1783" t="s">
        <v>8235</v>
      </c>
      <c r="T1783" t="s">
        <v>12902</v>
      </c>
      <c r="U1783" t="s">
        <v>12902</v>
      </c>
      <c r="V1783" t="s">
        <v>12902</v>
      </c>
      <c r="W1783" t="s">
        <v>14653</v>
      </c>
      <c r="X1783">
        <v>26</v>
      </c>
      <c r="Y1783" t="s">
        <v>21031</v>
      </c>
      <c r="Z1783" t="s">
        <v>27358</v>
      </c>
      <c r="AA1783">
        <v>0.37458340393890671</v>
      </c>
      <c r="AB1783" t="str">
        <f>HYPERLINK("Melting_Curves/meltCurve_O95573_ACSL3.pdf", "Melting_Curves/meltCurve_O95573_ACSL3.pdf")</f>
        <v>Melting_Curves/meltCurve_O95573_ACSL3.pdf</v>
      </c>
    </row>
    <row r="1784" spans="1:28" x14ac:dyDescent="0.25">
      <c r="A1784" t="s">
        <v>1788</v>
      </c>
      <c r="B1784">
        <v>0.99673306730245903</v>
      </c>
      <c r="C1784">
        <v>0.90447763756630695</v>
      </c>
      <c r="D1784">
        <v>0.94640158348683601</v>
      </c>
      <c r="E1784">
        <v>1.0256725314625801</v>
      </c>
      <c r="F1784">
        <v>1.4251853242226</v>
      </c>
      <c r="G1784">
        <v>1.2069840956982401</v>
      </c>
      <c r="H1784">
        <v>1.12400127460091</v>
      </c>
      <c r="I1784">
        <v>0.227337057481965</v>
      </c>
      <c r="J1784">
        <v>0.18941307545837599</v>
      </c>
      <c r="K1784">
        <v>0.104888342158159</v>
      </c>
      <c r="L1784">
        <v>15000</v>
      </c>
      <c r="M1784">
        <v>236.639297666641</v>
      </c>
      <c r="N1784">
        <v>63.481098521912102</v>
      </c>
      <c r="O1784">
        <v>63.383083331124197</v>
      </c>
      <c r="P1784">
        <v>-0.79604817808476802</v>
      </c>
      <c r="Q1784">
        <v>0.14712409031066701</v>
      </c>
      <c r="R1784">
        <v>0.87010917926609599</v>
      </c>
      <c r="S1784" t="s">
        <v>8236</v>
      </c>
      <c r="T1784" t="s">
        <v>12902</v>
      </c>
      <c r="U1784" t="s">
        <v>12902</v>
      </c>
      <c r="V1784" t="s">
        <v>12902</v>
      </c>
      <c r="W1784" t="s">
        <v>14654</v>
      </c>
      <c r="X1784">
        <v>8</v>
      </c>
      <c r="Y1784" t="s">
        <v>21032</v>
      </c>
      <c r="Z1784" t="s">
        <v>27359</v>
      </c>
      <c r="AA1784">
        <v>0.81212101718218244</v>
      </c>
      <c r="AB1784" t="str">
        <f>HYPERLINK("Melting_Curves/meltCurve_O95602_POLR1A.pdf", "Melting_Curves/meltCurve_O95602_POLR1A.pdf")</f>
        <v>Melting_Curves/meltCurve_O95602_POLR1A.pdf</v>
      </c>
    </row>
    <row r="1785" spans="1:28" x14ac:dyDescent="0.25">
      <c r="A1785" t="s">
        <v>1789</v>
      </c>
      <c r="B1785">
        <v>0.99673306730245903</v>
      </c>
      <c r="C1785">
        <v>0.94456132347782695</v>
      </c>
      <c r="D1785">
        <v>0.97504278023451796</v>
      </c>
      <c r="E1785">
        <v>1.1075077866749701</v>
      </c>
      <c r="F1785">
        <v>0.59192177054939898</v>
      </c>
      <c r="G1785">
        <v>0.290396100363634</v>
      </c>
      <c r="H1785">
        <v>0.14190285331411201</v>
      </c>
      <c r="I1785">
        <v>0.10717188539225</v>
      </c>
      <c r="J1785">
        <v>0.13647802417885299</v>
      </c>
      <c r="K1785">
        <v>0.11303349379002001</v>
      </c>
      <c r="L1785">
        <v>2088.1892427119801</v>
      </c>
      <c r="M1785">
        <v>38.912745068190802</v>
      </c>
      <c r="N1785">
        <v>54.094349271940203</v>
      </c>
      <c r="O1785">
        <v>53.522220586467803</v>
      </c>
      <c r="P1785">
        <v>-0.15753437582122201</v>
      </c>
      <c r="Q1785">
        <v>0.133284217746372</v>
      </c>
      <c r="R1785">
        <v>0.98070348986401601</v>
      </c>
      <c r="S1785" t="s">
        <v>8237</v>
      </c>
      <c r="T1785" t="s">
        <v>12902</v>
      </c>
      <c r="U1785" t="s">
        <v>12902</v>
      </c>
      <c r="V1785" t="s">
        <v>12902</v>
      </c>
      <c r="W1785" t="s">
        <v>14655</v>
      </c>
      <c r="X1785">
        <v>3</v>
      </c>
      <c r="Y1785" t="s">
        <v>21033</v>
      </c>
      <c r="Z1785" t="s">
        <v>27360</v>
      </c>
      <c r="AA1785">
        <v>0.53141789745802204</v>
      </c>
      <c r="AB1785" t="str">
        <f>HYPERLINK("Melting_Curves/meltCurve_O95619_YEATS4.pdf", "Melting_Curves/meltCurve_O95619_YEATS4.pdf")</f>
        <v>Melting_Curves/meltCurve_O95619_YEATS4.pdf</v>
      </c>
    </row>
    <row r="1786" spans="1:28" x14ac:dyDescent="0.25">
      <c r="A1786" t="s">
        <v>1790</v>
      </c>
      <c r="B1786">
        <v>0.99673306730245903</v>
      </c>
      <c r="C1786">
        <v>1.02620827343136</v>
      </c>
      <c r="D1786">
        <v>0.96462187536464405</v>
      </c>
      <c r="E1786">
        <v>0.80413015449277303</v>
      </c>
      <c r="F1786">
        <v>0.70403670865179802</v>
      </c>
      <c r="G1786">
        <v>0.53096072553870199</v>
      </c>
      <c r="H1786">
        <v>0.307432250583975</v>
      </c>
      <c r="I1786">
        <v>0.187355378078499</v>
      </c>
      <c r="J1786">
        <v>0.13787966127552001</v>
      </c>
      <c r="K1786">
        <v>0.103352013155142</v>
      </c>
      <c r="L1786">
        <v>686.63023218011597</v>
      </c>
      <c r="M1786">
        <v>12.0728879483725</v>
      </c>
      <c r="N1786">
        <v>56.873734295698</v>
      </c>
      <c r="O1786">
        <v>55.380747595547398</v>
      </c>
      <c r="P1786">
        <v>-5.4512306108868001E-2</v>
      </c>
      <c r="Q1786">
        <v>0</v>
      </c>
      <c r="R1786">
        <v>0.99494541169385098</v>
      </c>
      <c r="S1786" t="s">
        <v>8238</v>
      </c>
      <c r="T1786" t="s">
        <v>12902</v>
      </c>
      <c r="U1786" t="s">
        <v>12902</v>
      </c>
      <c r="V1786" t="s">
        <v>12902</v>
      </c>
      <c r="W1786" t="s">
        <v>14656</v>
      </c>
      <c r="X1786">
        <v>2</v>
      </c>
      <c r="Y1786" t="s">
        <v>21034</v>
      </c>
      <c r="Z1786" t="s">
        <v>27361</v>
      </c>
      <c r="AA1786">
        <v>0.5797634882524616</v>
      </c>
      <c r="AB1786" t="str">
        <f>HYPERLINK("Melting_Curves/meltCurve_O95620_DUS4L.pdf", "Melting_Curves/meltCurve_O95620_DUS4L.pdf")</f>
        <v>Melting_Curves/meltCurve_O95620_DUS4L.pdf</v>
      </c>
    </row>
    <row r="1787" spans="1:28" x14ac:dyDescent="0.25">
      <c r="A1787" t="s">
        <v>1791</v>
      </c>
      <c r="B1787">
        <v>0.99673306730245903</v>
      </c>
      <c r="C1787">
        <v>0.99429137113085098</v>
      </c>
      <c r="D1787">
        <v>0.98303557187697099</v>
      </c>
      <c r="E1787">
        <v>0.81715509920026397</v>
      </c>
      <c r="F1787">
        <v>0.48705497281833598</v>
      </c>
      <c r="G1787">
        <v>0.24594645091134501</v>
      </c>
      <c r="H1787">
        <v>0.13507450009517599</v>
      </c>
      <c r="I1787">
        <v>0.12349049732520199</v>
      </c>
      <c r="J1787">
        <v>8.7592541349835407E-2</v>
      </c>
      <c r="K1787">
        <v>8.3727423732264994E-2</v>
      </c>
      <c r="L1787">
        <v>1179.00242252054</v>
      </c>
      <c r="M1787">
        <v>22.387167807356299</v>
      </c>
      <c r="N1787">
        <v>53.136396779041398</v>
      </c>
      <c r="O1787">
        <v>52.249396013631298</v>
      </c>
      <c r="P1787">
        <v>-9.7456883929186694E-2</v>
      </c>
      <c r="Q1787">
        <v>9.0200734446226602E-2</v>
      </c>
      <c r="R1787">
        <v>0.99942624341674102</v>
      </c>
      <c r="S1787" t="s">
        <v>8239</v>
      </c>
      <c r="T1787" t="s">
        <v>12902</v>
      </c>
      <c r="U1787" t="s">
        <v>12902</v>
      </c>
      <c r="V1787" t="s">
        <v>12902</v>
      </c>
      <c r="W1787" t="s">
        <v>14657</v>
      </c>
      <c r="X1787">
        <v>4</v>
      </c>
      <c r="Y1787" t="s">
        <v>21035</v>
      </c>
      <c r="Z1787" t="s">
        <v>27362</v>
      </c>
      <c r="AA1787">
        <v>0.48452484896361458</v>
      </c>
      <c r="AB1787" t="str">
        <f>HYPERLINK("Melting_Curves/meltCurve_O95628_5_CNOT4.pdf", "Melting_Curves/meltCurve_O95628_5_CNOT4.pdf")</f>
        <v>Melting_Curves/meltCurve_O95628_5_CNOT4.pdf</v>
      </c>
    </row>
    <row r="1788" spans="1:28" x14ac:dyDescent="0.25">
      <c r="A1788" t="s">
        <v>1792</v>
      </c>
      <c r="B1788">
        <v>0.99673306730245903</v>
      </c>
      <c r="C1788">
        <v>1.04329437455531</v>
      </c>
      <c r="D1788">
        <v>0.39163239627252</v>
      </c>
      <c r="E1788">
        <v>0.281222770725502</v>
      </c>
      <c r="F1788">
        <v>0.19675754693935801</v>
      </c>
      <c r="G1788">
        <v>0.11378639851245401</v>
      </c>
      <c r="H1788">
        <v>7.60603294668276E-2</v>
      </c>
      <c r="I1788">
        <v>6.1012131456709202E-2</v>
      </c>
      <c r="J1788">
        <v>6.4109954086056103E-2</v>
      </c>
      <c r="K1788">
        <v>5.2564355964475402E-2</v>
      </c>
      <c r="L1788">
        <v>11462.775261590499</v>
      </c>
      <c r="M1788">
        <v>250</v>
      </c>
      <c r="N1788">
        <v>45.901869825820597</v>
      </c>
      <c r="O1788">
        <v>45.848173124949298</v>
      </c>
      <c r="P1788">
        <v>-1.19853805141354</v>
      </c>
      <c r="Q1788">
        <v>0.12078763928420699</v>
      </c>
      <c r="R1788">
        <v>0.96416744107473396</v>
      </c>
      <c r="S1788" t="s">
        <v>8240</v>
      </c>
      <c r="T1788" t="s">
        <v>12902</v>
      </c>
      <c r="U1788" t="s">
        <v>12902</v>
      </c>
      <c r="V1788" t="s">
        <v>12902</v>
      </c>
      <c r="W1788" t="s">
        <v>14658</v>
      </c>
      <c r="X1788">
        <v>14</v>
      </c>
      <c r="Y1788" t="s">
        <v>21036</v>
      </c>
      <c r="Z1788" t="s">
        <v>27363</v>
      </c>
      <c r="AA1788">
        <v>0.29233706650891361</v>
      </c>
      <c r="AB1788" t="str">
        <f>HYPERLINK("Melting_Curves/meltCurve_O95630_STAMBP.pdf", "Melting_Curves/meltCurve_O95630_STAMBP.pdf")</f>
        <v>Melting_Curves/meltCurve_O95630_STAMBP.pdf</v>
      </c>
    </row>
    <row r="1789" spans="1:28" x14ac:dyDescent="0.25">
      <c r="A1789" t="s">
        <v>1793</v>
      </c>
      <c r="B1789">
        <v>0.99673306730245903</v>
      </c>
      <c r="C1789">
        <v>0.84516070594758097</v>
      </c>
      <c r="D1789">
        <v>0.65148512712607998</v>
      </c>
      <c r="E1789">
        <v>0.39854266118683501</v>
      </c>
      <c r="F1789">
        <v>0.26688226915573998</v>
      </c>
      <c r="G1789">
        <v>0.15774230890159399</v>
      </c>
      <c r="H1789">
        <v>9.2809900922089197E-2</v>
      </c>
      <c r="I1789">
        <v>5.0548220214879203E-2</v>
      </c>
      <c r="J1789">
        <v>4.0542710604383803E-2</v>
      </c>
      <c r="K1789">
        <v>4.4603728650120203E-2</v>
      </c>
      <c r="L1789">
        <v>657.99927107485701</v>
      </c>
      <c r="M1789">
        <v>13.6672265435255</v>
      </c>
      <c r="N1789">
        <v>48.385998992964502</v>
      </c>
      <c r="O1789">
        <v>47.148696063930302</v>
      </c>
      <c r="P1789">
        <v>-7.00879013699061E-2</v>
      </c>
      <c r="Q1789">
        <v>3.2993893857783202E-2</v>
      </c>
      <c r="R1789">
        <v>0.99569506815936104</v>
      </c>
      <c r="S1789" t="s">
        <v>8241</v>
      </c>
      <c r="T1789" t="s">
        <v>12902</v>
      </c>
      <c r="U1789" t="s">
        <v>12902</v>
      </c>
      <c r="V1789" t="s">
        <v>12902</v>
      </c>
      <c r="W1789" t="s">
        <v>14659</v>
      </c>
      <c r="X1789">
        <v>3</v>
      </c>
      <c r="Y1789" t="s">
        <v>21037</v>
      </c>
      <c r="Z1789" t="s">
        <v>27364</v>
      </c>
      <c r="AA1789">
        <v>0.32508823452790792</v>
      </c>
      <c r="AB1789" t="str">
        <f>HYPERLINK("Melting_Curves/meltCurve_O95639_3_CPSF4.pdf", "Melting_Curves/meltCurve_O95639_3_CPSF4.pdf")</f>
        <v>Melting_Curves/meltCurve_O95639_3_CPSF4.pdf</v>
      </c>
    </row>
    <row r="1790" spans="1:28" x14ac:dyDescent="0.25">
      <c r="A1790" t="s">
        <v>1794</v>
      </c>
      <c r="B1790">
        <v>0.99673306730245903</v>
      </c>
      <c r="C1790">
        <v>0.81790100959848699</v>
      </c>
      <c r="D1790">
        <v>0.63288296189000104</v>
      </c>
      <c r="E1790">
        <v>0.52692658145034699</v>
      </c>
      <c r="F1790">
        <v>0.19490601484745099</v>
      </c>
      <c r="G1790">
        <v>0.120548635348473</v>
      </c>
      <c r="H1790">
        <v>7.8506807259286895E-2</v>
      </c>
      <c r="I1790">
        <v>6.6325883286583898E-2</v>
      </c>
      <c r="J1790">
        <v>7.6165291985534095E-2</v>
      </c>
      <c r="K1790">
        <v>8.3649782945847601E-2</v>
      </c>
      <c r="L1790">
        <v>671.02031351270796</v>
      </c>
      <c r="M1790">
        <v>13.9164113629677</v>
      </c>
      <c r="N1790">
        <v>48.5263086688432</v>
      </c>
      <c r="O1790">
        <v>47.254995830901201</v>
      </c>
      <c r="P1790">
        <v>-7.0517453646788894E-2</v>
      </c>
      <c r="Q1790">
        <v>4.2324776288485598E-2</v>
      </c>
      <c r="R1790">
        <v>0.98237877236890903</v>
      </c>
      <c r="S1790" t="s">
        <v>8242</v>
      </c>
      <c r="T1790" t="s">
        <v>12902</v>
      </c>
      <c r="U1790" t="s">
        <v>12902</v>
      </c>
      <c r="V1790" t="s">
        <v>12902</v>
      </c>
      <c r="W1790" t="s">
        <v>14660</v>
      </c>
      <c r="X1790">
        <v>13</v>
      </c>
      <c r="Y1790" t="s">
        <v>21038</v>
      </c>
      <c r="Z1790" t="s">
        <v>27365</v>
      </c>
      <c r="AA1790">
        <v>0.33285643350268718</v>
      </c>
      <c r="AB1790" t="str">
        <f>HYPERLINK("Melting_Curves/meltCurve_O95671_2_ASMTL.pdf", "Melting_Curves/meltCurve_O95671_2_ASMTL.pdf")</f>
        <v>Melting_Curves/meltCurve_O95671_2_ASMTL.pdf</v>
      </c>
    </row>
    <row r="1791" spans="1:28" x14ac:dyDescent="0.25">
      <c r="A1791" t="s">
        <v>1795</v>
      </c>
      <c r="B1791">
        <v>0.99673306730245903</v>
      </c>
      <c r="C1791">
        <v>0.95328043614409297</v>
      </c>
      <c r="D1791">
        <v>0.82623277276394702</v>
      </c>
      <c r="E1791">
        <v>0.59958768201386403</v>
      </c>
      <c r="F1791">
        <v>0.301385656668331</v>
      </c>
      <c r="G1791">
        <v>0.21190789743403601</v>
      </c>
      <c r="H1791">
        <v>0.15341310911669401</v>
      </c>
      <c r="I1791">
        <v>0.16911220871815799</v>
      </c>
      <c r="J1791">
        <v>0.20215439504000099</v>
      </c>
      <c r="K1791">
        <v>0.18089152662133701</v>
      </c>
      <c r="L1791">
        <v>1016.2831837464601</v>
      </c>
      <c r="M1791">
        <v>20.567642515273299</v>
      </c>
      <c r="N1791">
        <v>50.399289339207897</v>
      </c>
      <c r="O1791">
        <v>48.951760684945199</v>
      </c>
      <c r="P1791">
        <v>-8.7622485542658599E-2</v>
      </c>
      <c r="Q1791">
        <v>0.16584509413722801</v>
      </c>
      <c r="R1791">
        <v>0.99590258012631905</v>
      </c>
      <c r="S1791" t="s">
        <v>8243</v>
      </c>
      <c r="T1791" t="s">
        <v>12902</v>
      </c>
      <c r="U1791" t="s">
        <v>12902</v>
      </c>
      <c r="V1791" t="s">
        <v>12902</v>
      </c>
      <c r="W1791" t="s">
        <v>14661</v>
      </c>
      <c r="X1791">
        <v>6</v>
      </c>
      <c r="Y1791" t="s">
        <v>21039</v>
      </c>
      <c r="Z1791" t="s">
        <v>27366</v>
      </c>
      <c r="AA1791">
        <v>0.43855237161727978</v>
      </c>
      <c r="AB1791" t="str">
        <f>HYPERLINK("Melting_Curves/meltCurve_O95684_FGFR1OP.pdf", "Melting_Curves/meltCurve_O95684_FGFR1OP.pdf")</f>
        <v>Melting_Curves/meltCurve_O95684_FGFR1OP.pdf</v>
      </c>
    </row>
    <row r="1792" spans="1:28" x14ac:dyDescent="0.25">
      <c r="A1792" t="s">
        <v>1796</v>
      </c>
      <c r="B1792">
        <v>0.99673306730245903</v>
      </c>
      <c r="C1792">
        <v>0.95767949704740696</v>
      </c>
      <c r="D1792">
        <v>0.95707462146825295</v>
      </c>
      <c r="E1792">
        <v>1.06644188790219</v>
      </c>
      <c r="F1792">
        <v>0.65814714220701898</v>
      </c>
      <c r="G1792">
        <v>0.194847211345132</v>
      </c>
      <c r="H1792">
        <v>7.8849494806777207E-2</v>
      </c>
      <c r="I1792">
        <v>5.7915116650780599E-2</v>
      </c>
      <c r="J1792">
        <v>7.5613089572635003E-2</v>
      </c>
      <c r="K1792">
        <v>4.9024739096074903E-2</v>
      </c>
      <c r="L1792">
        <v>2259.05936554866</v>
      </c>
      <c r="M1792">
        <v>41.826752556531801</v>
      </c>
      <c r="N1792">
        <v>54.195036216525999</v>
      </c>
      <c r="O1792">
        <v>53.886896950652101</v>
      </c>
      <c r="P1792">
        <v>-0.18113135914171899</v>
      </c>
      <c r="Q1792">
        <v>6.6569680291256997E-2</v>
      </c>
      <c r="R1792">
        <v>0.99312581148345103</v>
      </c>
      <c r="S1792" t="s">
        <v>8244</v>
      </c>
      <c r="T1792" t="s">
        <v>12902</v>
      </c>
      <c r="U1792" t="s">
        <v>12902</v>
      </c>
      <c r="V1792" t="s">
        <v>12902</v>
      </c>
      <c r="W1792" t="s">
        <v>14662</v>
      </c>
      <c r="X1792">
        <v>1</v>
      </c>
      <c r="Y1792" t="s">
        <v>21040</v>
      </c>
      <c r="Z1792" t="s">
        <v>27367</v>
      </c>
      <c r="AA1792">
        <v>0.50565944875324553</v>
      </c>
      <c r="AB1792" t="str">
        <f>HYPERLINK("Melting_Curves/meltCurve_O95707_POP4.pdf", "Melting_Curves/meltCurve_O95707_POP4.pdf")</f>
        <v>Melting_Curves/meltCurve_O95707_POP4.pdf</v>
      </c>
    </row>
    <row r="1793" spans="1:28" x14ac:dyDescent="0.25">
      <c r="A1793" t="s">
        <v>1797</v>
      </c>
      <c r="B1793">
        <v>0.99673306730245903</v>
      </c>
      <c r="C1793">
        <v>1.00314476130691</v>
      </c>
      <c r="D1793">
        <v>0.96183675414797598</v>
      </c>
      <c r="E1793">
        <v>0.92660549226424804</v>
      </c>
      <c r="F1793">
        <v>0.89179458466168104</v>
      </c>
      <c r="G1793">
        <v>0.833864788028299</v>
      </c>
      <c r="H1793">
        <v>0.61850896845053205</v>
      </c>
      <c r="I1793">
        <v>0.53133014721064997</v>
      </c>
      <c r="J1793">
        <v>0.199691321730741</v>
      </c>
      <c r="K1793">
        <v>0.211908459271411</v>
      </c>
      <c r="L1793">
        <v>884.31709591067602</v>
      </c>
      <c r="M1793">
        <v>14.0387147996401</v>
      </c>
      <c r="N1793">
        <v>62.991318572787797</v>
      </c>
      <c r="O1793">
        <v>61.754485321194601</v>
      </c>
      <c r="P1793">
        <v>-5.6840213965933702E-2</v>
      </c>
      <c r="Q1793">
        <v>0</v>
      </c>
      <c r="R1793">
        <v>0.97419635708942398</v>
      </c>
      <c r="S1793" t="s">
        <v>8245</v>
      </c>
      <c r="T1793" t="s">
        <v>12902</v>
      </c>
      <c r="U1793" t="s">
        <v>12902</v>
      </c>
      <c r="V1793" t="s">
        <v>12902</v>
      </c>
      <c r="W1793" t="s">
        <v>14663</v>
      </c>
      <c r="X1793">
        <v>5</v>
      </c>
      <c r="Y1793" t="s">
        <v>21041</v>
      </c>
      <c r="Z1793" t="s">
        <v>27368</v>
      </c>
      <c r="AA1793">
        <v>0.75455439802721047</v>
      </c>
      <c r="AB1793" t="str">
        <f>HYPERLINK("Melting_Curves/meltCurve_O95716_RAB3D.pdf", "Melting_Curves/meltCurve_O95716_RAB3D.pdf")</f>
        <v>Melting_Curves/meltCurve_O95716_RAB3D.pdf</v>
      </c>
    </row>
    <row r="1794" spans="1:28" x14ac:dyDescent="0.25">
      <c r="A1794" t="s">
        <v>1798</v>
      </c>
      <c r="B1794">
        <v>0.99673306730245903</v>
      </c>
      <c r="C1794">
        <v>0.97970893861807895</v>
      </c>
      <c r="D1794">
        <v>0.95636634335059201</v>
      </c>
      <c r="E1794">
        <v>0.75721748470358596</v>
      </c>
      <c r="F1794">
        <v>0.76702636484645803</v>
      </c>
      <c r="G1794">
        <v>0.51202231398805298</v>
      </c>
      <c r="H1794">
        <v>0.401703394099727</v>
      </c>
      <c r="I1794">
        <v>0.65338218171265705</v>
      </c>
      <c r="J1794">
        <v>1.0103566745849899</v>
      </c>
      <c r="K1794">
        <v>1.0581488728624</v>
      </c>
      <c r="L1794">
        <v>2420.9678242334098</v>
      </c>
      <c r="M1794">
        <v>51.0352602623392</v>
      </c>
      <c r="O1794">
        <v>47.364508776287899</v>
      </c>
      <c r="P1794">
        <v>-7.18459067837382E-2</v>
      </c>
      <c r="Q1794">
        <v>0.73328695503251695</v>
      </c>
      <c r="R1794">
        <v>0.25960670275311898</v>
      </c>
      <c r="S1794" t="s">
        <v>8246</v>
      </c>
      <c r="T1794" t="s">
        <v>12902</v>
      </c>
      <c r="U1794" t="s">
        <v>12902</v>
      </c>
      <c r="V1794" t="s">
        <v>12902</v>
      </c>
      <c r="W1794" t="s">
        <v>14664</v>
      </c>
      <c r="X1794">
        <v>14</v>
      </c>
      <c r="Y1794" t="s">
        <v>21042</v>
      </c>
      <c r="Z1794" t="s">
        <v>27369</v>
      </c>
      <c r="AA1794">
        <v>0.7999425303877572</v>
      </c>
      <c r="AB1794" t="str">
        <f>HYPERLINK("Melting_Curves/meltCurve_O95721_SNAP29.pdf", "Melting_Curves/meltCurve_O95721_SNAP29.pdf")</f>
        <v>Melting_Curves/meltCurve_O95721_SNAP29.pdf</v>
      </c>
    </row>
    <row r="1795" spans="1:28" x14ac:dyDescent="0.25">
      <c r="A1795" t="s">
        <v>1799</v>
      </c>
      <c r="B1795">
        <v>0.99673306730245903</v>
      </c>
      <c r="C1795">
        <v>0.958613906766278</v>
      </c>
      <c r="D1795">
        <v>0.76725922584380202</v>
      </c>
      <c r="E1795">
        <v>0.37430648524170701</v>
      </c>
      <c r="F1795">
        <v>0.17412311128498101</v>
      </c>
      <c r="G1795">
        <v>0.116187032698071</v>
      </c>
      <c r="H1795">
        <v>7.2995284905204502E-2</v>
      </c>
      <c r="I1795">
        <v>6.22713790435033E-2</v>
      </c>
      <c r="J1795">
        <v>5.62138528634855E-2</v>
      </c>
      <c r="K1795">
        <v>4.6533688447185202E-2</v>
      </c>
      <c r="L1795">
        <v>1091.51773401739</v>
      </c>
      <c r="M1795">
        <v>22.638034083082701</v>
      </c>
      <c r="N1795">
        <v>48.501736296746699</v>
      </c>
      <c r="O1795">
        <v>47.844590540999299</v>
      </c>
      <c r="P1795">
        <v>-0.11090950779139901</v>
      </c>
      <c r="Q1795">
        <v>6.2407266300863802E-2</v>
      </c>
      <c r="R1795">
        <v>0.99896229275506598</v>
      </c>
      <c r="S1795" t="s">
        <v>8247</v>
      </c>
      <c r="T1795" t="s">
        <v>12902</v>
      </c>
      <c r="U1795" t="s">
        <v>12902</v>
      </c>
      <c r="V1795" t="s">
        <v>12902</v>
      </c>
      <c r="W1795" t="s">
        <v>14665</v>
      </c>
      <c r="X1795">
        <v>16</v>
      </c>
      <c r="Y1795" t="s">
        <v>21043</v>
      </c>
      <c r="Z1795" t="s">
        <v>27370</v>
      </c>
      <c r="AA1795">
        <v>0.32940314159170592</v>
      </c>
      <c r="AB1795" t="str">
        <f>HYPERLINK("Melting_Curves/meltCurve_O95747_OXSR1.pdf", "Melting_Curves/meltCurve_O95747_OXSR1.pdf")</f>
        <v>Melting_Curves/meltCurve_O95747_OXSR1.pdf</v>
      </c>
    </row>
    <row r="1796" spans="1:28" x14ac:dyDescent="0.25">
      <c r="A1796" t="s">
        <v>1800</v>
      </c>
      <c r="B1796">
        <v>0.99673306730245903</v>
      </c>
      <c r="C1796">
        <v>0.97249800214344195</v>
      </c>
      <c r="D1796">
        <v>1.0170030646759101</v>
      </c>
      <c r="E1796">
        <v>1.0609398195558799</v>
      </c>
      <c r="F1796">
        <v>0.97223275349908</v>
      </c>
      <c r="G1796">
        <v>0.87848748580315295</v>
      </c>
      <c r="H1796">
        <v>0.58752845850907198</v>
      </c>
      <c r="I1796">
        <v>0.19052240788300001</v>
      </c>
      <c r="J1796">
        <v>0.135889061314832</v>
      </c>
      <c r="K1796">
        <v>0.10854132839081</v>
      </c>
      <c r="L1796">
        <v>1998.30451728193</v>
      </c>
      <c r="M1796">
        <v>32.826136868896</v>
      </c>
      <c r="N1796">
        <v>61.212791103907399</v>
      </c>
      <c r="O1796">
        <v>60.650839503613</v>
      </c>
      <c r="P1796">
        <v>-0.12411113815174001</v>
      </c>
      <c r="Q1796">
        <v>8.2754301189425603E-2</v>
      </c>
      <c r="R1796">
        <v>0.99251401889380197</v>
      </c>
      <c r="S1796" t="s">
        <v>8248</v>
      </c>
      <c r="T1796" t="s">
        <v>12902</v>
      </c>
      <c r="U1796" t="s">
        <v>12902</v>
      </c>
      <c r="V1796" t="s">
        <v>12902</v>
      </c>
      <c r="W1796" t="s">
        <v>14666</v>
      </c>
      <c r="X1796">
        <v>9</v>
      </c>
      <c r="Y1796" t="s">
        <v>21044</v>
      </c>
      <c r="Z1796" t="s">
        <v>27371</v>
      </c>
      <c r="AA1796">
        <v>0.72566135078361205</v>
      </c>
      <c r="AB1796" t="str">
        <f>HYPERLINK("Melting_Curves/meltCurve_O95749_GGPS1.pdf", "Melting_Curves/meltCurve_O95749_GGPS1.pdf")</f>
        <v>Melting_Curves/meltCurve_O95749_GGPS1.pdf</v>
      </c>
    </row>
    <row r="1797" spans="1:28" x14ac:dyDescent="0.25">
      <c r="A1797" t="s">
        <v>1801</v>
      </c>
      <c r="B1797">
        <v>0.99673306730245903</v>
      </c>
      <c r="C1797">
        <v>0.99296060345824899</v>
      </c>
      <c r="D1797">
        <v>0.94064685616547306</v>
      </c>
      <c r="E1797">
        <v>0.727927955310116</v>
      </c>
      <c r="F1797">
        <v>0.39637949929016802</v>
      </c>
      <c r="G1797">
        <v>0.20400957078204801</v>
      </c>
      <c r="H1797">
        <v>0.13264530112586401</v>
      </c>
      <c r="I1797">
        <v>0.130341167918433</v>
      </c>
      <c r="J1797">
        <v>0.13088549562882501</v>
      </c>
      <c r="K1797">
        <v>8.6016870414114599E-2</v>
      </c>
      <c r="L1797">
        <v>1146.78140279434</v>
      </c>
      <c r="M1797">
        <v>22.296028469611301</v>
      </c>
      <c r="N1797">
        <v>52.003181644328698</v>
      </c>
      <c r="O1797">
        <v>51.025947256182199</v>
      </c>
      <c r="P1797">
        <v>-9.7419740751088099E-2</v>
      </c>
      <c r="Q1797">
        <v>0.10821278574773099</v>
      </c>
      <c r="R1797">
        <v>0.99923770221888197</v>
      </c>
      <c r="S1797" t="s">
        <v>8249</v>
      </c>
      <c r="T1797" t="s">
        <v>12902</v>
      </c>
      <c r="U1797" t="s">
        <v>12902</v>
      </c>
      <c r="V1797" t="s">
        <v>12902</v>
      </c>
      <c r="W1797" t="s">
        <v>14667</v>
      </c>
      <c r="X1797">
        <v>2</v>
      </c>
      <c r="Y1797" t="s">
        <v>21045</v>
      </c>
      <c r="Z1797" t="s">
        <v>27372</v>
      </c>
      <c r="AA1797">
        <v>0.45820351742906179</v>
      </c>
      <c r="AB1797" t="str">
        <f>HYPERLINK("Melting_Curves/meltCurve_O95750_FGF19.pdf", "Melting_Curves/meltCurve_O95750_FGF19.pdf")</f>
        <v>Melting_Curves/meltCurve_O95750_FGF19.pdf</v>
      </c>
    </row>
    <row r="1798" spans="1:28" x14ac:dyDescent="0.25">
      <c r="A1798" t="s">
        <v>1802</v>
      </c>
      <c r="B1798">
        <v>0.99673306730245903</v>
      </c>
      <c r="C1798">
        <v>0.65013776523898104</v>
      </c>
      <c r="D1798">
        <v>0.24347087555212699</v>
      </c>
      <c r="E1798">
        <v>8.4172337886222498E-2</v>
      </c>
      <c r="F1798">
        <v>5.0207306279012702E-2</v>
      </c>
      <c r="G1798">
        <v>3.5579134491296099E-2</v>
      </c>
      <c r="H1798">
        <v>2.7449156240357198E-2</v>
      </c>
      <c r="I1798">
        <v>3.2842290592210097E-2</v>
      </c>
      <c r="J1798">
        <v>5.5303909914464801E-2</v>
      </c>
      <c r="K1798">
        <v>4.6762707896774301E-2</v>
      </c>
      <c r="L1798">
        <v>1310.05546514466</v>
      </c>
      <c r="M1798">
        <v>29.889210306717299</v>
      </c>
      <c r="N1798">
        <v>43.963244488215203</v>
      </c>
      <c r="O1798">
        <v>43.635598459633101</v>
      </c>
      <c r="P1798">
        <v>-0.163849264628742</v>
      </c>
      <c r="Q1798">
        <v>4.3185010983401197E-2</v>
      </c>
      <c r="R1798">
        <v>0.99628750432136803</v>
      </c>
      <c r="S1798" t="s">
        <v>8250</v>
      </c>
      <c r="T1798" t="s">
        <v>12902</v>
      </c>
      <c r="U1798" t="s">
        <v>12902</v>
      </c>
      <c r="V1798" t="s">
        <v>12902</v>
      </c>
      <c r="W1798" t="s">
        <v>14668</v>
      </c>
      <c r="X1798">
        <v>7</v>
      </c>
      <c r="Y1798" t="s">
        <v>21046</v>
      </c>
      <c r="Z1798" t="s">
        <v>27373</v>
      </c>
      <c r="AA1798">
        <v>0.17262081567022741</v>
      </c>
      <c r="AB1798" t="str">
        <f>HYPERLINK("Melting_Curves/meltCurve_O95758_1_PTBP3.pdf", "Melting_Curves/meltCurve_O95758_1_PTBP3.pdf")</f>
        <v>Melting_Curves/meltCurve_O95758_1_PTBP3.pdf</v>
      </c>
    </row>
    <row r="1799" spans="1:28" x14ac:dyDescent="0.25">
      <c r="A1799" t="s">
        <v>1803</v>
      </c>
      <c r="B1799">
        <v>0.99673306730245903</v>
      </c>
      <c r="C1799">
        <v>0.94024640275764804</v>
      </c>
      <c r="D1799">
        <v>0.96210149128989897</v>
      </c>
      <c r="E1799">
        <v>1.1350854050570101</v>
      </c>
      <c r="F1799">
        <v>1.0914575349359401</v>
      </c>
      <c r="G1799">
        <v>0.91583335479376804</v>
      </c>
      <c r="H1799">
        <v>0.83082055556803602</v>
      </c>
      <c r="I1799">
        <v>1.27836562336698</v>
      </c>
      <c r="J1799">
        <v>1.5320926770407699</v>
      </c>
      <c r="K1799">
        <v>1.4523464975539999</v>
      </c>
      <c r="L1799">
        <v>15000</v>
      </c>
      <c r="M1799">
        <v>234.63861417444301</v>
      </c>
      <c r="O1799">
        <v>63.9234565739795</v>
      </c>
      <c r="P1799">
        <v>0.45169069323932598</v>
      </c>
      <c r="Q1799">
        <v>1.49222296417475</v>
      </c>
      <c r="R1799">
        <v>0.86000806937329799</v>
      </c>
      <c r="S1799" t="s">
        <v>8251</v>
      </c>
      <c r="T1799" t="s">
        <v>12902</v>
      </c>
      <c r="U1799" t="s">
        <v>12902</v>
      </c>
      <c r="V1799" t="s">
        <v>12902</v>
      </c>
      <c r="W1799" t="s">
        <v>14669</v>
      </c>
      <c r="X1799">
        <v>5</v>
      </c>
      <c r="Y1799" t="s">
        <v>21047</v>
      </c>
      <c r="Z1799" t="s">
        <v>27374</v>
      </c>
      <c r="AA1799">
        <v>1.099561649236876</v>
      </c>
      <c r="AB1799" t="str">
        <f>HYPERLINK("Melting_Curves/meltCurve_O95777_NAA38.pdf", "Melting_Curves/meltCurve_O95777_NAA38.pdf")</f>
        <v>Melting_Curves/meltCurve_O95777_NAA38.pdf</v>
      </c>
    </row>
    <row r="1800" spans="1:28" x14ac:dyDescent="0.25">
      <c r="A1800" t="s">
        <v>1804</v>
      </c>
      <c r="B1800">
        <v>0.99673306730245903</v>
      </c>
      <c r="C1800">
        <v>0.95342692320373301</v>
      </c>
      <c r="D1800">
        <v>0.98417490405391705</v>
      </c>
      <c r="E1800">
        <v>1.0126041003133099</v>
      </c>
      <c r="F1800">
        <v>0.61308238372408697</v>
      </c>
      <c r="G1800">
        <v>0.29640517999671601</v>
      </c>
      <c r="H1800">
        <v>0.14153994362925601</v>
      </c>
      <c r="I1800">
        <v>0.113907647091818</v>
      </c>
      <c r="J1800">
        <v>0.104401579814211</v>
      </c>
      <c r="K1800">
        <v>9.2909548458315394E-2</v>
      </c>
      <c r="L1800">
        <v>1644.11777006744</v>
      </c>
      <c r="M1800">
        <v>30.468971920507901</v>
      </c>
      <c r="N1800">
        <v>54.390688956768898</v>
      </c>
      <c r="O1800">
        <v>53.729553865571503</v>
      </c>
      <c r="P1800">
        <v>-0.12658768604568099</v>
      </c>
      <c r="Q1800">
        <v>0.107097127324569</v>
      </c>
      <c r="R1800">
        <v>0.99395222346822998</v>
      </c>
      <c r="S1800" t="s">
        <v>8252</v>
      </c>
      <c r="T1800" t="s">
        <v>12902</v>
      </c>
      <c r="U1800" t="s">
        <v>12902</v>
      </c>
      <c r="V1800" t="s">
        <v>12902</v>
      </c>
      <c r="W1800" t="s">
        <v>14670</v>
      </c>
      <c r="X1800">
        <v>23</v>
      </c>
      <c r="Y1800" t="s">
        <v>21048</v>
      </c>
      <c r="Z1800" t="s">
        <v>27375</v>
      </c>
      <c r="AA1800">
        <v>0.52829574458211681</v>
      </c>
      <c r="AB1800" t="str">
        <f>HYPERLINK("Melting_Curves/meltCurve_O95782_2_AP2A1.pdf", "Melting_Curves/meltCurve_O95782_2_AP2A1.pdf")</f>
        <v>Melting_Curves/meltCurve_O95782_2_AP2A1.pdf</v>
      </c>
    </row>
    <row r="1801" spans="1:28" x14ac:dyDescent="0.25">
      <c r="A1801" t="s">
        <v>1805</v>
      </c>
      <c r="B1801">
        <v>0.99673306730245903</v>
      </c>
      <c r="C1801">
        <v>0.95106435855228899</v>
      </c>
      <c r="D1801">
        <v>0.89700049914727298</v>
      </c>
      <c r="E1801">
        <v>0.50182375033572502</v>
      </c>
      <c r="F1801">
        <v>0.23821424790913401</v>
      </c>
      <c r="G1801">
        <v>0.14731111633075999</v>
      </c>
      <c r="H1801">
        <v>0.107666759270813</v>
      </c>
      <c r="I1801">
        <v>8.50522400137671E-2</v>
      </c>
      <c r="J1801">
        <v>0.104464056638312</v>
      </c>
      <c r="K1801">
        <v>8.1957272693844604E-2</v>
      </c>
      <c r="L1801">
        <v>1207.3126386024101</v>
      </c>
      <c r="M1801">
        <v>24.462772021769599</v>
      </c>
      <c r="N1801">
        <v>49.785815573478096</v>
      </c>
      <c r="O1801">
        <v>49.0267949811156</v>
      </c>
      <c r="P1801">
        <v>-0.112796336331798</v>
      </c>
      <c r="Q1801">
        <v>9.5774973474509903E-2</v>
      </c>
      <c r="R1801">
        <v>0.998082173388393</v>
      </c>
      <c r="S1801" t="s">
        <v>8253</v>
      </c>
      <c r="T1801" t="s">
        <v>12902</v>
      </c>
      <c r="U1801" t="s">
        <v>12902</v>
      </c>
      <c r="V1801" t="s">
        <v>12902</v>
      </c>
      <c r="W1801" t="s">
        <v>14671</v>
      </c>
      <c r="X1801">
        <v>11</v>
      </c>
      <c r="Y1801" t="s">
        <v>21049</v>
      </c>
      <c r="Z1801" t="s">
        <v>27376</v>
      </c>
      <c r="AA1801">
        <v>0.38608169619052379</v>
      </c>
      <c r="AB1801" t="str">
        <f>HYPERLINK("Melting_Curves/meltCurve_O95801_TTC4.pdf", "Melting_Curves/meltCurve_O95801_TTC4.pdf")</f>
        <v>Melting_Curves/meltCurve_O95801_TTC4.pdf</v>
      </c>
    </row>
    <row r="1802" spans="1:28" x14ac:dyDescent="0.25">
      <c r="A1802" t="s">
        <v>1806</v>
      </c>
      <c r="B1802">
        <v>0.99673306730245903</v>
      </c>
      <c r="C1802">
        <v>1.01815247519103</v>
      </c>
      <c r="D1802">
        <v>1.0353504485515801</v>
      </c>
      <c r="E1802">
        <v>0.80224606352223005</v>
      </c>
      <c r="F1802">
        <v>0.67017075903049195</v>
      </c>
      <c r="G1802">
        <v>0.47491995226271899</v>
      </c>
      <c r="H1802">
        <v>0.35131923845948299</v>
      </c>
      <c r="I1802">
        <v>0.36274360960702801</v>
      </c>
      <c r="J1802">
        <v>0.39555349253677402</v>
      </c>
      <c r="K1802">
        <v>0.30917767864600898</v>
      </c>
      <c r="L1802">
        <v>1046.1965527524401</v>
      </c>
      <c r="M1802">
        <v>19.808109555758101</v>
      </c>
      <c r="N1802">
        <v>55.991086530490101</v>
      </c>
      <c r="O1802">
        <v>52.287104060247501</v>
      </c>
      <c r="P1802">
        <v>-6.2759919798633906E-2</v>
      </c>
      <c r="Q1802">
        <v>0.33735758462305698</v>
      </c>
      <c r="R1802">
        <v>0.98341108887797302</v>
      </c>
      <c r="S1802" t="s">
        <v>8254</v>
      </c>
      <c r="T1802" t="s">
        <v>12902</v>
      </c>
      <c r="U1802" t="s">
        <v>12902</v>
      </c>
      <c r="V1802" t="s">
        <v>12902</v>
      </c>
      <c r="W1802" t="s">
        <v>14672</v>
      </c>
      <c r="X1802">
        <v>1</v>
      </c>
      <c r="Y1802" t="s">
        <v>21050</v>
      </c>
      <c r="Z1802" t="s">
        <v>27377</v>
      </c>
      <c r="AA1802">
        <v>0.6297310237161966</v>
      </c>
      <c r="AB1802" t="str">
        <f>HYPERLINK("Melting_Curves/meltCurve_O95807_TMEM50A.pdf", "Melting_Curves/meltCurve_O95807_TMEM50A.pdf")</f>
        <v>Melting_Curves/meltCurve_O95807_TMEM50A.pdf</v>
      </c>
    </row>
    <row r="1803" spans="1:28" x14ac:dyDescent="0.25">
      <c r="A1803" t="s">
        <v>1807</v>
      </c>
      <c r="B1803">
        <v>0.99673306730245903</v>
      </c>
      <c r="C1803">
        <v>0.97467895107139302</v>
      </c>
      <c r="D1803">
        <v>0.94911823980408705</v>
      </c>
      <c r="E1803">
        <v>0.88700620569813104</v>
      </c>
      <c r="F1803">
        <v>0.44344453251431998</v>
      </c>
      <c r="G1803">
        <v>0.26852677188537</v>
      </c>
      <c r="H1803">
        <v>0.18961457087337699</v>
      </c>
      <c r="I1803">
        <v>0.25279649341945798</v>
      </c>
      <c r="J1803">
        <v>0.40229527853202002</v>
      </c>
      <c r="K1803">
        <v>0.43950915020791398</v>
      </c>
      <c r="L1803">
        <v>2322.1638618049701</v>
      </c>
      <c r="M1803">
        <v>45.164056138191199</v>
      </c>
      <c r="N1803">
        <v>52.542059956420204</v>
      </c>
      <c r="O1803">
        <v>51.315695522614099</v>
      </c>
      <c r="P1803">
        <v>-0.151813300213122</v>
      </c>
      <c r="Q1803">
        <v>0.31003582525323498</v>
      </c>
      <c r="R1803">
        <v>0.95052649796496103</v>
      </c>
      <c r="S1803" t="s">
        <v>8255</v>
      </c>
      <c r="T1803" t="s">
        <v>12902</v>
      </c>
      <c r="U1803" t="s">
        <v>12902</v>
      </c>
      <c r="V1803" t="s">
        <v>12902</v>
      </c>
      <c r="W1803" t="s">
        <v>14673</v>
      </c>
      <c r="X1803">
        <v>7</v>
      </c>
      <c r="Y1803" t="s">
        <v>21051</v>
      </c>
      <c r="Z1803" t="s">
        <v>27378</v>
      </c>
      <c r="AA1803">
        <v>0.5745146963371186</v>
      </c>
      <c r="AB1803" t="str">
        <f>HYPERLINK("Melting_Curves/meltCurve_O95810_SDPR.pdf", "Melting_Curves/meltCurve_O95810_SDPR.pdf")</f>
        <v>Melting_Curves/meltCurve_O95810_SDPR.pdf</v>
      </c>
    </row>
    <row r="1804" spans="1:28" x14ac:dyDescent="0.25">
      <c r="A1804" t="s">
        <v>1808</v>
      </c>
      <c r="B1804">
        <v>0.99673306730245903</v>
      </c>
      <c r="C1804">
        <v>0.95293812158805202</v>
      </c>
      <c r="D1804">
        <v>0.88334408714815504</v>
      </c>
      <c r="E1804">
        <v>0.85878395890648496</v>
      </c>
      <c r="F1804">
        <v>0.67402290028867795</v>
      </c>
      <c r="G1804">
        <v>0.365208437693605</v>
      </c>
      <c r="H1804">
        <v>0.24868865503547699</v>
      </c>
      <c r="I1804">
        <v>0.29161079270764001</v>
      </c>
      <c r="J1804">
        <v>0.31151107620081497</v>
      </c>
      <c r="K1804">
        <v>0.28607113826551001</v>
      </c>
      <c r="L1804">
        <v>1172.6678617421201</v>
      </c>
      <c r="M1804">
        <v>22.105757357400002</v>
      </c>
      <c r="N1804">
        <v>54.931364191134797</v>
      </c>
      <c r="O1804">
        <v>52.619672586291202</v>
      </c>
      <c r="P1804">
        <v>-7.71253759838606E-2</v>
      </c>
      <c r="Q1804">
        <v>0.26567120300059299</v>
      </c>
      <c r="R1804">
        <v>0.97731227269959098</v>
      </c>
      <c r="S1804" t="s">
        <v>8256</v>
      </c>
      <c r="T1804" t="s">
        <v>12902</v>
      </c>
      <c r="U1804" t="s">
        <v>12902</v>
      </c>
      <c r="V1804" t="s">
        <v>12902</v>
      </c>
      <c r="W1804" t="s">
        <v>14674</v>
      </c>
      <c r="X1804">
        <v>9</v>
      </c>
      <c r="Y1804" t="s">
        <v>21052</v>
      </c>
      <c r="Z1804" t="s">
        <v>27379</v>
      </c>
      <c r="AA1804">
        <v>0.59353279852336172</v>
      </c>
      <c r="AB1804" t="str">
        <f>HYPERLINK("Melting_Curves/meltCurve_O95816_BAG2.pdf", "Melting_Curves/meltCurve_O95816_BAG2.pdf")</f>
        <v>Melting_Curves/meltCurve_O95816_BAG2.pdf</v>
      </c>
    </row>
    <row r="1805" spans="1:28" x14ac:dyDescent="0.25">
      <c r="A1805" t="s">
        <v>1809</v>
      </c>
      <c r="B1805">
        <v>0.99673306730245903</v>
      </c>
      <c r="C1805">
        <v>0.95173172775399895</v>
      </c>
      <c r="D1805">
        <v>0.92794206921669697</v>
      </c>
      <c r="E1805">
        <v>0.86889709380724001</v>
      </c>
      <c r="F1805">
        <v>0.72802838142127202</v>
      </c>
      <c r="G1805">
        <v>0.61581790619213805</v>
      </c>
      <c r="H1805">
        <v>0.385290485412766</v>
      </c>
      <c r="I1805">
        <v>0.74080046024753399</v>
      </c>
      <c r="J1805">
        <v>1.0335186108597101</v>
      </c>
      <c r="K1805">
        <v>1.1329823210323</v>
      </c>
      <c r="L1805">
        <v>1409.0099285516401</v>
      </c>
      <c r="M1805">
        <v>29.678808405008599</v>
      </c>
      <c r="O1805">
        <v>47.261311854831597</v>
      </c>
      <c r="P1805">
        <v>-3.50866952241266E-2</v>
      </c>
      <c r="Q1805">
        <v>0.77650963377214699</v>
      </c>
      <c r="R1805">
        <v>0.15035171751103599</v>
      </c>
      <c r="S1805" t="s">
        <v>8257</v>
      </c>
      <c r="T1805" t="s">
        <v>12902</v>
      </c>
      <c r="U1805" t="s">
        <v>12902</v>
      </c>
      <c r="V1805" t="s">
        <v>12902</v>
      </c>
      <c r="W1805" t="s">
        <v>14675</v>
      </c>
      <c r="X1805">
        <v>17</v>
      </c>
      <c r="Y1805" t="s">
        <v>21053</v>
      </c>
      <c r="Z1805" t="s">
        <v>27380</v>
      </c>
      <c r="AA1805">
        <v>0.83356973729486639</v>
      </c>
      <c r="AB1805" t="str">
        <f>HYPERLINK("Melting_Curves/meltCurve_O95817_BAG3.pdf", "Melting_Curves/meltCurve_O95817_BAG3.pdf")</f>
        <v>Melting_Curves/meltCurve_O95817_BAG3.pdf</v>
      </c>
    </row>
    <row r="1806" spans="1:28" x14ac:dyDescent="0.25">
      <c r="A1806" t="s">
        <v>1810</v>
      </c>
      <c r="B1806">
        <v>0.99673306730245903</v>
      </c>
      <c r="C1806">
        <v>0.97634356701858305</v>
      </c>
      <c r="D1806">
        <v>0.96156688495194897</v>
      </c>
      <c r="E1806">
        <v>1.07317113426702</v>
      </c>
      <c r="F1806">
        <v>0.71601603375484801</v>
      </c>
      <c r="G1806">
        <v>0.434827769313683</v>
      </c>
      <c r="H1806">
        <v>0.17349158399110501</v>
      </c>
      <c r="I1806">
        <v>0.121587221589271</v>
      </c>
      <c r="J1806">
        <v>0.111735517319347</v>
      </c>
      <c r="K1806">
        <v>9.1807675784539702E-2</v>
      </c>
      <c r="L1806">
        <v>1443.0176961882501</v>
      </c>
      <c r="M1806">
        <v>26.045695374273802</v>
      </c>
      <c r="N1806">
        <v>55.863297062982902</v>
      </c>
      <c r="O1806">
        <v>55.079802068909899</v>
      </c>
      <c r="P1806">
        <v>-0.106809617650371</v>
      </c>
      <c r="Q1806">
        <v>9.6513218150368493E-2</v>
      </c>
      <c r="R1806">
        <v>0.98832914874426403</v>
      </c>
      <c r="S1806" t="s">
        <v>8258</v>
      </c>
      <c r="T1806" t="s">
        <v>12902</v>
      </c>
      <c r="U1806" t="s">
        <v>12902</v>
      </c>
      <c r="V1806" t="s">
        <v>12902</v>
      </c>
      <c r="W1806" t="s">
        <v>14676</v>
      </c>
      <c r="X1806">
        <v>8</v>
      </c>
      <c r="Y1806" t="s">
        <v>21054</v>
      </c>
      <c r="Z1806" t="s">
        <v>27381</v>
      </c>
      <c r="AA1806">
        <v>0.56817092495165522</v>
      </c>
      <c r="AB1806" t="str">
        <f>HYPERLINK("Melting_Curves/meltCurve_O95822_MLYCD.pdf", "Melting_Curves/meltCurve_O95822_MLYCD.pdf")</f>
        <v>Melting_Curves/meltCurve_O95822_MLYCD.pdf</v>
      </c>
    </row>
    <row r="1807" spans="1:28" x14ac:dyDescent="0.25">
      <c r="A1807" t="s">
        <v>1811</v>
      </c>
      <c r="B1807">
        <v>0.99673306730245903</v>
      </c>
      <c r="C1807">
        <v>0.988372103928155</v>
      </c>
      <c r="D1807">
        <v>1.03301326357192</v>
      </c>
      <c r="E1807">
        <v>1.16719501568682</v>
      </c>
      <c r="F1807">
        <v>1.2005723347106401</v>
      </c>
      <c r="G1807">
        <v>0.905035106021293</v>
      </c>
      <c r="H1807">
        <v>0.30851009781384398</v>
      </c>
      <c r="I1807">
        <v>0.108204343658425</v>
      </c>
      <c r="J1807">
        <v>9.7469946325887E-2</v>
      </c>
      <c r="K1807">
        <v>9.4624840680392494E-2</v>
      </c>
      <c r="L1807">
        <v>3042.52312059121</v>
      </c>
      <c r="M1807">
        <v>51.233634410467602</v>
      </c>
      <c r="N1807">
        <v>59.624030341822298</v>
      </c>
      <c r="O1807">
        <v>59.295002771711303</v>
      </c>
      <c r="P1807">
        <v>-0.19597824082832499</v>
      </c>
      <c r="Q1807">
        <v>9.2742783388771705E-2</v>
      </c>
      <c r="R1807">
        <v>0.96510510942372896</v>
      </c>
      <c r="S1807" t="s">
        <v>8259</v>
      </c>
      <c r="T1807" t="s">
        <v>12902</v>
      </c>
      <c r="U1807" t="s">
        <v>12902</v>
      </c>
      <c r="V1807" t="s">
        <v>12902</v>
      </c>
      <c r="W1807" t="s">
        <v>14677</v>
      </c>
      <c r="X1807">
        <v>10</v>
      </c>
      <c r="Y1807" t="s">
        <v>21055</v>
      </c>
      <c r="Z1807" t="s">
        <v>27382</v>
      </c>
      <c r="AA1807">
        <v>0.68123155911748445</v>
      </c>
      <c r="AB1807" t="str">
        <f>HYPERLINK("Melting_Curves/meltCurve_O95825_CRYZL1.pdf", "Melting_Curves/meltCurve_O95825_CRYZL1.pdf")</f>
        <v>Melting_Curves/meltCurve_O95825_CRYZL1.pdf</v>
      </c>
    </row>
    <row r="1808" spans="1:28" x14ac:dyDescent="0.25">
      <c r="A1808" t="s">
        <v>1812</v>
      </c>
      <c r="B1808">
        <v>0.99673306730245903</v>
      </c>
      <c r="C1808">
        <v>0.99855182133069498</v>
      </c>
      <c r="D1808">
        <v>1.0297905056487799</v>
      </c>
      <c r="E1808">
        <v>1.13192109238587</v>
      </c>
      <c r="F1808">
        <v>1.1967376295136301</v>
      </c>
      <c r="G1808">
        <v>0.93200878970948997</v>
      </c>
      <c r="H1808">
        <v>0.57365766431145404</v>
      </c>
      <c r="I1808">
        <v>0.131891518867395</v>
      </c>
      <c r="J1808">
        <v>9.8890436826676795E-2</v>
      </c>
      <c r="K1808">
        <v>7.6779101876979602E-2</v>
      </c>
      <c r="L1808">
        <v>3090.2041534558498</v>
      </c>
      <c r="M1808">
        <v>50.709382116180301</v>
      </c>
      <c r="N1808">
        <v>61.1373978035666</v>
      </c>
      <c r="O1808">
        <v>60.8449476949896</v>
      </c>
      <c r="P1808">
        <v>-0.19258553564924699</v>
      </c>
      <c r="Q1808">
        <v>7.5686066797504503E-2</v>
      </c>
      <c r="R1808">
        <v>0.96773782952210197</v>
      </c>
      <c r="S1808" t="s">
        <v>8260</v>
      </c>
      <c r="T1808" t="s">
        <v>12902</v>
      </c>
      <c r="U1808" t="s">
        <v>12902</v>
      </c>
      <c r="V1808" t="s">
        <v>12902</v>
      </c>
      <c r="W1808" t="s">
        <v>14678</v>
      </c>
      <c r="X1808">
        <v>28</v>
      </c>
      <c r="Y1808" t="s">
        <v>21056</v>
      </c>
      <c r="Z1808" t="s">
        <v>27383</v>
      </c>
      <c r="AA1808">
        <v>0.72318462344251389</v>
      </c>
      <c r="AB1808" t="str">
        <f>HYPERLINK("Melting_Curves/meltCurve_O95831_3_AIFM1.pdf", "Melting_Curves/meltCurve_O95831_3_AIFM1.pdf")</f>
        <v>Melting_Curves/meltCurve_O95831_3_AIFM1.pdf</v>
      </c>
    </row>
    <row r="1809" spans="1:28" x14ac:dyDescent="0.25">
      <c r="A1809" t="s">
        <v>1813</v>
      </c>
      <c r="B1809">
        <v>0.99673306730245903</v>
      </c>
      <c r="C1809">
        <v>1.0953040254044699</v>
      </c>
      <c r="D1809">
        <v>0.90161626701721498</v>
      </c>
      <c r="E1809">
        <v>0.64102739802244602</v>
      </c>
      <c r="F1809">
        <v>0.349667408501174</v>
      </c>
      <c r="G1809">
        <v>0.23405867122316201</v>
      </c>
      <c r="H1809">
        <v>0.12842550650073301</v>
      </c>
      <c r="I1809">
        <v>0.107793300749755</v>
      </c>
      <c r="J1809">
        <v>0.12056492011780701</v>
      </c>
      <c r="K1809">
        <v>8.1108908113277506E-2</v>
      </c>
      <c r="L1809">
        <v>1054.4938018831999</v>
      </c>
      <c r="M1809">
        <v>20.770353765277701</v>
      </c>
      <c r="N1809">
        <v>51.348010110475499</v>
      </c>
      <c r="O1809">
        <v>50.305615697745402</v>
      </c>
      <c r="P1809">
        <v>-9.2449964251282504E-2</v>
      </c>
      <c r="Q1809">
        <v>0.104373437766801</v>
      </c>
      <c r="R1809">
        <v>0.98908013152506602</v>
      </c>
      <c r="S1809" t="s">
        <v>8261</v>
      </c>
      <c r="T1809" t="s">
        <v>12902</v>
      </c>
      <c r="U1809" t="s">
        <v>12902</v>
      </c>
      <c r="V1809" t="s">
        <v>12902</v>
      </c>
      <c r="W1809" t="s">
        <v>14679</v>
      </c>
      <c r="X1809">
        <v>2</v>
      </c>
      <c r="Y1809" t="s">
        <v>21057</v>
      </c>
      <c r="Z1809" t="s">
        <v>27384</v>
      </c>
      <c r="AA1809">
        <v>0.43745671450203533</v>
      </c>
      <c r="AB1809" t="str">
        <f>HYPERLINK("Melting_Curves/meltCurve_O95833_CLIC3.pdf", "Melting_Curves/meltCurve_O95833_CLIC3.pdf")</f>
        <v>Melting_Curves/meltCurve_O95833_CLIC3.pdf</v>
      </c>
    </row>
    <row r="1810" spans="1:28" x14ac:dyDescent="0.25">
      <c r="A1810" t="s">
        <v>1814</v>
      </c>
      <c r="B1810">
        <v>0.99673306730245903</v>
      </c>
      <c r="C1810">
        <v>1.01082313208098</v>
      </c>
      <c r="D1810">
        <v>1.01197207729501</v>
      </c>
      <c r="E1810">
        <v>0.959915371715093</v>
      </c>
      <c r="F1810">
        <v>0.50387894716371395</v>
      </c>
      <c r="G1810">
        <v>0.20443731209221899</v>
      </c>
      <c r="H1810">
        <v>0.12867648640038101</v>
      </c>
      <c r="I1810">
        <v>0.12371331697497</v>
      </c>
      <c r="J1810">
        <v>0.122350422554538</v>
      </c>
      <c r="K1810">
        <v>0.10950082785994</v>
      </c>
      <c r="L1810">
        <v>2084.2114031563201</v>
      </c>
      <c r="M1810">
        <v>39.393466502364703</v>
      </c>
      <c r="N1810">
        <v>53.2936495594071</v>
      </c>
      <c r="O1810">
        <v>52.771756608747502</v>
      </c>
      <c r="P1810">
        <v>-0.16345420411217701</v>
      </c>
      <c r="Q1810">
        <v>0.124144572626102</v>
      </c>
      <c r="R1810">
        <v>0.99898286464414898</v>
      </c>
      <c r="S1810" t="s">
        <v>8262</v>
      </c>
      <c r="T1810" t="s">
        <v>12902</v>
      </c>
      <c r="U1810" t="s">
        <v>12902</v>
      </c>
      <c r="V1810" t="s">
        <v>12902</v>
      </c>
      <c r="W1810" t="s">
        <v>14680</v>
      </c>
      <c r="X1810">
        <v>21</v>
      </c>
      <c r="Y1810" t="s">
        <v>21058</v>
      </c>
      <c r="Z1810" t="s">
        <v>27385</v>
      </c>
      <c r="AA1810">
        <v>0.50428206906571993</v>
      </c>
      <c r="AB1810" t="str">
        <f>HYPERLINK("Melting_Curves/meltCurve_O95834_2_EML2.pdf", "Melting_Curves/meltCurve_O95834_2_EML2.pdf")</f>
        <v>Melting_Curves/meltCurve_O95834_2_EML2.pdf</v>
      </c>
    </row>
    <row r="1811" spans="1:28" x14ac:dyDescent="0.25">
      <c r="A1811" t="s">
        <v>1815</v>
      </c>
      <c r="B1811">
        <v>0.99673306730245903</v>
      </c>
      <c r="C1811">
        <v>1.02528967184853</v>
      </c>
      <c r="D1811">
        <v>0.95722600383216405</v>
      </c>
      <c r="E1811">
        <v>0.91171059124195897</v>
      </c>
      <c r="F1811">
        <v>0.81256414831040003</v>
      </c>
      <c r="G1811">
        <v>0.68412987805748204</v>
      </c>
      <c r="H1811">
        <v>0.41745011665276099</v>
      </c>
      <c r="I1811">
        <v>0.126056929452973</v>
      </c>
      <c r="J1811">
        <v>0.12204287791472999</v>
      </c>
      <c r="K1811">
        <v>9.8067999050908697E-2</v>
      </c>
      <c r="L1811">
        <v>952.62077529523697</v>
      </c>
      <c r="M1811">
        <v>16.1836339397485</v>
      </c>
      <c r="N1811">
        <v>58.863218682167798</v>
      </c>
      <c r="O1811">
        <v>57.9864664718611</v>
      </c>
      <c r="P1811">
        <v>-6.9778556163036201E-2</v>
      </c>
      <c r="Q1811">
        <v>0</v>
      </c>
      <c r="R1811">
        <v>0.98742970859471602</v>
      </c>
      <c r="S1811" t="s">
        <v>8263</v>
      </c>
      <c r="T1811" t="s">
        <v>12902</v>
      </c>
      <c r="U1811" t="s">
        <v>12902</v>
      </c>
      <c r="V1811" t="s">
        <v>12902</v>
      </c>
      <c r="W1811" t="s">
        <v>14681</v>
      </c>
      <c r="X1811">
        <v>7</v>
      </c>
      <c r="Y1811" t="s">
        <v>21059</v>
      </c>
      <c r="Z1811" t="s">
        <v>27386</v>
      </c>
      <c r="AA1811">
        <v>0.63984819001660387</v>
      </c>
      <c r="AB1811" t="str">
        <f>HYPERLINK("Melting_Curves/meltCurve_O95848_NUDT14.pdf", "Melting_Curves/meltCurve_O95848_NUDT14.pdf")</f>
        <v>Melting_Curves/meltCurve_O95848_NUDT14.pdf</v>
      </c>
    </row>
    <row r="1812" spans="1:28" x14ac:dyDescent="0.25">
      <c r="A1812" t="s">
        <v>1816</v>
      </c>
      <c r="B1812">
        <v>0.99673306730245903</v>
      </c>
      <c r="C1812">
        <v>0.96382745652111901</v>
      </c>
      <c r="D1812">
        <v>0.91356717496741302</v>
      </c>
      <c r="E1812">
        <v>0.757504222339904</v>
      </c>
      <c r="F1812">
        <v>0.69875645282168997</v>
      </c>
      <c r="G1812">
        <v>0.58675842269020695</v>
      </c>
      <c r="H1812">
        <v>0.56168993058574801</v>
      </c>
      <c r="I1812">
        <v>0.63160885922318799</v>
      </c>
      <c r="J1812">
        <v>0.54872445982519402</v>
      </c>
      <c r="K1812">
        <v>0.41141425961946498</v>
      </c>
      <c r="L1812">
        <v>590.98527285791897</v>
      </c>
      <c r="M1812">
        <v>11.534659369650599</v>
      </c>
      <c r="O1812">
        <v>49.768234457899702</v>
      </c>
      <c r="P1812">
        <v>-2.9667358346799001E-2</v>
      </c>
      <c r="Q1812">
        <v>0.48812452368896803</v>
      </c>
      <c r="R1812">
        <v>0.93434004564817796</v>
      </c>
      <c r="S1812" t="s">
        <v>8264</v>
      </c>
      <c r="T1812" t="s">
        <v>12902</v>
      </c>
      <c r="U1812" t="s">
        <v>12902</v>
      </c>
      <c r="V1812" t="s">
        <v>12902</v>
      </c>
      <c r="W1812" t="s">
        <v>14682</v>
      </c>
      <c r="X1812">
        <v>3</v>
      </c>
      <c r="Y1812" t="s">
        <v>21060</v>
      </c>
      <c r="Z1812" t="s">
        <v>27387</v>
      </c>
      <c r="AA1812">
        <v>0.69720770409332833</v>
      </c>
      <c r="AB1812" t="str">
        <f>HYPERLINK("Melting_Curves/meltCurve_O95857_TSPAN13.pdf", "Melting_Curves/meltCurve_O95857_TSPAN13.pdf")</f>
        <v>Melting_Curves/meltCurve_O95857_TSPAN13.pdf</v>
      </c>
    </row>
    <row r="1813" spans="1:28" x14ac:dyDescent="0.25">
      <c r="A1813" t="s">
        <v>1817</v>
      </c>
      <c r="B1813">
        <v>0.99673306730245903</v>
      </c>
      <c r="C1813">
        <v>0.95969695740975902</v>
      </c>
      <c r="D1813">
        <v>0.947504912961598</v>
      </c>
      <c r="E1813">
        <v>1.10878696769219</v>
      </c>
      <c r="F1813">
        <v>0.72757825032907497</v>
      </c>
      <c r="G1813">
        <v>0.76062141529520899</v>
      </c>
      <c r="H1813">
        <v>0.59180284536111705</v>
      </c>
      <c r="I1813">
        <v>0.441686340777526</v>
      </c>
      <c r="J1813">
        <v>0.115176466124232</v>
      </c>
      <c r="K1813">
        <v>0.101390614084498</v>
      </c>
      <c r="L1813">
        <v>890.25244545294299</v>
      </c>
      <c r="M1813">
        <v>14.5161282063911</v>
      </c>
      <c r="N1813">
        <v>61.328505307807198</v>
      </c>
      <c r="O1813">
        <v>60.199882825903003</v>
      </c>
      <c r="P1813">
        <v>-6.0289985573250202E-2</v>
      </c>
      <c r="Q1813">
        <v>0</v>
      </c>
      <c r="R1813">
        <v>0.93260630674657097</v>
      </c>
      <c r="S1813" t="s">
        <v>8265</v>
      </c>
      <c r="T1813" t="s">
        <v>12902</v>
      </c>
      <c r="U1813" t="s">
        <v>12902</v>
      </c>
      <c r="V1813" t="s">
        <v>12902</v>
      </c>
      <c r="W1813" t="s">
        <v>12937</v>
      </c>
      <c r="X1813">
        <v>19</v>
      </c>
      <c r="Y1813" t="s">
        <v>19331</v>
      </c>
      <c r="Z1813" t="s">
        <v>27388</v>
      </c>
      <c r="AA1813">
        <v>0.71097361461702147</v>
      </c>
      <c r="AB1813" t="str">
        <f>HYPERLINK("Melting_Curves/meltCurve_O95861_BPNT1.pdf", "Melting_Curves/meltCurve_O95861_BPNT1.pdf")</f>
        <v>Melting_Curves/meltCurve_O95861_BPNT1.pdf</v>
      </c>
    </row>
    <row r="1814" spans="1:28" x14ac:dyDescent="0.25">
      <c r="A1814" t="s">
        <v>1818</v>
      </c>
      <c r="B1814">
        <v>0.99673306730245903</v>
      </c>
      <c r="C1814">
        <v>1.0334008023080901</v>
      </c>
      <c r="D1814">
        <v>1.03843557896295</v>
      </c>
      <c r="E1814">
        <v>0.97921100303494601</v>
      </c>
      <c r="F1814">
        <v>0.87025661384711095</v>
      </c>
      <c r="G1814">
        <v>0.55096478595909903</v>
      </c>
      <c r="H1814">
        <v>9.9301636088655901E-2</v>
      </c>
      <c r="I1814">
        <v>6.7122268455193104E-2</v>
      </c>
      <c r="J1814">
        <v>6.3038147161837907E-2</v>
      </c>
      <c r="K1814">
        <v>5.8721272155930399E-2</v>
      </c>
      <c r="L1814">
        <v>1879.5436744833401</v>
      </c>
      <c r="M1814">
        <v>33.0876045093842</v>
      </c>
      <c r="N1814">
        <v>56.962450767495703</v>
      </c>
      <c r="O1814">
        <v>56.598779236404397</v>
      </c>
      <c r="P1814">
        <v>-0.139766277710379</v>
      </c>
      <c r="Q1814">
        <v>4.3682286611640003E-2</v>
      </c>
      <c r="R1814">
        <v>0.99615851915764597</v>
      </c>
      <c r="S1814" t="s">
        <v>8266</v>
      </c>
      <c r="T1814" t="s">
        <v>12902</v>
      </c>
      <c r="U1814" t="s">
        <v>12902</v>
      </c>
      <c r="V1814" t="s">
        <v>12902</v>
      </c>
      <c r="W1814" t="s">
        <v>14683</v>
      </c>
      <c r="X1814">
        <v>15</v>
      </c>
      <c r="Y1814" t="s">
        <v>21061</v>
      </c>
      <c r="Z1814" t="s">
        <v>27389</v>
      </c>
      <c r="AA1814">
        <v>0.58471796814559618</v>
      </c>
      <c r="AB1814" t="str">
        <f>HYPERLINK("Melting_Curves/meltCurve_O95865_DDAH2.pdf", "Melting_Curves/meltCurve_O95865_DDAH2.pdf")</f>
        <v>Melting_Curves/meltCurve_O95865_DDAH2.pdf</v>
      </c>
    </row>
    <row r="1815" spans="1:28" x14ac:dyDescent="0.25">
      <c r="A1815" t="s">
        <v>1819</v>
      </c>
      <c r="B1815">
        <v>0.99673306730245903</v>
      </c>
      <c r="C1815">
        <v>0.85631959296123406</v>
      </c>
      <c r="D1815">
        <v>0.88126131318558698</v>
      </c>
      <c r="E1815">
        <v>0.72453124560892801</v>
      </c>
      <c r="F1815">
        <v>0.56748933373625399</v>
      </c>
      <c r="G1815">
        <v>0.55002257028115997</v>
      </c>
      <c r="H1815">
        <v>0.430427955111087</v>
      </c>
      <c r="I1815">
        <v>0.59939270848312098</v>
      </c>
      <c r="J1815">
        <v>0.65696134286946095</v>
      </c>
      <c r="K1815">
        <v>0.54039412307145895</v>
      </c>
      <c r="L1815">
        <v>836.62556653298498</v>
      </c>
      <c r="M1815">
        <v>17.583517377341199</v>
      </c>
      <c r="O1815">
        <v>46.977507150823897</v>
      </c>
      <c r="P1815">
        <v>-4.25493664243978E-2</v>
      </c>
      <c r="Q1815">
        <v>0.545311842534981</v>
      </c>
      <c r="R1815">
        <v>0.85660977904879898</v>
      </c>
      <c r="S1815" t="s">
        <v>8267</v>
      </c>
      <c r="T1815" t="s">
        <v>12902</v>
      </c>
      <c r="U1815" t="s">
        <v>12902</v>
      </c>
      <c r="V1815" t="s">
        <v>12902</v>
      </c>
      <c r="W1815" t="s">
        <v>14684</v>
      </c>
      <c r="X1815">
        <v>1</v>
      </c>
      <c r="Y1815" t="s">
        <v>21062</v>
      </c>
      <c r="Z1815" t="s">
        <v>27390</v>
      </c>
      <c r="AA1815">
        <v>0.66879684976306386</v>
      </c>
      <c r="AB1815" t="str">
        <f>HYPERLINK("Melting_Curves/meltCurve_O95873_C6orf47.pdf", "Melting_Curves/meltCurve_O95873_C6orf47.pdf")</f>
        <v>Melting_Curves/meltCurve_O95873_C6orf47.pdf</v>
      </c>
    </row>
    <row r="1816" spans="1:28" x14ac:dyDescent="0.25">
      <c r="A1816" t="s">
        <v>1820</v>
      </c>
      <c r="B1816">
        <v>0.99673306730245903</v>
      </c>
      <c r="C1816">
        <v>1.01799279391692</v>
      </c>
      <c r="D1816">
        <v>0.96749286702390003</v>
      </c>
      <c r="E1816">
        <v>0.77174289997448897</v>
      </c>
      <c r="F1816">
        <v>0.401340310314237</v>
      </c>
      <c r="G1816">
        <v>0.27486286041004199</v>
      </c>
      <c r="H1816">
        <v>0.19056019212997</v>
      </c>
      <c r="I1816">
        <v>0.24375619587928399</v>
      </c>
      <c r="J1816">
        <v>0.303880042942963</v>
      </c>
      <c r="K1816">
        <v>0.283696812292625</v>
      </c>
      <c r="L1816">
        <v>1663.9505340429</v>
      </c>
      <c r="M1816">
        <v>32.725573544779003</v>
      </c>
      <c r="N1816">
        <v>51.975466381776499</v>
      </c>
      <c r="O1816">
        <v>50.656844273626596</v>
      </c>
      <c r="P1816">
        <v>-0.12039908087953</v>
      </c>
      <c r="Q1816">
        <v>0.25452686888361697</v>
      </c>
      <c r="R1816">
        <v>0.99226250708380603</v>
      </c>
      <c r="S1816" t="s">
        <v>8268</v>
      </c>
      <c r="T1816" t="s">
        <v>12902</v>
      </c>
      <c r="U1816" t="s">
        <v>12902</v>
      </c>
      <c r="V1816" t="s">
        <v>12902</v>
      </c>
      <c r="W1816" t="s">
        <v>14685</v>
      </c>
      <c r="X1816">
        <v>11</v>
      </c>
      <c r="Y1816" t="s">
        <v>21063</v>
      </c>
      <c r="Z1816" t="s">
        <v>27391</v>
      </c>
      <c r="AA1816">
        <v>0.52795530941675983</v>
      </c>
      <c r="AB1816" t="str">
        <f>HYPERLINK("Melting_Curves/meltCurve_O95881_TXNDC12.pdf", "Melting_Curves/meltCurve_O95881_TXNDC12.pdf")</f>
        <v>Melting_Curves/meltCurve_O95881_TXNDC12.pdf</v>
      </c>
    </row>
    <row r="1817" spans="1:28" x14ac:dyDescent="0.25">
      <c r="A1817" t="s">
        <v>1821</v>
      </c>
      <c r="B1817">
        <v>0.99673306730245903</v>
      </c>
      <c r="C1817">
        <v>0.98235131504456297</v>
      </c>
      <c r="D1817">
        <v>0.74729521917004105</v>
      </c>
      <c r="E1817">
        <v>0.48426372667510897</v>
      </c>
      <c r="F1817">
        <v>0.34926882182908697</v>
      </c>
      <c r="G1817">
        <v>0.19145036323966</v>
      </c>
      <c r="H1817">
        <v>0.118271756152404</v>
      </c>
      <c r="I1817">
        <v>9.6854935394745906E-2</v>
      </c>
      <c r="J1817">
        <v>0.114355104576207</v>
      </c>
      <c r="K1817">
        <v>8.8730319279256301E-2</v>
      </c>
      <c r="L1817">
        <v>782.62640744763996</v>
      </c>
      <c r="M1817">
        <v>15.896157268084901</v>
      </c>
      <c r="N1817">
        <v>49.846045313437799</v>
      </c>
      <c r="O1817">
        <v>48.474280876026398</v>
      </c>
      <c r="P1817">
        <v>-7.4716620431074798E-2</v>
      </c>
      <c r="Q1817">
        <v>8.86997207494052E-2</v>
      </c>
      <c r="R1817">
        <v>0.99263057393723297</v>
      </c>
      <c r="S1817" t="s">
        <v>8269</v>
      </c>
      <c r="T1817" t="s">
        <v>12902</v>
      </c>
      <c r="U1817" t="s">
        <v>12902</v>
      </c>
      <c r="V1817" t="s">
        <v>12902</v>
      </c>
      <c r="W1817" t="s">
        <v>14686</v>
      </c>
      <c r="X1817">
        <v>2</v>
      </c>
      <c r="Y1817" t="s">
        <v>21064</v>
      </c>
      <c r="Z1817" t="s">
        <v>27392</v>
      </c>
      <c r="AA1817">
        <v>0.38918659495340419</v>
      </c>
      <c r="AB1817" t="str">
        <f>HYPERLINK("Melting_Curves/meltCurve_O95905_ECD.pdf", "Melting_Curves/meltCurve_O95905_ECD.pdf")</f>
        <v>Melting_Curves/meltCurve_O95905_ECD.pdf</v>
      </c>
    </row>
    <row r="1818" spans="1:28" x14ac:dyDescent="0.25">
      <c r="A1818" t="s">
        <v>1822</v>
      </c>
      <c r="B1818">
        <v>0.99673306730245903</v>
      </c>
      <c r="C1818">
        <v>0.92991503483590399</v>
      </c>
      <c r="D1818">
        <v>0.96422499340400003</v>
      </c>
      <c r="E1818">
        <v>1.04178104213001</v>
      </c>
      <c r="F1818">
        <v>1.2592888959936599</v>
      </c>
      <c r="G1818">
        <v>1.4060635577981</v>
      </c>
      <c r="H1818">
        <v>1.01434149946522</v>
      </c>
      <c r="I1818">
        <v>1.6915127234162399</v>
      </c>
      <c r="J1818">
        <v>2.76138654784961</v>
      </c>
      <c r="K1818">
        <v>2.7765696247174501</v>
      </c>
      <c r="L1818">
        <v>1449.3221880370199</v>
      </c>
      <c r="M1818">
        <v>27.017397767309699</v>
      </c>
      <c r="O1818">
        <v>53.352726525795497</v>
      </c>
      <c r="P1818">
        <v>6.3299634933646404E-2</v>
      </c>
      <c r="Q1818">
        <v>1.5</v>
      </c>
      <c r="R1818">
        <v>0.246082848681133</v>
      </c>
      <c r="S1818" t="s">
        <v>8270</v>
      </c>
      <c r="T1818" t="s">
        <v>12902</v>
      </c>
      <c r="U1818" t="s">
        <v>12902</v>
      </c>
      <c r="V1818" t="s">
        <v>12902</v>
      </c>
      <c r="W1818" t="s">
        <v>14687</v>
      </c>
      <c r="X1818">
        <v>7</v>
      </c>
      <c r="Y1818" t="s">
        <v>21065</v>
      </c>
      <c r="Z1818" t="s">
        <v>27393</v>
      </c>
      <c r="AA1818">
        <v>1.2686020076040401</v>
      </c>
      <c r="AB1818" t="str">
        <f>HYPERLINK("Melting_Curves/meltCurve_O95926_SYF2.pdf", "Melting_Curves/meltCurve_O95926_SYF2.pdf")</f>
        <v>Melting_Curves/meltCurve_O95926_SYF2.pdf</v>
      </c>
    </row>
    <row r="1819" spans="1:28" x14ac:dyDescent="0.25">
      <c r="A1819" t="s">
        <v>1823</v>
      </c>
      <c r="B1819">
        <v>0.99673306730245903</v>
      </c>
      <c r="C1819">
        <v>0.85235801137048495</v>
      </c>
      <c r="D1819">
        <v>0.73379831410793905</v>
      </c>
      <c r="E1819">
        <v>0.45712695479133197</v>
      </c>
      <c r="F1819">
        <v>0.36356092278748697</v>
      </c>
      <c r="G1819">
        <v>0.26000360743268702</v>
      </c>
      <c r="H1819">
        <v>0.21291987055407399</v>
      </c>
      <c r="I1819">
        <v>0.211093998819852</v>
      </c>
      <c r="J1819">
        <v>0.31102061603501202</v>
      </c>
      <c r="K1819">
        <v>0.32975123819484697</v>
      </c>
      <c r="L1819">
        <v>868.99409465292604</v>
      </c>
      <c r="M1819">
        <v>18.458005702555798</v>
      </c>
      <c r="N1819">
        <v>49.017854552422399</v>
      </c>
      <c r="O1819">
        <v>46.537358252128598</v>
      </c>
      <c r="P1819">
        <v>-7.3476780179609499E-2</v>
      </c>
      <c r="Q1819">
        <v>0.25901800992551999</v>
      </c>
      <c r="R1819">
        <v>0.97532593150688496</v>
      </c>
      <c r="S1819" t="s">
        <v>8271</v>
      </c>
      <c r="T1819" t="s">
        <v>12902</v>
      </c>
      <c r="U1819" t="s">
        <v>12902</v>
      </c>
      <c r="V1819" t="s">
        <v>12902</v>
      </c>
      <c r="W1819" t="s">
        <v>14688</v>
      </c>
      <c r="X1819">
        <v>5</v>
      </c>
      <c r="Y1819" t="s">
        <v>21066</v>
      </c>
      <c r="Z1819" t="s">
        <v>27394</v>
      </c>
      <c r="AA1819">
        <v>0.44677205926872882</v>
      </c>
      <c r="AB1819" t="str">
        <f>HYPERLINK("Melting_Curves/meltCurve_O95983_2_MBD3.pdf", "Melting_Curves/meltCurve_O95983_2_MBD3.pdf")</f>
        <v>Melting_Curves/meltCurve_O95983_2_MBD3.pdf</v>
      </c>
    </row>
    <row r="1820" spans="1:28" x14ac:dyDescent="0.25">
      <c r="A1820" t="s">
        <v>1824</v>
      </c>
      <c r="B1820">
        <v>0.99673306730245903</v>
      </c>
      <c r="C1820">
        <v>0.87025029763200701</v>
      </c>
      <c r="D1820">
        <v>0.91105012617843195</v>
      </c>
      <c r="E1820">
        <v>0.71568529160452499</v>
      </c>
      <c r="F1820">
        <v>0.36506162392976099</v>
      </c>
      <c r="G1820">
        <v>0.18187935786776499</v>
      </c>
      <c r="H1820">
        <v>9.7334477723388907E-2</v>
      </c>
      <c r="I1820">
        <v>8.7131563949171098E-2</v>
      </c>
      <c r="J1820">
        <v>0.106517225109447</v>
      </c>
      <c r="K1820">
        <v>8.7515448295907503E-2</v>
      </c>
      <c r="L1820">
        <v>1028.1013841158999</v>
      </c>
      <c r="M1820">
        <v>20.057663965706901</v>
      </c>
      <c r="N1820">
        <v>51.682381237054102</v>
      </c>
      <c r="O1820">
        <v>50.755939055826097</v>
      </c>
      <c r="P1820">
        <v>-9.1285108233586598E-2</v>
      </c>
      <c r="Q1820">
        <v>7.6041454492799407E-2</v>
      </c>
      <c r="R1820">
        <v>0.98932829941275702</v>
      </c>
      <c r="S1820" t="s">
        <v>8272</v>
      </c>
      <c r="T1820" t="s">
        <v>12902</v>
      </c>
      <c r="U1820" t="s">
        <v>12902</v>
      </c>
      <c r="V1820" t="s">
        <v>12902</v>
      </c>
      <c r="W1820" t="s">
        <v>14689</v>
      </c>
      <c r="X1820">
        <v>9</v>
      </c>
      <c r="Y1820" t="s">
        <v>21067</v>
      </c>
      <c r="Z1820" t="s">
        <v>27395</v>
      </c>
      <c r="AA1820">
        <v>0.43549970604725929</v>
      </c>
      <c r="AB1820" t="str">
        <f>HYPERLINK("Melting_Curves/meltCurve_O95985_TOP3B.pdf", "Melting_Curves/meltCurve_O95985_TOP3B.pdf")</f>
        <v>Melting_Curves/meltCurve_O95985_TOP3B.pdf</v>
      </c>
    </row>
    <row r="1821" spans="1:28" x14ac:dyDescent="0.25">
      <c r="A1821" t="s">
        <v>1825</v>
      </c>
      <c r="B1821">
        <v>0.99673306730245903</v>
      </c>
      <c r="C1821">
        <v>0.99588948593720406</v>
      </c>
      <c r="D1821">
        <v>0.939580282638668</v>
      </c>
      <c r="E1821">
        <v>0.92369066091702901</v>
      </c>
      <c r="F1821">
        <v>0.80389112422590503</v>
      </c>
      <c r="G1821">
        <v>0.67254022517268797</v>
      </c>
      <c r="H1821">
        <v>0.32543162176095702</v>
      </c>
      <c r="I1821">
        <v>0.13846096216762999</v>
      </c>
      <c r="J1821">
        <v>0.121938968827197</v>
      </c>
      <c r="K1821">
        <v>0.10133662902530401</v>
      </c>
      <c r="L1821">
        <v>1004.94884942982</v>
      </c>
      <c r="M1821">
        <v>17.275866299835101</v>
      </c>
      <c r="N1821">
        <v>58.332283644664599</v>
      </c>
      <c r="O1821">
        <v>57.408033462045303</v>
      </c>
      <c r="P1821">
        <v>-7.3479088091920997E-2</v>
      </c>
      <c r="Q1821">
        <v>2.3367000678822102E-2</v>
      </c>
      <c r="R1821">
        <v>0.99107988066688901</v>
      </c>
      <c r="S1821" t="s">
        <v>8273</v>
      </c>
      <c r="T1821" t="s">
        <v>12902</v>
      </c>
      <c r="U1821" t="s">
        <v>12902</v>
      </c>
      <c r="V1821" t="s">
        <v>12902</v>
      </c>
      <c r="W1821" t="s">
        <v>14690</v>
      </c>
      <c r="X1821">
        <v>12</v>
      </c>
      <c r="Y1821" t="s">
        <v>21068</v>
      </c>
      <c r="Z1821" t="s">
        <v>27396</v>
      </c>
      <c r="AA1821">
        <v>0.62700951606539423</v>
      </c>
      <c r="AB1821" t="str">
        <f>HYPERLINK("Melting_Curves/meltCurve_O95989_NUDT3.pdf", "Melting_Curves/meltCurve_O95989_NUDT3.pdf")</f>
        <v>Melting_Curves/meltCurve_O95989_NUDT3.pdf</v>
      </c>
    </row>
    <row r="1822" spans="1:28" x14ac:dyDescent="0.25">
      <c r="A1822" t="s">
        <v>1826</v>
      </c>
      <c r="B1822">
        <v>0.99673306730245903</v>
      </c>
      <c r="C1822">
        <v>1.18180438252391</v>
      </c>
      <c r="D1822">
        <v>0.249709897529272</v>
      </c>
      <c r="E1822">
        <v>0.49887997541648699</v>
      </c>
      <c r="F1822">
        <v>0.24402427962170101</v>
      </c>
      <c r="G1822">
        <v>0.184412098192764</v>
      </c>
      <c r="H1822">
        <v>0.129479239616869</v>
      </c>
      <c r="I1822">
        <v>0.18901203758895299</v>
      </c>
      <c r="J1822">
        <v>0.23869036108469399</v>
      </c>
      <c r="K1822">
        <v>0.249512671909528</v>
      </c>
      <c r="L1822">
        <v>11236.676613461799</v>
      </c>
      <c r="M1822">
        <v>250</v>
      </c>
      <c r="N1822">
        <v>45.0699766678202</v>
      </c>
      <c r="O1822">
        <v>44.9438546441569</v>
      </c>
      <c r="P1822">
        <v>-1.0462235369952699</v>
      </c>
      <c r="Q1822">
        <v>0.247659310052009</v>
      </c>
      <c r="R1822">
        <v>0.90465114705869898</v>
      </c>
      <c r="S1822" t="s">
        <v>8274</v>
      </c>
      <c r="T1822" t="s">
        <v>12902</v>
      </c>
      <c r="U1822" t="s">
        <v>12902</v>
      </c>
      <c r="V1822" t="s">
        <v>12902</v>
      </c>
      <c r="W1822" t="s">
        <v>14691</v>
      </c>
      <c r="X1822">
        <v>7</v>
      </c>
      <c r="Y1822" t="s">
        <v>21069</v>
      </c>
      <c r="Z1822" t="s">
        <v>27397</v>
      </c>
      <c r="AA1822">
        <v>0.37177227348041392</v>
      </c>
      <c r="AB1822" t="str">
        <f>HYPERLINK("Melting_Curves/meltCurve_O95999_BCL10.pdf", "Melting_Curves/meltCurve_O95999_BCL10.pdf")</f>
        <v>Melting_Curves/meltCurve_O95999_BCL10.pdf</v>
      </c>
    </row>
    <row r="1823" spans="1:28" x14ac:dyDescent="0.25">
      <c r="A1823" t="s">
        <v>1827</v>
      </c>
      <c r="B1823">
        <v>0.99673306730245903</v>
      </c>
      <c r="C1823">
        <v>0.99465492299978497</v>
      </c>
      <c r="D1823">
        <v>0.83024331812838104</v>
      </c>
      <c r="E1823">
        <v>0.71733018926321701</v>
      </c>
      <c r="F1823">
        <v>0.46672155554010503</v>
      </c>
      <c r="G1823">
        <v>0.31802371874384699</v>
      </c>
      <c r="H1823">
        <v>0.236945134993577</v>
      </c>
      <c r="I1823">
        <v>0.320746198977859</v>
      </c>
      <c r="J1823">
        <v>0.30173936397829798</v>
      </c>
      <c r="K1823">
        <v>0.29373123463343798</v>
      </c>
      <c r="L1823">
        <v>943.77405182506902</v>
      </c>
      <c r="M1823">
        <v>18.796976682507299</v>
      </c>
      <c r="N1823">
        <v>52.414612514447199</v>
      </c>
      <c r="O1823">
        <v>49.650923137278198</v>
      </c>
      <c r="P1823">
        <v>-6.8780556475714405E-2</v>
      </c>
      <c r="Q1823">
        <v>0.273314007713233</v>
      </c>
      <c r="R1823">
        <v>0.98527193830016702</v>
      </c>
      <c r="S1823" t="s">
        <v>8275</v>
      </c>
      <c r="T1823" t="s">
        <v>12902</v>
      </c>
      <c r="U1823" t="s">
        <v>12902</v>
      </c>
      <c r="V1823" t="s">
        <v>12902</v>
      </c>
      <c r="W1823" t="s">
        <v>14692</v>
      </c>
      <c r="X1823">
        <v>14</v>
      </c>
      <c r="Y1823" t="s">
        <v>21070</v>
      </c>
      <c r="Z1823" t="s">
        <v>27398</v>
      </c>
      <c r="AA1823">
        <v>0.53198810323740509</v>
      </c>
      <c r="AB1823" t="str">
        <f>HYPERLINK("Melting_Curves/meltCurve_O96000_NDUFB10.pdf", "Melting_Curves/meltCurve_O96000_NDUFB10.pdf")</f>
        <v>Melting_Curves/meltCurve_O96000_NDUFB10.pdf</v>
      </c>
    </row>
    <row r="1824" spans="1:28" x14ac:dyDescent="0.25">
      <c r="A1824" t="s">
        <v>1828</v>
      </c>
      <c r="B1824">
        <v>0.99673306730245903</v>
      </c>
      <c r="C1824">
        <v>0.96526022278797896</v>
      </c>
      <c r="D1824">
        <v>0.89883014427990804</v>
      </c>
      <c r="E1824">
        <v>0.85588969522020697</v>
      </c>
      <c r="F1824">
        <v>0.65434499972996796</v>
      </c>
      <c r="G1824">
        <v>0.549620452617823</v>
      </c>
      <c r="H1824">
        <v>0.39483437678870198</v>
      </c>
      <c r="I1824">
        <v>0.56387303635228403</v>
      </c>
      <c r="J1824">
        <v>0.56565060774496001</v>
      </c>
      <c r="K1824">
        <v>0.59461384595143296</v>
      </c>
      <c r="L1824">
        <v>1181.9417835459101</v>
      </c>
      <c r="M1824">
        <v>23.2874432019184</v>
      </c>
      <c r="O1824">
        <v>50.384646933292302</v>
      </c>
      <c r="P1824">
        <v>-5.4764653493141503E-2</v>
      </c>
      <c r="Q1824">
        <v>0.52605386369614504</v>
      </c>
      <c r="R1824">
        <v>0.91515737925729401</v>
      </c>
      <c r="S1824" t="s">
        <v>8276</v>
      </c>
      <c r="T1824" t="s">
        <v>12902</v>
      </c>
      <c r="U1824" t="s">
        <v>12902</v>
      </c>
      <c r="V1824" t="s">
        <v>12902</v>
      </c>
      <c r="W1824" t="s">
        <v>14693</v>
      </c>
      <c r="X1824">
        <v>5</v>
      </c>
      <c r="Y1824" t="s">
        <v>21071</v>
      </c>
      <c r="Z1824" t="s">
        <v>27399</v>
      </c>
      <c r="AA1824">
        <v>0.70086527060319725</v>
      </c>
      <c r="AB1824" t="str">
        <f>HYPERLINK("Melting_Curves/meltCurve_O96007_MOCS2.pdf", "Melting_Curves/meltCurve_O96007_MOCS2.pdf")</f>
        <v>Melting_Curves/meltCurve_O96007_MOCS2.pdf</v>
      </c>
    </row>
    <row r="1825" spans="1:28" x14ac:dyDescent="0.25">
      <c r="A1825" t="s">
        <v>1829</v>
      </c>
      <c r="B1825">
        <v>0.99673306730245903</v>
      </c>
      <c r="C1825">
        <v>1.1126606915236901</v>
      </c>
      <c r="D1825">
        <v>1.0335383822064099</v>
      </c>
      <c r="E1825">
        <v>0.96489811326913599</v>
      </c>
      <c r="F1825">
        <v>0.87132783894545196</v>
      </c>
      <c r="G1825">
        <v>0.71093938739204499</v>
      </c>
      <c r="H1825">
        <v>0.58303058951911602</v>
      </c>
      <c r="I1825">
        <v>0.71614093887687003</v>
      </c>
      <c r="J1825">
        <v>0.82577893306819405</v>
      </c>
      <c r="K1825">
        <v>0.76883733520175901</v>
      </c>
      <c r="L1825">
        <v>4063.4197235711899</v>
      </c>
      <c r="M1825">
        <v>76.234940999019102</v>
      </c>
      <c r="O1825">
        <v>53.264634344368098</v>
      </c>
      <c r="P1825">
        <v>-0.10000010684812</v>
      </c>
      <c r="Q1825">
        <v>0.720523518599825</v>
      </c>
      <c r="R1825">
        <v>0.81220946040809905</v>
      </c>
      <c r="S1825" t="s">
        <v>8277</v>
      </c>
      <c r="T1825" t="s">
        <v>12902</v>
      </c>
      <c r="U1825" t="s">
        <v>12902</v>
      </c>
      <c r="V1825" t="s">
        <v>12902</v>
      </c>
      <c r="W1825" t="s">
        <v>14694</v>
      </c>
      <c r="X1825">
        <v>14</v>
      </c>
      <c r="Y1825" t="s">
        <v>21072</v>
      </c>
      <c r="Z1825" t="s">
        <v>27400</v>
      </c>
      <c r="AA1825">
        <v>0.84471841012765558</v>
      </c>
      <c r="AB1825" t="str">
        <f>HYPERLINK("Melting_Curves/meltCurve_O96008_TOMM40.pdf", "Melting_Curves/meltCurve_O96008_TOMM40.pdf")</f>
        <v>Melting_Curves/meltCurve_O96008_TOMM40.pdf</v>
      </c>
    </row>
    <row r="1826" spans="1:28" x14ac:dyDescent="0.25">
      <c r="A1826" t="s">
        <v>1830</v>
      </c>
      <c r="B1826">
        <v>0.99673306730245903</v>
      </c>
      <c r="C1826">
        <v>0.93632073194657295</v>
      </c>
      <c r="D1826">
        <v>0.87780427861318999</v>
      </c>
      <c r="E1826">
        <v>0.772064975488432</v>
      </c>
      <c r="F1826">
        <v>0.71510275593834904</v>
      </c>
      <c r="G1826">
        <v>0.55455914572805998</v>
      </c>
      <c r="H1826">
        <v>0.43159934304883402</v>
      </c>
      <c r="I1826">
        <v>0.58613045044178802</v>
      </c>
      <c r="J1826">
        <v>0.60502177867492501</v>
      </c>
      <c r="K1826">
        <v>0.72098293612284503</v>
      </c>
      <c r="L1826">
        <v>862.92635942627203</v>
      </c>
      <c r="M1826">
        <v>17.713134849557498</v>
      </c>
      <c r="O1826">
        <v>48.108551042969403</v>
      </c>
      <c r="P1826">
        <v>-3.8628264739702503E-2</v>
      </c>
      <c r="Q1826">
        <v>0.58036740221523797</v>
      </c>
      <c r="R1826">
        <v>0.81757463856694101</v>
      </c>
      <c r="S1826" t="s">
        <v>8278</v>
      </c>
      <c r="T1826" t="s">
        <v>12902</v>
      </c>
      <c r="U1826" t="s">
        <v>12902</v>
      </c>
      <c r="V1826" t="s">
        <v>12902</v>
      </c>
      <c r="W1826" t="s">
        <v>14695</v>
      </c>
      <c r="X1826">
        <v>7</v>
      </c>
      <c r="Y1826" t="s">
        <v>21073</v>
      </c>
      <c r="Z1826" t="s">
        <v>27401</v>
      </c>
      <c r="AA1826">
        <v>0.70984584196937417</v>
      </c>
      <c r="AB1826" t="str">
        <f>HYPERLINK("Melting_Curves/meltCurve_O96011_2_PEX11B.pdf", "Melting_Curves/meltCurve_O96011_2_PEX11B.pdf")</f>
        <v>Melting_Curves/meltCurve_O96011_2_PEX11B.pdf</v>
      </c>
    </row>
    <row r="1827" spans="1:28" x14ac:dyDescent="0.25">
      <c r="A1827" t="s">
        <v>1831</v>
      </c>
      <c r="B1827">
        <v>0.99673306730245903</v>
      </c>
      <c r="C1827">
        <v>0.98448826070269602</v>
      </c>
      <c r="D1827">
        <v>0.88876302736132395</v>
      </c>
      <c r="E1827">
        <v>0.76252549123003899</v>
      </c>
      <c r="F1827">
        <v>0.210133918278227</v>
      </c>
      <c r="G1827">
        <v>0.127985194898114</v>
      </c>
      <c r="H1827">
        <v>8.5724310952919699E-2</v>
      </c>
      <c r="I1827">
        <v>8.4051561712491493E-2</v>
      </c>
      <c r="J1827">
        <v>7.8697988155492699E-2</v>
      </c>
      <c r="K1827">
        <v>7.4047943687490098E-2</v>
      </c>
      <c r="L1827">
        <v>1876.4289753302501</v>
      </c>
      <c r="M1827">
        <v>36.900516316873798</v>
      </c>
      <c r="N1827">
        <v>51.101381572732002</v>
      </c>
      <c r="O1827">
        <v>50.702379062496597</v>
      </c>
      <c r="P1827">
        <v>-0.16690137886238399</v>
      </c>
      <c r="Q1827">
        <v>8.2693477528583803E-2</v>
      </c>
      <c r="R1827">
        <v>0.99324971980800703</v>
      </c>
      <c r="S1827" t="s">
        <v>8279</v>
      </c>
      <c r="T1827" t="s">
        <v>12902</v>
      </c>
      <c r="U1827" t="s">
        <v>12902</v>
      </c>
      <c r="V1827" t="s">
        <v>12902</v>
      </c>
      <c r="W1827" t="s">
        <v>14696</v>
      </c>
      <c r="X1827">
        <v>11</v>
      </c>
      <c r="Y1827" t="s">
        <v>21074</v>
      </c>
      <c r="Z1827" t="s">
        <v>27402</v>
      </c>
      <c r="AA1827">
        <v>0.41827720824820952</v>
      </c>
      <c r="AB1827" t="str">
        <f>HYPERLINK("Melting_Curves/meltCurve_O96013_PAK4.pdf", "Melting_Curves/meltCurve_O96013_PAK4.pdf")</f>
        <v>Melting_Curves/meltCurve_O96013_PAK4.pdf</v>
      </c>
    </row>
    <row r="1828" spans="1:28" x14ac:dyDescent="0.25">
      <c r="A1828" t="s">
        <v>1832</v>
      </c>
      <c r="B1828">
        <v>0.99673306730245903</v>
      </c>
      <c r="C1828">
        <v>1.01985896672522</v>
      </c>
      <c r="D1828">
        <v>0.93595826705177898</v>
      </c>
      <c r="E1828">
        <v>0.80732586536171502</v>
      </c>
      <c r="F1828">
        <v>0.381371926237911</v>
      </c>
      <c r="G1828">
        <v>0.21346738981218899</v>
      </c>
      <c r="H1828">
        <v>0.14418358932523601</v>
      </c>
      <c r="I1828">
        <v>0.13342379677566399</v>
      </c>
      <c r="J1828">
        <v>0.154433598814537</v>
      </c>
      <c r="K1828">
        <v>0.120953878787362</v>
      </c>
      <c r="L1828">
        <v>1456.08997590276</v>
      </c>
      <c r="M1828">
        <v>28.2151146916617</v>
      </c>
      <c r="N1828">
        <v>52.193993184350802</v>
      </c>
      <c r="O1828">
        <v>51.349601325092799</v>
      </c>
      <c r="P1828">
        <v>-0.11868639734294099</v>
      </c>
      <c r="Q1828">
        <v>0.13600255326351701</v>
      </c>
      <c r="R1828">
        <v>0.99771757858020604</v>
      </c>
      <c r="S1828" t="s">
        <v>8280</v>
      </c>
      <c r="T1828" t="s">
        <v>12902</v>
      </c>
      <c r="U1828" t="s">
        <v>12902</v>
      </c>
      <c r="V1828" t="s">
        <v>12902</v>
      </c>
      <c r="W1828" t="s">
        <v>14697</v>
      </c>
      <c r="X1828">
        <v>16</v>
      </c>
      <c r="Y1828" t="s">
        <v>21075</v>
      </c>
      <c r="Z1828" t="s">
        <v>27403</v>
      </c>
      <c r="AA1828">
        <v>0.47647203295448709</v>
      </c>
      <c r="AB1828" t="str">
        <f>HYPERLINK("Melting_Curves/meltCurve_O96017_CHEK2.pdf", "Melting_Curves/meltCurve_O96017_CHEK2.pdf")</f>
        <v>Melting_Curves/meltCurve_O96017_CHEK2.pdf</v>
      </c>
    </row>
    <row r="1829" spans="1:28" x14ac:dyDescent="0.25">
      <c r="A1829" t="s">
        <v>1833</v>
      </c>
      <c r="B1829">
        <v>0.99673306730245903</v>
      </c>
      <c r="C1829">
        <v>0.85703278103532998</v>
      </c>
      <c r="D1829">
        <v>0.53775529520652798</v>
      </c>
      <c r="E1829">
        <v>0.38840061532161202</v>
      </c>
      <c r="F1829">
        <v>0.30407588789908302</v>
      </c>
      <c r="G1829">
        <v>0.162482250214325</v>
      </c>
      <c r="H1829">
        <v>9.4893554902902397E-2</v>
      </c>
      <c r="I1829">
        <v>0.140659044195067</v>
      </c>
      <c r="J1829">
        <v>0.13526720543367099</v>
      </c>
      <c r="K1829">
        <v>0.121718698590438</v>
      </c>
      <c r="L1829">
        <v>731.03997817171398</v>
      </c>
      <c r="M1829">
        <v>15.6578363870725</v>
      </c>
      <c r="N1829">
        <v>47.535320859417197</v>
      </c>
      <c r="O1829">
        <v>45.9467938936641</v>
      </c>
      <c r="P1829">
        <v>-7.4832420025683105E-2</v>
      </c>
      <c r="Q1829">
        <v>0.121713687119981</v>
      </c>
      <c r="R1829">
        <v>0.981507276414472</v>
      </c>
      <c r="S1829" t="s">
        <v>8281</v>
      </c>
      <c r="T1829" t="s">
        <v>12902</v>
      </c>
      <c r="U1829" t="s">
        <v>12902</v>
      </c>
      <c r="V1829" t="s">
        <v>12902</v>
      </c>
      <c r="W1829" t="s">
        <v>14698</v>
      </c>
      <c r="X1829">
        <v>1</v>
      </c>
      <c r="Y1829" t="s">
        <v>21076</v>
      </c>
      <c r="Z1829" t="s">
        <v>27404</v>
      </c>
      <c r="AA1829">
        <v>0.33978523522639148</v>
      </c>
      <c r="AB1829" t="str">
        <f>HYPERLINK("Melting_Curves/meltCurve_O96018_APBA3.pdf", "Melting_Curves/meltCurve_O96018_APBA3.pdf")</f>
        <v>Melting_Curves/meltCurve_O96018_APBA3.pdf</v>
      </c>
    </row>
    <row r="1830" spans="1:28" x14ac:dyDescent="0.25">
      <c r="A1830" t="s">
        <v>1834</v>
      </c>
      <c r="B1830">
        <v>0.99673306730245903</v>
      </c>
      <c r="C1830">
        <v>0.97246379193101995</v>
      </c>
      <c r="D1830">
        <v>0.923113758542499</v>
      </c>
      <c r="E1830">
        <v>0.84185013690574095</v>
      </c>
      <c r="F1830">
        <v>0.30258428578350199</v>
      </c>
      <c r="G1830">
        <v>0.202036679438615</v>
      </c>
      <c r="H1830">
        <v>0.11181506359097799</v>
      </c>
      <c r="I1830">
        <v>9.4796744601013699E-2</v>
      </c>
      <c r="J1830">
        <v>8.9205085606484699E-2</v>
      </c>
      <c r="K1830">
        <v>8.2036898357568694E-2</v>
      </c>
      <c r="L1830">
        <v>1778.1134863842699</v>
      </c>
      <c r="M1830">
        <v>34.495301120891398</v>
      </c>
      <c r="N1830">
        <v>51.895886211094101</v>
      </c>
      <c r="O1830">
        <v>51.3742304904573</v>
      </c>
      <c r="P1830">
        <v>-0.15047108253427299</v>
      </c>
      <c r="Q1830">
        <v>0.103610419728853</v>
      </c>
      <c r="R1830">
        <v>0.99283559974866997</v>
      </c>
      <c r="S1830" t="s">
        <v>8282</v>
      </c>
      <c r="T1830" t="s">
        <v>12902</v>
      </c>
      <c r="U1830" t="s">
        <v>12902</v>
      </c>
      <c r="V1830" t="s">
        <v>12902</v>
      </c>
      <c r="W1830" t="s">
        <v>14699</v>
      </c>
      <c r="X1830">
        <v>20</v>
      </c>
      <c r="Y1830" t="s">
        <v>21077</v>
      </c>
      <c r="Z1830" t="s">
        <v>27405</v>
      </c>
      <c r="AA1830">
        <v>0.4529173050868387</v>
      </c>
      <c r="AB1830" t="str">
        <f>HYPERLINK("Melting_Curves/meltCurve_O96019_ACTL6A.pdf", "Melting_Curves/meltCurve_O96019_ACTL6A.pdf")</f>
        <v>Melting_Curves/meltCurve_O96019_ACTL6A.pdf</v>
      </c>
    </row>
    <row r="1831" spans="1:28" x14ac:dyDescent="0.25">
      <c r="A1831" t="s">
        <v>1835</v>
      </c>
      <c r="B1831">
        <v>0.99673306730245903</v>
      </c>
      <c r="C1831">
        <v>1.0217243769116799</v>
      </c>
      <c r="D1831">
        <v>0.90628189559515204</v>
      </c>
      <c r="E1831">
        <v>0.75692496826732403</v>
      </c>
      <c r="F1831">
        <v>0.37350602731918803</v>
      </c>
      <c r="G1831">
        <v>0.19800206744797899</v>
      </c>
      <c r="H1831">
        <v>0.113413400769308</v>
      </c>
      <c r="I1831">
        <v>0.119071070398926</v>
      </c>
      <c r="J1831">
        <v>0.126169001633119</v>
      </c>
      <c r="K1831">
        <v>9.3241612350361505E-2</v>
      </c>
      <c r="L1831">
        <v>1214.5229683616701</v>
      </c>
      <c r="M1831">
        <v>23.611117152991898</v>
      </c>
      <c r="N1831">
        <v>51.952969562291997</v>
      </c>
      <c r="O1831">
        <v>51.073859388616903</v>
      </c>
      <c r="P1831">
        <v>-0.103529417991381</v>
      </c>
      <c r="Q1831">
        <v>0.104225308972286</v>
      </c>
      <c r="R1831">
        <v>0.99724774511695002</v>
      </c>
      <c r="S1831" t="s">
        <v>8283</v>
      </c>
      <c r="T1831" t="s">
        <v>12902</v>
      </c>
      <c r="U1831" t="s">
        <v>12902</v>
      </c>
      <c r="V1831" t="s">
        <v>12902</v>
      </c>
      <c r="W1831" t="s">
        <v>14700</v>
      </c>
      <c r="X1831">
        <v>5</v>
      </c>
      <c r="Y1831" t="s">
        <v>21071</v>
      </c>
      <c r="Z1831" t="s">
        <v>27406</v>
      </c>
      <c r="AA1831">
        <v>0.45485577769930519</v>
      </c>
      <c r="AB1831" t="str">
        <f>HYPERLINK("Melting_Curves/meltCurve_O96033_MOCS2.pdf", "Melting_Curves/meltCurve_O96033_MOCS2.pdf")</f>
        <v>Melting_Curves/meltCurve_O96033_MOCS2.pdf</v>
      </c>
    </row>
    <row r="1832" spans="1:28" x14ac:dyDescent="0.25">
      <c r="A1832" t="s">
        <v>1836</v>
      </c>
      <c r="B1832">
        <v>0.99673306730245903</v>
      </c>
      <c r="C1832">
        <v>0.94561673061685603</v>
      </c>
      <c r="D1832">
        <v>0.87905044660958198</v>
      </c>
      <c r="E1832">
        <v>0.76715564061540198</v>
      </c>
      <c r="F1832">
        <v>0.65125358496271102</v>
      </c>
      <c r="G1832">
        <v>0.61195409761304498</v>
      </c>
      <c r="H1832">
        <v>0.47669347250711502</v>
      </c>
      <c r="I1832">
        <v>0.49514529678243902</v>
      </c>
      <c r="J1832">
        <v>0.45164205447617001</v>
      </c>
      <c r="K1832">
        <v>0.480513991747889</v>
      </c>
      <c r="L1832">
        <v>597.63667844046699</v>
      </c>
      <c r="M1832">
        <v>11.6604570854294</v>
      </c>
      <c r="N1832">
        <v>62.260843380037301</v>
      </c>
      <c r="O1832">
        <v>49.815451045096097</v>
      </c>
      <c r="P1832">
        <v>-3.2991481507022503E-2</v>
      </c>
      <c r="Q1832">
        <v>0.43637102909819597</v>
      </c>
      <c r="R1832">
        <v>0.98940582396848198</v>
      </c>
      <c r="S1832" t="s">
        <v>8284</v>
      </c>
      <c r="T1832" t="s">
        <v>12902</v>
      </c>
      <c r="U1832" t="s">
        <v>12902</v>
      </c>
      <c r="V1832" t="s">
        <v>12902</v>
      </c>
      <c r="W1832" t="s">
        <v>14701</v>
      </c>
      <c r="X1832">
        <v>8</v>
      </c>
      <c r="Y1832" t="s">
        <v>21078</v>
      </c>
      <c r="Z1832" t="s">
        <v>27407</v>
      </c>
      <c r="AA1832">
        <v>0.6666233008870015</v>
      </c>
      <c r="AB1832" t="str">
        <f>HYPERLINK("Melting_Curves/meltCurve_P00167_2_CYB5A.pdf", "Melting_Curves/meltCurve_P00167_2_CYB5A.pdf")</f>
        <v>Melting_Curves/meltCurve_P00167_2_CYB5A.pdf</v>
      </c>
    </row>
    <row r="1833" spans="1:28" x14ac:dyDescent="0.25">
      <c r="A1833" t="s">
        <v>1837</v>
      </c>
      <c r="B1833">
        <v>0.99673306730245903</v>
      </c>
      <c r="C1833">
        <v>0.899556203770142</v>
      </c>
      <c r="D1833">
        <v>1.1604218509217199</v>
      </c>
      <c r="E1833">
        <v>1.1822347087752401</v>
      </c>
      <c r="F1833">
        <v>1.0311833229179299</v>
      </c>
      <c r="G1833">
        <v>1.0392689367124299</v>
      </c>
      <c r="H1833">
        <v>0.64624913234261205</v>
      </c>
      <c r="I1833">
        <v>0.375135146589474</v>
      </c>
      <c r="J1833">
        <v>0.17729575008002699</v>
      </c>
      <c r="K1833">
        <v>9.3384007983513803E-2</v>
      </c>
      <c r="L1833">
        <v>1973.7144098085801</v>
      </c>
      <c r="M1833">
        <v>31.7822895429419</v>
      </c>
      <c r="N1833">
        <v>62.4870765543902</v>
      </c>
      <c r="O1833">
        <v>61.856770987564097</v>
      </c>
      <c r="P1833">
        <v>-0.117003475148362</v>
      </c>
      <c r="Q1833">
        <v>8.9125452094938301E-2</v>
      </c>
      <c r="R1833">
        <v>0.94626450638569104</v>
      </c>
      <c r="S1833" t="s">
        <v>8285</v>
      </c>
      <c r="T1833" t="s">
        <v>12902</v>
      </c>
      <c r="U1833" t="s">
        <v>12902</v>
      </c>
      <c r="V1833" t="s">
        <v>12902</v>
      </c>
      <c r="W1833" t="s">
        <v>14702</v>
      </c>
      <c r="X1833">
        <v>31</v>
      </c>
      <c r="Y1833" t="s">
        <v>21079</v>
      </c>
      <c r="Z1833" t="s">
        <v>27408</v>
      </c>
      <c r="AA1833">
        <v>0.76417187523739849</v>
      </c>
      <c r="AB1833" t="str">
        <f>HYPERLINK("Melting_Curves/meltCurve_P00338_LDHA.pdf", "Melting_Curves/meltCurve_P00338_LDHA.pdf")</f>
        <v>Melting_Curves/meltCurve_P00338_LDHA.pdf</v>
      </c>
    </row>
    <row r="1834" spans="1:28" x14ac:dyDescent="0.25">
      <c r="A1834" t="s">
        <v>1838</v>
      </c>
      <c r="B1834">
        <v>0.99673306730245903</v>
      </c>
      <c r="C1834">
        <v>0.954846573351261</v>
      </c>
      <c r="D1834">
        <v>1.0020678122503801</v>
      </c>
      <c r="E1834">
        <v>1.15290546523492</v>
      </c>
      <c r="F1834">
        <v>1.0726762467878299</v>
      </c>
      <c r="G1834">
        <v>1.0774566172793301</v>
      </c>
      <c r="H1834">
        <v>0.92227735996027904</v>
      </c>
      <c r="I1834">
        <v>1.00376347807422</v>
      </c>
      <c r="J1834">
        <v>0.46345375904206099</v>
      </c>
      <c r="K1834">
        <v>0.14617180604855601</v>
      </c>
      <c r="L1834">
        <v>15000</v>
      </c>
      <c r="M1834">
        <v>224.07215211509501</v>
      </c>
      <c r="N1834">
        <v>67.046150302369398</v>
      </c>
      <c r="O1834">
        <v>66.937390585652096</v>
      </c>
      <c r="P1834">
        <v>-0.71458538686390105</v>
      </c>
      <c r="Q1834">
        <v>0.14612359445242101</v>
      </c>
      <c r="R1834">
        <v>0.95319670018840796</v>
      </c>
      <c r="S1834" t="s">
        <v>8286</v>
      </c>
      <c r="T1834" t="s">
        <v>12902</v>
      </c>
      <c r="U1834" t="s">
        <v>12902</v>
      </c>
      <c r="V1834" t="s">
        <v>12902</v>
      </c>
      <c r="W1834" t="s">
        <v>14703</v>
      </c>
      <c r="X1834">
        <v>15</v>
      </c>
      <c r="Y1834" t="s">
        <v>21080</v>
      </c>
      <c r="Z1834" t="s">
        <v>27409</v>
      </c>
      <c r="AA1834">
        <v>0.91310646307673182</v>
      </c>
      <c r="AB1834" t="str">
        <f>HYPERLINK("Melting_Curves/meltCurve_P00352_ALDH1A1.pdf", "Melting_Curves/meltCurve_P00352_ALDH1A1.pdf")</f>
        <v>Melting_Curves/meltCurve_P00352_ALDH1A1.pdf</v>
      </c>
    </row>
    <row r="1835" spans="1:28" x14ac:dyDescent="0.25">
      <c r="A1835" t="s">
        <v>1839</v>
      </c>
      <c r="B1835">
        <v>0.99673306730245903</v>
      </c>
      <c r="C1835">
        <v>0.971554490995575</v>
      </c>
      <c r="D1835">
        <v>1.1020971743449099</v>
      </c>
      <c r="E1835">
        <v>1.2567231424241501</v>
      </c>
      <c r="F1835">
        <v>1.3320564839585101</v>
      </c>
      <c r="G1835">
        <v>1.01801963697071</v>
      </c>
      <c r="H1835">
        <v>0.30942600577173102</v>
      </c>
      <c r="I1835">
        <v>0.125497188145405</v>
      </c>
      <c r="J1835">
        <v>0.12004153824240101</v>
      </c>
      <c r="K1835">
        <v>0.10199015077225</v>
      </c>
      <c r="L1835">
        <v>10439.5581810038</v>
      </c>
      <c r="M1835">
        <v>172.974956151578</v>
      </c>
      <c r="N1835">
        <v>60.445069996528296</v>
      </c>
      <c r="O1835">
        <v>60.344938653996401</v>
      </c>
      <c r="P1835">
        <v>-0.63360712611684</v>
      </c>
      <c r="Q1835">
        <v>0.115826180169709</v>
      </c>
      <c r="R1835">
        <v>0.91822435250894197</v>
      </c>
      <c r="S1835" t="s">
        <v>8287</v>
      </c>
      <c r="T1835" t="s">
        <v>12902</v>
      </c>
      <c r="U1835" t="s">
        <v>12902</v>
      </c>
      <c r="V1835" t="s">
        <v>12902</v>
      </c>
      <c r="W1835" t="s">
        <v>14704</v>
      </c>
      <c r="X1835">
        <v>36</v>
      </c>
      <c r="Y1835" t="s">
        <v>21081</v>
      </c>
      <c r="Z1835" t="s">
        <v>27410</v>
      </c>
      <c r="AA1835">
        <v>0.71587495487118891</v>
      </c>
      <c r="AB1835" t="str">
        <f>HYPERLINK("Melting_Curves/meltCurve_P00367_GLUD1.pdf", "Melting_Curves/meltCurve_P00367_GLUD1.pdf")</f>
        <v>Melting_Curves/meltCurve_P00367_GLUD1.pdf</v>
      </c>
    </row>
    <row r="1836" spans="1:28" x14ac:dyDescent="0.25">
      <c r="A1836" t="s">
        <v>1840</v>
      </c>
      <c r="B1836">
        <v>0.99673306730245903</v>
      </c>
      <c r="C1836">
        <v>0.86122895938329502</v>
      </c>
      <c r="D1836">
        <v>0.48937160368566501</v>
      </c>
      <c r="E1836">
        <v>0.231990643864774</v>
      </c>
      <c r="F1836">
        <v>0.14361793217864</v>
      </c>
      <c r="G1836">
        <v>9.1016299203588003E-2</v>
      </c>
      <c r="H1836">
        <v>5.56083238818849E-2</v>
      </c>
      <c r="I1836">
        <v>5.5000540402849997E-2</v>
      </c>
      <c r="J1836">
        <v>6.2946349935448703E-2</v>
      </c>
      <c r="K1836">
        <v>6.2515311268627596E-2</v>
      </c>
      <c r="L1836">
        <v>1037.9257490709399</v>
      </c>
      <c r="M1836">
        <v>22.622594138968999</v>
      </c>
      <c r="N1836">
        <v>46.184434612786198</v>
      </c>
      <c r="O1836">
        <v>45.526054604528902</v>
      </c>
      <c r="P1836">
        <v>-0.11562672907944301</v>
      </c>
      <c r="Q1836">
        <v>6.9262469099645493E-2</v>
      </c>
      <c r="R1836">
        <v>0.99597997241449399</v>
      </c>
      <c r="S1836" t="s">
        <v>8288</v>
      </c>
      <c r="T1836" t="s">
        <v>12902</v>
      </c>
      <c r="U1836" t="s">
        <v>12902</v>
      </c>
      <c r="V1836" t="s">
        <v>12902</v>
      </c>
      <c r="W1836" t="s">
        <v>14705</v>
      </c>
      <c r="X1836">
        <v>10</v>
      </c>
      <c r="Y1836" t="s">
        <v>21082</v>
      </c>
      <c r="Z1836" t="s">
        <v>27411</v>
      </c>
      <c r="AA1836">
        <v>0.26260320703853801</v>
      </c>
      <c r="AB1836" t="str">
        <f>HYPERLINK("Melting_Curves/meltCurve_P00374_DHFR.pdf", "Melting_Curves/meltCurve_P00374_DHFR.pdf")</f>
        <v>Melting_Curves/meltCurve_P00374_DHFR.pdf</v>
      </c>
    </row>
    <row r="1837" spans="1:28" x14ac:dyDescent="0.25">
      <c r="A1837" t="s">
        <v>1841</v>
      </c>
      <c r="B1837">
        <v>0.99673306730245903</v>
      </c>
      <c r="C1837">
        <v>0.95544579906239302</v>
      </c>
      <c r="D1837">
        <v>0.90000320551552804</v>
      </c>
      <c r="E1837">
        <v>0.75502828739465999</v>
      </c>
      <c r="F1837">
        <v>0.58888643948646202</v>
      </c>
      <c r="G1837">
        <v>0.438630793282479</v>
      </c>
      <c r="H1837">
        <v>0.13831779651680801</v>
      </c>
      <c r="I1837">
        <v>7.0422440613888193E-2</v>
      </c>
      <c r="J1837">
        <v>6.74444538849574E-2</v>
      </c>
      <c r="K1837">
        <v>5.9775933927030102E-2</v>
      </c>
      <c r="L1837">
        <v>733.717360863625</v>
      </c>
      <c r="M1837">
        <v>13.4850966591505</v>
      </c>
      <c r="N1837">
        <v>54.409499673154102</v>
      </c>
      <c r="O1837">
        <v>53.254802954118603</v>
      </c>
      <c r="P1837">
        <v>-6.3314316471533599E-2</v>
      </c>
      <c r="Q1837">
        <v>0</v>
      </c>
      <c r="R1837">
        <v>0.99026724260366605</v>
      </c>
      <c r="S1837" t="s">
        <v>8289</v>
      </c>
      <c r="T1837" t="s">
        <v>12902</v>
      </c>
      <c r="U1837" t="s">
        <v>12902</v>
      </c>
      <c r="V1837" t="s">
        <v>12902</v>
      </c>
      <c r="W1837" t="s">
        <v>14706</v>
      </c>
      <c r="X1837">
        <v>14</v>
      </c>
      <c r="Y1837" t="s">
        <v>21083</v>
      </c>
      <c r="Z1837" t="s">
        <v>27412</v>
      </c>
      <c r="AA1837">
        <v>0.5028289526320604</v>
      </c>
      <c r="AB1837" t="str">
        <f>HYPERLINK("Melting_Curves/meltCurve_P00387_2_CYB5R3.pdf", "Melting_Curves/meltCurve_P00387_2_CYB5R3.pdf")</f>
        <v>Melting_Curves/meltCurve_P00387_2_CYB5R3.pdf</v>
      </c>
    </row>
    <row r="1838" spans="1:28" x14ac:dyDescent="0.25">
      <c r="A1838" t="s">
        <v>1842</v>
      </c>
      <c r="B1838">
        <v>0.99673306730245903</v>
      </c>
      <c r="C1838">
        <v>1.21449762697977</v>
      </c>
      <c r="D1838">
        <v>0.66823177972035297</v>
      </c>
      <c r="E1838">
        <v>1.09460681778985</v>
      </c>
      <c r="F1838">
        <v>0.24671928666597101</v>
      </c>
      <c r="G1838">
        <v>0.21160065642317299</v>
      </c>
      <c r="H1838">
        <v>0.16085996529874899</v>
      </c>
      <c r="I1838">
        <v>0.20120609892549901</v>
      </c>
      <c r="J1838">
        <v>0.465350571667695</v>
      </c>
      <c r="K1838">
        <v>0.23499852007182301</v>
      </c>
      <c r="L1838">
        <v>12902.571716553801</v>
      </c>
      <c r="M1838">
        <v>250</v>
      </c>
      <c r="N1838">
        <v>51.756610019574403</v>
      </c>
      <c r="O1838">
        <v>51.606984144935097</v>
      </c>
      <c r="P1838">
        <v>-0.90420621943689305</v>
      </c>
      <c r="Q1838">
        <v>0.25338630431556303</v>
      </c>
      <c r="R1838">
        <v>0.854719791162045</v>
      </c>
      <c r="S1838" t="s">
        <v>8290</v>
      </c>
      <c r="T1838" t="s">
        <v>12902</v>
      </c>
      <c r="U1838" t="s">
        <v>12902</v>
      </c>
      <c r="V1838" t="s">
        <v>12902</v>
      </c>
      <c r="W1838" t="s">
        <v>14707</v>
      </c>
      <c r="X1838">
        <v>19</v>
      </c>
      <c r="Y1838" t="s">
        <v>21084</v>
      </c>
      <c r="Z1838" t="s">
        <v>27413</v>
      </c>
      <c r="AA1838">
        <v>0.54240056854257868</v>
      </c>
      <c r="AB1838" t="str">
        <f>HYPERLINK("Melting_Curves/meltCurve_P00390_2_GSR.pdf", "Melting_Curves/meltCurve_P00390_2_GSR.pdf")</f>
        <v>Melting_Curves/meltCurve_P00390_2_GSR.pdf</v>
      </c>
    </row>
    <row r="1839" spans="1:28" x14ac:dyDescent="0.25">
      <c r="A1839" t="s">
        <v>1843</v>
      </c>
      <c r="B1839">
        <v>0.99673306730245903</v>
      </c>
      <c r="C1839">
        <v>1.02625728321629</v>
      </c>
      <c r="D1839">
        <v>0.95375949391402304</v>
      </c>
      <c r="E1839">
        <v>0.90360768565060801</v>
      </c>
      <c r="F1839">
        <v>0.79336794238747899</v>
      </c>
      <c r="G1839">
        <v>0.64036700790126599</v>
      </c>
      <c r="H1839">
        <v>0.44670492868525602</v>
      </c>
      <c r="I1839">
        <v>0.37060331951341402</v>
      </c>
      <c r="J1839">
        <v>0.141203554138463</v>
      </c>
      <c r="K1839">
        <v>0.11348197839895401</v>
      </c>
      <c r="L1839">
        <v>720.70801159672806</v>
      </c>
      <c r="M1839">
        <v>12.1071568623332</v>
      </c>
      <c r="N1839">
        <v>59.527436571617201</v>
      </c>
      <c r="O1839">
        <v>57.973248601663599</v>
      </c>
      <c r="P1839">
        <v>-5.22222609945691E-2</v>
      </c>
      <c r="Q1839">
        <v>0</v>
      </c>
      <c r="R1839">
        <v>0.98943239573882802</v>
      </c>
      <c r="S1839" t="s">
        <v>8291</v>
      </c>
      <c r="T1839" t="s">
        <v>12902</v>
      </c>
      <c r="U1839" t="s">
        <v>12902</v>
      </c>
      <c r="V1839" t="s">
        <v>12902</v>
      </c>
      <c r="W1839" t="s">
        <v>14708</v>
      </c>
      <c r="X1839">
        <v>5</v>
      </c>
      <c r="Y1839" t="s">
        <v>21085</v>
      </c>
      <c r="Z1839" t="s">
        <v>27414</v>
      </c>
      <c r="AA1839">
        <v>0.65621132291499851</v>
      </c>
      <c r="AB1839" t="str">
        <f>HYPERLINK("Melting_Curves/meltCurve_P00403_MT_CO2.pdf", "Melting_Curves/meltCurve_P00403_MT_CO2.pdf")</f>
        <v>Melting_Curves/meltCurve_P00403_MT_CO2.pdf</v>
      </c>
    </row>
    <row r="1840" spans="1:28" x14ac:dyDescent="0.25">
      <c r="A1840" t="s">
        <v>1844</v>
      </c>
      <c r="B1840">
        <v>0.99673306730245903</v>
      </c>
      <c r="C1840">
        <v>0.92857841356941295</v>
      </c>
      <c r="D1840">
        <v>1.07488296931663</v>
      </c>
      <c r="E1840">
        <v>1.0217446475448999</v>
      </c>
      <c r="F1840">
        <v>0.96706051967326701</v>
      </c>
      <c r="G1840">
        <v>0.78233826622052305</v>
      </c>
      <c r="H1840">
        <v>0.57244303494885296</v>
      </c>
      <c r="I1840">
        <v>0.79663685587148503</v>
      </c>
      <c r="J1840">
        <v>1.0163886097505901</v>
      </c>
      <c r="K1840">
        <v>1.20124417737968</v>
      </c>
      <c r="L1840">
        <v>13355.360413057</v>
      </c>
      <c r="M1840">
        <v>250</v>
      </c>
      <c r="O1840">
        <v>53.418023212198797</v>
      </c>
      <c r="P1840">
        <v>-0.147644229488607</v>
      </c>
      <c r="Q1840">
        <v>0.87381019452063302</v>
      </c>
      <c r="R1840">
        <v>0.13937257898875</v>
      </c>
      <c r="S1840" t="s">
        <v>8292</v>
      </c>
      <c r="T1840" t="s">
        <v>12902</v>
      </c>
      <c r="U1840" t="s">
        <v>12902</v>
      </c>
      <c r="V1840" t="s">
        <v>12902</v>
      </c>
      <c r="W1840" t="s">
        <v>14709</v>
      </c>
      <c r="X1840">
        <v>16</v>
      </c>
      <c r="Y1840" t="s">
        <v>21086</v>
      </c>
      <c r="Z1840" t="s">
        <v>27415</v>
      </c>
      <c r="AA1840">
        <v>0.93027699567249589</v>
      </c>
      <c r="AB1840" t="str">
        <f>HYPERLINK("Melting_Curves/meltCurve_P00441_SOD1.pdf", "Melting_Curves/meltCurve_P00441_SOD1.pdf")</f>
        <v>Melting_Curves/meltCurve_P00441_SOD1.pdf</v>
      </c>
    </row>
    <row r="1841" spans="1:28" x14ac:dyDescent="0.25">
      <c r="A1841" t="s">
        <v>1845</v>
      </c>
      <c r="B1841">
        <v>0.99673306730245903</v>
      </c>
      <c r="C1841">
        <v>1.05639664684733</v>
      </c>
      <c r="D1841">
        <v>1.05023413538726</v>
      </c>
      <c r="E1841">
        <v>0.97686893551186504</v>
      </c>
      <c r="F1841">
        <v>0.87793444516997199</v>
      </c>
      <c r="G1841">
        <v>0.79888558077871397</v>
      </c>
      <c r="H1841">
        <v>0.80675038800316801</v>
      </c>
      <c r="I1841">
        <v>1.15875361967983</v>
      </c>
      <c r="J1841">
        <v>1.42239159599941</v>
      </c>
      <c r="K1841">
        <v>1.05075180794055</v>
      </c>
      <c r="L1841">
        <v>15000</v>
      </c>
      <c r="M1841">
        <v>235.08799550375599</v>
      </c>
      <c r="O1841">
        <v>63.801294606634599</v>
      </c>
      <c r="P1841">
        <v>0.21792273190910499</v>
      </c>
      <c r="Q1841">
        <v>1.2365709689281501</v>
      </c>
      <c r="R1841">
        <v>0.44241987534300597</v>
      </c>
      <c r="S1841" t="s">
        <v>8293</v>
      </c>
      <c r="T1841" t="s">
        <v>12902</v>
      </c>
      <c r="U1841" t="s">
        <v>12902</v>
      </c>
      <c r="V1841" t="s">
        <v>12902</v>
      </c>
      <c r="W1841" t="s">
        <v>14710</v>
      </c>
      <c r="X1841">
        <v>19</v>
      </c>
      <c r="Y1841" t="s">
        <v>21087</v>
      </c>
      <c r="Z1841" t="s">
        <v>27416</v>
      </c>
      <c r="AA1841">
        <v>1.048814886945763</v>
      </c>
      <c r="AB1841" t="str">
        <f>HYPERLINK("Melting_Curves/meltCurve_P00491_PNP.pdf", "Melting_Curves/meltCurve_P00491_PNP.pdf")</f>
        <v>Melting_Curves/meltCurve_P00491_PNP.pdf</v>
      </c>
    </row>
    <row r="1842" spans="1:28" x14ac:dyDescent="0.25">
      <c r="A1842" t="s">
        <v>1846</v>
      </c>
      <c r="B1842">
        <v>0.99673306730245903</v>
      </c>
      <c r="C1842">
        <v>0.98866292244435205</v>
      </c>
      <c r="D1842">
        <v>0.99186422598492696</v>
      </c>
      <c r="E1842">
        <v>1.01527309144765</v>
      </c>
      <c r="F1842">
        <v>0.94110643058233501</v>
      </c>
      <c r="G1842">
        <v>0.85769599325979395</v>
      </c>
      <c r="H1842">
        <v>0.75835586344084305</v>
      </c>
      <c r="I1842">
        <v>1.0615014192588701</v>
      </c>
      <c r="J1842">
        <v>1.39208791262979</v>
      </c>
      <c r="K1842">
        <v>1.2955670065406899</v>
      </c>
      <c r="L1842">
        <v>15000</v>
      </c>
      <c r="M1842">
        <v>232.851520160902</v>
      </c>
      <c r="O1842">
        <v>64.413981566469303</v>
      </c>
      <c r="P1842">
        <v>0.31073712317976598</v>
      </c>
      <c r="Q1842">
        <v>1.34383825843524</v>
      </c>
      <c r="R1842">
        <v>0.72617740096852601</v>
      </c>
      <c r="S1842" t="s">
        <v>8294</v>
      </c>
      <c r="T1842" t="s">
        <v>12902</v>
      </c>
      <c r="U1842" t="s">
        <v>12902</v>
      </c>
      <c r="V1842" t="s">
        <v>12902</v>
      </c>
      <c r="W1842" t="s">
        <v>14711</v>
      </c>
      <c r="X1842">
        <v>17</v>
      </c>
      <c r="Y1842" t="s">
        <v>21088</v>
      </c>
      <c r="Z1842" t="s">
        <v>27417</v>
      </c>
      <c r="AA1842">
        <v>1.0639236227769471</v>
      </c>
      <c r="AB1842" t="str">
        <f>HYPERLINK("Melting_Curves/meltCurve_P00492_HPRT1.pdf", "Melting_Curves/meltCurve_P00492_HPRT1.pdf")</f>
        <v>Melting_Curves/meltCurve_P00492_HPRT1.pdf</v>
      </c>
    </row>
    <row r="1843" spans="1:28" x14ac:dyDescent="0.25">
      <c r="A1843" t="s">
        <v>1847</v>
      </c>
      <c r="B1843">
        <v>0.99673306730245903</v>
      </c>
      <c r="C1843">
        <v>0.96101991235739403</v>
      </c>
      <c r="D1843">
        <v>1.57181633535294</v>
      </c>
      <c r="E1843">
        <v>1.0062293091304999</v>
      </c>
      <c r="F1843">
        <v>0.91689409567686397</v>
      </c>
      <c r="G1843">
        <v>0.82159493453236099</v>
      </c>
      <c r="H1843">
        <v>0.82678089180489001</v>
      </c>
      <c r="I1843">
        <v>1.03297011778322</v>
      </c>
      <c r="J1843">
        <v>1.6194842423372799</v>
      </c>
      <c r="K1843">
        <v>0.25427909261702503</v>
      </c>
      <c r="L1843">
        <v>15000</v>
      </c>
      <c r="M1843">
        <v>215.35687127974799</v>
      </c>
      <c r="N1843">
        <v>69.651823047609298</v>
      </c>
      <c r="O1843">
        <v>69.645799028447996</v>
      </c>
      <c r="P1843">
        <v>-0.77304303050023604</v>
      </c>
      <c r="Q1843">
        <v>0</v>
      </c>
      <c r="R1843">
        <v>0.41528854815948002</v>
      </c>
      <c r="S1843" t="s">
        <v>8295</v>
      </c>
      <c r="T1843" t="s">
        <v>12902</v>
      </c>
      <c r="U1843" t="s">
        <v>12902</v>
      </c>
      <c r="V1843" t="s">
        <v>12902</v>
      </c>
      <c r="W1843" t="s">
        <v>14712</v>
      </c>
      <c r="X1843">
        <v>37</v>
      </c>
      <c r="Y1843" t="s">
        <v>21089</v>
      </c>
      <c r="Z1843" t="s">
        <v>27418</v>
      </c>
      <c r="AA1843">
        <v>0.98531829788980962</v>
      </c>
      <c r="AB1843" t="str">
        <f>HYPERLINK("Melting_Curves/meltCurve_P00505_GOT2.pdf", "Melting_Curves/meltCurve_P00505_GOT2.pdf")</f>
        <v>Melting_Curves/meltCurve_P00505_GOT2.pdf</v>
      </c>
    </row>
    <row r="1844" spans="1:28" x14ac:dyDescent="0.25">
      <c r="A1844" t="s">
        <v>1848</v>
      </c>
      <c r="B1844">
        <v>0.99673306730245903</v>
      </c>
      <c r="C1844">
        <v>0.81761814513720799</v>
      </c>
      <c r="D1844">
        <v>1.08595597611967</v>
      </c>
      <c r="E1844">
        <v>0.95664112218911301</v>
      </c>
      <c r="F1844">
        <v>0.69286170309870099</v>
      </c>
      <c r="G1844">
        <v>0.14608668922134899</v>
      </c>
      <c r="H1844">
        <v>6.0573123530113002E-2</v>
      </c>
      <c r="I1844">
        <v>4.84174873057606E-2</v>
      </c>
      <c r="J1844">
        <v>4.9584333514517999E-2</v>
      </c>
      <c r="K1844">
        <v>4.2770652239816701E-2</v>
      </c>
      <c r="L1844">
        <v>2364.5016347509199</v>
      </c>
      <c r="M1844">
        <v>43.722558148654699</v>
      </c>
      <c r="N1844">
        <v>54.202360699232798</v>
      </c>
      <c r="O1844">
        <v>53.9669056260825</v>
      </c>
      <c r="P1844">
        <v>-0.19300157837804099</v>
      </c>
      <c r="Q1844">
        <v>4.7111256906913902E-2</v>
      </c>
      <c r="R1844">
        <v>0.97781402742658996</v>
      </c>
      <c r="S1844" t="s">
        <v>8296</v>
      </c>
      <c r="T1844" t="s">
        <v>12902</v>
      </c>
      <c r="U1844" t="s">
        <v>12902</v>
      </c>
      <c r="V1844" t="s">
        <v>12902</v>
      </c>
      <c r="W1844" t="s">
        <v>14713</v>
      </c>
      <c r="X1844">
        <v>55</v>
      </c>
      <c r="Y1844" t="s">
        <v>21090</v>
      </c>
      <c r="Z1844" t="s">
        <v>27419</v>
      </c>
      <c r="AA1844">
        <v>0.49729779765074672</v>
      </c>
      <c r="AB1844" t="str">
        <f>HYPERLINK("Melting_Curves/meltCurve_P00558_PGK1.pdf", "Melting_Curves/meltCurve_P00558_PGK1.pdf")</f>
        <v>Melting_Curves/meltCurve_P00558_PGK1.pdf</v>
      </c>
    </row>
    <row r="1845" spans="1:28" x14ac:dyDescent="0.25">
      <c r="A1845" t="s">
        <v>1849</v>
      </c>
      <c r="B1845">
        <v>0.99673306730245903</v>
      </c>
      <c r="C1845">
        <v>1.15363655629266</v>
      </c>
      <c r="D1845">
        <v>0.788532079724377</v>
      </c>
      <c r="E1845">
        <v>1.1500434675315001</v>
      </c>
      <c r="F1845">
        <v>0.68976701789376205</v>
      </c>
      <c r="G1845">
        <v>0.78711713381420301</v>
      </c>
      <c r="H1845">
        <v>0.47517373410088098</v>
      </c>
      <c r="I1845">
        <v>0.242708152990017</v>
      </c>
      <c r="J1845">
        <v>0.10597527385279699</v>
      </c>
      <c r="K1845">
        <v>8.9848444229808103E-2</v>
      </c>
      <c r="L1845">
        <v>967.58805649677299</v>
      </c>
      <c r="M1845">
        <v>16.149823561931399</v>
      </c>
      <c r="N1845">
        <v>59.913227835515301</v>
      </c>
      <c r="O1845">
        <v>59.017186780360298</v>
      </c>
      <c r="P1845">
        <v>-6.8416698245199498E-2</v>
      </c>
      <c r="Q1845">
        <v>0</v>
      </c>
      <c r="R1845">
        <v>0.89978025352598101</v>
      </c>
      <c r="S1845" t="s">
        <v>8297</v>
      </c>
      <c r="T1845" t="s">
        <v>12902</v>
      </c>
      <c r="U1845" t="s">
        <v>12902</v>
      </c>
      <c r="V1845" t="s">
        <v>12902</v>
      </c>
      <c r="W1845" t="s">
        <v>14714</v>
      </c>
      <c r="X1845">
        <v>22</v>
      </c>
      <c r="Y1845" t="s">
        <v>21091</v>
      </c>
      <c r="Z1845" t="s">
        <v>27420</v>
      </c>
      <c r="AA1845">
        <v>0.67172020329104121</v>
      </c>
      <c r="AB1845" t="str">
        <f>HYPERLINK("Melting_Curves/meltCurve_P00813_ADA.pdf", "Melting_Curves/meltCurve_P00813_ADA.pdf")</f>
        <v>Melting_Curves/meltCurve_P00813_ADA.pdf</v>
      </c>
    </row>
    <row r="1846" spans="1:28" x14ac:dyDescent="0.25">
      <c r="A1846" t="s">
        <v>1850</v>
      </c>
      <c r="B1846">
        <v>0.99673306730245903</v>
      </c>
      <c r="C1846">
        <v>1.01145294578206</v>
      </c>
      <c r="D1846">
        <v>0.92542874183036306</v>
      </c>
      <c r="E1846">
        <v>0.56444616811541704</v>
      </c>
      <c r="F1846">
        <v>0.23442631296421501</v>
      </c>
      <c r="G1846">
        <v>0.179856463248771</v>
      </c>
      <c r="H1846">
        <v>0.151424927093365</v>
      </c>
      <c r="I1846">
        <v>0.127298587160902</v>
      </c>
      <c r="J1846">
        <v>0.10450031900663601</v>
      </c>
      <c r="K1846">
        <v>7.0553861610390095E-2</v>
      </c>
      <c r="L1846">
        <v>1382.38657074753</v>
      </c>
      <c r="M1846">
        <v>27.815591234511398</v>
      </c>
      <c r="N1846">
        <v>50.184900483775003</v>
      </c>
      <c r="O1846">
        <v>49.443519597395003</v>
      </c>
      <c r="P1846">
        <v>-0.124019490652128</v>
      </c>
      <c r="Q1846">
        <v>0.118205889248492</v>
      </c>
      <c r="R1846">
        <v>0.99632216846367505</v>
      </c>
      <c r="S1846" t="s">
        <v>8298</v>
      </c>
      <c r="T1846" t="s">
        <v>12902</v>
      </c>
      <c r="U1846" t="s">
        <v>12902</v>
      </c>
      <c r="V1846" t="s">
        <v>12902</v>
      </c>
      <c r="W1846" t="s">
        <v>14715</v>
      </c>
      <c r="X1846">
        <v>6</v>
      </c>
      <c r="Y1846" t="s">
        <v>21092</v>
      </c>
      <c r="Z1846" t="s">
        <v>27421</v>
      </c>
      <c r="AA1846">
        <v>0.40959671983350421</v>
      </c>
      <c r="AB1846" t="str">
        <f>HYPERLINK("Melting_Curves/meltCurve_P00918_CA2.pdf", "Melting_Curves/meltCurve_P00918_CA2.pdf")</f>
        <v>Melting_Curves/meltCurve_P00918_CA2.pdf</v>
      </c>
    </row>
    <row r="1847" spans="1:28" x14ac:dyDescent="0.25">
      <c r="A1847" t="s">
        <v>1851</v>
      </c>
      <c r="B1847">
        <v>0.99673306730245903</v>
      </c>
      <c r="C1847">
        <v>0.94966705496212001</v>
      </c>
      <c r="D1847">
        <v>0.99575679700483899</v>
      </c>
      <c r="E1847">
        <v>1.08633261106469</v>
      </c>
      <c r="F1847">
        <v>0.42763972921189403</v>
      </c>
      <c r="G1847">
        <v>0.223111232013741</v>
      </c>
      <c r="H1847">
        <v>0.1302217228875</v>
      </c>
      <c r="I1847">
        <v>7.7413855377985397E-2</v>
      </c>
      <c r="J1847">
        <v>8.0144945381709604E-2</v>
      </c>
      <c r="K1847">
        <v>6.71681358160824E-2</v>
      </c>
      <c r="L1847">
        <v>6538.2372569256704</v>
      </c>
      <c r="M1847">
        <v>123.504676069493</v>
      </c>
      <c r="N1847">
        <v>53.052073423358699</v>
      </c>
      <c r="O1847">
        <v>52.925312129952403</v>
      </c>
      <c r="P1847">
        <v>-0.51598303568245096</v>
      </c>
      <c r="Q1847">
        <v>0.11554564286868201</v>
      </c>
      <c r="R1847">
        <v>0.98508066351404</v>
      </c>
      <c r="S1847" t="s">
        <v>8299</v>
      </c>
      <c r="T1847" t="s">
        <v>12902</v>
      </c>
      <c r="U1847" t="s">
        <v>12902</v>
      </c>
      <c r="V1847" t="s">
        <v>12902</v>
      </c>
      <c r="W1847" t="s">
        <v>14716</v>
      </c>
      <c r="X1847">
        <v>26</v>
      </c>
      <c r="Y1847" t="s">
        <v>21093</v>
      </c>
      <c r="Z1847" t="s">
        <v>27422</v>
      </c>
      <c r="AA1847">
        <v>0.49735327573026472</v>
      </c>
      <c r="AB1847" t="str">
        <f>HYPERLINK("Melting_Curves/meltCurve_P00966_ASS1.pdf", "Melting_Curves/meltCurve_P00966_ASS1.pdf")</f>
        <v>Melting_Curves/meltCurve_P00966_ASS1.pdf</v>
      </c>
    </row>
    <row r="1848" spans="1:28" x14ac:dyDescent="0.25">
      <c r="A1848" t="s">
        <v>1852</v>
      </c>
      <c r="B1848">
        <v>0.99673306730245903</v>
      </c>
      <c r="C1848">
        <v>0.97185591373290303</v>
      </c>
      <c r="D1848">
        <v>0.94159956096174202</v>
      </c>
      <c r="E1848">
        <v>0.99745718882263501</v>
      </c>
      <c r="F1848">
        <v>0.90083593574101695</v>
      </c>
      <c r="G1848">
        <v>0.66632090175754499</v>
      </c>
      <c r="H1848">
        <v>0.50500923381193996</v>
      </c>
      <c r="I1848">
        <v>0.42398632041752599</v>
      </c>
      <c r="J1848">
        <v>0.38409694071645001</v>
      </c>
      <c r="K1848">
        <v>0.198747546032811</v>
      </c>
      <c r="L1848">
        <v>792.76980220333701</v>
      </c>
      <c r="M1848">
        <v>13.2783743322225</v>
      </c>
      <c r="N1848">
        <v>61.419028550339497</v>
      </c>
      <c r="O1848">
        <v>58.398433747360002</v>
      </c>
      <c r="P1848">
        <v>-4.8045786814922303E-2</v>
      </c>
      <c r="Q1848">
        <v>0.15491392582871499</v>
      </c>
      <c r="R1848">
        <v>0.97711092125348298</v>
      </c>
      <c r="S1848" t="s">
        <v>8300</v>
      </c>
      <c r="T1848" t="s">
        <v>12902</v>
      </c>
      <c r="U1848" t="s">
        <v>12902</v>
      </c>
      <c r="V1848" t="s">
        <v>12902</v>
      </c>
      <c r="W1848" t="s">
        <v>14717</v>
      </c>
      <c r="X1848">
        <v>4</v>
      </c>
      <c r="Y1848" t="s">
        <v>21094</v>
      </c>
      <c r="Z1848" t="s">
        <v>27423</v>
      </c>
      <c r="AA1848">
        <v>0.71527663019676302</v>
      </c>
      <c r="AB1848" t="str">
        <f>HYPERLINK("Melting_Curves/meltCurve_P01023_A2M.pdf", "Melting_Curves/meltCurve_P01023_A2M.pdf")</f>
        <v>Melting_Curves/meltCurve_P01023_A2M.pdf</v>
      </c>
    </row>
    <row r="1849" spans="1:28" x14ac:dyDescent="0.25">
      <c r="A1849" t="s">
        <v>1853</v>
      </c>
      <c r="B1849">
        <v>0.99673306730245903</v>
      </c>
      <c r="C1849">
        <v>0.82337791009776995</v>
      </c>
      <c r="D1849">
        <v>0.826754902780792</v>
      </c>
      <c r="E1849">
        <v>0.79117061068576799</v>
      </c>
      <c r="F1849">
        <v>0.61951310283597705</v>
      </c>
      <c r="G1849">
        <v>0.47400542161354797</v>
      </c>
      <c r="H1849">
        <v>0.350583681642606</v>
      </c>
      <c r="I1849">
        <v>0.38634113783349</v>
      </c>
      <c r="J1849">
        <v>0.40194087171492798</v>
      </c>
      <c r="K1849">
        <v>0.28580299261590603</v>
      </c>
      <c r="L1849">
        <v>462.89276521773201</v>
      </c>
      <c r="M1849">
        <v>8.7621642256795305</v>
      </c>
      <c r="N1849">
        <v>56.8986325938085</v>
      </c>
      <c r="O1849">
        <v>50.293614358666602</v>
      </c>
      <c r="P1849">
        <v>-3.3440440140939297E-2</v>
      </c>
      <c r="Q1849">
        <v>0.23284244519542999</v>
      </c>
      <c r="R1849">
        <v>0.95531610434810299</v>
      </c>
      <c r="S1849" t="s">
        <v>8301</v>
      </c>
      <c r="T1849" t="s">
        <v>12902</v>
      </c>
      <c r="U1849" t="s">
        <v>12902</v>
      </c>
      <c r="V1849" t="s">
        <v>12902</v>
      </c>
      <c r="W1849" t="s">
        <v>14718</v>
      </c>
      <c r="X1849">
        <v>7</v>
      </c>
      <c r="Y1849" t="s">
        <v>21095</v>
      </c>
      <c r="Z1849" t="s">
        <v>27424</v>
      </c>
      <c r="AA1849">
        <v>0.5908720810827266</v>
      </c>
      <c r="AB1849" t="str">
        <f>HYPERLINK("Melting_Curves/meltCurve_P01034_CST3.pdf", "Melting_Curves/meltCurve_P01034_CST3.pdf")</f>
        <v>Melting_Curves/meltCurve_P01034_CST3.pdf</v>
      </c>
    </row>
    <row r="1850" spans="1:28" x14ac:dyDescent="0.25">
      <c r="A1850" t="s">
        <v>1854</v>
      </c>
      <c r="B1850">
        <v>0.99673306730245903</v>
      </c>
      <c r="C1850">
        <v>1.0411490347830099</v>
      </c>
      <c r="D1850">
        <v>0.98881122386206599</v>
      </c>
      <c r="E1850">
        <v>0.901239586088872</v>
      </c>
      <c r="F1850">
        <v>0.79293006636348295</v>
      </c>
      <c r="G1850">
        <v>0.69009291770994297</v>
      </c>
      <c r="H1850">
        <v>0.51008630207175298</v>
      </c>
      <c r="I1850">
        <v>0.70560779667368201</v>
      </c>
      <c r="J1850">
        <v>0.94514844242400398</v>
      </c>
      <c r="K1850">
        <v>0.85945883975528703</v>
      </c>
      <c r="L1850">
        <v>1948.85008427957</v>
      </c>
      <c r="M1850">
        <v>38.7629381937126</v>
      </c>
      <c r="O1850">
        <v>50.142869623924099</v>
      </c>
      <c r="P1850">
        <v>-4.9280831632247703E-2</v>
      </c>
      <c r="Q1850">
        <v>0.74500627752599502</v>
      </c>
      <c r="R1850">
        <v>0.54465763697451397</v>
      </c>
      <c r="S1850" t="s">
        <v>8302</v>
      </c>
      <c r="T1850" t="s">
        <v>12902</v>
      </c>
      <c r="U1850" t="s">
        <v>12902</v>
      </c>
      <c r="V1850" t="s">
        <v>12902</v>
      </c>
      <c r="W1850" t="s">
        <v>14719</v>
      </c>
      <c r="X1850">
        <v>11</v>
      </c>
      <c r="Y1850" t="s">
        <v>21096</v>
      </c>
      <c r="Z1850" t="s">
        <v>27425</v>
      </c>
      <c r="AA1850">
        <v>0.83329548094646877</v>
      </c>
      <c r="AB1850" t="str">
        <f>HYPERLINK("Melting_Curves/meltCurve_P01037_CST1.pdf", "Melting_Curves/meltCurve_P01037_CST1.pdf")</f>
        <v>Melting_Curves/meltCurve_P01037_CST1.pdf</v>
      </c>
    </row>
    <row r="1851" spans="1:28" x14ac:dyDescent="0.25">
      <c r="A1851" t="s">
        <v>1855</v>
      </c>
      <c r="B1851">
        <v>0.99673306730245903</v>
      </c>
      <c r="C1851">
        <v>1.02595836610448</v>
      </c>
      <c r="D1851">
        <v>0.93318453692221504</v>
      </c>
      <c r="E1851">
        <v>0.78027334146786897</v>
      </c>
      <c r="F1851">
        <v>0.69509010245645497</v>
      </c>
      <c r="G1851">
        <v>0.65831951933617405</v>
      </c>
      <c r="H1851">
        <v>0.49628537809564099</v>
      </c>
      <c r="I1851">
        <v>0.33049997195469399</v>
      </c>
      <c r="J1851">
        <v>8.8442893259469899E-2</v>
      </c>
      <c r="K1851">
        <v>5.1458974646914499E-2</v>
      </c>
      <c r="L1851">
        <v>644.20749851859398</v>
      </c>
      <c r="M1851">
        <v>10.9955853808613</v>
      </c>
      <c r="N1851">
        <v>58.587812056942099</v>
      </c>
      <c r="O1851">
        <v>56.750010869021303</v>
      </c>
      <c r="P1851">
        <v>-4.8455060750307602E-2</v>
      </c>
      <c r="Q1851">
        <v>0</v>
      </c>
      <c r="R1851">
        <v>0.95386797799407996</v>
      </c>
      <c r="S1851" t="s">
        <v>8303</v>
      </c>
      <c r="T1851" t="s">
        <v>12902</v>
      </c>
      <c r="U1851" t="s">
        <v>12902</v>
      </c>
      <c r="V1851" t="s">
        <v>12902</v>
      </c>
      <c r="W1851" t="s">
        <v>14720</v>
      </c>
      <c r="X1851">
        <v>9</v>
      </c>
      <c r="Y1851" t="s">
        <v>21097</v>
      </c>
      <c r="Z1851" t="s">
        <v>27426</v>
      </c>
      <c r="AA1851">
        <v>0.62801159717791999</v>
      </c>
      <c r="AB1851" t="str">
        <f>HYPERLINK("Melting_Curves/meltCurve_P01111_NRAS.pdf", "Melting_Curves/meltCurve_P01111_NRAS.pdf")</f>
        <v>Melting_Curves/meltCurve_P01111_NRAS.pdf</v>
      </c>
    </row>
    <row r="1852" spans="1:28" x14ac:dyDescent="0.25">
      <c r="A1852" t="s">
        <v>1856</v>
      </c>
      <c r="B1852">
        <v>0.99673306730245903</v>
      </c>
      <c r="C1852">
        <v>0.98767301128191198</v>
      </c>
      <c r="D1852">
        <v>0.91559040919808199</v>
      </c>
      <c r="E1852">
        <v>0.78320636152576195</v>
      </c>
      <c r="F1852">
        <v>0.69366530166175899</v>
      </c>
      <c r="G1852">
        <v>0.61193615096503895</v>
      </c>
      <c r="H1852">
        <v>0.44251497618888302</v>
      </c>
      <c r="I1852">
        <v>0.37057106263763601</v>
      </c>
      <c r="J1852">
        <v>0.124157845475765</v>
      </c>
      <c r="K1852">
        <v>8.2465765542611605E-2</v>
      </c>
      <c r="L1852">
        <v>577.276625778479</v>
      </c>
      <c r="M1852">
        <v>9.9108799716880291</v>
      </c>
      <c r="N1852">
        <v>58.246756949991799</v>
      </c>
      <c r="O1852">
        <v>56.024190553515503</v>
      </c>
      <c r="P1852">
        <v>-4.4248173799844699E-2</v>
      </c>
      <c r="Q1852">
        <v>0</v>
      </c>
      <c r="R1852">
        <v>0.97046612362985496</v>
      </c>
      <c r="S1852" t="s">
        <v>8304</v>
      </c>
      <c r="T1852" t="s">
        <v>12902</v>
      </c>
      <c r="U1852" t="s">
        <v>12902</v>
      </c>
      <c r="V1852" t="s">
        <v>12902</v>
      </c>
      <c r="W1852" t="s">
        <v>14721</v>
      </c>
      <c r="X1852">
        <v>10</v>
      </c>
      <c r="Y1852" t="s">
        <v>21098</v>
      </c>
      <c r="Z1852" t="s">
        <v>27427</v>
      </c>
      <c r="AA1852">
        <v>0.61636687565306625</v>
      </c>
      <c r="AB1852" t="str">
        <f>HYPERLINK("Melting_Curves/meltCurve_P01112_HRAS.pdf", "Melting_Curves/meltCurve_P01112_HRAS.pdf")</f>
        <v>Melting_Curves/meltCurve_P01112_HRAS.pdf</v>
      </c>
    </row>
    <row r="1853" spans="1:28" x14ac:dyDescent="0.25">
      <c r="A1853" t="s">
        <v>1857</v>
      </c>
      <c r="B1853">
        <v>0.99673306730245903</v>
      </c>
      <c r="C1853">
        <v>0.98265289901583297</v>
      </c>
      <c r="D1853">
        <v>0.90760825483616203</v>
      </c>
      <c r="E1853">
        <v>0.75012259913414603</v>
      </c>
      <c r="F1853">
        <v>0.69950187716462098</v>
      </c>
      <c r="G1853">
        <v>0.67000789180572895</v>
      </c>
      <c r="H1853">
        <v>0.62212990845077099</v>
      </c>
      <c r="I1853">
        <v>0.48100312627487901</v>
      </c>
      <c r="J1853">
        <v>0.12543227156663</v>
      </c>
      <c r="K1853">
        <v>5.29397263407047E-2</v>
      </c>
      <c r="L1853">
        <v>558.18622029162998</v>
      </c>
      <c r="M1853">
        <v>9.3253083491670701</v>
      </c>
      <c r="N1853">
        <v>59.857127553194502</v>
      </c>
      <c r="O1853">
        <v>57.297901793616802</v>
      </c>
      <c r="P1853">
        <v>-4.07136587693539E-2</v>
      </c>
      <c r="Q1853">
        <v>0</v>
      </c>
      <c r="R1853">
        <v>0.88877453309826704</v>
      </c>
      <c r="S1853" t="s">
        <v>8305</v>
      </c>
      <c r="T1853" t="s">
        <v>12902</v>
      </c>
      <c r="U1853" t="s">
        <v>12902</v>
      </c>
      <c r="V1853" t="s">
        <v>12902</v>
      </c>
      <c r="W1853" t="s">
        <v>14722</v>
      </c>
      <c r="X1853">
        <v>9</v>
      </c>
      <c r="Y1853" t="s">
        <v>21099</v>
      </c>
      <c r="Z1853" t="s">
        <v>27428</v>
      </c>
      <c r="AA1853">
        <v>0.65601103025831131</v>
      </c>
      <c r="AB1853" t="str">
        <f>HYPERLINK("Melting_Curves/meltCurve_P01116_2_KRAS.pdf", "Melting_Curves/meltCurve_P01116_2_KRAS.pdf")</f>
        <v>Melting_Curves/meltCurve_P01116_2_KRAS.pdf</v>
      </c>
    </row>
    <row r="1854" spans="1:28" x14ac:dyDescent="0.25">
      <c r="A1854" t="s">
        <v>1858</v>
      </c>
      <c r="B1854">
        <v>0.99673306730245903</v>
      </c>
      <c r="C1854">
        <v>0.99040883726826001</v>
      </c>
      <c r="D1854">
        <v>0.97303181522403603</v>
      </c>
      <c r="E1854">
        <v>0.95067815490030105</v>
      </c>
      <c r="F1854">
        <v>0.74137507003027403</v>
      </c>
      <c r="G1854">
        <v>0.55640410147891295</v>
      </c>
      <c r="H1854">
        <v>0.34507740093994799</v>
      </c>
      <c r="I1854">
        <v>0.31198547126382198</v>
      </c>
      <c r="J1854">
        <v>0.30387134549989397</v>
      </c>
      <c r="K1854">
        <v>0.20223251341493501</v>
      </c>
      <c r="L1854">
        <v>990.49647848138795</v>
      </c>
      <c r="M1854">
        <v>17.800002869236302</v>
      </c>
      <c r="N1854">
        <v>57.592212832350903</v>
      </c>
      <c r="O1854">
        <v>54.957784324894298</v>
      </c>
      <c r="P1854">
        <v>-6.2673258777323604E-2</v>
      </c>
      <c r="Q1854">
        <v>0.22602130657573899</v>
      </c>
      <c r="R1854">
        <v>0.99376952479529101</v>
      </c>
      <c r="S1854" t="s">
        <v>8306</v>
      </c>
      <c r="T1854" t="s">
        <v>12902</v>
      </c>
      <c r="U1854" t="s">
        <v>12902</v>
      </c>
      <c r="V1854" t="s">
        <v>12902</v>
      </c>
      <c r="W1854" t="s">
        <v>14723</v>
      </c>
      <c r="X1854">
        <v>14</v>
      </c>
      <c r="Y1854" t="s">
        <v>21100</v>
      </c>
      <c r="Z1854" t="s">
        <v>27429</v>
      </c>
      <c r="AA1854">
        <v>0.64146081652627485</v>
      </c>
      <c r="AB1854" t="str">
        <f>HYPERLINK("Melting_Curves/meltCurve_P01137_TGFB1.pdf", "Melting_Curves/meltCurve_P01137_TGFB1.pdf")</f>
        <v>Melting_Curves/meltCurve_P01137_TGFB1.pdf</v>
      </c>
    </row>
    <row r="1855" spans="1:28" x14ac:dyDescent="0.25">
      <c r="A1855" t="s">
        <v>1859</v>
      </c>
      <c r="B1855">
        <v>0.99673306730245903</v>
      </c>
      <c r="C1855">
        <v>0.81920581319039998</v>
      </c>
      <c r="D1855">
        <v>0.89011155892196403</v>
      </c>
      <c r="E1855">
        <v>0.73118379753527896</v>
      </c>
      <c r="F1855">
        <v>0.78181114805807395</v>
      </c>
      <c r="G1855">
        <v>0.58205885862515305</v>
      </c>
      <c r="H1855">
        <v>0.34237274266446799</v>
      </c>
      <c r="I1855">
        <v>0.50631823534464304</v>
      </c>
      <c r="J1855">
        <v>0.90920556136118102</v>
      </c>
      <c r="K1855">
        <v>0.99096520177525904</v>
      </c>
      <c r="L1855">
        <v>754.22581904501396</v>
      </c>
      <c r="M1855">
        <v>16.719591650675198</v>
      </c>
      <c r="O1855">
        <v>44.479801872664602</v>
      </c>
      <c r="P1855">
        <v>-2.9953201478894902E-2</v>
      </c>
      <c r="Q1855">
        <v>0.68127820442967701</v>
      </c>
      <c r="R1855">
        <v>0.22614178488877501</v>
      </c>
      <c r="S1855" t="s">
        <v>8307</v>
      </c>
      <c r="T1855" t="s">
        <v>12902</v>
      </c>
      <c r="U1855" t="s">
        <v>12902</v>
      </c>
      <c r="V1855" t="s">
        <v>12902</v>
      </c>
      <c r="W1855" t="s">
        <v>14724</v>
      </c>
      <c r="X1855">
        <v>1</v>
      </c>
      <c r="Y1855" t="s">
        <v>21101</v>
      </c>
      <c r="Z1855" t="s">
        <v>27430</v>
      </c>
      <c r="AA1855">
        <v>0.74357832956281478</v>
      </c>
      <c r="AB1855" t="str">
        <f>HYPERLINK("Melting_Curves/meltCurve_P01350_GAST.pdf", "Melting_Curves/meltCurve_P01350_GAST.pdf")</f>
        <v>Melting_Curves/meltCurve_P01350_GAST.pdf</v>
      </c>
    </row>
    <row r="1856" spans="1:28" x14ac:dyDescent="0.25">
      <c r="A1856" t="s">
        <v>1860</v>
      </c>
      <c r="B1856">
        <v>0.99673306730245903</v>
      </c>
      <c r="C1856">
        <v>1.03512847334014</v>
      </c>
      <c r="D1856">
        <v>1.31863902192856</v>
      </c>
      <c r="E1856">
        <v>1.1787146408973199</v>
      </c>
      <c r="F1856">
        <v>1.06697035778002</v>
      </c>
      <c r="G1856">
        <v>0.88478497289784996</v>
      </c>
      <c r="H1856">
        <v>0.63453377696452795</v>
      </c>
      <c r="I1856">
        <v>0.76507980524612196</v>
      </c>
      <c r="J1856">
        <v>1.1075126903005801</v>
      </c>
      <c r="K1856">
        <v>0.95349349253076299</v>
      </c>
      <c r="L1856">
        <v>14099.479365606199</v>
      </c>
      <c r="M1856">
        <v>250</v>
      </c>
      <c r="O1856">
        <v>56.394308383381997</v>
      </c>
      <c r="P1856">
        <v>-0.14944447493518101</v>
      </c>
      <c r="Q1856">
        <v>0.865154915299571</v>
      </c>
      <c r="R1856">
        <v>0.24157989205370201</v>
      </c>
      <c r="S1856" t="s">
        <v>8308</v>
      </c>
      <c r="T1856" t="s">
        <v>12902</v>
      </c>
      <c r="U1856" t="s">
        <v>12902</v>
      </c>
      <c r="V1856" t="s">
        <v>12902</v>
      </c>
      <c r="W1856" t="s">
        <v>14725</v>
      </c>
      <c r="X1856">
        <v>1</v>
      </c>
      <c r="Y1856" t="s">
        <v>21102</v>
      </c>
      <c r="Z1856" t="s">
        <v>27431</v>
      </c>
      <c r="AA1856">
        <v>0.93887421422892281</v>
      </c>
      <c r="AB1856" t="str">
        <f>HYPERLINK("Melting_Curves/meltCurve_P01833_PIGR.pdf", "Melting_Curves/meltCurve_P01833_PIGR.pdf")</f>
        <v>Melting_Curves/meltCurve_P01833_PIGR.pdf</v>
      </c>
    </row>
    <row r="1857" spans="1:28" x14ac:dyDescent="0.25">
      <c r="A1857" t="s">
        <v>1861</v>
      </c>
      <c r="B1857">
        <v>0.99673306730245903</v>
      </c>
      <c r="C1857">
        <v>0.99767071524161199</v>
      </c>
      <c r="D1857">
        <v>1.0054561074305099</v>
      </c>
      <c r="E1857">
        <v>0.85697872166327704</v>
      </c>
      <c r="F1857">
        <v>0.73995490088920901</v>
      </c>
      <c r="G1857">
        <v>0.60166105940057801</v>
      </c>
      <c r="H1857">
        <v>0.46574397155549302</v>
      </c>
      <c r="I1857">
        <v>0.466939406639999</v>
      </c>
      <c r="J1857">
        <v>0.63223990464084101</v>
      </c>
      <c r="K1857">
        <v>0.55694610632290398</v>
      </c>
      <c r="L1857">
        <v>1217.2016684128</v>
      </c>
      <c r="M1857">
        <v>23.341857616166401</v>
      </c>
      <c r="O1857">
        <v>51.768531240601199</v>
      </c>
      <c r="P1857">
        <v>-5.3004257562625001E-2</v>
      </c>
      <c r="Q1857">
        <v>0.52978836059179502</v>
      </c>
      <c r="R1857">
        <v>0.94271307114069902</v>
      </c>
      <c r="S1857" t="s">
        <v>8309</v>
      </c>
      <c r="T1857" t="s">
        <v>12902</v>
      </c>
      <c r="U1857" t="s">
        <v>12902</v>
      </c>
      <c r="V1857" t="s">
        <v>12902</v>
      </c>
      <c r="W1857" t="s">
        <v>14726</v>
      </c>
      <c r="X1857">
        <v>4</v>
      </c>
      <c r="Y1857" t="s">
        <v>21103</v>
      </c>
      <c r="Z1857" t="s">
        <v>27432</v>
      </c>
      <c r="AA1857">
        <v>0.72507067930171909</v>
      </c>
      <c r="AB1857" t="str">
        <f>HYPERLINK("Melting_Curves/meltCurve_P02144_MB.pdf", "Melting_Curves/meltCurve_P02144_MB.pdf")</f>
        <v>Melting_Curves/meltCurve_P02144_MB.pdf</v>
      </c>
    </row>
    <row r="1858" spans="1:28" x14ac:dyDescent="0.25">
      <c r="A1858" t="s">
        <v>1862</v>
      </c>
      <c r="B1858">
        <v>0.99673306730245903</v>
      </c>
      <c r="C1858">
        <v>0.94951467261914202</v>
      </c>
      <c r="D1858">
        <v>1.11978080443242</v>
      </c>
      <c r="E1858">
        <v>1.2454532862625101</v>
      </c>
      <c r="F1858">
        <v>0.82586787412364004</v>
      </c>
      <c r="G1858">
        <v>0.47193310640220298</v>
      </c>
      <c r="H1858">
        <v>0.25544265853690101</v>
      </c>
      <c r="I1858">
        <v>0.234915600635899</v>
      </c>
      <c r="J1858">
        <v>0.24081549012770201</v>
      </c>
      <c r="K1858">
        <v>0.2216376049206</v>
      </c>
      <c r="L1858">
        <v>2100.3703223592902</v>
      </c>
      <c r="M1858">
        <v>37.874828021391501</v>
      </c>
      <c r="N1858">
        <v>56.383636056069903</v>
      </c>
      <c r="O1858">
        <v>55.301669180687</v>
      </c>
      <c r="P1858">
        <v>-0.13150579874031601</v>
      </c>
      <c r="Q1858">
        <v>0.23194691797730499</v>
      </c>
      <c r="R1858">
        <v>0.94486935759484802</v>
      </c>
      <c r="S1858" t="s">
        <v>8310</v>
      </c>
      <c r="T1858" t="s">
        <v>12902</v>
      </c>
      <c r="U1858" t="s">
        <v>12902</v>
      </c>
      <c r="V1858" t="s">
        <v>12902</v>
      </c>
      <c r="W1858" t="s">
        <v>14727</v>
      </c>
      <c r="X1858">
        <v>92</v>
      </c>
      <c r="Y1858" t="s">
        <v>21104</v>
      </c>
      <c r="Z1858" t="s">
        <v>27433</v>
      </c>
      <c r="AA1858">
        <v>0.63090057582833359</v>
      </c>
      <c r="AB1858" t="str">
        <f>HYPERLINK("Melting_Curves/meltCurve_P02545_LMNA.pdf", "Melting_Curves/meltCurve_P02545_LMNA.pdf")</f>
        <v>Melting_Curves/meltCurve_P02545_LMNA.pdf</v>
      </c>
    </row>
    <row r="1859" spans="1:28" x14ac:dyDescent="0.25">
      <c r="A1859" t="s">
        <v>1863</v>
      </c>
      <c r="B1859">
        <v>0.99673306730245903</v>
      </c>
      <c r="C1859">
        <v>0.99485088355482199</v>
      </c>
      <c r="D1859">
        <v>0.94110959458105903</v>
      </c>
      <c r="E1859">
        <v>0.70575075155395794</v>
      </c>
      <c r="F1859">
        <v>0.40122189004831399</v>
      </c>
      <c r="G1859">
        <v>0.260495714314181</v>
      </c>
      <c r="H1859">
        <v>0.24537733344645701</v>
      </c>
      <c r="I1859">
        <v>0.28651273976397601</v>
      </c>
      <c r="J1859">
        <v>0.28976050126208402</v>
      </c>
      <c r="K1859">
        <v>0.169139962709179</v>
      </c>
      <c r="L1859">
        <v>1331.4982594855501</v>
      </c>
      <c r="M1859">
        <v>26.390771380317599</v>
      </c>
      <c r="N1859">
        <v>51.743947154945403</v>
      </c>
      <c r="O1859">
        <v>50.166156956745297</v>
      </c>
      <c r="P1859">
        <v>-9.9803942043534696E-2</v>
      </c>
      <c r="Q1859">
        <v>0.241139896953736</v>
      </c>
      <c r="R1859">
        <v>0.99073831759558895</v>
      </c>
      <c r="S1859" t="s">
        <v>8311</v>
      </c>
      <c r="T1859" t="s">
        <v>12902</v>
      </c>
      <c r="U1859" t="s">
        <v>12902</v>
      </c>
      <c r="V1859" t="s">
        <v>12902</v>
      </c>
      <c r="W1859" t="s">
        <v>14728</v>
      </c>
      <c r="X1859">
        <v>91</v>
      </c>
      <c r="Y1859" t="s">
        <v>21104</v>
      </c>
      <c r="Z1859" t="s">
        <v>27434</v>
      </c>
      <c r="AA1859">
        <v>0.51167335595768892</v>
      </c>
      <c r="AB1859" t="str">
        <f>HYPERLINK("Melting_Curves/meltCurve_P02545_2_LMNA.pdf", "Melting_Curves/meltCurve_P02545_2_LMNA.pdf")</f>
        <v>Melting_Curves/meltCurve_P02545_2_LMNA.pdf</v>
      </c>
    </row>
    <row r="1860" spans="1:28" x14ac:dyDescent="0.25">
      <c r="A1860" t="s">
        <v>1864</v>
      </c>
      <c r="B1860">
        <v>0.99673306730245903</v>
      </c>
      <c r="C1860">
        <v>1.0787398652417799</v>
      </c>
      <c r="D1860">
        <v>1.21843657668782</v>
      </c>
      <c r="E1860">
        <v>0.91404225363764102</v>
      </c>
      <c r="F1860">
        <v>1.08607778896968</v>
      </c>
      <c r="G1860">
        <v>0.81160522409896796</v>
      </c>
      <c r="H1860">
        <v>0.88619873445067598</v>
      </c>
      <c r="I1860">
        <v>0.59972558843314605</v>
      </c>
      <c r="J1860">
        <v>0.91123498985658102</v>
      </c>
      <c r="K1860">
        <v>0.76330065603304997</v>
      </c>
      <c r="L1860">
        <v>14076.6921677221</v>
      </c>
      <c r="M1860">
        <v>250</v>
      </c>
      <c r="O1860">
        <v>56.303165583148001</v>
      </c>
      <c r="P1860">
        <v>-0.23298546141597901</v>
      </c>
      <c r="Q1860">
        <v>0.79011489668596802</v>
      </c>
      <c r="R1860">
        <v>0.54913392791340698</v>
      </c>
      <c r="S1860" t="s">
        <v>8312</v>
      </c>
      <c r="T1860" t="s">
        <v>12902</v>
      </c>
      <c r="U1860" t="s">
        <v>12902</v>
      </c>
      <c r="V1860" t="s">
        <v>12902</v>
      </c>
      <c r="W1860" t="s">
        <v>14729</v>
      </c>
      <c r="X1860">
        <v>1</v>
      </c>
      <c r="Y1860" t="s">
        <v>21105</v>
      </c>
      <c r="Z1860" t="s">
        <v>27435</v>
      </c>
      <c r="AA1860">
        <v>0.90422056458131039</v>
      </c>
      <c r="AB1860" t="str">
        <f>HYPERLINK("Melting_Curves/meltCurve_P02549_2_SPTA1.pdf", "Melting_Curves/meltCurve_P02549_2_SPTA1.pdf")</f>
        <v>Melting_Curves/meltCurve_P02549_2_SPTA1.pdf</v>
      </c>
    </row>
    <row r="1861" spans="1:28" x14ac:dyDescent="0.25">
      <c r="A1861" t="s">
        <v>1865</v>
      </c>
      <c r="B1861">
        <v>0.99673306730245903</v>
      </c>
      <c r="C1861">
        <v>0.998834875218091</v>
      </c>
      <c r="D1861">
        <v>0.98622330458253205</v>
      </c>
      <c r="E1861">
        <v>0.80896975905561397</v>
      </c>
      <c r="F1861">
        <v>0.72055593427213804</v>
      </c>
      <c r="G1861">
        <v>0.56615690164105603</v>
      </c>
      <c r="H1861">
        <v>0.453799716508828</v>
      </c>
      <c r="I1861">
        <v>0.56724732443054804</v>
      </c>
      <c r="J1861">
        <v>0.67236447147299006</v>
      </c>
      <c r="K1861">
        <v>0.65116626551661405</v>
      </c>
      <c r="L1861">
        <v>1321.02672398716</v>
      </c>
      <c r="M1861">
        <v>26.2013882874041</v>
      </c>
      <c r="O1861">
        <v>50.127256111858401</v>
      </c>
      <c r="P1861">
        <v>-5.4399016765774598E-2</v>
      </c>
      <c r="Q1861">
        <v>0.58371017478190002</v>
      </c>
      <c r="R1861">
        <v>0.89805290695482198</v>
      </c>
      <c r="S1861" t="s">
        <v>8313</v>
      </c>
      <c r="T1861" t="s">
        <v>12902</v>
      </c>
      <c r="U1861" t="s">
        <v>12902</v>
      </c>
      <c r="V1861" t="s">
        <v>12902</v>
      </c>
      <c r="W1861" t="s">
        <v>14730</v>
      </c>
      <c r="X1861">
        <v>7</v>
      </c>
      <c r="Y1861" t="s">
        <v>21106</v>
      </c>
      <c r="Z1861" t="s">
        <v>27436</v>
      </c>
      <c r="AA1861">
        <v>0.73167917433941854</v>
      </c>
      <c r="AB1861" t="str">
        <f>HYPERLINK("Melting_Curves/meltCurve_P02649_APOE.pdf", "Melting_Curves/meltCurve_P02649_APOE.pdf")</f>
        <v>Melting_Curves/meltCurve_P02649_APOE.pdf</v>
      </c>
    </row>
    <row r="1862" spans="1:28" x14ac:dyDescent="0.25">
      <c r="A1862" t="s">
        <v>1866</v>
      </c>
      <c r="B1862">
        <v>0.99673306730245903</v>
      </c>
      <c r="C1862">
        <v>0.95839359297897198</v>
      </c>
      <c r="D1862">
        <v>0.95820424170951202</v>
      </c>
      <c r="E1862">
        <v>0.88806601850613498</v>
      </c>
      <c r="F1862">
        <v>0.73150840576368004</v>
      </c>
      <c r="G1862">
        <v>0.63537595890021104</v>
      </c>
      <c r="H1862">
        <v>0.526417224219624</v>
      </c>
      <c r="I1862">
        <v>0.50067904087120896</v>
      </c>
      <c r="J1862">
        <v>0.27409237054007002</v>
      </c>
      <c r="K1862">
        <v>0.135670402593106</v>
      </c>
      <c r="L1862">
        <v>548.93128202723005</v>
      </c>
      <c r="M1862">
        <v>9.0371089562426192</v>
      </c>
      <c r="N1862">
        <v>60.741906068490998</v>
      </c>
      <c r="O1862">
        <v>57.988987283156597</v>
      </c>
      <c r="P1862">
        <v>-3.8988309372549802E-2</v>
      </c>
      <c r="Q1862">
        <v>0</v>
      </c>
      <c r="R1862">
        <v>0.96683486194200297</v>
      </c>
      <c r="S1862" t="s">
        <v>8314</v>
      </c>
      <c r="T1862" t="s">
        <v>12902</v>
      </c>
      <c r="U1862" t="s">
        <v>12902</v>
      </c>
      <c r="V1862" t="s">
        <v>12902</v>
      </c>
      <c r="W1862" t="s">
        <v>14731</v>
      </c>
      <c r="X1862">
        <v>50</v>
      </c>
      <c r="Y1862" t="s">
        <v>21107</v>
      </c>
      <c r="Z1862" t="s">
        <v>27437</v>
      </c>
      <c r="AA1862">
        <v>0.67606511615289577</v>
      </c>
      <c r="AB1862" t="str">
        <f>HYPERLINK("Melting_Curves/meltCurve_P02786_TFRC.pdf", "Melting_Curves/meltCurve_P02786_TFRC.pdf")</f>
        <v>Melting_Curves/meltCurve_P02786_TFRC.pdf</v>
      </c>
    </row>
    <row r="1863" spans="1:28" x14ac:dyDescent="0.25">
      <c r="A1863" t="s">
        <v>1867</v>
      </c>
      <c r="B1863">
        <v>0.99673306730245903</v>
      </c>
      <c r="C1863">
        <v>1.00615694268708</v>
      </c>
      <c r="D1863">
        <v>1.0264559511225499</v>
      </c>
      <c r="E1863">
        <v>1.01699639596686</v>
      </c>
      <c r="F1863">
        <v>0.915724000148744</v>
      </c>
      <c r="G1863">
        <v>0.87383410075168</v>
      </c>
      <c r="H1863">
        <v>0.70770485006600803</v>
      </c>
      <c r="I1863">
        <v>0.69321469119659695</v>
      </c>
      <c r="J1863">
        <v>0.68004332629394604</v>
      </c>
      <c r="K1863">
        <v>0.53246146042162201</v>
      </c>
      <c r="L1863">
        <v>811.079570595429</v>
      </c>
      <c r="M1863">
        <v>13.3502886850534</v>
      </c>
      <c r="O1863">
        <v>59.439121719906097</v>
      </c>
      <c r="P1863">
        <v>-2.7559526985856099E-2</v>
      </c>
      <c r="Q1863">
        <v>0.50926808320123695</v>
      </c>
      <c r="R1863">
        <v>0.95751358750651405</v>
      </c>
      <c r="S1863" t="s">
        <v>8315</v>
      </c>
      <c r="T1863" t="s">
        <v>12902</v>
      </c>
      <c r="U1863" t="s">
        <v>12902</v>
      </c>
      <c r="V1863" t="s">
        <v>12902</v>
      </c>
      <c r="W1863" t="s">
        <v>14732</v>
      </c>
      <c r="X1863">
        <v>63</v>
      </c>
      <c r="Y1863" t="s">
        <v>21108</v>
      </c>
      <c r="Z1863" t="s">
        <v>27438</v>
      </c>
      <c r="AA1863">
        <v>0.84922176211398237</v>
      </c>
      <c r="AB1863" t="str">
        <f>HYPERLINK("Melting_Curves/meltCurve_P02787_TF.pdf", "Melting_Curves/meltCurve_P02787_TF.pdf")</f>
        <v>Melting_Curves/meltCurve_P02787_TF.pdf</v>
      </c>
    </row>
    <row r="1864" spans="1:28" x14ac:dyDescent="0.25">
      <c r="A1864" t="s">
        <v>1868</v>
      </c>
      <c r="B1864">
        <v>0.99673306730245903</v>
      </c>
      <c r="C1864">
        <v>0.94731658604046698</v>
      </c>
      <c r="D1864">
        <v>0.97961973644074096</v>
      </c>
      <c r="E1864">
        <v>0.889120266681098</v>
      </c>
      <c r="F1864">
        <v>0.69458957972817803</v>
      </c>
      <c r="G1864">
        <v>0.60322069142512402</v>
      </c>
      <c r="H1864">
        <v>0.53448762947308104</v>
      </c>
      <c r="I1864">
        <v>0.57292775880154501</v>
      </c>
      <c r="J1864">
        <v>0.72513503342794206</v>
      </c>
      <c r="K1864">
        <v>0.615559303311214</v>
      </c>
      <c r="L1864">
        <v>1715.5053092105099</v>
      </c>
      <c r="M1864">
        <v>33.650014177235299</v>
      </c>
      <c r="O1864">
        <v>50.801781564083299</v>
      </c>
      <c r="P1864">
        <v>-6.4774257880429398E-2</v>
      </c>
      <c r="Q1864">
        <v>0.60884010077676298</v>
      </c>
      <c r="R1864">
        <v>0.91849044243772004</v>
      </c>
      <c r="S1864" t="s">
        <v>8316</v>
      </c>
      <c r="T1864" t="s">
        <v>12902</v>
      </c>
      <c r="U1864" t="s">
        <v>12902</v>
      </c>
      <c r="V1864" t="s">
        <v>12902</v>
      </c>
      <c r="W1864" t="s">
        <v>14733</v>
      </c>
      <c r="X1864">
        <v>3</v>
      </c>
      <c r="Y1864" t="s">
        <v>21109</v>
      </c>
      <c r="Z1864" t="s">
        <v>27439</v>
      </c>
      <c r="AA1864">
        <v>0.75396763115446741</v>
      </c>
      <c r="AB1864" t="str">
        <f>HYPERLINK("Melting_Curves/meltCurve_P02792_FTL.pdf", "Melting_Curves/meltCurve_P02792_FTL.pdf")</f>
        <v>Melting_Curves/meltCurve_P02792_FTL.pdf</v>
      </c>
    </row>
    <row r="1865" spans="1:28" x14ac:dyDescent="0.25">
      <c r="A1865" t="s">
        <v>1869</v>
      </c>
      <c r="B1865">
        <v>0.99673306730245903</v>
      </c>
      <c r="C1865">
        <v>0.82758741241669398</v>
      </c>
      <c r="D1865">
        <v>0.96909726226498205</v>
      </c>
      <c r="E1865">
        <v>1.0083423658678901</v>
      </c>
      <c r="F1865">
        <v>0.78074393162189204</v>
      </c>
      <c r="G1865">
        <v>0.87162196805345105</v>
      </c>
      <c r="H1865">
        <v>0.37374985220061402</v>
      </c>
      <c r="I1865">
        <v>0.40314729618102702</v>
      </c>
      <c r="J1865">
        <v>0.65953310926014197</v>
      </c>
      <c r="K1865">
        <v>0.395071160026924</v>
      </c>
      <c r="L1865">
        <v>14266.4715278193</v>
      </c>
      <c r="M1865">
        <v>250</v>
      </c>
      <c r="N1865">
        <v>57.636223912211499</v>
      </c>
      <c r="O1865">
        <v>57.062233989292999</v>
      </c>
      <c r="P1865">
        <v>-0.59378662531674098</v>
      </c>
      <c r="Q1865">
        <v>0.45787533628253102</v>
      </c>
      <c r="R1865">
        <v>0.773243550456579</v>
      </c>
      <c r="S1865" t="s">
        <v>8317</v>
      </c>
      <c r="T1865" t="s">
        <v>12902</v>
      </c>
      <c r="U1865" t="s">
        <v>12902</v>
      </c>
      <c r="V1865" t="s">
        <v>12902</v>
      </c>
      <c r="W1865" t="s">
        <v>14734</v>
      </c>
      <c r="X1865">
        <v>3</v>
      </c>
      <c r="Y1865" t="s">
        <v>21110</v>
      </c>
      <c r="Z1865" t="s">
        <v>27440</v>
      </c>
      <c r="AA1865">
        <v>0.76632422223161767</v>
      </c>
      <c r="AB1865" t="str">
        <f>HYPERLINK("Melting_Curves/meltCurve_P02794_FTH1.pdf", "Melting_Curves/meltCurve_P02794_FTH1.pdf")</f>
        <v>Melting_Curves/meltCurve_P02794_FTH1.pdf</v>
      </c>
    </row>
    <row r="1866" spans="1:28" x14ac:dyDescent="0.25">
      <c r="A1866" t="s">
        <v>1870</v>
      </c>
      <c r="B1866">
        <v>0.99673306730245903</v>
      </c>
      <c r="C1866">
        <v>0.996747379160556</v>
      </c>
      <c r="D1866">
        <v>2.91043581144916</v>
      </c>
      <c r="E1866">
        <v>1.07122905312714</v>
      </c>
      <c r="F1866">
        <v>0.87637420880061101</v>
      </c>
      <c r="G1866">
        <v>0.84221476133551798</v>
      </c>
      <c r="H1866">
        <v>1.17167955713733</v>
      </c>
      <c r="I1866">
        <v>0.54472503233708702</v>
      </c>
      <c r="J1866">
        <v>3.3983462656578598</v>
      </c>
      <c r="K1866">
        <v>1.4589365722449401</v>
      </c>
      <c r="L1866">
        <v>10974.034142333299</v>
      </c>
      <c r="M1866">
        <v>250</v>
      </c>
      <c r="O1866">
        <v>43.893303873820301</v>
      </c>
      <c r="P1866">
        <v>0.71195331202518297</v>
      </c>
      <c r="Q1866">
        <v>1.5</v>
      </c>
      <c r="R1866">
        <v>5.6088622531954499E-2</v>
      </c>
      <c r="S1866" t="s">
        <v>8318</v>
      </c>
      <c r="T1866" t="s">
        <v>12902</v>
      </c>
      <c r="U1866" t="s">
        <v>12902</v>
      </c>
      <c r="V1866" t="s">
        <v>12902</v>
      </c>
      <c r="W1866" t="s">
        <v>14735</v>
      </c>
      <c r="X1866">
        <v>4</v>
      </c>
      <c r="Y1866" t="s">
        <v>21111</v>
      </c>
      <c r="Z1866" t="s">
        <v>27441</v>
      </c>
      <c r="AA1866">
        <v>1.435025871992788</v>
      </c>
      <c r="AB1866" t="str">
        <f>HYPERLINK("Melting_Curves/meltCurve_P02795_MT2A.pdf", "Melting_Curves/meltCurve_P02795_MT2A.pdf")</f>
        <v>Melting_Curves/meltCurve_P02795_MT2A.pdf</v>
      </c>
    </row>
    <row r="1867" spans="1:28" x14ac:dyDescent="0.25">
      <c r="A1867" t="s">
        <v>1871</v>
      </c>
      <c r="B1867">
        <v>0.99673306730245903</v>
      </c>
      <c r="C1867">
        <v>0.97593400134987895</v>
      </c>
      <c r="D1867">
        <v>1.00846092152196</v>
      </c>
      <c r="E1867">
        <v>0.96876150433789199</v>
      </c>
      <c r="F1867">
        <v>0.72015368418394698</v>
      </c>
      <c r="G1867">
        <v>0.65270014022553602</v>
      </c>
      <c r="H1867">
        <v>0.72609006342619498</v>
      </c>
      <c r="I1867">
        <v>0.33099949361776498</v>
      </c>
      <c r="J1867">
        <v>0.27675437128935398</v>
      </c>
      <c r="K1867">
        <v>0.25814325518298498</v>
      </c>
      <c r="L1867">
        <v>597.22035248325597</v>
      </c>
      <c r="M1867">
        <v>9.6669739432974495</v>
      </c>
      <c r="N1867">
        <v>61.779429319416998</v>
      </c>
      <c r="O1867">
        <v>59.309469164857198</v>
      </c>
      <c r="P1867">
        <v>-4.0770575081501899E-2</v>
      </c>
      <c r="Q1867">
        <v>0</v>
      </c>
      <c r="R1867">
        <v>0.92577571151368598</v>
      </c>
      <c r="S1867" t="s">
        <v>8319</v>
      </c>
      <c r="T1867" t="s">
        <v>12902</v>
      </c>
      <c r="U1867" t="s">
        <v>12902</v>
      </c>
      <c r="V1867" t="s">
        <v>12902</v>
      </c>
      <c r="W1867" t="s">
        <v>14736</v>
      </c>
      <c r="X1867">
        <v>3</v>
      </c>
      <c r="Y1867" t="s">
        <v>21112</v>
      </c>
      <c r="Z1867" t="s">
        <v>27442</v>
      </c>
      <c r="AA1867">
        <v>0.70479947253896613</v>
      </c>
      <c r="AB1867" t="str">
        <f>HYPERLINK("Melting_Curves/meltCurve_P03928_MT_ATP8.pdf", "Melting_Curves/meltCurve_P03928_MT_ATP8.pdf")</f>
        <v>Melting_Curves/meltCurve_P03928_MT_ATP8.pdf</v>
      </c>
    </row>
    <row r="1868" spans="1:28" x14ac:dyDescent="0.25">
      <c r="A1868" t="s">
        <v>1872</v>
      </c>
      <c r="B1868">
        <v>0.99673306730245903</v>
      </c>
      <c r="C1868">
        <v>0.96640230784629799</v>
      </c>
      <c r="D1868">
        <v>0.93975399991326702</v>
      </c>
      <c r="E1868">
        <v>0.86604610972093599</v>
      </c>
      <c r="F1868">
        <v>0.69709718338918802</v>
      </c>
      <c r="G1868">
        <v>0.67528528042846303</v>
      </c>
      <c r="H1868">
        <v>0.58647313260985301</v>
      </c>
      <c r="I1868">
        <v>0.69370296728370895</v>
      </c>
      <c r="J1868">
        <v>1.00063502089178</v>
      </c>
      <c r="K1868">
        <v>0.84021041181462897</v>
      </c>
      <c r="L1868">
        <v>1677.8512371518</v>
      </c>
      <c r="M1868">
        <v>34.513131182643001</v>
      </c>
      <c r="O1868">
        <v>48.452501400640699</v>
      </c>
      <c r="P1868">
        <v>-4.4503303307167501E-2</v>
      </c>
      <c r="Q1868">
        <v>0.75009057517100897</v>
      </c>
      <c r="R1868">
        <v>0.45320898718672697</v>
      </c>
      <c r="S1868" t="s">
        <v>8320</v>
      </c>
      <c r="T1868" t="s">
        <v>12902</v>
      </c>
      <c r="U1868" t="s">
        <v>12902</v>
      </c>
      <c r="V1868" t="s">
        <v>12902</v>
      </c>
      <c r="W1868" t="s">
        <v>14737</v>
      </c>
      <c r="X1868">
        <v>1</v>
      </c>
      <c r="Y1868" t="s">
        <v>21113</v>
      </c>
      <c r="Z1868" t="s">
        <v>27443</v>
      </c>
      <c r="AA1868">
        <v>0.82299074004527173</v>
      </c>
      <c r="AB1868" t="str">
        <f>HYPERLINK("Melting_Curves/meltCurve_P03973_SLPI.pdf", "Melting_Curves/meltCurve_P03973_SLPI.pdf")</f>
        <v>Melting_Curves/meltCurve_P03973_SLPI.pdf</v>
      </c>
    </row>
    <row r="1869" spans="1:28" x14ac:dyDescent="0.25">
      <c r="A1869" t="s">
        <v>1873</v>
      </c>
      <c r="B1869">
        <v>0.99673306730245903</v>
      </c>
      <c r="C1869">
        <v>0.94289167680534103</v>
      </c>
      <c r="D1869">
        <v>1.0067389462268801</v>
      </c>
      <c r="E1869">
        <v>1.0940439685972501</v>
      </c>
      <c r="F1869">
        <v>1.13859218541788</v>
      </c>
      <c r="G1869">
        <v>1.0020918292571299</v>
      </c>
      <c r="H1869">
        <v>0.89816085427386105</v>
      </c>
      <c r="I1869">
        <v>0.75554344322919298</v>
      </c>
      <c r="J1869">
        <v>0.19595918385459701</v>
      </c>
      <c r="K1869">
        <v>0.117794840538479</v>
      </c>
      <c r="L1869">
        <v>3893.29786585897</v>
      </c>
      <c r="M1869">
        <v>59.920476318025997</v>
      </c>
      <c r="N1869">
        <v>65.201719127706895</v>
      </c>
      <c r="O1869">
        <v>64.902169392033898</v>
      </c>
      <c r="P1869">
        <v>-0.209056201408023</v>
      </c>
      <c r="Q1869">
        <v>9.42532561729712E-2</v>
      </c>
      <c r="R1869">
        <v>0.96652552474490805</v>
      </c>
      <c r="S1869" t="s">
        <v>8321</v>
      </c>
      <c r="T1869" t="s">
        <v>12902</v>
      </c>
      <c r="U1869" t="s">
        <v>12902</v>
      </c>
      <c r="V1869" t="s">
        <v>12902</v>
      </c>
      <c r="W1869" t="s">
        <v>14738</v>
      </c>
      <c r="X1869">
        <v>25</v>
      </c>
      <c r="Y1869" t="s">
        <v>21114</v>
      </c>
      <c r="Z1869" t="s">
        <v>27444</v>
      </c>
      <c r="AA1869">
        <v>0.84954351893879221</v>
      </c>
      <c r="AB1869" t="str">
        <f>HYPERLINK("Melting_Curves/meltCurve_P04040_CAT.pdf", "Melting_Curves/meltCurve_P04040_CAT.pdf")</f>
        <v>Melting_Curves/meltCurve_P04040_CAT.pdf</v>
      </c>
    </row>
    <row r="1870" spans="1:28" x14ac:dyDescent="0.25">
      <c r="A1870" t="s">
        <v>1874</v>
      </c>
      <c r="B1870">
        <v>0.99673306730245903</v>
      </c>
      <c r="C1870">
        <v>1.03551806187966</v>
      </c>
      <c r="D1870">
        <v>1.08498116252146</v>
      </c>
      <c r="E1870">
        <v>1.24558677866595</v>
      </c>
      <c r="F1870">
        <v>1.2397651798771601</v>
      </c>
      <c r="G1870">
        <v>1.1164220667670099</v>
      </c>
      <c r="H1870">
        <v>0.60955546681954098</v>
      </c>
      <c r="I1870">
        <v>0.297933635202491</v>
      </c>
      <c r="J1870">
        <v>0.112114391447556</v>
      </c>
      <c r="K1870">
        <v>6.2627377134594694E-2</v>
      </c>
      <c r="L1870">
        <v>2531.1447481200098</v>
      </c>
      <c r="M1870">
        <v>41.0969061732184</v>
      </c>
      <c r="N1870">
        <v>61.866120717795603</v>
      </c>
      <c r="O1870">
        <v>61.444372829069799</v>
      </c>
      <c r="P1870">
        <v>-0.15318565021758401</v>
      </c>
      <c r="Q1870">
        <v>8.3884413766944804E-2</v>
      </c>
      <c r="R1870">
        <v>0.921732823976809</v>
      </c>
      <c r="S1870" t="s">
        <v>8322</v>
      </c>
      <c r="T1870" t="s">
        <v>12902</v>
      </c>
      <c r="U1870" t="s">
        <v>12902</v>
      </c>
      <c r="V1870" t="s">
        <v>12902</v>
      </c>
      <c r="W1870" t="s">
        <v>14739</v>
      </c>
      <c r="X1870">
        <v>7</v>
      </c>
      <c r="Y1870" t="s">
        <v>21115</v>
      </c>
      <c r="Z1870" t="s">
        <v>27445</v>
      </c>
      <c r="AA1870">
        <v>0.74641811654285561</v>
      </c>
      <c r="AB1870" t="str">
        <f>HYPERLINK("Melting_Curves/meltCurve_P04066_FUCA1.pdf", "Melting_Curves/meltCurve_P04066_FUCA1.pdf")</f>
        <v>Melting_Curves/meltCurve_P04066_FUCA1.pdf</v>
      </c>
    </row>
    <row r="1871" spans="1:28" x14ac:dyDescent="0.25">
      <c r="A1871" t="s">
        <v>1875</v>
      </c>
      <c r="B1871">
        <v>0.99673306730245903</v>
      </c>
      <c r="C1871">
        <v>0.91182473063531699</v>
      </c>
      <c r="D1871">
        <v>1.09730593853572</v>
      </c>
      <c r="E1871">
        <v>1.01948235311184</v>
      </c>
      <c r="F1871">
        <v>1.2319115146767401</v>
      </c>
      <c r="G1871">
        <v>1.12835115776975</v>
      </c>
      <c r="H1871">
        <v>0.79897923814147798</v>
      </c>
      <c r="I1871">
        <v>0.70455834842934695</v>
      </c>
      <c r="J1871">
        <v>0.18840206975364299</v>
      </c>
      <c r="K1871">
        <v>8.9704777892681803E-2</v>
      </c>
      <c r="L1871">
        <v>2329.3517751273998</v>
      </c>
      <c r="M1871">
        <v>35.852974690021703</v>
      </c>
      <c r="N1871">
        <v>64.9695540041036</v>
      </c>
      <c r="O1871">
        <v>64.768430011594504</v>
      </c>
      <c r="P1871">
        <v>-0.13838953762407599</v>
      </c>
      <c r="Q1871">
        <v>0</v>
      </c>
      <c r="R1871">
        <v>0.91734792763914097</v>
      </c>
      <c r="S1871" t="s">
        <v>8323</v>
      </c>
      <c r="T1871" t="s">
        <v>12902</v>
      </c>
      <c r="U1871" t="s">
        <v>12902</v>
      </c>
      <c r="V1871" t="s">
        <v>12902</v>
      </c>
      <c r="W1871" t="s">
        <v>14740</v>
      </c>
      <c r="X1871">
        <v>49</v>
      </c>
      <c r="Y1871" t="s">
        <v>20198</v>
      </c>
      <c r="Z1871" t="s">
        <v>27446</v>
      </c>
      <c r="AA1871">
        <v>0.83243614532105681</v>
      </c>
      <c r="AB1871" t="str">
        <f>HYPERLINK("Melting_Curves/meltCurve_P04075_ALDOA.pdf", "Melting_Curves/meltCurve_P04075_ALDOA.pdf")</f>
        <v>Melting_Curves/meltCurve_P04075_ALDOA.pdf</v>
      </c>
    </row>
    <row r="1872" spans="1:28" x14ac:dyDescent="0.25">
      <c r="A1872" t="s">
        <v>1876</v>
      </c>
      <c r="B1872">
        <v>0.99673306730245903</v>
      </c>
      <c r="C1872">
        <v>0.97613774250154905</v>
      </c>
      <c r="D1872">
        <v>0.95587230856601002</v>
      </c>
      <c r="E1872">
        <v>1.1103578212337899</v>
      </c>
      <c r="F1872">
        <v>0.68449501923831102</v>
      </c>
      <c r="G1872">
        <v>0.44397545895060497</v>
      </c>
      <c r="H1872">
        <v>0.229576707795624</v>
      </c>
      <c r="I1872">
        <v>0.21101970839300599</v>
      </c>
      <c r="J1872">
        <v>0.16901769153816501</v>
      </c>
      <c r="K1872">
        <v>0.15806794515779199</v>
      </c>
      <c r="L1872">
        <v>1510.19710663716</v>
      </c>
      <c r="M1872">
        <v>27.525502339910101</v>
      </c>
      <c r="N1872">
        <v>55.743877109446203</v>
      </c>
      <c r="O1872">
        <v>54.578242537208403</v>
      </c>
      <c r="P1872">
        <v>-0.103896213817965</v>
      </c>
      <c r="Q1872">
        <v>0.175975700066861</v>
      </c>
      <c r="R1872">
        <v>0.97645905600500704</v>
      </c>
      <c r="S1872" t="s">
        <v>8324</v>
      </c>
      <c r="T1872" t="s">
        <v>12902</v>
      </c>
      <c r="U1872" t="s">
        <v>12902</v>
      </c>
      <c r="V1872" t="s">
        <v>12902</v>
      </c>
      <c r="W1872" t="s">
        <v>14741</v>
      </c>
      <c r="X1872">
        <v>4</v>
      </c>
      <c r="Y1872" t="s">
        <v>21116</v>
      </c>
      <c r="Z1872" t="s">
        <v>27447</v>
      </c>
      <c r="AA1872">
        <v>0.59070268524986203</v>
      </c>
      <c r="AB1872" t="str">
        <f>HYPERLINK("Melting_Curves/meltCurve_P04080_CSTB.pdf", "Melting_Curves/meltCurve_P04080_CSTB.pdf")</f>
        <v>Melting_Curves/meltCurve_P04080_CSTB.pdf</v>
      </c>
    </row>
    <row r="1873" spans="1:28" x14ac:dyDescent="0.25">
      <c r="A1873" t="s">
        <v>1877</v>
      </c>
      <c r="B1873">
        <v>0.99673306730245903</v>
      </c>
      <c r="C1873">
        <v>1.01447044104117</v>
      </c>
      <c r="D1873">
        <v>0.96372989152163901</v>
      </c>
      <c r="E1873">
        <v>0.46456510443728799</v>
      </c>
      <c r="F1873">
        <v>0.25018115850368</v>
      </c>
      <c r="G1873">
        <v>0.161735008608793</v>
      </c>
      <c r="H1873">
        <v>0.111667610628915</v>
      </c>
      <c r="I1873">
        <v>0.101380671680285</v>
      </c>
      <c r="J1873">
        <v>9.9348010388647698E-2</v>
      </c>
      <c r="K1873">
        <v>9.33094992972274E-2</v>
      </c>
      <c r="L1873">
        <v>1594.53341083583</v>
      </c>
      <c r="M1873">
        <v>32.410437902664498</v>
      </c>
      <c r="N1873">
        <v>49.612436357959403</v>
      </c>
      <c r="O1873">
        <v>49.011981546780703</v>
      </c>
      <c r="P1873">
        <v>-0.14571935820616</v>
      </c>
      <c r="Q1873">
        <v>0.118560473575474</v>
      </c>
      <c r="R1873">
        <v>0.99310045897354604</v>
      </c>
      <c r="S1873" t="s">
        <v>8325</v>
      </c>
      <c r="T1873" t="s">
        <v>12902</v>
      </c>
      <c r="U1873" t="s">
        <v>12902</v>
      </c>
      <c r="V1873" t="s">
        <v>12902</v>
      </c>
      <c r="W1873" t="s">
        <v>14742</v>
      </c>
      <c r="X1873">
        <v>9</v>
      </c>
      <c r="Y1873" t="s">
        <v>21117</v>
      </c>
      <c r="Z1873" t="s">
        <v>27448</v>
      </c>
      <c r="AA1873">
        <v>0.39341245462005359</v>
      </c>
      <c r="AB1873" t="str">
        <f>HYPERLINK("Melting_Curves/meltCurve_P04083_ANXA1.pdf", "Melting_Curves/meltCurve_P04083_ANXA1.pdf")</f>
        <v>Melting_Curves/meltCurve_P04083_ANXA1.pdf</v>
      </c>
    </row>
    <row r="1874" spans="1:28" x14ac:dyDescent="0.25">
      <c r="A1874" t="s">
        <v>1878</v>
      </c>
      <c r="B1874">
        <v>0.99673306730245903</v>
      </c>
      <c r="C1874">
        <v>0.95345855276392699</v>
      </c>
      <c r="D1874">
        <v>0.96199866116278698</v>
      </c>
      <c r="E1874">
        <v>1.03363966077858</v>
      </c>
      <c r="F1874">
        <v>0.64470038949124997</v>
      </c>
      <c r="G1874">
        <v>0.23819989574286801</v>
      </c>
      <c r="H1874">
        <v>0.110069637581921</v>
      </c>
      <c r="I1874">
        <v>7.8206462473148802E-2</v>
      </c>
      <c r="J1874">
        <v>6.9690365556356507E-2</v>
      </c>
      <c r="K1874">
        <v>6.0706469600566401E-2</v>
      </c>
      <c r="L1874">
        <v>1903.1961818034099</v>
      </c>
      <c r="M1874">
        <v>35.197157175392803</v>
      </c>
      <c r="N1874">
        <v>54.327412517090302</v>
      </c>
      <c r="O1874">
        <v>53.898786066525098</v>
      </c>
      <c r="P1874">
        <v>-0.15082688479235901</v>
      </c>
      <c r="Q1874">
        <v>7.6134752567112898E-2</v>
      </c>
      <c r="R1874">
        <v>0.99433794262326802</v>
      </c>
      <c r="S1874" t="s">
        <v>8326</v>
      </c>
      <c r="T1874" t="s">
        <v>12902</v>
      </c>
      <c r="U1874" t="s">
        <v>12902</v>
      </c>
      <c r="V1874" t="s">
        <v>12902</v>
      </c>
      <c r="W1874" t="s">
        <v>14743</v>
      </c>
      <c r="X1874">
        <v>22</v>
      </c>
      <c r="Y1874" t="s">
        <v>21118</v>
      </c>
      <c r="Z1874" t="s">
        <v>27449</v>
      </c>
      <c r="AA1874">
        <v>0.51394695942505786</v>
      </c>
      <c r="AB1874" t="str">
        <f>HYPERLINK("Melting_Curves/meltCurve_P04181_OAT.pdf", "Melting_Curves/meltCurve_P04181_OAT.pdf")</f>
        <v>Melting_Curves/meltCurve_P04181_OAT.pdf</v>
      </c>
    </row>
    <row r="1875" spans="1:28" x14ac:dyDescent="0.25">
      <c r="A1875" t="s">
        <v>1879</v>
      </c>
      <c r="B1875">
        <v>0.99673306730245903</v>
      </c>
      <c r="C1875">
        <v>0.99639959328501804</v>
      </c>
      <c r="D1875">
        <v>0.96138000755776798</v>
      </c>
      <c r="E1875">
        <v>0.91075879727509301</v>
      </c>
      <c r="F1875">
        <v>0.76587845527097498</v>
      </c>
      <c r="G1875">
        <v>0.66804511900678398</v>
      </c>
      <c r="H1875">
        <v>0.52849636018375001</v>
      </c>
      <c r="I1875">
        <v>0.68399900604840902</v>
      </c>
      <c r="J1875">
        <v>0.83860906911161703</v>
      </c>
      <c r="K1875">
        <v>0.76518519157869802</v>
      </c>
      <c r="L1875">
        <v>1777.14637428228</v>
      </c>
      <c r="M1875">
        <v>34.957786977164702</v>
      </c>
      <c r="O1875">
        <v>50.671433328411403</v>
      </c>
      <c r="P1875">
        <v>-5.2127669460143897E-2</v>
      </c>
      <c r="Q1875">
        <v>0.69776415733341701</v>
      </c>
      <c r="R1875">
        <v>0.74785438339069499</v>
      </c>
      <c r="S1875" t="s">
        <v>8327</v>
      </c>
      <c r="T1875" t="s">
        <v>12902</v>
      </c>
      <c r="U1875" t="s">
        <v>12902</v>
      </c>
      <c r="V1875" t="s">
        <v>12902</v>
      </c>
      <c r="W1875" t="s">
        <v>14744</v>
      </c>
      <c r="X1875">
        <v>12</v>
      </c>
      <c r="Y1875" t="s">
        <v>21119</v>
      </c>
      <c r="Z1875" t="s">
        <v>27450</v>
      </c>
      <c r="AA1875">
        <v>0.80833439990644174</v>
      </c>
      <c r="AB1875" t="str">
        <f>HYPERLINK("Melting_Curves/meltCurve_P04183_TK1.pdf", "Melting_Curves/meltCurve_P04183_TK1.pdf")</f>
        <v>Melting_Curves/meltCurve_P04183_TK1.pdf</v>
      </c>
    </row>
    <row r="1876" spans="1:28" x14ac:dyDescent="0.25">
      <c r="A1876" t="s">
        <v>1880</v>
      </c>
      <c r="B1876">
        <v>0.99673306730245903</v>
      </c>
      <c r="C1876">
        <v>0.98111382933611002</v>
      </c>
      <c r="D1876">
        <v>1.0240231740331001</v>
      </c>
      <c r="E1876">
        <v>0.90916504218233296</v>
      </c>
      <c r="F1876">
        <v>0.80401804406982003</v>
      </c>
      <c r="G1876">
        <v>0.45858253605341798</v>
      </c>
      <c r="H1876">
        <v>0.21260976649753699</v>
      </c>
      <c r="I1876">
        <v>0.21959042492997399</v>
      </c>
      <c r="J1876">
        <v>0.24180253352159201</v>
      </c>
      <c r="K1876">
        <v>0.172355411278416</v>
      </c>
      <c r="L1876">
        <v>1509.1977726054899</v>
      </c>
      <c r="M1876">
        <v>27.324015180953701</v>
      </c>
      <c r="N1876">
        <v>56.228899347575499</v>
      </c>
      <c r="O1876">
        <v>54.940078785645603</v>
      </c>
      <c r="P1876">
        <v>-0.100492565045425</v>
      </c>
      <c r="Q1876">
        <v>0.191770718465473</v>
      </c>
      <c r="R1876">
        <v>0.99307486566251302</v>
      </c>
      <c r="S1876" t="s">
        <v>8328</v>
      </c>
      <c r="T1876" t="s">
        <v>12902</v>
      </c>
      <c r="U1876" t="s">
        <v>12902</v>
      </c>
      <c r="V1876" t="s">
        <v>12902</v>
      </c>
      <c r="W1876" t="s">
        <v>14745</v>
      </c>
      <c r="X1876">
        <v>30</v>
      </c>
      <c r="Y1876" t="s">
        <v>20473</v>
      </c>
      <c r="Z1876" t="s">
        <v>27451</v>
      </c>
      <c r="AA1876">
        <v>0.60855363019013942</v>
      </c>
      <c r="AB1876" t="str">
        <f>HYPERLINK("Melting_Curves/meltCurve_P04350_TUBB4A.pdf", "Melting_Curves/meltCurve_P04350_TUBB4A.pdf")</f>
        <v>Melting_Curves/meltCurve_P04350_TUBB4A.pdf</v>
      </c>
    </row>
    <row r="1877" spans="1:28" x14ac:dyDescent="0.25">
      <c r="A1877" t="s">
        <v>1881</v>
      </c>
      <c r="B1877">
        <v>0.99673306730245903</v>
      </c>
      <c r="C1877">
        <v>0.98506438514182304</v>
      </c>
      <c r="D1877">
        <v>1.06058970083255</v>
      </c>
      <c r="E1877">
        <v>1.10811965079104</v>
      </c>
      <c r="F1877">
        <v>1.0924489521516401</v>
      </c>
      <c r="G1877">
        <v>1.0337712592581201</v>
      </c>
      <c r="H1877">
        <v>0.86162569781167697</v>
      </c>
      <c r="I1877">
        <v>0.84205174416900297</v>
      </c>
      <c r="J1877">
        <v>0.193472089566748</v>
      </c>
      <c r="K1877">
        <v>9.4470613254939301E-2</v>
      </c>
      <c r="L1877">
        <v>4736.9453864969901</v>
      </c>
      <c r="M1877">
        <v>72.510350177757005</v>
      </c>
      <c r="N1877">
        <v>65.490454145864604</v>
      </c>
      <c r="O1877">
        <v>65.278214172147102</v>
      </c>
      <c r="P1877">
        <v>-0.25482423338358701</v>
      </c>
      <c r="Q1877">
        <v>8.2367268195462195E-2</v>
      </c>
      <c r="R1877">
        <v>0.96495653426640904</v>
      </c>
      <c r="S1877" t="s">
        <v>8329</v>
      </c>
      <c r="T1877" t="s">
        <v>12902</v>
      </c>
      <c r="U1877" t="s">
        <v>12902</v>
      </c>
      <c r="V1877" t="s">
        <v>12902</v>
      </c>
      <c r="W1877" t="s">
        <v>14746</v>
      </c>
      <c r="X1877">
        <v>41</v>
      </c>
      <c r="Y1877" t="s">
        <v>21120</v>
      </c>
      <c r="Z1877" t="s">
        <v>27452</v>
      </c>
      <c r="AA1877">
        <v>0.85808608316987178</v>
      </c>
      <c r="AB1877" t="str">
        <f>HYPERLINK("Melting_Curves/meltCurve_P04406_GAPDH.pdf", "Melting_Curves/meltCurve_P04406_GAPDH.pdf")</f>
        <v>Melting_Curves/meltCurve_P04406_GAPDH.pdf</v>
      </c>
    </row>
    <row r="1878" spans="1:28" x14ac:dyDescent="0.25">
      <c r="A1878" t="s">
        <v>1882</v>
      </c>
      <c r="B1878">
        <v>0.99673306730245903</v>
      </c>
      <c r="C1878">
        <v>0.91173869173061095</v>
      </c>
      <c r="D1878">
        <v>1.00681822780936</v>
      </c>
      <c r="E1878">
        <v>0.98167708054925396</v>
      </c>
      <c r="F1878">
        <v>0.92862717333337097</v>
      </c>
      <c r="G1878">
        <v>0.60758846946407796</v>
      </c>
      <c r="H1878">
        <v>0.21819122153146001</v>
      </c>
      <c r="I1878">
        <v>0.15525082176174099</v>
      </c>
      <c r="J1878">
        <v>0.175826775748084</v>
      </c>
      <c r="K1878">
        <v>0.14793057222884701</v>
      </c>
      <c r="L1878">
        <v>2085.9758391994501</v>
      </c>
      <c r="M1878">
        <v>36.608321953050599</v>
      </c>
      <c r="N1878">
        <v>57.5460751814933</v>
      </c>
      <c r="O1878">
        <v>56.811689837720202</v>
      </c>
      <c r="P1878">
        <v>-0.136770140236434</v>
      </c>
      <c r="Q1878">
        <v>0.15099961514406299</v>
      </c>
      <c r="R1878">
        <v>0.99358729506462296</v>
      </c>
      <c r="S1878" t="s">
        <v>8330</v>
      </c>
      <c r="T1878" t="s">
        <v>12902</v>
      </c>
      <c r="U1878" t="s">
        <v>12902</v>
      </c>
      <c r="V1878" t="s">
        <v>12902</v>
      </c>
      <c r="W1878" t="s">
        <v>14747</v>
      </c>
      <c r="X1878">
        <v>6</v>
      </c>
      <c r="Y1878" t="s">
        <v>21121</v>
      </c>
      <c r="Z1878" t="s">
        <v>27453</v>
      </c>
      <c r="AA1878">
        <v>0.63548133658954775</v>
      </c>
      <c r="AB1878" t="str">
        <f>HYPERLINK("Melting_Curves/meltCurve_P04424_ASL.pdf", "Melting_Curves/meltCurve_P04424_ASL.pdf")</f>
        <v>Melting_Curves/meltCurve_P04424_ASL.pdf</v>
      </c>
    </row>
    <row r="1879" spans="1:28" x14ac:dyDescent="0.25">
      <c r="A1879" t="s">
        <v>1883</v>
      </c>
      <c r="B1879">
        <v>0.99673306730245903</v>
      </c>
      <c r="C1879">
        <v>1.0065598373661799</v>
      </c>
      <c r="D1879">
        <v>1.02399917121562</v>
      </c>
      <c r="E1879">
        <v>1.0712029569571</v>
      </c>
      <c r="F1879">
        <v>0.97953238671196796</v>
      </c>
      <c r="G1879">
        <v>0.78495691576027304</v>
      </c>
      <c r="H1879">
        <v>0.467544773529041</v>
      </c>
      <c r="I1879">
        <v>0.219259055340986</v>
      </c>
      <c r="J1879">
        <v>0.13900265789039401</v>
      </c>
      <c r="K1879">
        <v>0.102408996208272</v>
      </c>
      <c r="L1879">
        <v>1491.48026373018</v>
      </c>
      <c r="M1879">
        <v>24.9184209021033</v>
      </c>
      <c r="N1879">
        <v>60.262504403843998</v>
      </c>
      <c r="O1879">
        <v>59.473033705767897</v>
      </c>
      <c r="P1879">
        <v>-9.6617789146446101E-2</v>
      </c>
      <c r="Q1879">
        <v>7.7618156035040298E-2</v>
      </c>
      <c r="R1879">
        <v>0.99463687701885495</v>
      </c>
      <c r="S1879" t="s">
        <v>8331</v>
      </c>
      <c r="T1879" t="s">
        <v>12902</v>
      </c>
      <c r="U1879" t="s">
        <v>12902</v>
      </c>
      <c r="V1879" t="s">
        <v>12902</v>
      </c>
      <c r="W1879" t="s">
        <v>14748</v>
      </c>
      <c r="X1879">
        <v>16</v>
      </c>
      <c r="Y1879" t="s">
        <v>21122</v>
      </c>
      <c r="Z1879" t="s">
        <v>27454</v>
      </c>
      <c r="AA1879">
        <v>0.69505481960197413</v>
      </c>
      <c r="AB1879" t="str">
        <f>HYPERLINK("Melting_Curves/meltCurve_P04632_CAPNS1.pdf", "Melting_Curves/meltCurve_P04632_CAPNS1.pdf")</f>
        <v>Melting_Curves/meltCurve_P04632_CAPNS1.pdf</v>
      </c>
    </row>
    <row r="1880" spans="1:28" x14ac:dyDescent="0.25">
      <c r="A1880" t="s">
        <v>1884</v>
      </c>
      <c r="B1880">
        <v>0.99673306730245903</v>
      </c>
      <c r="C1880">
        <v>0.88072398513642303</v>
      </c>
      <c r="D1880">
        <v>0.53721952264920803</v>
      </c>
      <c r="E1880">
        <v>0.28007864972907398</v>
      </c>
      <c r="F1880">
        <v>0.15810040834410199</v>
      </c>
      <c r="G1880">
        <v>0.111302038635626</v>
      </c>
      <c r="H1880">
        <v>8.24189849057365E-2</v>
      </c>
      <c r="I1880">
        <v>0.137076233482263</v>
      </c>
      <c r="J1880">
        <v>0.35152831063647899</v>
      </c>
      <c r="K1880">
        <v>0.82284742647324505</v>
      </c>
      <c r="L1880">
        <v>1599.42994387307</v>
      </c>
      <c r="M1880">
        <v>35.4408616179063</v>
      </c>
      <c r="N1880">
        <v>46.166539381281098</v>
      </c>
      <c r="O1880">
        <v>44.986594574543098</v>
      </c>
      <c r="P1880">
        <v>-0.14289895686698501</v>
      </c>
      <c r="Q1880">
        <v>0.27445167939946202</v>
      </c>
      <c r="R1880">
        <v>0.63218327896092597</v>
      </c>
      <c r="S1880" t="s">
        <v>8332</v>
      </c>
      <c r="T1880" t="s">
        <v>12902</v>
      </c>
      <c r="U1880" t="s">
        <v>12902</v>
      </c>
      <c r="V1880" t="s">
        <v>12902</v>
      </c>
      <c r="W1880" t="s">
        <v>14749</v>
      </c>
      <c r="X1880">
        <v>21</v>
      </c>
      <c r="Y1880" t="s">
        <v>21123</v>
      </c>
      <c r="Z1880" t="s">
        <v>27455</v>
      </c>
      <c r="AA1880">
        <v>0.40164383861492509</v>
      </c>
      <c r="AB1880" t="str">
        <f>HYPERLINK("Melting_Curves/meltCurve_P04792_HSPB1.pdf", "Melting_Curves/meltCurve_P04792_HSPB1.pdf")</f>
        <v>Melting_Curves/meltCurve_P04792_HSPB1.pdf</v>
      </c>
    </row>
    <row r="1881" spans="1:28" x14ac:dyDescent="0.25">
      <c r="A1881" t="s">
        <v>1885</v>
      </c>
      <c r="B1881">
        <v>0.99673306730245903</v>
      </c>
      <c r="C1881">
        <v>0.94393096113802399</v>
      </c>
      <c r="D1881">
        <v>0.75441398382274105</v>
      </c>
      <c r="E1881">
        <v>0.286751696173976</v>
      </c>
      <c r="F1881">
        <v>0.18436220989398999</v>
      </c>
      <c r="G1881">
        <v>0.123099874542549</v>
      </c>
      <c r="H1881">
        <v>9.1506830306949297E-2</v>
      </c>
      <c r="I1881">
        <v>8.3409735866825402E-2</v>
      </c>
      <c r="J1881">
        <v>0.112194525510924</v>
      </c>
      <c r="K1881">
        <v>9.4623147145338496E-2</v>
      </c>
      <c r="L1881">
        <v>1338.0820957143701</v>
      </c>
      <c r="M1881">
        <v>28.188508517597398</v>
      </c>
      <c r="N1881">
        <v>47.862683856563699</v>
      </c>
      <c r="O1881">
        <v>47.232088499992699</v>
      </c>
      <c r="P1881">
        <v>-0.13376738098904101</v>
      </c>
      <c r="Q1881">
        <v>0.103455931976757</v>
      </c>
      <c r="R1881">
        <v>0.99736808417868505</v>
      </c>
      <c r="S1881" t="s">
        <v>8333</v>
      </c>
      <c r="T1881" t="s">
        <v>12902</v>
      </c>
      <c r="U1881" t="s">
        <v>12902</v>
      </c>
      <c r="V1881" t="s">
        <v>12902</v>
      </c>
      <c r="W1881" t="s">
        <v>14750</v>
      </c>
      <c r="X1881">
        <v>10</v>
      </c>
      <c r="Y1881" t="s">
        <v>21124</v>
      </c>
      <c r="Z1881" t="s">
        <v>27456</v>
      </c>
      <c r="AA1881">
        <v>0.33280759095595752</v>
      </c>
      <c r="AB1881" t="str">
        <f>HYPERLINK("Melting_Curves/meltCurve_P04818_TYMS.pdf", "Melting_Curves/meltCurve_P04818_TYMS.pdf")</f>
        <v>Melting_Curves/meltCurve_P04818_TYMS.pdf</v>
      </c>
    </row>
    <row r="1882" spans="1:28" x14ac:dyDescent="0.25">
      <c r="A1882" t="s">
        <v>1886</v>
      </c>
      <c r="B1882">
        <v>0.99673306730245903</v>
      </c>
      <c r="C1882">
        <v>0.89132816136558601</v>
      </c>
      <c r="D1882">
        <v>0.99926740975563599</v>
      </c>
      <c r="E1882">
        <v>0.86260181775446798</v>
      </c>
      <c r="F1882">
        <v>0.67788396211847901</v>
      </c>
      <c r="G1882">
        <v>0.21456119627508599</v>
      </c>
      <c r="H1882">
        <v>9.1207533423810494E-2</v>
      </c>
      <c r="I1882">
        <v>7.7054410855509306E-2</v>
      </c>
      <c r="J1882">
        <v>7.9051047224073204E-2</v>
      </c>
      <c r="K1882">
        <v>6.2711783880839006E-2</v>
      </c>
      <c r="L1882">
        <v>1546.3959489751501</v>
      </c>
      <c r="M1882">
        <v>28.613545887198899</v>
      </c>
      <c r="N1882">
        <v>54.288497477341899</v>
      </c>
      <c r="O1882">
        <v>53.782283734120902</v>
      </c>
      <c r="P1882">
        <v>-0.124972454212087</v>
      </c>
      <c r="Q1882">
        <v>6.0409895114146302E-2</v>
      </c>
      <c r="R1882">
        <v>0.98761096706107498</v>
      </c>
      <c r="S1882" t="s">
        <v>8334</v>
      </c>
      <c r="T1882" t="s">
        <v>12902</v>
      </c>
      <c r="U1882" t="s">
        <v>12902</v>
      </c>
      <c r="V1882" t="s">
        <v>12902</v>
      </c>
      <c r="W1882" t="s">
        <v>14751</v>
      </c>
      <c r="X1882">
        <v>47</v>
      </c>
      <c r="Y1882" t="s">
        <v>21125</v>
      </c>
      <c r="Z1882" t="s">
        <v>27457</v>
      </c>
      <c r="AA1882">
        <v>0.50703037202136469</v>
      </c>
      <c r="AB1882" t="str">
        <f>HYPERLINK("Melting_Curves/meltCurve_P04843_RPN1.pdf", "Melting_Curves/meltCurve_P04843_RPN1.pdf")</f>
        <v>Melting_Curves/meltCurve_P04843_RPN1.pdf</v>
      </c>
    </row>
    <row r="1883" spans="1:28" x14ac:dyDescent="0.25">
      <c r="A1883" t="s">
        <v>1887</v>
      </c>
      <c r="B1883">
        <v>0.99673306730245903</v>
      </c>
      <c r="C1883">
        <v>0.87349545714029697</v>
      </c>
      <c r="D1883">
        <v>0.80306678540263399</v>
      </c>
      <c r="E1883">
        <v>0.757797565177323</v>
      </c>
      <c r="F1883">
        <v>0.326291151010556</v>
      </c>
      <c r="G1883">
        <v>0.14068298395749601</v>
      </c>
      <c r="H1883">
        <v>7.73737423588996E-2</v>
      </c>
      <c r="I1883">
        <v>7.6556405699706703E-2</v>
      </c>
      <c r="J1883">
        <v>8.1038369056177201E-2</v>
      </c>
      <c r="K1883">
        <v>6.5083109149250196E-2</v>
      </c>
      <c r="L1883">
        <v>920.04597091829896</v>
      </c>
      <c r="M1883">
        <v>17.988623602171401</v>
      </c>
      <c r="N1883">
        <v>51.401621797923902</v>
      </c>
      <c r="O1883">
        <v>50.526483432357701</v>
      </c>
      <c r="P1883">
        <v>-8.5201751806101803E-2</v>
      </c>
      <c r="Q1883">
        <v>4.2787916908890299E-2</v>
      </c>
      <c r="R1883">
        <v>0.97673348112421898</v>
      </c>
      <c r="S1883" t="s">
        <v>8335</v>
      </c>
      <c r="T1883" t="s">
        <v>12902</v>
      </c>
      <c r="U1883" t="s">
        <v>12902</v>
      </c>
      <c r="V1883" t="s">
        <v>12902</v>
      </c>
      <c r="W1883" t="s">
        <v>14752</v>
      </c>
      <c r="X1883">
        <v>16</v>
      </c>
      <c r="Y1883" t="s">
        <v>21126</v>
      </c>
      <c r="Z1883" t="s">
        <v>27458</v>
      </c>
      <c r="AA1883">
        <v>0.41454290366730773</v>
      </c>
      <c r="AB1883" t="str">
        <f>HYPERLINK("Melting_Curves/meltCurve_P04844_RPN2.pdf", "Melting_Curves/meltCurve_P04844_RPN2.pdf")</f>
        <v>Melting_Curves/meltCurve_P04844_RPN2.pdf</v>
      </c>
    </row>
    <row r="1884" spans="1:28" x14ac:dyDescent="0.25">
      <c r="A1884" t="s">
        <v>1888</v>
      </c>
      <c r="B1884">
        <v>0.99673306730245903</v>
      </c>
      <c r="C1884">
        <v>0.90459150512563802</v>
      </c>
      <c r="D1884">
        <v>0.85669848774150303</v>
      </c>
      <c r="E1884">
        <v>0.798473951340405</v>
      </c>
      <c r="F1884">
        <v>0.52637729968661195</v>
      </c>
      <c r="G1884">
        <v>0.20341656811836301</v>
      </c>
      <c r="H1884">
        <v>0.111129943563752</v>
      </c>
      <c r="I1884">
        <v>8.5313908493230103E-2</v>
      </c>
      <c r="J1884">
        <v>8.1020760516794701E-2</v>
      </c>
      <c r="K1884">
        <v>5.7949919890258501E-2</v>
      </c>
      <c r="L1884">
        <v>907.332871607181</v>
      </c>
      <c r="M1884">
        <v>17.179633088026002</v>
      </c>
      <c r="N1884">
        <v>53.041476497819502</v>
      </c>
      <c r="O1884">
        <v>52.114423711224198</v>
      </c>
      <c r="P1884">
        <v>-7.9496501659844898E-2</v>
      </c>
      <c r="Q1884">
        <v>3.5446585728642399E-2</v>
      </c>
      <c r="R1884">
        <v>0.98712276157383905</v>
      </c>
      <c r="S1884" t="s">
        <v>8336</v>
      </c>
      <c r="T1884" t="s">
        <v>12902</v>
      </c>
      <c r="U1884" t="s">
        <v>12902</v>
      </c>
      <c r="V1884" t="s">
        <v>12902</v>
      </c>
      <c r="W1884" t="s">
        <v>14753</v>
      </c>
      <c r="X1884">
        <v>20</v>
      </c>
      <c r="Y1884" t="s">
        <v>21127</v>
      </c>
      <c r="Z1884" t="s">
        <v>27459</v>
      </c>
      <c r="AA1884">
        <v>0.46452719115546798</v>
      </c>
      <c r="AB1884" t="str">
        <f>HYPERLINK("Melting_Curves/meltCurve_P04899_GNAI2.pdf", "Melting_Curves/meltCurve_P04899_GNAI2.pdf")</f>
        <v>Melting_Curves/meltCurve_P04899_GNAI2.pdf</v>
      </c>
    </row>
    <row r="1885" spans="1:28" x14ac:dyDescent="0.25">
      <c r="A1885" t="s">
        <v>1889</v>
      </c>
      <c r="B1885">
        <v>0.99673306730245903</v>
      </c>
      <c r="C1885">
        <v>0.97397778887687503</v>
      </c>
      <c r="D1885">
        <v>0.92529236560495898</v>
      </c>
      <c r="E1885">
        <v>0.749999306750602</v>
      </c>
      <c r="F1885">
        <v>0.43936346285286998</v>
      </c>
      <c r="G1885">
        <v>0.23685569440263199</v>
      </c>
      <c r="H1885">
        <v>0.17710645319489299</v>
      </c>
      <c r="I1885">
        <v>0.131286655439944</v>
      </c>
      <c r="J1885">
        <v>0.14590878969889701</v>
      </c>
      <c r="K1885">
        <v>0.13135205856410001</v>
      </c>
      <c r="L1885">
        <v>1063.9884451952601</v>
      </c>
      <c r="M1885">
        <v>20.587599633568502</v>
      </c>
      <c r="N1885">
        <v>52.435669511746902</v>
      </c>
      <c r="O1885">
        <v>51.200817716377102</v>
      </c>
      <c r="P1885">
        <v>-8.7637750209291099E-2</v>
      </c>
      <c r="Q1885">
        <v>0.12821384152765</v>
      </c>
      <c r="R1885">
        <v>0.999336042523569</v>
      </c>
      <c r="S1885" t="s">
        <v>8337</v>
      </c>
      <c r="T1885" t="s">
        <v>12902</v>
      </c>
      <c r="U1885" t="s">
        <v>12902</v>
      </c>
      <c r="V1885" t="s">
        <v>12902</v>
      </c>
      <c r="W1885" t="s">
        <v>14754</v>
      </c>
      <c r="X1885">
        <v>6</v>
      </c>
      <c r="Y1885" t="s">
        <v>21128</v>
      </c>
      <c r="Z1885" t="s">
        <v>27460</v>
      </c>
      <c r="AA1885">
        <v>0.47911545193437888</v>
      </c>
      <c r="AB1885" t="str">
        <f>HYPERLINK("Melting_Curves/meltCurve_P04920_2_SLC4A2.pdf", "Melting_Curves/meltCurve_P04920_2_SLC4A2.pdf")</f>
        <v>Melting_Curves/meltCurve_P04920_2_SLC4A2.pdf</v>
      </c>
    </row>
    <row r="1886" spans="1:28" x14ac:dyDescent="0.25">
      <c r="A1886" t="s">
        <v>1890</v>
      </c>
      <c r="B1886">
        <v>0.99673306730245903</v>
      </c>
      <c r="C1886">
        <v>0.93010898512109397</v>
      </c>
      <c r="D1886">
        <v>0.92663338473897705</v>
      </c>
      <c r="E1886">
        <v>0.84740295735720905</v>
      </c>
      <c r="F1886">
        <v>0.75181804645543904</v>
      </c>
      <c r="G1886">
        <v>0.61156449403391999</v>
      </c>
      <c r="H1886">
        <v>0.32610052490904101</v>
      </c>
      <c r="I1886">
        <v>0.13796395427289801</v>
      </c>
      <c r="J1886">
        <v>9.9743130356564499E-2</v>
      </c>
      <c r="K1886">
        <v>7.72520547730777E-2</v>
      </c>
      <c r="L1886">
        <v>803.29119375749201</v>
      </c>
      <c r="M1886">
        <v>13.9686431208657</v>
      </c>
      <c r="N1886">
        <v>57.506744732650503</v>
      </c>
      <c r="O1886">
        <v>56.366619531317902</v>
      </c>
      <c r="P1886">
        <v>-6.1962682804583502E-2</v>
      </c>
      <c r="Q1886">
        <v>0</v>
      </c>
      <c r="R1886">
        <v>0.986425014534134</v>
      </c>
      <c r="S1886" t="s">
        <v>8338</v>
      </c>
      <c r="T1886" t="s">
        <v>12902</v>
      </c>
      <c r="U1886" t="s">
        <v>12902</v>
      </c>
      <c r="V1886" t="s">
        <v>12902</v>
      </c>
      <c r="W1886" t="s">
        <v>14755</v>
      </c>
      <c r="X1886">
        <v>64</v>
      </c>
      <c r="Y1886" t="s">
        <v>21129</v>
      </c>
      <c r="Z1886" t="s">
        <v>27461</v>
      </c>
      <c r="AA1886">
        <v>0.59853494938705487</v>
      </c>
      <c r="AB1886" t="str">
        <f>HYPERLINK("Melting_Curves/meltCurve_P05023_4_ATP1A1.pdf", "Melting_Curves/meltCurve_P05023_4_ATP1A1.pdf")</f>
        <v>Melting_Curves/meltCurve_P05023_4_ATP1A1.pdf</v>
      </c>
    </row>
    <row r="1887" spans="1:28" x14ac:dyDescent="0.25">
      <c r="A1887" t="s">
        <v>1891</v>
      </c>
      <c r="B1887">
        <v>0.99673306730245903</v>
      </c>
      <c r="C1887">
        <v>0.97109916099298799</v>
      </c>
      <c r="D1887">
        <v>1.0750718084847399</v>
      </c>
      <c r="E1887">
        <v>0.90242766456580203</v>
      </c>
      <c r="F1887">
        <v>0.74574681739423299</v>
      </c>
      <c r="G1887">
        <v>0.74563711899121099</v>
      </c>
      <c r="H1887">
        <v>0.67650976160768606</v>
      </c>
      <c r="I1887">
        <v>0.90971250581121499</v>
      </c>
      <c r="J1887">
        <v>1.5157934831250299</v>
      </c>
      <c r="K1887">
        <v>1.4390396838989401</v>
      </c>
      <c r="L1887">
        <v>15000</v>
      </c>
      <c r="M1887">
        <v>228.54544775603</v>
      </c>
      <c r="O1887">
        <v>65.627417007549695</v>
      </c>
      <c r="P1887">
        <v>0.41680962720445602</v>
      </c>
      <c r="Q1887">
        <v>1.47875198270852</v>
      </c>
      <c r="R1887">
        <v>0.63509619158025399</v>
      </c>
      <c r="S1887" t="s">
        <v>8339</v>
      </c>
      <c r="T1887" t="s">
        <v>12902</v>
      </c>
      <c r="U1887" t="s">
        <v>12902</v>
      </c>
      <c r="V1887" t="s">
        <v>12902</v>
      </c>
      <c r="W1887" t="s">
        <v>14756</v>
      </c>
      <c r="X1887">
        <v>3</v>
      </c>
      <c r="Y1887" t="s">
        <v>21130</v>
      </c>
      <c r="Z1887" t="s">
        <v>27462</v>
      </c>
      <c r="AA1887">
        <v>1.0696329615804889</v>
      </c>
      <c r="AB1887" t="str">
        <f>HYPERLINK("Melting_Curves/meltCurve_P05060_CHGB.pdf", "Melting_Curves/meltCurve_P05060_CHGB.pdf")</f>
        <v>Melting_Curves/meltCurve_P05060_CHGB.pdf</v>
      </c>
    </row>
    <row r="1888" spans="1:28" x14ac:dyDescent="0.25">
      <c r="A1888" t="s">
        <v>1892</v>
      </c>
      <c r="B1888">
        <v>0.99673306730245903</v>
      </c>
      <c r="C1888">
        <v>0.95974170103010603</v>
      </c>
      <c r="D1888">
        <v>0.92129058537257202</v>
      </c>
      <c r="E1888">
        <v>0.79187875094910098</v>
      </c>
      <c r="F1888">
        <v>0.62860132013118397</v>
      </c>
      <c r="G1888">
        <v>0.41691250536323499</v>
      </c>
      <c r="H1888">
        <v>0.25870861055907302</v>
      </c>
      <c r="I1888">
        <v>0.25559150669993302</v>
      </c>
      <c r="J1888">
        <v>0.29481380705221299</v>
      </c>
      <c r="K1888">
        <v>0.25307234486070401</v>
      </c>
      <c r="L1888">
        <v>863.64394193128305</v>
      </c>
      <c r="M1888">
        <v>16.3392839906207</v>
      </c>
      <c r="N1888">
        <v>54.925419537559002</v>
      </c>
      <c r="O1888">
        <v>52.084181759857202</v>
      </c>
      <c r="P1888">
        <v>-6.0411191581866398E-2</v>
      </c>
      <c r="Q1888">
        <v>0.229772818469787</v>
      </c>
      <c r="R1888">
        <v>0.99228313475061503</v>
      </c>
      <c r="S1888" t="s">
        <v>8340</v>
      </c>
      <c r="T1888" t="s">
        <v>12902</v>
      </c>
      <c r="U1888" t="s">
        <v>12902</v>
      </c>
      <c r="V1888" t="s">
        <v>12902</v>
      </c>
      <c r="W1888" t="s">
        <v>14757</v>
      </c>
      <c r="X1888">
        <v>19</v>
      </c>
      <c r="Y1888" t="s">
        <v>21131</v>
      </c>
      <c r="Z1888" t="s">
        <v>27463</v>
      </c>
      <c r="AA1888">
        <v>0.57457726758985384</v>
      </c>
      <c r="AB1888" t="str">
        <f>HYPERLINK("Melting_Curves/meltCurve_P05067_7_APP.pdf", "Melting_Curves/meltCurve_P05067_7_APP.pdf")</f>
        <v>Melting_Curves/meltCurve_P05067_7_APP.pdf</v>
      </c>
    </row>
    <row r="1889" spans="1:28" x14ac:dyDescent="0.25">
      <c r="A1889" t="s">
        <v>1893</v>
      </c>
      <c r="B1889">
        <v>0.99673306730245903</v>
      </c>
      <c r="C1889">
        <v>0.96959348433190296</v>
      </c>
      <c r="D1889">
        <v>1.02009173520644</v>
      </c>
      <c r="E1889">
        <v>1.1004840136146901</v>
      </c>
      <c r="F1889">
        <v>0.80388832370215801</v>
      </c>
      <c r="G1889">
        <v>0.36548641003321602</v>
      </c>
      <c r="H1889">
        <v>9.9995198342123406E-2</v>
      </c>
      <c r="I1889">
        <v>0.100703340063713</v>
      </c>
      <c r="J1889">
        <v>7.7839881664924698E-2</v>
      </c>
      <c r="K1889">
        <v>6.8943799665985003E-2</v>
      </c>
      <c r="L1889">
        <v>1971.1998749719201</v>
      </c>
      <c r="M1889">
        <v>35.5577194550538</v>
      </c>
      <c r="N1889">
        <v>55.696061979466201</v>
      </c>
      <c r="O1889">
        <v>55.262171454050602</v>
      </c>
      <c r="P1889">
        <v>-0.14858279362717899</v>
      </c>
      <c r="Q1889">
        <v>7.6321115256299102E-2</v>
      </c>
      <c r="R1889">
        <v>0.99143681905923597</v>
      </c>
      <c r="S1889" t="s">
        <v>8341</v>
      </c>
      <c r="T1889" t="s">
        <v>12902</v>
      </c>
      <c r="U1889" t="s">
        <v>12902</v>
      </c>
      <c r="V1889" t="s">
        <v>12902</v>
      </c>
      <c r="W1889" t="s">
        <v>14758</v>
      </c>
      <c r="X1889">
        <v>13</v>
      </c>
      <c r="Y1889" t="s">
        <v>21132</v>
      </c>
      <c r="Z1889" t="s">
        <v>27464</v>
      </c>
      <c r="AA1889">
        <v>0.55604432913175283</v>
      </c>
      <c r="AB1889" t="str">
        <f>HYPERLINK("Melting_Curves/meltCurve_P05091_ALDH2.pdf", "Melting_Curves/meltCurve_P05091_ALDH2.pdf")</f>
        <v>Melting_Curves/meltCurve_P05091_ALDH2.pdf</v>
      </c>
    </row>
    <row r="1890" spans="1:28" x14ac:dyDescent="0.25">
      <c r="A1890" t="s">
        <v>1894</v>
      </c>
      <c r="B1890">
        <v>0.99673306730245903</v>
      </c>
      <c r="C1890">
        <v>0.879998145328863</v>
      </c>
      <c r="D1890">
        <v>1.0850970158934099</v>
      </c>
      <c r="E1890">
        <v>0.89489585719609599</v>
      </c>
      <c r="F1890">
        <v>0.81119356364053996</v>
      </c>
      <c r="G1890">
        <v>0.75729085217640502</v>
      </c>
      <c r="H1890">
        <v>0.87101666267885003</v>
      </c>
      <c r="I1890">
        <v>2.0984022977060102</v>
      </c>
      <c r="J1890">
        <v>3.3429325837566499</v>
      </c>
      <c r="K1890">
        <v>3.6728988482310001</v>
      </c>
      <c r="L1890">
        <v>15000</v>
      </c>
      <c r="M1890">
        <v>241.30537954529601</v>
      </c>
      <c r="O1890">
        <v>62.157626653327199</v>
      </c>
      <c r="P1890">
        <v>0.48526905088261202</v>
      </c>
      <c r="Q1890">
        <v>1.5</v>
      </c>
      <c r="R1890">
        <v>0.22029536202429301</v>
      </c>
      <c r="S1890" t="s">
        <v>8342</v>
      </c>
      <c r="T1890" t="s">
        <v>12902</v>
      </c>
      <c r="U1890" t="s">
        <v>12902</v>
      </c>
      <c r="V1890" t="s">
        <v>12902</v>
      </c>
      <c r="W1890" t="s">
        <v>14759</v>
      </c>
      <c r="X1890">
        <v>4</v>
      </c>
      <c r="Y1890" t="s">
        <v>21133</v>
      </c>
      <c r="Z1890" t="s">
        <v>27465</v>
      </c>
      <c r="AA1890">
        <v>1.1305765111311701</v>
      </c>
      <c r="AB1890" t="str">
        <f>HYPERLINK("Melting_Curves/meltCurve_P05114_HMGN1.pdf", "Melting_Curves/meltCurve_P05114_HMGN1.pdf")</f>
        <v>Melting_Curves/meltCurve_P05114_HMGN1.pdf</v>
      </c>
    </row>
    <row r="1891" spans="1:28" x14ac:dyDescent="0.25">
      <c r="A1891" t="s">
        <v>1895</v>
      </c>
      <c r="B1891">
        <v>0.99673306730245903</v>
      </c>
      <c r="C1891">
        <v>0.99152509647034803</v>
      </c>
      <c r="D1891">
        <v>0.91633430864306098</v>
      </c>
      <c r="E1891">
        <v>0.85407457671773201</v>
      </c>
      <c r="F1891">
        <v>0.76227130485920203</v>
      </c>
      <c r="G1891">
        <v>0.72176490310522901</v>
      </c>
      <c r="H1891">
        <v>0.62989568740399904</v>
      </c>
      <c r="I1891">
        <v>0.72033014958732899</v>
      </c>
      <c r="J1891">
        <v>0.71684632060926401</v>
      </c>
      <c r="K1891">
        <v>0.49328338572802999</v>
      </c>
      <c r="L1891">
        <v>513.04508020634</v>
      </c>
      <c r="M1891">
        <v>9.6645912938404308</v>
      </c>
      <c r="O1891">
        <v>50.961674311208398</v>
      </c>
      <c r="P1891">
        <v>-2.0235651216212801E-2</v>
      </c>
      <c r="Q1891">
        <v>0.57342360100395995</v>
      </c>
      <c r="R1891">
        <v>0.86204937271647597</v>
      </c>
      <c r="S1891" t="s">
        <v>8343</v>
      </c>
      <c r="T1891" t="s">
        <v>12902</v>
      </c>
      <c r="U1891" t="s">
        <v>12902</v>
      </c>
      <c r="V1891" t="s">
        <v>12902</v>
      </c>
      <c r="W1891" t="s">
        <v>14760</v>
      </c>
      <c r="X1891">
        <v>32</v>
      </c>
      <c r="Y1891" t="s">
        <v>21134</v>
      </c>
      <c r="Z1891" t="s">
        <v>27466</v>
      </c>
      <c r="AA1891">
        <v>0.77436725820434593</v>
      </c>
      <c r="AB1891" t="str">
        <f>HYPERLINK("Melting_Curves/meltCurve_P05141_SLC25A5.pdf", "Melting_Curves/meltCurve_P05141_SLC25A5.pdf")</f>
        <v>Melting_Curves/meltCurve_P05141_SLC25A5.pdf</v>
      </c>
    </row>
    <row r="1892" spans="1:28" x14ac:dyDescent="0.25">
      <c r="A1892" t="s">
        <v>1896</v>
      </c>
      <c r="B1892">
        <v>0.99673306730245903</v>
      </c>
      <c r="C1892">
        <v>1.0799510568948101</v>
      </c>
      <c r="D1892">
        <v>0.48945030338095802</v>
      </c>
      <c r="E1892">
        <v>0.312800058569838</v>
      </c>
      <c r="F1892">
        <v>0.13395508179660001</v>
      </c>
      <c r="G1892">
        <v>8.2761040843175399E-2</v>
      </c>
      <c r="H1892">
        <v>4.8479817042759998E-2</v>
      </c>
      <c r="I1892">
        <v>4.1422842270993403E-2</v>
      </c>
      <c r="J1892">
        <v>5.4388717309594402E-2</v>
      </c>
      <c r="K1892">
        <v>5.0052192949814701E-2</v>
      </c>
      <c r="L1892">
        <v>1240.0488254531399</v>
      </c>
      <c r="M1892">
        <v>26.650197035437099</v>
      </c>
      <c r="N1892">
        <v>46.790910865889899</v>
      </c>
      <c r="O1892">
        <v>46.270950380561203</v>
      </c>
      <c r="P1892">
        <v>-0.13406985730138701</v>
      </c>
      <c r="Q1892">
        <v>6.8903817921397506E-2</v>
      </c>
      <c r="R1892">
        <v>0.96297208607029805</v>
      </c>
      <c r="S1892" t="s">
        <v>8344</v>
      </c>
      <c r="T1892" t="s">
        <v>12902</v>
      </c>
      <c r="U1892" t="s">
        <v>12902</v>
      </c>
      <c r="V1892" t="s">
        <v>12902</v>
      </c>
      <c r="W1892" t="s">
        <v>14761</v>
      </c>
      <c r="X1892">
        <v>4</v>
      </c>
      <c r="Y1892" t="s">
        <v>21135</v>
      </c>
      <c r="Z1892" t="s">
        <v>27467</v>
      </c>
      <c r="AA1892">
        <v>0.27888020363676969</v>
      </c>
      <c r="AB1892" t="str">
        <f>HYPERLINK("Melting_Curves/meltCurve_P05161_ISG15.pdf", "Melting_Curves/meltCurve_P05161_ISG15.pdf")</f>
        <v>Melting_Curves/meltCurve_P05161_ISG15.pdf</v>
      </c>
    </row>
    <row r="1893" spans="1:28" x14ac:dyDescent="0.25">
      <c r="A1893" t="s">
        <v>1897</v>
      </c>
      <c r="B1893">
        <v>0.99673306730245903</v>
      </c>
      <c r="C1893">
        <v>0.944166413114925</v>
      </c>
      <c r="D1893">
        <v>1.0481106850953399</v>
      </c>
      <c r="E1893">
        <v>1.43344645717899</v>
      </c>
      <c r="F1893">
        <v>1.14223133875066</v>
      </c>
      <c r="G1893">
        <v>0.37457941156477398</v>
      </c>
      <c r="H1893">
        <v>0.16610866656079401</v>
      </c>
      <c r="I1893">
        <v>0.143517188962414</v>
      </c>
      <c r="J1893">
        <v>0.16068489142793599</v>
      </c>
      <c r="K1893">
        <v>0.14239955125819301</v>
      </c>
      <c r="L1893">
        <v>14141.0163648774</v>
      </c>
      <c r="M1893">
        <v>250</v>
      </c>
      <c r="N1893">
        <v>56.646950472827697</v>
      </c>
      <c r="O1893">
        <v>56.560445750553598</v>
      </c>
      <c r="P1893">
        <v>-0.93574939819807101</v>
      </c>
      <c r="Q1893">
        <v>0.15317755206660399</v>
      </c>
      <c r="R1893">
        <v>0.90634073880997801</v>
      </c>
      <c r="S1893" t="s">
        <v>8345</v>
      </c>
      <c r="T1893" t="s">
        <v>12902</v>
      </c>
      <c r="U1893" t="s">
        <v>12902</v>
      </c>
      <c r="V1893" t="s">
        <v>12902</v>
      </c>
      <c r="W1893" t="s">
        <v>14762</v>
      </c>
      <c r="X1893">
        <v>26</v>
      </c>
      <c r="Y1893" t="s">
        <v>21136</v>
      </c>
      <c r="Z1893" t="s">
        <v>27468</v>
      </c>
      <c r="AA1893">
        <v>0.62082236400208002</v>
      </c>
      <c r="AB1893" t="str">
        <f>HYPERLINK("Melting_Curves/meltCurve_P05165_2_PCCA.pdf", "Melting_Curves/meltCurve_P05165_2_PCCA.pdf")</f>
        <v>Melting_Curves/meltCurve_P05165_2_PCCA.pdf</v>
      </c>
    </row>
    <row r="1894" spans="1:28" x14ac:dyDescent="0.25">
      <c r="A1894" t="s">
        <v>1898</v>
      </c>
      <c r="B1894">
        <v>0.99673306730245903</v>
      </c>
      <c r="C1894">
        <v>0.978881297060195</v>
      </c>
      <c r="D1894">
        <v>0.853870095150013</v>
      </c>
      <c r="E1894">
        <v>0.87272749900491398</v>
      </c>
      <c r="F1894">
        <v>0.61481936135367998</v>
      </c>
      <c r="G1894">
        <v>0.28197995711156598</v>
      </c>
      <c r="H1894">
        <v>0.10955315125251699</v>
      </c>
      <c r="I1894">
        <v>9.8492577560646499E-2</v>
      </c>
      <c r="J1894">
        <v>0.107483376697094</v>
      </c>
      <c r="K1894">
        <v>9.4154805363166699E-2</v>
      </c>
      <c r="L1894">
        <v>1127.4035044700099</v>
      </c>
      <c r="M1894">
        <v>20.979039888812501</v>
      </c>
      <c r="N1894">
        <v>54.135885614868002</v>
      </c>
      <c r="O1894">
        <v>53.258382218357902</v>
      </c>
      <c r="P1894">
        <v>-9.1469139075403799E-2</v>
      </c>
      <c r="Q1894">
        <v>7.1193507658595001E-2</v>
      </c>
      <c r="R1894">
        <v>0.98748108324861195</v>
      </c>
      <c r="S1894" t="s">
        <v>8346</v>
      </c>
      <c r="T1894" t="s">
        <v>12902</v>
      </c>
      <c r="U1894" t="s">
        <v>12902</v>
      </c>
      <c r="V1894" t="s">
        <v>12902</v>
      </c>
      <c r="W1894" t="s">
        <v>14763</v>
      </c>
      <c r="X1894">
        <v>32</v>
      </c>
      <c r="Y1894" t="s">
        <v>21137</v>
      </c>
      <c r="Z1894" t="s">
        <v>27469</v>
      </c>
      <c r="AA1894">
        <v>0.50827631075069901</v>
      </c>
      <c r="AB1894" t="str">
        <f>HYPERLINK("Melting_Curves/meltCurve_P05198_EIF2S1.pdf", "Melting_Curves/meltCurve_P05198_EIF2S1.pdf")</f>
        <v>Melting_Curves/meltCurve_P05198_EIF2S1.pdf</v>
      </c>
    </row>
    <row r="1895" spans="1:28" x14ac:dyDescent="0.25">
      <c r="A1895" t="s">
        <v>1899</v>
      </c>
      <c r="B1895">
        <v>0.99673306730245903</v>
      </c>
      <c r="C1895">
        <v>0.85477673143226696</v>
      </c>
      <c r="D1895">
        <v>1.09426029416381</v>
      </c>
      <c r="E1895">
        <v>1.0191585515161501</v>
      </c>
      <c r="F1895">
        <v>1.0697490127296101</v>
      </c>
      <c r="G1895">
        <v>1.09561719286804</v>
      </c>
      <c r="H1895">
        <v>1.0782093708449001</v>
      </c>
      <c r="I1895">
        <v>2.5570979027481999</v>
      </c>
      <c r="J1895">
        <v>3.4493690995470798</v>
      </c>
      <c r="K1895">
        <v>3.5120688799567001</v>
      </c>
      <c r="L1895">
        <v>15000</v>
      </c>
      <c r="M1895">
        <v>245.02826692337999</v>
      </c>
      <c r="O1895">
        <v>61.213346453901899</v>
      </c>
      <c r="P1895">
        <v>0.50035709584480903</v>
      </c>
      <c r="Q1895">
        <v>1.5</v>
      </c>
      <c r="R1895">
        <v>0.121770628508196</v>
      </c>
      <c r="S1895" t="s">
        <v>8347</v>
      </c>
      <c r="T1895" t="s">
        <v>12902</v>
      </c>
      <c r="U1895" t="s">
        <v>12902</v>
      </c>
      <c r="V1895" t="s">
        <v>12902</v>
      </c>
      <c r="W1895" t="s">
        <v>14764</v>
      </c>
      <c r="X1895">
        <v>5</v>
      </c>
      <c r="Y1895" t="s">
        <v>21138</v>
      </c>
      <c r="Z1895" t="s">
        <v>27470</v>
      </c>
      <c r="AA1895">
        <v>1.1463202992575861</v>
      </c>
      <c r="AB1895" t="str">
        <f>HYPERLINK("Melting_Curves/meltCurve_P05204_HMGN2.pdf", "Melting_Curves/meltCurve_P05204_HMGN2.pdf")</f>
        <v>Melting_Curves/meltCurve_P05204_HMGN2.pdf</v>
      </c>
    </row>
    <row r="1896" spans="1:28" x14ac:dyDescent="0.25">
      <c r="A1896" t="s">
        <v>1900</v>
      </c>
      <c r="B1896">
        <v>0.99673306730245903</v>
      </c>
      <c r="C1896">
        <v>1.0345651817627901</v>
      </c>
      <c r="D1896">
        <v>0.97231101655232399</v>
      </c>
      <c r="E1896">
        <v>0.94150441379660199</v>
      </c>
      <c r="F1896">
        <v>0.84341096784506797</v>
      </c>
      <c r="G1896">
        <v>0.818789219996506</v>
      </c>
      <c r="H1896">
        <v>0.56837670925146999</v>
      </c>
      <c r="I1896">
        <v>0.53477114369511403</v>
      </c>
      <c r="J1896">
        <v>0.51867194574990005</v>
      </c>
      <c r="K1896">
        <v>0.44293694659781702</v>
      </c>
      <c r="L1896">
        <v>798.87794733183398</v>
      </c>
      <c r="M1896">
        <v>13.6905113546295</v>
      </c>
      <c r="N1896">
        <v>66.122866275505899</v>
      </c>
      <c r="O1896">
        <v>57.149898643304802</v>
      </c>
      <c r="P1896">
        <v>-3.5942221110650902E-2</v>
      </c>
      <c r="Q1896">
        <v>0.39993531958950201</v>
      </c>
      <c r="R1896">
        <v>0.97735048973007299</v>
      </c>
      <c r="S1896" t="s">
        <v>8348</v>
      </c>
      <c r="T1896" t="s">
        <v>12902</v>
      </c>
      <c r="U1896" t="s">
        <v>12902</v>
      </c>
      <c r="V1896" t="s">
        <v>12902</v>
      </c>
      <c r="W1896" t="s">
        <v>14765</v>
      </c>
      <c r="X1896">
        <v>1</v>
      </c>
      <c r="Y1896" t="s">
        <v>21139</v>
      </c>
      <c r="Z1896" t="s">
        <v>27471</v>
      </c>
      <c r="AA1896">
        <v>0.77437300342951876</v>
      </c>
      <c r="AB1896" t="str">
        <f>HYPERLINK("Melting_Curves/meltCurve_P05362_ICAM1.pdf", "Melting_Curves/meltCurve_P05362_ICAM1.pdf")</f>
        <v>Melting_Curves/meltCurve_P05362_ICAM1.pdf</v>
      </c>
    </row>
    <row r="1897" spans="1:28" x14ac:dyDescent="0.25">
      <c r="A1897" t="s">
        <v>1901</v>
      </c>
      <c r="B1897">
        <v>0.99673306730245903</v>
      </c>
      <c r="C1897">
        <v>1.01641765504128</v>
      </c>
      <c r="D1897">
        <v>0.805791837006682</v>
      </c>
      <c r="E1897">
        <v>0.61318996570446505</v>
      </c>
      <c r="F1897">
        <v>0.64542777455341005</v>
      </c>
      <c r="G1897">
        <v>0.59301520061638802</v>
      </c>
      <c r="H1897">
        <v>0.65583215921128002</v>
      </c>
      <c r="I1897">
        <v>1.4126102551042099</v>
      </c>
      <c r="J1897">
        <v>2.1392471380072</v>
      </c>
      <c r="K1897">
        <v>1.8021908286581501</v>
      </c>
      <c r="L1897">
        <v>15000</v>
      </c>
      <c r="M1897">
        <v>235.92669806923101</v>
      </c>
      <c r="O1897">
        <v>63.574501338613601</v>
      </c>
      <c r="P1897">
        <v>0.46387838971700901</v>
      </c>
      <c r="Q1897">
        <v>1.5</v>
      </c>
      <c r="R1897">
        <v>0.58787447995951803</v>
      </c>
      <c r="S1897" t="s">
        <v>8349</v>
      </c>
      <c r="T1897" t="s">
        <v>12902</v>
      </c>
      <c r="U1897" t="s">
        <v>12902</v>
      </c>
      <c r="V1897" t="s">
        <v>12902</v>
      </c>
      <c r="W1897" t="s">
        <v>14766</v>
      </c>
      <c r="X1897">
        <v>1</v>
      </c>
      <c r="Y1897" t="s">
        <v>21140</v>
      </c>
      <c r="Z1897" t="s">
        <v>27472</v>
      </c>
      <c r="AA1897">
        <v>1.106952857382953</v>
      </c>
      <c r="AB1897" t="str">
        <f>HYPERLINK("Melting_Curves/meltCurve_P05386_RPLP1.pdf", "Melting_Curves/meltCurve_P05386_RPLP1.pdf")</f>
        <v>Melting_Curves/meltCurve_P05386_RPLP1.pdf</v>
      </c>
    </row>
    <row r="1898" spans="1:28" x14ac:dyDescent="0.25">
      <c r="A1898" t="s">
        <v>1902</v>
      </c>
      <c r="B1898">
        <v>0.99673306730245903</v>
      </c>
      <c r="C1898">
        <v>0.98307443836435504</v>
      </c>
      <c r="D1898">
        <v>0.86576544731468097</v>
      </c>
      <c r="E1898">
        <v>0.78611982876466102</v>
      </c>
      <c r="F1898">
        <v>0.72544384492783698</v>
      </c>
      <c r="G1898">
        <v>0.76115537355540297</v>
      </c>
      <c r="H1898">
        <v>0.91092064361776404</v>
      </c>
      <c r="I1898">
        <v>2.69741488437767</v>
      </c>
      <c r="J1898">
        <v>4.37661617587555</v>
      </c>
      <c r="K1898">
        <v>4.9007955393587599</v>
      </c>
      <c r="L1898">
        <v>15000</v>
      </c>
      <c r="M1898">
        <v>241.828358348763</v>
      </c>
      <c r="O1898">
        <v>62.023209980828298</v>
      </c>
      <c r="P1898">
        <v>0.48737462311756502</v>
      </c>
      <c r="Q1898">
        <v>1.5</v>
      </c>
      <c r="R1898">
        <v>7.7992467929111506E-2</v>
      </c>
      <c r="S1898" t="s">
        <v>8350</v>
      </c>
      <c r="T1898" t="s">
        <v>12902</v>
      </c>
      <c r="U1898" t="s">
        <v>12902</v>
      </c>
      <c r="V1898" t="s">
        <v>12902</v>
      </c>
      <c r="W1898" t="s">
        <v>14767</v>
      </c>
      <c r="X1898">
        <v>6</v>
      </c>
      <c r="Y1898" t="s">
        <v>21141</v>
      </c>
      <c r="Z1898" t="s">
        <v>27473</v>
      </c>
      <c r="AA1898">
        <v>1.1328174155866031</v>
      </c>
      <c r="AB1898" t="str">
        <f>HYPERLINK("Melting_Curves/meltCurve_P05387_RPLP2.pdf", "Melting_Curves/meltCurve_P05387_RPLP2.pdf")</f>
        <v>Melting_Curves/meltCurve_P05387_RPLP2.pdf</v>
      </c>
    </row>
    <row r="1899" spans="1:28" x14ac:dyDescent="0.25">
      <c r="A1899" t="s">
        <v>1903</v>
      </c>
      <c r="B1899">
        <v>0.99673306730245903</v>
      </c>
      <c r="C1899">
        <v>0.92161841706407699</v>
      </c>
      <c r="D1899">
        <v>0.66053333794847502</v>
      </c>
      <c r="E1899">
        <v>0.48702255251042098</v>
      </c>
      <c r="F1899">
        <v>0.44623870233963597</v>
      </c>
      <c r="G1899">
        <v>0.31543145558589902</v>
      </c>
      <c r="H1899">
        <v>0.209211902480129</v>
      </c>
      <c r="I1899">
        <v>9.7311741887999806E-2</v>
      </c>
      <c r="J1899">
        <v>8.2920435055289995E-2</v>
      </c>
      <c r="K1899">
        <v>6.5576703992535096E-2</v>
      </c>
      <c r="L1899">
        <v>479.600949511713</v>
      </c>
      <c r="M1899">
        <v>9.4321999946858703</v>
      </c>
      <c r="N1899">
        <v>50.887409810028601</v>
      </c>
      <c r="O1899">
        <v>48.718836414542402</v>
      </c>
      <c r="P1899">
        <v>-4.8250701498353803E-2</v>
      </c>
      <c r="Q1899">
        <v>3.7149118039512198E-3</v>
      </c>
      <c r="R1899">
        <v>0.975190450558164</v>
      </c>
      <c r="S1899" t="s">
        <v>8351</v>
      </c>
      <c r="T1899" t="s">
        <v>12902</v>
      </c>
      <c r="U1899" t="s">
        <v>12902</v>
      </c>
      <c r="V1899" t="s">
        <v>12902</v>
      </c>
      <c r="W1899" t="s">
        <v>14768</v>
      </c>
      <c r="X1899">
        <v>11</v>
      </c>
      <c r="Y1899" t="s">
        <v>21142</v>
      </c>
      <c r="Z1899" t="s">
        <v>27474</v>
      </c>
      <c r="AA1899">
        <v>0.40904809941092429</v>
      </c>
      <c r="AB1899" t="str">
        <f>HYPERLINK("Melting_Curves/meltCurve_P05388_RPLP0.pdf", "Melting_Curves/meltCurve_P05388_RPLP0.pdf")</f>
        <v>Melting_Curves/meltCurve_P05388_RPLP0.pdf</v>
      </c>
    </row>
    <row r="1900" spans="1:28" x14ac:dyDescent="0.25">
      <c r="A1900" t="s">
        <v>1904</v>
      </c>
      <c r="B1900">
        <v>0.99673306730245903</v>
      </c>
      <c r="C1900">
        <v>0.90217747752557198</v>
      </c>
      <c r="D1900">
        <v>0.75026326571327795</v>
      </c>
      <c r="E1900">
        <v>0.71303477999273401</v>
      </c>
      <c r="F1900">
        <v>0.56613195407610095</v>
      </c>
      <c r="G1900">
        <v>0.34295756488629198</v>
      </c>
      <c r="H1900">
        <v>0.244625736771796</v>
      </c>
      <c r="I1900">
        <v>0.369039877407418</v>
      </c>
      <c r="J1900">
        <v>0.80946636725507704</v>
      </c>
      <c r="K1900">
        <v>1.32300765597823</v>
      </c>
      <c r="L1900">
        <v>1180.3646762456401</v>
      </c>
      <c r="M1900">
        <v>26.268582995412</v>
      </c>
      <c r="O1900">
        <v>44.676477002398201</v>
      </c>
      <c r="P1900">
        <v>-5.6203417997462597E-2</v>
      </c>
      <c r="Q1900">
        <v>0.61765079301074999</v>
      </c>
      <c r="R1900">
        <v>0.175221522186813</v>
      </c>
      <c r="S1900" t="s">
        <v>8352</v>
      </c>
      <c r="T1900" t="s">
        <v>12902</v>
      </c>
      <c r="U1900" t="s">
        <v>12902</v>
      </c>
      <c r="V1900" t="s">
        <v>12902</v>
      </c>
      <c r="W1900" t="s">
        <v>14769</v>
      </c>
      <c r="X1900">
        <v>4</v>
      </c>
      <c r="Y1900" t="s">
        <v>21143</v>
      </c>
      <c r="Z1900" t="s">
        <v>27475</v>
      </c>
      <c r="AA1900">
        <v>0.6839452134489904</v>
      </c>
      <c r="AB1900" t="str">
        <f>HYPERLINK("Melting_Curves/meltCurve_P05412_JUN.pdf", "Melting_Curves/meltCurve_P05412_JUN.pdf")</f>
        <v>Melting_Curves/meltCurve_P05412_JUN.pdf</v>
      </c>
    </row>
    <row r="1901" spans="1:28" x14ac:dyDescent="0.25">
      <c r="A1901" t="s">
        <v>1905</v>
      </c>
      <c r="B1901">
        <v>0.99673306730245903</v>
      </c>
      <c r="C1901">
        <v>0.90244496220974202</v>
      </c>
      <c r="D1901">
        <v>0.93226913693260804</v>
      </c>
      <c r="E1901">
        <v>0.99342165872178101</v>
      </c>
      <c r="F1901">
        <v>0.52599930117955995</v>
      </c>
      <c r="G1901">
        <v>0.172547683855446</v>
      </c>
      <c r="H1901">
        <v>0.13342876125434799</v>
      </c>
      <c r="I1901">
        <v>0.13309170245572799</v>
      </c>
      <c r="J1901">
        <v>0.1227811101656</v>
      </c>
      <c r="K1901">
        <v>8.8170671532915301E-2</v>
      </c>
      <c r="L1901">
        <v>2605.5498221559301</v>
      </c>
      <c r="M1901">
        <v>49.114344283614301</v>
      </c>
      <c r="N1901">
        <v>53.355925761458401</v>
      </c>
      <c r="O1901">
        <v>52.962967757864</v>
      </c>
      <c r="P1901">
        <v>-0.20343934984182499</v>
      </c>
      <c r="Q1901">
        <v>0.12247708241760399</v>
      </c>
      <c r="R1901">
        <v>0.98940171965999102</v>
      </c>
      <c r="S1901" t="s">
        <v>8353</v>
      </c>
      <c r="T1901" t="s">
        <v>12902</v>
      </c>
      <c r="U1901" t="s">
        <v>12902</v>
      </c>
      <c r="V1901" t="s">
        <v>12902</v>
      </c>
      <c r="W1901" t="s">
        <v>14770</v>
      </c>
      <c r="X1901">
        <v>1</v>
      </c>
      <c r="Y1901" t="s">
        <v>21144</v>
      </c>
      <c r="Z1901" t="s">
        <v>27476</v>
      </c>
      <c r="AA1901">
        <v>0.50634796539944882</v>
      </c>
      <c r="AB1901" t="str">
        <f>HYPERLINK("Melting_Curves/meltCurve_P05413_FABP3.pdf", "Melting_Curves/meltCurve_P05413_FABP3.pdf")</f>
        <v>Melting_Curves/meltCurve_P05413_FABP3.pdf</v>
      </c>
    </row>
    <row r="1902" spans="1:28" x14ac:dyDescent="0.25">
      <c r="A1902" t="s">
        <v>1906</v>
      </c>
      <c r="B1902">
        <v>0.99673306730245903</v>
      </c>
      <c r="C1902">
        <v>0.88041237563422103</v>
      </c>
      <c r="D1902">
        <v>0.82953219629904695</v>
      </c>
      <c r="E1902">
        <v>0.74925964140992896</v>
      </c>
      <c r="F1902">
        <v>0.21885699096671901</v>
      </c>
      <c r="G1902">
        <v>0.120822100217056</v>
      </c>
      <c r="H1902">
        <v>6.0641226878422397E-2</v>
      </c>
      <c r="I1902">
        <v>5.3829624963857903E-2</v>
      </c>
      <c r="J1902">
        <v>5.47503376000135E-2</v>
      </c>
      <c r="K1902">
        <v>4.7519997011437803E-2</v>
      </c>
      <c r="L1902">
        <v>1268.7478011405599</v>
      </c>
      <c r="M1902">
        <v>24.95370940482</v>
      </c>
      <c r="N1902">
        <v>51.032494262883297</v>
      </c>
      <c r="O1902">
        <v>50.520885317290997</v>
      </c>
      <c r="P1902">
        <v>-0.118049030884783</v>
      </c>
      <c r="Q1902">
        <v>4.4011870481205202E-2</v>
      </c>
      <c r="R1902">
        <v>0.976796929953751</v>
      </c>
      <c r="S1902" t="s">
        <v>8354</v>
      </c>
      <c r="T1902" t="s">
        <v>12902</v>
      </c>
      <c r="U1902" t="s">
        <v>12902</v>
      </c>
      <c r="V1902" t="s">
        <v>12902</v>
      </c>
      <c r="W1902" t="s">
        <v>14771</v>
      </c>
      <c r="X1902">
        <v>33</v>
      </c>
      <c r="Y1902" t="s">
        <v>21145</v>
      </c>
      <c r="Z1902" t="s">
        <v>27477</v>
      </c>
      <c r="AA1902">
        <v>0.39822475963365039</v>
      </c>
      <c r="AB1902" t="str">
        <f>HYPERLINK("Melting_Curves/meltCurve_P05455_SSB.pdf", "Melting_Curves/meltCurve_P05455_SSB.pdf")</f>
        <v>Melting_Curves/meltCurve_P05455_SSB.pdf</v>
      </c>
    </row>
    <row r="1903" spans="1:28" x14ac:dyDescent="0.25">
      <c r="A1903" t="s">
        <v>1907</v>
      </c>
      <c r="B1903">
        <v>0.99673306730245903</v>
      </c>
      <c r="C1903">
        <v>0.92379321857236296</v>
      </c>
      <c r="D1903">
        <v>0.90274468428583099</v>
      </c>
      <c r="E1903">
        <v>0.73980113058415198</v>
      </c>
      <c r="F1903">
        <v>0.524063185081723</v>
      </c>
      <c r="G1903">
        <v>0.43087514456263498</v>
      </c>
      <c r="H1903">
        <v>0.42605497498241901</v>
      </c>
      <c r="I1903">
        <v>0.53640079728233203</v>
      </c>
      <c r="J1903">
        <v>0.58087184397213798</v>
      </c>
      <c r="K1903">
        <v>0.52207463733358095</v>
      </c>
      <c r="L1903">
        <v>1305.7042955682</v>
      </c>
      <c r="M1903">
        <v>26.667617004897899</v>
      </c>
      <c r="N1903">
        <v>59.226718161391602</v>
      </c>
      <c r="O1903">
        <v>48.689340769599198</v>
      </c>
      <c r="P1903">
        <v>-6.9137810621247603E-2</v>
      </c>
      <c r="Q1903">
        <v>0.49508222029114501</v>
      </c>
      <c r="R1903">
        <v>0.93450005619224696</v>
      </c>
      <c r="S1903" t="s">
        <v>8355</v>
      </c>
      <c r="T1903" t="s">
        <v>12902</v>
      </c>
      <c r="U1903" t="s">
        <v>12902</v>
      </c>
      <c r="V1903" t="s">
        <v>12902</v>
      </c>
      <c r="W1903" t="s">
        <v>14772</v>
      </c>
      <c r="X1903">
        <v>31</v>
      </c>
      <c r="Y1903" t="s">
        <v>21146</v>
      </c>
      <c r="Z1903" t="s">
        <v>27478</v>
      </c>
      <c r="AA1903">
        <v>0.64983638014581402</v>
      </c>
      <c r="AB1903" t="str">
        <f>HYPERLINK("Melting_Curves/meltCurve_P05556_ITGB1.pdf", "Melting_Curves/meltCurve_P05556_ITGB1.pdf")</f>
        <v>Melting_Curves/meltCurve_P05556_ITGB1.pdf</v>
      </c>
    </row>
    <row r="1904" spans="1:28" x14ac:dyDescent="0.25">
      <c r="A1904" t="s">
        <v>1908</v>
      </c>
      <c r="B1904">
        <v>0.99673306730245903</v>
      </c>
      <c r="C1904">
        <v>0.89475826473051701</v>
      </c>
      <c r="D1904">
        <v>0.86963460012768501</v>
      </c>
      <c r="E1904">
        <v>0.81342457982365401</v>
      </c>
      <c r="F1904">
        <v>0.222012557304996</v>
      </c>
      <c r="G1904">
        <v>0.16445530233268299</v>
      </c>
      <c r="H1904">
        <v>0.106856399984742</v>
      </c>
      <c r="I1904">
        <v>0.12366493070291899</v>
      </c>
      <c r="J1904">
        <v>0.175580149438644</v>
      </c>
      <c r="K1904">
        <v>0.23968777191616999</v>
      </c>
      <c r="L1904">
        <v>2630.0439376427098</v>
      </c>
      <c r="M1904">
        <v>51.820941006513699</v>
      </c>
      <c r="N1904">
        <v>51.132875834502101</v>
      </c>
      <c r="O1904">
        <v>50.677097305791598</v>
      </c>
      <c r="P1904">
        <v>-0.214755456055504</v>
      </c>
      <c r="Q1904">
        <v>0.15993958959590701</v>
      </c>
      <c r="R1904">
        <v>0.97038285075222297</v>
      </c>
      <c r="S1904" t="s">
        <v>8356</v>
      </c>
      <c r="T1904" t="s">
        <v>12902</v>
      </c>
      <c r="U1904" t="s">
        <v>12902</v>
      </c>
      <c r="V1904" t="s">
        <v>12902</v>
      </c>
      <c r="W1904" t="s">
        <v>14773</v>
      </c>
      <c r="X1904">
        <v>42</v>
      </c>
      <c r="Y1904" t="s">
        <v>21147</v>
      </c>
      <c r="Z1904" t="s">
        <v>27479</v>
      </c>
      <c r="AA1904">
        <v>0.46278223042220451</v>
      </c>
      <c r="AB1904" t="str">
        <f>HYPERLINK("Melting_Curves/meltCurve_P05783_KRT18.pdf", "Melting_Curves/meltCurve_P05783_KRT18.pdf")</f>
        <v>Melting_Curves/meltCurve_P05783_KRT18.pdf</v>
      </c>
    </row>
    <row r="1905" spans="1:28" x14ac:dyDescent="0.25">
      <c r="A1905" t="s">
        <v>1909</v>
      </c>
      <c r="B1905">
        <v>0.99673306730245903</v>
      </c>
      <c r="C1905">
        <v>1.01651037562644</v>
      </c>
      <c r="D1905">
        <v>1.0149686677261101</v>
      </c>
      <c r="E1905">
        <v>1.10310245917226</v>
      </c>
      <c r="F1905">
        <v>0.61483804614484705</v>
      </c>
      <c r="G1905">
        <v>0.67408264340038904</v>
      </c>
      <c r="H1905">
        <v>0.50206181727695398</v>
      </c>
      <c r="I1905">
        <v>0.71566800805083197</v>
      </c>
      <c r="J1905">
        <v>0.886368731153098</v>
      </c>
      <c r="K1905">
        <v>0.88934954791145204</v>
      </c>
      <c r="L1905">
        <v>4742.7751860048802</v>
      </c>
      <c r="M1905">
        <v>92.353035869267103</v>
      </c>
      <c r="O1905">
        <v>51.3307721465603</v>
      </c>
      <c r="P1905">
        <v>-0.129172239023362</v>
      </c>
      <c r="Q1905">
        <v>0.71281895745752899</v>
      </c>
      <c r="R1905">
        <v>0.639797290401661</v>
      </c>
      <c r="S1905" t="s">
        <v>8357</v>
      </c>
      <c r="T1905" t="s">
        <v>12902</v>
      </c>
      <c r="U1905" t="s">
        <v>12902</v>
      </c>
      <c r="V1905" t="s">
        <v>12902</v>
      </c>
      <c r="W1905" t="s">
        <v>14774</v>
      </c>
      <c r="X1905">
        <v>1</v>
      </c>
      <c r="Y1905" t="s">
        <v>21148</v>
      </c>
      <c r="Z1905" t="s">
        <v>27480</v>
      </c>
      <c r="AA1905">
        <v>0.82170536202522138</v>
      </c>
      <c r="AB1905" t="str">
        <f>HYPERLINK("Melting_Curves/meltCurve_P05976_2_MYL1.pdf", "Melting_Curves/meltCurve_P05976_2_MYL1.pdf")</f>
        <v>Melting_Curves/meltCurve_P05976_2_MYL1.pdf</v>
      </c>
    </row>
    <row r="1906" spans="1:28" x14ac:dyDescent="0.25">
      <c r="A1906" t="s">
        <v>1910</v>
      </c>
      <c r="B1906">
        <v>0.99673306730245903</v>
      </c>
      <c r="C1906">
        <v>1.01636689756939</v>
      </c>
      <c r="D1906">
        <v>1.0005265732639801</v>
      </c>
      <c r="E1906">
        <v>0.98524385107421197</v>
      </c>
      <c r="F1906">
        <v>0.85423752130108699</v>
      </c>
      <c r="G1906">
        <v>0.71674718668070503</v>
      </c>
      <c r="H1906">
        <v>0.52390859317085503</v>
      </c>
      <c r="I1906">
        <v>0.423861559977802</v>
      </c>
      <c r="J1906">
        <v>0.18415587890857901</v>
      </c>
      <c r="K1906">
        <v>0.12912718715027499</v>
      </c>
      <c r="L1906">
        <v>826.32301982339197</v>
      </c>
      <c r="M1906">
        <v>13.5145653914643</v>
      </c>
      <c r="N1906">
        <v>61.143144217032003</v>
      </c>
      <c r="O1906">
        <v>59.850994387958799</v>
      </c>
      <c r="P1906">
        <v>-5.64594642270854E-2</v>
      </c>
      <c r="Q1906">
        <v>0</v>
      </c>
      <c r="R1906">
        <v>0.99050164393544504</v>
      </c>
      <c r="S1906" t="s">
        <v>8358</v>
      </c>
      <c r="T1906" t="s">
        <v>12902</v>
      </c>
      <c r="U1906" t="s">
        <v>12902</v>
      </c>
      <c r="V1906" t="s">
        <v>12902</v>
      </c>
      <c r="W1906" t="s">
        <v>14775</v>
      </c>
      <c r="X1906">
        <v>15</v>
      </c>
      <c r="Y1906" t="s">
        <v>21149</v>
      </c>
      <c r="Z1906" t="s">
        <v>27481</v>
      </c>
      <c r="AA1906">
        <v>0.70383800508532213</v>
      </c>
      <c r="AB1906" t="str">
        <f>HYPERLINK("Melting_Curves/meltCurve_P06132_UROD.pdf", "Melting_Curves/meltCurve_P06132_UROD.pdf")</f>
        <v>Melting_Curves/meltCurve_P06132_UROD.pdf</v>
      </c>
    </row>
    <row r="1907" spans="1:28" x14ac:dyDescent="0.25">
      <c r="A1907" t="s">
        <v>1911</v>
      </c>
      <c r="B1907">
        <v>0.99673306730245903</v>
      </c>
      <c r="C1907">
        <v>0.99539767901677501</v>
      </c>
      <c r="D1907">
        <v>1.0570926334533</v>
      </c>
      <c r="E1907">
        <v>1.0161564765147799</v>
      </c>
      <c r="F1907">
        <v>0.61882749096157397</v>
      </c>
      <c r="G1907">
        <v>0.47990987951348002</v>
      </c>
      <c r="H1907">
        <v>0.29911018772629699</v>
      </c>
      <c r="I1907">
        <v>0.18009983658526699</v>
      </c>
      <c r="J1907">
        <v>0.15296820982510401</v>
      </c>
      <c r="K1907">
        <v>0.105720311600783</v>
      </c>
      <c r="L1907">
        <v>1051.0364461988299</v>
      </c>
      <c r="M1907">
        <v>18.9981166529932</v>
      </c>
      <c r="N1907">
        <v>56.143847049981801</v>
      </c>
      <c r="O1907">
        <v>54.721151525112496</v>
      </c>
      <c r="P1907">
        <v>-7.6275503396884603E-2</v>
      </c>
      <c r="Q1907">
        <v>0.121235509422348</v>
      </c>
      <c r="R1907">
        <v>0.97865939951706904</v>
      </c>
      <c r="S1907" t="s">
        <v>8359</v>
      </c>
      <c r="T1907" t="s">
        <v>12902</v>
      </c>
      <c r="U1907" t="s">
        <v>12902</v>
      </c>
      <c r="V1907" t="s">
        <v>12902</v>
      </c>
      <c r="W1907" t="s">
        <v>14776</v>
      </c>
      <c r="X1907">
        <v>9</v>
      </c>
      <c r="Y1907" t="s">
        <v>21150</v>
      </c>
      <c r="Z1907" t="s">
        <v>27482</v>
      </c>
      <c r="AA1907">
        <v>0.58255611680220765</v>
      </c>
      <c r="AB1907" t="str">
        <f>HYPERLINK("Melting_Curves/meltCurve_P06276_BCHE.pdf", "Melting_Curves/meltCurve_P06276_BCHE.pdf")</f>
        <v>Melting_Curves/meltCurve_P06276_BCHE.pdf</v>
      </c>
    </row>
    <row r="1908" spans="1:28" x14ac:dyDescent="0.25">
      <c r="A1908" t="s">
        <v>1912</v>
      </c>
      <c r="B1908">
        <v>0.99673306730245903</v>
      </c>
      <c r="C1908">
        <v>0.99286812946316705</v>
      </c>
      <c r="D1908">
        <v>0.98790938506202497</v>
      </c>
      <c r="E1908">
        <v>0.962662039291312</v>
      </c>
      <c r="F1908">
        <v>0.85852686215868301</v>
      </c>
      <c r="G1908">
        <v>0.73027980688687599</v>
      </c>
      <c r="H1908">
        <v>0.39198725170732901</v>
      </c>
      <c r="I1908">
        <v>9.6136651985384305E-2</v>
      </c>
      <c r="J1908">
        <v>8.0597576025473197E-2</v>
      </c>
      <c r="K1908">
        <v>6.7718316386945906E-2</v>
      </c>
      <c r="L1908">
        <v>1247.908858758</v>
      </c>
      <c r="M1908">
        <v>21.104685709723899</v>
      </c>
      <c r="N1908">
        <v>59.129468974716197</v>
      </c>
      <c r="O1908">
        <v>58.606266231929602</v>
      </c>
      <c r="P1908">
        <v>-9.0029794448569095E-2</v>
      </c>
      <c r="Q1908">
        <v>0</v>
      </c>
      <c r="R1908">
        <v>0.99253572447766603</v>
      </c>
      <c r="S1908" t="s">
        <v>8360</v>
      </c>
      <c r="T1908" t="s">
        <v>12902</v>
      </c>
      <c r="U1908" t="s">
        <v>12902</v>
      </c>
      <c r="V1908" t="s">
        <v>12902</v>
      </c>
      <c r="W1908" t="s">
        <v>14777</v>
      </c>
      <c r="X1908">
        <v>9</v>
      </c>
      <c r="Y1908" t="s">
        <v>21151</v>
      </c>
      <c r="Z1908" t="s">
        <v>27483</v>
      </c>
      <c r="AA1908">
        <v>0.64717847648789373</v>
      </c>
      <c r="AB1908" t="str">
        <f>HYPERLINK("Melting_Curves/meltCurve_P06280_GLA.pdf", "Melting_Curves/meltCurve_P06280_GLA.pdf")</f>
        <v>Melting_Curves/meltCurve_P06280_GLA.pdf</v>
      </c>
    </row>
    <row r="1909" spans="1:28" x14ac:dyDescent="0.25">
      <c r="A1909" t="s">
        <v>1913</v>
      </c>
      <c r="B1909">
        <v>0.99673306730245903</v>
      </c>
      <c r="C1909">
        <v>0.89847183136840103</v>
      </c>
      <c r="D1909">
        <v>1.0851378305768</v>
      </c>
      <c r="E1909">
        <v>1.06123584067358</v>
      </c>
      <c r="F1909">
        <v>0.62446853569627603</v>
      </c>
      <c r="G1909">
        <v>0.19590802161557599</v>
      </c>
      <c r="H1909">
        <v>8.7782457835680006E-2</v>
      </c>
      <c r="I1909">
        <v>7.8022540293459106E-2</v>
      </c>
      <c r="J1909">
        <v>7.77298619287458E-2</v>
      </c>
      <c r="K1909">
        <v>6.6338254697318799E-2</v>
      </c>
      <c r="L1909">
        <v>2325.35852845204</v>
      </c>
      <c r="M1909">
        <v>43.249492264334201</v>
      </c>
      <c r="N1909">
        <v>53.988099575870898</v>
      </c>
      <c r="O1909">
        <v>53.651578615176398</v>
      </c>
      <c r="P1909">
        <v>-0.18511667353983599</v>
      </c>
      <c r="Q1909">
        <v>8.1442471691454493E-2</v>
      </c>
      <c r="R1909">
        <v>0.98590020775307097</v>
      </c>
      <c r="S1909" t="s">
        <v>8361</v>
      </c>
      <c r="T1909" t="s">
        <v>12902</v>
      </c>
      <c r="U1909" t="s">
        <v>12902</v>
      </c>
      <c r="V1909" t="s">
        <v>12902</v>
      </c>
      <c r="W1909" t="s">
        <v>14778</v>
      </c>
      <c r="X1909">
        <v>44</v>
      </c>
      <c r="Y1909" t="s">
        <v>21152</v>
      </c>
      <c r="Z1909" t="s">
        <v>27484</v>
      </c>
      <c r="AA1909">
        <v>0.50585652760592148</v>
      </c>
      <c r="AB1909" t="str">
        <f>HYPERLINK("Melting_Curves/meltCurve_P06396_2_GSN.pdf", "Melting_Curves/meltCurve_P06396_2_GSN.pdf")</f>
        <v>Melting_Curves/meltCurve_P06396_2_GSN.pdf</v>
      </c>
    </row>
    <row r="1910" spans="1:28" x14ac:dyDescent="0.25">
      <c r="A1910" t="s">
        <v>1914</v>
      </c>
      <c r="B1910">
        <v>0.99673306730245903</v>
      </c>
      <c r="C1910">
        <v>0.95858247988477396</v>
      </c>
      <c r="D1910">
        <v>0.92216799110383596</v>
      </c>
      <c r="E1910">
        <v>0.79966278600436302</v>
      </c>
      <c r="F1910">
        <v>0.391369185396375</v>
      </c>
      <c r="G1910">
        <v>0.17185023551294401</v>
      </c>
      <c r="H1910">
        <v>9.4852274418942201E-2</v>
      </c>
      <c r="I1910">
        <v>9.0141688433617806E-2</v>
      </c>
      <c r="J1910">
        <v>9.7868492028925003E-2</v>
      </c>
      <c r="K1910">
        <v>7.8567947691978696E-2</v>
      </c>
      <c r="L1910">
        <v>1311.0436744830699</v>
      </c>
      <c r="M1910">
        <v>25.281133030803201</v>
      </c>
      <c r="N1910">
        <v>52.225060872151801</v>
      </c>
      <c r="O1910">
        <v>51.537381709777499</v>
      </c>
      <c r="P1910">
        <v>-0.112669088175051</v>
      </c>
      <c r="Q1910">
        <v>8.1276311601031506E-2</v>
      </c>
      <c r="R1910">
        <v>0.99739025486771304</v>
      </c>
      <c r="S1910" t="s">
        <v>8362</v>
      </c>
      <c r="T1910" t="s">
        <v>12902</v>
      </c>
      <c r="U1910" t="s">
        <v>12902</v>
      </c>
      <c r="V1910" t="s">
        <v>12902</v>
      </c>
      <c r="W1910" t="s">
        <v>14779</v>
      </c>
      <c r="X1910">
        <v>22</v>
      </c>
      <c r="Y1910" t="s">
        <v>21153</v>
      </c>
      <c r="Z1910" t="s">
        <v>27485</v>
      </c>
      <c r="AA1910">
        <v>0.45263114285567718</v>
      </c>
      <c r="AB1910" t="str">
        <f>HYPERLINK("Melting_Curves/meltCurve_P06400_RB1.pdf", "Melting_Curves/meltCurve_P06400_RB1.pdf")</f>
        <v>Melting_Curves/meltCurve_P06400_RB1.pdf</v>
      </c>
    </row>
    <row r="1911" spans="1:28" x14ac:dyDescent="0.25">
      <c r="A1911" t="s">
        <v>1915</v>
      </c>
      <c r="B1911">
        <v>0.99673306730245903</v>
      </c>
      <c r="C1911">
        <v>0.98924643164540504</v>
      </c>
      <c r="D1911">
        <v>0.62469911093711294</v>
      </c>
      <c r="E1911">
        <v>0.427402756663884</v>
      </c>
      <c r="F1911">
        <v>0.29418892487103898</v>
      </c>
      <c r="G1911">
        <v>0.201381793139711</v>
      </c>
      <c r="H1911">
        <v>9.3725251047561006E-2</v>
      </c>
      <c r="I1911">
        <v>6.12320420275397E-2</v>
      </c>
      <c r="J1911">
        <v>5.4562152923886303E-2</v>
      </c>
      <c r="K1911">
        <v>4.6651435356993898E-2</v>
      </c>
      <c r="L1911">
        <v>720.193108426143</v>
      </c>
      <c r="M1911">
        <v>14.8466186589991</v>
      </c>
      <c r="N1911">
        <v>48.882173864451502</v>
      </c>
      <c r="O1911">
        <v>47.654324955763101</v>
      </c>
      <c r="P1911">
        <v>-7.3720744157473095E-2</v>
      </c>
      <c r="Q1911">
        <v>5.3590911607912198E-2</v>
      </c>
      <c r="R1911">
        <v>0.97973841223525404</v>
      </c>
      <c r="S1911" t="s">
        <v>8363</v>
      </c>
      <c r="T1911" t="s">
        <v>12902</v>
      </c>
      <c r="U1911" t="s">
        <v>12902</v>
      </c>
      <c r="V1911" t="s">
        <v>12902</v>
      </c>
      <c r="W1911" t="s">
        <v>14780</v>
      </c>
      <c r="X1911">
        <v>14</v>
      </c>
      <c r="Y1911" t="s">
        <v>21154</v>
      </c>
      <c r="Z1911" t="s">
        <v>27486</v>
      </c>
      <c r="AA1911">
        <v>0.34630986815513359</v>
      </c>
      <c r="AB1911" t="str">
        <f>HYPERLINK("Melting_Curves/meltCurve_P06493_CDK1.pdf", "Melting_Curves/meltCurve_P06493_CDK1.pdf")</f>
        <v>Melting_Curves/meltCurve_P06493_CDK1.pdf</v>
      </c>
    </row>
    <row r="1912" spans="1:28" x14ac:dyDescent="0.25">
      <c r="A1912" t="s">
        <v>1916</v>
      </c>
      <c r="B1912">
        <v>0.99673306730245903</v>
      </c>
      <c r="C1912">
        <v>0.97364370038566195</v>
      </c>
      <c r="D1912">
        <v>0.98657386661604796</v>
      </c>
      <c r="E1912">
        <v>0.99475198086111405</v>
      </c>
      <c r="F1912">
        <v>0.89823104136435605</v>
      </c>
      <c r="G1912">
        <v>0.86344333017257102</v>
      </c>
      <c r="H1912">
        <v>0.80749346015466295</v>
      </c>
      <c r="I1912">
        <v>0.75385834193211598</v>
      </c>
      <c r="J1912">
        <v>0.13446514898841699</v>
      </c>
      <c r="K1912">
        <v>0.11096499236426501</v>
      </c>
      <c r="L1912">
        <v>4439.5850481133602</v>
      </c>
      <c r="M1912">
        <v>68.4749574075244</v>
      </c>
      <c r="N1912">
        <v>65.004477739688994</v>
      </c>
      <c r="O1912">
        <v>64.779931741473902</v>
      </c>
      <c r="P1912">
        <v>-0.242676071552964</v>
      </c>
      <c r="Q1912">
        <v>8.1676802064136605E-2</v>
      </c>
      <c r="R1912">
        <v>0.93802088854667298</v>
      </c>
      <c r="S1912" t="s">
        <v>8364</v>
      </c>
      <c r="T1912" t="s">
        <v>12902</v>
      </c>
      <c r="U1912" t="s">
        <v>12902</v>
      </c>
      <c r="V1912" t="s">
        <v>12902</v>
      </c>
      <c r="W1912" t="s">
        <v>14781</v>
      </c>
      <c r="X1912">
        <v>32</v>
      </c>
      <c r="Y1912" t="s">
        <v>21155</v>
      </c>
      <c r="Z1912" t="s">
        <v>27487</v>
      </c>
      <c r="AA1912">
        <v>0.84307450313346344</v>
      </c>
      <c r="AB1912" t="str">
        <f>HYPERLINK("Melting_Curves/meltCurve_P06576_ATP5B.pdf", "Melting_Curves/meltCurve_P06576_ATP5B.pdf")</f>
        <v>Melting_Curves/meltCurve_P06576_ATP5B.pdf</v>
      </c>
    </row>
    <row r="1913" spans="1:28" x14ac:dyDescent="0.25">
      <c r="A1913" t="s">
        <v>1917</v>
      </c>
      <c r="B1913">
        <v>0.99673306730245903</v>
      </c>
      <c r="C1913">
        <v>0.99246684163742005</v>
      </c>
      <c r="D1913">
        <v>1.04143587969536</v>
      </c>
      <c r="E1913">
        <v>0.98803159501576898</v>
      </c>
      <c r="F1913">
        <v>1.0378898953885201</v>
      </c>
      <c r="G1913">
        <v>0.95534890042492304</v>
      </c>
      <c r="H1913">
        <v>0.73661517550836197</v>
      </c>
      <c r="I1913">
        <v>0.78879886794289999</v>
      </c>
      <c r="J1913">
        <v>0.15006685150437801</v>
      </c>
      <c r="K1913">
        <v>6.8572308746216407E-2</v>
      </c>
      <c r="L1913">
        <v>3037.8128002611202</v>
      </c>
      <c r="M1913">
        <v>46.581345767204702</v>
      </c>
      <c r="N1913">
        <v>65.215223535198504</v>
      </c>
      <c r="O1913">
        <v>65.095367789091995</v>
      </c>
      <c r="P1913">
        <v>-0.178896747748922</v>
      </c>
      <c r="Q1913">
        <v>0</v>
      </c>
      <c r="R1913">
        <v>0.94215154349080099</v>
      </c>
      <c r="S1913" t="s">
        <v>8365</v>
      </c>
      <c r="T1913" t="s">
        <v>12902</v>
      </c>
      <c r="U1913" t="s">
        <v>12902</v>
      </c>
      <c r="V1913" t="s">
        <v>12902</v>
      </c>
      <c r="W1913" t="s">
        <v>14782</v>
      </c>
      <c r="X1913">
        <v>64</v>
      </c>
      <c r="Y1913" t="s">
        <v>21156</v>
      </c>
      <c r="Z1913" t="s">
        <v>27488</v>
      </c>
      <c r="AA1913">
        <v>0.84153319972327389</v>
      </c>
      <c r="AB1913" t="str">
        <f>HYPERLINK("Melting_Curves/meltCurve_P06733_ENO1.pdf", "Melting_Curves/meltCurve_P06733_ENO1.pdf")</f>
        <v>Melting_Curves/meltCurve_P06733_ENO1.pdf</v>
      </c>
    </row>
    <row r="1914" spans="1:28" x14ac:dyDescent="0.25">
      <c r="A1914" t="s">
        <v>1918</v>
      </c>
      <c r="B1914">
        <v>0.99673306730245903</v>
      </c>
      <c r="C1914">
        <v>1.01748146700429</v>
      </c>
      <c r="D1914">
        <v>1.08022071999054</v>
      </c>
      <c r="E1914">
        <v>1.01240733708664</v>
      </c>
      <c r="F1914">
        <v>1.3350555900763801</v>
      </c>
      <c r="G1914">
        <v>1.18429187273972</v>
      </c>
      <c r="H1914">
        <v>2.0432226715642599</v>
      </c>
      <c r="I1914">
        <v>1.0212656909766999</v>
      </c>
      <c r="J1914">
        <v>0.72449606888845697</v>
      </c>
      <c r="K1914">
        <v>0.60575778242777001</v>
      </c>
      <c r="L1914">
        <v>15000</v>
      </c>
      <c r="M1914">
        <v>224.388413725665</v>
      </c>
      <c r="O1914">
        <v>66.843061348884305</v>
      </c>
      <c r="P1914">
        <v>-0.33087772491273199</v>
      </c>
      <c r="Q1914">
        <v>0.60573935793936595</v>
      </c>
      <c r="R1914">
        <v>9.2840508616881298E-2</v>
      </c>
      <c r="S1914" t="s">
        <v>8366</v>
      </c>
      <c r="T1914" t="s">
        <v>12902</v>
      </c>
      <c r="U1914" t="s">
        <v>12902</v>
      </c>
      <c r="V1914" t="s">
        <v>12902</v>
      </c>
      <c r="W1914" t="s">
        <v>14783</v>
      </c>
      <c r="X1914">
        <v>44</v>
      </c>
      <c r="Y1914" t="s">
        <v>21156</v>
      </c>
      <c r="Z1914" t="s">
        <v>27489</v>
      </c>
      <c r="AA1914">
        <v>0.95863846909559314</v>
      </c>
      <c r="AB1914" t="str">
        <f>HYPERLINK("Melting_Curves/meltCurve_P06733_2_ENO1.pdf", "Melting_Curves/meltCurve_P06733_2_ENO1.pdf")</f>
        <v>Melting_Curves/meltCurve_P06733_2_ENO1.pdf</v>
      </c>
    </row>
    <row r="1915" spans="1:28" x14ac:dyDescent="0.25">
      <c r="A1915" t="s">
        <v>1919</v>
      </c>
      <c r="B1915">
        <v>0.99673306730245903</v>
      </c>
      <c r="C1915">
        <v>0.85095551120387403</v>
      </c>
      <c r="D1915">
        <v>1.0247017404807699</v>
      </c>
      <c r="E1915">
        <v>1.1497513390688401</v>
      </c>
      <c r="F1915">
        <v>0.40899036852277298</v>
      </c>
      <c r="G1915">
        <v>0.437601927000492</v>
      </c>
      <c r="H1915">
        <v>0.182031720303789</v>
      </c>
      <c r="I1915">
        <v>7.7046318796407304E-2</v>
      </c>
      <c r="J1915">
        <v>6.7692974317112298E-2</v>
      </c>
      <c r="K1915">
        <v>5.29412846231321E-2</v>
      </c>
      <c r="L1915">
        <v>1323.7826977028799</v>
      </c>
      <c r="M1915">
        <v>24.561611373582402</v>
      </c>
      <c r="N1915">
        <v>54.322826681029603</v>
      </c>
      <c r="O1915">
        <v>53.542952740151399</v>
      </c>
      <c r="P1915">
        <v>-0.10462840170182</v>
      </c>
      <c r="Q1915">
        <v>8.7676714506465206E-2</v>
      </c>
      <c r="R1915">
        <v>0.91165487040037696</v>
      </c>
      <c r="S1915" t="s">
        <v>8367</v>
      </c>
      <c r="T1915" t="s">
        <v>12902</v>
      </c>
      <c r="U1915" t="s">
        <v>12902</v>
      </c>
      <c r="V1915" t="s">
        <v>12902</v>
      </c>
      <c r="W1915" t="s">
        <v>14784</v>
      </c>
      <c r="X1915">
        <v>62</v>
      </c>
      <c r="Y1915" t="s">
        <v>21157</v>
      </c>
      <c r="Z1915" t="s">
        <v>27490</v>
      </c>
      <c r="AA1915">
        <v>0.51899341916054109</v>
      </c>
      <c r="AB1915" t="str">
        <f>HYPERLINK("Melting_Curves/meltCurve_P06737_PYGL.pdf", "Melting_Curves/meltCurve_P06737_PYGL.pdf")</f>
        <v>Melting_Curves/meltCurve_P06737_PYGL.pdf</v>
      </c>
    </row>
    <row r="1916" spans="1:28" x14ac:dyDescent="0.25">
      <c r="A1916" t="s">
        <v>1920</v>
      </c>
      <c r="B1916">
        <v>0.99673306730245903</v>
      </c>
      <c r="C1916">
        <v>0.887812730113958</v>
      </c>
      <c r="D1916">
        <v>1.0519428767551899</v>
      </c>
      <c r="E1916">
        <v>1.1561427910034601</v>
      </c>
      <c r="F1916">
        <v>0.75625538406097204</v>
      </c>
      <c r="G1916">
        <v>0.41218992390612103</v>
      </c>
      <c r="H1916">
        <v>8.0747095472653699E-2</v>
      </c>
      <c r="I1916">
        <v>6.8782535191359906E-2</v>
      </c>
      <c r="J1916">
        <v>6.3783151146176706E-2</v>
      </c>
      <c r="K1916">
        <v>5.7469542276157803E-2</v>
      </c>
      <c r="L1916">
        <v>1754.5493915654699</v>
      </c>
      <c r="M1916">
        <v>31.535755221132799</v>
      </c>
      <c r="N1916">
        <v>55.8285850069406</v>
      </c>
      <c r="O1916">
        <v>55.414555027036201</v>
      </c>
      <c r="P1916">
        <v>-0.134970333919775</v>
      </c>
      <c r="Q1916">
        <v>5.1327117861069402E-2</v>
      </c>
      <c r="R1916">
        <v>0.97265198622051097</v>
      </c>
      <c r="S1916" t="s">
        <v>8368</v>
      </c>
      <c r="T1916" t="s">
        <v>12902</v>
      </c>
      <c r="U1916" t="s">
        <v>12902</v>
      </c>
      <c r="V1916" t="s">
        <v>12902</v>
      </c>
      <c r="W1916" t="s">
        <v>14785</v>
      </c>
      <c r="X1916">
        <v>49</v>
      </c>
      <c r="Y1916" t="s">
        <v>21158</v>
      </c>
      <c r="Z1916" t="s">
        <v>27491</v>
      </c>
      <c r="AA1916">
        <v>0.55155630156195856</v>
      </c>
      <c r="AB1916" t="str">
        <f>HYPERLINK("Melting_Curves/meltCurve_P06744_GPI.pdf", "Melting_Curves/meltCurve_P06744_GPI.pdf")</f>
        <v>Melting_Curves/meltCurve_P06744_GPI.pdf</v>
      </c>
    </row>
    <row r="1917" spans="1:28" x14ac:dyDescent="0.25">
      <c r="A1917" t="s">
        <v>1921</v>
      </c>
      <c r="B1917">
        <v>0.99673306730245903</v>
      </c>
      <c r="C1917">
        <v>0.87243064443056295</v>
      </c>
      <c r="D1917">
        <v>0.96565672262904201</v>
      </c>
      <c r="E1917">
        <v>0.85785732658714398</v>
      </c>
      <c r="F1917">
        <v>0.81657400691521298</v>
      </c>
      <c r="G1917">
        <v>0.562928586623759</v>
      </c>
      <c r="H1917">
        <v>0.45375564629875897</v>
      </c>
      <c r="I1917">
        <v>0.61050743799354601</v>
      </c>
      <c r="J1917">
        <v>0.73933995995928503</v>
      </c>
      <c r="K1917">
        <v>0.65817266503793204</v>
      </c>
      <c r="L1917">
        <v>1250.50350532984</v>
      </c>
      <c r="M1917">
        <v>24.259834457832</v>
      </c>
      <c r="O1917">
        <v>51.1998347529982</v>
      </c>
      <c r="P1917">
        <v>-4.6679137240313501E-2</v>
      </c>
      <c r="Q1917">
        <v>0.60594489598588896</v>
      </c>
      <c r="R1917">
        <v>0.73461132544569696</v>
      </c>
      <c r="S1917" t="s">
        <v>8369</v>
      </c>
      <c r="T1917" t="s">
        <v>12902</v>
      </c>
      <c r="U1917" t="s">
        <v>12902</v>
      </c>
      <c r="V1917" t="s">
        <v>12902</v>
      </c>
      <c r="W1917" t="s">
        <v>14786</v>
      </c>
      <c r="X1917">
        <v>26</v>
      </c>
      <c r="Y1917" t="s">
        <v>21159</v>
      </c>
      <c r="Z1917" t="s">
        <v>27492</v>
      </c>
      <c r="AA1917">
        <v>0.76140251151903082</v>
      </c>
      <c r="AB1917" t="str">
        <f>HYPERLINK("Melting_Curves/meltCurve_P06748_NPM1.pdf", "Melting_Curves/meltCurve_P06748_NPM1.pdf")</f>
        <v>Melting_Curves/meltCurve_P06748_NPM1.pdf</v>
      </c>
    </row>
    <row r="1918" spans="1:28" x14ac:dyDescent="0.25">
      <c r="A1918" t="s">
        <v>1922</v>
      </c>
      <c r="B1918">
        <v>0.99673306730245903</v>
      </c>
      <c r="C1918">
        <v>0.88302368575616397</v>
      </c>
      <c r="D1918">
        <v>1.31052226741019</v>
      </c>
      <c r="E1918">
        <v>0.74008710231289099</v>
      </c>
      <c r="F1918">
        <v>0.60395510101870997</v>
      </c>
      <c r="G1918">
        <v>0.38702408437082397</v>
      </c>
      <c r="H1918">
        <v>0.39823252699999501</v>
      </c>
      <c r="I1918">
        <v>0.46881853684639602</v>
      </c>
      <c r="J1918">
        <v>0.66604994467648104</v>
      </c>
      <c r="K1918">
        <v>0.63699483434123505</v>
      </c>
      <c r="L1918">
        <v>9058.2721559350193</v>
      </c>
      <c r="M1918">
        <v>182.82435742121399</v>
      </c>
      <c r="O1918">
        <v>49.540381234253999</v>
      </c>
      <c r="P1918">
        <v>-0.43653374397149303</v>
      </c>
      <c r="Q1918">
        <v>0.52684536638419199</v>
      </c>
      <c r="R1918">
        <v>0.75124112618357497</v>
      </c>
      <c r="S1918" t="s">
        <v>8370</v>
      </c>
      <c r="T1918" t="s">
        <v>12902</v>
      </c>
      <c r="U1918" t="s">
        <v>12902</v>
      </c>
      <c r="V1918" t="s">
        <v>12902</v>
      </c>
      <c r="W1918" t="s">
        <v>14787</v>
      </c>
      <c r="X1918">
        <v>23</v>
      </c>
      <c r="Y1918" t="s">
        <v>21159</v>
      </c>
      <c r="Z1918" t="s">
        <v>27493</v>
      </c>
      <c r="AA1918">
        <v>0.67748499413733376</v>
      </c>
      <c r="AB1918" t="str">
        <f>HYPERLINK("Melting_Curves/meltCurve_P06748_3_NPM1.pdf", "Melting_Curves/meltCurve_P06748_3_NPM1.pdf")</f>
        <v>Melting_Curves/meltCurve_P06748_3_NPM1.pdf</v>
      </c>
    </row>
    <row r="1919" spans="1:28" x14ac:dyDescent="0.25">
      <c r="A1919" t="s">
        <v>1923</v>
      </c>
      <c r="B1919">
        <v>0.99673306730245903</v>
      </c>
      <c r="C1919">
        <v>0.99907113664033398</v>
      </c>
      <c r="D1919">
        <v>0.97960416777008696</v>
      </c>
      <c r="E1919">
        <v>0.95329698605178304</v>
      </c>
      <c r="F1919">
        <v>1.01784362051176</v>
      </c>
      <c r="G1919">
        <v>0.88659265872313198</v>
      </c>
      <c r="H1919">
        <v>0.78515335261604602</v>
      </c>
      <c r="I1919">
        <v>1.10289529135377</v>
      </c>
      <c r="J1919">
        <v>1.71895628006385</v>
      </c>
      <c r="K1919">
        <v>1.6257767204583</v>
      </c>
      <c r="L1919">
        <v>15000</v>
      </c>
      <c r="M1919">
        <v>233.02574566124699</v>
      </c>
      <c r="O1919">
        <v>64.365852497493506</v>
      </c>
      <c r="P1919">
        <v>0.45254164950304698</v>
      </c>
      <c r="Q1919">
        <v>1.5</v>
      </c>
      <c r="R1919">
        <v>0.85505585853545396</v>
      </c>
      <c r="S1919" t="s">
        <v>8371</v>
      </c>
      <c r="T1919" t="s">
        <v>12902</v>
      </c>
      <c r="U1919" t="s">
        <v>12902</v>
      </c>
      <c r="V1919" t="s">
        <v>12902</v>
      </c>
      <c r="W1919" t="s">
        <v>14788</v>
      </c>
      <c r="X1919">
        <v>52</v>
      </c>
      <c r="Y1919" t="s">
        <v>20310</v>
      </c>
      <c r="Z1919" t="s">
        <v>27494</v>
      </c>
      <c r="AA1919">
        <v>1.09375882302161</v>
      </c>
      <c r="AB1919" t="str">
        <f>HYPERLINK("Melting_Curves/meltCurve_P06753_3_TPM3.pdf", "Melting_Curves/meltCurve_P06753_3_TPM3.pdf")</f>
        <v>Melting_Curves/meltCurve_P06753_3_TPM3.pdf</v>
      </c>
    </row>
    <row r="1920" spans="1:28" x14ac:dyDescent="0.25">
      <c r="A1920" t="s">
        <v>1924</v>
      </c>
      <c r="B1920">
        <v>0.99673306730245903</v>
      </c>
      <c r="C1920">
        <v>0.905169075025679</v>
      </c>
      <c r="D1920">
        <v>0.886756318131808</v>
      </c>
      <c r="E1920">
        <v>0.72099232623589204</v>
      </c>
      <c r="F1920">
        <v>0.52611968151073696</v>
      </c>
      <c r="G1920">
        <v>0.39070026889409498</v>
      </c>
      <c r="H1920">
        <v>0.32819473349597</v>
      </c>
      <c r="I1920">
        <v>0.386680727474498</v>
      </c>
      <c r="J1920">
        <v>0.51824353664381695</v>
      </c>
      <c r="K1920">
        <v>0.52395405921473504</v>
      </c>
      <c r="L1920">
        <v>1085.1989037742301</v>
      </c>
      <c r="M1920">
        <v>22.042706426736</v>
      </c>
      <c r="N1920">
        <v>53.886180637383603</v>
      </c>
      <c r="O1920">
        <v>48.831830748781201</v>
      </c>
      <c r="P1920">
        <v>-6.4832360718282606E-2</v>
      </c>
      <c r="Q1920">
        <v>0.42551287931569198</v>
      </c>
      <c r="R1920">
        <v>0.92095914229474296</v>
      </c>
      <c r="S1920" t="s">
        <v>8372</v>
      </c>
      <c r="T1920" t="s">
        <v>12902</v>
      </c>
      <c r="U1920" t="s">
        <v>12902</v>
      </c>
      <c r="V1920" t="s">
        <v>12902</v>
      </c>
      <c r="W1920" t="s">
        <v>14789</v>
      </c>
      <c r="X1920">
        <v>8</v>
      </c>
      <c r="Y1920" t="s">
        <v>21160</v>
      </c>
      <c r="Z1920" t="s">
        <v>27495</v>
      </c>
      <c r="AA1920">
        <v>0.60889031213856337</v>
      </c>
      <c r="AB1920" t="str">
        <f>HYPERLINK("Melting_Curves/meltCurve_P06756_3_ITGAV.pdf", "Melting_Curves/meltCurve_P06756_3_ITGAV.pdf")</f>
        <v>Melting_Curves/meltCurve_P06756_3_ITGAV.pdf</v>
      </c>
    </row>
    <row r="1921" spans="1:28" x14ac:dyDescent="0.25">
      <c r="A1921" t="s">
        <v>1925</v>
      </c>
      <c r="B1921">
        <v>0.99673306730245903</v>
      </c>
      <c r="C1921">
        <v>0.98454420711852597</v>
      </c>
      <c r="D1921">
        <v>0.84200850083942802</v>
      </c>
      <c r="E1921">
        <v>1.0087962970053299</v>
      </c>
      <c r="F1921">
        <v>1.1294340796205</v>
      </c>
      <c r="G1921">
        <v>1.13220938009579</v>
      </c>
      <c r="H1921">
        <v>0.633357424102444</v>
      </c>
      <c r="I1921">
        <v>1.08134363581799</v>
      </c>
      <c r="J1921">
        <v>1.23412027782494</v>
      </c>
      <c r="K1921">
        <v>1.19987625236579</v>
      </c>
      <c r="L1921">
        <v>15000</v>
      </c>
      <c r="M1921">
        <v>233.86351375210799</v>
      </c>
      <c r="O1921">
        <v>64.135286902573199</v>
      </c>
      <c r="P1921">
        <v>0.19781900084426701</v>
      </c>
      <c r="Q1921">
        <v>1.2170014082707701</v>
      </c>
      <c r="R1921">
        <v>0.32791723157214098</v>
      </c>
      <c r="S1921" t="s">
        <v>8373</v>
      </c>
      <c r="T1921" t="s">
        <v>12902</v>
      </c>
      <c r="U1921" t="s">
        <v>12902</v>
      </c>
      <c r="V1921" t="s">
        <v>12902</v>
      </c>
      <c r="W1921" t="s">
        <v>14790</v>
      </c>
      <c r="X1921">
        <v>8</v>
      </c>
      <c r="Y1921" t="s">
        <v>21161</v>
      </c>
      <c r="Z1921" t="s">
        <v>27496</v>
      </c>
      <c r="AA1921">
        <v>1.0423598722241549</v>
      </c>
      <c r="AB1921" t="str">
        <f>HYPERLINK("Melting_Curves/meltCurve_P07108_DBI.pdf", "Melting_Curves/meltCurve_P07108_DBI.pdf")</f>
        <v>Melting_Curves/meltCurve_P07108_DBI.pdf</v>
      </c>
    </row>
    <row r="1922" spans="1:28" x14ac:dyDescent="0.25">
      <c r="A1922" t="s">
        <v>1926</v>
      </c>
      <c r="B1922">
        <v>0.99673306730245903</v>
      </c>
      <c r="C1922">
        <v>0.99193539844458201</v>
      </c>
      <c r="D1922">
        <v>1.0166881103926699</v>
      </c>
      <c r="E1922">
        <v>1.0478967871332301</v>
      </c>
      <c r="F1922">
        <v>1.1584166881276601</v>
      </c>
      <c r="G1922">
        <v>0.99989775242391099</v>
      </c>
      <c r="H1922">
        <v>0.85128346866638405</v>
      </c>
      <c r="I1922">
        <v>0.80707356728576196</v>
      </c>
      <c r="J1922">
        <v>0.39815133541659398</v>
      </c>
      <c r="K1922">
        <v>0.13337567362354</v>
      </c>
      <c r="L1922">
        <v>2171.2737721788299</v>
      </c>
      <c r="M1922">
        <v>32.752807776752903</v>
      </c>
      <c r="N1922">
        <v>66.292770542263298</v>
      </c>
      <c r="O1922">
        <v>66.0470904127626</v>
      </c>
      <c r="P1922">
        <v>-0.123975783422158</v>
      </c>
      <c r="Q1922">
        <v>0</v>
      </c>
      <c r="R1922">
        <v>0.95775070927015005</v>
      </c>
      <c r="S1922" t="s">
        <v>8374</v>
      </c>
      <c r="T1922" t="s">
        <v>12902</v>
      </c>
      <c r="U1922" t="s">
        <v>12902</v>
      </c>
      <c r="V1922" t="s">
        <v>12902</v>
      </c>
      <c r="W1922" t="s">
        <v>14791</v>
      </c>
      <c r="X1922">
        <v>25</v>
      </c>
      <c r="Y1922" t="s">
        <v>21162</v>
      </c>
      <c r="Z1922" t="s">
        <v>27497</v>
      </c>
      <c r="AA1922">
        <v>0.87015192942806274</v>
      </c>
      <c r="AB1922" t="str">
        <f>HYPERLINK("Melting_Curves/meltCurve_P07195_LDHB.pdf", "Melting_Curves/meltCurve_P07195_LDHB.pdf")</f>
        <v>Melting_Curves/meltCurve_P07195_LDHB.pdf</v>
      </c>
    </row>
    <row r="1923" spans="1:28" x14ac:dyDescent="0.25">
      <c r="A1923" t="s">
        <v>1927</v>
      </c>
      <c r="B1923">
        <v>0.99673306730245903</v>
      </c>
      <c r="C1923">
        <v>0.95104973165800699</v>
      </c>
      <c r="D1923">
        <v>0.71545294074391597</v>
      </c>
      <c r="E1923">
        <v>0.60598772798157297</v>
      </c>
      <c r="F1923">
        <v>0.51827440967100802</v>
      </c>
      <c r="G1923">
        <v>0.29831860692988299</v>
      </c>
      <c r="H1923">
        <v>0.17461582895107</v>
      </c>
      <c r="I1923">
        <v>0.13805724113442</v>
      </c>
      <c r="J1923">
        <v>0.13544335533097199</v>
      </c>
      <c r="K1923">
        <v>0.110605057877201</v>
      </c>
      <c r="L1923">
        <v>541.14137986621597</v>
      </c>
      <c r="M1923">
        <v>10.477151096312401</v>
      </c>
      <c r="N1923">
        <v>52.085236044742402</v>
      </c>
      <c r="O1923">
        <v>49.874437884119402</v>
      </c>
      <c r="P1923">
        <v>-5.0335323475124101E-2</v>
      </c>
      <c r="Q1923">
        <v>4.1943765163178201E-2</v>
      </c>
      <c r="R1923">
        <v>0.983782163761029</v>
      </c>
      <c r="S1923" t="s">
        <v>8375</v>
      </c>
      <c r="T1923" t="s">
        <v>12902</v>
      </c>
      <c r="U1923" t="s">
        <v>12902</v>
      </c>
      <c r="V1923" t="s">
        <v>12902</v>
      </c>
      <c r="W1923" t="s">
        <v>14792</v>
      </c>
      <c r="X1923">
        <v>1</v>
      </c>
      <c r="Y1923" t="s">
        <v>21163</v>
      </c>
      <c r="Z1923" t="s">
        <v>27498</v>
      </c>
      <c r="AA1923">
        <v>0.44959166666499489</v>
      </c>
      <c r="AB1923" t="str">
        <f>HYPERLINK("Melting_Curves/meltCurve_P07199_CENPB.pdf", "Melting_Curves/meltCurve_P07199_CENPB.pdf")</f>
        <v>Melting_Curves/meltCurve_P07199_CENPB.pdf</v>
      </c>
    </row>
    <row r="1924" spans="1:28" x14ac:dyDescent="0.25">
      <c r="A1924" t="s">
        <v>1928</v>
      </c>
      <c r="B1924">
        <v>0.99673306730245903</v>
      </c>
      <c r="C1924">
        <v>1.02026789689311</v>
      </c>
      <c r="D1924">
        <v>0.995776366339161</v>
      </c>
      <c r="E1924">
        <v>1.0068032156931499</v>
      </c>
      <c r="F1924">
        <v>0.91620507679787799</v>
      </c>
      <c r="G1924">
        <v>0.85056809258935795</v>
      </c>
      <c r="H1924">
        <v>0.64088427646049995</v>
      </c>
      <c r="I1924">
        <v>0.80125985292162405</v>
      </c>
      <c r="J1924">
        <v>0.56463210153066801</v>
      </c>
      <c r="K1924">
        <v>0.27163703723155003</v>
      </c>
      <c r="L1924">
        <v>741.21248260495202</v>
      </c>
      <c r="M1924">
        <v>11.0344127339336</v>
      </c>
      <c r="N1924">
        <v>67.172805786672498</v>
      </c>
      <c r="O1924">
        <v>65.079755776943401</v>
      </c>
      <c r="P1924">
        <v>-4.2402182386476701E-2</v>
      </c>
      <c r="Q1924">
        <v>0</v>
      </c>
      <c r="R1924">
        <v>0.88299308821075395</v>
      </c>
      <c r="S1924" t="s">
        <v>8376</v>
      </c>
      <c r="T1924" t="s">
        <v>12902</v>
      </c>
      <c r="U1924" t="s">
        <v>12902</v>
      </c>
      <c r="V1924" t="s">
        <v>12902</v>
      </c>
      <c r="W1924" t="s">
        <v>14793</v>
      </c>
      <c r="X1924">
        <v>13</v>
      </c>
      <c r="Y1924" t="s">
        <v>21164</v>
      </c>
      <c r="Z1924" t="s">
        <v>27499</v>
      </c>
      <c r="AA1924">
        <v>0.83060426626680139</v>
      </c>
      <c r="AB1924" t="str">
        <f>HYPERLINK("Melting_Curves/meltCurve_P07203_GPX1.pdf", "Melting_Curves/meltCurve_P07203_GPX1.pdf")</f>
        <v>Melting_Curves/meltCurve_P07203_GPX1.pdf</v>
      </c>
    </row>
    <row r="1925" spans="1:28" x14ac:dyDescent="0.25">
      <c r="A1925" t="s">
        <v>1929</v>
      </c>
      <c r="B1925">
        <v>0.99673306730245903</v>
      </c>
      <c r="C1925">
        <v>1.00296105553329</v>
      </c>
      <c r="D1925">
        <v>0.94426617738718699</v>
      </c>
      <c r="E1925">
        <v>0.94546405293126201</v>
      </c>
      <c r="F1925">
        <v>0.69272009415597202</v>
      </c>
      <c r="G1925">
        <v>0.174332676262096</v>
      </c>
      <c r="H1925">
        <v>8.6711993110563101E-2</v>
      </c>
      <c r="I1925">
        <v>7.13256730426515E-2</v>
      </c>
      <c r="J1925">
        <v>6.10567616481726E-2</v>
      </c>
      <c r="K1925">
        <v>5.11360587024519E-2</v>
      </c>
      <c r="L1925">
        <v>2145.49508236879</v>
      </c>
      <c r="M1925">
        <v>39.6525132147408</v>
      </c>
      <c r="N1925">
        <v>54.288373985178303</v>
      </c>
      <c r="O1925">
        <v>53.970350042043201</v>
      </c>
      <c r="P1925">
        <v>-0.17230702802435699</v>
      </c>
      <c r="Q1925">
        <v>6.1905574418017098E-2</v>
      </c>
      <c r="R1925">
        <v>0.99749703550040802</v>
      </c>
      <c r="S1925" t="s">
        <v>8377</v>
      </c>
      <c r="T1925" t="s">
        <v>12902</v>
      </c>
      <c r="U1925" t="s">
        <v>12902</v>
      </c>
      <c r="V1925" t="s">
        <v>12902</v>
      </c>
      <c r="W1925" t="s">
        <v>14794</v>
      </c>
      <c r="X1925">
        <v>9</v>
      </c>
      <c r="Y1925" t="s">
        <v>21165</v>
      </c>
      <c r="Z1925" t="s">
        <v>27500</v>
      </c>
      <c r="AA1925">
        <v>0.50660436593447211</v>
      </c>
      <c r="AB1925" t="str">
        <f>HYPERLINK("Melting_Curves/meltCurve_P07205_PGK2.pdf", "Melting_Curves/meltCurve_P07205_PGK2.pdf")</f>
        <v>Melting_Curves/meltCurve_P07205_PGK2.pdf</v>
      </c>
    </row>
    <row r="1926" spans="1:28" x14ac:dyDescent="0.25">
      <c r="A1926" t="s">
        <v>1930</v>
      </c>
      <c r="B1926">
        <v>0.99673306730245903</v>
      </c>
      <c r="C1926">
        <v>1.00501666406476</v>
      </c>
      <c r="D1926">
        <v>1.01693424141611</v>
      </c>
      <c r="E1926">
        <v>1.0285678871753601</v>
      </c>
      <c r="F1926">
        <v>0.80786611515027495</v>
      </c>
      <c r="G1926">
        <v>0.50479761704677995</v>
      </c>
      <c r="H1926">
        <v>0.249926314197601</v>
      </c>
      <c r="I1926">
        <v>0.260898183682164</v>
      </c>
      <c r="J1926">
        <v>0.31643491823578201</v>
      </c>
      <c r="K1926">
        <v>0.27124475688403299</v>
      </c>
      <c r="L1926">
        <v>1807.6013620357101</v>
      </c>
      <c r="M1926">
        <v>32.747670798610798</v>
      </c>
      <c r="N1926">
        <v>56.5225862599858</v>
      </c>
      <c r="O1926">
        <v>54.993247855735603</v>
      </c>
      <c r="P1926">
        <v>-0.108986767011965</v>
      </c>
      <c r="Q1926">
        <v>0.26791633251983499</v>
      </c>
      <c r="R1926">
        <v>0.99195999037096105</v>
      </c>
      <c r="S1926" t="s">
        <v>8378</v>
      </c>
      <c r="T1926" t="s">
        <v>12902</v>
      </c>
      <c r="U1926" t="s">
        <v>12902</v>
      </c>
      <c r="V1926" t="s">
        <v>12902</v>
      </c>
      <c r="W1926" t="s">
        <v>13851</v>
      </c>
      <c r="X1926">
        <v>56</v>
      </c>
      <c r="Y1926" t="s">
        <v>20240</v>
      </c>
      <c r="Z1926" t="s">
        <v>27501</v>
      </c>
      <c r="AA1926">
        <v>0.64290292066447252</v>
      </c>
      <c r="AB1926" t="str">
        <f>HYPERLINK("Melting_Curves/meltCurve_P07237_P4HB.pdf", "Melting_Curves/meltCurve_P07237_P4HB.pdf")</f>
        <v>Melting_Curves/meltCurve_P07237_P4HB.pdf</v>
      </c>
    </row>
    <row r="1927" spans="1:28" x14ac:dyDescent="0.25">
      <c r="A1927" t="s">
        <v>1931</v>
      </c>
      <c r="B1927">
        <v>0.99673306730245903</v>
      </c>
      <c r="C1927">
        <v>1.0265727885037901</v>
      </c>
      <c r="D1927">
        <v>0.97308063855424298</v>
      </c>
      <c r="E1927">
        <v>0.92356645307732199</v>
      </c>
      <c r="F1927">
        <v>0.78196686684111705</v>
      </c>
      <c r="G1927">
        <v>0.57375831379740405</v>
      </c>
      <c r="H1927">
        <v>0.465266986771532</v>
      </c>
      <c r="I1927">
        <v>0.42879256549938399</v>
      </c>
      <c r="J1927">
        <v>0.50980157252274805</v>
      </c>
      <c r="K1927">
        <v>0.487866961164173</v>
      </c>
      <c r="L1927">
        <v>1392.7490689762799</v>
      </c>
      <c r="M1927">
        <v>25.911692772605001</v>
      </c>
      <c r="N1927">
        <v>59.908195847841199</v>
      </c>
      <c r="O1927">
        <v>53.432756320565801</v>
      </c>
      <c r="P1927">
        <v>-6.4842980148694607E-2</v>
      </c>
      <c r="Q1927">
        <v>0.46515286230117903</v>
      </c>
      <c r="R1927">
        <v>0.98790832536300799</v>
      </c>
      <c r="S1927" t="s">
        <v>8379</v>
      </c>
      <c r="T1927" t="s">
        <v>12902</v>
      </c>
      <c r="U1927" t="s">
        <v>12902</v>
      </c>
      <c r="V1927" t="s">
        <v>12902</v>
      </c>
      <c r="W1927" t="s">
        <v>14795</v>
      </c>
      <c r="X1927">
        <v>4</v>
      </c>
      <c r="Y1927" t="s">
        <v>21166</v>
      </c>
      <c r="Z1927" t="s">
        <v>27502</v>
      </c>
      <c r="AA1927">
        <v>0.7149164092728244</v>
      </c>
      <c r="AB1927" t="str">
        <f>HYPERLINK("Melting_Curves/meltCurve_P07305_2_H1F0.pdf", "Melting_Curves/meltCurve_P07305_2_H1F0.pdf")</f>
        <v>Melting_Curves/meltCurve_P07305_2_H1F0.pdf</v>
      </c>
    </row>
    <row r="1928" spans="1:28" x14ac:dyDescent="0.25">
      <c r="A1928" t="s">
        <v>1932</v>
      </c>
      <c r="B1928">
        <v>0.99673306730245903</v>
      </c>
      <c r="C1928">
        <v>1.03756825168975</v>
      </c>
      <c r="D1928">
        <v>1.0003228480161599</v>
      </c>
      <c r="E1928">
        <v>0.956985250050019</v>
      </c>
      <c r="F1928">
        <v>0.80406723749194897</v>
      </c>
      <c r="G1928">
        <v>0.68381254027468297</v>
      </c>
      <c r="H1928">
        <v>0.29241546170327098</v>
      </c>
      <c r="I1928">
        <v>0.146275962024529</v>
      </c>
      <c r="J1928">
        <v>0.13454370848497099</v>
      </c>
      <c r="K1928">
        <v>0.114281387344359</v>
      </c>
      <c r="L1928">
        <v>1181.1197463724</v>
      </c>
      <c r="M1928">
        <v>20.424468399008699</v>
      </c>
      <c r="N1928">
        <v>58.244496302484599</v>
      </c>
      <c r="O1928">
        <v>57.282866799784998</v>
      </c>
      <c r="P1928">
        <v>-8.3093821812284099E-2</v>
      </c>
      <c r="Q1928">
        <v>6.7841642189497398E-2</v>
      </c>
      <c r="R1928">
        <v>0.99151849440935103</v>
      </c>
      <c r="S1928" t="s">
        <v>8380</v>
      </c>
      <c r="T1928" t="s">
        <v>12902</v>
      </c>
      <c r="U1928" t="s">
        <v>12902</v>
      </c>
      <c r="V1928" t="s">
        <v>12902</v>
      </c>
      <c r="W1928" t="s">
        <v>14796</v>
      </c>
      <c r="X1928">
        <v>26</v>
      </c>
      <c r="Y1928" t="s">
        <v>21167</v>
      </c>
      <c r="Z1928" t="s">
        <v>27503</v>
      </c>
      <c r="AA1928">
        <v>0.63231259414449925</v>
      </c>
      <c r="AB1928" t="str">
        <f>HYPERLINK("Melting_Curves/meltCurve_P07339_CTSD.pdf", "Melting_Curves/meltCurve_P07339_CTSD.pdf")</f>
        <v>Melting_Curves/meltCurve_P07339_CTSD.pdf</v>
      </c>
    </row>
    <row r="1929" spans="1:28" x14ac:dyDescent="0.25">
      <c r="A1929" t="s">
        <v>1933</v>
      </c>
      <c r="B1929">
        <v>0.99673306730245903</v>
      </c>
      <c r="C1929">
        <v>0.975519878658759</v>
      </c>
      <c r="D1929">
        <v>0.86095438684186298</v>
      </c>
      <c r="E1929">
        <v>0.96676815513466696</v>
      </c>
      <c r="F1929">
        <v>0.50589000846417997</v>
      </c>
      <c r="G1929">
        <v>0.14961890292222099</v>
      </c>
      <c r="H1929">
        <v>7.9221036501840494E-2</v>
      </c>
      <c r="I1929">
        <v>6.4337964197025796E-2</v>
      </c>
      <c r="J1929">
        <v>6.9545822210897695E-2</v>
      </c>
      <c r="K1929">
        <v>5.6123263256187897E-2</v>
      </c>
      <c r="L1929">
        <v>2025.8187006589301</v>
      </c>
      <c r="M1929">
        <v>38.162208436540197</v>
      </c>
      <c r="N1929">
        <v>53.285186174957801</v>
      </c>
      <c r="O1929">
        <v>52.939277787393799</v>
      </c>
      <c r="P1929">
        <v>-0.168148945893072</v>
      </c>
      <c r="Q1929">
        <v>6.6965694970471404E-2</v>
      </c>
      <c r="R1929">
        <v>0.98795797694110099</v>
      </c>
      <c r="S1929" t="s">
        <v>8381</v>
      </c>
      <c r="T1929" t="s">
        <v>12902</v>
      </c>
      <c r="U1929" t="s">
        <v>12902</v>
      </c>
      <c r="V1929" t="s">
        <v>12902</v>
      </c>
      <c r="W1929" t="s">
        <v>14797</v>
      </c>
      <c r="X1929">
        <v>54</v>
      </c>
      <c r="Y1929" t="s">
        <v>20163</v>
      </c>
      <c r="Z1929" t="s">
        <v>27504</v>
      </c>
      <c r="AA1929">
        <v>0.47766390869540187</v>
      </c>
      <c r="AB1929" t="str">
        <f>HYPERLINK("Melting_Curves/meltCurve_P07355_ANXA2.pdf", "Melting_Curves/meltCurve_P07355_ANXA2.pdf")</f>
        <v>Melting_Curves/meltCurve_P07355_ANXA2.pdf</v>
      </c>
    </row>
    <row r="1930" spans="1:28" x14ac:dyDescent="0.25">
      <c r="A1930" t="s">
        <v>1934</v>
      </c>
      <c r="B1930">
        <v>0.99673306730245903</v>
      </c>
      <c r="C1930">
        <v>0.98996126780053495</v>
      </c>
      <c r="D1930">
        <v>1.0235177616420701</v>
      </c>
      <c r="E1930">
        <v>1.0313150429117901</v>
      </c>
      <c r="F1930">
        <v>0.99626151266545304</v>
      </c>
      <c r="G1930">
        <v>0.93668838982853697</v>
      </c>
      <c r="H1930">
        <v>0.511544961115313</v>
      </c>
      <c r="I1930">
        <v>0.140381524639456</v>
      </c>
      <c r="J1930">
        <v>0.112318485200707</v>
      </c>
      <c r="K1930">
        <v>8.9018210390572894E-2</v>
      </c>
      <c r="L1930">
        <v>2719.4081945606899</v>
      </c>
      <c r="M1930">
        <v>44.905869809559697</v>
      </c>
      <c r="N1930">
        <v>60.814546090594099</v>
      </c>
      <c r="O1930">
        <v>60.438241986882701</v>
      </c>
      <c r="P1930">
        <v>-0.16972154676079201</v>
      </c>
      <c r="Q1930">
        <v>8.6296890349958993E-2</v>
      </c>
      <c r="R1930">
        <v>0.99828264162410896</v>
      </c>
      <c r="S1930" t="s">
        <v>8382</v>
      </c>
      <c r="T1930" t="s">
        <v>12902</v>
      </c>
      <c r="U1930" t="s">
        <v>12902</v>
      </c>
      <c r="V1930" t="s">
        <v>12902</v>
      </c>
      <c r="W1930" t="s">
        <v>14798</v>
      </c>
      <c r="X1930">
        <v>45</v>
      </c>
      <c r="Y1930" t="s">
        <v>21168</v>
      </c>
      <c r="Z1930" t="s">
        <v>27505</v>
      </c>
      <c r="AA1930">
        <v>0.71532065875374207</v>
      </c>
      <c r="AB1930" t="str">
        <f>HYPERLINK("Melting_Curves/meltCurve_P07384_CAPN1.pdf", "Melting_Curves/meltCurve_P07384_CAPN1.pdf")</f>
        <v>Melting_Curves/meltCurve_P07384_CAPN1.pdf</v>
      </c>
    </row>
    <row r="1931" spans="1:28" x14ac:dyDescent="0.25">
      <c r="A1931" t="s">
        <v>1935</v>
      </c>
      <c r="B1931">
        <v>0.99673306730245903</v>
      </c>
      <c r="C1931">
        <v>0.96390695480938604</v>
      </c>
      <c r="D1931">
        <v>0.98875907353195702</v>
      </c>
      <c r="E1931">
        <v>0.985109203614704</v>
      </c>
      <c r="F1931">
        <v>0.77044629883737503</v>
      </c>
      <c r="G1931">
        <v>0.63095890703719704</v>
      </c>
      <c r="H1931">
        <v>0.287221602985262</v>
      </c>
      <c r="I1931">
        <v>0.13142699215075501</v>
      </c>
      <c r="J1931">
        <v>0.11658381199528101</v>
      </c>
      <c r="K1931">
        <v>0.100232141202199</v>
      </c>
      <c r="L1931">
        <v>1087.80193824001</v>
      </c>
      <c r="M1931">
        <v>18.9203346675686</v>
      </c>
      <c r="N1931">
        <v>57.804141398892</v>
      </c>
      <c r="O1931">
        <v>56.863086859794002</v>
      </c>
      <c r="P1931">
        <v>-7.9169545454638904E-2</v>
      </c>
      <c r="Q1931">
        <v>4.8295422985243301E-2</v>
      </c>
      <c r="R1931">
        <v>0.99262192845478503</v>
      </c>
      <c r="S1931" t="s">
        <v>8383</v>
      </c>
      <c r="T1931" t="s">
        <v>12902</v>
      </c>
      <c r="U1931" t="s">
        <v>12902</v>
      </c>
      <c r="V1931" t="s">
        <v>12902</v>
      </c>
      <c r="W1931" t="s">
        <v>14799</v>
      </c>
      <c r="X1931">
        <v>21</v>
      </c>
      <c r="Y1931" t="s">
        <v>21169</v>
      </c>
      <c r="Z1931" t="s">
        <v>27506</v>
      </c>
      <c r="AA1931">
        <v>0.61517589831719321</v>
      </c>
      <c r="AB1931" t="str">
        <f>HYPERLINK("Melting_Curves/meltCurve_P07686_HEXB.pdf", "Melting_Curves/meltCurve_P07686_HEXB.pdf")</f>
        <v>Melting_Curves/meltCurve_P07686_HEXB.pdf</v>
      </c>
    </row>
    <row r="1932" spans="1:28" x14ac:dyDescent="0.25">
      <c r="A1932" t="s">
        <v>1936</v>
      </c>
      <c r="B1932">
        <v>0.99673306730245903</v>
      </c>
      <c r="C1932">
        <v>0.98010927946482795</v>
      </c>
      <c r="D1932">
        <v>1.0444202358391099</v>
      </c>
      <c r="E1932">
        <v>0.90997007179383105</v>
      </c>
      <c r="F1932">
        <v>0.40271641675327102</v>
      </c>
      <c r="G1932">
        <v>0.15156597082152701</v>
      </c>
      <c r="H1932">
        <v>8.1276149978909695E-2</v>
      </c>
      <c r="I1932">
        <v>7.2569829540262407E-2</v>
      </c>
      <c r="J1932">
        <v>6.2735142588436404E-2</v>
      </c>
      <c r="K1932">
        <v>5.7140205042742899E-2</v>
      </c>
      <c r="L1932">
        <v>1959.6178347437001</v>
      </c>
      <c r="M1932">
        <v>37.375644721819199</v>
      </c>
      <c r="N1932">
        <v>52.650413859723699</v>
      </c>
      <c r="O1932">
        <v>52.280928291483796</v>
      </c>
      <c r="P1932">
        <v>-0.16580200884774601</v>
      </c>
      <c r="Q1932">
        <v>7.2309363590987594E-2</v>
      </c>
      <c r="R1932">
        <v>0.99765354534003903</v>
      </c>
      <c r="S1932" t="s">
        <v>8384</v>
      </c>
      <c r="T1932" t="s">
        <v>12902</v>
      </c>
      <c r="U1932" t="s">
        <v>12902</v>
      </c>
      <c r="V1932" t="s">
        <v>12902</v>
      </c>
      <c r="W1932" t="s">
        <v>14800</v>
      </c>
      <c r="X1932">
        <v>21</v>
      </c>
      <c r="Y1932" t="s">
        <v>21170</v>
      </c>
      <c r="Z1932" t="s">
        <v>27507</v>
      </c>
      <c r="AA1932">
        <v>0.46054317916989862</v>
      </c>
      <c r="AB1932" t="str">
        <f>HYPERLINK("Melting_Curves/meltCurve_P07737_PFN1.pdf", "Melting_Curves/meltCurve_P07737_PFN1.pdf")</f>
        <v>Melting_Curves/meltCurve_P07737_PFN1.pdf</v>
      </c>
    </row>
    <row r="1933" spans="1:28" x14ac:dyDescent="0.25">
      <c r="A1933" t="s">
        <v>1937</v>
      </c>
      <c r="B1933">
        <v>0.99673306730245903</v>
      </c>
      <c r="C1933">
        <v>1.0242033922846101</v>
      </c>
      <c r="D1933">
        <v>0.96698355261809699</v>
      </c>
      <c r="E1933">
        <v>0.95422350533411104</v>
      </c>
      <c r="F1933">
        <v>0.94753706003127502</v>
      </c>
      <c r="G1933">
        <v>0.724481199554046</v>
      </c>
      <c r="H1933">
        <v>0.50252149390135303</v>
      </c>
      <c r="I1933">
        <v>0.45006141765944402</v>
      </c>
      <c r="J1933">
        <v>0.31210566690000002</v>
      </c>
      <c r="K1933">
        <v>0.26687629434490601</v>
      </c>
      <c r="L1933">
        <v>996.58072143545405</v>
      </c>
      <c r="M1933">
        <v>16.827020764142599</v>
      </c>
      <c r="N1933">
        <v>61.435238921708297</v>
      </c>
      <c r="O1933">
        <v>58.407541073233503</v>
      </c>
      <c r="P1933">
        <v>-5.56736852547845E-2</v>
      </c>
      <c r="Q1933">
        <v>0.22706368274354699</v>
      </c>
      <c r="R1933">
        <v>0.99012727333977202</v>
      </c>
      <c r="S1933" t="s">
        <v>8385</v>
      </c>
      <c r="T1933" t="s">
        <v>12902</v>
      </c>
      <c r="U1933" t="s">
        <v>12902</v>
      </c>
      <c r="V1933" t="s">
        <v>12902</v>
      </c>
      <c r="W1933" t="s">
        <v>14801</v>
      </c>
      <c r="X1933">
        <v>8</v>
      </c>
      <c r="Y1933" t="s">
        <v>21171</v>
      </c>
      <c r="Z1933" t="s">
        <v>27508</v>
      </c>
      <c r="AA1933">
        <v>0.73023476265594589</v>
      </c>
      <c r="AB1933" t="str">
        <f>HYPERLINK("Melting_Curves/meltCurve_P07738_BPGM.pdf", "Melting_Curves/meltCurve_P07738_BPGM.pdf")</f>
        <v>Melting_Curves/meltCurve_P07738_BPGM.pdf</v>
      </c>
    </row>
    <row r="1934" spans="1:28" x14ac:dyDescent="0.25">
      <c r="A1934" t="s">
        <v>1938</v>
      </c>
      <c r="B1934">
        <v>0.99673306730245903</v>
      </c>
      <c r="C1934">
        <v>1.0418250347211599</v>
      </c>
      <c r="D1934">
        <v>0.98409474784621298</v>
      </c>
      <c r="E1934">
        <v>1.01360402651096</v>
      </c>
      <c r="F1934">
        <v>0.91957385753913501</v>
      </c>
      <c r="G1934">
        <v>0.78983382646898803</v>
      </c>
      <c r="H1934">
        <v>0.44534107050328597</v>
      </c>
      <c r="I1934">
        <v>0.24908888940194601</v>
      </c>
      <c r="J1934">
        <v>7.8312703523010299E-2</v>
      </c>
      <c r="K1934">
        <v>5.3568020343375398E-2</v>
      </c>
      <c r="L1934">
        <v>1264.87970878174</v>
      </c>
      <c r="M1934">
        <v>20.991954069475899</v>
      </c>
      <c r="N1934">
        <v>60.255459880422798</v>
      </c>
      <c r="O1934">
        <v>59.716635715841797</v>
      </c>
      <c r="P1934">
        <v>-8.7883883270872196E-2</v>
      </c>
      <c r="Q1934">
        <v>0</v>
      </c>
      <c r="R1934">
        <v>0.99703013118415196</v>
      </c>
      <c r="S1934" t="s">
        <v>8386</v>
      </c>
      <c r="T1934" t="s">
        <v>12902</v>
      </c>
      <c r="U1934" t="s">
        <v>12902</v>
      </c>
      <c r="V1934" t="s">
        <v>12902</v>
      </c>
      <c r="W1934" t="s">
        <v>14802</v>
      </c>
      <c r="X1934">
        <v>12</v>
      </c>
      <c r="Y1934" t="s">
        <v>21172</v>
      </c>
      <c r="Z1934" t="s">
        <v>27509</v>
      </c>
      <c r="AA1934">
        <v>0.68299216231204918</v>
      </c>
      <c r="AB1934" t="str">
        <f>HYPERLINK("Melting_Curves/meltCurve_P07741_APRT.pdf", "Melting_Curves/meltCurve_P07741_APRT.pdf")</f>
        <v>Melting_Curves/meltCurve_P07741_APRT.pdf</v>
      </c>
    </row>
    <row r="1935" spans="1:28" x14ac:dyDescent="0.25">
      <c r="A1935" t="s">
        <v>1939</v>
      </c>
      <c r="B1935">
        <v>0.99673306730245903</v>
      </c>
      <c r="C1935">
        <v>0.89457527240928802</v>
      </c>
      <c r="D1935">
        <v>0.62660452576461101</v>
      </c>
      <c r="E1935">
        <v>0.40579987666685902</v>
      </c>
      <c r="F1935">
        <v>0.28074311194063001</v>
      </c>
      <c r="G1935">
        <v>0.20258299487234599</v>
      </c>
      <c r="H1935">
        <v>0.15123737291134601</v>
      </c>
      <c r="I1935">
        <v>0.13954792743811001</v>
      </c>
      <c r="J1935">
        <v>0.11917078106691099</v>
      </c>
      <c r="K1935">
        <v>0.100013065328292</v>
      </c>
      <c r="L1935">
        <v>759.18479385605599</v>
      </c>
      <c r="M1935">
        <v>16.013892518512801</v>
      </c>
      <c r="N1935">
        <v>48.254940816884101</v>
      </c>
      <c r="O1935">
        <v>46.687110665536501</v>
      </c>
      <c r="P1935">
        <v>-7.5250427269352604E-2</v>
      </c>
      <c r="Q1935">
        <v>0.122524709796743</v>
      </c>
      <c r="R1935">
        <v>0.99361010625736002</v>
      </c>
      <c r="S1935" t="s">
        <v>8387</v>
      </c>
      <c r="T1935" t="s">
        <v>12902</v>
      </c>
      <c r="U1935" t="s">
        <v>12902</v>
      </c>
      <c r="V1935" t="s">
        <v>12902</v>
      </c>
      <c r="W1935" t="s">
        <v>14803</v>
      </c>
      <c r="X1935">
        <v>48</v>
      </c>
      <c r="Y1935" t="s">
        <v>21173</v>
      </c>
      <c r="Z1935" t="s">
        <v>27510</v>
      </c>
      <c r="AA1935">
        <v>0.35954855785646878</v>
      </c>
      <c r="AB1935" t="str">
        <f>HYPERLINK("Melting_Curves/meltCurve_P07814_EPRS.pdf", "Melting_Curves/meltCurve_P07814_EPRS.pdf")</f>
        <v>Melting_Curves/meltCurve_P07814_EPRS.pdf</v>
      </c>
    </row>
    <row r="1936" spans="1:28" x14ac:dyDescent="0.25">
      <c r="A1936" t="s">
        <v>1940</v>
      </c>
      <c r="B1936">
        <v>0.99673306730245903</v>
      </c>
      <c r="C1936">
        <v>0.98764978866335196</v>
      </c>
      <c r="D1936">
        <v>0.98956950025043999</v>
      </c>
      <c r="E1936">
        <v>1.0409661771973999</v>
      </c>
      <c r="F1936">
        <v>0.71917706632610001</v>
      </c>
      <c r="G1936">
        <v>0.55983121541534997</v>
      </c>
      <c r="H1936">
        <v>0.28050676612270298</v>
      </c>
      <c r="I1936">
        <v>0.40359165550188503</v>
      </c>
      <c r="J1936">
        <v>0.55004905649263303</v>
      </c>
      <c r="K1936">
        <v>0.55702449994988401</v>
      </c>
      <c r="L1936">
        <v>2397.2981599397399</v>
      </c>
      <c r="M1936">
        <v>45.001076894447898</v>
      </c>
      <c r="N1936">
        <v>56.486559063906903</v>
      </c>
      <c r="O1936">
        <v>53.167144243376299</v>
      </c>
      <c r="P1936">
        <v>-0.113972479003305</v>
      </c>
      <c r="Q1936">
        <v>0.46138330786901199</v>
      </c>
      <c r="R1936">
        <v>0.91021766419858696</v>
      </c>
      <c r="S1936" t="s">
        <v>8388</v>
      </c>
      <c r="T1936" t="s">
        <v>12902</v>
      </c>
      <c r="U1936" t="s">
        <v>12902</v>
      </c>
      <c r="V1936" t="s">
        <v>12902</v>
      </c>
      <c r="W1936" t="s">
        <v>14804</v>
      </c>
      <c r="X1936">
        <v>7</v>
      </c>
      <c r="Y1936" t="s">
        <v>21174</v>
      </c>
      <c r="Z1936" t="s">
        <v>27511</v>
      </c>
      <c r="AA1936">
        <v>0.70123137078032749</v>
      </c>
      <c r="AB1936" t="str">
        <f>HYPERLINK("Melting_Curves/meltCurve_P07858_CTSB.pdf", "Melting_Curves/meltCurve_P07858_CTSB.pdf")</f>
        <v>Melting_Curves/meltCurve_P07858_CTSB.pdf</v>
      </c>
    </row>
    <row r="1937" spans="1:28" x14ac:dyDescent="0.25">
      <c r="A1937" t="s">
        <v>1941</v>
      </c>
      <c r="B1937">
        <v>0.99673306730245903</v>
      </c>
      <c r="C1937">
        <v>0.97723755689203695</v>
      </c>
      <c r="D1937">
        <v>0.84348719540084505</v>
      </c>
      <c r="E1937">
        <v>0.81412485389172096</v>
      </c>
      <c r="F1937">
        <v>0.150053046780422</v>
      </c>
      <c r="G1937">
        <v>0.10458701712242</v>
      </c>
      <c r="H1937">
        <v>6.09159505543053E-2</v>
      </c>
      <c r="I1937">
        <v>5.3611175986608299E-2</v>
      </c>
      <c r="J1937">
        <v>5.4758844293875897E-2</v>
      </c>
      <c r="K1937">
        <v>4.5226860516710599E-2</v>
      </c>
      <c r="L1937">
        <v>2505.3586397315498</v>
      </c>
      <c r="M1937">
        <v>49.185106807852101</v>
      </c>
      <c r="N1937">
        <v>51.071093182924798</v>
      </c>
      <c r="O1937">
        <v>50.8533514957752</v>
      </c>
      <c r="P1937">
        <v>-0.22718809227432299</v>
      </c>
      <c r="Q1937">
        <v>6.0425714743603899E-2</v>
      </c>
      <c r="R1937">
        <v>0.98479210290709596</v>
      </c>
      <c r="S1937" t="s">
        <v>8389</v>
      </c>
      <c r="T1937" t="s">
        <v>12902</v>
      </c>
      <c r="U1937" t="s">
        <v>12902</v>
      </c>
      <c r="V1937" t="s">
        <v>12902</v>
      </c>
      <c r="W1937" t="s">
        <v>14805</v>
      </c>
      <c r="X1937">
        <v>71</v>
      </c>
      <c r="Y1937" t="s">
        <v>21175</v>
      </c>
      <c r="Z1937" t="s">
        <v>27512</v>
      </c>
      <c r="AA1937">
        <v>0.40515588496137561</v>
      </c>
      <c r="AB1937" t="str">
        <f>HYPERLINK("Melting_Curves/meltCurve_P07900_HSP90AA1.pdf", "Melting_Curves/meltCurve_P07900_HSP90AA1.pdf")</f>
        <v>Melting_Curves/meltCurve_P07900_HSP90AA1.pdf</v>
      </c>
    </row>
    <row r="1938" spans="1:28" x14ac:dyDescent="0.25">
      <c r="A1938" t="s">
        <v>1942</v>
      </c>
      <c r="B1938">
        <v>0.99673306730245903</v>
      </c>
      <c r="C1938">
        <v>1.0274787919585799</v>
      </c>
      <c r="D1938">
        <v>1.0163427314872799</v>
      </c>
      <c r="E1938">
        <v>1.0295916928444999</v>
      </c>
      <c r="F1938">
        <v>0.90622837456817495</v>
      </c>
      <c r="G1938">
        <v>0.481665129663776</v>
      </c>
      <c r="H1938">
        <v>0.183129676554112</v>
      </c>
      <c r="I1938">
        <v>0.185145936490447</v>
      </c>
      <c r="J1938">
        <v>0.21942237986490201</v>
      </c>
      <c r="K1938">
        <v>0.215938789774414</v>
      </c>
      <c r="L1938">
        <v>2421.7259617678201</v>
      </c>
      <c r="M1938">
        <v>43.287752414868898</v>
      </c>
      <c r="N1938">
        <v>56.592757325960001</v>
      </c>
      <c r="O1938">
        <v>55.825853229330598</v>
      </c>
      <c r="P1938">
        <v>-0.15597398781220001</v>
      </c>
      <c r="Q1938">
        <v>0.195396973160162</v>
      </c>
      <c r="R1938">
        <v>0.99653182946073104</v>
      </c>
      <c r="S1938" t="s">
        <v>8390</v>
      </c>
      <c r="T1938" t="s">
        <v>12902</v>
      </c>
      <c r="U1938" t="s">
        <v>12902</v>
      </c>
      <c r="V1938" t="s">
        <v>12902</v>
      </c>
      <c r="W1938" t="s">
        <v>14806</v>
      </c>
      <c r="X1938">
        <v>8</v>
      </c>
      <c r="Y1938" t="s">
        <v>21176</v>
      </c>
      <c r="Z1938" t="s">
        <v>27513</v>
      </c>
      <c r="AA1938">
        <v>0.62568331735372884</v>
      </c>
      <c r="AB1938" t="str">
        <f>HYPERLINK("Melting_Curves/meltCurve_P07902_GALT.pdf", "Melting_Curves/meltCurve_P07902_GALT.pdf")</f>
        <v>Melting_Curves/meltCurve_P07902_GALT.pdf</v>
      </c>
    </row>
    <row r="1939" spans="1:28" x14ac:dyDescent="0.25">
      <c r="A1939" t="s">
        <v>1943</v>
      </c>
      <c r="B1939">
        <v>0.99673306730245903</v>
      </c>
      <c r="C1939">
        <v>0.98178552435482602</v>
      </c>
      <c r="D1939">
        <v>0.98187547327815194</v>
      </c>
      <c r="E1939">
        <v>0.80399225139599195</v>
      </c>
      <c r="F1939">
        <v>0.73272995057621404</v>
      </c>
      <c r="G1939">
        <v>0.636564973330492</v>
      </c>
      <c r="H1939">
        <v>0.83782416381631297</v>
      </c>
      <c r="I1939">
        <v>1.32538130206779</v>
      </c>
      <c r="J1939">
        <v>3.2272109818009902</v>
      </c>
      <c r="K1939">
        <v>2.64294250181434</v>
      </c>
      <c r="L1939">
        <v>15000</v>
      </c>
      <c r="M1939">
        <v>234.998053255869</v>
      </c>
      <c r="O1939">
        <v>63.825693224834701</v>
      </c>
      <c r="P1939">
        <v>0.46023404114567101</v>
      </c>
      <c r="Q1939">
        <v>1.5</v>
      </c>
      <c r="R1939">
        <v>0.351702134616524</v>
      </c>
      <c r="S1939" t="s">
        <v>8391</v>
      </c>
      <c r="T1939" t="s">
        <v>12902</v>
      </c>
      <c r="U1939" t="s">
        <v>12902</v>
      </c>
      <c r="V1939" t="s">
        <v>12902</v>
      </c>
      <c r="W1939" t="s">
        <v>14807</v>
      </c>
      <c r="X1939">
        <v>8</v>
      </c>
      <c r="Y1939" t="s">
        <v>21177</v>
      </c>
      <c r="Z1939" t="s">
        <v>27514</v>
      </c>
      <c r="AA1939">
        <v>1.102764674585891</v>
      </c>
      <c r="AB1939" t="str">
        <f>HYPERLINK("Melting_Curves/meltCurve_P07919_UQCRH.pdf", "Melting_Curves/meltCurve_P07919_UQCRH.pdf")</f>
        <v>Melting_Curves/meltCurve_P07919_UQCRH.pdf</v>
      </c>
    </row>
    <row r="1940" spans="1:28" x14ac:dyDescent="0.25">
      <c r="A1940" t="s">
        <v>1944</v>
      </c>
      <c r="B1940">
        <v>0.99673306730245903</v>
      </c>
      <c r="C1940">
        <v>0.94589094256398398</v>
      </c>
      <c r="D1940">
        <v>0.83084670195501598</v>
      </c>
      <c r="E1940">
        <v>0.701058611513667</v>
      </c>
      <c r="F1940">
        <v>0.41194300232130598</v>
      </c>
      <c r="G1940">
        <v>0.16589894920522599</v>
      </c>
      <c r="H1940">
        <v>0.108658456920587</v>
      </c>
      <c r="I1940">
        <v>9.2103955536775098E-2</v>
      </c>
      <c r="J1940">
        <v>0.11365509536933401</v>
      </c>
      <c r="K1940">
        <v>9.1865534018499298E-2</v>
      </c>
      <c r="L1940">
        <v>879.80083933458695</v>
      </c>
      <c r="M1940">
        <v>17.1713228268138</v>
      </c>
      <c r="N1940">
        <v>51.678381527648497</v>
      </c>
      <c r="O1940">
        <v>50.556877495160599</v>
      </c>
      <c r="P1940">
        <v>-7.9119822383977301E-2</v>
      </c>
      <c r="Q1940">
        <v>6.8257330269374306E-2</v>
      </c>
      <c r="R1940">
        <v>0.99312945243241502</v>
      </c>
      <c r="S1940" t="s">
        <v>8392</v>
      </c>
      <c r="T1940" t="s">
        <v>12902</v>
      </c>
      <c r="U1940" t="s">
        <v>12902</v>
      </c>
      <c r="V1940" t="s">
        <v>12902</v>
      </c>
      <c r="W1940" t="s">
        <v>14808</v>
      </c>
      <c r="X1940">
        <v>14</v>
      </c>
      <c r="Y1940" t="s">
        <v>21178</v>
      </c>
      <c r="Z1940" t="s">
        <v>27515</v>
      </c>
      <c r="AA1940">
        <v>0.43425762163143738</v>
      </c>
      <c r="AB1940" t="str">
        <f>HYPERLINK("Melting_Curves/meltCurve_P07948_2_LYN.pdf", "Melting_Curves/meltCurve_P07948_2_LYN.pdf")</f>
        <v>Melting_Curves/meltCurve_P07948_2_LYN.pdf</v>
      </c>
    </row>
    <row r="1941" spans="1:28" x14ac:dyDescent="0.25">
      <c r="A1941" t="s">
        <v>1945</v>
      </c>
      <c r="B1941">
        <v>0.99673306730245903</v>
      </c>
      <c r="C1941">
        <v>0.98783299492389998</v>
      </c>
      <c r="D1941">
        <v>0.98977211360588802</v>
      </c>
      <c r="E1941">
        <v>0.98205307377306905</v>
      </c>
      <c r="F1941">
        <v>0.98740488711292895</v>
      </c>
      <c r="G1941">
        <v>0.85550266744873804</v>
      </c>
      <c r="H1941">
        <v>0.84269743960861399</v>
      </c>
      <c r="I1941">
        <v>1.1943548816956899</v>
      </c>
      <c r="J1941">
        <v>1.7979898986554399</v>
      </c>
      <c r="K1941">
        <v>1.7106684979773199</v>
      </c>
      <c r="L1941">
        <v>15000</v>
      </c>
      <c r="M1941">
        <v>233.92257466493399</v>
      </c>
      <c r="O1941">
        <v>64.119110686848799</v>
      </c>
      <c r="P1941">
        <v>0.45603142326554003</v>
      </c>
      <c r="Q1941">
        <v>1.5</v>
      </c>
      <c r="R1941">
        <v>0.82818771079711195</v>
      </c>
      <c r="S1941" t="s">
        <v>8393</v>
      </c>
      <c r="T1941" t="s">
        <v>12902</v>
      </c>
      <c r="U1941" t="s">
        <v>12902</v>
      </c>
      <c r="V1941" t="s">
        <v>12902</v>
      </c>
      <c r="W1941" t="s">
        <v>14809</v>
      </c>
      <c r="X1941">
        <v>28</v>
      </c>
      <c r="Y1941" t="s">
        <v>21179</v>
      </c>
      <c r="Z1941" t="s">
        <v>27516</v>
      </c>
      <c r="AA1941">
        <v>1.097872709180576</v>
      </c>
      <c r="AB1941" t="str">
        <f>HYPERLINK("Melting_Curves/meltCurve_P07951_TPM2.pdf", "Melting_Curves/meltCurve_P07951_TPM2.pdf")</f>
        <v>Melting_Curves/meltCurve_P07951_TPM2.pdf</v>
      </c>
    </row>
    <row r="1942" spans="1:28" x14ac:dyDescent="0.25">
      <c r="A1942" t="s">
        <v>1946</v>
      </c>
      <c r="B1942">
        <v>0.99673306730245903</v>
      </c>
      <c r="C1942">
        <v>0.71985507812460903</v>
      </c>
      <c r="D1942">
        <v>1.2122526910364699</v>
      </c>
      <c r="E1942">
        <v>1.3444413840528999</v>
      </c>
      <c r="F1942">
        <v>0.53223272324424098</v>
      </c>
      <c r="G1942">
        <v>0.13103356431857399</v>
      </c>
      <c r="H1942">
        <v>5.91130065680536E-2</v>
      </c>
      <c r="I1942">
        <v>4.8079745589303502E-2</v>
      </c>
      <c r="J1942">
        <v>5.4823114172842601E-2</v>
      </c>
      <c r="K1942">
        <v>4.5410866705202002E-2</v>
      </c>
      <c r="L1942">
        <v>10715.4463417401</v>
      </c>
      <c r="M1942">
        <v>201.425078935371</v>
      </c>
      <c r="N1942">
        <v>53.236609495466702</v>
      </c>
      <c r="O1942">
        <v>53.192931957949199</v>
      </c>
      <c r="P1942">
        <v>-0.88259067633638</v>
      </c>
      <c r="Q1942">
        <v>6.7691392432707803E-2</v>
      </c>
      <c r="R1942">
        <v>0.89922010079798897</v>
      </c>
      <c r="S1942" t="s">
        <v>8394</v>
      </c>
      <c r="T1942" t="s">
        <v>12902</v>
      </c>
      <c r="U1942" t="s">
        <v>12902</v>
      </c>
      <c r="V1942" t="s">
        <v>12902</v>
      </c>
      <c r="W1942" t="s">
        <v>14810</v>
      </c>
      <c r="X1942">
        <v>30</v>
      </c>
      <c r="Y1942" t="s">
        <v>21180</v>
      </c>
      <c r="Z1942" t="s">
        <v>27517</v>
      </c>
      <c r="AA1942">
        <v>0.47798452647964002</v>
      </c>
      <c r="AB1942" t="str">
        <f>HYPERLINK("Melting_Curves/meltCurve_P07954_2_FH.pdf", "Melting_Curves/meltCurve_P07954_2_FH.pdf")</f>
        <v>Melting_Curves/meltCurve_P07954_2_FH.pdf</v>
      </c>
    </row>
    <row r="1943" spans="1:28" x14ac:dyDescent="0.25">
      <c r="A1943" t="s">
        <v>1947</v>
      </c>
      <c r="B1943">
        <v>0.99673306730245903</v>
      </c>
      <c r="C1943">
        <v>0.94252570577126005</v>
      </c>
      <c r="D1943">
        <v>0.83784168397703596</v>
      </c>
      <c r="E1943">
        <v>0.69926721896674704</v>
      </c>
      <c r="F1943">
        <v>0.41590447238526601</v>
      </c>
      <c r="G1943">
        <v>0.28874126807315997</v>
      </c>
      <c r="H1943">
        <v>0.220251749945202</v>
      </c>
      <c r="I1943">
        <v>0.24929485173318899</v>
      </c>
      <c r="J1943">
        <v>0.28257530857103103</v>
      </c>
      <c r="K1943">
        <v>0.19732976030153099</v>
      </c>
      <c r="L1943">
        <v>889.31972208262403</v>
      </c>
      <c r="M1943">
        <v>17.6958856995067</v>
      </c>
      <c r="N1943">
        <v>51.929815184133801</v>
      </c>
      <c r="O1943">
        <v>49.627099598132297</v>
      </c>
      <c r="P1943">
        <v>-6.9770636096685199E-2</v>
      </c>
      <c r="Q1943">
        <v>0.21736987097233901</v>
      </c>
      <c r="R1943">
        <v>0.98993341398108703</v>
      </c>
      <c r="S1943" t="s">
        <v>8395</v>
      </c>
      <c r="T1943" t="s">
        <v>12902</v>
      </c>
      <c r="U1943" t="s">
        <v>12902</v>
      </c>
      <c r="V1943" t="s">
        <v>12902</v>
      </c>
      <c r="W1943" t="s">
        <v>14811</v>
      </c>
      <c r="X1943">
        <v>6</v>
      </c>
      <c r="Y1943" t="s">
        <v>21181</v>
      </c>
      <c r="Z1943" t="s">
        <v>27518</v>
      </c>
      <c r="AA1943">
        <v>0.49865206042769422</v>
      </c>
      <c r="AB1943" t="str">
        <f>HYPERLINK("Melting_Curves/meltCurve_P08034_GJB1.pdf", "Melting_Curves/meltCurve_P08034_GJB1.pdf")</f>
        <v>Melting_Curves/meltCurve_P08034_GJB1.pdf</v>
      </c>
    </row>
    <row r="1944" spans="1:28" x14ac:dyDescent="0.25">
      <c r="A1944" t="s">
        <v>1948</v>
      </c>
      <c r="B1944">
        <v>0.99673306730245903</v>
      </c>
      <c r="C1944">
        <v>0.84938157230419697</v>
      </c>
      <c r="D1944">
        <v>0.78169943031270495</v>
      </c>
      <c r="E1944">
        <v>0.41366152878969598</v>
      </c>
      <c r="F1944">
        <v>0.21437792546138501</v>
      </c>
      <c r="G1944">
        <v>0.140176047797447</v>
      </c>
      <c r="H1944">
        <v>0.11895870777155799</v>
      </c>
      <c r="I1944">
        <v>0.13768888655866601</v>
      </c>
      <c r="J1944">
        <v>0.19987862832810199</v>
      </c>
      <c r="K1944">
        <v>0.20338093499498</v>
      </c>
      <c r="L1944">
        <v>1046.7910219775299</v>
      </c>
      <c r="M1944">
        <v>21.922402153428798</v>
      </c>
      <c r="N1944">
        <v>48.5451677785356</v>
      </c>
      <c r="O1944">
        <v>47.357833263624997</v>
      </c>
      <c r="P1944">
        <v>-9.8269805861636403E-2</v>
      </c>
      <c r="Q1944">
        <v>0.15087047817974</v>
      </c>
      <c r="R1944">
        <v>0.98337901423392005</v>
      </c>
      <c r="S1944" t="s">
        <v>8396</v>
      </c>
      <c r="T1944" t="s">
        <v>12902</v>
      </c>
      <c r="U1944" t="s">
        <v>12902</v>
      </c>
      <c r="V1944" t="s">
        <v>12902</v>
      </c>
      <c r="W1944" t="s">
        <v>14812</v>
      </c>
      <c r="X1944">
        <v>8</v>
      </c>
      <c r="Y1944" t="s">
        <v>21182</v>
      </c>
      <c r="Z1944" t="s">
        <v>27519</v>
      </c>
      <c r="AA1944">
        <v>0.38018768794726632</v>
      </c>
      <c r="AB1944" t="str">
        <f>HYPERLINK("Melting_Curves/meltCurve_P08047_SP1.pdf", "Melting_Curves/meltCurve_P08047_SP1.pdf")</f>
        <v>Melting_Curves/meltCurve_P08047_SP1.pdf</v>
      </c>
    </row>
    <row r="1945" spans="1:28" x14ac:dyDescent="0.25">
      <c r="A1945" t="s">
        <v>1949</v>
      </c>
      <c r="B1945">
        <v>0.99673306730245903</v>
      </c>
      <c r="C1945">
        <v>0.95391812598723802</v>
      </c>
      <c r="D1945">
        <v>0.94897995516963596</v>
      </c>
      <c r="E1945">
        <v>0.89159335732162903</v>
      </c>
      <c r="F1945">
        <v>0.78765594930971805</v>
      </c>
      <c r="G1945">
        <v>0.55155880790182199</v>
      </c>
      <c r="H1945">
        <v>0.18542870415931401</v>
      </c>
      <c r="I1945">
        <v>7.8300405978601606E-2</v>
      </c>
      <c r="J1945">
        <v>7.2483732240179899E-2</v>
      </c>
      <c r="K1945">
        <v>6.3923259555532103E-2</v>
      </c>
      <c r="L1945">
        <v>1103.80421214991</v>
      </c>
      <c r="M1945">
        <v>19.441951360981701</v>
      </c>
      <c r="N1945">
        <v>56.842902024229197</v>
      </c>
      <c r="O1945">
        <v>56.183931094206798</v>
      </c>
      <c r="P1945">
        <v>-8.5511034997439506E-2</v>
      </c>
      <c r="Q1945">
        <v>1.15865452935216E-2</v>
      </c>
      <c r="R1945">
        <v>0.99189564040366895</v>
      </c>
      <c r="S1945" t="s">
        <v>8397</v>
      </c>
      <c r="T1945" t="s">
        <v>12902</v>
      </c>
      <c r="U1945" t="s">
        <v>12902</v>
      </c>
      <c r="V1945" t="s">
        <v>12902</v>
      </c>
      <c r="W1945" t="s">
        <v>14813</v>
      </c>
      <c r="X1945">
        <v>51</v>
      </c>
      <c r="Y1945" t="s">
        <v>21183</v>
      </c>
      <c r="Z1945" t="s">
        <v>27520</v>
      </c>
      <c r="AA1945">
        <v>0.57694069155225103</v>
      </c>
      <c r="AB1945" t="str">
        <f>HYPERLINK("Melting_Curves/meltCurve_P08107_HSPA1A.pdf", "Melting_Curves/meltCurve_P08107_HSPA1A.pdf")</f>
        <v>Melting_Curves/meltCurve_P08107_HSPA1A.pdf</v>
      </c>
    </row>
    <row r="1946" spans="1:28" x14ac:dyDescent="0.25">
      <c r="A1946" t="s">
        <v>1950</v>
      </c>
      <c r="B1946">
        <v>0.99673306730245903</v>
      </c>
      <c r="C1946">
        <v>0.97064830244705802</v>
      </c>
      <c r="D1946">
        <v>1.02872120544013</v>
      </c>
      <c r="E1946">
        <v>1.19163615875461</v>
      </c>
      <c r="F1946">
        <v>1.4344635570126001</v>
      </c>
      <c r="G1946">
        <v>1.3368184983375599</v>
      </c>
      <c r="H1946">
        <v>1.22132282867968</v>
      </c>
      <c r="I1946">
        <v>1.4151109561911701</v>
      </c>
      <c r="J1946">
        <v>1.15645839666853</v>
      </c>
      <c r="K1946">
        <v>0.34383794524454497</v>
      </c>
      <c r="L1946">
        <v>15000</v>
      </c>
      <c r="M1946">
        <v>214.93139412983501</v>
      </c>
      <c r="N1946">
        <v>69.789735715022303</v>
      </c>
      <c r="O1946">
        <v>69.783669492106199</v>
      </c>
      <c r="P1946">
        <v>-0.76999173445258295</v>
      </c>
      <c r="Q1946">
        <v>0</v>
      </c>
      <c r="R1946">
        <v>0.34611308888992298</v>
      </c>
      <c r="S1946" t="s">
        <v>8398</v>
      </c>
      <c r="T1946" t="s">
        <v>12902</v>
      </c>
      <c r="U1946" t="s">
        <v>12902</v>
      </c>
      <c r="V1946" t="s">
        <v>12902</v>
      </c>
      <c r="W1946" t="s">
        <v>14814</v>
      </c>
      <c r="X1946">
        <v>36</v>
      </c>
      <c r="Y1946" t="s">
        <v>21184</v>
      </c>
      <c r="Z1946" t="s">
        <v>27521</v>
      </c>
      <c r="AA1946">
        <v>0.98851772907984781</v>
      </c>
      <c r="AB1946" t="str">
        <f>HYPERLINK("Melting_Curves/meltCurve_P08237_PFKM.pdf", "Melting_Curves/meltCurve_P08237_PFKM.pdf")</f>
        <v>Melting_Curves/meltCurve_P08237_PFKM.pdf</v>
      </c>
    </row>
    <row r="1947" spans="1:28" x14ac:dyDescent="0.25">
      <c r="A1947" t="s">
        <v>1951</v>
      </c>
      <c r="B1947">
        <v>0.99673306730245903</v>
      </c>
      <c r="C1947">
        <v>0.97909814860302002</v>
      </c>
      <c r="D1947">
        <v>0.78964211852501798</v>
      </c>
      <c r="E1947">
        <v>0.78289711309211896</v>
      </c>
      <c r="F1947">
        <v>0.160647211827429</v>
      </c>
      <c r="G1947">
        <v>0.10520148673820499</v>
      </c>
      <c r="H1947">
        <v>5.84801471009809E-2</v>
      </c>
      <c r="I1947">
        <v>5.2177768414128703E-2</v>
      </c>
      <c r="J1947">
        <v>5.5256804367530103E-2</v>
      </c>
      <c r="K1947">
        <v>4.5456815993825603E-2</v>
      </c>
      <c r="L1947">
        <v>2035.8549825683001</v>
      </c>
      <c r="M1947">
        <v>40.025995950157601</v>
      </c>
      <c r="N1947">
        <v>51.013223036788503</v>
      </c>
      <c r="O1947">
        <v>50.736869868967197</v>
      </c>
      <c r="P1947">
        <v>-0.18628147040295101</v>
      </c>
      <c r="Q1947">
        <v>5.5482266489063098E-2</v>
      </c>
      <c r="R1947">
        <v>0.97352180976167602</v>
      </c>
      <c r="S1947" t="s">
        <v>8399</v>
      </c>
      <c r="T1947" t="s">
        <v>12902</v>
      </c>
      <c r="U1947" t="s">
        <v>12902</v>
      </c>
      <c r="V1947" t="s">
        <v>12902</v>
      </c>
      <c r="W1947" t="s">
        <v>14815</v>
      </c>
      <c r="X1947">
        <v>84</v>
      </c>
      <c r="Y1947" t="s">
        <v>21185</v>
      </c>
      <c r="Z1947" t="s">
        <v>27522</v>
      </c>
      <c r="AA1947">
        <v>0.40081853479805368</v>
      </c>
      <c r="AB1947" t="str">
        <f>HYPERLINK("Melting_Curves/meltCurve_P08238_HSP90AB1.pdf", "Melting_Curves/meltCurve_P08238_HSP90AB1.pdf")</f>
        <v>Melting_Curves/meltCurve_P08238_HSP90AB1.pdf</v>
      </c>
    </row>
    <row r="1948" spans="1:28" x14ac:dyDescent="0.25">
      <c r="A1948" t="s">
        <v>1952</v>
      </c>
      <c r="B1948">
        <v>0.99673306730245903</v>
      </c>
      <c r="C1948">
        <v>0.94895741665506494</v>
      </c>
      <c r="D1948">
        <v>0.88299990033379305</v>
      </c>
      <c r="E1948">
        <v>0.62195283303082205</v>
      </c>
      <c r="F1948">
        <v>0.17813274005364599</v>
      </c>
      <c r="G1948">
        <v>0.11254642522679099</v>
      </c>
      <c r="H1948">
        <v>6.5050673599815798E-2</v>
      </c>
      <c r="I1948">
        <v>5.36078992995392E-2</v>
      </c>
      <c r="J1948">
        <v>4.7172188205468903E-2</v>
      </c>
      <c r="K1948">
        <v>3.9628368962734799E-2</v>
      </c>
      <c r="L1948">
        <v>1305.20972117972</v>
      </c>
      <c r="M1948">
        <v>26.041776346933599</v>
      </c>
      <c r="N1948">
        <v>50.311684514697603</v>
      </c>
      <c r="O1948">
        <v>49.8270973268462</v>
      </c>
      <c r="P1948">
        <v>-0.124486563953525</v>
      </c>
      <c r="Q1948">
        <v>4.7264152764192602E-2</v>
      </c>
      <c r="R1948">
        <v>0.99604429161880503</v>
      </c>
      <c r="S1948" t="s">
        <v>8400</v>
      </c>
      <c r="T1948" t="s">
        <v>12902</v>
      </c>
      <c r="U1948" t="s">
        <v>12902</v>
      </c>
      <c r="V1948" t="s">
        <v>12902</v>
      </c>
      <c r="W1948" t="s">
        <v>14816</v>
      </c>
      <c r="X1948">
        <v>35</v>
      </c>
      <c r="Y1948" t="s">
        <v>21186</v>
      </c>
      <c r="Z1948" t="s">
        <v>27523</v>
      </c>
      <c r="AA1948">
        <v>0.37650328799012378</v>
      </c>
      <c r="AB1948" t="str">
        <f>HYPERLINK("Melting_Curves/meltCurve_P08240_SRPR.pdf", "Melting_Curves/meltCurve_P08240_SRPR.pdf")</f>
        <v>Melting_Curves/meltCurve_P08240_SRPR.pdf</v>
      </c>
    </row>
    <row r="1949" spans="1:28" x14ac:dyDescent="0.25">
      <c r="A1949" t="s">
        <v>1953</v>
      </c>
      <c r="B1949">
        <v>0.99673306730245903</v>
      </c>
      <c r="C1949">
        <v>0.98035629452093498</v>
      </c>
      <c r="D1949">
        <v>0.99429508824909396</v>
      </c>
      <c r="E1949">
        <v>1.02770957649105</v>
      </c>
      <c r="F1949">
        <v>0.67181112116223596</v>
      </c>
      <c r="G1949">
        <v>0.18014683146421201</v>
      </c>
      <c r="H1949">
        <v>9.0705651712243707E-2</v>
      </c>
      <c r="I1949">
        <v>7.2702580449078402E-2</v>
      </c>
      <c r="J1949">
        <v>8.2489171674108894E-2</v>
      </c>
      <c r="K1949">
        <v>7.7363973254225296E-2</v>
      </c>
      <c r="L1949">
        <v>2412.3736295853901</v>
      </c>
      <c r="M1949">
        <v>44.7187725727483</v>
      </c>
      <c r="N1949">
        <v>54.159882266842899</v>
      </c>
      <c r="O1949">
        <v>53.8379036574376</v>
      </c>
      <c r="P1949">
        <v>-0.19080777124781201</v>
      </c>
      <c r="Q1949">
        <v>8.1130940591806699E-2</v>
      </c>
      <c r="R1949">
        <v>0.99846475016122405</v>
      </c>
      <c r="S1949" t="s">
        <v>8401</v>
      </c>
      <c r="T1949" t="s">
        <v>12902</v>
      </c>
      <c r="U1949" t="s">
        <v>12902</v>
      </c>
      <c r="V1949" t="s">
        <v>12902</v>
      </c>
      <c r="W1949" t="s">
        <v>14817</v>
      </c>
      <c r="X1949">
        <v>39</v>
      </c>
      <c r="Y1949" t="s">
        <v>21187</v>
      </c>
      <c r="Z1949" t="s">
        <v>27524</v>
      </c>
      <c r="AA1949">
        <v>0.51100021464681178</v>
      </c>
      <c r="AB1949" t="str">
        <f>HYPERLINK("Melting_Curves/meltCurve_P08243_2_ASNS.pdf", "Melting_Curves/meltCurve_P08243_2_ASNS.pdf")</f>
        <v>Melting_Curves/meltCurve_P08243_2_ASNS.pdf</v>
      </c>
    </row>
    <row r="1950" spans="1:28" x14ac:dyDescent="0.25">
      <c r="A1950" t="s">
        <v>1954</v>
      </c>
      <c r="B1950">
        <v>0.99673306730245903</v>
      </c>
      <c r="C1950">
        <v>0.96376351712543096</v>
      </c>
      <c r="D1950">
        <v>1.0079627749662701</v>
      </c>
      <c r="E1950">
        <v>1.08022516742365</v>
      </c>
      <c r="F1950">
        <v>1.0676732018550601</v>
      </c>
      <c r="G1950">
        <v>1.1811068847102799</v>
      </c>
      <c r="H1950">
        <v>0.78971786104142006</v>
      </c>
      <c r="I1950">
        <v>0.91633478559902704</v>
      </c>
      <c r="J1950">
        <v>0.73194642964108703</v>
      </c>
      <c r="K1950">
        <v>0.356959344415822</v>
      </c>
      <c r="L1950">
        <v>2067.8034768580301</v>
      </c>
      <c r="M1950">
        <v>30.013251984151999</v>
      </c>
      <c r="N1950">
        <v>68.896361538650496</v>
      </c>
      <c r="O1950">
        <v>68.592651737648794</v>
      </c>
      <c r="P1950">
        <v>-0.109390159102864</v>
      </c>
      <c r="Q1950">
        <v>0</v>
      </c>
      <c r="R1950">
        <v>0.82925582712055301</v>
      </c>
      <c r="S1950" t="s">
        <v>8402</v>
      </c>
      <c r="T1950" t="s">
        <v>12902</v>
      </c>
      <c r="U1950" t="s">
        <v>12902</v>
      </c>
      <c r="V1950" t="s">
        <v>12902</v>
      </c>
      <c r="W1950" t="s">
        <v>14818</v>
      </c>
      <c r="X1950">
        <v>2</v>
      </c>
      <c r="Y1950" t="s">
        <v>21188</v>
      </c>
      <c r="Z1950" t="s">
        <v>27525</v>
      </c>
      <c r="AA1950">
        <v>0.93018976557382771</v>
      </c>
      <c r="AB1950" t="str">
        <f>HYPERLINK("Melting_Curves/meltCurve_P08294_SOD3.pdf", "Melting_Curves/meltCurve_P08294_SOD3.pdf")</f>
        <v>Melting_Curves/meltCurve_P08294_SOD3.pdf</v>
      </c>
    </row>
    <row r="1951" spans="1:28" x14ac:dyDescent="0.25">
      <c r="A1951" t="s">
        <v>1955</v>
      </c>
      <c r="B1951">
        <v>0.99673306730245903</v>
      </c>
      <c r="C1951">
        <v>0.97287127822921404</v>
      </c>
      <c r="D1951">
        <v>1.0060377976462</v>
      </c>
      <c r="E1951">
        <v>0.915241094080819</v>
      </c>
      <c r="F1951">
        <v>0.87226671529296995</v>
      </c>
      <c r="G1951">
        <v>0.78939245712413797</v>
      </c>
      <c r="H1951">
        <v>0.668998824026105</v>
      </c>
      <c r="I1951">
        <v>0.96078793820873098</v>
      </c>
      <c r="J1951">
        <v>1.10351835354155</v>
      </c>
      <c r="K1951">
        <v>0.91341028164092597</v>
      </c>
      <c r="L1951">
        <v>12349.3242419534</v>
      </c>
      <c r="M1951">
        <v>250</v>
      </c>
      <c r="O1951">
        <v>49.39415512043</v>
      </c>
      <c r="P1951">
        <v>-0.145856016770709</v>
      </c>
      <c r="Q1951">
        <v>0.88472908930807503</v>
      </c>
      <c r="R1951">
        <v>0.170283675727113</v>
      </c>
      <c r="S1951" t="s">
        <v>8403</v>
      </c>
      <c r="T1951" t="s">
        <v>12902</v>
      </c>
      <c r="U1951" t="s">
        <v>12902</v>
      </c>
      <c r="V1951" t="s">
        <v>12902</v>
      </c>
      <c r="W1951" t="s">
        <v>14819</v>
      </c>
      <c r="X1951">
        <v>18</v>
      </c>
      <c r="Y1951" t="s">
        <v>21189</v>
      </c>
      <c r="Z1951" t="s">
        <v>27526</v>
      </c>
      <c r="AA1951">
        <v>0.92084691496551996</v>
      </c>
      <c r="AB1951" t="str">
        <f>HYPERLINK("Melting_Curves/meltCurve_P08397_2_HMBS.pdf", "Melting_Curves/meltCurve_P08397_2_HMBS.pdf")</f>
        <v>Melting_Curves/meltCurve_P08397_2_HMBS.pdf</v>
      </c>
    </row>
    <row r="1952" spans="1:28" x14ac:dyDescent="0.25">
      <c r="A1952" t="s">
        <v>1956</v>
      </c>
      <c r="B1952">
        <v>0.99673306730245903</v>
      </c>
      <c r="C1952">
        <v>0.98826232736086395</v>
      </c>
      <c r="D1952">
        <v>0.926327440892591</v>
      </c>
      <c r="E1952">
        <v>0.86772696213345402</v>
      </c>
      <c r="F1952">
        <v>0.72839751609789005</v>
      </c>
      <c r="G1952">
        <v>0.59475542010098603</v>
      </c>
      <c r="H1952">
        <v>0.44700769240016103</v>
      </c>
      <c r="I1952">
        <v>0.27433369052607598</v>
      </c>
      <c r="J1952">
        <v>0.20661827344814701</v>
      </c>
      <c r="K1952">
        <v>0.153617515022825</v>
      </c>
      <c r="L1952">
        <v>605.490572058662</v>
      </c>
      <c r="M1952">
        <v>10.316433172039501</v>
      </c>
      <c r="N1952">
        <v>58.691845138752399</v>
      </c>
      <c r="O1952">
        <v>56.614905423014598</v>
      </c>
      <c r="P1952">
        <v>-4.5574954571535799E-2</v>
      </c>
      <c r="Q1952">
        <v>0</v>
      </c>
      <c r="R1952">
        <v>0.99720846649480299</v>
      </c>
      <c r="S1952" t="s">
        <v>8404</v>
      </c>
      <c r="T1952" t="s">
        <v>12902</v>
      </c>
      <c r="U1952" t="s">
        <v>12902</v>
      </c>
      <c r="V1952" t="s">
        <v>12902</v>
      </c>
      <c r="W1952" t="s">
        <v>14820</v>
      </c>
      <c r="X1952">
        <v>23</v>
      </c>
      <c r="Y1952" t="s">
        <v>21190</v>
      </c>
      <c r="Z1952" t="s">
        <v>27527</v>
      </c>
      <c r="AA1952">
        <v>0.62935430821277238</v>
      </c>
      <c r="AB1952" t="str">
        <f>HYPERLINK("Melting_Curves/meltCurve_P08473_MME.pdf", "Melting_Curves/meltCurve_P08473_MME.pdf")</f>
        <v>Melting_Curves/meltCurve_P08473_MME.pdf</v>
      </c>
    </row>
    <row r="1953" spans="1:28" x14ac:dyDescent="0.25">
      <c r="A1953" t="s">
        <v>1957</v>
      </c>
      <c r="B1953">
        <v>0.99673306730245903</v>
      </c>
      <c r="C1953">
        <v>1.0594866325801899</v>
      </c>
      <c r="D1953">
        <v>0.90731920446463499</v>
      </c>
      <c r="E1953">
        <v>0.95045805000513495</v>
      </c>
      <c r="F1953">
        <v>0.214602424153673</v>
      </c>
      <c r="G1953">
        <v>0.14004822024962699</v>
      </c>
      <c r="H1953">
        <v>8.8673923563484705E-2</v>
      </c>
      <c r="I1953">
        <v>8.0766856605713797E-2</v>
      </c>
      <c r="J1953">
        <v>8.8091717984857404E-2</v>
      </c>
      <c r="K1953">
        <v>8.0069158391312303E-2</v>
      </c>
      <c r="L1953">
        <v>3407.6724655767798</v>
      </c>
      <c r="M1953">
        <v>65.913334295402095</v>
      </c>
      <c r="N1953">
        <v>51.8644500342876</v>
      </c>
      <c r="O1953">
        <v>51.651751386640903</v>
      </c>
      <c r="P1953">
        <v>-0.28882297855594302</v>
      </c>
      <c r="Q1953">
        <v>9.4677170988866299E-2</v>
      </c>
      <c r="R1953">
        <v>0.992046895855213</v>
      </c>
      <c r="S1953" t="s">
        <v>8405</v>
      </c>
      <c r="T1953" t="s">
        <v>12902</v>
      </c>
      <c r="U1953" t="s">
        <v>12902</v>
      </c>
      <c r="V1953" t="s">
        <v>12902</v>
      </c>
      <c r="W1953" t="s">
        <v>14821</v>
      </c>
      <c r="X1953">
        <v>25</v>
      </c>
      <c r="Y1953" t="s">
        <v>21191</v>
      </c>
      <c r="Z1953" t="s">
        <v>27528</v>
      </c>
      <c r="AA1953">
        <v>0.44891678184028078</v>
      </c>
      <c r="AB1953" t="str">
        <f>HYPERLINK("Melting_Curves/meltCurve_P08559_PDHA1.pdf", "Melting_Curves/meltCurve_P08559_PDHA1.pdf")</f>
        <v>Melting_Curves/meltCurve_P08559_PDHA1.pdf</v>
      </c>
    </row>
    <row r="1954" spans="1:28" x14ac:dyDescent="0.25">
      <c r="A1954" t="s">
        <v>1958</v>
      </c>
      <c r="B1954">
        <v>0.99673306730245903</v>
      </c>
      <c r="C1954">
        <v>0.96127642303537497</v>
      </c>
      <c r="D1954">
        <v>0.880288678781176</v>
      </c>
      <c r="E1954">
        <v>0.88183082461655404</v>
      </c>
      <c r="F1954">
        <v>0.64089285947349806</v>
      </c>
      <c r="G1954">
        <v>0.561426874996932</v>
      </c>
      <c r="H1954">
        <v>0.37699520344882897</v>
      </c>
      <c r="I1954">
        <v>0.16297851676936001</v>
      </c>
      <c r="J1954">
        <v>0.10799502547999899</v>
      </c>
      <c r="K1954">
        <v>8.6248439031491805E-2</v>
      </c>
      <c r="L1954">
        <v>669.42411958323305</v>
      </c>
      <c r="M1954">
        <v>11.757463493813001</v>
      </c>
      <c r="N1954">
        <v>56.936099672303001</v>
      </c>
      <c r="O1954">
        <v>55.363900521433401</v>
      </c>
      <c r="P1954">
        <v>-5.3105589838906099E-2</v>
      </c>
      <c r="Q1954">
        <v>0</v>
      </c>
      <c r="R1954">
        <v>0.98449750468637098</v>
      </c>
      <c r="S1954" t="s">
        <v>8406</v>
      </c>
      <c r="T1954" t="s">
        <v>12902</v>
      </c>
      <c r="U1954" t="s">
        <v>12902</v>
      </c>
      <c r="V1954" t="s">
        <v>12902</v>
      </c>
      <c r="W1954" t="s">
        <v>14822</v>
      </c>
      <c r="X1954">
        <v>8</v>
      </c>
      <c r="Y1954" t="s">
        <v>21192</v>
      </c>
      <c r="Z1954" t="s">
        <v>27529</v>
      </c>
      <c r="AA1954">
        <v>0.58159834503522001</v>
      </c>
      <c r="AB1954" t="str">
        <f>HYPERLINK("Melting_Curves/meltCurve_P08574_CYC1.pdf", "Melting_Curves/meltCurve_P08574_CYC1.pdf")</f>
        <v>Melting_Curves/meltCurve_P08574_CYC1.pdf</v>
      </c>
    </row>
    <row r="1955" spans="1:28" x14ac:dyDescent="0.25">
      <c r="A1955" t="s">
        <v>1959</v>
      </c>
      <c r="B1955">
        <v>0.99673306730245903</v>
      </c>
      <c r="C1955">
        <v>0.93680640375185698</v>
      </c>
      <c r="D1955">
        <v>1.0648358538946401</v>
      </c>
      <c r="E1955">
        <v>1.23314822165755</v>
      </c>
      <c r="F1955">
        <v>0.91292307715380705</v>
      </c>
      <c r="G1955">
        <v>0.66253968809310004</v>
      </c>
      <c r="H1955">
        <v>0.27731310599623799</v>
      </c>
      <c r="I1955">
        <v>0.21470438441610401</v>
      </c>
      <c r="J1955">
        <v>0.21225604061386699</v>
      </c>
      <c r="K1955">
        <v>0.20965537480684801</v>
      </c>
      <c r="L1955">
        <v>2140.06243555943</v>
      </c>
      <c r="M1955">
        <v>37.415593466419899</v>
      </c>
      <c r="N1955">
        <v>58.015036397900801</v>
      </c>
      <c r="O1955">
        <v>57.034417877124604</v>
      </c>
      <c r="P1955">
        <v>-0.130389436911759</v>
      </c>
      <c r="Q1955">
        <v>0.204966174977879</v>
      </c>
      <c r="R1955">
        <v>0.955990726801206</v>
      </c>
      <c r="S1955" t="s">
        <v>8407</v>
      </c>
      <c r="T1955" t="s">
        <v>12902</v>
      </c>
      <c r="U1955" t="s">
        <v>12902</v>
      </c>
      <c r="V1955" t="s">
        <v>12902</v>
      </c>
      <c r="W1955" t="s">
        <v>14823</v>
      </c>
      <c r="X1955">
        <v>8</v>
      </c>
      <c r="Y1955" t="s">
        <v>21193</v>
      </c>
      <c r="Z1955" t="s">
        <v>27530</v>
      </c>
      <c r="AA1955">
        <v>0.66423672534082301</v>
      </c>
      <c r="AB1955" t="str">
        <f>HYPERLINK("Melting_Curves/meltCurve_P08579_SNRPB2.pdf", "Melting_Curves/meltCurve_P08579_SNRPB2.pdf")</f>
        <v>Melting_Curves/meltCurve_P08579_SNRPB2.pdf</v>
      </c>
    </row>
    <row r="1956" spans="1:28" x14ac:dyDescent="0.25">
      <c r="A1956" t="s">
        <v>1960</v>
      </c>
      <c r="B1956">
        <v>0.99673306730245903</v>
      </c>
      <c r="C1956">
        <v>0.88023949201862794</v>
      </c>
      <c r="D1956">
        <v>0.94551653222446297</v>
      </c>
      <c r="E1956">
        <v>1.00577580519764</v>
      </c>
      <c r="F1956">
        <v>0.44935625151910102</v>
      </c>
      <c r="G1956">
        <v>0.24246521095919099</v>
      </c>
      <c r="H1956">
        <v>0.15731283521009501</v>
      </c>
      <c r="I1956">
        <v>0.16145467844812</v>
      </c>
      <c r="J1956">
        <v>0.27069913557124298</v>
      </c>
      <c r="K1956">
        <v>0.323179692411865</v>
      </c>
      <c r="L1956">
        <v>7607.9966103253</v>
      </c>
      <c r="M1956">
        <v>143.932451078133</v>
      </c>
      <c r="N1956">
        <v>53.086737958545598</v>
      </c>
      <c r="O1956">
        <v>52.847903605688998</v>
      </c>
      <c r="P1956">
        <v>-0.52358730164127398</v>
      </c>
      <c r="Q1956">
        <v>0.231014548438497</v>
      </c>
      <c r="R1956">
        <v>0.96878216303318698</v>
      </c>
      <c r="S1956" t="s">
        <v>8408</v>
      </c>
      <c r="T1956" t="s">
        <v>12902</v>
      </c>
      <c r="U1956" t="s">
        <v>12902</v>
      </c>
      <c r="V1956" t="s">
        <v>12902</v>
      </c>
      <c r="W1956" t="s">
        <v>14824</v>
      </c>
      <c r="X1956">
        <v>24</v>
      </c>
      <c r="Y1956" t="s">
        <v>21194</v>
      </c>
      <c r="Z1956" t="s">
        <v>27531</v>
      </c>
      <c r="AA1956">
        <v>0.56081971180438195</v>
      </c>
      <c r="AB1956" t="str">
        <f>HYPERLINK("Melting_Curves/meltCurve_P08621_SNRNP70.pdf", "Melting_Curves/meltCurve_P08621_SNRNP70.pdf")</f>
        <v>Melting_Curves/meltCurve_P08621_SNRNP70.pdf</v>
      </c>
    </row>
    <row r="1957" spans="1:28" x14ac:dyDescent="0.25">
      <c r="A1957" t="s">
        <v>1961</v>
      </c>
      <c r="B1957">
        <v>0.99673306730245903</v>
      </c>
      <c r="C1957">
        <v>1.06861760431079</v>
      </c>
      <c r="D1957">
        <v>0.31013422376009903</v>
      </c>
      <c r="E1957">
        <v>0.74365449659066596</v>
      </c>
      <c r="F1957">
        <v>0.49764276157010701</v>
      </c>
      <c r="G1957">
        <v>0.117703861613966</v>
      </c>
      <c r="H1957">
        <v>8.34334660599962E-2</v>
      </c>
      <c r="I1957">
        <v>8.4012745584115797E-2</v>
      </c>
      <c r="J1957">
        <v>7.2489741683838801E-2</v>
      </c>
      <c r="K1957">
        <v>2.5451973758661602E-2</v>
      </c>
      <c r="L1957">
        <v>535.25940294222903</v>
      </c>
      <c r="M1957">
        <v>10.637014004700999</v>
      </c>
      <c r="N1957">
        <v>50.320456723836401</v>
      </c>
      <c r="O1957">
        <v>48.639685107943002</v>
      </c>
      <c r="P1957">
        <v>-5.4693494717273902E-2</v>
      </c>
      <c r="Q1957">
        <v>0</v>
      </c>
      <c r="R1957">
        <v>0.79563148324338095</v>
      </c>
      <c r="S1957" t="s">
        <v>8409</v>
      </c>
      <c r="T1957" t="s">
        <v>12902</v>
      </c>
      <c r="U1957" t="s">
        <v>12902</v>
      </c>
      <c r="V1957" t="s">
        <v>12902</v>
      </c>
      <c r="W1957" t="s">
        <v>14825</v>
      </c>
      <c r="X1957">
        <v>11</v>
      </c>
      <c r="Y1957" t="s">
        <v>21195</v>
      </c>
      <c r="Z1957" t="s">
        <v>27532</v>
      </c>
      <c r="AA1957">
        <v>0.38450960904964537</v>
      </c>
      <c r="AB1957" t="str">
        <f>HYPERLINK("Melting_Curves/meltCurve_P08754_GNAI3.pdf", "Melting_Curves/meltCurve_P08754_GNAI3.pdf")</f>
        <v>Melting_Curves/meltCurve_P08754_GNAI3.pdf</v>
      </c>
    </row>
    <row r="1958" spans="1:28" x14ac:dyDescent="0.25">
      <c r="A1958" t="s">
        <v>1962</v>
      </c>
      <c r="B1958">
        <v>0.99673306730245903</v>
      </c>
      <c r="C1958">
        <v>1.0249505923792499</v>
      </c>
      <c r="D1958">
        <v>0.80262619558251302</v>
      </c>
      <c r="E1958">
        <v>0.53560089637760899</v>
      </c>
      <c r="F1958">
        <v>0.13859497077553101</v>
      </c>
      <c r="G1958">
        <v>8.9045721837646905E-2</v>
      </c>
      <c r="H1958">
        <v>4.94521865290969E-2</v>
      </c>
      <c r="I1958">
        <v>4.2524526093871799E-2</v>
      </c>
      <c r="J1958">
        <v>4.68201352823251E-2</v>
      </c>
      <c r="K1958">
        <v>3.95300995157606E-2</v>
      </c>
      <c r="L1958">
        <v>1176.89995333815</v>
      </c>
      <c r="M1958">
        <v>23.839476789907799</v>
      </c>
      <c r="N1958">
        <v>49.528910719520702</v>
      </c>
      <c r="O1958">
        <v>49.024232193833598</v>
      </c>
      <c r="P1958">
        <v>-0.117033278546211</v>
      </c>
      <c r="Q1958">
        <v>3.7331965384771203E-2</v>
      </c>
      <c r="R1958">
        <v>0.99392680709640802</v>
      </c>
      <c r="S1958" t="s">
        <v>8410</v>
      </c>
      <c r="T1958" t="s">
        <v>12902</v>
      </c>
      <c r="U1958" t="s">
        <v>12902</v>
      </c>
      <c r="V1958" t="s">
        <v>12902</v>
      </c>
      <c r="W1958" t="s">
        <v>14826</v>
      </c>
      <c r="X1958">
        <v>30</v>
      </c>
      <c r="Y1958" t="s">
        <v>21196</v>
      </c>
      <c r="Z1958" t="s">
        <v>27533</v>
      </c>
      <c r="AA1958">
        <v>0.34735574303698119</v>
      </c>
      <c r="AB1958" t="str">
        <f>HYPERLINK("Melting_Curves/meltCurve_P08758_ANXA5.pdf", "Melting_Curves/meltCurve_P08758_ANXA5.pdf")</f>
        <v>Melting_Curves/meltCurve_P08758_ANXA5.pdf</v>
      </c>
    </row>
    <row r="1959" spans="1:28" x14ac:dyDescent="0.25">
      <c r="A1959" t="s">
        <v>1963</v>
      </c>
      <c r="B1959">
        <v>0.99673306730245903</v>
      </c>
      <c r="C1959">
        <v>0.91596064151658296</v>
      </c>
      <c r="D1959">
        <v>0.62316037754884301</v>
      </c>
      <c r="E1959">
        <v>0.44320681531088002</v>
      </c>
      <c r="F1959">
        <v>0.33432319660731502</v>
      </c>
      <c r="G1959">
        <v>0.19725469836290199</v>
      </c>
      <c r="H1959">
        <v>0.118339497501098</v>
      </c>
      <c r="I1959">
        <v>0.13555204321075501</v>
      </c>
      <c r="J1959">
        <v>0.16982896333148201</v>
      </c>
      <c r="K1959">
        <v>0.180889328477018</v>
      </c>
      <c r="L1959">
        <v>762.08218994396304</v>
      </c>
      <c r="M1959">
        <v>16.033701306147599</v>
      </c>
      <c r="N1959">
        <v>48.582047392859202</v>
      </c>
      <c r="O1959">
        <v>46.809124763636198</v>
      </c>
      <c r="P1959">
        <v>-7.3079345889185396E-2</v>
      </c>
      <c r="Q1959">
        <v>0.14666917275253</v>
      </c>
      <c r="R1959">
        <v>0.98455627911976396</v>
      </c>
      <c r="S1959" t="s">
        <v>8411</v>
      </c>
      <c r="T1959" t="s">
        <v>12902</v>
      </c>
      <c r="U1959" t="s">
        <v>12902</v>
      </c>
      <c r="V1959" t="s">
        <v>12902</v>
      </c>
      <c r="W1959" t="s">
        <v>14827</v>
      </c>
      <c r="X1959">
        <v>2</v>
      </c>
      <c r="Y1959" t="s">
        <v>21197</v>
      </c>
      <c r="Z1959" t="s">
        <v>27534</v>
      </c>
      <c r="AA1959">
        <v>0.3804761899032264</v>
      </c>
      <c r="AB1959" t="str">
        <f>HYPERLINK("Melting_Curves/meltCurve_P08910_ABHD2.pdf", "Melting_Curves/meltCurve_P08910_ABHD2.pdf")</f>
        <v>Melting_Curves/meltCurve_P08910_ABHD2.pdf</v>
      </c>
    </row>
    <row r="1960" spans="1:28" x14ac:dyDescent="0.25">
      <c r="A1960" t="s">
        <v>1964</v>
      </c>
      <c r="B1960">
        <v>0.99673306730245903</v>
      </c>
      <c r="C1960">
        <v>0.84651979955436796</v>
      </c>
      <c r="D1960">
        <v>0.98683190284303002</v>
      </c>
      <c r="E1960">
        <v>1.20012449661029</v>
      </c>
      <c r="F1960">
        <v>0.95078625592445698</v>
      </c>
      <c r="G1960">
        <v>0.62626199467802901</v>
      </c>
      <c r="H1960">
        <v>0.28342810364972398</v>
      </c>
      <c r="I1960">
        <v>0.29189922537549101</v>
      </c>
      <c r="J1960">
        <v>0.25280089613190398</v>
      </c>
      <c r="K1960">
        <v>0.37071178492590701</v>
      </c>
      <c r="L1960">
        <v>3132.2402900143502</v>
      </c>
      <c r="M1960">
        <v>55.300282836753297</v>
      </c>
      <c r="N1960">
        <v>57.574785100502801</v>
      </c>
      <c r="O1960">
        <v>56.566659397506399</v>
      </c>
      <c r="P1960">
        <v>-0.172019781006126</v>
      </c>
      <c r="Q1960">
        <v>0.29616426581815802</v>
      </c>
      <c r="R1960">
        <v>0.93669591153274601</v>
      </c>
      <c r="S1960" t="s">
        <v>8412</v>
      </c>
      <c r="T1960" t="s">
        <v>12902</v>
      </c>
      <c r="U1960" t="s">
        <v>12902</v>
      </c>
      <c r="V1960" t="s">
        <v>12902</v>
      </c>
      <c r="W1960" t="s">
        <v>14828</v>
      </c>
      <c r="X1960">
        <v>8</v>
      </c>
      <c r="Y1960" t="s">
        <v>21198</v>
      </c>
      <c r="Z1960" t="s">
        <v>27535</v>
      </c>
      <c r="AA1960">
        <v>0.68800725716487754</v>
      </c>
      <c r="AB1960" t="str">
        <f>HYPERLINK("Melting_Curves/meltCurve_P09012_SNRPA.pdf", "Melting_Curves/meltCurve_P09012_SNRPA.pdf")</f>
        <v>Melting_Curves/meltCurve_P09012_SNRPA.pdf</v>
      </c>
    </row>
    <row r="1961" spans="1:28" x14ac:dyDescent="0.25">
      <c r="A1961" t="s">
        <v>1965</v>
      </c>
      <c r="B1961">
        <v>0.99673306730245903</v>
      </c>
      <c r="C1961">
        <v>0.92845724110971395</v>
      </c>
      <c r="D1961">
        <v>1.20638714095306</v>
      </c>
      <c r="E1961">
        <v>0.87348726541170096</v>
      </c>
      <c r="F1961">
        <v>0.76834188369411505</v>
      </c>
      <c r="G1961">
        <v>0.54761680223151799</v>
      </c>
      <c r="H1961">
        <v>0.71181016818833198</v>
      </c>
      <c r="I1961">
        <v>0.86533668391196406</v>
      </c>
      <c r="J1961">
        <v>1.5268259945690501</v>
      </c>
      <c r="K1961">
        <v>1.60416811613067</v>
      </c>
      <c r="L1961">
        <v>11576.7250430275</v>
      </c>
      <c r="M1961">
        <v>176.073774376979</v>
      </c>
      <c r="O1961">
        <v>65.740807511486494</v>
      </c>
      <c r="P1961">
        <v>0.33478783654046801</v>
      </c>
      <c r="Q1961">
        <v>1.5</v>
      </c>
      <c r="R1961">
        <v>0.59007831759454099</v>
      </c>
      <c r="S1961" t="s">
        <v>8413</v>
      </c>
      <c r="T1961" t="s">
        <v>12902</v>
      </c>
      <c r="U1961" t="s">
        <v>12902</v>
      </c>
      <c r="V1961" t="s">
        <v>12902</v>
      </c>
      <c r="W1961" t="s">
        <v>14829</v>
      </c>
      <c r="X1961">
        <v>2</v>
      </c>
      <c r="Y1961" t="s">
        <v>21199</v>
      </c>
      <c r="Z1961" t="s">
        <v>27536</v>
      </c>
      <c r="AA1961">
        <v>1.070729048405592</v>
      </c>
      <c r="AB1961" t="str">
        <f>HYPERLINK("Melting_Curves/meltCurve_P09038_2_FGF2.pdf", "Melting_Curves/meltCurve_P09038_2_FGF2.pdf")</f>
        <v>Melting_Curves/meltCurve_P09038_2_FGF2.pdf</v>
      </c>
    </row>
    <row r="1962" spans="1:28" x14ac:dyDescent="0.25">
      <c r="A1962" t="s">
        <v>1966</v>
      </c>
      <c r="B1962">
        <v>0.99673306730245903</v>
      </c>
      <c r="C1962">
        <v>1.0156278072034699</v>
      </c>
      <c r="D1962">
        <v>1.04847168878952</v>
      </c>
      <c r="E1962">
        <v>1.0955457963920701</v>
      </c>
      <c r="F1962">
        <v>1.01853361816578</v>
      </c>
      <c r="G1962">
        <v>0.94400254068803702</v>
      </c>
      <c r="H1962">
        <v>0.76341541167855897</v>
      </c>
      <c r="I1962">
        <v>0.96479844502773004</v>
      </c>
      <c r="J1962">
        <v>0.41705689731411399</v>
      </c>
      <c r="K1962">
        <v>0.132858416223574</v>
      </c>
      <c r="L1962">
        <v>4944.29380498299</v>
      </c>
      <c r="M1962">
        <v>74.322860149588706</v>
      </c>
      <c r="N1962">
        <v>66.749271233635497</v>
      </c>
      <c r="O1962">
        <v>66.476424524402304</v>
      </c>
      <c r="P1962">
        <v>-0.24857032034222801</v>
      </c>
      <c r="Q1962">
        <v>0.110687473020426</v>
      </c>
      <c r="R1962">
        <v>0.92185172525682402</v>
      </c>
      <c r="S1962" t="s">
        <v>8414</v>
      </c>
      <c r="T1962" t="s">
        <v>12902</v>
      </c>
      <c r="U1962" t="s">
        <v>12902</v>
      </c>
      <c r="V1962" t="s">
        <v>12902</v>
      </c>
      <c r="W1962" t="s">
        <v>14830</v>
      </c>
      <c r="X1962">
        <v>34</v>
      </c>
      <c r="Y1962" t="s">
        <v>21200</v>
      </c>
      <c r="Z1962" t="s">
        <v>27537</v>
      </c>
      <c r="AA1962">
        <v>0.8974055291141475</v>
      </c>
      <c r="AB1962" t="str">
        <f>HYPERLINK("Melting_Curves/meltCurve_P09104_ENO2.pdf", "Melting_Curves/meltCurve_P09104_ENO2.pdf")</f>
        <v>Melting_Curves/meltCurve_P09104_ENO2.pdf</v>
      </c>
    </row>
    <row r="1963" spans="1:28" x14ac:dyDescent="0.25">
      <c r="A1963" t="s">
        <v>1967</v>
      </c>
      <c r="B1963">
        <v>0.99673306730245903</v>
      </c>
      <c r="C1963">
        <v>1.0249975365116999</v>
      </c>
      <c r="D1963">
        <v>1.03130201693283</v>
      </c>
      <c r="E1963">
        <v>0.99372768834017999</v>
      </c>
      <c r="F1963">
        <v>0.83932733465852605</v>
      </c>
      <c r="G1963">
        <v>0.66290029794104199</v>
      </c>
      <c r="H1963">
        <v>0.39778343955348</v>
      </c>
      <c r="I1963">
        <v>0.13088137288077301</v>
      </c>
      <c r="J1963">
        <v>9.0631235110945493E-2</v>
      </c>
      <c r="K1963">
        <v>7.3330025848446098E-2</v>
      </c>
      <c r="L1963">
        <v>1085.8704498130501</v>
      </c>
      <c r="M1963">
        <v>18.453314652395601</v>
      </c>
      <c r="N1963">
        <v>58.8442667741894</v>
      </c>
      <c r="O1963">
        <v>58.166212631693</v>
      </c>
      <c r="P1963">
        <v>-7.9315527919536902E-2</v>
      </c>
      <c r="Q1963">
        <v>1.11015323906421E-5</v>
      </c>
      <c r="R1963">
        <v>0.99397892390003495</v>
      </c>
      <c r="S1963" t="s">
        <v>8415</v>
      </c>
      <c r="T1963" t="s">
        <v>12902</v>
      </c>
      <c r="U1963" t="s">
        <v>12902</v>
      </c>
      <c r="V1963" t="s">
        <v>12902</v>
      </c>
      <c r="W1963" t="s">
        <v>14831</v>
      </c>
      <c r="X1963">
        <v>17</v>
      </c>
      <c r="Y1963" t="s">
        <v>21201</v>
      </c>
      <c r="Z1963" t="s">
        <v>27538</v>
      </c>
      <c r="AA1963">
        <v>0.63892753077386633</v>
      </c>
      <c r="AB1963" t="str">
        <f>HYPERLINK("Melting_Curves/meltCurve_P09110_ACAA1.pdf", "Melting_Curves/meltCurve_P09110_ACAA1.pdf")</f>
        <v>Melting_Curves/meltCurve_P09110_ACAA1.pdf</v>
      </c>
    </row>
    <row r="1964" spans="1:28" x14ac:dyDescent="0.25">
      <c r="A1964" t="s">
        <v>1968</v>
      </c>
      <c r="B1964">
        <v>0.99673306730245903</v>
      </c>
      <c r="C1964">
        <v>0.90972457783027405</v>
      </c>
      <c r="D1964">
        <v>0.98545306956988299</v>
      </c>
      <c r="E1964">
        <v>0.750138248728903</v>
      </c>
      <c r="F1964">
        <v>0.37394782647603703</v>
      </c>
      <c r="G1964">
        <v>0.19992107976811899</v>
      </c>
      <c r="H1964">
        <v>0.100770704237653</v>
      </c>
      <c r="I1964">
        <v>7.3571506706201995E-2</v>
      </c>
      <c r="J1964">
        <v>6.2670348939519005E-2</v>
      </c>
      <c r="K1964">
        <v>7.0158537342566205E-2</v>
      </c>
      <c r="L1964">
        <v>1185.8984137520299</v>
      </c>
      <c r="M1964">
        <v>22.918671089772101</v>
      </c>
      <c r="N1964">
        <v>52.074421758353502</v>
      </c>
      <c r="O1964">
        <v>51.354658804076699</v>
      </c>
      <c r="P1964">
        <v>-0.104017562372467</v>
      </c>
      <c r="Q1964">
        <v>6.7714703044537805E-2</v>
      </c>
      <c r="R1964">
        <v>0.993964884510665</v>
      </c>
      <c r="S1964" t="s">
        <v>8416</v>
      </c>
      <c r="T1964" t="s">
        <v>12902</v>
      </c>
      <c r="U1964" t="s">
        <v>12902</v>
      </c>
      <c r="V1964" t="s">
        <v>12902</v>
      </c>
      <c r="W1964" t="s">
        <v>14832</v>
      </c>
      <c r="X1964">
        <v>12</v>
      </c>
      <c r="Y1964" t="s">
        <v>21202</v>
      </c>
      <c r="Z1964" t="s">
        <v>27539</v>
      </c>
      <c r="AA1964">
        <v>0.44269444436888372</v>
      </c>
      <c r="AB1964" t="str">
        <f>HYPERLINK("Melting_Curves/meltCurve_P09132_SRP19.pdf", "Melting_Curves/meltCurve_P09132_SRP19.pdf")</f>
        <v>Melting_Curves/meltCurve_P09132_SRP19.pdf</v>
      </c>
    </row>
    <row r="1965" spans="1:28" x14ac:dyDescent="0.25">
      <c r="A1965" t="s">
        <v>1969</v>
      </c>
      <c r="B1965">
        <v>0.99673306730245903</v>
      </c>
      <c r="C1965">
        <v>0.99028542113070295</v>
      </c>
      <c r="D1965">
        <v>1.0165518182583799</v>
      </c>
      <c r="E1965">
        <v>0.92181393855860305</v>
      </c>
      <c r="F1965">
        <v>0.73515532011204698</v>
      </c>
      <c r="G1965">
        <v>0.46674350138727999</v>
      </c>
      <c r="H1965">
        <v>0.28936223861281501</v>
      </c>
      <c r="I1965">
        <v>0.253407731075939</v>
      </c>
      <c r="J1965">
        <v>0.27293330561372398</v>
      </c>
      <c r="K1965">
        <v>0.22272934318916399</v>
      </c>
      <c r="L1965">
        <v>1258.8918778539901</v>
      </c>
      <c r="M1965">
        <v>23.029421682579699</v>
      </c>
      <c r="N1965">
        <v>56.199800530482797</v>
      </c>
      <c r="O1965">
        <v>54.257324790039497</v>
      </c>
      <c r="P1965">
        <v>-8.1339307643091996E-2</v>
      </c>
      <c r="Q1965">
        <v>0.233472543115645</v>
      </c>
      <c r="R1965">
        <v>0.99795718560768298</v>
      </c>
      <c r="S1965" t="s">
        <v>8417</v>
      </c>
      <c r="T1965" t="s">
        <v>12902</v>
      </c>
      <c r="U1965" t="s">
        <v>12902</v>
      </c>
      <c r="V1965" t="s">
        <v>12902</v>
      </c>
      <c r="W1965" t="s">
        <v>14833</v>
      </c>
      <c r="X1965">
        <v>3</v>
      </c>
      <c r="Y1965" t="s">
        <v>21203</v>
      </c>
      <c r="Z1965" t="s">
        <v>27540</v>
      </c>
      <c r="AA1965">
        <v>0.61635028435039674</v>
      </c>
      <c r="AB1965" t="str">
        <f>HYPERLINK("Melting_Curves/meltCurve_P09172_DBH.pdf", "Melting_Curves/meltCurve_P09172_DBH.pdf")</f>
        <v>Melting_Curves/meltCurve_P09172_DBH.pdf</v>
      </c>
    </row>
    <row r="1966" spans="1:28" x14ac:dyDescent="0.25">
      <c r="A1966" t="s">
        <v>1970</v>
      </c>
      <c r="B1966">
        <v>0.99673306730245903</v>
      </c>
      <c r="C1966">
        <v>0.98263579052455596</v>
      </c>
      <c r="D1966">
        <v>0.94210783614212701</v>
      </c>
      <c r="E1966">
        <v>0.92453339930566603</v>
      </c>
      <c r="F1966">
        <v>0.68569743348896794</v>
      </c>
      <c r="G1966">
        <v>0.345363547914319</v>
      </c>
      <c r="H1966">
        <v>6.4426571826691703E-2</v>
      </c>
      <c r="I1966">
        <v>5.4609789613461697E-2</v>
      </c>
      <c r="J1966">
        <v>4.8360394370072501E-2</v>
      </c>
      <c r="K1966">
        <v>4.0517055763362002E-2</v>
      </c>
      <c r="L1966">
        <v>1313.7327254065899</v>
      </c>
      <c r="M1966">
        <v>23.9368406188097</v>
      </c>
      <c r="N1966">
        <v>54.9879722832829</v>
      </c>
      <c r="O1966">
        <v>54.504559838074201</v>
      </c>
      <c r="P1966">
        <v>-0.107349426899086</v>
      </c>
      <c r="Q1966">
        <v>2.2270552361711202E-2</v>
      </c>
      <c r="R1966">
        <v>0.99682884980892394</v>
      </c>
      <c r="S1966" t="s">
        <v>8418</v>
      </c>
      <c r="T1966" t="s">
        <v>12902</v>
      </c>
      <c r="U1966" t="s">
        <v>12902</v>
      </c>
      <c r="V1966" t="s">
        <v>12902</v>
      </c>
      <c r="W1966" t="s">
        <v>14834</v>
      </c>
      <c r="X1966">
        <v>18</v>
      </c>
      <c r="Y1966" t="s">
        <v>21204</v>
      </c>
      <c r="Z1966" t="s">
        <v>27541</v>
      </c>
      <c r="AA1966">
        <v>0.5170914586809362</v>
      </c>
      <c r="AB1966" t="str">
        <f>HYPERLINK("Melting_Curves/meltCurve_P09211_GSTP1.pdf", "Melting_Curves/meltCurve_P09211_GSTP1.pdf")</f>
        <v>Melting_Curves/meltCurve_P09211_GSTP1.pdf</v>
      </c>
    </row>
    <row r="1967" spans="1:28" x14ac:dyDescent="0.25">
      <c r="A1967" t="s">
        <v>1971</v>
      </c>
      <c r="B1967">
        <v>0.99673306730245903</v>
      </c>
      <c r="C1967">
        <v>0.972866914788722</v>
      </c>
      <c r="D1967">
        <v>0.97243421083283998</v>
      </c>
      <c r="E1967">
        <v>1.00571416866434</v>
      </c>
      <c r="F1967">
        <v>0.85098872335245701</v>
      </c>
      <c r="G1967">
        <v>0.68351072259993895</v>
      </c>
      <c r="H1967">
        <v>0.42279762888890199</v>
      </c>
      <c r="I1967">
        <v>0.72272548139974901</v>
      </c>
      <c r="J1967">
        <v>0.83166592389858096</v>
      </c>
      <c r="K1967">
        <v>0.79032101729534199</v>
      </c>
      <c r="L1967">
        <v>13304.045509375001</v>
      </c>
      <c r="M1967">
        <v>250</v>
      </c>
      <c r="O1967">
        <v>53.212784613770999</v>
      </c>
      <c r="P1967">
        <v>-0.36386450977423102</v>
      </c>
      <c r="Q1967">
        <v>0.69020414657481499</v>
      </c>
      <c r="R1967">
        <v>0.65263082143593298</v>
      </c>
      <c r="S1967" t="s">
        <v>8419</v>
      </c>
      <c r="T1967" t="s">
        <v>12902</v>
      </c>
      <c r="U1967" t="s">
        <v>12902</v>
      </c>
      <c r="V1967" t="s">
        <v>12902</v>
      </c>
      <c r="W1967" t="s">
        <v>14835</v>
      </c>
      <c r="X1967">
        <v>6</v>
      </c>
      <c r="Y1967" t="s">
        <v>21205</v>
      </c>
      <c r="Z1967" t="s">
        <v>27542</v>
      </c>
      <c r="AA1967">
        <v>0.82671035929358849</v>
      </c>
      <c r="AB1967" t="str">
        <f>HYPERLINK("Melting_Curves/meltCurve_P09234_SNRPC.pdf", "Melting_Curves/meltCurve_P09234_SNRPC.pdf")</f>
        <v>Melting_Curves/meltCurve_P09234_SNRPC.pdf</v>
      </c>
    </row>
    <row r="1968" spans="1:28" x14ac:dyDescent="0.25">
      <c r="A1968" t="s">
        <v>1972</v>
      </c>
      <c r="B1968">
        <v>0.99673306730245903</v>
      </c>
      <c r="C1968">
        <v>1.0256887456241199</v>
      </c>
      <c r="D1968">
        <v>0.99869804838027598</v>
      </c>
      <c r="E1968">
        <v>0.96711313026266599</v>
      </c>
      <c r="F1968">
        <v>0.77914420290847197</v>
      </c>
      <c r="G1968">
        <v>0.47932849790889498</v>
      </c>
      <c r="H1968">
        <v>0.172166122396337</v>
      </c>
      <c r="I1968">
        <v>0.147848673620008</v>
      </c>
      <c r="J1968">
        <v>0.16444489008694901</v>
      </c>
      <c r="K1968">
        <v>0.165060276596532</v>
      </c>
      <c r="L1968">
        <v>1493.36409098175</v>
      </c>
      <c r="M1968">
        <v>26.877682328461798</v>
      </c>
      <c r="N1968">
        <v>56.2438309806736</v>
      </c>
      <c r="O1968">
        <v>55.256646990539203</v>
      </c>
      <c r="P1968">
        <v>-0.104687104800456</v>
      </c>
      <c r="Q1968">
        <v>0.139122077114291</v>
      </c>
      <c r="R1968">
        <v>0.99642836604566198</v>
      </c>
      <c r="S1968" t="s">
        <v>8420</v>
      </c>
      <c r="T1968" t="s">
        <v>12902</v>
      </c>
      <c r="U1968" t="s">
        <v>12902</v>
      </c>
      <c r="V1968" t="s">
        <v>12902</v>
      </c>
      <c r="W1968" t="s">
        <v>14836</v>
      </c>
      <c r="X1968">
        <v>11</v>
      </c>
      <c r="Y1968" t="s">
        <v>21206</v>
      </c>
      <c r="Z1968" t="s">
        <v>27543</v>
      </c>
      <c r="AA1968">
        <v>0.59267256425624693</v>
      </c>
      <c r="AB1968" t="str">
        <f>HYPERLINK("Melting_Curves/meltCurve_P09382_LGALS1.pdf", "Melting_Curves/meltCurve_P09382_LGALS1.pdf")</f>
        <v>Melting_Curves/meltCurve_P09382_LGALS1.pdf</v>
      </c>
    </row>
    <row r="1969" spans="1:28" x14ac:dyDescent="0.25">
      <c r="A1969" t="s">
        <v>1973</v>
      </c>
      <c r="B1969">
        <v>0.99673306730245903</v>
      </c>
      <c r="C1969">
        <v>1.0473375699816401</v>
      </c>
      <c r="D1969">
        <v>1.0490306553343001</v>
      </c>
      <c r="E1969">
        <v>1.0489743838686401</v>
      </c>
      <c r="F1969">
        <v>0.89217588007414295</v>
      </c>
      <c r="G1969">
        <v>0.79075224447121495</v>
      </c>
      <c r="H1969">
        <v>0.56359934775151699</v>
      </c>
      <c r="I1969">
        <v>0.14038775717288901</v>
      </c>
      <c r="J1969">
        <v>9.2372067441299097E-2</v>
      </c>
      <c r="K1969">
        <v>7.0150994967756702E-2</v>
      </c>
      <c r="L1969">
        <v>1401.93373369306</v>
      </c>
      <c r="M1969">
        <v>23.140101990266601</v>
      </c>
      <c r="N1969">
        <v>60.584571478051501</v>
      </c>
      <c r="O1969">
        <v>60.137581843531201</v>
      </c>
      <c r="P1969">
        <v>-9.61982787137214E-2</v>
      </c>
      <c r="Q1969">
        <v>0</v>
      </c>
      <c r="R1969">
        <v>0.98192703257532099</v>
      </c>
      <c r="S1969" t="s">
        <v>8421</v>
      </c>
      <c r="T1969" t="s">
        <v>12902</v>
      </c>
      <c r="U1969" t="s">
        <v>12902</v>
      </c>
      <c r="V1969" t="s">
        <v>12902</v>
      </c>
      <c r="W1969" t="s">
        <v>14837</v>
      </c>
      <c r="X1969">
        <v>8</v>
      </c>
      <c r="Y1969" t="s">
        <v>21207</v>
      </c>
      <c r="Z1969" t="s">
        <v>27544</v>
      </c>
      <c r="AA1969">
        <v>0.69322066359839096</v>
      </c>
      <c r="AB1969" t="str">
        <f>HYPERLINK("Melting_Curves/meltCurve_P09417_QDPR.pdf", "Melting_Curves/meltCurve_P09417_QDPR.pdf")</f>
        <v>Melting_Curves/meltCurve_P09417_QDPR.pdf</v>
      </c>
    </row>
    <row r="1970" spans="1:28" x14ac:dyDescent="0.25">
      <c r="A1970" t="s">
        <v>1974</v>
      </c>
      <c r="B1970">
        <v>0.99673306730245903</v>
      </c>
      <c r="C1970">
        <v>1.02092836563265</v>
      </c>
      <c r="D1970">
        <v>0.94849634134300898</v>
      </c>
      <c r="E1970">
        <v>0.92229234789330095</v>
      </c>
      <c r="F1970">
        <v>0.65035484527264498</v>
      </c>
      <c r="G1970">
        <v>0.59303330959498901</v>
      </c>
      <c r="H1970">
        <v>0.43486080240796099</v>
      </c>
      <c r="I1970">
        <v>0.56018063478961699</v>
      </c>
      <c r="J1970">
        <v>0.74838664403852695</v>
      </c>
      <c r="K1970">
        <v>0.76943677210105199</v>
      </c>
      <c r="L1970">
        <v>2809.0195266611699</v>
      </c>
      <c r="M1970">
        <v>55.300606418854201</v>
      </c>
      <c r="O1970">
        <v>50.729164414829498</v>
      </c>
      <c r="P1970">
        <v>-0.103263356315899</v>
      </c>
      <c r="Q1970">
        <v>0.62109200466943604</v>
      </c>
      <c r="R1970">
        <v>0.783477769863832</v>
      </c>
      <c r="S1970" t="s">
        <v>8422</v>
      </c>
      <c r="T1970" t="s">
        <v>12902</v>
      </c>
      <c r="U1970" t="s">
        <v>12902</v>
      </c>
      <c r="V1970" t="s">
        <v>12902</v>
      </c>
      <c r="W1970" t="s">
        <v>14838</v>
      </c>
      <c r="X1970">
        <v>28</v>
      </c>
      <c r="Y1970" t="s">
        <v>21208</v>
      </c>
      <c r="Z1970" t="s">
        <v>27545</v>
      </c>
      <c r="AA1970">
        <v>0.75813480966977964</v>
      </c>
      <c r="AB1970" t="str">
        <f>HYPERLINK("Melting_Curves/meltCurve_P09429_HMGB1.pdf", "Melting_Curves/meltCurve_P09429_HMGB1.pdf")</f>
        <v>Melting_Curves/meltCurve_P09429_HMGB1.pdf</v>
      </c>
    </row>
    <row r="1971" spans="1:28" x14ac:dyDescent="0.25">
      <c r="A1971" t="s">
        <v>1975</v>
      </c>
      <c r="B1971">
        <v>0.99673306730245903</v>
      </c>
      <c r="C1971">
        <v>0.97207239849307203</v>
      </c>
      <c r="D1971">
        <v>1.01465269885496</v>
      </c>
      <c r="E1971">
        <v>0.95999414008083594</v>
      </c>
      <c r="F1971">
        <v>0.84296053760718703</v>
      </c>
      <c r="G1971">
        <v>0.80553045435463</v>
      </c>
      <c r="H1971">
        <v>0.63774872399827298</v>
      </c>
      <c r="I1971">
        <v>0.845103456428838</v>
      </c>
      <c r="J1971">
        <v>0.93611080260871304</v>
      </c>
      <c r="K1971">
        <v>0.78521506321024703</v>
      </c>
      <c r="L1971">
        <v>2180.6565569322902</v>
      </c>
      <c r="M1971">
        <v>42.468340300104401</v>
      </c>
      <c r="O1971">
        <v>51.234358305625697</v>
      </c>
      <c r="P1971">
        <v>-4.1062931679116302E-2</v>
      </c>
      <c r="Q1971">
        <v>0.80184491603974795</v>
      </c>
      <c r="R1971">
        <v>0.61569323302857204</v>
      </c>
      <c r="S1971" t="s">
        <v>8423</v>
      </c>
      <c r="T1971" t="s">
        <v>12902</v>
      </c>
      <c r="U1971" t="s">
        <v>12902</v>
      </c>
      <c r="V1971" t="s">
        <v>12902</v>
      </c>
      <c r="W1971" t="s">
        <v>14839</v>
      </c>
      <c r="X1971">
        <v>12</v>
      </c>
      <c r="Y1971" t="s">
        <v>21209</v>
      </c>
      <c r="Z1971" t="s">
        <v>27546</v>
      </c>
      <c r="AA1971">
        <v>0.87742248982898674</v>
      </c>
      <c r="AB1971" t="str">
        <f>HYPERLINK("Melting_Curves/meltCurve_P09467_FBP1.pdf", "Melting_Curves/meltCurve_P09467_FBP1.pdf")</f>
        <v>Melting_Curves/meltCurve_P09467_FBP1.pdf</v>
      </c>
    </row>
    <row r="1972" spans="1:28" x14ac:dyDescent="0.25">
      <c r="A1972" t="s">
        <v>1976</v>
      </c>
      <c r="B1972">
        <v>0.99673306730245903</v>
      </c>
      <c r="C1972">
        <v>1.03979499966831</v>
      </c>
      <c r="D1972">
        <v>0.93563993247873101</v>
      </c>
      <c r="E1972">
        <v>0.86954152318582101</v>
      </c>
      <c r="F1972">
        <v>0.96726549270060003</v>
      </c>
      <c r="G1972">
        <v>0.73159551477009199</v>
      </c>
      <c r="H1972">
        <v>0.56549015918330203</v>
      </c>
      <c r="I1972">
        <v>0.74148543535023903</v>
      </c>
      <c r="J1972">
        <v>1.0201094196848199</v>
      </c>
      <c r="K1972">
        <v>0.97396813479358502</v>
      </c>
      <c r="L1972">
        <v>1096.1066785631001</v>
      </c>
      <c r="M1972">
        <v>22.594327634589899</v>
      </c>
      <c r="O1972">
        <v>48.137245261261</v>
      </c>
      <c r="P1972">
        <v>-2.0643360656288499E-2</v>
      </c>
      <c r="Q1972">
        <v>0.82408069552829699</v>
      </c>
      <c r="R1972">
        <v>0.25124325125193497</v>
      </c>
      <c r="S1972" t="s">
        <v>8424</v>
      </c>
      <c r="T1972" t="s">
        <v>12902</v>
      </c>
      <c r="U1972" t="s">
        <v>12902</v>
      </c>
      <c r="V1972" t="s">
        <v>12902</v>
      </c>
      <c r="W1972" t="s">
        <v>14840</v>
      </c>
      <c r="X1972">
        <v>37</v>
      </c>
      <c r="Y1972" t="s">
        <v>20239</v>
      </c>
      <c r="Z1972" t="s">
        <v>27547</v>
      </c>
      <c r="AA1972">
        <v>0.87591933962016622</v>
      </c>
      <c r="AB1972" t="str">
        <f>HYPERLINK("Melting_Curves/meltCurve_P09493_10_TPM1.pdf", "Melting_Curves/meltCurve_P09493_10_TPM1.pdf")</f>
        <v>Melting_Curves/meltCurve_P09493_10_TPM1.pdf</v>
      </c>
    </row>
    <row r="1973" spans="1:28" x14ac:dyDescent="0.25">
      <c r="A1973" t="s">
        <v>1977</v>
      </c>
      <c r="B1973">
        <v>0.99673306730245903</v>
      </c>
      <c r="C1973">
        <v>0.97135814851346902</v>
      </c>
      <c r="D1973">
        <v>0.96054961203314004</v>
      </c>
      <c r="E1973">
        <v>0.92833209994870003</v>
      </c>
      <c r="F1973">
        <v>0.98607326773614701</v>
      </c>
      <c r="G1973">
        <v>0.87058886154184001</v>
      </c>
      <c r="H1973">
        <v>0.85805931174073502</v>
      </c>
      <c r="I1973">
        <v>1.4941074314489899</v>
      </c>
      <c r="J1973">
        <v>2.3246305189051002</v>
      </c>
      <c r="K1973">
        <v>2.3360650397657001</v>
      </c>
      <c r="L1973">
        <v>15000</v>
      </c>
      <c r="M1973">
        <v>238.46936686779901</v>
      </c>
      <c r="O1973">
        <v>62.896736970469298</v>
      </c>
      <c r="P1973">
        <v>0.47393032367126697</v>
      </c>
      <c r="Q1973">
        <v>1.5</v>
      </c>
      <c r="R1973">
        <v>0.538530575541453</v>
      </c>
      <c r="S1973" t="s">
        <v>8425</v>
      </c>
      <c r="T1973" t="s">
        <v>12902</v>
      </c>
      <c r="U1973" t="s">
        <v>12902</v>
      </c>
      <c r="V1973" t="s">
        <v>12902</v>
      </c>
      <c r="W1973" t="s">
        <v>14841</v>
      </c>
      <c r="X1973">
        <v>39</v>
      </c>
      <c r="Y1973" t="s">
        <v>20239</v>
      </c>
      <c r="Z1973" t="s">
        <v>27548</v>
      </c>
      <c r="AA1973">
        <v>1.1182533227200979</v>
      </c>
      <c r="AB1973" t="str">
        <f>HYPERLINK("Melting_Curves/meltCurve_P09493_3_TPM1.pdf", "Melting_Curves/meltCurve_P09493_3_TPM1.pdf")</f>
        <v>Melting_Curves/meltCurve_P09493_3_TPM1.pdf</v>
      </c>
    </row>
    <row r="1974" spans="1:28" x14ac:dyDescent="0.25">
      <c r="A1974" t="s">
        <v>1978</v>
      </c>
      <c r="B1974">
        <v>0.99673306730245903</v>
      </c>
      <c r="C1974">
        <v>0.93961500841033596</v>
      </c>
      <c r="D1974">
        <v>0.98161556347642098</v>
      </c>
      <c r="E1974">
        <v>1.1257115964264901</v>
      </c>
      <c r="F1974">
        <v>1.4330226522293801</v>
      </c>
      <c r="G1974">
        <v>1.4745462719361899</v>
      </c>
      <c r="H1974">
        <v>1.2722054468689501</v>
      </c>
      <c r="I1974">
        <v>1.9384740537293399</v>
      </c>
      <c r="J1974">
        <v>3.3008248718126598</v>
      </c>
      <c r="K1974">
        <v>3.2193224901847199</v>
      </c>
      <c r="L1974">
        <v>2169.4954072610399</v>
      </c>
      <c r="M1974">
        <v>42.624696908898301</v>
      </c>
      <c r="O1974">
        <v>50.785988301075399</v>
      </c>
      <c r="P1974">
        <v>0.104912751406584</v>
      </c>
      <c r="Q1974">
        <v>1.5</v>
      </c>
      <c r="R1974">
        <v>9.7145363009468494E-2</v>
      </c>
      <c r="S1974" t="s">
        <v>8426</v>
      </c>
      <c r="T1974" t="s">
        <v>12902</v>
      </c>
      <c r="U1974" t="s">
        <v>12902</v>
      </c>
      <c r="V1974" t="s">
        <v>12902</v>
      </c>
      <c r="W1974" t="s">
        <v>14842</v>
      </c>
      <c r="X1974">
        <v>16</v>
      </c>
      <c r="Y1974" t="s">
        <v>21210</v>
      </c>
      <c r="Z1974" t="s">
        <v>27549</v>
      </c>
      <c r="AA1974">
        <v>1.316825408888342</v>
      </c>
      <c r="AB1974" t="str">
        <f>HYPERLINK("Melting_Curves/meltCurve_P09496_2_CLTA.pdf", "Melting_Curves/meltCurve_P09496_2_CLTA.pdf")</f>
        <v>Melting_Curves/meltCurve_P09496_2_CLTA.pdf</v>
      </c>
    </row>
    <row r="1975" spans="1:28" x14ac:dyDescent="0.25">
      <c r="A1975" t="s">
        <v>1979</v>
      </c>
      <c r="B1975">
        <v>0.99673306730245903</v>
      </c>
      <c r="C1975">
        <v>0.93472710938338999</v>
      </c>
      <c r="D1975">
        <v>0.84571279309673097</v>
      </c>
      <c r="E1975">
        <v>0.85611279312926103</v>
      </c>
      <c r="F1975">
        <v>1.4657596720546699</v>
      </c>
      <c r="G1975">
        <v>1.4803780840926699</v>
      </c>
      <c r="H1975">
        <v>1.37885391176929</v>
      </c>
      <c r="I1975">
        <v>2.1510202456366501</v>
      </c>
      <c r="J1975">
        <v>3.2815964171629899</v>
      </c>
      <c r="K1975">
        <v>3.23065466573743</v>
      </c>
      <c r="L1975">
        <v>13161.1347468277</v>
      </c>
      <c r="M1975">
        <v>250</v>
      </c>
      <c r="O1975">
        <v>52.641168419580303</v>
      </c>
      <c r="P1975">
        <v>0.59364182036761803</v>
      </c>
      <c r="Q1975">
        <v>1.5</v>
      </c>
      <c r="R1975">
        <v>0.142355569029921</v>
      </c>
      <c r="S1975" t="s">
        <v>8427</v>
      </c>
      <c r="T1975" t="s">
        <v>12902</v>
      </c>
      <c r="U1975" t="s">
        <v>12902</v>
      </c>
      <c r="V1975" t="s">
        <v>12902</v>
      </c>
      <c r="W1975" t="s">
        <v>14843</v>
      </c>
      <c r="X1975">
        <v>17</v>
      </c>
      <c r="Y1975" t="s">
        <v>21211</v>
      </c>
      <c r="Z1975" t="s">
        <v>27550</v>
      </c>
      <c r="AA1975">
        <v>1.289211488371524</v>
      </c>
      <c r="AB1975" t="str">
        <f>HYPERLINK("Melting_Curves/meltCurve_P09497_2_CLTB.pdf", "Melting_Curves/meltCurve_P09497_2_CLTB.pdf")</f>
        <v>Melting_Curves/meltCurve_P09497_2_CLTB.pdf</v>
      </c>
    </row>
    <row r="1976" spans="1:28" x14ac:dyDescent="0.25">
      <c r="A1976" t="s">
        <v>1980</v>
      </c>
      <c r="B1976">
        <v>0.99673306730245903</v>
      </c>
      <c r="C1976">
        <v>0.99879282840877404</v>
      </c>
      <c r="D1976">
        <v>0.82311224162705399</v>
      </c>
      <c r="E1976">
        <v>0.48521953642719601</v>
      </c>
      <c r="F1976">
        <v>0.18523803358583099</v>
      </c>
      <c r="G1976">
        <v>0.119849715934315</v>
      </c>
      <c r="H1976">
        <v>7.4032100617349605E-2</v>
      </c>
      <c r="I1976">
        <v>6.9598871471484303E-2</v>
      </c>
      <c r="J1976">
        <v>7.20860359793805E-2</v>
      </c>
      <c r="K1976">
        <v>6.10219590957011E-2</v>
      </c>
      <c r="L1976">
        <v>1151.07576280801</v>
      </c>
      <c r="M1976">
        <v>23.4546239156344</v>
      </c>
      <c r="N1976">
        <v>49.380037968809702</v>
      </c>
      <c r="O1976">
        <v>48.724150063512397</v>
      </c>
      <c r="P1976">
        <v>-0.112272216646047</v>
      </c>
      <c r="Q1976">
        <v>6.7088624022714302E-2</v>
      </c>
      <c r="R1976">
        <v>0.99884583359427004</v>
      </c>
      <c r="S1976" t="s">
        <v>8428</v>
      </c>
      <c r="T1976" t="s">
        <v>12902</v>
      </c>
      <c r="U1976" t="s">
        <v>12902</v>
      </c>
      <c r="V1976" t="s">
        <v>12902</v>
      </c>
      <c r="W1976" t="s">
        <v>14844</v>
      </c>
      <c r="X1976">
        <v>32</v>
      </c>
      <c r="Y1976" t="s">
        <v>21212</v>
      </c>
      <c r="Z1976" t="s">
        <v>27551</v>
      </c>
      <c r="AA1976">
        <v>0.35877778266889321</v>
      </c>
      <c r="AB1976" t="str">
        <f>HYPERLINK("Melting_Curves/meltCurve_P09525_ANXA4.pdf", "Melting_Curves/meltCurve_P09525_ANXA4.pdf")</f>
        <v>Melting_Curves/meltCurve_P09525_ANXA4.pdf</v>
      </c>
    </row>
    <row r="1977" spans="1:28" x14ac:dyDescent="0.25">
      <c r="A1977" t="s">
        <v>1981</v>
      </c>
      <c r="B1977">
        <v>0.99673306730245903</v>
      </c>
      <c r="C1977">
        <v>0.90565610566085097</v>
      </c>
      <c r="D1977">
        <v>0.84175506824009505</v>
      </c>
      <c r="E1977">
        <v>0.72549697553246395</v>
      </c>
      <c r="F1977">
        <v>0.28841928965375802</v>
      </c>
      <c r="G1977">
        <v>0.14586832036639499</v>
      </c>
      <c r="H1977">
        <v>7.7349004482167097E-2</v>
      </c>
      <c r="I1977">
        <v>7.7304213777680597E-2</v>
      </c>
      <c r="J1977">
        <v>8.6350032949574496E-2</v>
      </c>
      <c r="K1977">
        <v>7.9831589310739998E-2</v>
      </c>
      <c r="L1977">
        <v>1075.9237252872199</v>
      </c>
      <c r="M1977">
        <v>21.1549157032685</v>
      </c>
      <c r="N1977">
        <v>51.186493914939703</v>
      </c>
      <c r="O1977">
        <v>50.411358652569497</v>
      </c>
      <c r="P1977">
        <v>-9.8278895928836596E-2</v>
      </c>
      <c r="Q1977">
        <v>6.3244968706134594E-2</v>
      </c>
      <c r="R1977">
        <v>0.98721947925290299</v>
      </c>
      <c r="S1977" t="s">
        <v>8429</v>
      </c>
      <c r="T1977" t="s">
        <v>12902</v>
      </c>
      <c r="U1977" t="s">
        <v>12902</v>
      </c>
      <c r="V1977" t="s">
        <v>12902</v>
      </c>
      <c r="W1977" t="s">
        <v>14845</v>
      </c>
      <c r="X1977">
        <v>26</v>
      </c>
      <c r="Y1977" t="s">
        <v>21213</v>
      </c>
      <c r="Z1977" t="s">
        <v>27552</v>
      </c>
      <c r="AA1977">
        <v>0.41402126007923717</v>
      </c>
      <c r="AB1977" t="str">
        <f>HYPERLINK("Melting_Curves/meltCurve_P09543_2_CNP.pdf", "Melting_Curves/meltCurve_P09543_2_CNP.pdf")</f>
        <v>Melting_Curves/meltCurve_P09543_2_CNP.pdf</v>
      </c>
    </row>
    <row r="1978" spans="1:28" x14ac:dyDescent="0.25">
      <c r="A1978" t="s">
        <v>1982</v>
      </c>
      <c r="B1978">
        <v>0.99673306730245903</v>
      </c>
      <c r="C1978">
        <v>0.94469599133917004</v>
      </c>
      <c r="D1978">
        <v>0.88040298893940805</v>
      </c>
      <c r="E1978">
        <v>0.70017874469197905</v>
      </c>
      <c r="F1978">
        <v>0.61532638373009196</v>
      </c>
      <c r="G1978">
        <v>0.24803577410452701</v>
      </c>
      <c r="H1978">
        <v>0.121156380621251</v>
      </c>
      <c r="I1978">
        <v>0.10924997634712</v>
      </c>
      <c r="J1978">
        <v>0.10352504803368601</v>
      </c>
      <c r="K1978">
        <v>8.8556222701851803E-2</v>
      </c>
      <c r="L1978">
        <v>764.25314603952495</v>
      </c>
      <c r="M1978">
        <v>14.404140646353801</v>
      </c>
      <c r="N1978">
        <v>53.335056600275799</v>
      </c>
      <c r="O1978">
        <v>52.066671282614003</v>
      </c>
      <c r="P1978">
        <v>-6.6675593307297901E-2</v>
      </c>
      <c r="Q1978">
        <v>3.6064616748596803E-2</v>
      </c>
      <c r="R1978">
        <v>0.98423292652368999</v>
      </c>
      <c r="S1978" t="s">
        <v>8430</v>
      </c>
      <c r="T1978" t="s">
        <v>12902</v>
      </c>
      <c r="U1978" t="s">
        <v>12902</v>
      </c>
      <c r="V1978" t="s">
        <v>12902</v>
      </c>
      <c r="W1978" t="s">
        <v>14846</v>
      </c>
      <c r="X1978">
        <v>9</v>
      </c>
      <c r="Y1978" t="s">
        <v>21214</v>
      </c>
      <c r="Z1978" t="s">
        <v>27553</v>
      </c>
      <c r="AA1978">
        <v>0.47749294714665619</v>
      </c>
      <c r="AB1978" t="str">
        <f>HYPERLINK("Melting_Curves/meltCurve_P09601_HMOX1.pdf", "Melting_Curves/meltCurve_P09601_HMOX1.pdf")</f>
        <v>Melting_Curves/meltCurve_P09601_HMOX1.pdf</v>
      </c>
    </row>
    <row r="1979" spans="1:28" x14ac:dyDescent="0.25">
      <c r="A1979" t="s">
        <v>1983</v>
      </c>
      <c r="B1979">
        <v>0.99673306730245903</v>
      </c>
      <c r="C1979">
        <v>0.94876746273099499</v>
      </c>
      <c r="D1979">
        <v>0.99384638314522999</v>
      </c>
      <c r="E1979">
        <v>1.1343553802794699</v>
      </c>
      <c r="F1979">
        <v>0.96926905131534902</v>
      </c>
      <c r="G1979">
        <v>1.0543834718601901</v>
      </c>
      <c r="H1979">
        <v>1.62693212043391</v>
      </c>
      <c r="I1979">
        <v>1.5260284964343001</v>
      </c>
      <c r="J1979">
        <v>0.104164310383717</v>
      </c>
      <c r="K1979">
        <v>8.8063688985132102E-2</v>
      </c>
      <c r="L1979">
        <v>15000</v>
      </c>
      <c r="M1979">
        <v>226.858010208824</v>
      </c>
      <c r="N1979">
        <v>66.171685296300495</v>
      </c>
      <c r="O1979">
        <v>66.115509191114299</v>
      </c>
      <c r="P1979">
        <v>-0.78899699836620596</v>
      </c>
      <c r="Q1979">
        <v>8.0218623758467597E-2</v>
      </c>
      <c r="R1979">
        <v>0.69747542873145296</v>
      </c>
      <c r="S1979" t="s">
        <v>8431</v>
      </c>
      <c r="T1979" t="s">
        <v>12902</v>
      </c>
      <c r="U1979" t="s">
        <v>12902</v>
      </c>
      <c r="V1979" t="s">
        <v>12902</v>
      </c>
      <c r="W1979" t="s">
        <v>14847</v>
      </c>
      <c r="X1979">
        <v>2</v>
      </c>
      <c r="Y1979" t="s">
        <v>21215</v>
      </c>
      <c r="Z1979" t="s">
        <v>27554</v>
      </c>
      <c r="AA1979">
        <v>0.88119124943118909</v>
      </c>
      <c r="AB1979" t="str">
        <f>HYPERLINK("Melting_Curves/meltCurve_P09619_PDGFRB.pdf", "Melting_Curves/meltCurve_P09619_PDGFRB.pdf")</f>
        <v>Melting_Curves/meltCurve_P09619_PDGFRB.pdf</v>
      </c>
    </row>
    <row r="1980" spans="1:28" x14ac:dyDescent="0.25">
      <c r="A1980" t="s">
        <v>1984</v>
      </c>
      <c r="B1980">
        <v>0.99673306730245903</v>
      </c>
      <c r="C1980">
        <v>0.99661437253903495</v>
      </c>
      <c r="D1980">
        <v>1.0217787025842</v>
      </c>
      <c r="E1980">
        <v>1.02687446462682</v>
      </c>
      <c r="F1980">
        <v>1.0996518672845601</v>
      </c>
      <c r="G1980">
        <v>0.95500555179733604</v>
      </c>
      <c r="H1980">
        <v>0.94948735143847496</v>
      </c>
      <c r="I1980">
        <v>1.0881211920534299</v>
      </c>
      <c r="J1980">
        <v>1.6965312383962801</v>
      </c>
      <c r="K1980">
        <v>1.1668044140999001</v>
      </c>
      <c r="L1980">
        <v>15000</v>
      </c>
      <c r="M1980">
        <v>233.016195111549</v>
      </c>
      <c r="O1980">
        <v>64.368445806635094</v>
      </c>
      <c r="P1980">
        <v>0.39065752233594903</v>
      </c>
      <c r="Q1980">
        <v>1.43166142203214</v>
      </c>
      <c r="R1980">
        <v>0.64286868490384896</v>
      </c>
      <c r="S1980" t="s">
        <v>8432</v>
      </c>
      <c r="T1980" t="s">
        <v>12902</v>
      </c>
      <c r="U1980" t="s">
        <v>12902</v>
      </c>
      <c r="V1980" t="s">
        <v>12902</v>
      </c>
      <c r="W1980" t="s">
        <v>14848</v>
      </c>
      <c r="X1980">
        <v>35</v>
      </c>
      <c r="Y1980" t="s">
        <v>21216</v>
      </c>
      <c r="Z1980" t="s">
        <v>27555</v>
      </c>
      <c r="AA1980">
        <v>1.08090616462471</v>
      </c>
      <c r="AB1980" t="str">
        <f>HYPERLINK("Melting_Curves/meltCurve_P09622_DLD.pdf", "Melting_Curves/meltCurve_P09622_DLD.pdf")</f>
        <v>Melting_Curves/meltCurve_P09622_DLD.pdf</v>
      </c>
    </row>
    <row r="1981" spans="1:28" x14ac:dyDescent="0.25">
      <c r="A1981" t="s">
        <v>1985</v>
      </c>
      <c r="B1981">
        <v>0.99673306730245903</v>
      </c>
      <c r="C1981">
        <v>0.95869558164822599</v>
      </c>
      <c r="D1981">
        <v>1.0977525503631</v>
      </c>
      <c r="E1981">
        <v>1.2285215732336301</v>
      </c>
      <c r="F1981">
        <v>0.95231738937778498</v>
      </c>
      <c r="G1981">
        <v>0.56616413638933205</v>
      </c>
      <c r="H1981">
        <v>0.14279983111799299</v>
      </c>
      <c r="I1981">
        <v>0.11594099204538</v>
      </c>
      <c r="J1981">
        <v>0.12176036476890099</v>
      </c>
      <c r="K1981">
        <v>0.116836710872956</v>
      </c>
      <c r="L1981">
        <v>2812.1672251311102</v>
      </c>
      <c r="M1981">
        <v>49.482991768767199</v>
      </c>
      <c r="N1981">
        <v>57.133336395658802</v>
      </c>
      <c r="O1981">
        <v>56.7383948796952</v>
      </c>
      <c r="P1981">
        <v>-0.19291595207784001</v>
      </c>
      <c r="Q1981">
        <v>0.115192343738078</v>
      </c>
      <c r="R1981">
        <v>0.96707700170064903</v>
      </c>
      <c r="S1981" t="s">
        <v>8433</v>
      </c>
      <c r="T1981" t="s">
        <v>12902</v>
      </c>
      <c r="U1981" t="s">
        <v>12902</v>
      </c>
      <c r="V1981" t="s">
        <v>12902</v>
      </c>
      <c r="W1981" t="s">
        <v>14849</v>
      </c>
      <c r="X1981">
        <v>17</v>
      </c>
      <c r="Y1981" t="s">
        <v>21217</v>
      </c>
      <c r="Z1981" t="s">
        <v>27556</v>
      </c>
      <c r="AA1981">
        <v>0.61385855247627341</v>
      </c>
      <c r="AB1981" t="str">
        <f>HYPERLINK("Melting_Curves/meltCurve_P09661_SNRPA1.pdf", "Melting_Curves/meltCurve_P09661_SNRPA1.pdf")</f>
        <v>Melting_Curves/meltCurve_P09661_SNRPA1.pdf</v>
      </c>
    </row>
    <row r="1982" spans="1:28" x14ac:dyDescent="0.25">
      <c r="A1982" t="s">
        <v>1986</v>
      </c>
      <c r="B1982">
        <v>0.99673306730245903</v>
      </c>
      <c r="C1982">
        <v>1.09206086338268</v>
      </c>
      <c r="D1982">
        <v>0.99581695066101905</v>
      </c>
      <c r="E1982">
        <v>0.89787163239469003</v>
      </c>
      <c r="F1982">
        <v>0.69090972401546102</v>
      </c>
      <c r="G1982">
        <v>0.57411171468550704</v>
      </c>
      <c r="H1982">
        <v>0.59661271330702104</v>
      </c>
      <c r="I1982">
        <v>0.82190183325823596</v>
      </c>
      <c r="J1982">
        <v>0.96192335162673104</v>
      </c>
      <c r="K1982">
        <v>0.94911870296685596</v>
      </c>
      <c r="L1982">
        <v>12412.766727460999</v>
      </c>
      <c r="M1982">
        <v>250</v>
      </c>
      <c r="O1982">
        <v>49.647907081196699</v>
      </c>
      <c r="P1982">
        <v>-0.29487279761944002</v>
      </c>
      <c r="Q1982">
        <v>0.76576300632102701</v>
      </c>
      <c r="R1982">
        <v>0.46994763215763902</v>
      </c>
      <c r="S1982" t="s">
        <v>8434</v>
      </c>
      <c r="T1982" t="s">
        <v>12902</v>
      </c>
      <c r="U1982" t="s">
        <v>12902</v>
      </c>
      <c r="V1982" t="s">
        <v>12902</v>
      </c>
      <c r="W1982" t="s">
        <v>14850</v>
      </c>
      <c r="X1982">
        <v>9</v>
      </c>
      <c r="Y1982" t="s">
        <v>21218</v>
      </c>
      <c r="Z1982" t="s">
        <v>27557</v>
      </c>
      <c r="AA1982">
        <v>0.8411379802866189</v>
      </c>
      <c r="AB1982" t="str">
        <f>HYPERLINK("Melting_Curves/meltCurve_P09669_COX6C.pdf", "Melting_Curves/meltCurve_P09669_COX6C.pdf")</f>
        <v>Melting_Curves/meltCurve_P09669_COX6C.pdf</v>
      </c>
    </row>
    <row r="1983" spans="1:28" x14ac:dyDescent="0.25">
      <c r="A1983" t="s">
        <v>1987</v>
      </c>
      <c r="B1983">
        <v>0.99673306730245903</v>
      </c>
      <c r="C1983">
        <v>0.92842192000906298</v>
      </c>
      <c r="D1983">
        <v>0.50316909898658302</v>
      </c>
      <c r="E1983">
        <v>0.267770341822195</v>
      </c>
      <c r="F1983">
        <v>0.13682986311380199</v>
      </c>
      <c r="G1983">
        <v>8.9385331656117298E-2</v>
      </c>
      <c r="H1983">
        <v>5.8215711952147697E-2</v>
      </c>
      <c r="I1983">
        <v>4.9017304721793997E-2</v>
      </c>
      <c r="J1983">
        <v>4.9042674325773999E-2</v>
      </c>
      <c r="K1983">
        <v>4.3474880556050699E-2</v>
      </c>
      <c r="L1983">
        <v>1060.90276609031</v>
      </c>
      <c r="M1983">
        <v>22.922606963133099</v>
      </c>
      <c r="N1983">
        <v>46.551033728347001</v>
      </c>
      <c r="O1983">
        <v>45.934042022124103</v>
      </c>
      <c r="P1983">
        <v>-0.117019292925004</v>
      </c>
      <c r="Q1983">
        <v>6.2049982524889899E-2</v>
      </c>
      <c r="R1983">
        <v>0.99092662129627296</v>
      </c>
      <c r="S1983" t="s">
        <v>8435</v>
      </c>
      <c r="T1983" t="s">
        <v>12902</v>
      </c>
      <c r="U1983" t="s">
        <v>12902</v>
      </c>
      <c r="V1983" t="s">
        <v>12902</v>
      </c>
      <c r="W1983" t="s">
        <v>14851</v>
      </c>
      <c r="X1983">
        <v>49</v>
      </c>
      <c r="Y1983" t="s">
        <v>21219</v>
      </c>
      <c r="Z1983" t="s">
        <v>27558</v>
      </c>
      <c r="AA1983">
        <v>0.26888173272282168</v>
      </c>
      <c r="AB1983" t="str">
        <f>HYPERLINK("Melting_Curves/meltCurve_P09874_PARP1.pdf", "Melting_Curves/meltCurve_P09874_PARP1.pdf")</f>
        <v>Melting_Curves/meltCurve_P09874_PARP1.pdf</v>
      </c>
    </row>
    <row r="1984" spans="1:28" x14ac:dyDescent="0.25">
      <c r="A1984" t="s">
        <v>1988</v>
      </c>
      <c r="B1984">
        <v>0.99673306730245903</v>
      </c>
      <c r="C1984">
        <v>1.0268361387796201</v>
      </c>
      <c r="D1984">
        <v>0.85938976387962396</v>
      </c>
      <c r="E1984">
        <v>1.04115859662822</v>
      </c>
      <c r="F1984">
        <v>0.67723965619928705</v>
      </c>
      <c r="G1984">
        <v>0.230765705137704</v>
      </c>
      <c r="H1984">
        <v>8.9266911241698402E-2</v>
      </c>
      <c r="I1984">
        <v>6.2730414587566202E-2</v>
      </c>
      <c r="J1984">
        <v>6.0331102432132799E-2</v>
      </c>
      <c r="K1984">
        <v>5.1205481848240801E-2</v>
      </c>
      <c r="L1984">
        <v>1961.66523310863</v>
      </c>
      <c r="M1984">
        <v>36.142488174230301</v>
      </c>
      <c r="N1984">
        <v>54.473642311008199</v>
      </c>
      <c r="O1984">
        <v>54.110522381245502</v>
      </c>
      <c r="P1984">
        <v>-0.15671788234336201</v>
      </c>
      <c r="Q1984">
        <v>6.1485775990954498E-2</v>
      </c>
      <c r="R1984">
        <v>0.98566528389587804</v>
      </c>
      <c r="S1984" t="s">
        <v>8436</v>
      </c>
      <c r="T1984" t="s">
        <v>12902</v>
      </c>
      <c r="U1984" t="s">
        <v>12902</v>
      </c>
      <c r="V1984" t="s">
        <v>12902</v>
      </c>
      <c r="W1984" t="s">
        <v>14852</v>
      </c>
      <c r="X1984">
        <v>38</v>
      </c>
      <c r="Y1984" t="s">
        <v>21220</v>
      </c>
      <c r="Z1984" t="s">
        <v>27559</v>
      </c>
      <c r="AA1984">
        <v>0.51238714136382257</v>
      </c>
      <c r="AB1984" t="str">
        <f>HYPERLINK("Melting_Curves/meltCurve_P09960_LTA4H.pdf", "Melting_Curves/meltCurve_P09960_LTA4H.pdf")</f>
        <v>Melting_Curves/meltCurve_P09960_LTA4H.pdf</v>
      </c>
    </row>
    <row r="1985" spans="1:28" x14ac:dyDescent="0.25">
      <c r="A1985" t="s">
        <v>1989</v>
      </c>
      <c r="B1985">
        <v>0.99673306730245903</v>
      </c>
      <c r="C1985">
        <v>0.98513219881481495</v>
      </c>
      <c r="D1985">
        <v>1.01659833444368</v>
      </c>
      <c r="E1985">
        <v>1.12451507799682</v>
      </c>
      <c r="F1985">
        <v>1.14114058506201</v>
      </c>
      <c r="G1985">
        <v>0.98923251042618099</v>
      </c>
      <c r="H1985">
        <v>0.66501764967631805</v>
      </c>
      <c r="I1985">
        <v>0.40932233582377597</v>
      </c>
      <c r="J1985">
        <v>0.12681797007659801</v>
      </c>
      <c r="K1985">
        <v>8.5560226718412694E-2</v>
      </c>
      <c r="L1985">
        <v>1831.7985112210699</v>
      </c>
      <c r="M1985">
        <v>29.2807077394549</v>
      </c>
      <c r="N1985">
        <v>62.727477233801501</v>
      </c>
      <c r="O1985">
        <v>62.270297519151597</v>
      </c>
      <c r="P1985">
        <v>-0.113133450799883</v>
      </c>
      <c r="Q1985">
        <v>3.7618592914926398E-2</v>
      </c>
      <c r="R1985">
        <v>0.97062038635489201</v>
      </c>
      <c r="S1985" t="s">
        <v>8437</v>
      </c>
      <c r="T1985" t="s">
        <v>12902</v>
      </c>
      <c r="U1985" t="s">
        <v>12902</v>
      </c>
      <c r="V1985" t="s">
        <v>12902</v>
      </c>
      <c r="W1985" t="s">
        <v>14853</v>
      </c>
      <c r="X1985">
        <v>46</v>
      </c>
      <c r="Y1985" t="s">
        <v>21221</v>
      </c>
      <c r="Z1985" t="s">
        <v>27560</v>
      </c>
      <c r="AA1985">
        <v>0.76509156097317044</v>
      </c>
      <c r="AB1985" t="str">
        <f>HYPERLINK("Melting_Curves/meltCurve_P09972_ALDOC.pdf", "Melting_Curves/meltCurve_P09972_ALDOC.pdf")</f>
        <v>Melting_Curves/meltCurve_P09972_ALDOC.pdf</v>
      </c>
    </row>
    <row r="1986" spans="1:28" x14ac:dyDescent="0.25">
      <c r="A1986" t="s">
        <v>1990</v>
      </c>
      <c r="B1986">
        <v>0.99673306730245903</v>
      </c>
      <c r="C1986">
        <v>0.97833383598867596</v>
      </c>
      <c r="D1986">
        <v>0.93603334029473595</v>
      </c>
      <c r="E1986">
        <v>0.95667807214026501</v>
      </c>
      <c r="F1986">
        <v>0.81841293101954704</v>
      </c>
      <c r="G1986">
        <v>0.65679619120025601</v>
      </c>
      <c r="H1986">
        <v>0.317852298475019</v>
      </c>
      <c r="I1986">
        <v>0.159851689868617</v>
      </c>
      <c r="J1986">
        <v>0.18326042520472799</v>
      </c>
      <c r="K1986">
        <v>0.17150561026676001</v>
      </c>
      <c r="L1986">
        <v>1191.3723250574301</v>
      </c>
      <c r="M1986">
        <v>20.763595002296501</v>
      </c>
      <c r="N1986">
        <v>58.172575631586</v>
      </c>
      <c r="O1986">
        <v>56.853681840157599</v>
      </c>
      <c r="P1986">
        <v>-8.0031204558938807E-2</v>
      </c>
      <c r="Q1986">
        <v>0.123477328280561</v>
      </c>
      <c r="R1986">
        <v>0.98998391377574302</v>
      </c>
      <c r="S1986" t="s">
        <v>8438</v>
      </c>
      <c r="T1986" t="s">
        <v>12902</v>
      </c>
      <c r="U1986" t="s">
        <v>12902</v>
      </c>
      <c r="V1986" t="s">
        <v>12902</v>
      </c>
      <c r="W1986" t="s">
        <v>14854</v>
      </c>
      <c r="X1986">
        <v>3</v>
      </c>
      <c r="Y1986" t="s">
        <v>21222</v>
      </c>
      <c r="Z1986" t="s">
        <v>27561</v>
      </c>
      <c r="AA1986">
        <v>0.64123645992639922</v>
      </c>
      <c r="AB1986" t="str">
        <f>HYPERLINK("Melting_Curves/meltCurve_P0C024_NUDT7.pdf", "Melting_Curves/meltCurve_P0C024_NUDT7.pdf")</f>
        <v>Melting_Curves/meltCurve_P0C024_NUDT7.pdf</v>
      </c>
    </row>
    <row r="1987" spans="1:28" x14ac:dyDescent="0.25">
      <c r="A1987" t="s">
        <v>1991</v>
      </c>
      <c r="B1987">
        <v>0.99673306730245903</v>
      </c>
      <c r="C1987">
        <v>0.91043530518602001</v>
      </c>
      <c r="D1987">
        <v>0.84140859905105603</v>
      </c>
      <c r="E1987">
        <v>0.60350960578664203</v>
      </c>
      <c r="F1987">
        <v>0.25704686478743399</v>
      </c>
      <c r="G1987">
        <v>0.18649257024574301</v>
      </c>
      <c r="H1987">
        <v>5.6392701129391598E-2</v>
      </c>
      <c r="I1987">
        <v>6.8428242007382595E-2</v>
      </c>
      <c r="J1987">
        <v>0.105941644164914</v>
      </c>
      <c r="K1987">
        <v>9.8427397064365499E-2</v>
      </c>
      <c r="L1987">
        <v>949.18300214124201</v>
      </c>
      <c r="M1987">
        <v>18.995819815666199</v>
      </c>
      <c r="N1987">
        <v>50.377348122514903</v>
      </c>
      <c r="O1987">
        <v>49.424116462338901</v>
      </c>
      <c r="P1987">
        <v>-8.92176582027885E-2</v>
      </c>
      <c r="Q1987">
        <v>7.1516293277260598E-2</v>
      </c>
      <c r="R1987">
        <v>0.99263261519460799</v>
      </c>
      <c r="S1987" t="s">
        <v>8439</v>
      </c>
      <c r="T1987" t="s">
        <v>12902</v>
      </c>
      <c r="U1987" t="s">
        <v>12902</v>
      </c>
      <c r="V1987" t="s">
        <v>12902</v>
      </c>
      <c r="W1987" t="s">
        <v>14855</v>
      </c>
      <c r="X1987">
        <v>5</v>
      </c>
      <c r="Y1987" t="s">
        <v>21223</v>
      </c>
      <c r="Z1987" t="s">
        <v>27562</v>
      </c>
      <c r="AA1987">
        <v>0.39430776956969532</v>
      </c>
      <c r="AB1987" t="str">
        <f>HYPERLINK("Melting_Curves/meltCurve_P0C7P0_CISD3.pdf", "Melting_Curves/meltCurve_P0C7P0_CISD3.pdf")</f>
        <v>Melting_Curves/meltCurve_P0C7P0_CISD3.pdf</v>
      </c>
    </row>
    <row r="1988" spans="1:28" x14ac:dyDescent="0.25">
      <c r="A1988" t="s">
        <v>1992</v>
      </c>
      <c r="B1988">
        <v>0.99673306730245903</v>
      </c>
      <c r="C1988">
        <v>0.86598278752314595</v>
      </c>
      <c r="D1988">
        <v>0.75459092436332098</v>
      </c>
      <c r="E1988">
        <v>0.57976145578677396</v>
      </c>
      <c r="F1988">
        <v>0.36396055923146398</v>
      </c>
      <c r="G1988">
        <v>0.244126670752254</v>
      </c>
      <c r="H1988">
        <v>0.28275105079463098</v>
      </c>
      <c r="I1988">
        <v>0.30184763880924398</v>
      </c>
      <c r="J1988">
        <v>0.46111504585240998</v>
      </c>
      <c r="K1988">
        <v>0.57767615375711101</v>
      </c>
      <c r="L1988">
        <v>997.74597103678298</v>
      </c>
      <c r="M1988">
        <v>21.2902423502339</v>
      </c>
      <c r="N1988">
        <v>50.008023453112898</v>
      </c>
      <c r="O1988">
        <v>46.456423939341903</v>
      </c>
      <c r="P1988">
        <v>-7.2309468190106502E-2</v>
      </c>
      <c r="Q1988">
        <v>0.36888385120099099</v>
      </c>
      <c r="R1988">
        <v>0.84611076339218005</v>
      </c>
      <c r="S1988" t="s">
        <v>8440</v>
      </c>
      <c r="T1988" t="s">
        <v>12902</v>
      </c>
      <c r="U1988" t="s">
        <v>12902</v>
      </c>
      <c r="V1988" t="s">
        <v>12902</v>
      </c>
      <c r="W1988" t="s">
        <v>14856</v>
      </c>
      <c r="X1988">
        <v>1</v>
      </c>
      <c r="Y1988" t="s">
        <v>21224</v>
      </c>
      <c r="Z1988" t="s">
        <v>27563</v>
      </c>
      <c r="AA1988">
        <v>0.52136736206940915</v>
      </c>
      <c r="AB1988" t="str">
        <f>HYPERLINK("Melting_Curves/meltCurve_P0C7T5_ATXN1L.pdf", "Melting_Curves/meltCurve_P0C7T5_ATXN1L.pdf")</f>
        <v>Melting_Curves/meltCurve_P0C7T5_ATXN1L.pdf</v>
      </c>
    </row>
    <row r="1989" spans="1:28" x14ac:dyDescent="0.25">
      <c r="A1989" t="s">
        <v>1993</v>
      </c>
      <c r="B1989">
        <v>0.99673306730245903</v>
      </c>
      <c r="C1989">
        <v>0.94297169337174802</v>
      </c>
      <c r="D1989">
        <v>0.91124399749717799</v>
      </c>
      <c r="E1989">
        <v>0.81000586657939</v>
      </c>
      <c r="F1989">
        <v>0.67140850140953101</v>
      </c>
      <c r="G1989">
        <v>0.45515003590178699</v>
      </c>
      <c r="H1989">
        <v>0.26156947809907299</v>
      </c>
      <c r="I1989">
        <v>6.6316558595862093E-2</v>
      </c>
      <c r="J1989">
        <v>5.3947772400051802E-2</v>
      </c>
      <c r="K1989">
        <v>5.3514529879165197E-2</v>
      </c>
      <c r="L1989">
        <v>775.05666954907701</v>
      </c>
      <c r="M1989">
        <v>13.9474694847645</v>
      </c>
      <c r="N1989">
        <v>55.569697976657302</v>
      </c>
      <c r="O1989">
        <v>54.464739023975703</v>
      </c>
      <c r="P1989">
        <v>-6.4029235797244496E-2</v>
      </c>
      <c r="Q1989">
        <v>0</v>
      </c>
      <c r="R1989">
        <v>0.99109689369684195</v>
      </c>
      <c r="S1989" t="s">
        <v>8441</v>
      </c>
      <c r="T1989" t="s">
        <v>12902</v>
      </c>
      <c r="U1989" t="s">
        <v>12902</v>
      </c>
      <c r="V1989" t="s">
        <v>12902</v>
      </c>
      <c r="W1989" t="s">
        <v>14857</v>
      </c>
      <c r="X1989">
        <v>4</v>
      </c>
      <c r="Y1989" t="s">
        <v>21225</v>
      </c>
      <c r="Z1989" t="s">
        <v>27564</v>
      </c>
      <c r="AA1989">
        <v>0.53865700498058999</v>
      </c>
      <c r="AB1989" t="str">
        <f>HYPERLINK("Melting_Curves/meltCurve_P0C870_JMJD7.pdf", "Melting_Curves/meltCurve_P0C870_JMJD7.pdf")</f>
        <v>Melting_Curves/meltCurve_P0C870_JMJD7.pdf</v>
      </c>
    </row>
    <row r="1990" spans="1:28" x14ac:dyDescent="0.25">
      <c r="A1990" t="s">
        <v>1994</v>
      </c>
      <c r="B1990">
        <v>0.99673306730245903</v>
      </c>
      <c r="C1990">
        <v>0.86939481032293398</v>
      </c>
      <c r="D1990">
        <v>1.02608517188432</v>
      </c>
      <c r="E1990">
        <v>1.0094813160653999</v>
      </c>
      <c r="F1990">
        <v>0.89787784355995803</v>
      </c>
      <c r="G1990">
        <v>0.64839783130426798</v>
      </c>
      <c r="H1990">
        <v>0.58615540229297303</v>
      </c>
      <c r="I1990">
        <v>0.59863628514341904</v>
      </c>
      <c r="J1990">
        <v>1.1936862627425</v>
      </c>
      <c r="K1990">
        <v>1.3213520981061699</v>
      </c>
      <c r="L1990">
        <v>15000</v>
      </c>
      <c r="M1990">
        <v>223.96281260443001</v>
      </c>
      <c r="O1990">
        <v>66.970043407228403</v>
      </c>
      <c r="P1990">
        <v>0.26870039153855801</v>
      </c>
      <c r="Q1990">
        <v>1.3213905431089601</v>
      </c>
      <c r="R1990">
        <v>0.12336749114546899</v>
      </c>
      <c r="S1990" t="s">
        <v>8442</v>
      </c>
      <c r="T1990" t="s">
        <v>12902</v>
      </c>
      <c r="U1990" t="s">
        <v>12902</v>
      </c>
      <c r="V1990" t="s">
        <v>12902</v>
      </c>
      <c r="W1990" t="s">
        <v>14858</v>
      </c>
      <c r="X1990">
        <v>1</v>
      </c>
      <c r="Y1990" t="s">
        <v>21226</v>
      </c>
      <c r="Z1990" t="s">
        <v>27565</v>
      </c>
      <c r="AA1990">
        <v>1.0323556931007469</v>
      </c>
      <c r="AB1990" t="str">
        <f>HYPERLINK("Melting_Curves/meltCurve_P0CAP2_POLR2M.pdf", "Melting_Curves/meltCurve_P0CAP2_POLR2M.pdf")</f>
        <v>Melting_Curves/meltCurve_P0CAP2_POLR2M.pdf</v>
      </c>
    </row>
    <row r="1991" spans="1:28" x14ac:dyDescent="0.25">
      <c r="A1991" t="s">
        <v>1995</v>
      </c>
      <c r="B1991">
        <v>0.99673306730245903</v>
      </c>
      <c r="C1991">
        <v>1.02210019604859</v>
      </c>
      <c r="D1991">
        <v>1.0040034131425799</v>
      </c>
      <c r="E1991">
        <v>0.91719689557881601</v>
      </c>
      <c r="F1991">
        <v>0.877493029938203</v>
      </c>
      <c r="G1991">
        <v>0.62213580651408795</v>
      </c>
      <c r="H1991">
        <v>0.52047183124378604</v>
      </c>
      <c r="I1991">
        <v>0.67415725668245197</v>
      </c>
      <c r="J1991">
        <v>1.16266546926138</v>
      </c>
      <c r="K1991">
        <v>1.3401955093926801</v>
      </c>
      <c r="L1991">
        <v>15000</v>
      </c>
      <c r="M1991">
        <v>223.45899193771399</v>
      </c>
      <c r="O1991">
        <v>67.121032771301202</v>
      </c>
      <c r="P1991">
        <v>0.28317817348673502</v>
      </c>
      <c r="Q1991">
        <v>1.34023623889195</v>
      </c>
      <c r="R1991">
        <v>0.119043181102111</v>
      </c>
      <c r="S1991" t="s">
        <v>8443</v>
      </c>
      <c r="T1991" t="s">
        <v>12902</v>
      </c>
      <c r="U1991" t="s">
        <v>12902</v>
      </c>
      <c r="V1991" t="s">
        <v>12902</v>
      </c>
      <c r="W1991" t="s">
        <v>14859</v>
      </c>
      <c r="X1991">
        <v>3</v>
      </c>
      <c r="Y1991" t="s">
        <v>21227</v>
      </c>
      <c r="Z1991" t="s">
        <v>27566</v>
      </c>
      <c r="AA1991">
        <v>1.032540194010436</v>
      </c>
      <c r="AB1991" t="str">
        <f>HYPERLINK("Melting_Curves/meltCurve_P0CG12_CHTF8.pdf", "Melting_Curves/meltCurve_P0CG12_CHTF8.pdf")</f>
        <v>Melting_Curves/meltCurve_P0CG12_CHTF8.pdf</v>
      </c>
    </row>
    <row r="1992" spans="1:28" x14ac:dyDescent="0.25">
      <c r="A1992" t="s">
        <v>1996</v>
      </c>
      <c r="B1992">
        <v>0.99673306730245903</v>
      </c>
      <c r="C1992">
        <v>1.1929685342706799</v>
      </c>
      <c r="D1992">
        <v>1.0027456986335901</v>
      </c>
      <c r="E1992">
        <v>1.0952113611622101</v>
      </c>
      <c r="F1992">
        <v>0.76740904798736398</v>
      </c>
      <c r="G1992">
        <v>0.43746539257519601</v>
      </c>
      <c r="H1992">
        <v>0.13773803216248601</v>
      </c>
      <c r="I1992">
        <v>0.102799569240003</v>
      </c>
      <c r="J1992">
        <v>0.11920923096345699</v>
      </c>
      <c r="K1992">
        <v>0.116620188715888</v>
      </c>
      <c r="L1992">
        <v>1697.65591256794</v>
      </c>
      <c r="M1992">
        <v>30.553412331358601</v>
      </c>
      <c r="N1992">
        <v>55.982616002808101</v>
      </c>
      <c r="O1992">
        <v>55.327148572454199</v>
      </c>
      <c r="P1992">
        <v>-0.12394613455919699</v>
      </c>
      <c r="Q1992">
        <v>0.102222106080525</v>
      </c>
      <c r="R1992">
        <v>0.97070137976536297</v>
      </c>
      <c r="S1992" t="s">
        <v>8444</v>
      </c>
      <c r="T1992" t="s">
        <v>12902</v>
      </c>
      <c r="U1992" t="s">
        <v>12902</v>
      </c>
      <c r="V1992" t="s">
        <v>12902</v>
      </c>
      <c r="W1992" t="s">
        <v>14860</v>
      </c>
      <c r="X1992">
        <v>8</v>
      </c>
      <c r="Y1992" t="s">
        <v>21228</v>
      </c>
      <c r="Z1992" t="s">
        <v>27567</v>
      </c>
      <c r="AA1992">
        <v>0.57375238290499886</v>
      </c>
      <c r="AB1992" t="str">
        <f>HYPERLINK("Melting_Curves/meltCurve_P0CW22_RPS17L.pdf", "Melting_Curves/meltCurve_P0CW22_RPS17L.pdf")</f>
        <v>Melting_Curves/meltCurve_P0CW22_RPS17L.pdf</v>
      </c>
    </row>
    <row r="1993" spans="1:28" x14ac:dyDescent="0.25">
      <c r="A1993" t="s">
        <v>1997</v>
      </c>
      <c r="B1993">
        <v>0.99673306730245903</v>
      </c>
      <c r="C1993">
        <v>0.79024853946819895</v>
      </c>
      <c r="D1993">
        <v>1.29056448426964</v>
      </c>
      <c r="E1993">
        <v>0.923936860620856</v>
      </c>
      <c r="F1993">
        <v>0.77795431740958998</v>
      </c>
      <c r="G1993">
        <v>0.56941555907669605</v>
      </c>
      <c r="H1993">
        <v>0.58220431467428402</v>
      </c>
      <c r="I1993">
        <v>0.84128807079458801</v>
      </c>
      <c r="J1993">
        <v>1.04630251682496</v>
      </c>
      <c r="K1993">
        <v>1.0117326119268999</v>
      </c>
      <c r="L1993">
        <v>12422.249211156</v>
      </c>
      <c r="M1993">
        <v>250</v>
      </c>
      <c r="O1993">
        <v>49.685817154611499</v>
      </c>
      <c r="P1993">
        <v>-0.24552249207578</v>
      </c>
      <c r="Q1993">
        <v>0.80481623015019099</v>
      </c>
      <c r="R1993">
        <v>0.224725932797227</v>
      </c>
      <c r="S1993" t="s">
        <v>8445</v>
      </c>
      <c r="T1993" t="s">
        <v>12902</v>
      </c>
      <c r="U1993" t="s">
        <v>12902</v>
      </c>
      <c r="V1993" t="s">
        <v>12902</v>
      </c>
      <c r="W1993" t="s">
        <v>14861</v>
      </c>
      <c r="X1993">
        <v>1</v>
      </c>
      <c r="Y1993" t="s">
        <v>21229</v>
      </c>
      <c r="Z1993" t="s">
        <v>27568</v>
      </c>
      <c r="AA1993">
        <v>0.8678710818482529</v>
      </c>
      <c r="AB1993" t="str">
        <f>HYPERLINK("Melting_Curves/meltCurve_P0DJ93_SMIM13.pdf", "Melting_Curves/meltCurve_P0DJ93_SMIM13.pdf")</f>
        <v>Melting_Curves/meltCurve_P0DJ93_SMIM13.pdf</v>
      </c>
    </row>
    <row r="1994" spans="1:28" x14ac:dyDescent="0.25">
      <c r="A1994" t="s">
        <v>1998</v>
      </c>
      <c r="B1994">
        <v>0.99673306730245903</v>
      </c>
      <c r="C1994">
        <v>1.0056251820004001</v>
      </c>
      <c r="D1994">
        <v>1.1863522376656701</v>
      </c>
      <c r="E1994">
        <v>0.97037514513616796</v>
      </c>
      <c r="F1994">
        <v>0.92022657913734196</v>
      </c>
      <c r="G1994">
        <v>0.60770606822511997</v>
      </c>
      <c r="H1994">
        <v>0.48174094968638898</v>
      </c>
      <c r="I1994">
        <v>0.59061316711808198</v>
      </c>
      <c r="J1994">
        <v>0.97681343593577596</v>
      </c>
      <c r="K1994">
        <v>0.94893989188465899</v>
      </c>
      <c r="L1994">
        <v>13348.6478116007</v>
      </c>
      <c r="M1994">
        <v>250</v>
      </c>
      <c r="O1994">
        <v>53.391183085127601</v>
      </c>
      <c r="P1994">
        <v>-0.32640846312620098</v>
      </c>
      <c r="Q1994">
        <v>0.72116270160212603</v>
      </c>
      <c r="R1994">
        <v>0.48064272866157898</v>
      </c>
      <c r="S1994" t="s">
        <v>8446</v>
      </c>
      <c r="T1994" t="s">
        <v>12902</v>
      </c>
      <c r="U1994" t="s">
        <v>12902</v>
      </c>
      <c r="V1994" t="s">
        <v>12902</v>
      </c>
      <c r="W1994" t="s">
        <v>14862</v>
      </c>
      <c r="X1994">
        <v>9</v>
      </c>
      <c r="Y1994" t="s">
        <v>21230</v>
      </c>
      <c r="Z1994" t="s">
        <v>27569</v>
      </c>
      <c r="AA1994">
        <v>0.84568588506170661</v>
      </c>
      <c r="AB1994" t="str">
        <f>HYPERLINK("Melting_Curves/meltCurve_P10109_FDX1.pdf", "Melting_Curves/meltCurve_P10109_FDX1.pdf")</f>
        <v>Melting_Curves/meltCurve_P10109_FDX1.pdf</v>
      </c>
    </row>
    <row r="1995" spans="1:28" x14ac:dyDescent="0.25">
      <c r="A1995" t="s">
        <v>1999</v>
      </c>
      <c r="B1995">
        <v>0.99673306730245903</v>
      </c>
      <c r="C1995">
        <v>1.00116464063953</v>
      </c>
      <c r="D1995">
        <v>0.90349209300997702</v>
      </c>
      <c r="E1995">
        <v>0.76285463397782405</v>
      </c>
      <c r="F1995">
        <v>0.66027405218531598</v>
      </c>
      <c r="G1995">
        <v>0.59711110479220997</v>
      </c>
      <c r="H1995">
        <v>0.46010989741664599</v>
      </c>
      <c r="I1995">
        <v>0.52602538281025102</v>
      </c>
      <c r="J1995">
        <v>0.32670242093323398</v>
      </c>
      <c r="K1995">
        <v>0.22695521536235899</v>
      </c>
      <c r="L1995">
        <v>400.23496888998102</v>
      </c>
      <c r="M1995">
        <v>6.64605883975117</v>
      </c>
      <c r="N1995">
        <v>60.2214004187787</v>
      </c>
      <c r="O1995">
        <v>55.470106633437602</v>
      </c>
      <c r="P1995">
        <v>-3.0020439543375198E-2</v>
      </c>
      <c r="Q1995">
        <v>0</v>
      </c>
      <c r="R1995">
        <v>0.95693095986776799</v>
      </c>
      <c r="S1995" t="s">
        <v>8447</v>
      </c>
      <c r="T1995" t="s">
        <v>12902</v>
      </c>
      <c r="U1995" t="s">
        <v>12902</v>
      </c>
      <c r="V1995" t="s">
        <v>12902</v>
      </c>
      <c r="W1995" t="s">
        <v>14863</v>
      </c>
      <c r="X1995">
        <v>5</v>
      </c>
      <c r="Y1995" t="s">
        <v>21231</v>
      </c>
      <c r="Z1995" t="s">
        <v>27570</v>
      </c>
      <c r="AA1995">
        <v>0.64457678739762436</v>
      </c>
      <c r="AB1995" t="str">
        <f>HYPERLINK("Melting_Curves/meltCurve_P10114_RAP2A.pdf", "Melting_Curves/meltCurve_P10114_RAP2A.pdf")</f>
        <v>Melting_Curves/meltCurve_P10114_RAP2A.pdf</v>
      </c>
    </row>
    <row r="1996" spans="1:28" x14ac:dyDescent="0.25">
      <c r="A1996" t="s">
        <v>2000</v>
      </c>
      <c r="B1996">
        <v>0.99673306730245903</v>
      </c>
      <c r="C1996">
        <v>0.94274621787998603</v>
      </c>
      <c r="D1996">
        <v>0.93231897614713499</v>
      </c>
      <c r="E1996">
        <v>0.98633533395469697</v>
      </c>
      <c r="F1996">
        <v>0.96346402302784195</v>
      </c>
      <c r="G1996">
        <v>0.73858705700704597</v>
      </c>
      <c r="H1996">
        <v>0.34581328680245599</v>
      </c>
      <c r="I1996">
        <v>0.12023159052330799</v>
      </c>
      <c r="J1996">
        <v>8.7756553436099505E-2</v>
      </c>
      <c r="K1996">
        <v>6.7839586145554298E-2</v>
      </c>
      <c r="L1996">
        <v>1629.31896636907</v>
      </c>
      <c r="M1996">
        <v>27.668211654797901</v>
      </c>
      <c r="N1996">
        <v>59.113027744659398</v>
      </c>
      <c r="O1996">
        <v>58.582714956914899</v>
      </c>
      <c r="P1996">
        <v>-0.112166469554596</v>
      </c>
      <c r="Q1996">
        <v>5.0035134866463098E-2</v>
      </c>
      <c r="R1996">
        <v>0.99412348532218897</v>
      </c>
      <c r="S1996" t="s">
        <v>8448</v>
      </c>
      <c r="T1996" t="s">
        <v>12902</v>
      </c>
      <c r="U1996" t="s">
        <v>12902</v>
      </c>
      <c r="V1996" t="s">
        <v>12902</v>
      </c>
      <c r="W1996" t="s">
        <v>14864</v>
      </c>
      <c r="X1996">
        <v>26</v>
      </c>
      <c r="Y1996" t="s">
        <v>21232</v>
      </c>
      <c r="Z1996" t="s">
        <v>27571</v>
      </c>
      <c r="AA1996">
        <v>0.65500212759660414</v>
      </c>
      <c r="AB1996" t="str">
        <f>HYPERLINK("Melting_Curves/meltCurve_P10155_TROVE2.pdf", "Melting_Curves/meltCurve_P10155_TROVE2.pdf")</f>
        <v>Melting_Curves/meltCurve_P10155_TROVE2.pdf</v>
      </c>
    </row>
    <row r="1997" spans="1:28" x14ac:dyDescent="0.25">
      <c r="A1997" t="s">
        <v>2001</v>
      </c>
      <c r="B1997">
        <v>0.99673306730245903</v>
      </c>
      <c r="C1997">
        <v>0.98357949012855395</v>
      </c>
      <c r="D1997">
        <v>1.02166789977443</v>
      </c>
      <c r="E1997">
        <v>0.85722178734864696</v>
      </c>
      <c r="F1997">
        <v>0.75129614530931299</v>
      </c>
      <c r="G1997">
        <v>0.62228791282948004</v>
      </c>
      <c r="H1997">
        <v>0.72656063256936299</v>
      </c>
      <c r="I1997">
        <v>1.36111426500319</v>
      </c>
      <c r="J1997">
        <v>1.5464187432134699</v>
      </c>
      <c r="K1997">
        <v>1.2928257580203799</v>
      </c>
      <c r="L1997">
        <v>15000</v>
      </c>
      <c r="M1997">
        <v>236.19350295266901</v>
      </c>
      <c r="O1997">
        <v>63.502697709016402</v>
      </c>
      <c r="P1997">
        <v>0.39020862903298598</v>
      </c>
      <c r="Q1997">
        <v>1.41964406736795</v>
      </c>
      <c r="R1997">
        <v>0.59071291179218599</v>
      </c>
      <c r="S1997" t="s">
        <v>8449</v>
      </c>
      <c r="T1997" t="s">
        <v>12902</v>
      </c>
      <c r="U1997" t="s">
        <v>12902</v>
      </c>
      <c r="V1997" t="s">
        <v>12902</v>
      </c>
      <c r="W1997" t="s">
        <v>14865</v>
      </c>
      <c r="X1997">
        <v>1</v>
      </c>
      <c r="Y1997" t="s">
        <v>21233</v>
      </c>
      <c r="Z1997" t="s">
        <v>27572</v>
      </c>
      <c r="AA1997">
        <v>1.0907690575795039</v>
      </c>
      <c r="AB1997" t="str">
        <f>HYPERLINK("Melting_Curves/meltCurve_P10176_COX8A.pdf", "Melting_Curves/meltCurve_P10176_COX8A.pdf")</f>
        <v>Melting_Curves/meltCurve_P10176_COX8A.pdf</v>
      </c>
    </row>
    <row r="1998" spans="1:28" x14ac:dyDescent="0.25">
      <c r="A1998" t="s">
        <v>2002</v>
      </c>
      <c r="B1998">
        <v>0.99673306730245903</v>
      </c>
      <c r="C1998">
        <v>1.0033854961603901</v>
      </c>
      <c r="D1998">
        <v>1.0011511148697301</v>
      </c>
      <c r="E1998">
        <v>0.98414178963982801</v>
      </c>
      <c r="F1998">
        <v>0.86171700441177301</v>
      </c>
      <c r="G1998">
        <v>0.71606036390149197</v>
      </c>
      <c r="H1998">
        <v>0.50258311814628798</v>
      </c>
      <c r="I1998">
        <v>0.310863689144108</v>
      </c>
      <c r="J1998">
        <v>0.26820915849464799</v>
      </c>
      <c r="K1998">
        <v>0.26236788032812902</v>
      </c>
      <c r="L1998">
        <v>1040.17081461977</v>
      </c>
      <c r="M1998">
        <v>17.7475877082124</v>
      </c>
      <c r="N1998">
        <v>60.341424176893298</v>
      </c>
      <c r="O1998">
        <v>57.880219760243897</v>
      </c>
      <c r="P1998">
        <v>-6.1358994701413899E-2</v>
      </c>
      <c r="Q1998">
        <v>0.19960123596960699</v>
      </c>
      <c r="R1998">
        <v>0.99638817516474598</v>
      </c>
      <c r="S1998" t="s">
        <v>8450</v>
      </c>
      <c r="T1998" t="s">
        <v>12902</v>
      </c>
      <c r="U1998" t="s">
        <v>12902</v>
      </c>
      <c r="V1998" t="s">
        <v>12902</v>
      </c>
      <c r="W1998" t="s">
        <v>14866</v>
      </c>
      <c r="X1998">
        <v>30</v>
      </c>
      <c r="Y1998" t="s">
        <v>21234</v>
      </c>
      <c r="Z1998" t="s">
        <v>27573</v>
      </c>
      <c r="AA1998">
        <v>0.70522895410791164</v>
      </c>
      <c r="AB1998" t="str">
        <f>HYPERLINK("Melting_Curves/meltCurve_P10253_GAA.pdf", "Melting_Curves/meltCurve_P10253_GAA.pdf")</f>
        <v>Melting_Curves/meltCurve_P10253_GAA.pdf</v>
      </c>
    </row>
    <row r="1999" spans="1:28" x14ac:dyDescent="0.25">
      <c r="A1999" t="s">
        <v>2003</v>
      </c>
      <c r="B1999">
        <v>0.99673306730245903</v>
      </c>
      <c r="C1999">
        <v>0.86479277196166804</v>
      </c>
      <c r="D1999">
        <v>0.82472523800080899</v>
      </c>
      <c r="E1999">
        <v>0.74078826445068402</v>
      </c>
      <c r="F1999">
        <v>0.65377035119523397</v>
      </c>
      <c r="G1999">
        <v>0.508708662471823</v>
      </c>
      <c r="H1999">
        <v>0.300257068994913</v>
      </c>
      <c r="I1999">
        <v>0.200585980383856</v>
      </c>
      <c r="J1999">
        <v>0.17086332381369301</v>
      </c>
      <c r="K1999">
        <v>0.14755867377066101</v>
      </c>
      <c r="L1999">
        <v>488.479591215786</v>
      </c>
      <c r="M1999">
        <v>8.7638394503130108</v>
      </c>
      <c r="N1999">
        <v>55.738080775583597</v>
      </c>
      <c r="O1999">
        <v>53.064444595596697</v>
      </c>
      <c r="P1999">
        <v>-4.1321822718683197E-2</v>
      </c>
      <c r="Q1999">
        <v>0</v>
      </c>
      <c r="R1999">
        <v>0.98387869780950099</v>
      </c>
      <c r="S1999" t="s">
        <v>8451</v>
      </c>
      <c r="T1999" t="s">
        <v>12902</v>
      </c>
      <c r="U1999" t="s">
        <v>12902</v>
      </c>
      <c r="V1999" t="s">
        <v>12902</v>
      </c>
      <c r="W1999" t="s">
        <v>14867</v>
      </c>
      <c r="X1999">
        <v>5</v>
      </c>
      <c r="Y1999" t="s">
        <v>21235</v>
      </c>
      <c r="Z1999" t="s">
        <v>27574</v>
      </c>
      <c r="AA1999">
        <v>0.5469126531625953</v>
      </c>
      <c r="AB1999" t="str">
        <f>HYPERLINK("Melting_Curves/meltCurve_P10301_RRAS.pdf", "Melting_Curves/meltCurve_P10301_RRAS.pdf")</f>
        <v>Melting_Curves/meltCurve_P10301_RRAS.pdf</v>
      </c>
    </row>
    <row r="2000" spans="1:28" x14ac:dyDescent="0.25">
      <c r="A2000" t="s">
        <v>2004</v>
      </c>
      <c r="B2000">
        <v>0.99673306730245903</v>
      </c>
      <c r="C2000">
        <v>1.0167577368820799</v>
      </c>
      <c r="D2000">
        <v>0.98553686031499099</v>
      </c>
      <c r="E2000">
        <v>1.0300425112162801</v>
      </c>
      <c r="F2000">
        <v>0.89315946720113604</v>
      </c>
      <c r="G2000">
        <v>0.77470588066300705</v>
      </c>
      <c r="H2000">
        <v>0.73435098768196505</v>
      </c>
      <c r="I2000">
        <v>0.67149561852337303</v>
      </c>
      <c r="J2000">
        <v>0.96216662664685004</v>
      </c>
      <c r="K2000">
        <v>0.81718030233167704</v>
      </c>
      <c r="L2000">
        <v>13297.103767570899</v>
      </c>
      <c r="M2000">
        <v>250</v>
      </c>
      <c r="O2000">
        <v>53.184993922415899</v>
      </c>
      <c r="P2000">
        <v>-0.244453412916179</v>
      </c>
      <c r="Q2000">
        <v>0.79197987918914903</v>
      </c>
      <c r="R2000">
        <v>0.676620937689698</v>
      </c>
      <c r="S2000" t="s">
        <v>8452</v>
      </c>
      <c r="T2000" t="s">
        <v>12902</v>
      </c>
      <c r="U2000" t="s">
        <v>12902</v>
      </c>
      <c r="V2000" t="s">
        <v>12902</v>
      </c>
      <c r="W2000" t="s">
        <v>14868</v>
      </c>
      <c r="X2000">
        <v>11</v>
      </c>
      <c r="Y2000" t="s">
        <v>21236</v>
      </c>
      <c r="Z2000" t="s">
        <v>27575</v>
      </c>
      <c r="AA2000">
        <v>0.88344782000164701</v>
      </c>
      <c r="AB2000" t="str">
        <f>HYPERLINK("Melting_Curves/meltCurve_P10412_HIST1H1E.pdf", "Melting_Curves/meltCurve_P10412_HIST1H1E.pdf")</f>
        <v>Melting_Curves/meltCurve_P10412_HIST1H1E.pdf</v>
      </c>
    </row>
    <row r="2001" spans="1:28" x14ac:dyDescent="0.25">
      <c r="A2001" t="s">
        <v>2005</v>
      </c>
      <c r="B2001">
        <v>0.99673306730245903</v>
      </c>
      <c r="C2001">
        <v>1.06040477219955</v>
      </c>
      <c r="D2001">
        <v>1.1406550803664901</v>
      </c>
      <c r="E2001">
        <v>1.90123810109239</v>
      </c>
      <c r="F2001">
        <v>1.0048045256228499</v>
      </c>
      <c r="G2001">
        <v>0.45811088188781901</v>
      </c>
      <c r="H2001">
        <v>0.154583082092735</v>
      </c>
      <c r="I2001">
        <v>0.105077307150703</v>
      </c>
      <c r="J2001">
        <v>8.6091980722458106E-2</v>
      </c>
      <c r="K2001">
        <v>7.2695459857958403E-2</v>
      </c>
      <c r="L2001">
        <v>4074.5170480202401</v>
      </c>
      <c r="M2001">
        <v>72.147414294857398</v>
      </c>
      <c r="N2001">
        <v>56.6558807275403</v>
      </c>
      <c r="O2001">
        <v>56.431543799532797</v>
      </c>
      <c r="P2001">
        <v>-0.28672561437431598</v>
      </c>
      <c r="Q2001">
        <v>0.10292746911532601</v>
      </c>
      <c r="R2001">
        <v>0.75517221600120399</v>
      </c>
      <c r="S2001" t="s">
        <v>8453</v>
      </c>
      <c r="T2001" t="s">
        <v>12902</v>
      </c>
      <c r="U2001" t="s">
        <v>12902</v>
      </c>
      <c r="V2001" t="s">
        <v>12902</v>
      </c>
      <c r="W2001" t="s">
        <v>14869</v>
      </c>
      <c r="X2001">
        <v>15</v>
      </c>
      <c r="Y2001" t="s">
        <v>21237</v>
      </c>
      <c r="Z2001" t="s">
        <v>27576</v>
      </c>
      <c r="AA2001">
        <v>0.59663656001803811</v>
      </c>
      <c r="AB2001" t="str">
        <f>HYPERLINK("Melting_Curves/meltCurve_P10515_DLAT.pdf", "Melting_Curves/meltCurve_P10515_DLAT.pdf")</f>
        <v>Melting_Curves/meltCurve_P10515_DLAT.pdf</v>
      </c>
    </row>
    <row r="2002" spans="1:28" x14ac:dyDescent="0.25">
      <c r="A2002" t="s">
        <v>2006</v>
      </c>
      <c r="B2002">
        <v>0.99673306730245903</v>
      </c>
      <c r="C2002">
        <v>0.94645507129585205</v>
      </c>
      <c r="D2002">
        <v>0.88849707618443996</v>
      </c>
      <c r="E2002">
        <v>0.61737431392689901</v>
      </c>
      <c r="F2002">
        <v>0.32516304272010599</v>
      </c>
      <c r="G2002">
        <v>0.19503524961340199</v>
      </c>
      <c r="H2002">
        <v>0.131205079489291</v>
      </c>
      <c r="I2002">
        <v>0.11219413282318599</v>
      </c>
      <c r="J2002">
        <v>0.116344659637991</v>
      </c>
      <c r="K2002">
        <v>8.9315882330143398E-2</v>
      </c>
      <c r="L2002">
        <v>983.09008030407699</v>
      </c>
      <c r="M2002">
        <v>19.523008120670099</v>
      </c>
      <c r="N2002">
        <v>50.9309125181111</v>
      </c>
      <c r="O2002">
        <v>49.836060917193699</v>
      </c>
      <c r="P2002">
        <v>-8.8246132136055699E-2</v>
      </c>
      <c r="Q2002">
        <v>9.8974475323987607E-2</v>
      </c>
      <c r="R2002">
        <v>0.99912618080540105</v>
      </c>
      <c r="S2002" t="s">
        <v>8454</v>
      </c>
      <c r="T2002" t="s">
        <v>12902</v>
      </c>
      <c r="U2002" t="s">
        <v>12902</v>
      </c>
      <c r="V2002" t="s">
        <v>12902</v>
      </c>
      <c r="W2002" t="s">
        <v>14870</v>
      </c>
      <c r="X2002">
        <v>20</v>
      </c>
      <c r="Y2002" t="s">
        <v>21238</v>
      </c>
      <c r="Z2002" t="s">
        <v>27577</v>
      </c>
      <c r="AA2002">
        <v>0.42311408259510608</v>
      </c>
      <c r="AB2002" t="str">
        <f>HYPERLINK("Melting_Curves/meltCurve_P10586_2_PTPRF.pdf", "Melting_Curves/meltCurve_P10586_2_PTPRF.pdf")</f>
        <v>Melting_Curves/meltCurve_P10586_2_PTPRF.pdf</v>
      </c>
    </row>
    <row r="2003" spans="1:28" x14ac:dyDescent="0.25">
      <c r="A2003" t="s">
        <v>2007</v>
      </c>
      <c r="B2003">
        <v>0.99673306730245903</v>
      </c>
      <c r="C2003">
        <v>1.0634203869009</v>
      </c>
      <c r="D2003">
        <v>1.0923284724272699</v>
      </c>
      <c r="E2003">
        <v>1.0243924877495301</v>
      </c>
      <c r="F2003">
        <v>0.96190060624484597</v>
      </c>
      <c r="G2003">
        <v>0.91573080648529404</v>
      </c>
      <c r="H2003">
        <v>0.67459038148847905</v>
      </c>
      <c r="I2003">
        <v>0.98071486862380097</v>
      </c>
      <c r="J2003">
        <v>1.376679841589</v>
      </c>
      <c r="K2003">
        <v>1.2200338070561201</v>
      </c>
      <c r="L2003">
        <v>15000</v>
      </c>
      <c r="M2003">
        <v>229.609926104409</v>
      </c>
      <c r="O2003">
        <v>65.323225452239896</v>
      </c>
      <c r="P2003">
        <v>0.26232287705026602</v>
      </c>
      <c r="Q2003">
        <v>1.2985198063055801</v>
      </c>
      <c r="R2003">
        <v>0.54528558886051504</v>
      </c>
      <c r="S2003" t="s">
        <v>8455</v>
      </c>
      <c r="T2003" t="s">
        <v>12902</v>
      </c>
      <c r="U2003" t="s">
        <v>12902</v>
      </c>
      <c r="V2003" t="s">
        <v>12902</v>
      </c>
      <c r="W2003" t="s">
        <v>14871</v>
      </c>
      <c r="X2003">
        <v>12</v>
      </c>
      <c r="Y2003" t="s">
        <v>21239</v>
      </c>
      <c r="Z2003" t="s">
        <v>27578</v>
      </c>
      <c r="AA2003">
        <v>1.0464470572025799</v>
      </c>
      <c r="AB2003" t="str">
        <f>HYPERLINK("Melting_Curves/meltCurve_P10599_TXN.pdf", "Melting_Curves/meltCurve_P10599_TXN.pdf")</f>
        <v>Melting_Curves/meltCurve_P10599_TXN.pdf</v>
      </c>
    </row>
    <row r="2004" spans="1:28" x14ac:dyDescent="0.25">
      <c r="A2004" t="s">
        <v>2008</v>
      </c>
      <c r="B2004">
        <v>0.99673306730245903</v>
      </c>
      <c r="C2004">
        <v>1.07629352195622</v>
      </c>
      <c r="D2004">
        <v>1.0149368983301501</v>
      </c>
      <c r="E2004">
        <v>0.91434715063396599</v>
      </c>
      <c r="F2004">
        <v>0.78432824773174503</v>
      </c>
      <c r="G2004">
        <v>0.66734550027878503</v>
      </c>
      <c r="H2004">
        <v>0.682320375561284</v>
      </c>
      <c r="I2004">
        <v>1.2845288304343001</v>
      </c>
      <c r="J2004">
        <v>1.9424789578507899</v>
      </c>
      <c r="K2004">
        <v>1.9475208814140299</v>
      </c>
      <c r="L2004">
        <v>15000</v>
      </c>
      <c r="M2004">
        <v>234.653167201336</v>
      </c>
      <c r="O2004">
        <v>63.919493544227002</v>
      </c>
      <c r="P2004">
        <v>0.458884239802405</v>
      </c>
      <c r="Q2004">
        <v>1.5</v>
      </c>
      <c r="R2004">
        <v>0.66056641204500699</v>
      </c>
      <c r="S2004" t="s">
        <v>8456</v>
      </c>
      <c r="T2004" t="s">
        <v>12902</v>
      </c>
      <c r="U2004" t="s">
        <v>12902</v>
      </c>
      <c r="V2004" t="s">
        <v>12902</v>
      </c>
      <c r="W2004" t="s">
        <v>14872</v>
      </c>
      <c r="X2004">
        <v>10</v>
      </c>
      <c r="Y2004" t="s">
        <v>21240</v>
      </c>
      <c r="Z2004" t="s">
        <v>27579</v>
      </c>
      <c r="AA2004">
        <v>1.1012007971501649</v>
      </c>
      <c r="AB2004" t="str">
        <f>HYPERLINK("Melting_Curves/meltCurve_P10606_COX5B.pdf", "Melting_Curves/meltCurve_P10606_COX5B.pdf")</f>
        <v>Melting_Curves/meltCurve_P10606_COX5B.pdf</v>
      </c>
    </row>
    <row r="2005" spans="1:28" x14ac:dyDescent="0.25">
      <c r="A2005" t="s">
        <v>2009</v>
      </c>
      <c r="B2005">
        <v>0.99673306730245903</v>
      </c>
      <c r="C2005">
        <v>0.973814666091387</v>
      </c>
      <c r="D2005">
        <v>0.96378980824321503</v>
      </c>
      <c r="E2005">
        <v>1.0068870540499499</v>
      </c>
      <c r="F2005">
        <v>0.81833397231024196</v>
      </c>
      <c r="G2005">
        <v>0.73338588413072203</v>
      </c>
      <c r="H2005">
        <v>0.27691894713450899</v>
      </c>
      <c r="I2005">
        <v>0.14413238846257001</v>
      </c>
      <c r="J2005">
        <v>0.16737956205500101</v>
      </c>
      <c r="K2005">
        <v>0.160073307374171</v>
      </c>
      <c r="L2005">
        <v>1548.32620304177</v>
      </c>
      <c r="M2005">
        <v>26.7744093622054</v>
      </c>
      <c r="N2005">
        <v>58.452345268941002</v>
      </c>
      <c r="O2005">
        <v>57.508881255384303</v>
      </c>
      <c r="P2005">
        <v>-0.101930084202977</v>
      </c>
      <c r="Q2005">
        <v>0.124264525324432</v>
      </c>
      <c r="R2005">
        <v>0.98392366505766504</v>
      </c>
      <c r="S2005" t="s">
        <v>8457</v>
      </c>
      <c r="T2005" t="s">
        <v>12902</v>
      </c>
      <c r="U2005" t="s">
        <v>12902</v>
      </c>
      <c r="V2005" t="s">
        <v>12902</v>
      </c>
      <c r="W2005" t="s">
        <v>14873</v>
      </c>
      <c r="X2005">
        <v>8</v>
      </c>
      <c r="Y2005" t="s">
        <v>21241</v>
      </c>
      <c r="Z2005" t="s">
        <v>27580</v>
      </c>
      <c r="AA2005">
        <v>0.65163866630845935</v>
      </c>
      <c r="AB2005" t="str">
        <f>HYPERLINK("Melting_Curves/meltCurve_P10619_CTSA.pdf", "Melting_Curves/meltCurve_P10619_CTSA.pdf")</f>
        <v>Melting_Curves/meltCurve_P10619_CTSA.pdf</v>
      </c>
    </row>
    <row r="2006" spans="1:28" x14ac:dyDescent="0.25">
      <c r="A2006" t="s">
        <v>2010</v>
      </c>
      <c r="B2006">
        <v>0.99673306730245903</v>
      </c>
      <c r="C2006">
        <v>1.03931919693827</v>
      </c>
      <c r="D2006">
        <v>1.0322816028494199</v>
      </c>
      <c r="E2006">
        <v>1.0187768366869201</v>
      </c>
      <c r="F2006">
        <v>1.12988043046405</v>
      </c>
      <c r="G2006">
        <v>0.90515765378950097</v>
      </c>
      <c r="H2006">
        <v>0.81054052192055803</v>
      </c>
      <c r="I2006">
        <v>1.2354425911850599</v>
      </c>
      <c r="J2006">
        <v>1.7340022738513801</v>
      </c>
      <c r="K2006">
        <v>1.6983058497048</v>
      </c>
      <c r="L2006">
        <v>15000</v>
      </c>
      <c r="M2006">
        <v>234.25855298766299</v>
      </c>
      <c r="O2006">
        <v>64.0271468827398</v>
      </c>
      <c r="P2006">
        <v>0.45734224625579201</v>
      </c>
      <c r="Q2006">
        <v>1.5</v>
      </c>
      <c r="R2006">
        <v>0.82165351549515397</v>
      </c>
      <c r="S2006" t="s">
        <v>8458</v>
      </c>
      <c r="T2006" t="s">
        <v>12902</v>
      </c>
      <c r="U2006" t="s">
        <v>12902</v>
      </c>
      <c r="V2006" t="s">
        <v>12902</v>
      </c>
      <c r="W2006" t="s">
        <v>14874</v>
      </c>
      <c r="X2006">
        <v>7</v>
      </c>
      <c r="Y2006" t="s">
        <v>21242</v>
      </c>
      <c r="Z2006" t="s">
        <v>27581</v>
      </c>
      <c r="AA2006">
        <v>1.099405778946922</v>
      </c>
      <c r="AB2006" t="str">
        <f>HYPERLINK("Melting_Curves/meltCurve_P10636_5_MAPT.pdf", "Melting_Curves/meltCurve_P10636_5_MAPT.pdf")</f>
        <v>Melting_Curves/meltCurve_P10636_5_MAPT.pdf</v>
      </c>
    </row>
    <row r="2007" spans="1:28" x14ac:dyDescent="0.25">
      <c r="A2007" t="s">
        <v>2011</v>
      </c>
      <c r="B2007">
        <v>0.99673306730245903</v>
      </c>
      <c r="C2007">
        <v>0.95388705993192902</v>
      </c>
      <c r="D2007">
        <v>0.98500498040483897</v>
      </c>
      <c r="E2007">
        <v>0.87144103463535805</v>
      </c>
      <c r="F2007">
        <v>0.69310736881540702</v>
      </c>
      <c r="G2007">
        <v>0.59474014743799297</v>
      </c>
      <c r="H2007">
        <v>0.519441846023869</v>
      </c>
      <c r="I2007">
        <v>0.83344688512459497</v>
      </c>
      <c r="J2007">
        <v>1.1676188320004901</v>
      </c>
      <c r="K2007">
        <v>1.10632138680322</v>
      </c>
      <c r="L2007">
        <v>12355.416997071199</v>
      </c>
      <c r="M2007">
        <v>250</v>
      </c>
      <c r="O2007">
        <v>49.418506524183201</v>
      </c>
      <c r="P2007">
        <v>-0.228769634807718</v>
      </c>
      <c r="Q2007">
        <v>0.81911274553941604</v>
      </c>
      <c r="R2007">
        <v>0.120037832855449</v>
      </c>
      <c r="S2007" t="s">
        <v>8459</v>
      </c>
      <c r="T2007" t="s">
        <v>12902</v>
      </c>
      <c r="U2007" t="s">
        <v>12902</v>
      </c>
      <c r="V2007" t="s">
        <v>12902</v>
      </c>
      <c r="W2007" t="s">
        <v>14875</v>
      </c>
      <c r="X2007">
        <v>3</v>
      </c>
      <c r="Y2007" t="s">
        <v>21243</v>
      </c>
      <c r="Z2007" t="s">
        <v>27582</v>
      </c>
      <c r="AA2007">
        <v>0.8759370898225739</v>
      </c>
      <c r="AB2007" t="str">
        <f>HYPERLINK("Melting_Curves/meltCurve_P10643_C7.pdf", "Melting_Curves/meltCurve_P10643_C7.pdf")</f>
        <v>Melting_Curves/meltCurve_P10643_C7.pdf</v>
      </c>
    </row>
    <row r="2008" spans="1:28" x14ac:dyDescent="0.25">
      <c r="A2008" t="s">
        <v>2012</v>
      </c>
      <c r="B2008">
        <v>0.99673306730245903</v>
      </c>
      <c r="C2008">
        <v>0.93272351174763302</v>
      </c>
      <c r="D2008">
        <v>0.90028671071592603</v>
      </c>
      <c r="E2008">
        <v>0.79981019876727799</v>
      </c>
      <c r="F2008">
        <v>0.32990016143210799</v>
      </c>
      <c r="G2008">
        <v>0.16211239207755601</v>
      </c>
      <c r="H2008">
        <v>9.7788066397781398E-2</v>
      </c>
      <c r="I2008">
        <v>7.5322684612091698E-2</v>
      </c>
      <c r="J2008">
        <v>7.2465747970732006E-2</v>
      </c>
      <c r="K2008">
        <v>6.2005605281720597E-2</v>
      </c>
      <c r="L2008">
        <v>1368.2283892293499</v>
      </c>
      <c r="M2008">
        <v>26.523703095824501</v>
      </c>
      <c r="N2008">
        <v>51.885978949078698</v>
      </c>
      <c r="O2008">
        <v>51.294583374013698</v>
      </c>
      <c r="P2008">
        <v>-0.120058088662994</v>
      </c>
      <c r="Q2008">
        <v>7.1281703507226596E-2</v>
      </c>
      <c r="R2008">
        <v>0.992838576092264</v>
      </c>
      <c r="S2008" t="s">
        <v>8460</v>
      </c>
      <c r="T2008" t="s">
        <v>12902</v>
      </c>
      <c r="U2008" t="s">
        <v>12902</v>
      </c>
      <c r="V2008" t="s">
        <v>12902</v>
      </c>
      <c r="W2008" t="s">
        <v>14876</v>
      </c>
      <c r="X2008">
        <v>22</v>
      </c>
      <c r="Y2008" t="s">
        <v>21244</v>
      </c>
      <c r="Z2008" t="s">
        <v>27583</v>
      </c>
      <c r="AA2008">
        <v>0.43744690656479451</v>
      </c>
      <c r="AB2008" t="str">
        <f>HYPERLINK("Melting_Curves/meltCurve_P10644_PRKAR1A.pdf", "Melting_Curves/meltCurve_P10644_PRKAR1A.pdf")</f>
        <v>Melting_Curves/meltCurve_P10644_PRKAR1A.pdf</v>
      </c>
    </row>
    <row r="2009" spans="1:28" x14ac:dyDescent="0.25">
      <c r="A2009" t="s">
        <v>2013</v>
      </c>
      <c r="B2009">
        <v>0.99673306730245903</v>
      </c>
      <c r="C2009">
        <v>1.01072516725272</v>
      </c>
      <c r="D2009">
        <v>0.96257475374983903</v>
      </c>
      <c r="E2009">
        <v>0.80403253792708995</v>
      </c>
      <c r="F2009">
        <v>0.30445214875134602</v>
      </c>
      <c r="G2009">
        <v>0.19784593162111799</v>
      </c>
      <c r="H2009">
        <v>0.15157799831043101</v>
      </c>
      <c r="I2009">
        <v>0.14229212318885601</v>
      </c>
      <c r="J2009">
        <v>0.165020618687655</v>
      </c>
      <c r="K2009">
        <v>0.121562795985992</v>
      </c>
      <c r="L2009">
        <v>1889.3563925713599</v>
      </c>
      <c r="M2009">
        <v>36.933874741643002</v>
      </c>
      <c r="N2009">
        <v>51.6509902980427</v>
      </c>
      <c r="O2009">
        <v>51.005839197022901</v>
      </c>
      <c r="P2009">
        <v>-0.154005859707597</v>
      </c>
      <c r="Q2009">
        <v>0.14927147824875101</v>
      </c>
      <c r="R2009">
        <v>0.99812719486921497</v>
      </c>
      <c r="S2009" t="s">
        <v>8461</v>
      </c>
      <c r="T2009" t="s">
        <v>12902</v>
      </c>
      <c r="U2009" t="s">
        <v>12902</v>
      </c>
      <c r="V2009" t="s">
        <v>12902</v>
      </c>
      <c r="W2009" t="s">
        <v>14877</v>
      </c>
      <c r="X2009">
        <v>5</v>
      </c>
      <c r="Y2009" t="s">
        <v>21245</v>
      </c>
      <c r="Z2009" t="s">
        <v>27584</v>
      </c>
      <c r="AA2009">
        <v>0.46913556940674211</v>
      </c>
      <c r="AB2009" t="str">
        <f>HYPERLINK("Melting_Curves/meltCurve_P10746_UROS.pdf", "Melting_Curves/meltCurve_P10746_UROS.pdf")</f>
        <v>Melting_Curves/meltCurve_P10746_UROS.pdf</v>
      </c>
    </row>
    <row r="2010" spans="1:28" x14ac:dyDescent="0.25">
      <c r="A2010" t="s">
        <v>2014</v>
      </c>
      <c r="B2010">
        <v>0.99673306730245903</v>
      </c>
      <c r="C2010">
        <v>1.0280678551815801</v>
      </c>
      <c r="D2010">
        <v>1.0239547896535099</v>
      </c>
      <c r="E2010">
        <v>1.0165441202724099</v>
      </c>
      <c r="F2010">
        <v>0.89713144751417695</v>
      </c>
      <c r="G2010">
        <v>0.61006909707635404</v>
      </c>
      <c r="H2010">
        <v>0.164540202736012</v>
      </c>
      <c r="I2010">
        <v>0.12964888015654599</v>
      </c>
      <c r="J2010">
        <v>0.118345905773966</v>
      </c>
      <c r="K2010">
        <v>0.100850026095858</v>
      </c>
      <c r="L2010">
        <v>2001.70199105703</v>
      </c>
      <c r="M2010">
        <v>35.065486888107301</v>
      </c>
      <c r="N2010">
        <v>57.452798022293202</v>
      </c>
      <c r="O2010">
        <v>56.899979213241103</v>
      </c>
      <c r="P2010">
        <v>-0.13856542862294399</v>
      </c>
      <c r="Q2010">
        <v>0.100615172984666</v>
      </c>
      <c r="R2010">
        <v>0.997075121251495</v>
      </c>
      <c r="S2010" t="s">
        <v>8462</v>
      </c>
      <c r="T2010" t="s">
        <v>12902</v>
      </c>
      <c r="U2010" t="s">
        <v>12902</v>
      </c>
      <c r="V2010" t="s">
        <v>12902</v>
      </c>
      <c r="W2010" t="s">
        <v>14878</v>
      </c>
      <c r="X2010">
        <v>18</v>
      </c>
      <c r="Y2010" t="s">
        <v>21246</v>
      </c>
      <c r="Z2010" t="s">
        <v>27585</v>
      </c>
      <c r="AA2010">
        <v>0.61731433389329582</v>
      </c>
      <c r="AB2010" t="str">
        <f>HYPERLINK("Melting_Curves/meltCurve_P10768_ESD.pdf", "Melting_Curves/meltCurve_P10768_ESD.pdf")</f>
        <v>Melting_Curves/meltCurve_P10768_ESD.pdf</v>
      </c>
    </row>
    <row r="2011" spans="1:28" x14ac:dyDescent="0.25">
      <c r="A2011" t="s">
        <v>2015</v>
      </c>
      <c r="B2011">
        <v>0.99673306730245903</v>
      </c>
      <c r="C2011">
        <v>1.04889642270048</v>
      </c>
      <c r="D2011">
        <v>1.02001276319192</v>
      </c>
      <c r="E2011">
        <v>1.2360340881202401</v>
      </c>
      <c r="F2011">
        <v>1.2703177658812499</v>
      </c>
      <c r="G2011">
        <v>1.01420206887806</v>
      </c>
      <c r="H2011">
        <v>0.33737279584852198</v>
      </c>
      <c r="I2011">
        <v>0.14788356154472501</v>
      </c>
      <c r="J2011">
        <v>8.7153644552837098E-2</v>
      </c>
      <c r="K2011">
        <v>6.8413802650897595E-2</v>
      </c>
      <c r="L2011">
        <v>5068.3365881743402</v>
      </c>
      <c r="M2011">
        <v>84.370794515250196</v>
      </c>
      <c r="N2011">
        <v>60.229469308322102</v>
      </c>
      <c r="O2011">
        <v>60.038444284125099</v>
      </c>
      <c r="P2011">
        <v>-0.31658009411457799</v>
      </c>
      <c r="Q2011">
        <v>9.8883709697247898E-2</v>
      </c>
      <c r="R2011">
        <v>0.93941835782095096</v>
      </c>
      <c r="S2011" t="s">
        <v>8463</v>
      </c>
      <c r="T2011" t="s">
        <v>12902</v>
      </c>
      <c r="U2011" t="s">
        <v>12902</v>
      </c>
      <c r="V2011" t="s">
        <v>12902</v>
      </c>
      <c r="W2011" t="s">
        <v>14879</v>
      </c>
      <c r="X2011">
        <v>62</v>
      </c>
      <c r="Y2011" t="s">
        <v>21247</v>
      </c>
      <c r="Z2011" t="s">
        <v>27586</v>
      </c>
      <c r="AA2011">
        <v>0.70263100604476891</v>
      </c>
      <c r="AB2011" t="str">
        <f>HYPERLINK("Melting_Curves/meltCurve_P10809_HSPD1.pdf", "Melting_Curves/meltCurve_P10809_HSPD1.pdf")</f>
        <v>Melting_Curves/meltCurve_P10809_HSPD1.pdf</v>
      </c>
    </row>
    <row r="2012" spans="1:28" x14ac:dyDescent="0.25">
      <c r="A2012" t="s">
        <v>2016</v>
      </c>
      <c r="B2012">
        <v>0.99673306730245903</v>
      </c>
      <c r="C2012">
        <v>1.0060154126277301</v>
      </c>
      <c r="D2012">
        <v>0.95342257176186096</v>
      </c>
      <c r="E2012">
        <v>0.71448438705593298</v>
      </c>
      <c r="F2012">
        <v>0.56961302984395101</v>
      </c>
      <c r="G2012">
        <v>0.36005805786710599</v>
      </c>
      <c r="H2012">
        <v>0.20483151431513599</v>
      </c>
      <c r="I2012">
        <v>0.51535160946115499</v>
      </c>
      <c r="J2012">
        <v>0.19985218423492601</v>
      </c>
      <c r="K2012">
        <v>0.12587583281137699</v>
      </c>
      <c r="L2012">
        <v>841.68698858575999</v>
      </c>
      <c r="M2012">
        <v>16.1904923969335</v>
      </c>
      <c r="N2012">
        <v>53.982927840444802</v>
      </c>
      <c r="O2012">
        <v>51.212812373673003</v>
      </c>
      <c r="P2012">
        <v>-6.1236785404997801E-2</v>
      </c>
      <c r="Q2012">
        <v>0.225255630182331</v>
      </c>
      <c r="R2012">
        <v>0.91241685563418795</v>
      </c>
      <c r="S2012" t="s">
        <v>8464</v>
      </c>
      <c r="T2012" t="s">
        <v>12902</v>
      </c>
      <c r="U2012" t="s">
        <v>12902</v>
      </c>
      <c r="V2012" t="s">
        <v>12902</v>
      </c>
      <c r="W2012" t="s">
        <v>14880</v>
      </c>
      <c r="X2012">
        <v>2</v>
      </c>
      <c r="Y2012" t="s">
        <v>21248</v>
      </c>
      <c r="Z2012" t="s">
        <v>27587</v>
      </c>
      <c r="AA2012">
        <v>0.55017633469067728</v>
      </c>
      <c r="AB2012" t="str">
        <f>HYPERLINK("Melting_Curves/meltCurve_P10909_4_CLU.pdf", "Melting_Curves/meltCurve_P10909_4_CLU.pdf")</f>
        <v>Melting_Curves/meltCurve_P10909_4_CLU.pdf</v>
      </c>
    </row>
    <row r="2013" spans="1:28" x14ac:dyDescent="0.25">
      <c r="A2013" t="s">
        <v>2017</v>
      </c>
      <c r="B2013">
        <v>0.99673306730245903</v>
      </c>
      <c r="C2013">
        <v>0.95907678891207004</v>
      </c>
      <c r="D2013">
        <v>0.93076799338875005</v>
      </c>
      <c r="E2013">
        <v>0.95900562633869502</v>
      </c>
      <c r="F2013">
        <v>0.69389471345960996</v>
      </c>
      <c r="G2013">
        <v>0.51690513860349296</v>
      </c>
      <c r="H2013">
        <v>0.24189210485898199</v>
      </c>
      <c r="I2013">
        <v>0.17374919587877599</v>
      </c>
      <c r="J2013">
        <v>0.160860667770821</v>
      </c>
      <c r="K2013">
        <v>0.117346928533832</v>
      </c>
      <c r="L2013">
        <v>981.81405925403999</v>
      </c>
      <c r="M2013">
        <v>17.587822958083802</v>
      </c>
      <c r="N2013">
        <v>56.5061263488195</v>
      </c>
      <c r="O2013">
        <v>55.1168176350021</v>
      </c>
      <c r="P2013">
        <v>-7.2144123011191899E-2</v>
      </c>
      <c r="Q2013">
        <v>9.5705997403717505E-2</v>
      </c>
      <c r="R2013">
        <v>0.99201183212139099</v>
      </c>
      <c r="S2013" t="s">
        <v>8465</v>
      </c>
      <c r="T2013" t="s">
        <v>12902</v>
      </c>
      <c r="U2013" t="s">
        <v>12902</v>
      </c>
      <c r="V2013" t="s">
        <v>12902</v>
      </c>
      <c r="W2013" t="s">
        <v>14881</v>
      </c>
      <c r="X2013">
        <v>58</v>
      </c>
      <c r="Y2013" t="s">
        <v>21249</v>
      </c>
      <c r="Z2013" t="s">
        <v>27588</v>
      </c>
      <c r="AA2013">
        <v>0.58650995111521176</v>
      </c>
      <c r="AB2013" t="str">
        <f>HYPERLINK("Melting_Curves/meltCurve_P11021_HSPA5.pdf", "Melting_Curves/meltCurve_P11021_HSPA5.pdf")</f>
        <v>Melting_Curves/meltCurve_P11021_HSPA5.pdf</v>
      </c>
    </row>
    <row r="2014" spans="1:28" x14ac:dyDescent="0.25">
      <c r="A2014" t="s">
        <v>2018</v>
      </c>
      <c r="B2014">
        <v>0.99673306730245903</v>
      </c>
      <c r="C2014">
        <v>0.94081734637424697</v>
      </c>
      <c r="D2014">
        <v>0.89167171213655105</v>
      </c>
      <c r="E2014">
        <v>0.65807321220262505</v>
      </c>
      <c r="F2014">
        <v>0.31604814051693397</v>
      </c>
      <c r="G2014">
        <v>0.206793776301991</v>
      </c>
      <c r="H2014">
        <v>0.17726265876005301</v>
      </c>
      <c r="I2014">
        <v>0.161729593872354</v>
      </c>
      <c r="J2014">
        <v>0.157080048550687</v>
      </c>
      <c r="K2014">
        <v>0.11111708384475</v>
      </c>
      <c r="L2014">
        <v>1094.3435686632999</v>
      </c>
      <c r="M2014">
        <v>21.761385345287199</v>
      </c>
      <c r="N2014">
        <v>51.064026436299997</v>
      </c>
      <c r="O2014">
        <v>49.869436548518202</v>
      </c>
      <c r="P2014">
        <v>-9.3739616876308704E-2</v>
      </c>
      <c r="Q2014">
        <v>0.14074717546577101</v>
      </c>
      <c r="R2014">
        <v>0.99636916663807196</v>
      </c>
      <c r="S2014" t="s">
        <v>8466</v>
      </c>
      <c r="T2014" t="s">
        <v>12902</v>
      </c>
      <c r="U2014" t="s">
        <v>12902</v>
      </c>
      <c r="V2014" t="s">
        <v>12902</v>
      </c>
      <c r="W2014" t="s">
        <v>14882</v>
      </c>
      <c r="X2014">
        <v>47</v>
      </c>
      <c r="Y2014" t="s">
        <v>21250</v>
      </c>
      <c r="Z2014" t="s">
        <v>27589</v>
      </c>
      <c r="AA2014">
        <v>0.44556322695490652</v>
      </c>
      <c r="AB2014" t="str">
        <f>HYPERLINK("Melting_Curves/meltCurve_P11047_LAMC1.pdf", "Melting_Curves/meltCurve_P11047_LAMC1.pdf")</f>
        <v>Melting_Curves/meltCurve_P11047_LAMC1.pdf</v>
      </c>
    </row>
    <row r="2015" spans="1:28" x14ac:dyDescent="0.25">
      <c r="A2015" t="s">
        <v>2019</v>
      </c>
      <c r="B2015">
        <v>0.99673306730245903</v>
      </c>
      <c r="C2015">
        <v>1.1146295526076599</v>
      </c>
      <c r="D2015">
        <v>0.99211337864908899</v>
      </c>
      <c r="E2015">
        <v>0.94707490823015295</v>
      </c>
      <c r="F2015">
        <v>0.64524357364006002</v>
      </c>
      <c r="G2015">
        <v>0.160382590520638</v>
      </c>
      <c r="H2015">
        <v>7.1960384127268198E-2</v>
      </c>
      <c r="I2015">
        <v>4.6516653047311299E-2</v>
      </c>
      <c r="J2015">
        <v>5.1440225851541101E-2</v>
      </c>
      <c r="K2015">
        <v>3.5350676719651003E-2</v>
      </c>
      <c r="L2015">
        <v>2011.38343146956</v>
      </c>
      <c r="M2015">
        <v>37.311046806023597</v>
      </c>
      <c r="N2015">
        <v>54.046411386093297</v>
      </c>
      <c r="O2015">
        <v>53.754370162343498</v>
      </c>
      <c r="P2015">
        <v>-0.16564791061453299</v>
      </c>
      <c r="Q2015">
        <v>4.5400811085095701E-2</v>
      </c>
      <c r="R2015">
        <v>0.99306862537345297</v>
      </c>
      <c r="S2015" t="s">
        <v>8467</v>
      </c>
      <c r="T2015" t="s">
        <v>12902</v>
      </c>
      <c r="U2015" t="s">
        <v>12902</v>
      </c>
      <c r="V2015" t="s">
        <v>12902</v>
      </c>
      <c r="W2015" t="s">
        <v>14883</v>
      </c>
      <c r="X2015">
        <v>4</v>
      </c>
      <c r="Y2015" t="s">
        <v>21251</v>
      </c>
      <c r="Z2015" t="s">
        <v>27590</v>
      </c>
      <c r="AA2015">
        <v>0.49204892029684172</v>
      </c>
      <c r="AB2015" t="str">
        <f>HYPERLINK("Melting_Curves/meltCurve_P11086_PNMT.pdf", "Melting_Curves/meltCurve_P11086_PNMT.pdf")</f>
        <v>Melting_Curves/meltCurve_P11086_PNMT.pdf</v>
      </c>
    </row>
    <row r="2016" spans="1:28" x14ac:dyDescent="0.25">
      <c r="A2016" t="s">
        <v>2020</v>
      </c>
      <c r="B2016">
        <v>0.99673306730245903</v>
      </c>
      <c r="C2016">
        <v>1.00484346898261</v>
      </c>
      <c r="D2016">
        <v>1.01166631249235</v>
      </c>
      <c r="E2016">
        <v>0.97294700437680603</v>
      </c>
      <c r="F2016">
        <v>0.88763575079981005</v>
      </c>
      <c r="G2016">
        <v>0.73417247902905602</v>
      </c>
      <c r="H2016">
        <v>0.478678581514349</v>
      </c>
      <c r="I2016">
        <v>0.342061352837562</v>
      </c>
      <c r="J2016">
        <v>0.26212863535532699</v>
      </c>
      <c r="K2016">
        <v>0.18723138479513801</v>
      </c>
      <c r="L2016">
        <v>988.43959512433901</v>
      </c>
      <c r="M2016">
        <v>16.619409117358799</v>
      </c>
      <c r="N2016">
        <v>60.608294999221897</v>
      </c>
      <c r="O2016">
        <v>58.633923639884401</v>
      </c>
      <c r="P2016">
        <v>-6.1401303927583799E-2</v>
      </c>
      <c r="Q2016">
        <v>0.133553739604895</v>
      </c>
      <c r="R2016">
        <v>0.99906802530598804</v>
      </c>
      <c r="S2016" t="s">
        <v>8468</v>
      </c>
      <c r="T2016" t="s">
        <v>12902</v>
      </c>
      <c r="U2016" t="s">
        <v>12902</v>
      </c>
      <c r="V2016" t="s">
        <v>12902</v>
      </c>
      <c r="W2016" t="s">
        <v>14884</v>
      </c>
      <c r="X2016">
        <v>12</v>
      </c>
      <c r="Y2016" t="s">
        <v>21252</v>
      </c>
      <c r="Z2016" t="s">
        <v>27591</v>
      </c>
      <c r="AA2016">
        <v>0.70421109823364936</v>
      </c>
      <c r="AB2016" t="str">
        <f>HYPERLINK("Melting_Curves/meltCurve_P11117_ACP2.pdf", "Melting_Curves/meltCurve_P11117_ACP2.pdf")</f>
        <v>Melting_Curves/meltCurve_P11117_ACP2.pdf</v>
      </c>
    </row>
    <row r="2017" spans="1:28" x14ac:dyDescent="0.25">
      <c r="A2017" t="s">
        <v>2021</v>
      </c>
      <c r="B2017">
        <v>0.99673306730245903</v>
      </c>
      <c r="C2017">
        <v>0.971361648562025</v>
      </c>
      <c r="D2017">
        <v>0.90449128116784405</v>
      </c>
      <c r="E2017">
        <v>0.90227137342128705</v>
      </c>
      <c r="F2017">
        <v>0.82626570233880303</v>
      </c>
      <c r="G2017">
        <v>0.83589942932185701</v>
      </c>
      <c r="H2017">
        <v>0.18885942585929999</v>
      </c>
      <c r="I2017">
        <v>8.7304409669132596E-2</v>
      </c>
      <c r="J2017">
        <v>7.1285241505122096E-2</v>
      </c>
      <c r="K2017">
        <v>6.0313419567650801E-2</v>
      </c>
      <c r="L2017">
        <v>2696.8965212048502</v>
      </c>
      <c r="M2017">
        <v>46.082834725724197</v>
      </c>
      <c r="N2017">
        <v>58.692892604928701</v>
      </c>
      <c r="O2017">
        <v>58.412916500776497</v>
      </c>
      <c r="P2017">
        <v>-0.18490073750212699</v>
      </c>
      <c r="Q2017">
        <v>6.2507499312804304E-2</v>
      </c>
      <c r="R2017">
        <v>0.97017550896923099</v>
      </c>
      <c r="S2017" t="s">
        <v>8469</v>
      </c>
      <c r="T2017" t="s">
        <v>12902</v>
      </c>
      <c r="U2017" t="s">
        <v>12902</v>
      </c>
      <c r="V2017" t="s">
        <v>12902</v>
      </c>
      <c r="W2017" t="s">
        <v>12965</v>
      </c>
      <c r="X2017">
        <v>69</v>
      </c>
      <c r="Y2017" t="s">
        <v>19359</v>
      </c>
      <c r="Z2017" t="s">
        <v>27592</v>
      </c>
      <c r="AA2017">
        <v>0.64416087813547862</v>
      </c>
      <c r="AB2017" t="str">
        <f>HYPERLINK("Melting_Curves/meltCurve_P11142_HSPA8.pdf", "Melting_Curves/meltCurve_P11142_HSPA8.pdf")</f>
        <v>Melting_Curves/meltCurve_P11142_HSPA8.pdf</v>
      </c>
    </row>
    <row r="2018" spans="1:28" x14ac:dyDescent="0.25">
      <c r="A2018" t="s">
        <v>2022</v>
      </c>
      <c r="B2018">
        <v>0.99673306730245903</v>
      </c>
      <c r="C2018">
        <v>0.97359635479409601</v>
      </c>
      <c r="D2018">
        <v>0.92940955425192895</v>
      </c>
      <c r="E2018">
        <v>0.83188470752886301</v>
      </c>
      <c r="F2018">
        <v>0.71977594070509598</v>
      </c>
      <c r="G2018">
        <v>0.57965377738163004</v>
      </c>
      <c r="H2018">
        <v>0.48907602288525598</v>
      </c>
      <c r="I2018">
        <v>0.55200161097008105</v>
      </c>
      <c r="J2018">
        <v>0.65706740960091103</v>
      </c>
      <c r="K2018">
        <v>0.617336329877745</v>
      </c>
      <c r="L2018">
        <v>1072.07019899695</v>
      </c>
      <c r="M2018">
        <v>21.208944282026099</v>
      </c>
      <c r="O2018">
        <v>50.105077193365801</v>
      </c>
      <c r="P2018">
        <v>-4.5131861016275997E-2</v>
      </c>
      <c r="Q2018">
        <v>0.573523892193191</v>
      </c>
      <c r="R2018">
        <v>0.93075081792414904</v>
      </c>
      <c r="S2018" t="s">
        <v>8470</v>
      </c>
      <c r="T2018" t="s">
        <v>12902</v>
      </c>
      <c r="U2018" t="s">
        <v>12902</v>
      </c>
      <c r="V2018" t="s">
        <v>12902</v>
      </c>
      <c r="W2018" t="s">
        <v>14885</v>
      </c>
      <c r="X2018">
        <v>10</v>
      </c>
      <c r="Y2018" t="s">
        <v>21253</v>
      </c>
      <c r="Z2018" t="s">
        <v>27593</v>
      </c>
      <c r="AA2018">
        <v>0.72876806251729442</v>
      </c>
      <c r="AB2018" t="str">
        <f>HYPERLINK("Melting_Curves/meltCurve_P11166_SLC2A1.pdf", "Melting_Curves/meltCurve_P11166_SLC2A1.pdf")</f>
        <v>Melting_Curves/meltCurve_P11166_SLC2A1.pdf</v>
      </c>
    </row>
    <row r="2019" spans="1:28" x14ac:dyDescent="0.25">
      <c r="A2019" t="s">
        <v>2023</v>
      </c>
      <c r="B2019">
        <v>0.99673306730245903</v>
      </c>
      <c r="C2019">
        <v>0.96433978032669598</v>
      </c>
      <c r="D2019">
        <v>0.83120568547235296</v>
      </c>
      <c r="E2019">
        <v>0.73274630243318495</v>
      </c>
      <c r="F2019">
        <v>0.28436386986157203</v>
      </c>
      <c r="G2019">
        <v>0.15169317710004801</v>
      </c>
      <c r="H2019">
        <v>9.0039750501193005E-2</v>
      </c>
      <c r="I2019">
        <v>8.2520673675770498E-2</v>
      </c>
      <c r="J2019">
        <v>9.3756397126600902E-2</v>
      </c>
      <c r="K2019">
        <v>7.97382000059213E-2</v>
      </c>
      <c r="L2019">
        <v>1130.45631572515</v>
      </c>
      <c r="M2019">
        <v>22.2269595254478</v>
      </c>
      <c r="N2019">
        <v>51.220586463611603</v>
      </c>
      <c r="O2019">
        <v>50.4533830665316</v>
      </c>
      <c r="P2019">
        <v>-0.102155583215503</v>
      </c>
      <c r="Q2019">
        <v>7.2480685361886996E-2</v>
      </c>
      <c r="R2019">
        <v>0.98949368812886496</v>
      </c>
      <c r="S2019" t="s">
        <v>8471</v>
      </c>
      <c r="T2019" t="s">
        <v>12902</v>
      </c>
      <c r="U2019" t="s">
        <v>12902</v>
      </c>
      <c r="V2019" t="s">
        <v>12902</v>
      </c>
      <c r="W2019" t="s">
        <v>14886</v>
      </c>
      <c r="X2019">
        <v>29</v>
      </c>
      <c r="Y2019" t="s">
        <v>21254</v>
      </c>
      <c r="Z2019" t="s">
        <v>27594</v>
      </c>
      <c r="AA2019">
        <v>0.41876145252878771</v>
      </c>
      <c r="AB2019" t="str">
        <f>HYPERLINK("Melting_Curves/meltCurve_P11171_EPB41.pdf", "Melting_Curves/meltCurve_P11171_EPB41.pdf")</f>
        <v>Melting_Curves/meltCurve_P11171_EPB41.pdf</v>
      </c>
    </row>
    <row r="2020" spans="1:28" x14ac:dyDescent="0.25">
      <c r="A2020" t="s">
        <v>2024</v>
      </c>
      <c r="B2020">
        <v>0.99673306730245903</v>
      </c>
      <c r="C2020">
        <v>0.94330368234916795</v>
      </c>
      <c r="D2020">
        <v>0.85684848485574905</v>
      </c>
      <c r="E2020">
        <v>0.77851072095850504</v>
      </c>
      <c r="F2020">
        <v>0.56530318449692596</v>
      </c>
      <c r="G2020">
        <v>0.41269697325055199</v>
      </c>
      <c r="H2020">
        <v>0.34327664723130802</v>
      </c>
      <c r="I2020">
        <v>0.39051689650381799</v>
      </c>
      <c r="J2020">
        <v>0.58782479561043499</v>
      </c>
      <c r="K2020">
        <v>0.467429073945</v>
      </c>
      <c r="L2020">
        <v>1014.31838908158</v>
      </c>
      <c r="M2020">
        <v>20.377116895189999</v>
      </c>
      <c r="N2020">
        <v>55.236468633535203</v>
      </c>
      <c r="O2020">
        <v>49.305380494678801</v>
      </c>
      <c r="P2020">
        <v>-5.8557128113643303E-2</v>
      </c>
      <c r="Q2020">
        <v>0.43326755080687901</v>
      </c>
      <c r="R2020">
        <v>0.908411024464573</v>
      </c>
      <c r="S2020" t="s">
        <v>8472</v>
      </c>
      <c r="T2020" t="s">
        <v>12902</v>
      </c>
      <c r="U2020" t="s">
        <v>12902</v>
      </c>
      <c r="V2020" t="s">
        <v>12902</v>
      </c>
      <c r="W2020" t="s">
        <v>14887</v>
      </c>
      <c r="X2020">
        <v>30</v>
      </c>
      <c r="Y2020" t="s">
        <v>21254</v>
      </c>
      <c r="Z2020" t="s">
        <v>27595</v>
      </c>
      <c r="AA2020">
        <v>0.6255832876675318</v>
      </c>
      <c r="AB2020" t="str">
        <f>HYPERLINK("Melting_Curves/meltCurve_P11171_2_EPB41.pdf", "Melting_Curves/meltCurve_P11171_2_EPB41.pdf")</f>
        <v>Melting_Curves/meltCurve_P11171_2_EPB41.pdf</v>
      </c>
    </row>
    <row r="2021" spans="1:28" x14ac:dyDescent="0.25">
      <c r="A2021" t="s">
        <v>2025</v>
      </c>
      <c r="B2021">
        <v>0.99673306730245903</v>
      </c>
      <c r="C2021">
        <v>0.96608497349234301</v>
      </c>
      <c r="D2021">
        <v>0.93672530228327999</v>
      </c>
      <c r="E2021">
        <v>0.905563610227473</v>
      </c>
      <c r="F2021">
        <v>0.63497072275161204</v>
      </c>
      <c r="G2021">
        <v>0.352519128064743</v>
      </c>
      <c r="H2021">
        <v>0.111982269817458</v>
      </c>
      <c r="I2021">
        <v>7.9650675369125304E-2</v>
      </c>
      <c r="J2021">
        <v>6.9809301025385795E-2</v>
      </c>
      <c r="K2021">
        <v>6.0433928535188398E-2</v>
      </c>
      <c r="L2021">
        <v>1128.17618608013</v>
      </c>
      <c r="M2021">
        <v>20.685314629662301</v>
      </c>
      <c r="N2021">
        <v>54.763201199666703</v>
      </c>
      <c r="O2021">
        <v>54.037905755602303</v>
      </c>
      <c r="P2021">
        <v>-9.1831401010129002E-2</v>
      </c>
      <c r="Q2021">
        <v>4.0433276583038198E-2</v>
      </c>
      <c r="R2021">
        <v>0.99708783221338204</v>
      </c>
      <c r="S2021" t="s">
        <v>8473</v>
      </c>
      <c r="T2021" t="s">
        <v>12902</v>
      </c>
      <c r="U2021" t="s">
        <v>12902</v>
      </c>
      <c r="V2021" t="s">
        <v>12902</v>
      </c>
      <c r="W2021" t="s">
        <v>14888</v>
      </c>
      <c r="X2021">
        <v>32</v>
      </c>
      <c r="Y2021" t="s">
        <v>21255</v>
      </c>
      <c r="Z2021" t="s">
        <v>27596</v>
      </c>
      <c r="AA2021">
        <v>0.51775016021139275</v>
      </c>
      <c r="AB2021" t="str">
        <f>HYPERLINK("Melting_Curves/meltCurve_P11172_UMPS.pdf", "Melting_Curves/meltCurve_P11172_UMPS.pdf")</f>
        <v>Melting_Curves/meltCurve_P11172_UMPS.pdf</v>
      </c>
    </row>
    <row r="2022" spans="1:28" x14ac:dyDescent="0.25">
      <c r="A2022" t="s">
        <v>2026</v>
      </c>
      <c r="B2022">
        <v>0.99673306730245903</v>
      </c>
      <c r="C2022">
        <v>0.95522216855620601</v>
      </c>
      <c r="D2022">
        <v>0.96691076640698403</v>
      </c>
      <c r="E2022">
        <v>0.901212664399898</v>
      </c>
      <c r="F2022">
        <v>0.220473340750059</v>
      </c>
      <c r="G2022">
        <v>0.142701013235806</v>
      </c>
      <c r="H2022">
        <v>8.0464741338179796E-2</v>
      </c>
      <c r="I2022">
        <v>6.5926710903691205E-2</v>
      </c>
      <c r="J2022">
        <v>6.5270343747145507E-2</v>
      </c>
      <c r="K2022">
        <v>5.6825792530290999E-2</v>
      </c>
      <c r="L2022">
        <v>2732.0481248117899</v>
      </c>
      <c r="M2022">
        <v>53.016078074194397</v>
      </c>
      <c r="N2022">
        <v>51.702057638196898</v>
      </c>
      <c r="O2022">
        <v>51.4592810560153</v>
      </c>
      <c r="P2022">
        <v>-0.237005115428612</v>
      </c>
      <c r="Q2022">
        <v>7.9818419247737596E-2</v>
      </c>
      <c r="R2022">
        <v>0.99592855542115899</v>
      </c>
      <c r="S2022" t="s">
        <v>8474</v>
      </c>
      <c r="T2022" t="s">
        <v>12902</v>
      </c>
      <c r="U2022" t="s">
        <v>12902</v>
      </c>
      <c r="V2022" t="s">
        <v>12902</v>
      </c>
      <c r="W2022" t="s">
        <v>14889</v>
      </c>
      <c r="X2022">
        <v>14</v>
      </c>
      <c r="Y2022" t="s">
        <v>21256</v>
      </c>
      <c r="Z2022" t="s">
        <v>27597</v>
      </c>
      <c r="AA2022">
        <v>0.43540912483309963</v>
      </c>
      <c r="AB2022" t="str">
        <f>HYPERLINK("Melting_Curves/meltCurve_P11177_PDHB.pdf", "Melting_Curves/meltCurve_P11177_PDHB.pdf")</f>
        <v>Melting_Curves/meltCurve_P11177_PDHB.pdf</v>
      </c>
    </row>
    <row r="2023" spans="1:28" x14ac:dyDescent="0.25">
      <c r="A2023" t="s">
        <v>2027</v>
      </c>
      <c r="B2023">
        <v>0.99673306730245903</v>
      </c>
      <c r="C2023">
        <v>1.0236506497239599</v>
      </c>
      <c r="D2023">
        <v>0.99735561645446602</v>
      </c>
      <c r="E2023">
        <v>1.12560107971973</v>
      </c>
      <c r="F2023">
        <v>0.98238083888682104</v>
      </c>
      <c r="G2023">
        <v>0.43088771495032002</v>
      </c>
      <c r="H2023">
        <v>0.148325804707059</v>
      </c>
      <c r="I2023">
        <v>0.11546111145686</v>
      </c>
      <c r="J2023">
        <v>7.4119245250848606E-2</v>
      </c>
      <c r="K2023">
        <v>5.8538929275372097E-2</v>
      </c>
      <c r="L2023">
        <v>3213.4838376673201</v>
      </c>
      <c r="M2023">
        <v>57.079870182180201</v>
      </c>
      <c r="N2023">
        <v>56.506229083310501</v>
      </c>
      <c r="O2023">
        <v>56.229047243160601</v>
      </c>
      <c r="P2023">
        <v>-0.22971455447136099</v>
      </c>
      <c r="Q2023">
        <v>9.4838591699583003E-2</v>
      </c>
      <c r="R2023">
        <v>0.98953755128557797</v>
      </c>
      <c r="S2023" t="s">
        <v>8475</v>
      </c>
      <c r="T2023" t="s">
        <v>12902</v>
      </c>
      <c r="U2023" t="s">
        <v>12902</v>
      </c>
      <c r="V2023" t="s">
        <v>12902</v>
      </c>
      <c r="W2023" t="s">
        <v>14890</v>
      </c>
      <c r="X2023">
        <v>6</v>
      </c>
      <c r="Y2023" t="s">
        <v>21257</v>
      </c>
      <c r="Z2023" t="s">
        <v>27598</v>
      </c>
      <c r="AA2023">
        <v>0.58830515457412969</v>
      </c>
      <c r="AB2023" t="str">
        <f>HYPERLINK("Melting_Curves/meltCurve_P11182_DBT.pdf", "Melting_Curves/meltCurve_P11182_DBT.pdf")</f>
        <v>Melting_Curves/meltCurve_P11182_DBT.pdf</v>
      </c>
    </row>
    <row r="2024" spans="1:28" x14ac:dyDescent="0.25">
      <c r="A2024" t="s">
        <v>2028</v>
      </c>
      <c r="B2024">
        <v>0.99673306730245903</v>
      </c>
      <c r="C2024">
        <v>0.57764911119821105</v>
      </c>
      <c r="D2024">
        <v>1.3688921693668401</v>
      </c>
      <c r="E2024">
        <v>1.0247086589421399</v>
      </c>
      <c r="F2024">
        <v>0.29565896967312899</v>
      </c>
      <c r="G2024">
        <v>0.21326961647582299</v>
      </c>
      <c r="H2024">
        <v>9.9039302495691303E-2</v>
      </c>
      <c r="I2024">
        <v>7.8002939996004605E-2</v>
      </c>
      <c r="J2024">
        <v>6.3743335508582202E-2</v>
      </c>
      <c r="K2024">
        <v>5.76385403438485E-2</v>
      </c>
      <c r="L2024">
        <v>7091.1692133974902</v>
      </c>
      <c r="M2024">
        <v>134.58498062130599</v>
      </c>
      <c r="N2024">
        <v>52.778967946511202</v>
      </c>
      <c r="O2024">
        <v>52.677526170030198</v>
      </c>
      <c r="P2024">
        <v>-0.57336922721095196</v>
      </c>
      <c r="Q2024">
        <v>0.102316714963633</v>
      </c>
      <c r="R2024">
        <v>0.84414555643591704</v>
      </c>
      <c r="S2024" t="s">
        <v>8476</v>
      </c>
      <c r="T2024" t="s">
        <v>12902</v>
      </c>
      <c r="U2024" t="s">
        <v>12902</v>
      </c>
      <c r="V2024" t="s">
        <v>12902</v>
      </c>
      <c r="W2024" t="s">
        <v>14891</v>
      </c>
      <c r="X2024">
        <v>46</v>
      </c>
      <c r="Y2024" t="s">
        <v>21258</v>
      </c>
      <c r="Z2024" t="s">
        <v>27599</v>
      </c>
      <c r="AA2024">
        <v>0.48229810467698492</v>
      </c>
      <c r="AB2024" t="str">
        <f>HYPERLINK("Melting_Curves/meltCurve_P11216_PYGB.pdf", "Melting_Curves/meltCurve_P11216_PYGB.pdf")</f>
        <v>Melting_Curves/meltCurve_P11216_PYGB.pdf</v>
      </c>
    </row>
    <row r="2025" spans="1:28" x14ac:dyDescent="0.25">
      <c r="A2025" t="s">
        <v>2029</v>
      </c>
      <c r="B2025">
        <v>0.99673306730245903</v>
      </c>
      <c r="C2025">
        <v>0.96059666568694302</v>
      </c>
      <c r="D2025">
        <v>0.878649992559004</v>
      </c>
      <c r="E2025">
        <v>0.79340028033450805</v>
      </c>
      <c r="F2025">
        <v>0.69144682722710304</v>
      </c>
      <c r="G2025">
        <v>0.65004059329752795</v>
      </c>
      <c r="H2025">
        <v>0.55369187280481302</v>
      </c>
      <c r="I2025">
        <v>0.50029930094268604</v>
      </c>
      <c r="J2025">
        <v>0.138246738675498</v>
      </c>
      <c r="K2025">
        <v>8.7720002872201594E-2</v>
      </c>
      <c r="L2025">
        <v>525.74732642761796</v>
      </c>
      <c r="M2025">
        <v>8.8220823423054693</v>
      </c>
      <c r="N2025">
        <v>59.5944695340918</v>
      </c>
      <c r="O2025">
        <v>56.770587431579997</v>
      </c>
      <c r="P2025">
        <v>-3.8880148020861399E-2</v>
      </c>
      <c r="Q2025">
        <v>0</v>
      </c>
      <c r="R2025">
        <v>0.91526465617622799</v>
      </c>
      <c r="S2025" t="s">
        <v>8477</v>
      </c>
      <c r="T2025" t="s">
        <v>12902</v>
      </c>
      <c r="U2025" t="s">
        <v>12902</v>
      </c>
      <c r="V2025" t="s">
        <v>12902</v>
      </c>
      <c r="W2025" t="s">
        <v>14892</v>
      </c>
      <c r="X2025">
        <v>9</v>
      </c>
      <c r="Y2025" t="s">
        <v>21259</v>
      </c>
      <c r="Z2025" t="s">
        <v>27600</v>
      </c>
      <c r="AA2025">
        <v>0.64693553153279937</v>
      </c>
      <c r="AB2025" t="str">
        <f>HYPERLINK("Melting_Curves/meltCurve_P11233_RALA.pdf", "Melting_Curves/meltCurve_P11233_RALA.pdf")</f>
        <v>Melting_Curves/meltCurve_P11233_RALA.pdf</v>
      </c>
    </row>
    <row r="2026" spans="1:28" x14ac:dyDescent="0.25">
      <c r="A2026" t="s">
        <v>2030</v>
      </c>
      <c r="B2026">
        <v>0.99673306730245903</v>
      </c>
      <c r="C2026">
        <v>0.91753793028550401</v>
      </c>
      <c r="D2026">
        <v>0.73674310013997801</v>
      </c>
      <c r="E2026">
        <v>0.33493209063076002</v>
      </c>
      <c r="F2026">
        <v>0.145795453843274</v>
      </c>
      <c r="G2026">
        <v>0.101206713479338</v>
      </c>
      <c r="H2026">
        <v>7.1036717395936894E-2</v>
      </c>
      <c r="I2026">
        <v>6.4481185311200798E-2</v>
      </c>
      <c r="J2026">
        <v>9.4763638672440004E-2</v>
      </c>
      <c r="K2026">
        <v>0.10170031985743801</v>
      </c>
      <c r="L2026">
        <v>1144.7704358236899</v>
      </c>
      <c r="M2026">
        <v>24.026893050982601</v>
      </c>
      <c r="N2026">
        <v>47.995944540290701</v>
      </c>
      <c r="O2026">
        <v>47.319001902613799</v>
      </c>
      <c r="P2026">
        <v>-0.11672680067083099</v>
      </c>
      <c r="Q2026">
        <v>8.0478719239139102E-2</v>
      </c>
      <c r="R2026">
        <v>0.99858863436827805</v>
      </c>
      <c r="S2026" t="s">
        <v>8478</v>
      </c>
      <c r="T2026" t="s">
        <v>12902</v>
      </c>
      <c r="U2026" t="s">
        <v>12902</v>
      </c>
      <c r="V2026" t="s">
        <v>12902</v>
      </c>
      <c r="W2026" t="s">
        <v>14893</v>
      </c>
      <c r="X2026">
        <v>7</v>
      </c>
      <c r="Y2026" t="s">
        <v>21260</v>
      </c>
      <c r="Z2026" t="s">
        <v>27601</v>
      </c>
      <c r="AA2026">
        <v>0.32368250952872818</v>
      </c>
      <c r="AB2026" t="str">
        <f>HYPERLINK("Melting_Curves/meltCurve_P11274_BCR.pdf", "Melting_Curves/meltCurve_P11274_BCR.pdf")</f>
        <v>Melting_Curves/meltCurve_P11274_BCR.pdf</v>
      </c>
    </row>
    <row r="2027" spans="1:28" x14ac:dyDescent="0.25">
      <c r="A2027" t="s">
        <v>2031</v>
      </c>
      <c r="B2027">
        <v>0.99673306730245903</v>
      </c>
      <c r="C2027">
        <v>1.0223774507046</v>
      </c>
      <c r="D2027">
        <v>1.0014026644902101</v>
      </c>
      <c r="E2027">
        <v>0.92638799530577498</v>
      </c>
      <c r="F2027">
        <v>0.81407089629512397</v>
      </c>
      <c r="G2027">
        <v>0.71739700699425302</v>
      </c>
      <c r="H2027">
        <v>0.64779186028918001</v>
      </c>
      <c r="I2027">
        <v>0.754323879873674</v>
      </c>
      <c r="J2027">
        <v>0.60391719643683595</v>
      </c>
      <c r="K2027">
        <v>0.37419164340703798</v>
      </c>
      <c r="L2027">
        <v>421.60564402182399</v>
      </c>
      <c r="M2027">
        <v>6.1168881083261502</v>
      </c>
      <c r="N2027">
        <v>68.924878893850106</v>
      </c>
      <c r="O2027">
        <v>62.648018340724803</v>
      </c>
      <c r="P2027">
        <v>-2.44835228429576E-2</v>
      </c>
      <c r="Q2027">
        <v>0</v>
      </c>
      <c r="R2027">
        <v>0.88069902193910299</v>
      </c>
      <c r="S2027" t="s">
        <v>8479</v>
      </c>
      <c r="T2027" t="s">
        <v>12902</v>
      </c>
      <c r="U2027" t="s">
        <v>12902</v>
      </c>
      <c r="V2027" t="s">
        <v>12902</v>
      </c>
      <c r="W2027" t="s">
        <v>14894</v>
      </c>
      <c r="X2027">
        <v>10</v>
      </c>
      <c r="Y2027" t="s">
        <v>21261</v>
      </c>
      <c r="Z2027" t="s">
        <v>27602</v>
      </c>
      <c r="AA2027">
        <v>0.79031613423727054</v>
      </c>
      <c r="AB2027" t="str">
        <f>HYPERLINK("Melting_Curves/meltCurve_P11279_LAMP1.pdf", "Melting_Curves/meltCurve_P11279_LAMP1.pdf")</f>
        <v>Melting_Curves/meltCurve_P11279_LAMP1.pdf</v>
      </c>
    </row>
    <row r="2028" spans="1:28" x14ac:dyDescent="0.25">
      <c r="A2028" t="s">
        <v>2032</v>
      </c>
      <c r="B2028">
        <v>0.99673306730245903</v>
      </c>
      <c r="C2028">
        <v>0.887411910955617</v>
      </c>
      <c r="D2028">
        <v>0.56785207572153595</v>
      </c>
      <c r="E2028">
        <v>0.22383977666494501</v>
      </c>
      <c r="F2028">
        <v>0.12846440161750899</v>
      </c>
      <c r="G2028">
        <v>7.8295581665740993E-2</v>
      </c>
      <c r="H2028">
        <v>5.7338564607621503E-2</v>
      </c>
      <c r="I2028">
        <v>5.5916147341791199E-2</v>
      </c>
      <c r="J2028">
        <v>6.8308221100047598E-2</v>
      </c>
      <c r="K2028">
        <v>6.4838814366640296E-2</v>
      </c>
      <c r="L2028">
        <v>1113.3062075332</v>
      </c>
      <c r="M2028">
        <v>24.021998000727798</v>
      </c>
      <c r="N2028">
        <v>46.6171271714135</v>
      </c>
      <c r="O2028">
        <v>46.027679851779197</v>
      </c>
      <c r="P2028">
        <v>-0.121950338314653</v>
      </c>
      <c r="Q2028">
        <v>6.5356042802444003E-2</v>
      </c>
      <c r="R2028">
        <v>0.99906603488756196</v>
      </c>
      <c r="S2028" t="s">
        <v>8480</v>
      </c>
      <c r="T2028" t="s">
        <v>12902</v>
      </c>
      <c r="U2028" t="s">
        <v>12902</v>
      </c>
      <c r="V2028" t="s">
        <v>12902</v>
      </c>
      <c r="W2028" t="s">
        <v>14895</v>
      </c>
      <c r="X2028">
        <v>18</v>
      </c>
      <c r="Y2028" t="s">
        <v>21262</v>
      </c>
      <c r="Z2028" t="s">
        <v>27603</v>
      </c>
      <c r="AA2028">
        <v>0.27235143065517148</v>
      </c>
      <c r="AB2028" t="str">
        <f>HYPERLINK("Melting_Curves/meltCurve_P11387_TOP1.pdf", "Melting_Curves/meltCurve_P11387_TOP1.pdf")</f>
        <v>Melting_Curves/meltCurve_P11387_TOP1.pdf</v>
      </c>
    </row>
    <row r="2029" spans="1:28" x14ac:dyDescent="0.25">
      <c r="A2029" t="s">
        <v>2033</v>
      </c>
      <c r="B2029">
        <v>0.99673306730245903</v>
      </c>
      <c r="C2029">
        <v>0.81976723704672705</v>
      </c>
      <c r="D2029">
        <v>0.67829541332559096</v>
      </c>
      <c r="E2029">
        <v>0.27924870780486499</v>
      </c>
      <c r="F2029">
        <v>0.168422706062791</v>
      </c>
      <c r="G2029">
        <v>0.108249801288975</v>
      </c>
      <c r="H2029">
        <v>7.8733614642391495E-2</v>
      </c>
      <c r="I2029">
        <v>7.5327496782641307E-2</v>
      </c>
      <c r="J2029">
        <v>7.6854390502929304E-2</v>
      </c>
      <c r="K2029">
        <v>7.2135347116828896E-2</v>
      </c>
      <c r="L2029">
        <v>918.97273478257</v>
      </c>
      <c r="M2029">
        <v>19.562265739117301</v>
      </c>
      <c r="N2029">
        <v>47.349929461109902</v>
      </c>
      <c r="O2029">
        <v>46.494163864856397</v>
      </c>
      <c r="P2029">
        <v>-9.7676672163360401E-2</v>
      </c>
      <c r="Q2029">
        <v>7.1429877950071996E-2</v>
      </c>
      <c r="R2029">
        <v>0.99347799454499996</v>
      </c>
      <c r="S2029" t="s">
        <v>8481</v>
      </c>
      <c r="T2029" t="s">
        <v>12902</v>
      </c>
      <c r="U2029" t="s">
        <v>12902</v>
      </c>
      <c r="V2029" t="s">
        <v>12902</v>
      </c>
      <c r="W2029" t="s">
        <v>14896</v>
      </c>
      <c r="X2029">
        <v>21</v>
      </c>
      <c r="Y2029" t="s">
        <v>21263</v>
      </c>
      <c r="Z2029" t="s">
        <v>27604</v>
      </c>
      <c r="AA2029">
        <v>0.30166682428881358</v>
      </c>
      <c r="AB2029" t="str">
        <f>HYPERLINK("Melting_Curves/meltCurve_P11388_TOP2A.pdf", "Melting_Curves/meltCurve_P11388_TOP2A.pdf")</f>
        <v>Melting_Curves/meltCurve_P11388_TOP2A.pdf</v>
      </c>
    </row>
    <row r="2030" spans="1:28" x14ac:dyDescent="0.25">
      <c r="A2030" t="s">
        <v>2034</v>
      </c>
      <c r="B2030">
        <v>0.99673306730245903</v>
      </c>
      <c r="C2030">
        <v>0.96586591980203396</v>
      </c>
      <c r="D2030">
        <v>0.96747070244219102</v>
      </c>
      <c r="E2030">
        <v>1.03074970972866</v>
      </c>
      <c r="F2030">
        <v>0.67635065596925104</v>
      </c>
      <c r="G2030">
        <v>0.26495413997081901</v>
      </c>
      <c r="H2030">
        <v>8.9707790183172403E-2</v>
      </c>
      <c r="I2030">
        <v>6.7301531197380804E-2</v>
      </c>
      <c r="J2030">
        <v>7.4651073997099901E-2</v>
      </c>
      <c r="K2030">
        <v>5.9900270866364201E-2</v>
      </c>
      <c r="L2030">
        <v>1825.76956077108</v>
      </c>
      <c r="M2030">
        <v>33.574667416058404</v>
      </c>
      <c r="N2030">
        <v>54.612489804694697</v>
      </c>
      <c r="O2030">
        <v>54.187552109172003</v>
      </c>
      <c r="P2030">
        <v>-0.14455997234172699</v>
      </c>
      <c r="Q2030">
        <v>6.6758499897931797E-2</v>
      </c>
      <c r="R2030">
        <v>0.99580232686786596</v>
      </c>
      <c r="S2030" t="s">
        <v>8482</v>
      </c>
      <c r="T2030" t="s">
        <v>12902</v>
      </c>
      <c r="U2030" t="s">
        <v>12902</v>
      </c>
      <c r="V2030" t="s">
        <v>12902</v>
      </c>
      <c r="W2030" t="s">
        <v>14897</v>
      </c>
      <c r="X2030">
        <v>42</v>
      </c>
      <c r="Y2030" t="s">
        <v>21264</v>
      </c>
      <c r="Z2030" t="s">
        <v>27605</v>
      </c>
      <c r="AA2030">
        <v>0.51902177952674389</v>
      </c>
      <c r="AB2030" t="str">
        <f>HYPERLINK("Melting_Curves/meltCurve_P11413_G6PD.pdf", "Melting_Curves/meltCurve_P11413_G6PD.pdf")</f>
        <v>Melting_Curves/meltCurve_P11413_G6PD.pdf</v>
      </c>
    </row>
    <row r="2031" spans="1:28" x14ac:dyDescent="0.25">
      <c r="A2031" t="s">
        <v>2035</v>
      </c>
      <c r="B2031">
        <v>0.99673306730245903</v>
      </c>
      <c r="C2031">
        <v>0.942710353672639</v>
      </c>
      <c r="D2031">
        <v>0.80594917553544998</v>
      </c>
      <c r="E2031">
        <v>0.479616854595807</v>
      </c>
      <c r="F2031">
        <v>0.27062449114951997</v>
      </c>
      <c r="G2031">
        <v>0.21484346737563101</v>
      </c>
      <c r="H2031">
        <v>0.15955271033573301</v>
      </c>
      <c r="I2031">
        <v>0.18729757528537999</v>
      </c>
      <c r="J2031">
        <v>0.238615553624624</v>
      </c>
      <c r="K2031">
        <v>0.258485622740937</v>
      </c>
      <c r="L2031">
        <v>1161.83597184722</v>
      </c>
      <c r="M2031">
        <v>24.1236449827312</v>
      </c>
      <c r="N2031">
        <v>49.244410128659602</v>
      </c>
      <c r="O2031">
        <v>47.8344215560764</v>
      </c>
      <c r="P2031">
        <v>-0.100131853012637</v>
      </c>
      <c r="Q2031">
        <v>0.20581247947902001</v>
      </c>
      <c r="R2031">
        <v>0.99248331517063104</v>
      </c>
      <c r="S2031" t="s">
        <v>8483</v>
      </c>
      <c r="T2031" t="s">
        <v>12902</v>
      </c>
      <c r="U2031" t="s">
        <v>12902</v>
      </c>
      <c r="V2031" t="s">
        <v>12902</v>
      </c>
      <c r="W2031" t="s">
        <v>14898</v>
      </c>
      <c r="X2031">
        <v>10</v>
      </c>
      <c r="Y2031" t="s">
        <v>21265</v>
      </c>
      <c r="Z2031" t="s">
        <v>27606</v>
      </c>
      <c r="AA2031">
        <v>0.42944458883803799</v>
      </c>
      <c r="AB2031" t="str">
        <f>HYPERLINK("Melting_Curves/meltCurve_P11441_UBL4A.pdf", "Melting_Curves/meltCurve_P11441_UBL4A.pdf")</f>
        <v>Melting_Curves/meltCurve_P11441_UBL4A.pdf</v>
      </c>
    </row>
    <row r="2032" spans="1:28" x14ac:dyDescent="0.25">
      <c r="A2032" t="s">
        <v>2036</v>
      </c>
      <c r="B2032">
        <v>0.99673306730245903</v>
      </c>
      <c r="C2032">
        <v>0.93636928411089404</v>
      </c>
      <c r="D2032">
        <v>0.89392352137561504</v>
      </c>
      <c r="E2032">
        <v>0.82505179472797796</v>
      </c>
      <c r="F2032">
        <v>0.212746518637495</v>
      </c>
      <c r="G2032">
        <v>0.145278775464629</v>
      </c>
      <c r="H2032">
        <v>8.8553447787375894E-2</v>
      </c>
      <c r="I2032">
        <v>7.5970393328803204E-2</v>
      </c>
      <c r="J2032">
        <v>7.27283247941823E-2</v>
      </c>
      <c r="K2032">
        <v>7.0613558460274506E-2</v>
      </c>
      <c r="L2032">
        <v>2226.6393183866298</v>
      </c>
      <c r="M2032">
        <v>43.543227742539898</v>
      </c>
      <c r="N2032">
        <v>51.3581454348421</v>
      </c>
      <c r="O2032">
        <v>51.0287847559363</v>
      </c>
      <c r="P2032">
        <v>-0.19504002820062899</v>
      </c>
      <c r="Q2032">
        <v>8.5723077876891499E-2</v>
      </c>
      <c r="R2032">
        <v>0.98917878226822298</v>
      </c>
      <c r="S2032" t="s">
        <v>8484</v>
      </c>
      <c r="T2032" t="s">
        <v>12902</v>
      </c>
      <c r="U2032" t="s">
        <v>12902</v>
      </c>
      <c r="V2032" t="s">
        <v>12902</v>
      </c>
      <c r="W2032" t="s">
        <v>14899</v>
      </c>
      <c r="X2032">
        <v>48</v>
      </c>
      <c r="Y2032" t="s">
        <v>21266</v>
      </c>
      <c r="Z2032" t="s">
        <v>27607</v>
      </c>
      <c r="AA2032">
        <v>0.42783532996984602</v>
      </c>
      <c r="AB2032" t="str">
        <f>HYPERLINK("Melting_Curves/meltCurve_P11498_PC.pdf", "Melting_Curves/meltCurve_P11498_PC.pdf")</f>
        <v>Melting_Curves/meltCurve_P11498_PC.pdf</v>
      </c>
    </row>
    <row r="2033" spans="1:28" x14ac:dyDescent="0.25">
      <c r="A2033" t="s">
        <v>2037</v>
      </c>
      <c r="B2033">
        <v>0.99673306730245903</v>
      </c>
      <c r="C2033">
        <v>0.77705255939963802</v>
      </c>
      <c r="D2033">
        <v>1.0807036616119901</v>
      </c>
      <c r="E2033">
        <v>0.98309894629871497</v>
      </c>
      <c r="F2033">
        <v>0.248291670480841</v>
      </c>
      <c r="G2033">
        <v>0.117083806562888</v>
      </c>
      <c r="H2033">
        <v>6.7319910625638593E-2</v>
      </c>
      <c r="I2033">
        <v>5.7693985644650801E-2</v>
      </c>
      <c r="J2033">
        <v>6.0949783309230801E-2</v>
      </c>
      <c r="K2033">
        <v>5.3746129733905898E-2</v>
      </c>
      <c r="L2033">
        <v>3816.9878381415101</v>
      </c>
      <c r="M2033">
        <v>73.181569918834796</v>
      </c>
      <c r="N2033">
        <v>52.266589024484098</v>
      </c>
      <c r="O2033">
        <v>52.118874860736703</v>
      </c>
      <c r="P2033">
        <v>-0.32622428697100597</v>
      </c>
      <c r="Q2033">
        <v>7.0671093736485793E-2</v>
      </c>
      <c r="R2033">
        <v>0.96820069414444998</v>
      </c>
      <c r="S2033" t="s">
        <v>8485</v>
      </c>
      <c r="T2033" t="s">
        <v>12902</v>
      </c>
      <c r="U2033" t="s">
        <v>12902</v>
      </c>
      <c r="V2033" t="s">
        <v>12902</v>
      </c>
      <c r="W2033" t="s">
        <v>14900</v>
      </c>
      <c r="X2033">
        <v>64</v>
      </c>
      <c r="Y2033" t="s">
        <v>21267</v>
      </c>
      <c r="Z2033" t="s">
        <v>27608</v>
      </c>
      <c r="AA2033">
        <v>0.4482852458779823</v>
      </c>
      <c r="AB2033" t="str">
        <f>HYPERLINK("Melting_Curves/meltCurve_P11586_MTHFD1.pdf", "Melting_Curves/meltCurve_P11586_MTHFD1.pdf")</f>
        <v>Melting_Curves/meltCurve_P11586_MTHFD1.pdf</v>
      </c>
    </row>
    <row r="2034" spans="1:28" x14ac:dyDescent="0.25">
      <c r="A2034" t="s">
        <v>2038</v>
      </c>
      <c r="B2034">
        <v>0.99673306730245903</v>
      </c>
      <c r="C2034">
        <v>0.95835504741074395</v>
      </c>
      <c r="D2034">
        <v>1.01618264117538</v>
      </c>
      <c r="E2034">
        <v>1.01734341985579</v>
      </c>
      <c r="F2034">
        <v>0.75476395927036399</v>
      </c>
      <c r="G2034">
        <v>0.404699352642587</v>
      </c>
      <c r="H2034">
        <v>0.23068515775048601</v>
      </c>
      <c r="I2034">
        <v>0.17388023906198199</v>
      </c>
      <c r="J2034">
        <v>0.15105685674095101</v>
      </c>
      <c r="K2034">
        <v>0.112206723048421</v>
      </c>
      <c r="L2034">
        <v>1515.9785202739099</v>
      </c>
      <c r="M2034">
        <v>27.4837766682172</v>
      </c>
      <c r="N2034">
        <v>55.841522443693997</v>
      </c>
      <c r="O2034">
        <v>54.869489383980302</v>
      </c>
      <c r="P2034">
        <v>-0.107360728455082</v>
      </c>
      <c r="Q2034">
        <v>0.142654366585551</v>
      </c>
      <c r="R2034">
        <v>0.99492698542333002</v>
      </c>
      <c r="S2034" t="s">
        <v>8486</v>
      </c>
      <c r="T2034" t="s">
        <v>12902</v>
      </c>
      <c r="U2034" t="s">
        <v>12902</v>
      </c>
      <c r="V2034" t="s">
        <v>12902</v>
      </c>
      <c r="W2034" t="s">
        <v>14901</v>
      </c>
      <c r="X2034">
        <v>64</v>
      </c>
      <c r="Y2034" t="s">
        <v>21268</v>
      </c>
      <c r="Z2034" t="s">
        <v>27609</v>
      </c>
      <c r="AA2034">
        <v>0.58256841205800713</v>
      </c>
      <c r="AB2034" t="str">
        <f>HYPERLINK("Melting_Curves/meltCurve_P11717_IGF2R.pdf", "Melting_Curves/meltCurve_P11717_IGF2R.pdf")</f>
        <v>Melting_Curves/meltCurve_P11717_IGF2R.pdf</v>
      </c>
    </row>
    <row r="2035" spans="1:28" x14ac:dyDescent="0.25">
      <c r="A2035" t="s">
        <v>2039</v>
      </c>
      <c r="B2035">
        <v>0.99673306730245903</v>
      </c>
      <c r="C2035">
        <v>1.01951612658683</v>
      </c>
      <c r="D2035">
        <v>1.0133740006729799</v>
      </c>
      <c r="E2035">
        <v>1.08214658625793</v>
      </c>
      <c r="F2035">
        <v>0.93268378274862695</v>
      </c>
      <c r="G2035">
        <v>0.89651089571105103</v>
      </c>
      <c r="H2035">
        <v>0.70892837065012004</v>
      </c>
      <c r="I2035">
        <v>0.72250523383352705</v>
      </c>
      <c r="J2035">
        <v>0.24470658665504999</v>
      </c>
      <c r="K2035">
        <v>0.12711446634109799</v>
      </c>
      <c r="L2035">
        <v>1405.8888337031999</v>
      </c>
      <c r="M2035">
        <v>21.7113775266304</v>
      </c>
      <c r="N2035">
        <v>64.753567088724395</v>
      </c>
      <c r="O2035">
        <v>64.211712697456406</v>
      </c>
      <c r="P2035">
        <v>-8.4532415056561006E-2</v>
      </c>
      <c r="Q2035">
        <v>0</v>
      </c>
      <c r="R2035">
        <v>0.94495126810441599</v>
      </c>
      <c r="S2035" t="s">
        <v>8487</v>
      </c>
      <c r="T2035" t="s">
        <v>12902</v>
      </c>
      <c r="U2035" t="s">
        <v>12902</v>
      </c>
      <c r="V2035" t="s">
        <v>12902</v>
      </c>
      <c r="W2035" t="s">
        <v>14902</v>
      </c>
      <c r="X2035">
        <v>17</v>
      </c>
      <c r="Y2035" t="s">
        <v>21269</v>
      </c>
      <c r="Z2035" t="s">
        <v>27610</v>
      </c>
      <c r="AA2035">
        <v>0.81722515652749983</v>
      </c>
      <c r="AB2035" t="str">
        <f>HYPERLINK("Melting_Curves/meltCurve_P11766_ADH5.pdf", "Melting_Curves/meltCurve_P11766_ADH5.pdf")</f>
        <v>Melting_Curves/meltCurve_P11766_ADH5.pdf</v>
      </c>
    </row>
    <row r="2036" spans="1:28" x14ac:dyDescent="0.25">
      <c r="A2036" t="s">
        <v>2040</v>
      </c>
      <c r="B2036">
        <v>0.99673306730245903</v>
      </c>
      <c r="C2036">
        <v>0.89460227437947804</v>
      </c>
      <c r="D2036">
        <v>0.71036189261511296</v>
      </c>
      <c r="E2036">
        <v>0.58979479316653705</v>
      </c>
      <c r="F2036">
        <v>0.38596988867188098</v>
      </c>
      <c r="G2036">
        <v>0.27202490981812899</v>
      </c>
      <c r="H2036">
        <v>0.156703445680726</v>
      </c>
      <c r="I2036">
        <v>0.12146424656430201</v>
      </c>
      <c r="J2036">
        <v>0.10222664063001401</v>
      </c>
      <c r="K2036">
        <v>8.5914206421168204E-2</v>
      </c>
      <c r="L2036">
        <v>563.87843456031396</v>
      </c>
      <c r="M2036">
        <v>11.1721724937122</v>
      </c>
      <c r="N2036">
        <v>50.8879650404157</v>
      </c>
      <c r="O2036">
        <v>48.935636879297</v>
      </c>
      <c r="P2036">
        <v>-5.4600724292840498E-2</v>
      </c>
      <c r="Q2036">
        <v>4.3669481613768497E-2</v>
      </c>
      <c r="R2036">
        <v>0.99496334468463299</v>
      </c>
      <c r="S2036" t="s">
        <v>8488</v>
      </c>
      <c r="T2036" t="s">
        <v>12902</v>
      </c>
      <c r="U2036" t="s">
        <v>12902</v>
      </c>
      <c r="V2036" t="s">
        <v>12902</v>
      </c>
      <c r="W2036" t="s">
        <v>14903</v>
      </c>
      <c r="X2036">
        <v>7</v>
      </c>
      <c r="Y2036" t="s">
        <v>21270</v>
      </c>
      <c r="Z2036" t="s">
        <v>27611</v>
      </c>
      <c r="AA2036">
        <v>0.41323049496783237</v>
      </c>
      <c r="AB2036" t="str">
        <f>HYPERLINK("Melting_Curves/meltCurve_P11802_CDK4.pdf", "Melting_Curves/meltCurve_P11802_CDK4.pdf")</f>
        <v>Melting_Curves/meltCurve_P11802_CDK4.pdf</v>
      </c>
    </row>
    <row r="2037" spans="1:28" x14ac:dyDescent="0.25">
      <c r="A2037" t="s">
        <v>2041</v>
      </c>
      <c r="B2037">
        <v>0.99673306730245903</v>
      </c>
      <c r="C2037">
        <v>0.99062263640302295</v>
      </c>
      <c r="D2037">
        <v>1.0128208178518601</v>
      </c>
      <c r="E2037">
        <v>1.2369591798703501</v>
      </c>
      <c r="F2037">
        <v>1.3720091503257601</v>
      </c>
      <c r="G2037">
        <v>1.5008510605879299</v>
      </c>
      <c r="H2037">
        <v>0.81817448467095499</v>
      </c>
      <c r="I2037">
        <v>0.26304896460062999</v>
      </c>
      <c r="J2037">
        <v>0.20114081876440801</v>
      </c>
      <c r="K2037">
        <v>0.16021360745848201</v>
      </c>
      <c r="L2037">
        <v>4541.6052713483004</v>
      </c>
      <c r="M2037">
        <v>73.376762769978598</v>
      </c>
      <c r="N2037">
        <v>62.283898873605899</v>
      </c>
      <c r="O2037">
        <v>61.848400965930701</v>
      </c>
      <c r="P2037">
        <v>-0.24201645083970899</v>
      </c>
      <c r="Q2037">
        <v>0.18402900395077201</v>
      </c>
      <c r="R2037">
        <v>0.79226659115429199</v>
      </c>
      <c r="S2037" t="s">
        <v>8489</v>
      </c>
      <c r="T2037" t="s">
        <v>12902</v>
      </c>
      <c r="U2037" t="s">
        <v>12902</v>
      </c>
      <c r="V2037" t="s">
        <v>12902</v>
      </c>
      <c r="W2037" t="s">
        <v>14904</v>
      </c>
      <c r="X2037">
        <v>13</v>
      </c>
      <c r="Y2037" t="s">
        <v>21271</v>
      </c>
      <c r="Z2037" t="s">
        <v>27612</v>
      </c>
      <c r="AA2037">
        <v>0.78055861903486368</v>
      </c>
      <c r="AB2037" t="str">
        <f>HYPERLINK("Melting_Curves/meltCurve_P11908_PRPS2.pdf", "Melting_Curves/meltCurve_P11908_PRPS2.pdf")</f>
        <v>Melting_Curves/meltCurve_P11908_PRPS2.pdf</v>
      </c>
    </row>
    <row r="2038" spans="1:28" x14ac:dyDescent="0.25">
      <c r="A2038" t="s">
        <v>2042</v>
      </c>
      <c r="B2038">
        <v>0.99673306730245903</v>
      </c>
      <c r="C2038">
        <v>0.94063057830922303</v>
      </c>
      <c r="D2038">
        <v>0.89729337240581197</v>
      </c>
      <c r="E2038">
        <v>0.62498272458629101</v>
      </c>
      <c r="F2038">
        <v>0.179213891201433</v>
      </c>
      <c r="G2038">
        <v>0.11408546833036499</v>
      </c>
      <c r="H2038">
        <v>7.0327516088919795E-2</v>
      </c>
      <c r="I2038">
        <v>6.2726697232841994E-2</v>
      </c>
      <c r="J2038">
        <v>6.84924157198262E-2</v>
      </c>
      <c r="K2038">
        <v>5.9684315281160603E-2</v>
      </c>
      <c r="L2038">
        <v>1408.2896695803299</v>
      </c>
      <c r="M2038">
        <v>28.110378566582099</v>
      </c>
      <c r="N2038">
        <v>50.336813975573598</v>
      </c>
      <c r="O2038">
        <v>49.847080891555997</v>
      </c>
      <c r="P2038">
        <v>-0.13220255089521099</v>
      </c>
      <c r="Q2038">
        <v>6.22885389070282E-2</v>
      </c>
      <c r="R2038">
        <v>0.99601040300279697</v>
      </c>
      <c r="S2038" t="s">
        <v>8490</v>
      </c>
      <c r="T2038" t="s">
        <v>12902</v>
      </c>
      <c r="U2038" t="s">
        <v>12902</v>
      </c>
      <c r="V2038" t="s">
        <v>12902</v>
      </c>
      <c r="W2038" t="s">
        <v>14905</v>
      </c>
      <c r="X2038">
        <v>37</v>
      </c>
      <c r="Y2038" t="s">
        <v>21272</v>
      </c>
      <c r="Z2038" t="s">
        <v>27613</v>
      </c>
      <c r="AA2038">
        <v>0.38456507715491067</v>
      </c>
      <c r="AB2038" t="str">
        <f>HYPERLINK("Melting_Curves/meltCurve_P11940_2_PABPC1.pdf", "Melting_Curves/meltCurve_P11940_2_PABPC1.pdf")</f>
        <v>Melting_Curves/meltCurve_P11940_2_PABPC1.pdf</v>
      </c>
    </row>
    <row r="2039" spans="1:28" x14ac:dyDescent="0.25">
      <c r="A2039" t="s">
        <v>2043</v>
      </c>
      <c r="B2039">
        <v>0.99673306730245903</v>
      </c>
      <c r="C2039">
        <v>1.0312698053832301</v>
      </c>
      <c r="D2039">
        <v>1.03278476666426</v>
      </c>
      <c r="E2039">
        <v>1.0401751426671</v>
      </c>
      <c r="F2039">
        <v>0.88215397515899396</v>
      </c>
      <c r="G2039">
        <v>0.66758040394400697</v>
      </c>
      <c r="H2039">
        <v>0.281778250740227</v>
      </c>
      <c r="I2039">
        <v>0.10315728255109299</v>
      </c>
      <c r="J2039">
        <v>7.4557355939634695E-2</v>
      </c>
      <c r="K2039">
        <v>6.2235741517427001E-2</v>
      </c>
      <c r="L2039">
        <v>1475.6029496659301</v>
      </c>
      <c r="M2039">
        <v>25.390094733004599</v>
      </c>
      <c r="N2039">
        <v>58.306847737452898</v>
      </c>
      <c r="O2039">
        <v>57.760345628552301</v>
      </c>
      <c r="P2039">
        <v>-0.105541590289625</v>
      </c>
      <c r="Q2039">
        <v>3.9618935076352703E-2</v>
      </c>
      <c r="R2039">
        <v>0.99607347237006305</v>
      </c>
      <c r="S2039" t="s">
        <v>8491</v>
      </c>
      <c r="T2039" t="s">
        <v>12902</v>
      </c>
      <c r="U2039" t="s">
        <v>12902</v>
      </c>
      <c r="V2039" t="s">
        <v>12902</v>
      </c>
      <c r="W2039" t="s">
        <v>14906</v>
      </c>
      <c r="X2039">
        <v>24</v>
      </c>
      <c r="Y2039" t="s">
        <v>21273</v>
      </c>
      <c r="Z2039" t="s">
        <v>27614</v>
      </c>
      <c r="AA2039">
        <v>0.6277333411473851</v>
      </c>
      <c r="AB2039" t="str">
        <f>HYPERLINK("Melting_Curves/meltCurve_P12004_PCNA.pdf", "Melting_Curves/meltCurve_P12004_PCNA.pdf")</f>
        <v>Melting_Curves/meltCurve_P12004_PCNA.pdf</v>
      </c>
    </row>
    <row r="2040" spans="1:28" x14ac:dyDescent="0.25">
      <c r="A2040" t="s">
        <v>2044</v>
      </c>
      <c r="B2040">
        <v>0.99673306730245903</v>
      </c>
      <c r="C2040">
        <v>0.976006643905305</v>
      </c>
      <c r="D2040">
        <v>0.88306912578657104</v>
      </c>
      <c r="E2040">
        <v>1.05101665812886</v>
      </c>
      <c r="F2040">
        <v>0.61867947868991602</v>
      </c>
      <c r="G2040">
        <v>0.22674695142846599</v>
      </c>
      <c r="H2040">
        <v>8.9922919746979205E-2</v>
      </c>
      <c r="I2040">
        <v>8.0878280284881296E-2</v>
      </c>
      <c r="J2040">
        <v>7.6701002704541499E-2</v>
      </c>
      <c r="K2040">
        <v>6.6104641988172605E-2</v>
      </c>
      <c r="L2040">
        <v>2003.6597604328001</v>
      </c>
      <c r="M2040">
        <v>37.193911549347703</v>
      </c>
      <c r="N2040">
        <v>54.120925059396299</v>
      </c>
      <c r="O2040">
        <v>53.7156277420397</v>
      </c>
      <c r="P2040">
        <v>-0.159427963673173</v>
      </c>
      <c r="Q2040">
        <v>7.90161155503043E-2</v>
      </c>
      <c r="R2040">
        <v>0.98650788933580402</v>
      </c>
      <c r="S2040" t="s">
        <v>8492</v>
      </c>
      <c r="T2040" t="s">
        <v>12902</v>
      </c>
      <c r="U2040" t="s">
        <v>12902</v>
      </c>
      <c r="V2040" t="s">
        <v>12902</v>
      </c>
      <c r="W2040" t="s">
        <v>14907</v>
      </c>
      <c r="X2040">
        <v>39</v>
      </c>
      <c r="Y2040" t="s">
        <v>21274</v>
      </c>
      <c r="Z2040" t="s">
        <v>27615</v>
      </c>
      <c r="AA2040">
        <v>0.50879511862880278</v>
      </c>
      <c r="AB2040" t="str">
        <f>HYPERLINK("Melting_Curves/meltCurve_P12081_HARS.pdf", "Melting_Curves/meltCurve_P12081_HARS.pdf")</f>
        <v>Melting_Curves/meltCurve_P12081_HARS.pdf</v>
      </c>
    </row>
    <row r="2041" spans="1:28" x14ac:dyDescent="0.25">
      <c r="A2041" t="s">
        <v>2045</v>
      </c>
      <c r="B2041">
        <v>0.99673306730245903</v>
      </c>
      <c r="C2041">
        <v>1.0195699917129299</v>
      </c>
      <c r="D2041">
        <v>0.95740433732337804</v>
      </c>
      <c r="E2041">
        <v>0.81626434090251898</v>
      </c>
      <c r="F2041">
        <v>0.45833546514828599</v>
      </c>
      <c r="G2041">
        <v>0.31104223365522898</v>
      </c>
      <c r="H2041">
        <v>0.24470895516989999</v>
      </c>
      <c r="I2041">
        <v>0.23672345924556401</v>
      </c>
      <c r="J2041">
        <v>0.252454032312034</v>
      </c>
      <c r="K2041">
        <v>0.196031074821267</v>
      </c>
      <c r="L2041">
        <v>1365.4664357675399</v>
      </c>
      <c r="M2041">
        <v>26.442637076592298</v>
      </c>
      <c r="N2041">
        <v>52.866331417778703</v>
      </c>
      <c r="O2041">
        <v>51.346193794707602</v>
      </c>
      <c r="P2041">
        <v>-9.92128179940895E-2</v>
      </c>
      <c r="Q2041">
        <v>0.229404338563683</v>
      </c>
      <c r="R2041">
        <v>0.99736261360607903</v>
      </c>
      <c r="S2041" t="s">
        <v>8493</v>
      </c>
      <c r="T2041" t="s">
        <v>12902</v>
      </c>
      <c r="U2041" t="s">
        <v>12902</v>
      </c>
      <c r="V2041" t="s">
        <v>12902</v>
      </c>
      <c r="W2041" t="s">
        <v>14908</v>
      </c>
      <c r="X2041">
        <v>14</v>
      </c>
      <c r="Y2041" t="s">
        <v>21275</v>
      </c>
      <c r="Z2041" t="s">
        <v>27616</v>
      </c>
      <c r="AA2041">
        <v>0.53464771112319009</v>
      </c>
      <c r="AB2041" t="str">
        <f>HYPERLINK("Melting_Curves/meltCurve_P12109_COL6A1.pdf", "Melting_Curves/meltCurve_P12109_COL6A1.pdf")</f>
        <v>Melting_Curves/meltCurve_P12109_COL6A1.pdf</v>
      </c>
    </row>
    <row r="2042" spans="1:28" x14ac:dyDescent="0.25">
      <c r="A2042" t="s">
        <v>2046</v>
      </c>
      <c r="B2042">
        <v>0.99673306730245903</v>
      </c>
      <c r="C2042">
        <v>1.0052334684048601</v>
      </c>
      <c r="D2042">
        <v>0.92514431673585895</v>
      </c>
      <c r="E2042">
        <v>0.84665991607664104</v>
      </c>
      <c r="F2042">
        <v>0.72359344940218995</v>
      </c>
      <c r="G2042">
        <v>0.67891037837499202</v>
      </c>
      <c r="H2042">
        <v>0.55714926253208996</v>
      </c>
      <c r="I2042">
        <v>0.710396578637572</v>
      </c>
      <c r="J2042">
        <v>0.84187785801888704</v>
      </c>
      <c r="K2042">
        <v>0.76330343779624898</v>
      </c>
      <c r="L2042">
        <v>1340.7364993052499</v>
      </c>
      <c r="M2042">
        <v>27.4859350913448</v>
      </c>
      <c r="O2042">
        <v>48.522989978910097</v>
      </c>
      <c r="P2042">
        <v>-4.1213984943462102E-2</v>
      </c>
      <c r="Q2042">
        <v>0.70897008667400596</v>
      </c>
      <c r="R2042">
        <v>0.75132076682017501</v>
      </c>
      <c r="S2042" t="s">
        <v>8494</v>
      </c>
      <c r="T2042" t="s">
        <v>12902</v>
      </c>
      <c r="U2042" t="s">
        <v>12902</v>
      </c>
      <c r="V2042" t="s">
        <v>12902</v>
      </c>
      <c r="W2042" t="s">
        <v>14909</v>
      </c>
      <c r="X2042">
        <v>26</v>
      </c>
      <c r="Y2042" t="s">
        <v>21276</v>
      </c>
      <c r="Z2042" t="s">
        <v>27617</v>
      </c>
      <c r="AA2042">
        <v>0.79625183170729186</v>
      </c>
      <c r="AB2042" t="str">
        <f>HYPERLINK("Melting_Curves/meltCurve_P12235_SLC25A4.pdf", "Melting_Curves/meltCurve_P12235_SLC25A4.pdf")</f>
        <v>Melting_Curves/meltCurve_P12235_SLC25A4.pdf</v>
      </c>
    </row>
    <row r="2043" spans="1:28" x14ac:dyDescent="0.25">
      <c r="A2043" t="s">
        <v>2047</v>
      </c>
      <c r="B2043">
        <v>0.99673306730245903</v>
      </c>
      <c r="C2043">
        <v>1.03054194566951</v>
      </c>
      <c r="D2043">
        <v>0.97193232308742405</v>
      </c>
      <c r="E2043">
        <v>0.86825191122088896</v>
      </c>
      <c r="F2043">
        <v>0.79097606129417497</v>
      </c>
      <c r="G2043">
        <v>0.673244732638553</v>
      </c>
      <c r="H2043">
        <v>0.49403097391524298</v>
      </c>
      <c r="I2043">
        <v>0.67737057706870696</v>
      </c>
      <c r="J2043">
        <v>0.71887799850869705</v>
      </c>
      <c r="K2043">
        <v>0.69247129618105596</v>
      </c>
      <c r="L2043">
        <v>1242.75393369836</v>
      </c>
      <c r="M2043">
        <v>24.245915906202601</v>
      </c>
      <c r="O2043">
        <v>50.911359324177802</v>
      </c>
      <c r="P2043">
        <v>-4.19483430651253E-2</v>
      </c>
      <c r="Q2043">
        <v>0.64767431426694699</v>
      </c>
      <c r="R2043">
        <v>0.86208078940388699</v>
      </c>
      <c r="S2043" t="s">
        <v>8495</v>
      </c>
      <c r="T2043" t="s">
        <v>12902</v>
      </c>
      <c r="U2043" t="s">
        <v>12902</v>
      </c>
      <c r="V2043" t="s">
        <v>12902</v>
      </c>
      <c r="W2043" t="s">
        <v>14910</v>
      </c>
      <c r="X2043">
        <v>26</v>
      </c>
      <c r="Y2043" t="s">
        <v>21277</v>
      </c>
      <c r="Z2043" t="s">
        <v>27618</v>
      </c>
      <c r="AA2043">
        <v>0.78325780978338932</v>
      </c>
      <c r="AB2043" t="str">
        <f>HYPERLINK("Melting_Curves/meltCurve_P12236_SLC25A6.pdf", "Melting_Curves/meltCurve_P12236_SLC25A6.pdf")</f>
        <v>Melting_Curves/meltCurve_P12236_SLC25A6.pdf</v>
      </c>
    </row>
    <row r="2044" spans="1:28" x14ac:dyDescent="0.25">
      <c r="A2044" t="s">
        <v>2048</v>
      </c>
      <c r="B2044">
        <v>0.99673306730245903</v>
      </c>
      <c r="C2044">
        <v>1.0102919130506101</v>
      </c>
      <c r="D2044">
        <v>1.09992842608521</v>
      </c>
      <c r="E2044">
        <v>1.3766556708243001</v>
      </c>
      <c r="F2044">
        <v>1.36951127979502</v>
      </c>
      <c r="G2044">
        <v>1.01708213913385</v>
      </c>
      <c r="H2044">
        <v>0.74617648443957296</v>
      </c>
      <c r="I2044">
        <v>0.61355653834017398</v>
      </c>
      <c r="J2044">
        <v>0.60541377286098597</v>
      </c>
      <c r="K2044">
        <v>0.45254733140271802</v>
      </c>
      <c r="L2044">
        <v>2655.52110890424</v>
      </c>
      <c r="M2044">
        <v>43.646939359298798</v>
      </c>
      <c r="O2044">
        <v>60.713624522308798</v>
      </c>
      <c r="P2044">
        <v>-8.38665917046688E-2</v>
      </c>
      <c r="Q2044">
        <v>0.53336117902414903</v>
      </c>
      <c r="R2044">
        <v>0.66598085953486597</v>
      </c>
      <c r="S2044" t="s">
        <v>8496</v>
      </c>
      <c r="T2044" t="s">
        <v>12902</v>
      </c>
      <c r="U2044" t="s">
        <v>12902</v>
      </c>
      <c r="V2044" t="s">
        <v>12902</v>
      </c>
      <c r="W2044" t="s">
        <v>14911</v>
      </c>
      <c r="X2044">
        <v>10</v>
      </c>
      <c r="Y2044" t="s">
        <v>21278</v>
      </c>
      <c r="Z2044" t="s">
        <v>27619</v>
      </c>
      <c r="AA2044">
        <v>0.85908038956126742</v>
      </c>
      <c r="AB2044" t="str">
        <f>HYPERLINK("Melting_Curves/meltCurve_P12268_IMPDH2.pdf", "Melting_Curves/meltCurve_P12268_IMPDH2.pdf")</f>
        <v>Melting_Curves/meltCurve_P12268_IMPDH2.pdf</v>
      </c>
    </row>
    <row r="2045" spans="1:28" x14ac:dyDescent="0.25">
      <c r="A2045" t="s">
        <v>2049</v>
      </c>
      <c r="B2045">
        <v>0.99673306730245903</v>
      </c>
      <c r="C2045">
        <v>0.94977278511715901</v>
      </c>
      <c r="D2045">
        <v>0.89421851796779095</v>
      </c>
      <c r="E2045">
        <v>0.42886007604083898</v>
      </c>
      <c r="F2045">
        <v>0.355565389688278</v>
      </c>
      <c r="G2045">
        <v>0.256097079960382</v>
      </c>
      <c r="H2045">
        <v>0.20438787576710499</v>
      </c>
      <c r="I2045">
        <v>0.215462315069295</v>
      </c>
      <c r="J2045">
        <v>0.25058166535718301</v>
      </c>
      <c r="K2045">
        <v>0.18578515683557001</v>
      </c>
      <c r="L2045">
        <v>1433.5951550438799</v>
      </c>
      <c r="M2045">
        <v>29.6813970975155</v>
      </c>
      <c r="N2045">
        <v>49.324145109780702</v>
      </c>
      <c r="O2045">
        <v>48.081801921010303</v>
      </c>
      <c r="P2045">
        <v>-0.118814941179875</v>
      </c>
      <c r="Q2045">
        <v>0.23011748817688699</v>
      </c>
      <c r="R2045">
        <v>0.98607640414236297</v>
      </c>
      <c r="S2045" t="s">
        <v>8497</v>
      </c>
      <c r="T2045" t="s">
        <v>12902</v>
      </c>
      <c r="U2045" t="s">
        <v>12902</v>
      </c>
      <c r="V2045" t="s">
        <v>12902</v>
      </c>
      <c r="W2045" t="s">
        <v>14912</v>
      </c>
      <c r="X2045">
        <v>120</v>
      </c>
      <c r="Y2045" t="s">
        <v>21279</v>
      </c>
      <c r="Z2045" t="s">
        <v>27620</v>
      </c>
      <c r="AA2045">
        <v>0.44785574382056159</v>
      </c>
      <c r="AB2045" t="str">
        <f>HYPERLINK("Melting_Curves/meltCurve_P12270_TPR.pdf", "Melting_Curves/meltCurve_P12270_TPR.pdf")</f>
        <v>Melting_Curves/meltCurve_P12270_TPR.pdf</v>
      </c>
    </row>
    <row r="2046" spans="1:28" x14ac:dyDescent="0.25">
      <c r="A2046" t="s">
        <v>2050</v>
      </c>
      <c r="B2046">
        <v>0.99673306730245903</v>
      </c>
      <c r="C2046">
        <v>0.92078980977068303</v>
      </c>
      <c r="D2046">
        <v>0.79528397527435102</v>
      </c>
      <c r="E2046">
        <v>0.891674034194605</v>
      </c>
      <c r="F2046">
        <v>0.68425719633269999</v>
      </c>
      <c r="G2046">
        <v>0.37662872725774799</v>
      </c>
      <c r="H2046">
        <v>0.13732807864004501</v>
      </c>
      <c r="I2046">
        <v>2.2921572155719701</v>
      </c>
      <c r="J2046">
        <v>0.19613401486024801</v>
      </c>
      <c r="K2046">
        <v>0.122144534661331</v>
      </c>
      <c r="L2046">
        <v>214.84656416831001</v>
      </c>
      <c r="M2046">
        <v>2.8519818628883198</v>
      </c>
      <c r="O2046">
        <v>54.212286363524598</v>
      </c>
      <c r="P2046">
        <v>-1.3621175919794601E-2</v>
      </c>
      <c r="Q2046">
        <v>0</v>
      </c>
      <c r="R2046">
        <v>4.6001759196707098E-2</v>
      </c>
      <c r="S2046" t="s">
        <v>8498</v>
      </c>
      <c r="T2046" t="s">
        <v>12902</v>
      </c>
      <c r="U2046" t="s">
        <v>12902</v>
      </c>
      <c r="V2046" t="s">
        <v>12902</v>
      </c>
      <c r="W2046" t="s">
        <v>14913</v>
      </c>
      <c r="X2046">
        <v>1</v>
      </c>
      <c r="Y2046" t="s">
        <v>21280</v>
      </c>
      <c r="Z2046" t="s">
        <v>27621</v>
      </c>
      <c r="AA2046">
        <v>0.74160710480285852</v>
      </c>
      <c r="AB2046" t="str">
        <f>HYPERLINK("Melting_Curves/meltCurve_P12273_PIP.pdf", "Melting_Curves/meltCurve_P12273_PIP.pdf")</f>
        <v>Melting_Curves/meltCurve_P12273_PIP.pdf</v>
      </c>
    </row>
    <row r="2047" spans="1:28" x14ac:dyDescent="0.25">
      <c r="A2047" t="s">
        <v>2051</v>
      </c>
      <c r="B2047">
        <v>0.99673306730245903</v>
      </c>
      <c r="C2047">
        <v>1.00550396727632</v>
      </c>
      <c r="D2047">
        <v>0.81290276722742305</v>
      </c>
      <c r="E2047">
        <v>0.76947911524596602</v>
      </c>
      <c r="F2047">
        <v>0.22789474700440601</v>
      </c>
      <c r="G2047">
        <v>0.122707701456476</v>
      </c>
      <c r="H2047">
        <v>6.7185535286290093E-2</v>
      </c>
      <c r="I2047">
        <v>6.0031079381537199E-2</v>
      </c>
      <c r="J2047">
        <v>5.9167369139994402E-2</v>
      </c>
      <c r="K2047">
        <v>5.0876818988147401E-2</v>
      </c>
      <c r="L2047">
        <v>1434.6208062094699</v>
      </c>
      <c r="M2047">
        <v>28.139598289020999</v>
      </c>
      <c r="N2047">
        <v>51.190524371267898</v>
      </c>
      <c r="O2047">
        <v>50.726886856194703</v>
      </c>
      <c r="P2047">
        <v>-0.131182869901348</v>
      </c>
      <c r="Q2047">
        <v>5.40813774525934E-2</v>
      </c>
      <c r="R2047">
        <v>0.98239691677018603</v>
      </c>
      <c r="S2047" t="s">
        <v>8499</v>
      </c>
      <c r="T2047" t="s">
        <v>12902</v>
      </c>
      <c r="U2047" t="s">
        <v>12902</v>
      </c>
      <c r="V2047" t="s">
        <v>12902</v>
      </c>
      <c r="W2047" t="s">
        <v>14914</v>
      </c>
      <c r="X2047">
        <v>29</v>
      </c>
      <c r="Y2047" t="s">
        <v>21281</v>
      </c>
      <c r="Z2047" t="s">
        <v>27622</v>
      </c>
      <c r="AA2047">
        <v>0.40711689632987902</v>
      </c>
      <c r="AB2047" t="str">
        <f>HYPERLINK("Melting_Curves/meltCurve_P12277_CKB.pdf", "Melting_Curves/meltCurve_P12277_CKB.pdf")</f>
        <v>Melting_Curves/meltCurve_P12277_CKB.pdf</v>
      </c>
    </row>
    <row r="2048" spans="1:28" x14ac:dyDescent="0.25">
      <c r="A2048" t="s">
        <v>2052</v>
      </c>
      <c r="B2048">
        <v>0.99673306730245903</v>
      </c>
      <c r="C2048">
        <v>1.06176767107181</v>
      </c>
      <c r="D2048">
        <v>1.0054983443082299</v>
      </c>
      <c r="E2048">
        <v>0.95312249606001298</v>
      </c>
      <c r="F2048">
        <v>0.37753269514098198</v>
      </c>
      <c r="G2048">
        <v>0.16500973864900001</v>
      </c>
      <c r="H2048">
        <v>8.2782855847849501E-2</v>
      </c>
      <c r="I2048">
        <v>7.56074915303106E-2</v>
      </c>
      <c r="J2048">
        <v>6.8365862323766E-2</v>
      </c>
      <c r="K2048">
        <v>5.7380296463157197E-2</v>
      </c>
      <c r="L2048">
        <v>2364.6662422898798</v>
      </c>
      <c r="M2048">
        <v>45.129209954433698</v>
      </c>
      <c r="N2048">
        <v>52.607144104387302</v>
      </c>
      <c r="O2048">
        <v>52.295113676484497</v>
      </c>
      <c r="P2048">
        <v>-0.198002547810117</v>
      </c>
      <c r="Q2048">
        <v>8.2230560448515302E-2</v>
      </c>
      <c r="R2048">
        <v>0.99552729108985305</v>
      </c>
      <c r="S2048" t="s">
        <v>8500</v>
      </c>
      <c r="T2048" t="s">
        <v>12902</v>
      </c>
      <c r="U2048" t="s">
        <v>12902</v>
      </c>
      <c r="V2048" t="s">
        <v>12902</v>
      </c>
      <c r="W2048" t="s">
        <v>14915</v>
      </c>
      <c r="X2048">
        <v>10</v>
      </c>
      <c r="Y2048" t="s">
        <v>21282</v>
      </c>
      <c r="Z2048" t="s">
        <v>27623</v>
      </c>
      <c r="AA2048">
        <v>0.46411091421229222</v>
      </c>
      <c r="AB2048" t="str">
        <f>HYPERLINK("Melting_Curves/meltCurve_P12429_ANXA3.pdf", "Melting_Curves/meltCurve_P12429_ANXA3.pdf")</f>
        <v>Melting_Curves/meltCurve_P12429_ANXA3.pdf</v>
      </c>
    </row>
    <row r="2049" spans="1:28" x14ac:dyDescent="0.25">
      <c r="A2049" t="s">
        <v>2053</v>
      </c>
      <c r="B2049">
        <v>0.99673306730245903</v>
      </c>
      <c r="C2049">
        <v>0.99774006257944303</v>
      </c>
      <c r="D2049">
        <v>1.0396803620994299</v>
      </c>
      <c r="E2049">
        <v>1.17076128698245</v>
      </c>
      <c r="F2049">
        <v>1.2686981263811199</v>
      </c>
      <c r="G2049">
        <v>1.15006749027373</v>
      </c>
      <c r="H2049">
        <v>0.94272382204378002</v>
      </c>
      <c r="I2049">
        <v>0.89461225853329795</v>
      </c>
      <c r="J2049">
        <v>0.95485467534727098</v>
      </c>
      <c r="K2049">
        <v>0.40412871279913898</v>
      </c>
      <c r="L2049">
        <v>5382.5512070228397</v>
      </c>
      <c r="M2049">
        <v>77.2795651661568</v>
      </c>
      <c r="N2049">
        <v>69.650367449549293</v>
      </c>
      <c r="O2049">
        <v>69.603783430753495</v>
      </c>
      <c r="P2049">
        <v>-0.27756959804456399</v>
      </c>
      <c r="Q2049">
        <v>0</v>
      </c>
      <c r="R2049">
        <v>0.71713809803774098</v>
      </c>
      <c r="S2049" t="s">
        <v>8501</v>
      </c>
      <c r="T2049" t="s">
        <v>12902</v>
      </c>
      <c r="U2049" t="s">
        <v>12902</v>
      </c>
      <c r="V2049" t="s">
        <v>12902</v>
      </c>
      <c r="W2049" t="s">
        <v>14916</v>
      </c>
      <c r="X2049">
        <v>25</v>
      </c>
      <c r="Y2049" t="s">
        <v>21283</v>
      </c>
      <c r="Z2049" t="s">
        <v>27624</v>
      </c>
      <c r="AA2049">
        <v>0.97340298934235459</v>
      </c>
      <c r="AB2049" t="str">
        <f>HYPERLINK("Melting_Curves/meltCurve_P12532_CKMT1A.pdf", "Melting_Curves/meltCurve_P12532_CKMT1A.pdf")</f>
        <v>Melting_Curves/meltCurve_P12532_CKMT1A.pdf</v>
      </c>
    </row>
    <row r="2050" spans="1:28" x14ac:dyDescent="0.25">
      <c r="A2050" t="s">
        <v>2054</v>
      </c>
      <c r="B2050">
        <v>0.99673306730245903</v>
      </c>
      <c r="C2050">
        <v>0.728848699012838</v>
      </c>
      <c r="D2050">
        <v>0.54632072747325899</v>
      </c>
      <c r="E2050">
        <v>0.39747749233586499</v>
      </c>
      <c r="F2050">
        <v>0.288069245643577</v>
      </c>
      <c r="G2050">
        <v>0.24625925426283399</v>
      </c>
      <c r="H2050">
        <v>0.192703325187283</v>
      </c>
      <c r="I2050">
        <v>0.20628476095780299</v>
      </c>
      <c r="J2050">
        <v>0.26169397108471398</v>
      </c>
      <c r="K2050">
        <v>0.25412451706123601</v>
      </c>
      <c r="L2050">
        <v>779.17238084446296</v>
      </c>
      <c r="M2050">
        <v>17.267733015539299</v>
      </c>
      <c r="N2050">
        <v>46.786046981537602</v>
      </c>
      <c r="O2050">
        <v>44.530898082783601</v>
      </c>
      <c r="P2050">
        <v>-7.4712946164888105E-2</v>
      </c>
      <c r="Q2050">
        <v>0.22935077709333801</v>
      </c>
      <c r="R2050">
        <v>0.97960276285700398</v>
      </c>
      <c r="S2050" t="s">
        <v>8502</v>
      </c>
      <c r="T2050" t="s">
        <v>12902</v>
      </c>
      <c r="U2050" t="s">
        <v>12902</v>
      </c>
      <c r="V2050" t="s">
        <v>12902</v>
      </c>
      <c r="W2050" t="s">
        <v>14917</v>
      </c>
      <c r="X2050">
        <v>1</v>
      </c>
      <c r="Y2050" t="s">
        <v>21284</v>
      </c>
      <c r="Z2050" t="s">
        <v>27625</v>
      </c>
      <c r="AA2050">
        <v>0.37895369573339599</v>
      </c>
      <c r="AB2050" t="str">
        <f>HYPERLINK("Melting_Curves/meltCurve_P12755_SKI.pdf", "Melting_Curves/meltCurve_P12755_SKI.pdf")</f>
        <v>Melting_Curves/meltCurve_P12755_SKI.pdf</v>
      </c>
    </row>
    <row r="2051" spans="1:28" x14ac:dyDescent="0.25">
      <c r="A2051" t="s">
        <v>2055</v>
      </c>
      <c r="B2051">
        <v>0.99673306730245903</v>
      </c>
      <c r="C2051">
        <v>0.96832907008355795</v>
      </c>
      <c r="D2051">
        <v>0.96591157314781595</v>
      </c>
      <c r="E2051">
        <v>0.99423711804731496</v>
      </c>
      <c r="F2051">
        <v>0.81713182360309899</v>
      </c>
      <c r="G2051">
        <v>0.49994319204402399</v>
      </c>
      <c r="H2051">
        <v>0.10302482012796201</v>
      </c>
      <c r="I2051">
        <v>8.26714374921486E-2</v>
      </c>
      <c r="J2051">
        <v>7.7421605092563697E-2</v>
      </c>
      <c r="K2051">
        <v>6.7953554476433795E-2</v>
      </c>
      <c r="L2051">
        <v>1620.12856995685</v>
      </c>
      <c r="M2051">
        <v>28.783238676620901</v>
      </c>
      <c r="N2051">
        <v>56.504619608246003</v>
      </c>
      <c r="O2051">
        <v>56.017626555936502</v>
      </c>
      <c r="P2051">
        <v>-0.121724097111973</v>
      </c>
      <c r="Q2051">
        <v>5.2414815024270103E-2</v>
      </c>
      <c r="R2051">
        <v>0.99563004413145295</v>
      </c>
      <c r="S2051" t="s">
        <v>8503</v>
      </c>
      <c r="T2051" t="s">
        <v>12902</v>
      </c>
      <c r="U2051" t="s">
        <v>12902</v>
      </c>
      <c r="V2051" t="s">
        <v>12902</v>
      </c>
      <c r="W2051" t="s">
        <v>14918</v>
      </c>
      <c r="X2051">
        <v>59</v>
      </c>
      <c r="Y2051" t="s">
        <v>21285</v>
      </c>
      <c r="Z2051" t="s">
        <v>27626</v>
      </c>
      <c r="AA2051">
        <v>0.5736753373459258</v>
      </c>
      <c r="AB2051" t="str">
        <f>HYPERLINK("Melting_Curves/meltCurve_P12814_2_ACTN1.pdf", "Melting_Curves/meltCurve_P12814_2_ACTN1.pdf")</f>
        <v>Melting_Curves/meltCurve_P12814_2_ACTN1.pdf</v>
      </c>
    </row>
    <row r="2052" spans="1:28" x14ac:dyDescent="0.25">
      <c r="A2052" t="s">
        <v>2056</v>
      </c>
      <c r="B2052">
        <v>0.99673306730245903</v>
      </c>
      <c r="C2052">
        <v>0.94797358212649996</v>
      </c>
      <c r="D2052">
        <v>0.98361392427980099</v>
      </c>
      <c r="E2052">
        <v>0.92983235420966703</v>
      </c>
      <c r="F2052">
        <v>0.80976379059594705</v>
      </c>
      <c r="G2052">
        <v>0.60180212072085004</v>
      </c>
      <c r="H2052">
        <v>0.46670397119692503</v>
      </c>
      <c r="I2052">
        <v>0.42401941704070101</v>
      </c>
      <c r="J2052">
        <v>0.459966046784478</v>
      </c>
      <c r="K2052">
        <v>0.372289880849761</v>
      </c>
      <c r="L2052">
        <v>1092.7611314606099</v>
      </c>
      <c r="M2052">
        <v>19.8590609660803</v>
      </c>
      <c r="N2052">
        <v>59.747414021734301</v>
      </c>
      <c r="O2052">
        <v>54.4769963921377</v>
      </c>
      <c r="P2052">
        <v>-5.5055383780269598E-2</v>
      </c>
      <c r="Q2052">
        <v>0.395912911533159</v>
      </c>
      <c r="R2052">
        <v>0.98968128346316198</v>
      </c>
      <c r="S2052" t="s">
        <v>8504</v>
      </c>
      <c r="T2052" t="s">
        <v>12902</v>
      </c>
      <c r="U2052" t="s">
        <v>12902</v>
      </c>
      <c r="V2052" t="s">
        <v>12902</v>
      </c>
      <c r="W2052" t="s">
        <v>14919</v>
      </c>
      <c r="X2052">
        <v>15</v>
      </c>
      <c r="Y2052" t="s">
        <v>21286</v>
      </c>
      <c r="Z2052" t="s">
        <v>27627</v>
      </c>
      <c r="AA2052">
        <v>0.70659922035157796</v>
      </c>
      <c r="AB2052" t="str">
        <f>HYPERLINK("Melting_Curves/meltCurve_P12830_CDH1.pdf", "Melting_Curves/meltCurve_P12830_CDH1.pdf")</f>
        <v>Melting_Curves/meltCurve_P12830_CDH1.pdf</v>
      </c>
    </row>
    <row r="2053" spans="1:28" x14ac:dyDescent="0.25">
      <c r="A2053" t="s">
        <v>2057</v>
      </c>
      <c r="B2053">
        <v>0.99673306730245903</v>
      </c>
      <c r="C2053">
        <v>1.0459885321325799</v>
      </c>
      <c r="D2053">
        <v>1.1442137058986199</v>
      </c>
      <c r="E2053">
        <v>1.01523233307493</v>
      </c>
      <c r="F2053">
        <v>0.95002785699876802</v>
      </c>
      <c r="G2053">
        <v>0.70524713947879403</v>
      </c>
      <c r="H2053">
        <v>0.39280192754566801</v>
      </c>
      <c r="I2053">
        <v>0.22106515190493001</v>
      </c>
      <c r="J2053">
        <v>0.10356525693282199</v>
      </c>
      <c r="K2053">
        <v>8.6577086378683499E-2</v>
      </c>
      <c r="L2053">
        <v>1327.8153838537401</v>
      </c>
      <c r="M2053">
        <v>22.4674078631969</v>
      </c>
      <c r="N2053">
        <v>59.433353889806199</v>
      </c>
      <c r="O2053">
        <v>58.637399209336103</v>
      </c>
      <c r="P2053">
        <v>-9.0114404694020503E-2</v>
      </c>
      <c r="Q2053">
        <v>5.9265570458637402E-2</v>
      </c>
      <c r="R2053">
        <v>0.98391546188798695</v>
      </c>
      <c r="S2053" t="s">
        <v>8505</v>
      </c>
      <c r="T2053" t="s">
        <v>12902</v>
      </c>
      <c r="U2053" t="s">
        <v>12902</v>
      </c>
      <c r="V2053" t="s">
        <v>12902</v>
      </c>
      <c r="W2053" t="s">
        <v>14920</v>
      </c>
      <c r="X2053">
        <v>21</v>
      </c>
      <c r="Y2053" t="s">
        <v>20460</v>
      </c>
      <c r="Z2053" t="s">
        <v>27628</v>
      </c>
      <c r="AA2053">
        <v>0.66673204973590228</v>
      </c>
      <c r="AB2053" t="str">
        <f>HYPERLINK("Melting_Curves/meltCurve_P12955_PEPD.pdf", "Melting_Curves/meltCurve_P12955_PEPD.pdf")</f>
        <v>Melting_Curves/meltCurve_P12955_PEPD.pdf</v>
      </c>
    </row>
    <row r="2054" spans="1:28" x14ac:dyDescent="0.25">
      <c r="A2054" t="s">
        <v>2058</v>
      </c>
      <c r="B2054">
        <v>0.99673306730245903</v>
      </c>
      <c r="C2054">
        <v>0.91240984664330704</v>
      </c>
      <c r="D2054">
        <v>1.73023629578104</v>
      </c>
      <c r="E2054">
        <v>1.01312346942413</v>
      </c>
      <c r="F2054">
        <v>0.46556845941754499</v>
      </c>
      <c r="G2054">
        <v>0.20323883598558801</v>
      </c>
      <c r="H2054">
        <v>0.106163709946199</v>
      </c>
      <c r="I2054">
        <v>8.7950214999089393E-2</v>
      </c>
      <c r="J2054">
        <v>8.7096505428447504E-2</v>
      </c>
      <c r="K2054">
        <v>7.2614781273623294E-2</v>
      </c>
      <c r="L2054">
        <v>2854.6533528227301</v>
      </c>
      <c r="M2054">
        <v>53.996897208099803</v>
      </c>
      <c r="N2054">
        <v>53.100152624445499</v>
      </c>
      <c r="O2054">
        <v>52.794626041193297</v>
      </c>
      <c r="P2054">
        <v>-0.22870629331283299</v>
      </c>
      <c r="Q2054">
        <v>0.10554448413879</v>
      </c>
      <c r="R2054">
        <v>0.81114047493334795</v>
      </c>
      <c r="S2054" t="s">
        <v>8506</v>
      </c>
      <c r="T2054" t="s">
        <v>12902</v>
      </c>
      <c r="U2054" t="s">
        <v>12902</v>
      </c>
      <c r="V2054" t="s">
        <v>12902</v>
      </c>
      <c r="W2054" t="s">
        <v>14921</v>
      </c>
      <c r="X2054">
        <v>33</v>
      </c>
      <c r="Y2054" t="s">
        <v>21287</v>
      </c>
      <c r="Z2054" t="s">
        <v>27629</v>
      </c>
      <c r="AA2054">
        <v>0.49096307714680321</v>
      </c>
      <c r="AB2054" t="str">
        <f>HYPERLINK("Melting_Curves/meltCurve_P12956_XRCC6.pdf", "Melting_Curves/meltCurve_P12956_XRCC6.pdf")</f>
        <v>Melting_Curves/meltCurve_P12956_XRCC6.pdf</v>
      </c>
    </row>
    <row r="2055" spans="1:28" x14ac:dyDescent="0.25">
      <c r="A2055" t="s">
        <v>2059</v>
      </c>
      <c r="B2055">
        <v>0.99673306730245903</v>
      </c>
      <c r="C2055">
        <v>0.95563927534397597</v>
      </c>
      <c r="D2055">
        <v>0.65828932149073904</v>
      </c>
      <c r="E2055">
        <v>0.440738259588906</v>
      </c>
      <c r="F2055">
        <v>0.31502942773169701</v>
      </c>
      <c r="G2055">
        <v>0.14216770890900701</v>
      </c>
      <c r="H2055">
        <v>7.7714516212681994E-2</v>
      </c>
      <c r="I2055">
        <v>6.2184792748059901E-2</v>
      </c>
      <c r="J2055">
        <v>6.23798955413516E-2</v>
      </c>
      <c r="K2055">
        <v>6.1464239448186402E-2</v>
      </c>
      <c r="L2055">
        <v>726.070613567637</v>
      </c>
      <c r="M2055">
        <v>14.9151830353908</v>
      </c>
      <c r="N2055">
        <v>49.005454287049702</v>
      </c>
      <c r="O2055">
        <v>47.830035043185497</v>
      </c>
      <c r="P2055">
        <v>-7.4290575548459706E-2</v>
      </c>
      <c r="Q2055">
        <v>4.7157907369718498E-2</v>
      </c>
      <c r="R2055">
        <v>0.98918121366865097</v>
      </c>
      <c r="S2055" t="s">
        <v>8507</v>
      </c>
      <c r="T2055" t="s">
        <v>12902</v>
      </c>
      <c r="U2055" t="s">
        <v>12902</v>
      </c>
      <c r="V2055" t="s">
        <v>12902</v>
      </c>
      <c r="W2055" t="s">
        <v>14922</v>
      </c>
      <c r="X2055">
        <v>31</v>
      </c>
      <c r="Y2055" t="s">
        <v>21288</v>
      </c>
      <c r="Z2055" t="s">
        <v>27630</v>
      </c>
      <c r="AA2055">
        <v>0.34691368222257563</v>
      </c>
      <c r="AB2055" t="str">
        <f>HYPERLINK("Melting_Curves/meltCurve_P13010_XRCC5.pdf", "Melting_Curves/meltCurve_P13010_XRCC5.pdf")</f>
        <v>Melting_Curves/meltCurve_P13010_XRCC5.pdf</v>
      </c>
    </row>
    <row r="2056" spans="1:28" x14ac:dyDescent="0.25">
      <c r="A2056" t="s">
        <v>2060</v>
      </c>
      <c r="B2056">
        <v>0.99673306730245903</v>
      </c>
      <c r="C2056">
        <v>1.0054884354645</v>
      </c>
      <c r="D2056">
        <v>0.95496701846024101</v>
      </c>
      <c r="E2056">
        <v>0.68704519892264504</v>
      </c>
      <c r="F2056">
        <v>0.195693136116664</v>
      </c>
      <c r="G2056">
        <v>0.13734564918796199</v>
      </c>
      <c r="H2056">
        <v>6.5769037135414196E-2</v>
      </c>
      <c r="I2056">
        <v>6.1980917822681003E-2</v>
      </c>
      <c r="J2056">
        <v>5.8478600033392697E-2</v>
      </c>
      <c r="K2056">
        <v>7.6772642907135397E-2</v>
      </c>
      <c r="L2056">
        <v>1734.2414478836499</v>
      </c>
      <c r="M2056">
        <v>34.325798189916298</v>
      </c>
      <c r="N2056">
        <v>50.754989919302098</v>
      </c>
      <c r="O2056">
        <v>50.352430570046899</v>
      </c>
      <c r="P2056">
        <v>-0.158053685625932</v>
      </c>
      <c r="Q2056">
        <v>7.2609408748004894E-2</v>
      </c>
      <c r="R2056">
        <v>0.99818594827178297</v>
      </c>
      <c r="S2056" t="s">
        <v>8508</v>
      </c>
      <c r="T2056" t="s">
        <v>12902</v>
      </c>
      <c r="U2056" t="s">
        <v>12902</v>
      </c>
      <c r="V2056" t="s">
        <v>12902</v>
      </c>
      <c r="W2056" t="s">
        <v>14923</v>
      </c>
      <c r="X2056">
        <v>7</v>
      </c>
      <c r="Y2056" t="s">
        <v>21289</v>
      </c>
      <c r="Z2056" t="s">
        <v>27631</v>
      </c>
      <c r="AA2056">
        <v>0.4023162041799242</v>
      </c>
      <c r="AB2056" t="str">
        <f>HYPERLINK("Melting_Curves/meltCurve_P13051_UNG.pdf", "Melting_Curves/meltCurve_P13051_UNG.pdf")</f>
        <v>Melting_Curves/meltCurve_P13051_UNG.pdf</v>
      </c>
    </row>
    <row r="2057" spans="1:28" x14ac:dyDescent="0.25">
      <c r="A2057" t="s">
        <v>2061</v>
      </c>
      <c r="B2057">
        <v>0.99673306730245903</v>
      </c>
      <c r="C2057">
        <v>0.88099917506548397</v>
      </c>
      <c r="D2057">
        <v>0.654631583025018</v>
      </c>
      <c r="E2057">
        <v>0.42795473740093198</v>
      </c>
      <c r="F2057">
        <v>0.26226712875364599</v>
      </c>
      <c r="G2057">
        <v>0.149232764162921</v>
      </c>
      <c r="H2057">
        <v>0.123895550913505</v>
      </c>
      <c r="I2057">
        <v>0.10497871453256501</v>
      </c>
      <c r="J2057">
        <v>0.16186089270439299</v>
      </c>
      <c r="K2057">
        <v>8.5270137043993E-2</v>
      </c>
      <c r="L2057">
        <v>775.60621883091903</v>
      </c>
      <c r="M2057">
        <v>16.271365197637099</v>
      </c>
      <c r="N2057">
        <v>48.373597178641802</v>
      </c>
      <c r="O2057">
        <v>46.964406120720803</v>
      </c>
      <c r="P2057">
        <v>-7.7458988380827806E-2</v>
      </c>
      <c r="Q2057">
        <v>0.10577921519158</v>
      </c>
      <c r="R2057">
        <v>0.99435304324544604</v>
      </c>
      <c r="S2057" t="s">
        <v>8509</v>
      </c>
      <c r="T2057" t="s">
        <v>12902</v>
      </c>
      <c r="U2057" t="s">
        <v>12902</v>
      </c>
      <c r="V2057" t="s">
        <v>12902</v>
      </c>
      <c r="W2057" t="s">
        <v>14924</v>
      </c>
      <c r="X2057">
        <v>1</v>
      </c>
      <c r="Y2057" t="s">
        <v>21290</v>
      </c>
      <c r="Z2057" t="s">
        <v>27632</v>
      </c>
      <c r="AA2057">
        <v>0.35412864577226538</v>
      </c>
      <c r="AB2057" t="str">
        <f>HYPERLINK("Melting_Curves/meltCurve_P13056_NR2C1.pdf", "Melting_Curves/meltCurve_P13056_NR2C1.pdf")</f>
        <v>Melting_Curves/meltCurve_P13056_NR2C1.pdf</v>
      </c>
    </row>
    <row r="2058" spans="1:28" x14ac:dyDescent="0.25">
      <c r="A2058" t="s">
        <v>2062</v>
      </c>
      <c r="B2058">
        <v>0.99673306730245903</v>
      </c>
      <c r="C2058">
        <v>1.0295403546012201</v>
      </c>
      <c r="D2058">
        <v>0.99323763011786503</v>
      </c>
      <c r="E2058">
        <v>0.88922375526801201</v>
      </c>
      <c r="F2058">
        <v>0.82008946775054903</v>
      </c>
      <c r="G2058">
        <v>0.67292742141303397</v>
      </c>
      <c r="H2058">
        <v>0.58132561230139201</v>
      </c>
      <c r="I2058">
        <v>1.1067172984178799</v>
      </c>
      <c r="J2058">
        <v>1.66515025717649</v>
      </c>
      <c r="K2058">
        <v>1.77225962808869</v>
      </c>
      <c r="L2058">
        <v>15000</v>
      </c>
      <c r="M2058">
        <v>233.07147471610199</v>
      </c>
      <c r="O2058">
        <v>64.353190107326697</v>
      </c>
      <c r="P2058">
        <v>0.45271926836939302</v>
      </c>
      <c r="Q2058">
        <v>1.5</v>
      </c>
      <c r="R2058">
        <v>0.68209621314674596</v>
      </c>
      <c r="S2058" t="s">
        <v>8510</v>
      </c>
      <c r="T2058" t="s">
        <v>12902</v>
      </c>
      <c r="U2058" t="s">
        <v>12902</v>
      </c>
      <c r="V2058" t="s">
        <v>12902</v>
      </c>
      <c r="W2058" t="s">
        <v>14925</v>
      </c>
      <c r="X2058">
        <v>18</v>
      </c>
      <c r="Y2058" t="s">
        <v>21291</v>
      </c>
      <c r="Z2058" t="s">
        <v>27633</v>
      </c>
      <c r="AA2058">
        <v>1.0939693550365051</v>
      </c>
      <c r="AB2058" t="str">
        <f>HYPERLINK("Melting_Curves/meltCurve_P13073_COX4I1.pdf", "Melting_Curves/meltCurve_P13073_COX4I1.pdf")</f>
        <v>Melting_Curves/meltCurve_P13073_COX4I1.pdf</v>
      </c>
    </row>
    <row r="2059" spans="1:28" x14ac:dyDescent="0.25">
      <c r="A2059" t="s">
        <v>2063</v>
      </c>
      <c r="B2059">
        <v>0.99673306730245903</v>
      </c>
      <c r="C2059">
        <v>0.93919274951172305</v>
      </c>
      <c r="D2059">
        <v>0.86856988148796799</v>
      </c>
      <c r="E2059">
        <v>0.70185175417419499</v>
      </c>
      <c r="F2059">
        <v>0.48934170489211398</v>
      </c>
      <c r="G2059">
        <v>0.339928950547079</v>
      </c>
      <c r="H2059">
        <v>0.193581062708791</v>
      </c>
      <c r="I2059">
        <v>0.15464760685356699</v>
      </c>
      <c r="J2059">
        <v>0.135401035938083</v>
      </c>
      <c r="K2059">
        <v>0.12723159651890301</v>
      </c>
      <c r="L2059">
        <v>685.59996379732195</v>
      </c>
      <c r="M2059">
        <v>13.1072372965035</v>
      </c>
      <c r="N2059">
        <v>53.061502612766397</v>
      </c>
      <c r="O2059">
        <v>51.134359988376303</v>
      </c>
      <c r="P2059">
        <v>-5.8643963918994797E-2</v>
      </c>
      <c r="Q2059">
        <v>8.5021966941478996E-2</v>
      </c>
      <c r="R2059">
        <v>0.99908894264143899</v>
      </c>
      <c r="S2059" t="s">
        <v>8511</v>
      </c>
      <c r="T2059" t="s">
        <v>12902</v>
      </c>
      <c r="U2059" t="s">
        <v>12902</v>
      </c>
      <c r="V2059" t="s">
        <v>12902</v>
      </c>
      <c r="W2059" t="s">
        <v>14926</v>
      </c>
      <c r="X2059">
        <v>7</v>
      </c>
      <c r="Y2059" t="s">
        <v>21292</v>
      </c>
      <c r="Z2059" t="s">
        <v>27634</v>
      </c>
      <c r="AA2059">
        <v>0.48485403075886002</v>
      </c>
      <c r="AB2059" t="str">
        <f>HYPERLINK("Melting_Curves/meltCurve_P13196_ALAS1.pdf", "Melting_Curves/meltCurve_P13196_ALAS1.pdf")</f>
        <v>Melting_Curves/meltCurve_P13196_ALAS1.pdf</v>
      </c>
    </row>
    <row r="2060" spans="1:28" x14ac:dyDescent="0.25">
      <c r="A2060" t="s">
        <v>2064</v>
      </c>
      <c r="B2060">
        <v>0.99673306730245903</v>
      </c>
      <c r="C2060">
        <v>0.86680500550623696</v>
      </c>
      <c r="D2060">
        <v>1.0204673525811101</v>
      </c>
      <c r="E2060">
        <v>0.93614059845155895</v>
      </c>
      <c r="F2060">
        <v>0.67766986893372605</v>
      </c>
      <c r="G2060">
        <v>0.485201256649405</v>
      </c>
      <c r="H2060">
        <v>0.31560354318566097</v>
      </c>
      <c r="I2060">
        <v>0.24349703252103799</v>
      </c>
      <c r="J2060">
        <v>0.23052726227075299</v>
      </c>
      <c r="K2060">
        <v>0.18122651485250299</v>
      </c>
      <c r="L2060">
        <v>1001.70122674607</v>
      </c>
      <c r="M2060">
        <v>18.2311847291022</v>
      </c>
      <c r="N2060">
        <v>56.389990188115597</v>
      </c>
      <c r="O2060">
        <v>54.296124117648297</v>
      </c>
      <c r="P2060">
        <v>-6.8276278714561406E-2</v>
      </c>
      <c r="Q2060">
        <v>0.18667647058256701</v>
      </c>
      <c r="R2060">
        <v>0.97952092964283899</v>
      </c>
      <c r="S2060" t="s">
        <v>8512</v>
      </c>
      <c r="T2060" t="s">
        <v>12902</v>
      </c>
      <c r="U2060" t="s">
        <v>12902</v>
      </c>
      <c r="V2060" t="s">
        <v>12902</v>
      </c>
      <c r="W2060" t="s">
        <v>14927</v>
      </c>
      <c r="X2060">
        <v>5</v>
      </c>
      <c r="Y2060" t="s">
        <v>21293</v>
      </c>
      <c r="Z2060" t="s">
        <v>27635</v>
      </c>
      <c r="AA2060">
        <v>0.60422269040600907</v>
      </c>
      <c r="AB2060" t="str">
        <f>HYPERLINK("Melting_Curves/meltCurve_P13284_IFI30.pdf", "Melting_Curves/meltCurve_P13284_IFI30.pdf")</f>
        <v>Melting_Curves/meltCurve_P13284_IFI30.pdf</v>
      </c>
    </row>
    <row r="2061" spans="1:28" x14ac:dyDescent="0.25">
      <c r="A2061" t="s">
        <v>2065</v>
      </c>
      <c r="B2061">
        <v>0.99673306730245903</v>
      </c>
      <c r="C2061">
        <v>1.0329195929416</v>
      </c>
      <c r="D2061">
        <v>0.88788772058306598</v>
      </c>
      <c r="E2061">
        <v>0.83538060996708496</v>
      </c>
      <c r="F2061">
        <v>0.227982219483399</v>
      </c>
      <c r="G2061">
        <v>0.12522108200523399</v>
      </c>
      <c r="H2061">
        <v>6.8177698289649993E-2</v>
      </c>
      <c r="I2061">
        <v>5.7692458767718301E-2</v>
      </c>
      <c r="J2061">
        <v>5.9120731895044298E-2</v>
      </c>
      <c r="K2061">
        <v>5.1111557491094903E-2</v>
      </c>
      <c r="L2061">
        <v>2107.89399662408</v>
      </c>
      <c r="M2061">
        <v>41.071293713514798</v>
      </c>
      <c r="N2061">
        <v>51.500736629786701</v>
      </c>
      <c r="O2061">
        <v>51.201585401693301</v>
      </c>
      <c r="P2061">
        <v>-0.18727294848529399</v>
      </c>
      <c r="Q2061">
        <v>6.6145459688629005E-2</v>
      </c>
      <c r="R2061">
        <v>0.99165196473067696</v>
      </c>
      <c r="S2061" t="s">
        <v>8513</v>
      </c>
      <c r="T2061" t="s">
        <v>12902</v>
      </c>
      <c r="U2061" t="s">
        <v>12902</v>
      </c>
      <c r="V2061" t="s">
        <v>12902</v>
      </c>
      <c r="W2061" t="s">
        <v>14928</v>
      </c>
      <c r="X2061">
        <v>26</v>
      </c>
      <c r="Y2061" t="s">
        <v>21294</v>
      </c>
      <c r="Z2061" t="s">
        <v>27636</v>
      </c>
      <c r="AA2061">
        <v>0.42174788589054962</v>
      </c>
      <c r="AB2061" t="str">
        <f>HYPERLINK("Melting_Curves/meltCurve_P13489_RNH1.pdf", "Melting_Curves/meltCurve_P13489_RNH1.pdf")</f>
        <v>Melting_Curves/meltCurve_P13489_RNH1.pdf</v>
      </c>
    </row>
    <row r="2062" spans="1:28" x14ac:dyDescent="0.25">
      <c r="A2062" t="s">
        <v>2066</v>
      </c>
      <c r="B2062">
        <v>0.99673306730245903</v>
      </c>
      <c r="C2062">
        <v>0.94691146702498796</v>
      </c>
      <c r="D2062">
        <v>1.03177734057355</v>
      </c>
      <c r="E2062">
        <v>0.86965213640911998</v>
      </c>
      <c r="F2062">
        <v>0.62170218263908605</v>
      </c>
      <c r="G2062">
        <v>0.41007185986188099</v>
      </c>
      <c r="H2062">
        <v>0.238048090358639</v>
      </c>
      <c r="I2062">
        <v>0.24140044360281701</v>
      </c>
      <c r="J2062">
        <v>0.16159471608359199</v>
      </c>
      <c r="K2062">
        <v>0.128117108048245</v>
      </c>
      <c r="L2062">
        <v>996.943175880225</v>
      </c>
      <c r="M2062">
        <v>18.408188778175901</v>
      </c>
      <c r="N2062">
        <v>55.1910619709748</v>
      </c>
      <c r="O2062">
        <v>53.5306012624836</v>
      </c>
      <c r="P2062">
        <v>-7.34406719911182E-2</v>
      </c>
      <c r="Q2062">
        <v>0.14578324524661099</v>
      </c>
      <c r="R2062">
        <v>0.99183129652214097</v>
      </c>
      <c r="S2062" t="s">
        <v>8514</v>
      </c>
      <c r="T2062" t="s">
        <v>12902</v>
      </c>
      <c r="U2062" t="s">
        <v>12902</v>
      </c>
      <c r="V2062" t="s">
        <v>12902</v>
      </c>
      <c r="W2062" t="s">
        <v>14929</v>
      </c>
      <c r="X2062">
        <v>2</v>
      </c>
      <c r="Y2062" t="s">
        <v>21295</v>
      </c>
      <c r="Z2062" t="s">
        <v>27637</v>
      </c>
      <c r="AA2062">
        <v>0.56206721551111583</v>
      </c>
      <c r="AB2062" t="str">
        <f>HYPERLINK("Melting_Curves/meltCurve_P13498_CYBA.pdf", "Melting_Curves/meltCurve_P13498_CYBA.pdf")</f>
        <v>Melting_Curves/meltCurve_P13498_CYBA.pdf</v>
      </c>
    </row>
    <row r="2063" spans="1:28" x14ac:dyDescent="0.25">
      <c r="A2063" t="s">
        <v>2067</v>
      </c>
      <c r="B2063">
        <v>0.99673306730245903</v>
      </c>
      <c r="C2063">
        <v>0.95290374217945495</v>
      </c>
      <c r="D2063">
        <v>0.969733295079233</v>
      </c>
      <c r="E2063">
        <v>0.90531029152509201</v>
      </c>
      <c r="F2063">
        <v>0.77151116292267996</v>
      </c>
      <c r="G2063">
        <v>0.68163498380920995</v>
      </c>
      <c r="H2063">
        <v>0.56499579583661097</v>
      </c>
      <c r="I2063">
        <v>0.86419177255691404</v>
      </c>
      <c r="J2063">
        <v>1.1350623627063401</v>
      </c>
      <c r="K2063">
        <v>1.0836782900323501</v>
      </c>
      <c r="L2063">
        <v>2037.3415517267299</v>
      </c>
      <c r="M2063">
        <v>42.284024805085203</v>
      </c>
      <c r="O2063">
        <v>48.0749030825639</v>
      </c>
      <c r="P2063">
        <v>-3.2508756407402001E-2</v>
      </c>
      <c r="Q2063">
        <v>0.852156665413208</v>
      </c>
      <c r="R2063">
        <v>9.93912327306231E-2</v>
      </c>
      <c r="S2063" t="s">
        <v>8515</v>
      </c>
      <c r="T2063" t="s">
        <v>12902</v>
      </c>
      <c r="U2063" t="s">
        <v>12902</v>
      </c>
      <c r="V2063" t="s">
        <v>12902</v>
      </c>
      <c r="W2063" t="s">
        <v>14930</v>
      </c>
      <c r="X2063">
        <v>6</v>
      </c>
      <c r="Y2063" t="s">
        <v>21296</v>
      </c>
      <c r="Z2063" t="s">
        <v>27638</v>
      </c>
      <c r="AA2063">
        <v>0.89292092546359048</v>
      </c>
      <c r="AB2063" t="str">
        <f>HYPERLINK("Melting_Curves/meltCurve_P13521_SCG2.pdf", "Melting_Curves/meltCurve_P13521_SCG2.pdf")</f>
        <v>Melting_Curves/meltCurve_P13521_SCG2.pdf</v>
      </c>
    </row>
    <row r="2064" spans="1:28" x14ac:dyDescent="0.25">
      <c r="A2064" t="s">
        <v>2068</v>
      </c>
      <c r="B2064">
        <v>0.99673306730245903</v>
      </c>
      <c r="C2064">
        <v>0.99551008808626595</v>
      </c>
      <c r="D2064">
        <v>1.04166503202621</v>
      </c>
      <c r="E2064">
        <v>0.98681542072796102</v>
      </c>
      <c r="F2064">
        <v>0.95794618167579904</v>
      </c>
      <c r="G2064">
        <v>0.84561435597535495</v>
      </c>
      <c r="H2064">
        <v>0.28553344581795398</v>
      </c>
      <c r="I2064">
        <v>8.1283157121921898E-2</v>
      </c>
      <c r="J2064">
        <v>7.2254902088758205E-2</v>
      </c>
      <c r="K2064">
        <v>6.0403693318745698E-2</v>
      </c>
      <c r="L2064">
        <v>2381.58570049126</v>
      </c>
      <c r="M2064">
        <v>40.319756146715299</v>
      </c>
      <c r="N2064">
        <v>59.2408257873712</v>
      </c>
      <c r="O2064">
        <v>58.922696107126797</v>
      </c>
      <c r="P2064">
        <v>-0.16155132777961301</v>
      </c>
      <c r="Q2064">
        <v>5.5646609057062799E-2</v>
      </c>
      <c r="R2064">
        <v>0.99818227961956496</v>
      </c>
      <c r="S2064" t="s">
        <v>8516</v>
      </c>
      <c r="T2064" t="s">
        <v>12902</v>
      </c>
      <c r="U2064" t="s">
        <v>12902</v>
      </c>
      <c r="V2064" t="s">
        <v>12902</v>
      </c>
      <c r="W2064" t="s">
        <v>14931</v>
      </c>
      <c r="X2064">
        <v>83</v>
      </c>
      <c r="Y2064" t="s">
        <v>21297</v>
      </c>
      <c r="Z2064" t="s">
        <v>27639</v>
      </c>
      <c r="AA2064">
        <v>0.65952920003391768</v>
      </c>
      <c r="AB2064" t="str">
        <f>HYPERLINK("Melting_Curves/meltCurve_P13639_EEF2.pdf", "Melting_Curves/meltCurve_P13639_EEF2.pdf")</f>
        <v>Melting_Curves/meltCurve_P13639_EEF2.pdf</v>
      </c>
    </row>
    <row r="2065" spans="1:28" x14ac:dyDescent="0.25">
      <c r="A2065" t="s">
        <v>2069</v>
      </c>
      <c r="B2065">
        <v>0.99673306730245903</v>
      </c>
      <c r="C2065">
        <v>0.98847267692441498</v>
      </c>
      <c r="D2065">
        <v>0.85219121004957399</v>
      </c>
      <c r="E2065">
        <v>0.696791159672981</v>
      </c>
      <c r="F2065">
        <v>0.28561014579621802</v>
      </c>
      <c r="G2065">
        <v>0.17646599456477999</v>
      </c>
      <c r="H2065">
        <v>0.126721462005149</v>
      </c>
      <c r="I2065">
        <v>0.118862184110486</v>
      </c>
      <c r="J2065">
        <v>0.112386404683552</v>
      </c>
      <c r="K2065">
        <v>8.5690695286735397E-2</v>
      </c>
      <c r="L2065">
        <v>1127.01183789124</v>
      </c>
      <c r="M2065">
        <v>22.283014271869799</v>
      </c>
      <c r="N2065">
        <v>51.085580827521397</v>
      </c>
      <c r="O2065">
        <v>50.175116370216202</v>
      </c>
      <c r="P2065">
        <v>-9.9987129787975096E-2</v>
      </c>
      <c r="Q2065">
        <v>9.9446901930349593E-2</v>
      </c>
      <c r="R2065">
        <v>0.99412986419724503</v>
      </c>
      <c r="S2065" t="s">
        <v>8517</v>
      </c>
      <c r="T2065" t="s">
        <v>12902</v>
      </c>
      <c r="U2065" t="s">
        <v>12902</v>
      </c>
      <c r="V2065" t="s">
        <v>12902</v>
      </c>
      <c r="W2065" t="s">
        <v>14932</v>
      </c>
      <c r="X2065">
        <v>61</v>
      </c>
      <c r="Y2065" t="s">
        <v>21298</v>
      </c>
      <c r="Z2065" t="s">
        <v>27640</v>
      </c>
      <c r="AA2065">
        <v>0.4271152297046843</v>
      </c>
      <c r="AB2065" t="str">
        <f>HYPERLINK("Melting_Curves/meltCurve_P13667_PDIA4.pdf", "Melting_Curves/meltCurve_P13667_PDIA4.pdf")</f>
        <v>Melting_Curves/meltCurve_P13667_PDIA4.pdf</v>
      </c>
    </row>
    <row r="2066" spans="1:28" x14ac:dyDescent="0.25">
      <c r="A2066" t="s">
        <v>2070</v>
      </c>
      <c r="B2066">
        <v>0.99673306730245903</v>
      </c>
      <c r="C2066">
        <v>0.866208326462376</v>
      </c>
      <c r="D2066">
        <v>0.74949096606395005</v>
      </c>
      <c r="E2066">
        <v>0.61433582936442099</v>
      </c>
      <c r="F2066">
        <v>0.47908917317202598</v>
      </c>
      <c r="G2066">
        <v>0.230986221681378</v>
      </c>
      <c r="H2066">
        <v>0.15614427612395301</v>
      </c>
      <c r="I2066">
        <v>0.13003481783229601</v>
      </c>
      <c r="J2066">
        <v>0.12610926343606599</v>
      </c>
      <c r="K2066">
        <v>9.1498125677192302E-2</v>
      </c>
      <c r="L2066">
        <v>554.51560531939106</v>
      </c>
      <c r="M2066">
        <v>10.83099406857</v>
      </c>
      <c r="N2066">
        <v>51.5320540349108</v>
      </c>
      <c r="O2066">
        <v>49.544553581348701</v>
      </c>
      <c r="P2066">
        <v>-5.2814131039626101E-2</v>
      </c>
      <c r="Q2066">
        <v>3.3988705797517602E-2</v>
      </c>
      <c r="R2066">
        <v>0.98970521364449904</v>
      </c>
      <c r="S2066" t="s">
        <v>8518</v>
      </c>
      <c r="T2066" t="s">
        <v>12902</v>
      </c>
      <c r="U2066" t="s">
        <v>12902</v>
      </c>
      <c r="V2066" t="s">
        <v>12902</v>
      </c>
      <c r="W2066" t="s">
        <v>14933</v>
      </c>
      <c r="X2066">
        <v>20</v>
      </c>
      <c r="Y2066" t="s">
        <v>21299</v>
      </c>
      <c r="Z2066" t="s">
        <v>27641</v>
      </c>
      <c r="AA2066">
        <v>0.43028058445616613</v>
      </c>
      <c r="AB2066" t="str">
        <f>HYPERLINK("Melting_Curves/meltCurve_P13674_P4HA1.pdf", "Melting_Curves/meltCurve_P13674_P4HA1.pdf")</f>
        <v>Melting_Curves/meltCurve_P13674_P4HA1.pdf</v>
      </c>
    </row>
    <row r="2067" spans="1:28" x14ac:dyDescent="0.25">
      <c r="A2067" t="s">
        <v>2071</v>
      </c>
      <c r="B2067">
        <v>0.99673306730245903</v>
      </c>
      <c r="C2067">
        <v>0.94053914981808895</v>
      </c>
      <c r="D2067">
        <v>0.89924971831830403</v>
      </c>
      <c r="E2067">
        <v>0.65841640954410297</v>
      </c>
      <c r="F2067">
        <v>0.496303046323468</v>
      </c>
      <c r="G2067">
        <v>0.23545166105906401</v>
      </c>
      <c r="H2067">
        <v>0.18195244455300899</v>
      </c>
      <c r="I2067">
        <v>0.15340030072330399</v>
      </c>
      <c r="J2067">
        <v>0.17264165031550599</v>
      </c>
      <c r="K2067">
        <v>0.131587651091397</v>
      </c>
      <c r="L2067">
        <v>826.85710178797399</v>
      </c>
      <c r="M2067">
        <v>16.090214142939502</v>
      </c>
      <c r="N2067">
        <v>52.3108113923019</v>
      </c>
      <c r="O2067">
        <v>50.614704646468198</v>
      </c>
      <c r="P2067">
        <v>-6.96673790615219E-2</v>
      </c>
      <c r="Q2067">
        <v>0.123461434631043</v>
      </c>
      <c r="R2067">
        <v>0.99382810673810695</v>
      </c>
      <c r="S2067" t="s">
        <v>8519</v>
      </c>
      <c r="T2067" t="s">
        <v>12902</v>
      </c>
      <c r="U2067" t="s">
        <v>12902</v>
      </c>
      <c r="V2067" t="s">
        <v>12902</v>
      </c>
      <c r="W2067" t="s">
        <v>14934</v>
      </c>
      <c r="X2067">
        <v>21</v>
      </c>
      <c r="Y2067" t="s">
        <v>21299</v>
      </c>
      <c r="Z2067" t="s">
        <v>27642</v>
      </c>
      <c r="AA2067">
        <v>0.47404874086805021</v>
      </c>
      <c r="AB2067" t="str">
        <f>HYPERLINK("Melting_Curves/meltCurve_P13674_2_P4HA1.pdf", "Melting_Curves/meltCurve_P13674_2_P4HA1.pdf")</f>
        <v>Melting_Curves/meltCurve_P13674_2_P4HA1.pdf</v>
      </c>
    </row>
    <row r="2068" spans="1:28" x14ac:dyDescent="0.25">
      <c r="A2068" t="s">
        <v>2072</v>
      </c>
      <c r="B2068">
        <v>0.99673306730245903</v>
      </c>
      <c r="C2068">
        <v>0.91764652745932895</v>
      </c>
      <c r="D2068">
        <v>0.84389615711716404</v>
      </c>
      <c r="E2068">
        <v>0.78094160677212998</v>
      </c>
      <c r="F2068">
        <v>0.458903607975025</v>
      </c>
      <c r="G2068">
        <v>0.17509128517183301</v>
      </c>
      <c r="H2068">
        <v>8.60160406786738E-2</v>
      </c>
      <c r="I2068">
        <v>8.4633923003245404E-2</v>
      </c>
      <c r="J2068">
        <v>9.6654355139051101E-2</v>
      </c>
      <c r="K2068">
        <v>9.7516906390589006E-2</v>
      </c>
      <c r="L2068">
        <v>987.282813570587</v>
      </c>
      <c r="M2068">
        <v>18.969091111568801</v>
      </c>
      <c r="N2068">
        <v>52.406345930632803</v>
      </c>
      <c r="O2068">
        <v>51.478840323482999</v>
      </c>
      <c r="P2068">
        <v>-8.6505376703195705E-2</v>
      </c>
      <c r="Q2068">
        <v>6.0995008702780303E-2</v>
      </c>
      <c r="R2068">
        <v>0.98643804727510798</v>
      </c>
      <c r="S2068" t="s">
        <v>8520</v>
      </c>
      <c r="T2068" t="s">
        <v>12902</v>
      </c>
      <c r="U2068" t="s">
        <v>12902</v>
      </c>
      <c r="V2068" t="s">
        <v>12902</v>
      </c>
      <c r="W2068" t="s">
        <v>14935</v>
      </c>
      <c r="X2068">
        <v>14</v>
      </c>
      <c r="Y2068" t="s">
        <v>21300</v>
      </c>
      <c r="Z2068" t="s">
        <v>27643</v>
      </c>
      <c r="AA2068">
        <v>0.45233167166670091</v>
      </c>
      <c r="AB2068" t="str">
        <f>HYPERLINK("Melting_Curves/meltCurve_P13693_TPT1.pdf", "Melting_Curves/meltCurve_P13693_TPT1.pdf")</f>
        <v>Melting_Curves/meltCurve_P13693_TPT1.pdf</v>
      </c>
    </row>
    <row r="2069" spans="1:28" x14ac:dyDescent="0.25">
      <c r="A2069" t="s">
        <v>2073</v>
      </c>
      <c r="B2069">
        <v>0.99673306730245903</v>
      </c>
      <c r="C2069">
        <v>1.1145341300663201</v>
      </c>
      <c r="D2069">
        <v>0.81222095951758999</v>
      </c>
      <c r="E2069">
        <v>0.983900181511698</v>
      </c>
      <c r="F2069">
        <v>0.59643731679982104</v>
      </c>
      <c r="G2069">
        <v>0.42357021842011999</v>
      </c>
      <c r="H2069">
        <v>0.36714595201389399</v>
      </c>
      <c r="I2069">
        <v>9.1087538740482699E-2</v>
      </c>
      <c r="J2069">
        <v>5.7624592773457703E-2</v>
      </c>
      <c r="K2069">
        <v>4.43650824967445E-2</v>
      </c>
      <c r="L2069">
        <v>784.81193571021902</v>
      </c>
      <c r="M2069">
        <v>14.0248204536017</v>
      </c>
      <c r="N2069">
        <v>55.958786644249699</v>
      </c>
      <c r="O2069">
        <v>54.857932209500099</v>
      </c>
      <c r="P2069">
        <v>-6.3922675941894394E-2</v>
      </c>
      <c r="Q2069">
        <v>0</v>
      </c>
      <c r="R2069">
        <v>0.949283930892865</v>
      </c>
      <c r="S2069" t="s">
        <v>8521</v>
      </c>
      <c r="T2069" t="s">
        <v>12902</v>
      </c>
      <c r="U2069" t="s">
        <v>12902</v>
      </c>
      <c r="V2069" t="s">
        <v>12902</v>
      </c>
      <c r="W2069" t="s">
        <v>14936</v>
      </c>
      <c r="X2069">
        <v>19</v>
      </c>
      <c r="Y2069" t="s">
        <v>21301</v>
      </c>
      <c r="Z2069" t="s">
        <v>27644</v>
      </c>
      <c r="AA2069">
        <v>0.55074626009926786</v>
      </c>
      <c r="AB2069" t="str">
        <f>HYPERLINK("Melting_Curves/meltCurve_P13804_ETFA.pdf", "Melting_Curves/meltCurve_P13804_ETFA.pdf")</f>
        <v>Melting_Curves/meltCurve_P13804_ETFA.pdf</v>
      </c>
    </row>
    <row r="2070" spans="1:28" x14ac:dyDescent="0.25">
      <c r="A2070" t="s">
        <v>2074</v>
      </c>
      <c r="B2070">
        <v>0.99673306730245903</v>
      </c>
      <c r="C2070">
        <v>0.90917344601666095</v>
      </c>
      <c r="D2070">
        <v>0.780984964378307</v>
      </c>
      <c r="E2070">
        <v>0.58070834754977096</v>
      </c>
      <c r="F2070">
        <v>0.31966205729145702</v>
      </c>
      <c r="G2070">
        <v>0.14476268023430799</v>
      </c>
      <c r="H2070">
        <v>8.4689298849218803E-2</v>
      </c>
      <c r="I2070">
        <v>7.0076531820199406E-2</v>
      </c>
      <c r="J2070">
        <v>5.3869176252405698E-2</v>
      </c>
      <c r="K2070">
        <v>4.3603062516794598E-2</v>
      </c>
      <c r="L2070">
        <v>747.01373334310904</v>
      </c>
      <c r="M2070">
        <v>14.888320847583801</v>
      </c>
      <c r="N2070">
        <v>50.344207950132301</v>
      </c>
      <c r="O2070">
        <v>49.295376366383699</v>
      </c>
      <c r="P2070">
        <v>-7.3665126451595203E-2</v>
      </c>
      <c r="Q2070">
        <v>2.4477643152593001E-2</v>
      </c>
      <c r="R2070">
        <v>0.99804604139374897</v>
      </c>
      <c r="S2070" t="s">
        <v>8522</v>
      </c>
      <c r="T2070" t="s">
        <v>12902</v>
      </c>
      <c r="U2070" t="s">
        <v>12902</v>
      </c>
      <c r="V2070" t="s">
        <v>12902</v>
      </c>
      <c r="W2070" t="s">
        <v>14937</v>
      </c>
      <c r="X2070">
        <v>27</v>
      </c>
      <c r="Y2070" t="s">
        <v>21302</v>
      </c>
      <c r="Z2070" t="s">
        <v>27645</v>
      </c>
      <c r="AA2070">
        <v>0.37876241041799991</v>
      </c>
      <c r="AB2070" t="str">
        <f>HYPERLINK("Melting_Curves/meltCurve_P13861_PRKAR2A.pdf", "Melting_Curves/meltCurve_P13861_PRKAR2A.pdf")</f>
        <v>Melting_Curves/meltCurve_P13861_PRKAR2A.pdf</v>
      </c>
    </row>
    <row r="2071" spans="1:28" x14ac:dyDescent="0.25">
      <c r="A2071" t="s">
        <v>2075</v>
      </c>
      <c r="B2071">
        <v>0.99673306730245903</v>
      </c>
      <c r="C2071">
        <v>0.96239944427547897</v>
      </c>
      <c r="D2071">
        <v>0.99619635798006101</v>
      </c>
      <c r="E2071">
        <v>0.96832337100535903</v>
      </c>
      <c r="F2071">
        <v>0.88533094850055905</v>
      </c>
      <c r="G2071">
        <v>0.75907485411462405</v>
      </c>
      <c r="H2071">
        <v>0.63265388660442001</v>
      </c>
      <c r="I2071">
        <v>0.63487758305889297</v>
      </c>
      <c r="J2071">
        <v>0.32754670691596599</v>
      </c>
      <c r="K2071">
        <v>0.140073086470511</v>
      </c>
      <c r="L2071">
        <v>795.05579110119595</v>
      </c>
      <c r="M2071">
        <v>12.485829149097601</v>
      </c>
      <c r="N2071">
        <v>63.676651482011899</v>
      </c>
      <c r="O2071">
        <v>62.109448769821803</v>
      </c>
      <c r="P2071">
        <v>-5.0267772008843602E-2</v>
      </c>
      <c r="Q2071">
        <v>0</v>
      </c>
      <c r="R2071">
        <v>0.9500674952639</v>
      </c>
      <c r="S2071" t="s">
        <v>8523</v>
      </c>
      <c r="T2071" t="s">
        <v>12902</v>
      </c>
      <c r="U2071" t="s">
        <v>12902</v>
      </c>
      <c r="V2071" t="s">
        <v>12902</v>
      </c>
      <c r="W2071" t="s">
        <v>14938</v>
      </c>
      <c r="X2071">
        <v>19</v>
      </c>
      <c r="Y2071" t="s">
        <v>21303</v>
      </c>
      <c r="Z2071" t="s">
        <v>27646</v>
      </c>
      <c r="AA2071">
        <v>0.76562204791061983</v>
      </c>
      <c r="AB2071" t="str">
        <f>HYPERLINK("Melting_Curves/meltCurve_P13929_ENO3.pdf", "Melting_Curves/meltCurve_P13929_ENO3.pdf")</f>
        <v>Melting_Curves/meltCurve_P13929_ENO3.pdf</v>
      </c>
    </row>
    <row r="2072" spans="1:28" x14ac:dyDescent="0.25">
      <c r="A2072" t="s">
        <v>2076</v>
      </c>
      <c r="B2072">
        <v>0.99673306730245903</v>
      </c>
      <c r="C2072">
        <v>0.98696279106763896</v>
      </c>
      <c r="D2072">
        <v>1.0071772268096899</v>
      </c>
      <c r="E2072">
        <v>0.94548892836187204</v>
      </c>
      <c r="F2072">
        <v>0.654354851415898</v>
      </c>
      <c r="G2072">
        <v>0.36321150562520099</v>
      </c>
      <c r="H2072">
        <v>0.13449061179361499</v>
      </c>
      <c r="I2072">
        <v>0.10788500928507801</v>
      </c>
      <c r="J2072">
        <v>0.11381755113379401</v>
      </c>
      <c r="K2072">
        <v>0.114863790773625</v>
      </c>
      <c r="L2072">
        <v>1355.3600095260001</v>
      </c>
      <c r="M2072">
        <v>24.893644863984399</v>
      </c>
      <c r="N2072">
        <v>54.927256660820703</v>
      </c>
      <c r="O2072">
        <v>54.098322185193801</v>
      </c>
      <c r="P2072">
        <v>-0.103768604740582</v>
      </c>
      <c r="Q2072">
        <v>9.7981744627351E-2</v>
      </c>
      <c r="R2072">
        <v>0.99800270470861496</v>
      </c>
      <c r="S2072" t="s">
        <v>8524</v>
      </c>
      <c r="T2072" t="s">
        <v>12902</v>
      </c>
      <c r="U2072" t="s">
        <v>12902</v>
      </c>
      <c r="V2072" t="s">
        <v>12902</v>
      </c>
      <c r="W2072" t="s">
        <v>14939</v>
      </c>
      <c r="X2072">
        <v>18</v>
      </c>
      <c r="Y2072" t="s">
        <v>21304</v>
      </c>
      <c r="Z2072" t="s">
        <v>27647</v>
      </c>
      <c r="AA2072">
        <v>0.54075101494979905</v>
      </c>
      <c r="AB2072" t="str">
        <f>HYPERLINK("Melting_Curves/meltCurve_P13984_GTF2F2.pdf", "Melting_Curves/meltCurve_P13984_GTF2F2.pdf")</f>
        <v>Melting_Curves/meltCurve_P13984_GTF2F2.pdf</v>
      </c>
    </row>
    <row r="2073" spans="1:28" x14ac:dyDescent="0.25">
      <c r="A2073" t="s">
        <v>2077</v>
      </c>
      <c r="B2073">
        <v>0.99673306730245903</v>
      </c>
      <c r="C2073">
        <v>1.0056595925527601</v>
      </c>
      <c r="D2073">
        <v>1.0003125008924001</v>
      </c>
      <c r="E2073">
        <v>0.94099164739521901</v>
      </c>
      <c r="F2073">
        <v>0.63390770242010896</v>
      </c>
      <c r="G2073">
        <v>0.23540997708967401</v>
      </c>
      <c r="H2073">
        <v>0.13878123742583001</v>
      </c>
      <c r="I2073">
        <v>8.7826374565968202E-2</v>
      </c>
      <c r="J2073">
        <v>6.9910024941324395E-2</v>
      </c>
      <c r="K2073">
        <v>6.2998444417996097E-2</v>
      </c>
      <c r="L2073">
        <v>1608.53984554671</v>
      </c>
      <c r="M2073">
        <v>29.8199916105205</v>
      </c>
      <c r="N2073">
        <v>54.246002204362497</v>
      </c>
      <c r="O2073">
        <v>53.700819519737003</v>
      </c>
      <c r="P2073">
        <v>-0.12813207273941199</v>
      </c>
      <c r="Q2073">
        <v>7.7028390599997304E-2</v>
      </c>
      <c r="R2073">
        <v>0.99913601794009099</v>
      </c>
      <c r="S2073" t="s">
        <v>8525</v>
      </c>
      <c r="T2073" t="s">
        <v>12902</v>
      </c>
      <c r="U2073" t="s">
        <v>12902</v>
      </c>
      <c r="V2073" t="s">
        <v>12902</v>
      </c>
      <c r="W2073" t="s">
        <v>14940</v>
      </c>
      <c r="X2073">
        <v>17</v>
      </c>
      <c r="Y2073" t="s">
        <v>21305</v>
      </c>
      <c r="Z2073" t="s">
        <v>27648</v>
      </c>
      <c r="AA2073">
        <v>0.51208302863877375</v>
      </c>
      <c r="AB2073" t="str">
        <f>HYPERLINK("Melting_Curves/meltCurve_P13995_MTHFD2.pdf", "Melting_Curves/meltCurve_P13995_MTHFD2.pdf")</f>
        <v>Melting_Curves/meltCurve_P13995_MTHFD2.pdf</v>
      </c>
    </row>
    <row r="2074" spans="1:28" x14ac:dyDescent="0.25">
      <c r="A2074" t="s">
        <v>2078</v>
      </c>
      <c r="B2074">
        <v>0.99673306730245903</v>
      </c>
      <c r="C2074">
        <v>1.0370159606519</v>
      </c>
      <c r="D2074">
        <v>1.2159888888391399</v>
      </c>
      <c r="E2074">
        <v>1.01068164974357</v>
      </c>
      <c r="F2074">
        <v>0.92511576478980095</v>
      </c>
      <c r="G2074">
        <v>0.82594452935054297</v>
      </c>
      <c r="H2074">
        <v>0.64849899993799798</v>
      </c>
      <c r="I2074">
        <v>0.79206711981129796</v>
      </c>
      <c r="J2074">
        <v>1.00083120634947</v>
      </c>
      <c r="K2074">
        <v>0.68290270777336504</v>
      </c>
      <c r="L2074">
        <v>2539.3288564532299</v>
      </c>
      <c r="M2074">
        <v>46.982617074096403</v>
      </c>
      <c r="O2074">
        <v>53.950616593882899</v>
      </c>
      <c r="P2074">
        <v>-4.6762014203657901E-2</v>
      </c>
      <c r="Q2074">
        <v>0.78521105050818496</v>
      </c>
      <c r="R2074">
        <v>0.54927555804828698</v>
      </c>
      <c r="S2074" t="s">
        <v>8526</v>
      </c>
      <c r="T2074" t="s">
        <v>12902</v>
      </c>
      <c r="U2074" t="s">
        <v>12902</v>
      </c>
      <c r="V2074" t="s">
        <v>12902</v>
      </c>
      <c r="W2074" t="s">
        <v>14941</v>
      </c>
      <c r="X2074">
        <v>7</v>
      </c>
      <c r="Y2074" t="s">
        <v>21306</v>
      </c>
      <c r="Z2074" t="s">
        <v>27649</v>
      </c>
      <c r="AA2074">
        <v>0.8863715108663901</v>
      </c>
      <c r="AB2074" t="str">
        <f>HYPERLINK("Melting_Curves/meltCurve_P14174_MIF.pdf", "Melting_Curves/meltCurve_P14174_MIF.pdf")</f>
        <v>Melting_Curves/meltCurve_P14174_MIF.pdf</v>
      </c>
    </row>
    <row r="2075" spans="1:28" x14ac:dyDescent="0.25">
      <c r="A2075" t="s">
        <v>2079</v>
      </c>
      <c r="B2075">
        <v>0.99673306730245903</v>
      </c>
      <c r="C2075">
        <v>0.94412179132958096</v>
      </c>
      <c r="D2075">
        <v>0.79357604681258997</v>
      </c>
      <c r="E2075">
        <v>0.48116439181517001</v>
      </c>
      <c r="F2075">
        <v>0.220853311738336</v>
      </c>
      <c r="G2075">
        <v>0.134550597834349</v>
      </c>
      <c r="H2075">
        <v>0.10597309972944501</v>
      </c>
      <c r="I2075">
        <v>9.9000189641969896E-2</v>
      </c>
      <c r="J2075">
        <v>0.145644448921597</v>
      </c>
      <c r="K2075">
        <v>0.13403445703116901</v>
      </c>
      <c r="L2075">
        <v>1060.50392643802</v>
      </c>
      <c r="M2075">
        <v>21.8021163042607</v>
      </c>
      <c r="N2075">
        <v>49.217543120844802</v>
      </c>
      <c r="O2075">
        <v>48.238574392112703</v>
      </c>
      <c r="P2075">
        <v>-0.100284163292283</v>
      </c>
      <c r="Q2075">
        <v>0.112480263743914</v>
      </c>
      <c r="R2075">
        <v>0.99767541127083104</v>
      </c>
      <c r="S2075" t="s">
        <v>8527</v>
      </c>
      <c r="T2075" t="s">
        <v>12902</v>
      </c>
      <c r="U2075" t="s">
        <v>12902</v>
      </c>
      <c r="V2075" t="s">
        <v>12902</v>
      </c>
      <c r="W2075" t="s">
        <v>14942</v>
      </c>
      <c r="X2075">
        <v>8</v>
      </c>
      <c r="Y2075" t="s">
        <v>21307</v>
      </c>
      <c r="Z2075" t="s">
        <v>27650</v>
      </c>
      <c r="AA2075">
        <v>0.3785900965577505</v>
      </c>
      <c r="AB2075" t="str">
        <f>HYPERLINK("Melting_Curves/meltCurve_P14222_PRF1.pdf", "Melting_Curves/meltCurve_P14222_PRF1.pdf")</f>
        <v>Melting_Curves/meltCurve_P14222_PRF1.pdf</v>
      </c>
    </row>
    <row r="2076" spans="1:28" x14ac:dyDescent="0.25">
      <c r="A2076" t="s">
        <v>2080</v>
      </c>
      <c r="B2076">
        <v>0.99673306730245903</v>
      </c>
      <c r="C2076">
        <v>0.866979161220095</v>
      </c>
      <c r="D2076">
        <v>0.72529006138108099</v>
      </c>
      <c r="E2076">
        <v>0.27676148697212899</v>
      </c>
      <c r="F2076">
        <v>0.154519207178927</v>
      </c>
      <c r="G2076">
        <v>9.0718950280519697E-2</v>
      </c>
      <c r="H2076">
        <v>5.8877795175817302E-2</v>
      </c>
      <c r="I2076">
        <v>5.8949938645525703E-2</v>
      </c>
      <c r="J2076">
        <v>7.17020763030395E-2</v>
      </c>
      <c r="K2076">
        <v>6.5529172709974007E-2</v>
      </c>
      <c r="L2076">
        <v>1080.6199526532</v>
      </c>
      <c r="M2076">
        <v>22.813855598363801</v>
      </c>
      <c r="N2076">
        <v>47.650768277810798</v>
      </c>
      <c r="O2076">
        <v>47.007383705854998</v>
      </c>
      <c r="P2076">
        <v>-0.11362225531977101</v>
      </c>
      <c r="Q2076">
        <v>6.3554572540272802E-2</v>
      </c>
      <c r="R2076">
        <v>0.99493287606312897</v>
      </c>
      <c r="S2076" t="s">
        <v>8528</v>
      </c>
      <c r="T2076" t="s">
        <v>12902</v>
      </c>
      <c r="U2076" t="s">
        <v>12902</v>
      </c>
      <c r="V2076" t="s">
        <v>12902</v>
      </c>
      <c r="W2076" t="s">
        <v>14943</v>
      </c>
      <c r="X2076">
        <v>15</v>
      </c>
      <c r="Y2076" t="s">
        <v>21308</v>
      </c>
      <c r="Z2076" t="s">
        <v>27651</v>
      </c>
      <c r="AA2076">
        <v>0.3036573235572152</v>
      </c>
      <c r="AB2076" t="str">
        <f>HYPERLINK("Melting_Curves/meltCurve_P14324_2_FDPS.pdf", "Melting_Curves/meltCurve_P14324_2_FDPS.pdf")</f>
        <v>Melting_Curves/meltCurve_P14324_2_FDPS.pdf</v>
      </c>
    </row>
    <row r="2077" spans="1:28" x14ac:dyDescent="0.25">
      <c r="A2077" t="s">
        <v>2081</v>
      </c>
      <c r="B2077">
        <v>0.99673306730245903</v>
      </c>
      <c r="C2077">
        <v>1.06610329525253</v>
      </c>
      <c r="D2077">
        <v>0.77267598789247405</v>
      </c>
      <c r="E2077">
        <v>0.89554184718084395</v>
      </c>
      <c r="F2077">
        <v>0.258748975314745</v>
      </c>
      <c r="G2077">
        <v>0.111514337656313</v>
      </c>
      <c r="H2077">
        <v>6.5856803382273801E-2</v>
      </c>
      <c r="I2077">
        <v>6.1166055842654103E-2</v>
      </c>
      <c r="J2077">
        <v>5.3583314859785097E-2</v>
      </c>
      <c r="K2077">
        <v>4.8778192828006897E-2</v>
      </c>
      <c r="L2077">
        <v>2283.7119712512799</v>
      </c>
      <c r="M2077">
        <v>44.179328091099499</v>
      </c>
      <c r="N2077">
        <v>51.849311786079497</v>
      </c>
      <c r="O2077">
        <v>51.586291830991399</v>
      </c>
      <c r="P2077">
        <v>-0.2006645004648</v>
      </c>
      <c r="Q2077">
        <v>6.2772251895620898E-2</v>
      </c>
      <c r="R2077">
        <v>0.96782815308752601</v>
      </c>
      <c r="S2077" t="s">
        <v>8529</v>
      </c>
      <c r="T2077" t="s">
        <v>12902</v>
      </c>
      <c r="U2077" t="s">
        <v>12902</v>
      </c>
      <c r="V2077" t="s">
        <v>12902</v>
      </c>
      <c r="W2077" t="s">
        <v>14944</v>
      </c>
      <c r="X2077">
        <v>26</v>
      </c>
      <c r="Y2077" t="s">
        <v>21309</v>
      </c>
      <c r="Z2077" t="s">
        <v>27652</v>
      </c>
      <c r="AA2077">
        <v>0.43077794722348461</v>
      </c>
      <c r="AB2077" t="str">
        <f>HYPERLINK("Melting_Curves/meltCurve_P14550_AKR1A1.pdf", "Melting_Curves/meltCurve_P14550_AKR1A1.pdf")</f>
        <v>Melting_Curves/meltCurve_P14550_AKR1A1.pdf</v>
      </c>
    </row>
    <row r="2078" spans="1:28" x14ac:dyDescent="0.25">
      <c r="A2078" t="s">
        <v>2082</v>
      </c>
      <c r="B2078">
        <v>0.99673306730245903</v>
      </c>
      <c r="C2078">
        <v>1.0137576668753601</v>
      </c>
      <c r="D2078">
        <v>0.98561914848234999</v>
      </c>
      <c r="E2078">
        <v>0.991285950747676</v>
      </c>
      <c r="F2078">
        <v>0.86083163739174295</v>
      </c>
      <c r="G2078">
        <v>0.57453117047392699</v>
      </c>
      <c r="H2078">
        <v>0.31470496629130001</v>
      </c>
      <c r="I2078">
        <v>0.222009274449116</v>
      </c>
      <c r="J2078">
        <v>0.26091477200305102</v>
      </c>
      <c r="K2078">
        <v>0.25984970722339201</v>
      </c>
      <c r="L2078">
        <v>1606.48871018675</v>
      </c>
      <c r="M2078">
        <v>28.577824218716799</v>
      </c>
      <c r="N2078">
        <v>57.513356659210899</v>
      </c>
      <c r="O2078">
        <v>55.941420103530902</v>
      </c>
      <c r="P2078">
        <v>-9.7347603540315797E-2</v>
      </c>
      <c r="Q2078">
        <v>0.23776980331410499</v>
      </c>
      <c r="R2078">
        <v>0.99747306791407997</v>
      </c>
      <c r="S2078" t="s">
        <v>8530</v>
      </c>
      <c r="T2078" t="s">
        <v>12902</v>
      </c>
      <c r="U2078" t="s">
        <v>12902</v>
      </c>
      <c r="V2078" t="s">
        <v>12902</v>
      </c>
      <c r="W2078" t="s">
        <v>14945</v>
      </c>
      <c r="X2078">
        <v>9</v>
      </c>
      <c r="Y2078" t="s">
        <v>21310</v>
      </c>
      <c r="Z2078" t="s">
        <v>27653</v>
      </c>
      <c r="AA2078">
        <v>0.65529184380340755</v>
      </c>
      <c r="AB2078" t="str">
        <f>HYPERLINK("Melting_Curves/meltCurve_P14555_PLA2G2A.pdf", "Melting_Curves/meltCurve_P14555_PLA2G2A.pdf")</f>
        <v>Melting_Curves/meltCurve_P14555_PLA2G2A.pdf</v>
      </c>
    </row>
    <row r="2079" spans="1:28" x14ac:dyDescent="0.25">
      <c r="A2079" t="s">
        <v>2083</v>
      </c>
      <c r="B2079">
        <v>0.99673306730245903</v>
      </c>
      <c r="C2079">
        <v>0.93226849335615403</v>
      </c>
      <c r="D2079">
        <v>1.0959894667002099</v>
      </c>
      <c r="E2079">
        <v>1.0333241880897299</v>
      </c>
      <c r="F2079">
        <v>1.239801540272</v>
      </c>
      <c r="G2079">
        <v>1.1318176509508799</v>
      </c>
      <c r="H2079">
        <v>0.59854934001245097</v>
      </c>
      <c r="I2079">
        <v>9.5481653559781804E-2</v>
      </c>
      <c r="J2079">
        <v>8.0079035480312505E-2</v>
      </c>
      <c r="K2079">
        <v>6.0991573799338901E-2</v>
      </c>
      <c r="L2079">
        <v>6437.8636997664498</v>
      </c>
      <c r="M2079">
        <v>105.62116709386299</v>
      </c>
      <c r="N2079">
        <v>61.048707767327102</v>
      </c>
      <c r="O2079">
        <v>60.930559887617598</v>
      </c>
      <c r="P2079">
        <v>-0.40011052557661198</v>
      </c>
      <c r="Q2079">
        <v>7.6739727311584002E-2</v>
      </c>
      <c r="R2079">
        <v>0.95591596719171601</v>
      </c>
      <c r="S2079" t="s">
        <v>8531</v>
      </c>
      <c r="T2079" t="s">
        <v>12902</v>
      </c>
      <c r="U2079" t="s">
        <v>12902</v>
      </c>
      <c r="V2079" t="s">
        <v>12902</v>
      </c>
      <c r="W2079" t="s">
        <v>14946</v>
      </c>
      <c r="X2079">
        <v>64</v>
      </c>
      <c r="Y2079" t="s">
        <v>20218</v>
      </c>
      <c r="Z2079" t="s">
        <v>27654</v>
      </c>
      <c r="AA2079">
        <v>0.72211087735695101</v>
      </c>
      <c r="AB2079" t="str">
        <f>HYPERLINK("Melting_Curves/meltCurve_P14618_PKM.pdf", "Melting_Curves/meltCurve_P14618_PKM.pdf")</f>
        <v>Melting_Curves/meltCurve_P14618_PKM.pdf</v>
      </c>
    </row>
    <row r="2080" spans="1:28" x14ac:dyDescent="0.25">
      <c r="A2080" t="s">
        <v>2084</v>
      </c>
      <c r="B2080">
        <v>0.99673306730245903</v>
      </c>
      <c r="C2080">
        <v>0.97967368162859103</v>
      </c>
      <c r="D2080">
        <v>1.0904931874532799</v>
      </c>
      <c r="E2080">
        <v>1.20879456687608</v>
      </c>
      <c r="F2080">
        <v>1.30576589122145</v>
      </c>
      <c r="G2080">
        <v>1.0913842577696</v>
      </c>
      <c r="H2080">
        <v>0.69696644353783699</v>
      </c>
      <c r="I2080">
        <v>0.116743707424652</v>
      </c>
      <c r="J2080">
        <v>9.2403703237938006E-2</v>
      </c>
      <c r="K2080">
        <v>6.9454804404982806E-2</v>
      </c>
      <c r="L2080">
        <v>5078.8473781919301</v>
      </c>
      <c r="M2080">
        <v>82.821084437482298</v>
      </c>
      <c r="N2080">
        <v>61.458125356016701</v>
      </c>
      <c r="O2080">
        <v>61.287395970963303</v>
      </c>
      <c r="P2080">
        <v>-0.309741460245053</v>
      </c>
      <c r="Q2080">
        <v>8.31684813765938E-2</v>
      </c>
      <c r="R2080">
        <v>0.928523553657574</v>
      </c>
      <c r="S2080" t="s">
        <v>8532</v>
      </c>
      <c r="T2080" t="s">
        <v>12902</v>
      </c>
      <c r="U2080" t="s">
        <v>12902</v>
      </c>
      <c r="V2080" t="s">
        <v>12902</v>
      </c>
      <c r="W2080" t="s">
        <v>14947</v>
      </c>
      <c r="X2080">
        <v>63</v>
      </c>
      <c r="Y2080" t="s">
        <v>20218</v>
      </c>
      <c r="Z2080" t="s">
        <v>27655</v>
      </c>
      <c r="AA2080">
        <v>0.73572507783849661</v>
      </c>
      <c r="AB2080" t="str">
        <f>HYPERLINK("Melting_Curves/meltCurve_P14618_2_PKM.pdf", "Melting_Curves/meltCurve_P14618_2_PKM.pdf")</f>
        <v>Melting_Curves/meltCurve_P14618_2_PKM.pdf</v>
      </c>
    </row>
    <row r="2081" spans="1:28" x14ac:dyDescent="0.25">
      <c r="A2081" t="s">
        <v>2085</v>
      </c>
      <c r="B2081">
        <v>0.99673306730245903</v>
      </c>
      <c r="C2081">
        <v>0.87003765537100997</v>
      </c>
      <c r="D2081">
        <v>0.96851650784289001</v>
      </c>
      <c r="E2081">
        <v>0.95265175519246803</v>
      </c>
      <c r="F2081">
        <v>0.48009818828645201</v>
      </c>
      <c r="G2081">
        <v>0.18699448573230901</v>
      </c>
      <c r="H2081">
        <v>0.134604331950085</v>
      </c>
      <c r="I2081">
        <v>0.115646325351732</v>
      </c>
      <c r="J2081">
        <v>0.100929805808048</v>
      </c>
      <c r="K2081">
        <v>6.7571315930295403E-2</v>
      </c>
      <c r="L2081">
        <v>1995.8226721549299</v>
      </c>
      <c r="M2081">
        <v>37.787965992564096</v>
      </c>
      <c r="N2081">
        <v>53.1529340056764</v>
      </c>
      <c r="O2081">
        <v>52.669080145050103</v>
      </c>
      <c r="P2081">
        <v>-0.16028056181140099</v>
      </c>
      <c r="Q2081">
        <v>0.10640233178797701</v>
      </c>
      <c r="R2081">
        <v>0.98633574229665399</v>
      </c>
      <c r="S2081" t="s">
        <v>8533</v>
      </c>
      <c r="T2081" t="s">
        <v>12902</v>
      </c>
      <c r="U2081" t="s">
        <v>12902</v>
      </c>
      <c r="V2081" t="s">
        <v>12902</v>
      </c>
      <c r="W2081" t="s">
        <v>14948</v>
      </c>
      <c r="X2081">
        <v>80</v>
      </c>
      <c r="Y2081" t="s">
        <v>21311</v>
      </c>
      <c r="Z2081" t="s">
        <v>27656</v>
      </c>
      <c r="AA2081">
        <v>0.49181108452916311</v>
      </c>
      <c r="AB2081" t="str">
        <f>HYPERLINK("Melting_Curves/meltCurve_P14625_HSP90B1.pdf", "Melting_Curves/meltCurve_P14625_HSP90B1.pdf")</f>
        <v>Melting_Curves/meltCurve_P14625_HSP90B1.pdf</v>
      </c>
    </row>
    <row r="2082" spans="1:28" x14ac:dyDescent="0.25">
      <c r="A2082" t="s">
        <v>2086</v>
      </c>
      <c r="B2082">
        <v>0.99673306730245903</v>
      </c>
      <c r="C2082">
        <v>0.96012850576775899</v>
      </c>
      <c r="D2082">
        <v>0.98234872568410603</v>
      </c>
      <c r="E2082">
        <v>0.84756926149672596</v>
      </c>
      <c r="F2082">
        <v>0.78197600156696201</v>
      </c>
      <c r="G2082">
        <v>0.48165778309920898</v>
      </c>
      <c r="H2082">
        <v>0.174946628464487</v>
      </c>
      <c r="I2082">
        <v>4.7756998594917298E-2</v>
      </c>
      <c r="J2082">
        <v>4.9229023670594903E-2</v>
      </c>
      <c r="K2082">
        <v>4.1022259314031903E-2</v>
      </c>
      <c r="L2082">
        <v>1082.5961571779301</v>
      </c>
      <c r="M2082">
        <v>19.2307470356529</v>
      </c>
      <c r="N2082">
        <v>56.295065106789998</v>
      </c>
      <c r="O2082">
        <v>55.696929338113399</v>
      </c>
      <c r="P2082">
        <v>-8.6321984399366794E-2</v>
      </c>
      <c r="Q2082">
        <v>0</v>
      </c>
      <c r="R2082">
        <v>0.99238036046633504</v>
      </c>
      <c r="S2082" t="s">
        <v>8534</v>
      </c>
      <c r="T2082" t="s">
        <v>12902</v>
      </c>
      <c r="U2082" t="s">
        <v>12902</v>
      </c>
      <c r="V2082" t="s">
        <v>12902</v>
      </c>
      <c r="W2082" t="s">
        <v>14949</v>
      </c>
      <c r="X2082">
        <v>7</v>
      </c>
      <c r="Y2082" t="s">
        <v>21312</v>
      </c>
      <c r="Z2082" t="s">
        <v>27657</v>
      </c>
      <c r="AA2082">
        <v>0.55653992244097039</v>
      </c>
      <c r="AB2082" t="str">
        <f>HYPERLINK("Melting_Curves/meltCurve_P14635_CCNB1.pdf", "Melting_Curves/meltCurve_P14635_CCNB1.pdf")</f>
        <v>Melting_Curves/meltCurve_P14635_CCNB1.pdf</v>
      </c>
    </row>
    <row r="2083" spans="1:28" x14ac:dyDescent="0.25">
      <c r="A2083" t="s">
        <v>2087</v>
      </c>
      <c r="B2083">
        <v>0.99673306730245903</v>
      </c>
      <c r="C2083">
        <v>1.0021791179938999</v>
      </c>
      <c r="D2083">
        <v>0.97550281892647395</v>
      </c>
      <c r="E2083">
        <v>0.88184628413523403</v>
      </c>
      <c r="F2083">
        <v>0.78275871899583604</v>
      </c>
      <c r="G2083">
        <v>1.07275071932432</v>
      </c>
      <c r="H2083">
        <v>0.86415071149935097</v>
      </c>
      <c r="I2083">
        <v>1.1505886423590601</v>
      </c>
      <c r="J2083">
        <v>1.77551726794278</v>
      </c>
      <c r="K2083">
        <v>1.6621859246050901</v>
      </c>
      <c r="L2083">
        <v>15000</v>
      </c>
      <c r="M2083">
        <v>233.53386239820401</v>
      </c>
      <c r="O2083">
        <v>64.225796896846802</v>
      </c>
      <c r="P2083">
        <v>0.45451720650572203</v>
      </c>
      <c r="Q2083">
        <v>1.5</v>
      </c>
      <c r="R2083">
        <v>0.81458677784012901</v>
      </c>
      <c r="S2083" t="s">
        <v>8535</v>
      </c>
      <c r="T2083" t="s">
        <v>12902</v>
      </c>
      <c r="U2083" t="s">
        <v>12902</v>
      </c>
      <c r="V2083" t="s">
        <v>12902</v>
      </c>
      <c r="W2083" t="s">
        <v>14950</v>
      </c>
      <c r="X2083">
        <v>11</v>
      </c>
      <c r="Y2083" t="s">
        <v>21313</v>
      </c>
      <c r="Z2083" t="s">
        <v>27658</v>
      </c>
      <c r="AA2083">
        <v>1.096093509287194</v>
      </c>
      <c r="AB2083" t="str">
        <f>HYPERLINK("Melting_Curves/meltCurve_P14649_MYL6B.pdf", "Melting_Curves/meltCurve_P14649_MYL6B.pdf")</f>
        <v>Melting_Curves/meltCurve_P14649_MYL6B.pdf</v>
      </c>
    </row>
    <row r="2084" spans="1:28" x14ac:dyDescent="0.25">
      <c r="A2084" t="s">
        <v>2088</v>
      </c>
      <c r="B2084">
        <v>0.99673306730245903</v>
      </c>
      <c r="C2084">
        <v>0.926558683601859</v>
      </c>
      <c r="D2084">
        <v>0.99776881011376495</v>
      </c>
      <c r="E2084">
        <v>1.0554093956564601</v>
      </c>
      <c r="F2084">
        <v>1.03474540497002</v>
      </c>
      <c r="G2084">
        <v>0.946458219091597</v>
      </c>
      <c r="H2084">
        <v>0.76775529807363496</v>
      </c>
      <c r="I2084">
        <v>0.87579297652680599</v>
      </c>
      <c r="J2084">
        <v>0.70001730527939798</v>
      </c>
      <c r="K2084">
        <v>0.36292451216862098</v>
      </c>
      <c r="L2084">
        <v>1279.48792425888</v>
      </c>
      <c r="M2084">
        <v>18.556805813191399</v>
      </c>
      <c r="N2084">
        <v>68.949793293919399</v>
      </c>
      <c r="O2084">
        <v>68.164044800585003</v>
      </c>
      <c r="P2084">
        <v>-6.8062339564090496E-2</v>
      </c>
      <c r="Q2084">
        <v>0</v>
      </c>
      <c r="R2084">
        <v>0.87398518568328898</v>
      </c>
      <c r="S2084" t="s">
        <v>8536</v>
      </c>
      <c r="T2084" t="s">
        <v>12902</v>
      </c>
      <c r="U2084" t="s">
        <v>12902</v>
      </c>
      <c r="V2084" t="s">
        <v>12902</v>
      </c>
      <c r="W2084" t="s">
        <v>14951</v>
      </c>
      <c r="X2084">
        <v>11</v>
      </c>
      <c r="Y2084" t="s">
        <v>21314</v>
      </c>
      <c r="Z2084" t="s">
        <v>27659</v>
      </c>
      <c r="AA2084">
        <v>0.90480856481841865</v>
      </c>
      <c r="AB2084" t="str">
        <f>HYPERLINK("Melting_Curves/meltCurve_P14678_2_SNRPB.pdf", "Melting_Curves/meltCurve_P14678_2_SNRPB.pdf")</f>
        <v>Melting_Curves/meltCurve_P14678_2_SNRPB.pdf</v>
      </c>
    </row>
    <row r="2085" spans="1:28" x14ac:dyDescent="0.25">
      <c r="A2085" t="s">
        <v>2089</v>
      </c>
      <c r="B2085">
        <v>0.99673306730245903</v>
      </c>
      <c r="C2085">
        <v>0.95531670443746497</v>
      </c>
      <c r="D2085">
        <v>0.73149511311905602</v>
      </c>
      <c r="E2085">
        <v>0.52354951370375802</v>
      </c>
      <c r="F2085">
        <v>0.32485740555105203</v>
      </c>
      <c r="G2085">
        <v>0.22493292250702601</v>
      </c>
      <c r="H2085">
        <v>0.103147201788058</v>
      </c>
      <c r="I2085">
        <v>6.2990061205499104E-2</v>
      </c>
      <c r="J2085">
        <v>6.3462240424520103E-2</v>
      </c>
      <c r="K2085">
        <v>5.4605171413904197E-2</v>
      </c>
      <c r="L2085">
        <v>684.32674399074699</v>
      </c>
      <c r="M2085">
        <v>13.7289197411086</v>
      </c>
      <c r="N2085">
        <v>50.122654395466299</v>
      </c>
      <c r="O2085">
        <v>48.823764236206898</v>
      </c>
      <c r="P2085">
        <v>-6.7739679142685694E-2</v>
      </c>
      <c r="Q2085">
        <v>3.6534877777095402E-2</v>
      </c>
      <c r="R2085">
        <v>0.99485868403409705</v>
      </c>
      <c r="S2085" t="s">
        <v>8537</v>
      </c>
      <c r="T2085" t="s">
        <v>12902</v>
      </c>
      <c r="U2085" t="s">
        <v>12902</v>
      </c>
      <c r="V2085" t="s">
        <v>12902</v>
      </c>
      <c r="W2085" t="s">
        <v>14952</v>
      </c>
      <c r="X2085">
        <v>24</v>
      </c>
      <c r="Y2085" t="s">
        <v>21315</v>
      </c>
      <c r="Z2085" t="s">
        <v>27660</v>
      </c>
      <c r="AA2085">
        <v>0.37969588134925247</v>
      </c>
      <c r="AB2085" t="str">
        <f>HYPERLINK("Melting_Curves/meltCurve_P14735_IDE.pdf", "Melting_Curves/meltCurve_P14735_IDE.pdf")</f>
        <v>Melting_Curves/meltCurve_P14735_IDE.pdf</v>
      </c>
    </row>
    <row r="2086" spans="1:28" x14ac:dyDescent="0.25">
      <c r="A2086" t="s">
        <v>2090</v>
      </c>
      <c r="B2086">
        <v>0.99673306730245903</v>
      </c>
      <c r="C2086">
        <v>1.0449615041236</v>
      </c>
      <c r="D2086">
        <v>0.95303830292957104</v>
      </c>
      <c r="E2086">
        <v>0.81110147516578002</v>
      </c>
      <c r="F2086">
        <v>0.72787000889329501</v>
      </c>
      <c r="G2086">
        <v>0.67985992352271396</v>
      </c>
      <c r="H2086">
        <v>0.54103999056422003</v>
      </c>
      <c r="I2086">
        <v>0.80991958022584598</v>
      </c>
      <c r="J2086">
        <v>1.25482733362779</v>
      </c>
      <c r="K2086">
        <v>1.10889186933731</v>
      </c>
      <c r="L2086">
        <v>11537.185168210501</v>
      </c>
      <c r="M2086">
        <v>250</v>
      </c>
      <c r="O2086">
        <v>46.145783315001303</v>
      </c>
      <c r="P2086">
        <v>-0.20635102514421699</v>
      </c>
      <c r="Q2086">
        <v>0.84764431138549201</v>
      </c>
      <c r="R2086">
        <v>0.117188826816283</v>
      </c>
      <c r="S2086" t="s">
        <v>8538</v>
      </c>
      <c r="T2086" t="s">
        <v>12902</v>
      </c>
      <c r="U2086" t="s">
        <v>12902</v>
      </c>
      <c r="V2086" t="s">
        <v>12902</v>
      </c>
      <c r="W2086" t="s">
        <v>14953</v>
      </c>
      <c r="X2086">
        <v>9</v>
      </c>
      <c r="Y2086" t="s">
        <v>21316</v>
      </c>
      <c r="Z2086" t="s">
        <v>27661</v>
      </c>
      <c r="AA2086">
        <v>0.87888317136581362</v>
      </c>
      <c r="AB2086" t="str">
        <f>HYPERLINK("Melting_Curves/meltCurve_P14854_COX6B1.pdf", "Melting_Curves/meltCurve_P14854_COX6B1.pdf")</f>
        <v>Melting_Curves/meltCurve_P14854_COX6B1.pdf</v>
      </c>
    </row>
    <row r="2087" spans="1:28" x14ac:dyDescent="0.25">
      <c r="A2087" t="s">
        <v>2091</v>
      </c>
      <c r="B2087">
        <v>0.99673306730245903</v>
      </c>
      <c r="C2087">
        <v>0.92000947567153402</v>
      </c>
      <c r="D2087">
        <v>0.60938342775388299</v>
      </c>
      <c r="E2087">
        <v>0.28932178685700299</v>
      </c>
      <c r="F2087">
        <v>0.17577300824626901</v>
      </c>
      <c r="G2087">
        <v>0.107265183336458</v>
      </c>
      <c r="H2087">
        <v>7.0424781006062795E-2</v>
      </c>
      <c r="I2087">
        <v>7.1425022321506201E-2</v>
      </c>
      <c r="J2087">
        <v>8.3845130472347304E-2</v>
      </c>
      <c r="K2087">
        <v>7.95764505120065E-2</v>
      </c>
      <c r="L2087">
        <v>1032.3774554546801</v>
      </c>
      <c r="M2087">
        <v>22.044440898153301</v>
      </c>
      <c r="N2087">
        <v>47.214326367071102</v>
      </c>
      <c r="O2087">
        <v>46.451376994992899</v>
      </c>
      <c r="P2087">
        <v>-0.108938756123083</v>
      </c>
      <c r="Q2087">
        <v>8.1810652294796199E-2</v>
      </c>
      <c r="R2087">
        <v>0.99740070393091496</v>
      </c>
      <c r="S2087" t="s">
        <v>8539</v>
      </c>
      <c r="T2087" t="s">
        <v>12902</v>
      </c>
      <c r="U2087" t="s">
        <v>12902</v>
      </c>
      <c r="V2087" t="s">
        <v>12902</v>
      </c>
      <c r="W2087" t="s">
        <v>14954</v>
      </c>
      <c r="X2087">
        <v>21</v>
      </c>
      <c r="Y2087" t="s">
        <v>21317</v>
      </c>
      <c r="Z2087" t="s">
        <v>27662</v>
      </c>
      <c r="AA2087">
        <v>0.30179651602436558</v>
      </c>
      <c r="AB2087" t="str">
        <f>HYPERLINK("Melting_Curves/meltCurve_P14866_HNRNPL.pdf", "Melting_Curves/meltCurve_P14866_HNRNPL.pdf")</f>
        <v>Melting_Curves/meltCurve_P14866_HNRNPL.pdf</v>
      </c>
    </row>
    <row r="2088" spans="1:28" x14ac:dyDescent="0.25">
      <c r="A2088" t="s">
        <v>2092</v>
      </c>
      <c r="B2088">
        <v>0.99673306730245903</v>
      </c>
      <c r="C2088">
        <v>0.91026630605999703</v>
      </c>
      <c r="D2088">
        <v>0.83626438745138398</v>
      </c>
      <c r="E2088">
        <v>0.89194694817660802</v>
      </c>
      <c r="F2088">
        <v>0.66417510372343802</v>
      </c>
      <c r="G2088">
        <v>0.39469286811311299</v>
      </c>
      <c r="H2088">
        <v>0.113761943087543</v>
      </c>
      <c r="I2088">
        <v>8.0760446185633605E-2</v>
      </c>
      <c r="J2088">
        <v>8.5387854955992396E-2</v>
      </c>
      <c r="K2088">
        <v>6.5605881112231798E-2</v>
      </c>
      <c r="L2088">
        <v>936.71076023993396</v>
      </c>
      <c r="M2088">
        <v>17.051118056715101</v>
      </c>
      <c r="N2088">
        <v>55.047122134164198</v>
      </c>
      <c r="O2088">
        <v>54.196531200249098</v>
      </c>
      <c r="P2088">
        <v>-7.7321861413867002E-2</v>
      </c>
      <c r="Q2088">
        <v>1.6998023667705E-2</v>
      </c>
      <c r="R2088">
        <v>0.97835512367400501</v>
      </c>
      <c r="S2088" t="s">
        <v>8540</v>
      </c>
      <c r="T2088" t="s">
        <v>12902</v>
      </c>
      <c r="U2088" t="s">
        <v>12902</v>
      </c>
      <c r="V2088" t="s">
        <v>12902</v>
      </c>
      <c r="W2088" t="s">
        <v>14955</v>
      </c>
      <c r="X2088">
        <v>37</v>
      </c>
      <c r="Y2088" t="s">
        <v>21318</v>
      </c>
      <c r="Z2088" t="s">
        <v>27663</v>
      </c>
      <c r="AA2088">
        <v>0.52275816892930727</v>
      </c>
      <c r="AB2088" t="str">
        <f>HYPERLINK("Melting_Curves/meltCurve_P14868_DARS.pdf", "Melting_Curves/meltCurve_P14868_DARS.pdf")</f>
        <v>Melting_Curves/meltCurve_P14868_DARS.pdf</v>
      </c>
    </row>
    <row r="2089" spans="1:28" x14ac:dyDescent="0.25">
      <c r="A2089" t="s">
        <v>2093</v>
      </c>
      <c r="B2089">
        <v>0.99673306730245903</v>
      </c>
      <c r="C2089">
        <v>0.94006145860965995</v>
      </c>
      <c r="D2089">
        <v>0.79259219791800595</v>
      </c>
      <c r="E2089">
        <v>0.55163661878854398</v>
      </c>
      <c r="F2089">
        <v>0.23404317738420699</v>
      </c>
      <c r="G2089">
        <v>0.12514158275616599</v>
      </c>
      <c r="H2089">
        <v>7.5154522915536606E-2</v>
      </c>
      <c r="I2089">
        <v>8.3433644021290804E-2</v>
      </c>
      <c r="J2089">
        <v>0.103943641440662</v>
      </c>
      <c r="K2089">
        <v>9.3486703704891705E-2</v>
      </c>
      <c r="L2089">
        <v>962.06313252835605</v>
      </c>
      <c r="M2089">
        <v>19.4984413261528</v>
      </c>
      <c r="N2089">
        <v>49.751286202286103</v>
      </c>
      <c r="O2089">
        <v>48.830320813014303</v>
      </c>
      <c r="P2089">
        <v>-9.2408765419335306E-2</v>
      </c>
      <c r="Q2089">
        <v>7.4349107230470293E-2</v>
      </c>
      <c r="R2089">
        <v>0.99665199271982796</v>
      </c>
      <c r="S2089" t="s">
        <v>8541</v>
      </c>
      <c r="T2089" t="s">
        <v>12902</v>
      </c>
      <c r="U2089" t="s">
        <v>12902</v>
      </c>
      <c r="V2089" t="s">
        <v>12902</v>
      </c>
      <c r="W2089" t="s">
        <v>14956</v>
      </c>
      <c r="X2089">
        <v>19</v>
      </c>
      <c r="Y2089" t="s">
        <v>21319</v>
      </c>
      <c r="Z2089" t="s">
        <v>27664</v>
      </c>
      <c r="AA2089">
        <v>0.37615542896356291</v>
      </c>
      <c r="AB2089" t="str">
        <f>HYPERLINK("Melting_Curves/meltCurve_P14923_JUP.pdf", "Melting_Curves/meltCurve_P14923_JUP.pdf")</f>
        <v>Melting_Curves/meltCurve_P14923_JUP.pdf</v>
      </c>
    </row>
    <row r="2090" spans="1:28" x14ac:dyDescent="0.25">
      <c r="A2090" t="s">
        <v>2094</v>
      </c>
      <c r="B2090">
        <v>0.99673306730245903</v>
      </c>
      <c r="C2090">
        <v>1.0814365041903899</v>
      </c>
      <c r="D2090">
        <v>0.974537330060117</v>
      </c>
      <c r="E2090">
        <v>0.87141000506530797</v>
      </c>
      <c r="F2090">
        <v>0.77789386740952604</v>
      </c>
      <c r="G2090">
        <v>0.725224935670436</v>
      </c>
      <c r="H2090">
        <v>0.76726074251173404</v>
      </c>
      <c r="I2090">
        <v>1.83018074861601</v>
      </c>
      <c r="J2090">
        <v>3.1198144931379801</v>
      </c>
      <c r="K2090">
        <v>3.1179639998159598</v>
      </c>
      <c r="L2090">
        <v>6820.5571641020397</v>
      </c>
      <c r="M2090">
        <v>109.54295069703799</v>
      </c>
      <c r="O2090">
        <v>62.243015744826302</v>
      </c>
      <c r="P2090">
        <v>0.21999041487997401</v>
      </c>
      <c r="Q2090">
        <v>1.5</v>
      </c>
      <c r="R2090">
        <v>0.30630491244673602</v>
      </c>
      <c r="S2090" t="s">
        <v>8542</v>
      </c>
      <c r="T2090" t="s">
        <v>12902</v>
      </c>
      <c r="U2090" t="s">
        <v>12902</v>
      </c>
      <c r="V2090" t="s">
        <v>12902</v>
      </c>
      <c r="W2090" t="s">
        <v>14957</v>
      </c>
      <c r="X2090">
        <v>14</v>
      </c>
      <c r="Y2090" t="s">
        <v>21320</v>
      </c>
      <c r="Z2090" t="s">
        <v>27665</v>
      </c>
      <c r="AA2090">
        <v>1.128652386519202</v>
      </c>
      <c r="AB2090" t="str">
        <f>HYPERLINK("Melting_Curves/meltCurve_P14927_UQCRB.pdf", "Melting_Curves/meltCurve_P14927_UQCRB.pdf")</f>
        <v>Melting_Curves/meltCurve_P14927_UQCRB.pdf</v>
      </c>
    </row>
    <row r="2091" spans="1:28" x14ac:dyDescent="0.25">
      <c r="A2091" t="s">
        <v>2095</v>
      </c>
      <c r="B2091">
        <v>0.99673306730245903</v>
      </c>
      <c r="C2091">
        <v>0.94505078405342202</v>
      </c>
      <c r="D2091">
        <v>1.1156281146192299</v>
      </c>
      <c r="E2091">
        <v>1.45049484388894</v>
      </c>
      <c r="F2091">
        <v>1.2313789905580901</v>
      </c>
      <c r="G2091">
        <v>1.10729153591356</v>
      </c>
      <c r="H2091">
        <v>0.24037312340656999</v>
      </c>
      <c r="I2091">
        <v>0.21584423210536599</v>
      </c>
      <c r="J2091">
        <v>0.20579515807118601</v>
      </c>
      <c r="K2091">
        <v>0.19677273466415399</v>
      </c>
      <c r="L2091">
        <v>15000</v>
      </c>
      <c r="M2091">
        <v>249.81001508519699</v>
      </c>
      <c r="N2091">
        <v>60.173637582232701</v>
      </c>
      <c r="O2091">
        <v>60.041782785500402</v>
      </c>
      <c r="P2091">
        <v>-0.82573737846655604</v>
      </c>
      <c r="Q2091">
        <v>0.20613680504200399</v>
      </c>
      <c r="R2091">
        <v>0.87214264870957403</v>
      </c>
      <c r="S2091" t="s">
        <v>8543</v>
      </c>
      <c r="T2091" t="s">
        <v>12902</v>
      </c>
      <c r="U2091" t="s">
        <v>12902</v>
      </c>
      <c r="V2091" t="s">
        <v>12902</v>
      </c>
      <c r="W2091" t="s">
        <v>14958</v>
      </c>
      <c r="X2091">
        <v>10</v>
      </c>
      <c r="Y2091" t="s">
        <v>21321</v>
      </c>
      <c r="Z2091" t="s">
        <v>27666</v>
      </c>
      <c r="AA2091">
        <v>0.73667021283653111</v>
      </c>
      <c r="AB2091" t="str">
        <f>HYPERLINK("Melting_Curves/meltCurve_P15104_GLUL.pdf", "Melting_Curves/meltCurve_P15104_GLUL.pdf")</f>
        <v>Melting_Curves/meltCurve_P15104_GLUL.pdf</v>
      </c>
    </row>
    <row r="2092" spans="1:28" x14ac:dyDescent="0.25">
      <c r="A2092" t="s">
        <v>2096</v>
      </c>
      <c r="B2092">
        <v>0.99673306730245903</v>
      </c>
      <c r="C2092">
        <v>0.96629695454471298</v>
      </c>
      <c r="D2092">
        <v>0.91486954654258901</v>
      </c>
      <c r="E2092">
        <v>0.81333299667570702</v>
      </c>
      <c r="F2092">
        <v>0.71891722724496498</v>
      </c>
      <c r="G2092">
        <v>0.61259141080356605</v>
      </c>
      <c r="H2092">
        <v>0.62622015166512901</v>
      </c>
      <c r="I2092">
        <v>0.74065935364110103</v>
      </c>
      <c r="J2092">
        <v>0.76235255882511699</v>
      </c>
      <c r="K2092">
        <v>0.58669940200283299</v>
      </c>
      <c r="L2092">
        <v>1050.3498009364801</v>
      </c>
      <c r="M2092">
        <v>21.612157667486699</v>
      </c>
      <c r="O2092">
        <v>48.189582444844902</v>
      </c>
      <c r="P2092">
        <v>-3.7562543038698201E-2</v>
      </c>
      <c r="Q2092">
        <v>0.66498847428282803</v>
      </c>
      <c r="R2092">
        <v>0.85687354398203297</v>
      </c>
      <c r="S2092" t="s">
        <v>8544</v>
      </c>
      <c r="T2092" t="s">
        <v>12902</v>
      </c>
      <c r="U2092" t="s">
        <v>12902</v>
      </c>
      <c r="V2092" t="s">
        <v>12902</v>
      </c>
      <c r="W2092" t="s">
        <v>14959</v>
      </c>
      <c r="X2092">
        <v>8</v>
      </c>
      <c r="Y2092" t="s">
        <v>21322</v>
      </c>
      <c r="Z2092" t="s">
        <v>27667</v>
      </c>
      <c r="AA2092">
        <v>0.76503785156869786</v>
      </c>
      <c r="AB2092" t="str">
        <f>HYPERLINK("Melting_Curves/meltCurve_P15144_ANPEP.pdf", "Melting_Curves/meltCurve_P15144_ANPEP.pdf")</f>
        <v>Melting_Curves/meltCurve_P15144_ANPEP.pdf</v>
      </c>
    </row>
    <row r="2093" spans="1:28" x14ac:dyDescent="0.25">
      <c r="A2093" t="s">
        <v>2097</v>
      </c>
      <c r="B2093">
        <v>0.99673306730245903</v>
      </c>
      <c r="C2093">
        <v>0.97653281570006101</v>
      </c>
      <c r="D2093">
        <v>0.89181616306341105</v>
      </c>
      <c r="E2093">
        <v>0.77597010496546703</v>
      </c>
      <c r="F2093">
        <v>0.75333185672141301</v>
      </c>
      <c r="G2093">
        <v>0.64269493974418701</v>
      </c>
      <c r="H2093">
        <v>0.49395429035559102</v>
      </c>
      <c r="I2093">
        <v>0.485233258214046</v>
      </c>
      <c r="J2093">
        <v>0.41444372196062601</v>
      </c>
      <c r="K2093">
        <v>0.36285506539895401</v>
      </c>
      <c r="L2093">
        <v>443.822358304945</v>
      </c>
      <c r="M2093">
        <v>7.7136449009622803</v>
      </c>
      <c r="N2093">
        <v>62.025080196359603</v>
      </c>
      <c r="O2093">
        <v>54.053486981042902</v>
      </c>
      <c r="P2093">
        <v>-2.8082783563236201E-2</v>
      </c>
      <c r="Q2093">
        <v>0.21385640059211899</v>
      </c>
      <c r="R2093">
        <v>0.98704802659947199</v>
      </c>
      <c r="S2093" t="s">
        <v>8545</v>
      </c>
      <c r="T2093" t="s">
        <v>12902</v>
      </c>
      <c r="U2093" t="s">
        <v>12902</v>
      </c>
      <c r="V2093" t="s">
        <v>12902</v>
      </c>
      <c r="W2093" t="s">
        <v>14960</v>
      </c>
      <c r="X2093">
        <v>5</v>
      </c>
      <c r="Y2093" t="s">
        <v>21323</v>
      </c>
      <c r="Z2093" t="s">
        <v>27668</v>
      </c>
      <c r="AA2093">
        <v>0.67847088762804664</v>
      </c>
      <c r="AB2093" t="str">
        <f>HYPERLINK("Melting_Curves/meltCurve_P15151_3_PVR.pdf", "Melting_Curves/meltCurve_P15151_3_PVR.pdf")</f>
        <v>Melting_Curves/meltCurve_P15151_3_PVR.pdf</v>
      </c>
    </row>
    <row r="2094" spans="1:28" x14ac:dyDescent="0.25">
      <c r="A2094" t="s">
        <v>2098</v>
      </c>
      <c r="B2094">
        <v>0.99673306730245903</v>
      </c>
      <c r="C2094">
        <v>0.920495888922084</v>
      </c>
      <c r="D2094">
        <v>0.852205166011195</v>
      </c>
      <c r="E2094">
        <v>0.96952248036297195</v>
      </c>
      <c r="F2094">
        <v>0.613932015846121</v>
      </c>
      <c r="G2094">
        <v>0.19617915968636701</v>
      </c>
      <c r="H2094">
        <v>7.2412113035449102E-2</v>
      </c>
      <c r="I2094">
        <v>6.3527911721260502E-2</v>
      </c>
      <c r="J2094">
        <v>6.10423350292661E-2</v>
      </c>
      <c r="K2094">
        <v>5.3136098048356797E-2</v>
      </c>
      <c r="L2094">
        <v>1794.4308948744001</v>
      </c>
      <c r="M2094">
        <v>33.348499737798797</v>
      </c>
      <c r="N2094">
        <v>54.001076789448902</v>
      </c>
      <c r="O2094">
        <v>53.616058452970002</v>
      </c>
      <c r="P2094">
        <v>-0.146777267872477</v>
      </c>
      <c r="Q2094">
        <v>5.6079215864750398E-2</v>
      </c>
      <c r="R2094">
        <v>0.98303770211909003</v>
      </c>
      <c r="S2094" t="s">
        <v>8546</v>
      </c>
      <c r="T2094" t="s">
        <v>12902</v>
      </c>
      <c r="U2094" t="s">
        <v>12902</v>
      </c>
      <c r="V2094" t="s">
        <v>12902</v>
      </c>
      <c r="W2094" t="s">
        <v>14961</v>
      </c>
      <c r="X2094">
        <v>31</v>
      </c>
      <c r="Y2094" t="s">
        <v>21324</v>
      </c>
      <c r="Z2094" t="s">
        <v>27669</v>
      </c>
      <c r="AA2094">
        <v>0.49557933564487938</v>
      </c>
      <c r="AB2094" t="str">
        <f>HYPERLINK("Melting_Curves/meltCurve_P15170_2_GSPT1.pdf", "Melting_Curves/meltCurve_P15170_2_GSPT1.pdf")</f>
        <v>Melting_Curves/meltCurve_P15170_2_GSPT1.pdf</v>
      </c>
    </row>
    <row r="2095" spans="1:28" x14ac:dyDescent="0.25">
      <c r="A2095" t="s">
        <v>2099</v>
      </c>
      <c r="B2095">
        <v>0.99673306730245903</v>
      </c>
      <c r="C2095">
        <v>1.0257647832677399</v>
      </c>
      <c r="D2095">
        <v>1.03357613177874</v>
      </c>
      <c r="E2095">
        <v>0.97903835326522104</v>
      </c>
      <c r="F2095">
        <v>0.90049496688514297</v>
      </c>
      <c r="G2095">
        <v>0.72146255896525002</v>
      </c>
      <c r="H2095">
        <v>0.56264440500422397</v>
      </c>
      <c r="I2095">
        <v>0.59924966794173196</v>
      </c>
      <c r="J2095">
        <v>0.64674020245923103</v>
      </c>
      <c r="K2095">
        <v>0.35741424470406902</v>
      </c>
      <c r="L2095">
        <v>1031.82550413788</v>
      </c>
      <c r="M2095">
        <v>18.1511850768456</v>
      </c>
      <c r="N2095">
        <v>69.845478842225006</v>
      </c>
      <c r="O2095">
        <v>56.169643830528997</v>
      </c>
      <c r="P2095">
        <v>-4.1773415439921399E-2</v>
      </c>
      <c r="Q2095">
        <v>0.48294578648987302</v>
      </c>
      <c r="R2095">
        <v>0.908593305309911</v>
      </c>
      <c r="S2095" t="s">
        <v>8547</v>
      </c>
      <c r="T2095" t="s">
        <v>12902</v>
      </c>
      <c r="U2095" t="s">
        <v>12902</v>
      </c>
      <c r="V2095" t="s">
        <v>12902</v>
      </c>
      <c r="W2095" t="s">
        <v>14962</v>
      </c>
      <c r="X2095">
        <v>4</v>
      </c>
      <c r="Y2095" t="s">
        <v>21325</v>
      </c>
      <c r="Z2095" t="s">
        <v>27670</v>
      </c>
      <c r="AA2095">
        <v>0.78041668390605901</v>
      </c>
      <c r="AB2095" t="str">
        <f>HYPERLINK("Melting_Curves/meltCurve_P15289_ARSA.pdf", "Melting_Curves/meltCurve_P15289_ARSA.pdf")</f>
        <v>Melting_Curves/meltCurve_P15289_ARSA.pdf</v>
      </c>
    </row>
    <row r="2096" spans="1:28" x14ac:dyDescent="0.25">
      <c r="A2096" t="s">
        <v>2100</v>
      </c>
      <c r="B2096">
        <v>0.99673306730245903</v>
      </c>
      <c r="C2096">
        <v>0.93825974008616397</v>
      </c>
      <c r="D2096">
        <v>0.84997061291971598</v>
      </c>
      <c r="E2096">
        <v>0.68723394195958798</v>
      </c>
      <c r="F2096">
        <v>0.324683302344004</v>
      </c>
      <c r="G2096">
        <v>0.16015623108815699</v>
      </c>
      <c r="H2096">
        <v>6.1133922669700198E-2</v>
      </c>
      <c r="I2096">
        <v>7.8793992553684897E-2</v>
      </c>
      <c r="J2096">
        <v>8.4672133435378896E-2</v>
      </c>
      <c r="K2096">
        <v>7.5594731512490798E-2</v>
      </c>
      <c r="L2096">
        <v>981.51097516613595</v>
      </c>
      <c r="M2096">
        <v>19.2896875846094</v>
      </c>
      <c r="N2096">
        <v>51.197941899852403</v>
      </c>
      <c r="O2096">
        <v>50.345298506336498</v>
      </c>
      <c r="P2096">
        <v>-9.0426396422372907E-2</v>
      </c>
      <c r="Q2096">
        <v>5.5998753995102797E-2</v>
      </c>
      <c r="R2096">
        <v>0.99495521639165696</v>
      </c>
      <c r="S2096" t="s">
        <v>8548</v>
      </c>
      <c r="T2096" t="s">
        <v>12902</v>
      </c>
      <c r="U2096" t="s">
        <v>12902</v>
      </c>
      <c r="V2096" t="s">
        <v>12902</v>
      </c>
      <c r="W2096" t="s">
        <v>14963</v>
      </c>
      <c r="X2096">
        <v>1</v>
      </c>
      <c r="Y2096" t="s">
        <v>21326</v>
      </c>
      <c r="Z2096" t="s">
        <v>27671</v>
      </c>
      <c r="AA2096">
        <v>0.41246618399766738</v>
      </c>
      <c r="AB2096" t="str">
        <f>HYPERLINK("Melting_Curves/meltCurve_P15291_2_B4GALT1.pdf", "Melting_Curves/meltCurve_P15291_2_B4GALT1.pdf")</f>
        <v>Melting_Curves/meltCurve_P15291_2_B4GALT1.pdf</v>
      </c>
    </row>
    <row r="2097" spans="1:28" x14ac:dyDescent="0.25">
      <c r="A2097" t="s">
        <v>2101</v>
      </c>
      <c r="B2097">
        <v>0.99673306730245903</v>
      </c>
      <c r="C2097">
        <v>1.11286174407801</v>
      </c>
      <c r="D2097">
        <v>0.73094770232457595</v>
      </c>
      <c r="E2097">
        <v>0.87591752319361804</v>
      </c>
      <c r="F2097">
        <v>0.20342945244486699</v>
      </c>
      <c r="G2097">
        <v>0.13383680880891199</v>
      </c>
      <c r="H2097">
        <v>6.5355053574656402E-2</v>
      </c>
      <c r="I2097">
        <v>6.2665905928830798E-2</v>
      </c>
      <c r="J2097">
        <v>7.3238275605377795E-2</v>
      </c>
      <c r="K2097">
        <v>6.6280594176810495E-2</v>
      </c>
      <c r="L2097">
        <v>2503.4489777121298</v>
      </c>
      <c r="M2097">
        <v>48.7677064918079</v>
      </c>
      <c r="N2097">
        <v>51.509161959524</v>
      </c>
      <c r="O2097">
        <v>51.2480567809327</v>
      </c>
      <c r="P2097">
        <v>-0.21973818567880901</v>
      </c>
      <c r="Q2097">
        <v>7.6344124968625096E-2</v>
      </c>
      <c r="R2097">
        <v>0.950211146128077</v>
      </c>
      <c r="S2097" t="s">
        <v>8549</v>
      </c>
      <c r="T2097" t="s">
        <v>12902</v>
      </c>
      <c r="U2097" t="s">
        <v>12902</v>
      </c>
      <c r="V2097" t="s">
        <v>12902</v>
      </c>
      <c r="W2097" t="s">
        <v>14964</v>
      </c>
      <c r="X2097">
        <v>64</v>
      </c>
      <c r="Y2097" t="s">
        <v>21327</v>
      </c>
      <c r="Z2097" t="s">
        <v>27672</v>
      </c>
      <c r="AA2097">
        <v>0.42750511521470858</v>
      </c>
      <c r="AB2097" t="str">
        <f>HYPERLINK("Melting_Curves/meltCurve_P15311_EZR.pdf", "Melting_Curves/meltCurve_P15311_EZR.pdf")</f>
        <v>Melting_Curves/meltCurve_P15311_EZR.pdf</v>
      </c>
    </row>
    <row r="2098" spans="1:28" x14ac:dyDescent="0.25">
      <c r="A2098" t="s">
        <v>2102</v>
      </c>
      <c r="B2098">
        <v>0.99673306730245903</v>
      </c>
      <c r="C2098">
        <v>1.01417443058609</v>
      </c>
      <c r="D2098">
        <v>0.93801975873277399</v>
      </c>
      <c r="E2098">
        <v>0.81603889804324703</v>
      </c>
      <c r="F2098">
        <v>0.31431074762858302</v>
      </c>
      <c r="G2098">
        <v>0.17599807567001699</v>
      </c>
      <c r="H2098">
        <v>0.10239527716961699</v>
      </c>
      <c r="I2098">
        <v>8.6978991889121796E-2</v>
      </c>
      <c r="J2098">
        <v>8.98311840071402E-2</v>
      </c>
      <c r="K2098">
        <v>7.8515320668514799E-2</v>
      </c>
      <c r="L2098">
        <v>1646.0019748408299</v>
      </c>
      <c r="M2098">
        <v>31.9441527213562</v>
      </c>
      <c r="N2098">
        <v>51.861898528447</v>
      </c>
      <c r="O2098">
        <v>51.3268205759232</v>
      </c>
      <c r="P2098">
        <v>-0.141110970600207</v>
      </c>
      <c r="Q2098">
        <v>9.3074717702419804E-2</v>
      </c>
      <c r="R2098">
        <v>0.99704868290836701</v>
      </c>
      <c r="S2098" t="s">
        <v>8550</v>
      </c>
      <c r="T2098" t="s">
        <v>12902</v>
      </c>
      <c r="U2098" t="s">
        <v>12902</v>
      </c>
      <c r="V2098" t="s">
        <v>12902</v>
      </c>
      <c r="W2098" t="s">
        <v>14965</v>
      </c>
      <c r="X2098">
        <v>21</v>
      </c>
      <c r="Y2098" t="s">
        <v>21328</v>
      </c>
      <c r="Z2098" t="s">
        <v>27673</v>
      </c>
      <c r="AA2098">
        <v>0.44663397600924942</v>
      </c>
      <c r="AB2098" t="str">
        <f>HYPERLINK("Melting_Curves/meltCurve_P15374_UCHL3.pdf", "Melting_Curves/meltCurve_P15374_UCHL3.pdf")</f>
        <v>Melting_Curves/meltCurve_P15374_UCHL3.pdf</v>
      </c>
    </row>
    <row r="2099" spans="1:28" x14ac:dyDescent="0.25">
      <c r="A2099" t="s">
        <v>2103</v>
      </c>
      <c r="B2099">
        <v>0.99673306730245903</v>
      </c>
      <c r="C2099">
        <v>0.95136255536865599</v>
      </c>
      <c r="D2099">
        <v>0.731760317726868</v>
      </c>
      <c r="E2099">
        <v>0.70158651228440005</v>
      </c>
      <c r="F2099">
        <v>0.49595340810956701</v>
      </c>
      <c r="G2099">
        <v>0.39801810531769599</v>
      </c>
      <c r="H2099">
        <v>0.304283637009582</v>
      </c>
      <c r="I2099">
        <v>0.39023545184508501</v>
      </c>
      <c r="J2099">
        <v>0.69511020470583695</v>
      </c>
      <c r="K2099">
        <v>0.93869330766294101</v>
      </c>
      <c r="L2099">
        <v>1148.96606320981</v>
      </c>
      <c r="M2099">
        <v>24.998196966308502</v>
      </c>
      <c r="O2099">
        <v>45.670858915742798</v>
      </c>
      <c r="P2099">
        <v>-6.2260068614771499E-2</v>
      </c>
      <c r="Q2099">
        <v>0.54501797587502399</v>
      </c>
      <c r="R2099">
        <v>0.48637136796124802</v>
      </c>
      <c r="S2099" t="s">
        <v>8551</v>
      </c>
      <c r="T2099" t="s">
        <v>12902</v>
      </c>
      <c r="U2099" t="s">
        <v>12902</v>
      </c>
      <c r="V2099" t="s">
        <v>12902</v>
      </c>
      <c r="W2099" t="s">
        <v>14966</v>
      </c>
      <c r="X2099">
        <v>2</v>
      </c>
      <c r="Y2099" t="s">
        <v>21329</v>
      </c>
      <c r="Z2099" t="s">
        <v>27674</v>
      </c>
      <c r="AA2099">
        <v>0.63964961344437143</v>
      </c>
      <c r="AB2099" t="str">
        <f>HYPERLINK("Melting_Curves/meltCurve_P15407_FOSL1.pdf", "Melting_Curves/meltCurve_P15407_FOSL1.pdf")</f>
        <v>Melting_Curves/meltCurve_P15407_FOSL1.pdf</v>
      </c>
    </row>
    <row r="2100" spans="1:28" x14ac:dyDescent="0.25">
      <c r="A2100" t="s">
        <v>2104</v>
      </c>
      <c r="B2100">
        <v>0.99673306730245903</v>
      </c>
      <c r="C2100">
        <v>0.91515632937625102</v>
      </c>
      <c r="D2100">
        <v>0.89758915084250501</v>
      </c>
      <c r="E2100">
        <v>0.81763566692258405</v>
      </c>
      <c r="F2100">
        <v>0.67682530183707001</v>
      </c>
      <c r="G2100">
        <v>0.62266121260129803</v>
      </c>
      <c r="H2100">
        <v>0.45259034474612397</v>
      </c>
      <c r="I2100">
        <v>0.47292174581690499</v>
      </c>
      <c r="J2100">
        <v>0.32712057183045601</v>
      </c>
      <c r="K2100">
        <v>0.25296896759996601</v>
      </c>
      <c r="L2100">
        <v>404.443613282885</v>
      </c>
      <c r="M2100">
        <v>6.7078939019507198</v>
      </c>
      <c r="N2100">
        <v>60.293680841235101</v>
      </c>
      <c r="O2100">
        <v>55.613128229849799</v>
      </c>
      <c r="P2100">
        <v>-3.0219589863194299E-2</v>
      </c>
      <c r="Q2100">
        <v>0</v>
      </c>
      <c r="R2100">
        <v>0.98391411479747404</v>
      </c>
      <c r="S2100" t="s">
        <v>8552</v>
      </c>
      <c r="T2100" t="s">
        <v>12902</v>
      </c>
      <c r="U2100" t="s">
        <v>12902</v>
      </c>
      <c r="V2100" t="s">
        <v>12902</v>
      </c>
      <c r="W2100" t="s">
        <v>14967</v>
      </c>
      <c r="X2100">
        <v>7</v>
      </c>
      <c r="Y2100" t="s">
        <v>21330</v>
      </c>
      <c r="Z2100" t="s">
        <v>27675</v>
      </c>
      <c r="AA2100">
        <v>0.64675708192819958</v>
      </c>
      <c r="AB2100" t="str">
        <f>HYPERLINK("Melting_Curves/meltCurve_P15529_7_CD46.pdf", "Melting_Curves/meltCurve_P15529_7_CD46.pdf")</f>
        <v>Melting_Curves/meltCurve_P15529_7_CD46.pdf</v>
      </c>
    </row>
    <row r="2101" spans="1:28" x14ac:dyDescent="0.25">
      <c r="A2101" t="s">
        <v>2105</v>
      </c>
      <c r="B2101">
        <v>0.99673306730245903</v>
      </c>
      <c r="C2101">
        <v>0.99209951209049096</v>
      </c>
      <c r="D2101">
        <v>1.0482852951194299</v>
      </c>
      <c r="E2101">
        <v>1.07111419409274</v>
      </c>
      <c r="F2101">
        <v>0.92981015675303802</v>
      </c>
      <c r="G2101">
        <v>0.81381940776184902</v>
      </c>
      <c r="H2101">
        <v>0.67900205890971199</v>
      </c>
      <c r="I2101">
        <v>0.96782120291149198</v>
      </c>
      <c r="J2101">
        <v>0.62652798962797895</v>
      </c>
      <c r="K2101">
        <v>0.422917828758061</v>
      </c>
      <c r="L2101">
        <v>687.23143032768201</v>
      </c>
      <c r="M2101">
        <v>9.7671601202322709</v>
      </c>
      <c r="O2101">
        <v>67.602075221655497</v>
      </c>
      <c r="P2101">
        <v>-3.6139265763621503E-2</v>
      </c>
      <c r="Q2101">
        <v>0</v>
      </c>
      <c r="R2101">
        <v>0.73674376360633298</v>
      </c>
      <c r="S2101" t="s">
        <v>8553</v>
      </c>
      <c r="T2101" t="s">
        <v>12902</v>
      </c>
      <c r="U2101" t="s">
        <v>12902</v>
      </c>
      <c r="V2101" t="s">
        <v>12902</v>
      </c>
      <c r="W2101" t="s">
        <v>14968</v>
      </c>
      <c r="X2101">
        <v>14</v>
      </c>
      <c r="Y2101" t="s">
        <v>21331</v>
      </c>
      <c r="Z2101" t="s">
        <v>27676</v>
      </c>
      <c r="AA2101">
        <v>0.87028955994704904</v>
      </c>
      <c r="AB2101" t="str">
        <f>HYPERLINK("Melting_Curves/meltCurve_P15531_NME1.pdf", "Melting_Curves/meltCurve_P15531_NME1.pdf")</f>
        <v>Melting_Curves/meltCurve_P15531_NME1.pdf</v>
      </c>
    </row>
    <row r="2102" spans="1:28" x14ac:dyDescent="0.25">
      <c r="A2102" t="s">
        <v>2106</v>
      </c>
      <c r="B2102">
        <v>0.99673306730245903</v>
      </c>
      <c r="C2102">
        <v>0.98275832780926498</v>
      </c>
      <c r="D2102">
        <v>0.93021892039531695</v>
      </c>
      <c r="E2102">
        <v>0.82086893910452896</v>
      </c>
      <c r="F2102">
        <v>0.69182176783805704</v>
      </c>
      <c r="G2102">
        <v>0.57420045930205699</v>
      </c>
      <c r="H2102">
        <v>0.43706468292366701</v>
      </c>
      <c r="I2102">
        <v>0.49322458574855099</v>
      </c>
      <c r="J2102">
        <v>0.43660334005337798</v>
      </c>
      <c r="K2102">
        <v>0.26156339104029602</v>
      </c>
      <c r="L2102">
        <v>557.48120532565702</v>
      </c>
      <c r="M2102">
        <v>10.088611067082599</v>
      </c>
      <c r="N2102">
        <v>59.842857708719499</v>
      </c>
      <c r="O2102">
        <v>53.219100214113602</v>
      </c>
      <c r="P2102">
        <v>-3.4652436067084701E-2</v>
      </c>
      <c r="Q2102">
        <v>0.26915423730827698</v>
      </c>
      <c r="R2102">
        <v>0.96755882360942203</v>
      </c>
      <c r="S2102" t="s">
        <v>8554</v>
      </c>
      <c r="T2102" t="s">
        <v>12902</v>
      </c>
      <c r="U2102" t="s">
        <v>12902</v>
      </c>
      <c r="V2102" t="s">
        <v>12902</v>
      </c>
      <c r="W2102" t="s">
        <v>14969</v>
      </c>
      <c r="X2102">
        <v>7</v>
      </c>
      <c r="Y2102" t="s">
        <v>21332</v>
      </c>
      <c r="Z2102" t="s">
        <v>27677</v>
      </c>
      <c r="AA2102">
        <v>0.65886439827084009</v>
      </c>
      <c r="AB2102" t="str">
        <f>HYPERLINK("Melting_Curves/meltCurve_P15848_ARSB.pdf", "Melting_Curves/meltCurve_P15848_ARSB.pdf")</f>
        <v>Melting_Curves/meltCurve_P15848_ARSB.pdf</v>
      </c>
    </row>
    <row r="2103" spans="1:28" x14ac:dyDescent="0.25">
      <c r="A2103" t="s">
        <v>2107</v>
      </c>
      <c r="B2103">
        <v>0.99673306730245903</v>
      </c>
      <c r="C2103">
        <v>1.0038940775262699</v>
      </c>
      <c r="D2103">
        <v>0.95543735037593003</v>
      </c>
      <c r="E2103">
        <v>0.92704067911297705</v>
      </c>
      <c r="F2103">
        <v>0.55505801250068398</v>
      </c>
      <c r="G2103">
        <v>0.35326705073869902</v>
      </c>
      <c r="H2103">
        <v>0.12539531483792599</v>
      </c>
      <c r="I2103">
        <v>9.3279996546412003E-2</v>
      </c>
      <c r="J2103">
        <v>0.110072619143066</v>
      </c>
      <c r="K2103">
        <v>9.5506820331537401E-2</v>
      </c>
      <c r="L2103">
        <v>1194.0587518617999</v>
      </c>
      <c r="M2103">
        <v>22.178976166665201</v>
      </c>
      <c r="N2103">
        <v>54.292235258038801</v>
      </c>
      <c r="O2103">
        <v>53.405473005677599</v>
      </c>
      <c r="P2103">
        <v>-9.5023443263511004E-2</v>
      </c>
      <c r="Q2103">
        <v>8.4779730120800006E-2</v>
      </c>
      <c r="R2103">
        <v>0.99426539109778</v>
      </c>
      <c r="S2103" t="s">
        <v>8555</v>
      </c>
      <c r="T2103" t="s">
        <v>12902</v>
      </c>
      <c r="U2103" t="s">
        <v>12902</v>
      </c>
      <c r="V2103" t="s">
        <v>12902</v>
      </c>
      <c r="W2103" t="s">
        <v>14970</v>
      </c>
      <c r="X2103">
        <v>12</v>
      </c>
      <c r="Y2103" t="s">
        <v>21333</v>
      </c>
      <c r="Z2103" t="s">
        <v>27678</v>
      </c>
      <c r="AA2103">
        <v>0.51740249373541036</v>
      </c>
      <c r="AB2103" t="str">
        <f>HYPERLINK("Melting_Curves/meltCurve_P15880_RPS2.pdf", "Melting_Curves/meltCurve_P15880_RPS2.pdf")</f>
        <v>Melting_Curves/meltCurve_P15880_RPS2.pdf</v>
      </c>
    </row>
    <row r="2104" spans="1:28" x14ac:dyDescent="0.25">
      <c r="A2104" t="s">
        <v>2108</v>
      </c>
      <c r="B2104">
        <v>0.99673306730245903</v>
      </c>
      <c r="C2104">
        <v>0.767187912261867</v>
      </c>
      <c r="D2104">
        <v>0.28732476327596101</v>
      </c>
      <c r="E2104">
        <v>0.165866169910941</v>
      </c>
      <c r="F2104">
        <v>0.107584329793073</v>
      </c>
      <c r="G2104">
        <v>7.1685399986667994E-2</v>
      </c>
      <c r="H2104">
        <v>4.80543361746689E-2</v>
      </c>
      <c r="I2104">
        <v>4.8114269817375398E-2</v>
      </c>
      <c r="J2104">
        <v>5.5982261719337997E-2</v>
      </c>
      <c r="K2104">
        <v>5.2491878148936202E-2</v>
      </c>
      <c r="L2104">
        <v>1361.30949681793</v>
      </c>
      <c r="M2104">
        <v>30.657918180936999</v>
      </c>
      <c r="N2104">
        <v>44.622759577051497</v>
      </c>
      <c r="O2104">
        <v>44.2155553991429</v>
      </c>
      <c r="P2104">
        <v>-0.16120836483617301</v>
      </c>
      <c r="Q2104">
        <v>7.0011895806641494E-2</v>
      </c>
      <c r="R2104">
        <v>0.99300415506709805</v>
      </c>
      <c r="S2104" t="s">
        <v>8556</v>
      </c>
      <c r="T2104" t="s">
        <v>12902</v>
      </c>
      <c r="U2104" t="s">
        <v>12902</v>
      </c>
      <c r="V2104" t="s">
        <v>12902</v>
      </c>
      <c r="W2104" t="s">
        <v>14971</v>
      </c>
      <c r="X2104">
        <v>187</v>
      </c>
      <c r="Y2104" t="s">
        <v>21334</v>
      </c>
      <c r="Z2104" t="s">
        <v>27679</v>
      </c>
      <c r="AA2104">
        <v>0.21255798610627111</v>
      </c>
      <c r="AB2104" t="str">
        <f>HYPERLINK("Melting_Curves/meltCurve_P15924_DSP.pdf", "Melting_Curves/meltCurve_P15924_DSP.pdf")</f>
        <v>Melting_Curves/meltCurve_P15924_DSP.pdf</v>
      </c>
    </row>
    <row r="2105" spans="1:28" x14ac:dyDescent="0.25">
      <c r="A2105" t="s">
        <v>2109</v>
      </c>
      <c r="B2105">
        <v>0.99673306730245903</v>
      </c>
      <c r="C2105">
        <v>0.96345475955027404</v>
      </c>
      <c r="D2105">
        <v>1.02026869069254</v>
      </c>
      <c r="E2105">
        <v>1.0785940440819</v>
      </c>
      <c r="F2105">
        <v>1.29213670480345</v>
      </c>
      <c r="G2105">
        <v>1.46018906528529</v>
      </c>
      <c r="H2105">
        <v>0.47245130263663399</v>
      </c>
      <c r="I2105">
        <v>0.18150775564544699</v>
      </c>
      <c r="J2105">
        <v>0.127378134119005</v>
      </c>
      <c r="K2105">
        <v>0.102391267429885</v>
      </c>
      <c r="L2105">
        <v>10676.3290161676</v>
      </c>
      <c r="M2105">
        <v>176.050300673165</v>
      </c>
      <c r="N2105">
        <v>60.754183989783797</v>
      </c>
      <c r="O2105">
        <v>60.635802910465301</v>
      </c>
      <c r="P2105">
        <v>-0.62636792873875202</v>
      </c>
      <c r="Q2105">
        <v>0.137057481757794</v>
      </c>
      <c r="R2105">
        <v>0.86531526874666898</v>
      </c>
      <c r="S2105" t="s">
        <v>8557</v>
      </c>
      <c r="T2105" t="s">
        <v>12902</v>
      </c>
      <c r="U2105" t="s">
        <v>12902</v>
      </c>
      <c r="V2105" t="s">
        <v>12902</v>
      </c>
      <c r="W2105" t="s">
        <v>14972</v>
      </c>
      <c r="X2105">
        <v>7</v>
      </c>
      <c r="Y2105" t="s">
        <v>21335</v>
      </c>
      <c r="Z2105" t="s">
        <v>27680</v>
      </c>
      <c r="AA2105">
        <v>0.7310515488786552</v>
      </c>
      <c r="AB2105" t="str">
        <f>HYPERLINK("Melting_Curves/meltCurve_P15927_RPA2.pdf", "Melting_Curves/meltCurve_P15927_RPA2.pdf")</f>
        <v>Melting_Curves/meltCurve_P15927_RPA2.pdf</v>
      </c>
    </row>
    <row r="2106" spans="1:28" x14ac:dyDescent="0.25">
      <c r="A2106" t="s">
        <v>2110</v>
      </c>
      <c r="B2106">
        <v>0.99673306730245903</v>
      </c>
      <c r="C2106">
        <v>1.1392447816659701</v>
      </c>
      <c r="D2106">
        <v>1.0343634052574799</v>
      </c>
      <c r="E2106">
        <v>1.21946331298676</v>
      </c>
      <c r="F2106">
        <v>1.0742562239331701</v>
      </c>
      <c r="G2106">
        <v>1.0699305718218199</v>
      </c>
      <c r="H2106">
        <v>0.94996353823122803</v>
      </c>
      <c r="I2106">
        <v>2.59846528500921</v>
      </c>
      <c r="J2106">
        <v>2.71493749447469</v>
      </c>
      <c r="K2106">
        <v>3.3908626917559102</v>
      </c>
      <c r="L2106">
        <v>15000</v>
      </c>
      <c r="M2106">
        <v>242.05144248955401</v>
      </c>
      <c r="O2106">
        <v>61.966067539264401</v>
      </c>
      <c r="P2106">
        <v>0.48827417266876399</v>
      </c>
      <c r="Q2106">
        <v>1.5</v>
      </c>
      <c r="R2106">
        <v>0.15055887718855901</v>
      </c>
      <c r="S2106" t="s">
        <v>8558</v>
      </c>
      <c r="T2106" t="s">
        <v>12902</v>
      </c>
      <c r="U2106" t="s">
        <v>12902</v>
      </c>
      <c r="V2106" t="s">
        <v>12902</v>
      </c>
      <c r="W2106" t="s">
        <v>14973</v>
      </c>
      <c r="X2106">
        <v>5</v>
      </c>
      <c r="Y2106" t="s">
        <v>21336</v>
      </c>
      <c r="Z2106" t="s">
        <v>27681</v>
      </c>
      <c r="AA2106">
        <v>1.1337703588675601</v>
      </c>
      <c r="AB2106" t="str">
        <f>HYPERLINK("Melting_Curves/meltCurve_P15954_COX7C.pdf", "Melting_Curves/meltCurve_P15954_COX7C.pdf")</f>
        <v>Melting_Curves/meltCurve_P15954_COX7C.pdf</v>
      </c>
    </row>
    <row r="2107" spans="1:28" x14ac:dyDescent="0.25">
      <c r="A2107" t="s">
        <v>2111</v>
      </c>
      <c r="B2107">
        <v>0.99673306730245903</v>
      </c>
      <c r="C2107">
        <v>0.89385928844208895</v>
      </c>
      <c r="D2107">
        <v>0.73136889646466996</v>
      </c>
      <c r="E2107">
        <v>0.44555942003417598</v>
      </c>
      <c r="F2107">
        <v>0.25306130804920501</v>
      </c>
      <c r="G2107">
        <v>0.150055168649844</v>
      </c>
      <c r="H2107">
        <v>9.8677412049740301E-2</v>
      </c>
      <c r="I2107">
        <v>8.15147110250872E-2</v>
      </c>
      <c r="J2107">
        <v>9.2142427175680594E-2</v>
      </c>
      <c r="K2107">
        <v>7.9447010048786404E-2</v>
      </c>
      <c r="L2107">
        <v>803.82187869424899</v>
      </c>
      <c r="M2107">
        <v>16.586623953186901</v>
      </c>
      <c r="N2107">
        <v>48.932995607375602</v>
      </c>
      <c r="O2107">
        <v>47.774082911353503</v>
      </c>
      <c r="P2107">
        <v>-8.0399522776737606E-2</v>
      </c>
      <c r="Q2107">
        <v>7.3771680490589797E-2</v>
      </c>
      <c r="R2107">
        <v>0.999224083563791</v>
      </c>
      <c r="S2107" t="s">
        <v>8559</v>
      </c>
      <c r="T2107" t="s">
        <v>12902</v>
      </c>
      <c r="U2107" t="s">
        <v>12902</v>
      </c>
      <c r="V2107" t="s">
        <v>12902</v>
      </c>
      <c r="W2107" t="s">
        <v>14974</v>
      </c>
      <c r="X2107">
        <v>37</v>
      </c>
      <c r="Y2107" t="s">
        <v>21337</v>
      </c>
      <c r="Z2107" t="s">
        <v>27682</v>
      </c>
      <c r="AA2107">
        <v>0.35418370540947541</v>
      </c>
      <c r="AB2107" t="str">
        <f>HYPERLINK("Melting_Curves/meltCurve_P16144_2_ITGB4.pdf", "Melting_Curves/meltCurve_P16144_2_ITGB4.pdf")</f>
        <v>Melting_Curves/meltCurve_P16144_2_ITGB4.pdf</v>
      </c>
    </row>
    <row r="2108" spans="1:28" x14ac:dyDescent="0.25">
      <c r="A2108" t="s">
        <v>2112</v>
      </c>
      <c r="B2108">
        <v>0.99673306730245903</v>
      </c>
      <c r="C2108">
        <v>0.97816790857434999</v>
      </c>
      <c r="D2108">
        <v>1.02869961466982</v>
      </c>
      <c r="E2108">
        <v>0.93456120713831103</v>
      </c>
      <c r="F2108">
        <v>0.65907057856096996</v>
      </c>
      <c r="G2108">
        <v>0.28230482202960899</v>
      </c>
      <c r="H2108">
        <v>9.4609819188969296E-2</v>
      </c>
      <c r="I2108">
        <v>8.6975103917783597E-2</v>
      </c>
      <c r="J2108">
        <v>7.9796114436506596E-2</v>
      </c>
      <c r="K2108">
        <v>6.7567895987089094E-2</v>
      </c>
      <c r="L2108">
        <v>1528.86826579797</v>
      </c>
      <c r="M2108">
        <v>28.1745470623298</v>
      </c>
      <c r="N2108">
        <v>54.548341287878003</v>
      </c>
      <c r="O2108">
        <v>53.993001949868798</v>
      </c>
      <c r="P2108">
        <v>-0.12155112913409501</v>
      </c>
      <c r="Q2108">
        <v>6.8257552472037603E-2</v>
      </c>
      <c r="R2108">
        <v>0.99876261394155597</v>
      </c>
      <c r="S2108" t="s">
        <v>8560</v>
      </c>
      <c r="T2108" t="s">
        <v>12902</v>
      </c>
      <c r="U2108" t="s">
        <v>12902</v>
      </c>
      <c r="V2108" t="s">
        <v>12902</v>
      </c>
      <c r="W2108" t="s">
        <v>14975</v>
      </c>
      <c r="X2108">
        <v>24</v>
      </c>
      <c r="Y2108" t="s">
        <v>21338</v>
      </c>
      <c r="Z2108" t="s">
        <v>27683</v>
      </c>
      <c r="AA2108">
        <v>0.51819247581456906</v>
      </c>
      <c r="AB2108" t="str">
        <f>HYPERLINK("Melting_Curves/meltCurve_P16152_CBR1.pdf", "Melting_Curves/meltCurve_P16152_CBR1.pdf")</f>
        <v>Melting_Curves/meltCurve_P16152_CBR1.pdf</v>
      </c>
    </row>
    <row r="2109" spans="1:28" x14ac:dyDescent="0.25">
      <c r="A2109" t="s">
        <v>2113</v>
      </c>
      <c r="B2109">
        <v>0.99673306730245903</v>
      </c>
      <c r="C2109">
        <v>0.962611582133588</v>
      </c>
      <c r="D2109">
        <v>0.889792797240476</v>
      </c>
      <c r="E2109">
        <v>0.67434870019706705</v>
      </c>
      <c r="F2109">
        <v>0.50748187555039403</v>
      </c>
      <c r="G2109">
        <v>0.393540425617326</v>
      </c>
      <c r="H2109">
        <v>0.28220723224205102</v>
      </c>
      <c r="I2109">
        <v>0.23884579409262899</v>
      </c>
      <c r="J2109">
        <v>0.20267158588437301</v>
      </c>
      <c r="K2109">
        <v>0.149050600324274</v>
      </c>
      <c r="L2109">
        <v>646.83740340484496</v>
      </c>
      <c r="M2109">
        <v>12.3992542529573</v>
      </c>
      <c r="N2109">
        <v>53.658348356754502</v>
      </c>
      <c r="O2109">
        <v>50.8662313946338</v>
      </c>
      <c r="P2109">
        <v>-5.2071451375484898E-2</v>
      </c>
      <c r="Q2109">
        <v>0.14571758700274701</v>
      </c>
      <c r="R2109">
        <v>0.995711958228922</v>
      </c>
      <c r="S2109" t="s">
        <v>8561</v>
      </c>
      <c r="T2109" t="s">
        <v>12902</v>
      </c>
      <c r="U2109" t="s">
        <v>12902</v>
      </c>
      <c r="V2109" t="s">
        <v>12902</v>
      </c>
      <c r="W2109" t="s">
        <v>14976</v>
      </c>
      <c r="X2109">
        <v>20</v>
      </c>
      <c r="Y2109" t="s">
        <v>21339</v>
      </c>
      <c r="Z2109" t="s">
        <v>27684</v>
      </c>
      <c r="AA2109">
        <v>0.5169902182662518</v>
      </c>
      <c r="AB2109" t="str">
        <f>HYPERLINK("Melting_Curves/meltCurve_P16188_HLA_A.pdf", "Melting_Curves/meltCurve_P16188_HLA_A.pdf")</f>
        <v>Melting_Curves/meltCurve_P16188_HLA_A.pdf</v>
      </c>
    </row>
    <row r="2110" spans="1:28" x14ac:dyDescent="0.25">
      <c r="A2110" t="s">
        <v>2114</v>
      </c>
      <c r="B2110">
        <v>0.99673306730245903</v>
      </c>
      <c r="C2110">
        <v>0.49513974017842899</v>
      </c>
      <c r="D2110">
        <v>0.93433679794816105</v>
      </c>
      <c r="E2110">
        <v>1.01759725864131</v>
      </c>
      <c r="F2110">
        <v>0.74993255325064201</v>
      </c>
      <c r="G2110">
        <v>0.28756032883083499</v>
      </c>
      <c r="H2110">
        <v>0.12970071959221099</v>
      </c>
      <c r="I2110">
        <v>5.5061775012587202E-2</v>
      </c>
      <c r="J2110">
        <v>4.5580075860749601E-2</v>
      </c>
      <c r="K2110">
        <v>3.7784558421228603E-2</v>
      </c>
      <c r="L2110">
        <v>1769.22593661831</v>
      </c>
      <c r="M2110">
        <v>32.203020863841303</v>
      </c>
      <c r="N2110">
        <v>55.125576883877997</v>
      </c>
      <c r="O2110">
        <v>54.729192065861803</v>
      </c>
      <c r="P2110">
        <v>-0.13953616352311701</v>
      </c>
      <c r="Q2110">
        <v>5.1435082835378503E-2</v>
      </c>
      <c r="R2110">
        <v>0.831500430276092</v>
      </c>
      <c r="S2110" t="s">
        <v>8562</v>
      </c>
      <c r="T2110" t="s">
        <v>12902</v>
      </c>
      <c r="U2110" t="s">
        <v>12902</v>
      </c>
      <c r="V2110" t="s">
        <v>12902</v>
      </c>
      <c r="W2110" t="s">
        <v>14977</v>
      </c>
      <c r="X2110">
        <v>7</v>
      </c>
      <c r="Y2110" t="s">
        <v>21340</v>
      </c>
      <c r="Z2110" t="s">
        <v>27685</v>
      </c>
      <c r="AA2110">
        <v>0.52930580463695132</v>
      </c>
      <c r="AB2110" t="str">
        <f>HYPERLINK("Melting_Curves/meltCurve_P16219_ACADS.pdf", "Melting_Curves/meltCurve_P16219_ACADS.pdf")</f>
        <v>Melting_Curves/meltCurve_P16219_ACADS.pdf</v>
      </c>
    </row>
    <row r="2111" spans="1:28" x14ac:dyDescent="0.25">
      <c r="A2111" t="s">
        <v>2115</v>
      </c>
      <c r="B2111">
        <v>0.99673306730245903</v>
      </c>
      <c r="C2111">
        <v>0.890601314094983</v>
      </c>
      <c r="D2111">
        <v>0.88320202180486096</v>
      </c>
      <c r="E2111">
        <v>0.78129770229847295</v>
      </c>
      <c r="F2111">
        <v>0.73727548572116697</v>
      </c>
      <c r="G2111">
        <v>0.64639827985526999</v>
      </c>
      <c r="H2111">
        <v>0.61995713177622902</v>
      </c>
      <c r="I2111">
        <v>1.33642763272387</v>
      </c>
      <c r="J2111">
        <v>1.6996333597404201</v>
      </c>
      <c r="K2111">
        <v>1.82884458939846</v>
      </c>
      <c r="L2111">
        <v>15000</v>
      </c>
      <c r="M2111">
        <v>235.09606532637599</v>
      </c>
      <c r="O2111">
        <v>63.7991106391746</v>
      </c>
      <c r="P2111">
        <v>0.46061799782544399</v>
      </c>
      <c r="Q2111">
        <v>1.5</v>
      </c>
      <c r="R2111">
        <v>0.66747935597000696</v>
      </c>
      <c r="S2111" t="s">
        <v>8563</v>
      </c>
      <c r="T2111" t="s">
        <v>12902</v>
      </c>
      <c r="U2111" t="s">
        <v>12902</v>
      </c>
      <c r="V2111" t="s">
        <v>12902</v>
      </c>
      <c r="W2111" t="s">
        <v>14978</v>
      </c>
      <c r="X2111">
        <v>6</v>
      </c>
      <c r="Y2111" t="s">
        <v>21341</v>
      </c>
      <c r="Z2111" t="s">
        <v>27686</v>
      </c>
      <c r="AA2111">
        <v>1.1032082705197199</v>
      </c>
      <c r="AB2111" t="str">
        <f>HYPERLINK("Melting_Curves/meltCurve_P16220_2_CREB1.pdf", "Melting_Curves/meltCurve_P16220_2_CREB1.pdf")</f>
        <v>Melting_Curves/meltCurve_P16220_2_CREB1.pdf</v>
      </c>
    </row>
    <row r="2112" spans="1:28" x14ac:dyDescent="0.25">
      <c r="A2112" t="s">
        <v>2116</v>
      </c>
      <c r="B2112">
        <v>0.99673306730245903</v>
      </c>
      <c r="C2112">
        <v>1.04313685841753</v>
      </c>
      <c r="D2112">
        <v>1.0098314028611</v>
      </c>
      <c r="E2112">
        <v>1.03476604007734</v>
      </c>
      <c r="F2112">
        <v>0.84418986247538197</v>
      </c>
      <c r="G2112">
        <v>0.83997472984519905</v>
      </c>
      <c r="H2112">
        <v>0.34413223024653</v>
      </c>
      <c r="I2112">
        <v>0.18542613453883999</v>
      </c>
      <c r="J2112">
        <v>0.20048229891925701</v>
      </c>
      <c r="K2112">
        <v>0.16897782245131901</v>
      </c>
      <c r="L2112">
        <v>2082.65202171083</v>
      </c>
      <c r="M2112">
        <v>35.4722168010831</v>
      </c>
      <c r="N2112">
        <v>59.385014496294701</v>
      </c>
      <c r="O2112">
        <v>58.526546413507802</v>
      </c>
      <c r="P2112">
        <v>-0.126449731117769</v>
      </c>
      <c r="Q2112">
        <v>0.165471838285765</v>
      </c>
      <c r="R2112">
        <v>0.982452409831022</v>
      </c>
      <c r="S2112" t="s">
        <v>8564</v>
      </c>
      <c r="T2112" t="s">
        <v>12902</v>
      </c>
      <c r="U2112" t="s">
        <v>12902</v>
      </c>
      <c r="V2112" t="s">
        <v>12902</v>
      </c>
      <c r="W2112" t="s">
        <v>14979</v>
      </c>
      <c r="X2112">
        <v>15</v>
      </c>
      <c r="Y2112" t="s">
        <v>21342</v>
      </c>
      <c r="Z2112" t="s">
        <v>27687</v>
      </c>
      <c r="AA2112">
        <v>0.69008847058922684</v>
      </c>
      <c r="AB2112" t="str">
        <f>HYPERLINK("Melting_Curves/meltCurve_P16278_3_GLB1.pdf", "Melting_Curves/meltCurve_P16278_3_GLB1.pdf")</f>
        <v>Melting_Curves/meltCurve_P16278_3_GLB1.pdf</v>
      </c>
    </row>
    <row r="2113" spans="1:28" x14ac:dyDescent="0.25">
      <c r="A2113" t="s">
        <v>2117</v>
      </c>
      <c r="B2113">
        <v>0.99673306730245903</v>
      </c>
      <c r="C2113">
        <v>1.0007244745236901</v>
      </c>
      <c r="D2113">
        <v>0.91749629927570298</v>
      </c>
      <c r="E2113">
        <v>0.72321499398346101</v>
      </c>
      <c r="F2113">
        <v>0.32998572579924401</v>
      </c>
      <c r="G2113">
        <v>0.20266563254103601</v>
      </c>
      <c r="H2113">
        <v>0.126504576645105</v>
      </c>
      <c r="I2113">
        <v>0.12865930742494899</v>
      </c>
      <c r="J2113">
        <v>0.13356671511020199</v>
      </c>
      <c r="K2113">
        <v>0.12796970520690301</v>
      </c>
      <c r="L2113">
        <v>1289.0696935455301</v>
      </c>
      <c r="M2113">
        <v>25.3112079409823</v>
      </c>
      <c r="N2113">
        <v>51.517976686335501</v>
      </c>
      <c r="O2113">
        <v>50.614101104816598</v>
      </c>
      <c r="P2113">
        <v>-0.109311332714602</v>
      </c>
      <c r="Q2113">
        <v>0.125664170331275</v>
      </c>
      <c r="R2113">
        <v>0.99855610129164196</v>
      </c>
      <c r="S2113" t="s">
        <v>8565</v>
      </c>
      <c r="T2113" t="s">
        <v>12902</v>
      </c>
      <c r="U2113" t="s">
        <v>12902</v>
      </c>
      <c r="V2113" t="s">
        <v>12902</v>
      </c>
      <c r="W2113" t="s">
        <v>14980</v>
      </c>
      <c r="X2113">
        <v>11</v>
      </c>
      <c r="Y2113" t="s">
        <v>21343</v>
      </c>
      <c r="Z2113" t="s">
        <v>27688</v>
      </c>
      <c r="AA2113">
        <v>0.45188150304863062</v>
      </c>
      <c r="AB2113" t="str">
        <f>HYPERLINK("Melting_Curves/meltCurve_P16298_PPP3CB.pdf", "Melting_Curves/meltCurve_P16298_PPP3CB.pdf")</f>
        <v>Melting_Curves/meltCurve_P16298_PPP3CB.pdf</v>
      </c>
    </row>
    <row r="2114" spans="1:28" x14ac:dyDescent="0.25">
      <c r="A2114" t="s">
        <v>2118</v>
      </c>
      <c r="B2114">
        <v>0.99673306730245903</v>
      </c>
      <c r="C2114">
        <v>0.95996757545987599</v>
      </c>
      <c r="D2114">
        <v>0.507155579668227</v>
      </c>
      <c r="E2114">
        <v>0.432907919110601</v>
      </c>
      <c r="F2114">
        <v>0.45025151759182902</v>
      </c>
      <c r="G2114">
        <v>0.30775784293842201</v>
      </c>
      <c r="H2114">
        <v>0.208811431953635</v>
      </c>
      <c r="I2114">
        <v>0.29694358855130798</v>
      </c>
      <c r="J2114">
        <v>0.354986724744913</v>
      </c>
      <c r="K2114">
        <v>0.34802642844697901</v>
      </c>
      <c r="L2114">
        <v>2158.9292443685099</v>
      </c>
      <c r="M2114">
        <v>47.928551837995201</v>
      </c>
      <c r="N2114">
        <v>46.144483030497803</v>
      </c>
      <c r="O2114">
        <v>44.966532553286903</v>
      </c>
      <c r="P2114">
        <v>-0.175748757493328</v>
      </c>
      <c r="Q2114">
        <v>0.34045123458515902</v>
      </c>
      <c r="R2114">
        <v>0.94032580711946601</v>
      </c>
      <c r="S2114" t="s">
        <v>8566</v>
      </c>
      <c r="T2114" t="s">
        <v>12902</v>
      </c>
      <c r="U2114" t="s">
        <v>12902</v>
      </c>
      <c r="V2114" t="s">
        <v>12902</v>
      </c>
      <c r="W2114" t="s">
        <v>14981</v>
      </c>
      <c r="X2114">
        <v>6</v>
      </c>
      <c r="Y2114" t="s">
        <v>21344</v>
      </c>
      <c r="Z2114" t="s">
        <v>27689</v>
      </c>
      <c r="AA2114">
        <v>0.45282381682680811</v>
      </c>
      <c r="AB2114" t="str">
        <f>HYPERLINK("Melting_Curves/meltCurve_P16383_GCFC2.pdf", "Melting_Curves/meltCurve_P16383_GCFC2.pdf")</f>
        <v>Melting_Curves/meltCurve_P16383_GCFC2.pdf</v>
      </c>
    </row>
    <row r="2115" spans="1:28" x14ac:dyDescent="0.25">
      <c r="A2115" t="s">
        <v>2119</v>
      </c>
      <c r="B2115">
        <v>0.99673306730245903</v>
      </c>
      <c r="C2115">
        <v>1.0347129888446001</v>
      </c>
      <c r="D2115">
        <v>1.05421441439428</v>
      </c>
      <c r="E2115">
        <v>1.07917585955783</v>
      </c>
      <c r="F2115">
        <v>1.00432134376674</v>
      </c>
      <c r="G2115">
        <v>0.86350911402848896</v>
      </c>
      <c r="H2115">
        <v>0.89561236379791997</v>
      </c>
      <c r="I2115">
        <v>0.75655079783952395</v>
      </c>
      <c r="J2115">
        <v>1.1675741660144601</v>
      </c>
      <c r="K2115">
        <v>0.97875944107344703</v>
      </c>
      <c r="L2115">
        <v>2425.10854407851</v>
      </c>
      <c r="M2115">
        <v>44.879846313671401</v>
      </c>
      <c r="O2115">
        <v>53.928621145906199</v>
      </c>
      <c r="P2115">
        <v>-1.35944039942826E-2</v>
      </c>
      <c r="Q2115">
        <v>0.93465872848260001</v>
      </c>
      <c r="R2115">
        <v>0.14485483730081899</v>
      </c>
      <c r="S2115" t="s">
        <v>8567</v>
      </c>
      <c r="T2115" t="s">
        <v>12902</v>
      </c>
      <c r="U2115" t="s">
        <v>12902</v>
      </c>
      <c r="V2115" t="s">
        <v>12902</v>
      </c>
      <c r="W2115" t="s">
        <v>14982</v>
      </c>
      <c r="X2115">
        <v>14</v>
      </c>
      <c r="Y2115" t="s">
        <v>21345</v>
      </c>
      <c r="Z2115" t="s">
        <v>27690</v>
      </c>
      <c r="AA2115">
        <v>0.96542221987597931</v>
      </c>
      <c r="AB2115" t="str">
        <f>HYPERLINK("Melting_Curves/meltCurve_P16401_HIST1H1B.pdf", "Melting_Curves/meltCurve_P16401_HIST1H1B.pdf")</f>
        <v>Melting_Curves/meltCurve_P16401_HIST1H1B.pdf</v>
      </c>
    </row>
    <row r="2116" spans="1:28" x14ac:dyDescent="0.25">
      <c r="A2116" t="s">
        <v>2120</v>
      </c>
      <c r="B2116">
        <v>0.99673306730245903</v>
      </c>
      <c r="C2116">
        <v>0.945459433071282</v>
      </c>
      <c r="D2116">
        <v>0.85615791304296895</v>
      </c>
      <c r="E2116">
        <v>0.65451502610740298</v>
      </c>
      <c r="F2116">
        <v>0.29619536304213101</v>
      </c>
      <c r="G2116">
        <v>0.15796116070583299</v>
      </c>
      <c r="H2116">
        <v>0.10879847646971599</v>
      </c>
      <c r="I2116">
        <v>0.102223200508287</v>
      </c>
      <c r="J2116">
        <v>9.6529513677028597E-2</v>
      </c>
      <c r="K2116">
        <v>8.0377067508060798E-2</v>
      </c>
      <c r="L2116">
        <v>1016.50277256555</v>
      </c>
      <c r="M2116">
        <v>20.155164964379502</v>
      </c>
      <c r="N2116">
        <v>50.8774962397558</v>
      </c>
      <c r="O2116">
        <v>49.945255680288298</v>
      </c>
      <c r="P2116">
        <v>-9.2759319059459402E-2</v>
      </c>
      <c r="Q2116">
        <v>8.0584720877125302E-2</v>
      </c>
      <c r="R2116">
        <v>0.99717529295434704</v>
      </c>
      <c r="S2116" t="s">
        <v>8568</v>
      </c>
      <c r="T2116" t="s">
        <v>12902</v>
      </c>
      <c r="U2116" t="s">
        <v>12902</v>
      </c>
      <c r="V2116" t="s">
        <v>12902</v>
      </c>
      <c r="W2116" t="s">
        <v>14983</v>
      </c>
      <c r="X2116">
        <v>27</v>
      </c>
      <c r="Y2116" t="s">
        <v>21346</v>
      </c>
      <c r="Z2116" t="s">
        <v>27691</v>
      </c>
      <c r="AA2116">
        <v>0.41294633993881619</v>
      </c>
      <c r="AB2116" t="str">
        <f>HYPERLINK("Melting_Curves/meltCurve_P16435_POR.pdf", "Melting_Curves/meltCurve_P16435_POR.pdf")</f>
        <v>Melting_Curves/meltCurve_P16435_POR.pdf</v>
      </c>
    </row>
    <row r="2117" spans="1:28" x14ac:dyDescent="0.25">
      <c r="A2117" t="s">
        <v>2121</v>
      </c>
      <c r="B2117">
        <v>0.99673306730245903</v>
      </c>
      <c r="C2117">
        <v>1.00830649269623</v>
      </c>
      <c r="D2117">
        <v>0.88067169409008395</v>
      </c>
      <c r="E2117">
        <v>0.69973304868285702</v>
      </c>
      <c r="F2117">
        <v>0.37312233159193597</v>
      </c>
      <c r="G2117">
        <v>0.15039029221992001</v>
      </c>
      <c r="H2117">
        <v>8.0690591743858703E-2</v>
      </c>
      <c r="I2117">
        <v>7.1137955320163607E-2</v>
      </c>
      <c r="J2117">
        <v>7.7289815800519093E-2</v>
      </c>
      <c r="K2117">
        <v>7.3727864942568597E-2</v>
      </c>
      <c r="L2117">
        <v>1054.9043755107</v>
      </c>
      <c r="M2117">
        <v>20.567912129544698</v>
      </c>
      <c r="N2117">
        <v>51.596748460602903</v>
      </c>
      <c r="O2117">
        <v>50.811387112330998</v>
      </c>
      <c r="P2117">
        <v>-9.5355736744742195E-2</v>
      </c>
      <c r="Q2117">
        <v>5.7752399519534398E-2</v>
      </c>
      <c r="R2117">
        <v>0.99785618975662804</v>
      </c>
      <c r="S2117" t="s">
        <v>8569</v>
      </c>
      <c r="T2117" t="s">
        <v>12902</v>
      </c>
      <c r="U2117" t="s">
        <v>12902</v>
      </c>
      <c r="V2117" t="s">
        <v>12902</v>
      </c>
      <c r="W2117" t="s">
        <v>14984</v>
      </c>
      <c r="X2117">
        <v>2</v>
      </c>
      <c r="Y2117" t="s">
        <v>21347</v>
      </c>
      <c r="Z2117" t="s">
        <v>27692</v>
      </c>
      <c r="AA2117">
        <v>0.42472295967505042</v>
      </c>
      <c r="AB2117" t="str">
        <f>HYPERLINK("Melting_Curves/meltCurve_P16455_MGMT.pdf", "Melting_Curves/meltCurve_P16455_MGMT.pdf")</f>
        <v>Melting_Curves/meltCurve_P16455_MGMT.pdf</v>
      </c>
    </row>
    <row r="2118" spans="1:28" x14ac:dyDescent="0.25">
      <c r="A2118" t="s">
        <v>2122</v>
      </c>
      <c r="B2118">
        <v>0.99673306730245903</v>
      </c>
      <c r="C2118">
        <v>0.89378312216364098</v>
      </c>
      <c r="D2118">
        <v>0.77035528805652098</v>
      </c>
      <c r="E2118">
        <v>0.72630480686006804</v>
      </c>
      <c r="F2118">
        <v>0.25534467043369902</v>
      </c>
      <c r="G2118">
        <v>0.105133274244758</v>
      </c>
      <c r="H2118">
        <v>5.7873642708777297E-2</v>
      </c>
      <c r="I2118">
        <v>5.42738151537508E-2</v>
      </c>
      <c r="J2118">
        <v>5.6366353906003502E-2</v>
      </c>
      <c r="K2118">
        <v>5.0740264150646197E-2</v>
      </c>
      <c r="L2118">
        <v>918.65255105761196</v>
      </c>
      <c r="M2118">
        <v>18.139720327745501</v>
      </c>
      <c r="N2118">
        <v>50.779846070678197</v>
      </c>
      <c r="O2118">
        <v>50.0397077403616</v>
      </c>
      <c r="P2118">
        <v>-8.8471304438434595E-2</v>
      </c>
      <c r="Q2118">
        <v>2.3829194129499399E-2</v>
      </c>
      <c r="R2118">
        <v>0.97569448986458795</v>
      </c>
      <c r="S2118" t="s">
        <v>8570</v>
      </c>
      <c r="T2118" t="s">
        <v>12902</v>
      </c>
      <c r="U2118" t="s">
        <v>12902</v>
      </c>
      <c r="V2118" t="s">
        <v>12902</v>
      </c>
      <c r="W2118" t="s">
        <v>14985</v>
      </c>
      <c r="X2118">
        <v>34</v>
      </c>
      <c r="Y2118" t="s">
        <v>21348</v>
      </c>
      <c r="Z2118" t="s">
        <v>27693</v>
      </c>
      <c r="AA2118">
        <v>0.38642995414356818</v>
      </c>
      <c r="AB2118" t="str">
        <f>HYPERLINK("Melting_Curves/meltCurve_P16615_ATP2A2.pdf", "Melting_Curves/meltCurve_P16615_ATP2A2.pdf")</f>
        <v>Melting_Curves/meltCurve_P16615_ATP2A2.pdf</v>
      </c>
    </row>
    <row r="2119" spans="1:28" x14ac:dyDescent="0.25">
      <c r="A2119" t="s">
        <v>2123</v>
      </c>
      <c r="B2119">
        <v>0.99673306730245903</v>
      </c>
      <c r="C2119">
        <v>0.98000396209098495</v>
      </c>
      <c r="D2119">
        <v>0.96497807921908396</v>
      </c>
      <c r="E2119">
        <v>0.94837134134561896</v>
      </c>
      <c r="F2119">
        <v>0.88199389181293197</v>
      </c>
      <c r="G2119">
        <v>0.73568316681968104</v>
      </c>
      <c r="H2119">
        <v>0.712757018509797</v>
      </c>
      <c r="I2119">
        <v>1.03510050610223</v>
      </c>
      <c r="J2119">
        <v>1.2289392857611099</v>
      </c>
      <c r="K2119">
        <v>0.872270112874584</v>
      </c>
      <c r="L2119">
        <v>1430.75002717962</v>
      </c>
      <c r="M2119">
        <v>30.684959247051999</v>
      </c>
      <c r="O2119">
        <v>46.430387267713698</v>
      </c>
      <c r="P2119">
        <v>-1.42053540977657E-2</v>
      </c>
      <c r="Q2119">
        <v>0.91402222019706303</v>
      </c>
      <c r="R2119">
        <v>4.6618881291439498E-2</v>
      </c>
      <c r="S2119" t="s">
        <v>8571</v>
      </c>
      <c r="T2119" t="s">
        <v>12902</v>
      </c>
      <c r="U2119" t="s">
        <v>12902</v>
      </c>
      <c r="V2119" t="s">
        <v>12902</v>
      </c>
      <c r="W2119" t="s">
        <v>14986</v>
      </c>
      <c r="X2119">
        <v>14</v>
      </c>
      <c r="Y2119" t="s">
        <v>21349</v>
      </c>
      <c r="Z2119" t="s">
        <v>27694</v>
      </c>
      <c r="AA2119">
        <v>0.9335073243734181</v>
      </c>
      <c r="AB2119" t="str">
        <f>HYPERLINK("Melting_Curves/meltCurve_P16930_FAH.pdf", "Melting_Curves/meltCurve_P16930_FAH.pdf")</f>
        <v>Melting_Curves/meltCurve_P16930_FAH.pdf</v>
      </c>
    </row>
    <row r="2120" spans="1:28" x14ac:dyDescent="0.25">
      <c r="A2120" t="s">
        <v>2124</v>
      </c>
      <c r="B2120">
        <v>0.99673306730245903</v>
      </c>
      <c r="C2120">
        <v>1.01173356433199</v>
      </c>
      <c r="D2120">
        <v>1.0576109642952201</v>
      </c>
      <c r="E2120">
        <v>0.94900765141757704</v>
      </c>
      <c r="F2120">
        <v>0.93798598956658497</v>
      </c>
      <c r="G2120">
        <v>0.87026587767020802</v>
      </c>
      <c r="H2120">
        <v>0.77923278327180201</v>
      </c>
      <c r="I2120">
        <v>1.0514187035843801</v>
      </c>
      <c r="J2120">
        <v>1.74942186244329</v>
      </c>
      <c r="K2120">
        <v>1.5354851530745299</v>
      </c>
      <c r="L2120">
        <v>15000</v>
      </c>
      <c r="M2120">
        <v>232.21880946294601</v>
      </c>
      <c r="O2120">
        <v>64.589459950491403</v>
      </c>
      <c r="P2120">
        <v>0.44941312807912598</v>
      </c>
      <c r="Q2120">
        <v>1.5</v>
      </c>
      <c r="R2120">
        <v>0.83420320724832797</v>
      </c>
      <c r="S2120" t="s">
        <v>8572</v>
      </c>
      <c r="T2120" t="s">
        <v>12902</v>
      </c>
      <c r="U2120" t="s">
        <v>12902</v>
      </c>
      <c r="V2120" t="s">
        <v>12902</v>
      </c>
      <c r="W2120" t="s">
        <v>13288</v>
      </c>
      <c r="X2120">
        <v>25</v>
      </c>
      <c r="Y2120" t="s">
        <v>21350</v>
      </c>
      <c r="Z2120" t="s">
        <v>27695</v>
      </c>
      <c r="AA2120">
        <v>1.0900301256416349</v>
      </c>
      <c r="AB2120" t="str">
        <f>HYPERLINK("Melting_Curves/meltCurve_P16949_STMN1.pdf", "Melting_Curves/meltCurve_P16949_STMN1.pdf")</f>
        <v>Melting_Curves/meltCurve_P16949_STMN1.pdf</v>
      </c>
    </row>
    <row r="2121" spans="1:28" x14ac:dyDescent="0.25">
      <c r="A2121" t="s">
        <v>2125</v>
      </c>
      <c r="B2121">
        <v>0.99673306730245903</v>
      </c>
      <c r="C2121">
        <v>0.94870645149937605</v>
      </c>
      <c r="D2121">
        <v>0.93126271670178995</v>
      </c>
      <c r="E2121">
        <v>0.92098153173640895</v>
      </c>
      <c r="F2121">
        <v>0.84475676039337799</v>
      </c>
      <c r="G2121">
        <v>0.62403625921031403</v>
      </c>
      <c r="H2121">
        <v>0.50079054253423405</v>
      </c>
      <c r="I2121">
        <v>0.71684263585805497</v>
      </c>
      <c r="J2121">
        <v>0.92514926277598197</v>
      </c>
      <c r="K2121">
        <v>0.95223630274693805</v>
      </c>
      <c r="L2121">
        <v>1713.6698455196499</v>
      </c>
      <c r="M2121">
        <v>33.703384734473602</v>
      </c>
      <c r="O2121">
        <v>50.667632222266</v>
      </c>
      <c r="P2121">
        <v>-4.1509771532905297E-2</v>
      </c>
      <c r="Q2121">
        <v>0.75038791689981199</v>
      </c>
      <c r="R2121">
        <v>0.34732753397047</v>
      </c>
      <c r="S2121" t="s">
        <v>8573</v>
      </c>
      <c r="T2121" t="s">
        <v>12902</v>
      </c>
      <c r="U2121" t="s">
        <v>12902</v>
      </c>
      <c r="V2121" t="s">
        <v>12902</v>
      </c>
      <c r="W2121" t="s">
        <v>14987</v>
      </c>
      <c r="X2121">
        <v>6</v>
      </c>
      <c r="Y2121" t="s">
        <v>21351</v>
      </c>
      <c r="Z2121" t="s">
        <v>27696</v>
      </c>
      <c r="AA2121">
        <v>0.84186675747515805</v>
      </c>
      <c r="AB2121" t="str">
        <f>HYPERLINK("Melting_Curves/meltCurve_P16989_YBX3.pdf", "Melting_Curves/meltCurve_P16989_YBX3.pdf")</f>
        <v>Melting_Curves/meltCurve_P16989_YBX3.pdf</v>
      </c>
    </row>
    <row r="2122" spans="1:28" x14ac:dyDescent="0.25">
      <c r="A2122" t="s">
        <v>2126</v>
      </c>
      <c r="B2122">
        <v>0.99673306730245903</v>
      </c>
      <c r="C2122">
        <v>1.01673831176749</v>
      </c>
      <c r="D2122">
        <v>0.96603920598164095</v>
      </c>
      <c r="E2122">
        <v>0.91287775196255505</v>
      </c>
      <c r="F2122">
        <v>1.9442343017425701</v>
      </c>
      <c r="G2122">
        <v>0.79586080025178796</v>
      </c>
      <c r="H2122">
        <v>0.64081072346312296</v>
      </c>
      <c r="I2122">
        <v>0.84366554974226604</v>
      </c>
      <c r="J2122">
        <v>1.0537570686231501</v>
      </c>
      <c r="K2122">
        <v>1.0997614580018</v>
      </c>
      <c r="L2122">
        <v>15000</v>
      </c>
      <c r="M2122">
        <v>223.701827278466</v>
      </c>
      <c r="O2122">
        <v>67.048178788156207</v>
      </c>
      <c r="P2122">
        <v>8.3222171033157905E-2</v>
      </c>
      <c r="Q2122">
        <v>1.0997738008026401</v>
      </c>
      <c r="R2122">
        <v>5.0174829349279903E-3</v>
      </c>
      <c r="S2122" t="s">
        <v>8574</v>
      </c>
      <c r="T2122" t="s">
        <v>12902</v>
      </c>
      <c r="U2122" t="s">
        <v>12902</v>
      </c>
      <c r="V2122" t="s">
        <v>12902</v>
      </c>
      <c r="W2122" t="s">
        <v>14988</v>
      </c>
      <c r="X2122">
        <v>6</v>
      </c>
      <c r="Y2122" t="s">
        <v>21351</v>
      </c>
      <c r="Z2122" t="s">
        <v>27697</v>
      </c>
      <c r="AA2122">
        <v>1.0097847329950509</v>
      </c>
      <c r="AB2122" t="str">
        <f>HYPERLINK("Melting_Curves/meltCurve_P16989_2_YBX3.pdf", "Melting_Curves/meltCurve_P16989_2_YBX3.pdf")</f>
        <v>Melting_Curves/meltCurve_P16989_2_YBX3.pdf</v>
      </c>
    </row>
    <row r="2123" spans="1:28" x14ac:dyDescent="0.25">
      <c r="A2123" t="s">
        <v>2127</v>
      </c>
      <c r="B2123">
        <v>0.99673306730245903</v>
      </c>
      <c r="C2123">
        <v>0.80337419516216402</v>
      </c>
      <c r="D2123">
        <v>1.16546512668586</v>
      </c>
      <c r="E2123">
        <v>0.74970443834182399</v>
      </c>
      <c r="F2123">
        <v>0.436034396759506</v>
      </c>
      <c r="G2123">
        <v>0.32112538629721898</v>
      </c>
      <c r="H2123">
        <v>0.22193747670321601</v>
      </c>
      <c r="I2123">
        <v>0.33211374251915099</v>
      </c>
      <c r="J2123">
        <v>0.490620736088136</v>
      </c>
      <c r="K2123">
        <v>0.434273001688603</v>
      </c>
      <c r="L2123">
        <v>2775.2502082626402</v>
      </c>
      <c r="M2123">
        <v>55.452213270367601</v>
      </c>
      <c r="N2123">
        <v>51.278822765514903</v>
      </c>
      <c r="O2123">
        <v>49.982639794514597</v>
      </c>
      <c r="P2123">
        <v>-0.17530446081239401</v>
      </c>
      <c r="Q2123">
        <v>0.36794772515989599</v>
      </c>
      <c r="R2123">
        <v>0.87308848375049197</v>
      </c>
      <c r="S2123" t="s">
        <v>8575</v>
      </c>
      <c r="T2123" t="s">
        <v>12902</v>
      </c>
      <c r="U2123" t="s">
        <v>12902</v>
      </c>
      <c r="V2123" t="s">
        <v>12902</v>
      </c>
      <c r="W2123" t="s">
        <v>14989</v>
      </c>
      <c r="X2123">
        <v>1</v>
      </c>
      <c r="Y2123" t="s">
        <v>21352</v>
      </c>
      <c r="Z2123" t="s">
        <v>27698</v>
      </c>
      <c r="AA2123">
        <v>0.58076792842240055</v>
      </c>
      <c r="AB2123" t="str">
        <f>HYPERLINK("Melting_Curves/meltCurve_P17026_ZNF22.pdf", "Melting_Curves/meltCurve_P17026_ZNF22.pdf")</f>
        <v>Melting_Curves/meltCurve_P17026_ZNF22.pdf</v>
      </c>
    </row>
    <row r="2124" spans="1:28" x14ac:dyDescent="0.25">
      <c r="A2124" t="s">
        <v>2128</v>
      </c>
      <c r="B2124">
        <v>0.99673306730245903</v>
      </c>
      <c r="C2124">
        <v>0.851900043699654</v>
      </c>
      <c r="D2124">
        <v>0.74936541840380599</v>
      </c>
      <c r="E2124">
        <v>0.594518172991509</v>
      </c>
      <c r="F2124">
        <v>0.37998130685229098</v>
      </c>
      <c r="G2124">
        <v>0.194616103226256</v>
      </c>
      <c r="H2124">
        <v>9.2100846642458906E-2</v>
      </c>
      <c r="I2124">
        <v>9.6794654222705903E-2</v>
      </c>
      <c r="J2124">
        <v>0.103749895941588</v>
      </c>
      <c r="K2124">
        <v>0.114454325388495</v>
      </c>
      <c r="L2124">
        <v>637.96621409855697</v>
      </c>
      <c r="M2124">
        <v>12.733502273331201</v>
      </c>
      <c r="N2124">
        <v>50.527131657066398</v>
      </c>
      <c r="O2124">
        <v>48.913934253803902</v>
      </c>
      <c r="P2124">
        <v>-6.1782433252135303E-2</v>
      </c>
      <c r="Q2124">
        <v>5.0868096949407297E-2</v>
      </c>
      <c r="R2124">
        <v>0.99008678139723805</v>
      </c>
      <c r="S2124" t="s">
        <v>8576</v>
      </c>
      <c r="T2124" t="s">
        <v>12902</v>
      </c>
      <c r="U2124" t="s">
        <v>12902</v>
      </c>
      <c r="V2124" t="s">
        <v>12902</v>
      </c>
      <c r="W2124" t="s">
        <v>14990</v>
      </c>
      <c r="X2124">
        <v>4</v>
      </c>
      <c r="Y2124" t="s">
        <v>21353</v>
      </c>
      <c r="Z2124" t="s">
        <v>27699</v>
      </c>
      <c r="AA2124">
        <v>0.40019217206140179</v>
      </c>
      <c r="AB2124" t="str">
        <f>HYPERLINK("Melting_Curves/meltCurve_P17028_ZNF24.pdf", "Melting_Curves/meltCurve_P17028_ZNF24.pdf")</f>
        <v>Melting_Curves/meltCurve_P17028_ZNF24.pdf</v>
      </c>
    </row>
    <row r="2125" spans="1:28" x14ac:dyDescent="0.25">
      <c r="A2125" t="s">
        <v>2129</v>
      </c>
      <c r="B2125">
        <v>0.99673306730245903</v>
      </c>
      <c r="C2125">
        <v>0.72485488321261504</v>
      </c>
      <c r="D2125">
        <v>0.72293270506438201</v>
      </c>
      <c r="E2125">
        <v>0.35502738387017502</v>
      </c>
      <c r="F2125">
        <v>0.33277372068093602</v>
      </c>
      <c r="G2125">
        <v>0.29307665940155597</v>
      </c>
      <c r="H2125">
        <v>0.19195107069093401</v>
      </c>
      <c r="I2125">
        <v>0.19707398067006099</v>
      </c>
      <c r="J2125">
        <v>0.241050170446443</v>
      </c>
      <c r="K2125">
        <v>0.23249520356810099</v>
      </c>
      <c r="L2125">
        <v>708.77993604545804</v>
      </c>
      <c r="M2125">
        <v>15.2858189634112</v>
      </c>
      <c r="N2125">
        <v>48.109839398330202</v>
      </c>
      <c r="O2125">
        <v>45.596603225973801</v>
      </c>
      <c r="P2125">
        <v>-6.6009080327378802E-2</v>
      </c>
      <c r="Q2125">
        <v>0.212470727167822</v>
      </c>
      <c r="R2125">
        <v>0.95571818330319502</v>
      </c>
      <c r="S2125" t="s">
        <v>8577</v>
      </c>
      <c r="T2125" t="s">
        <v>12902</v>
      </c>
      <c r="U2125" t="s">
        <v>12902</v>
      </c>
      <c r="V2125" t="s">
        <v>12902</v>
      </c>
      <c r="W2125" t="s">
        <v>14991</v>
      </c>
      <c r="X2125">
        <v>2</v>
      </c>
      <c r="Y2125" t="s">
        <v>21354</v>
      </c>
      <c r="Z2125" t="s">
        <v>27700</v>
      </c>
      <c r="AA2125">
        <v>0.40112247377374072</v>
      </c>
      <c r="AB2125" t="str">
        <f>HYPERLINK("Melting_Curves/meltCurve_P17039_ZNF30.pdf", "Melting_Curves/meltCurve_P17039_ZNF30.pdf")</f>
        <v>Melting_Curves/meltCurve_P17039_ZNF30.pdf</v>
      </c>
    </row>
    <row r="2126" spans="1:28" x14ac:dyDescent="0.25">
      <c r="A2126" t="s">
        <v>2130</v>
      </c>
      <c r="B2126">
        <v>0.99673306730245903</v>
      </c>
      <c r="C2126">
        <v>1.02088642213204</v>
      </c>
      <c r="D2126">
        <v>1.0018919215433899</v>
      </c>
      <c r="E2126">
        <v>1.00633180914025</v>
      </c>
      <c r="F2126">
        <v>0.95045095321976603</v>
      </c>
      <c r="G2126">
        <v>0.76827280887768001</v>
      </c>
      <c r="H2126">
        <v>0.469369862010868</v>
      </c>
      <c r="I2126">
        <v>0.18565389340014399</v>
      </c>
      <c r="J2126">
        <v>0.119534690059049</v>
      </c>
      <c r="K2126">
        <v>9.2683362416532897E-2</v>
      </c>
      <c r="L2126">
        <v>1389.2884601329299</v>
      </c>
      <c r="M2126">
        <v>23.216813523673899</v>
      </c>
      <c r="N2126">
        <v>60.098968476212697</v>
      </c>
      <c r="O2126">
        <v>59.401086479338801</v>
      </c>
      <c r="P2126">
        <v>-9.3058475726283493E-2</v>
      </c>
      <c r="Q2126">
        <v>4.7642451112771197E-2</v>
      </c>
      <c r="R2126">
        <v>0.99767309118759495</v>
      </c>
      <c r="S2126" t="s">
        <v>8578</v>
      </c>
      <c r="T2126" t="s">
        <v>12902</v>
      </c>
      <c r="U2126" t="s">
        <v>12902</v>
      </c>
      <c r="V2126" t="s">
        <v>12902</v>
      </c>
      <c r="W2126" t="s">
        <v>14992</v>
      </c>
      <c r="X2126">
        <v>9</v>
      </c>
      <c r="Y2126" t="s">
        <v>21355</v>
      </c>
      <c r="Z2126" t="s">
        <v>27701</v>
      </c>
      <c r="AA2126">
        <v>0.68512596080906296</v>
      </c>
      <c r="AB2126" t="str">
        <f>HYPERLINK("Melting_Curves/meltCurve_P17050_NAGA.pdf", "Melting_Curves/meltCurve_P17050_NAGA.pdf")</f>
        <v>Melting_Curves/meltCurve_P17050_NAGA.pdf</v>
      </c>
    </row>
    <row r="2127" spans="1:28" x14ac:dyDescent="0.25">
      <c r="A2127" t="s">
        <v>2131</v>
      </c>
      <c r="B2127">
        <v>0.99673306730245903</v>
      </c>
      <c r="C2127">
        <v>0.95449903256838398</v>
      </c>
      <c r="D2127">
        <v>0.92444834805291998</v>
      </c>
      <c r="E2127">
        <v>0.84286896734116801</v>
      </c>
      <c r="F2127">
        <v>0.82606416379300196</v>
      </c>
      <c r="G2127">
        <v>0.64366104042346095</v>
      </c>
      <c r="H2127">
        <v>0.20680380801465501</v>
      </c>
      <c r="I2127">
        <v>0.10783111588041799</v>
      </c>
      <c r="J2127">
        <v>0.117625323197913</v>
      </c>
      <c r="K2127">
        <v>9.8257322716111095E-2</v>
      </c>
      <c r="L2127">
        <v>1149.39581887944</v>
      </c>
      <c r="M2127">
        <v>20.0591546292851</v>
      </c>
      <c r="N2127">
        <v>57.557601120815498</v>
      </c>
      <c r="O2127">
        <v>56.739945950832002</v>
      </c>
      <c r="P2127">
        <v>-8.4594684545289206E-2</v>
      </c>
      <c r="Q2127">
        <v>4.28822349246415E-2</v>
      </c>
      <c r="R2127">
        <v>0.975123260558447</v>
      </c>
      <c r="S2127" t="s">
        <v>8579</v>
      </c>
      <c r="T2127" t="s">
        <v>12902</v>
      </c>
      <c r="U2127" t="s">
        <v>12902</v>
      </c>
      <c r="V2127" t="s">
        <v>12902</v>
      </c>
      <c r="W2127" t="s">
        <v>14993</v>
      </c>
      <c r="X2127">
        <v>16</v>
      </c>
      <c r="Y2127" t="s">
        <v>21356</v>
      </c>
      <c r="Z2127" t="s">
        <v>27702</v>
      </c>
      <c r="AA2127">
        <v>0.60627656758637472</v>
      </c>
      <c r="AB2127" t="str">
        <f>HYPERLINK("Melting_Curves/meltCurve_P17066_HSPA6.pdf", "Melting_Curves/meltCurve_P17066_HSPA6.pdf")</f>
        <v>Melting_Curves/meltCurve_P17066_HSPA6.pdf</v>
      </c>
    </row>
    <row r="2128" spans="1:28" x14ac:dyDescent="0.25">
      <c r="A2128" t="s">
        <v>2132</v>
      </c>
      <c r="B2128">
        <v>0.99673306730245903</v>
      </c>
      <c r="C2128">
        <v>0.89253112300071702</v>
      </c>
      <c r="D2128">
        <v>0.80568023419302404</v>
      </c>
      <c r="E2128">
        <v>0.88326423820642297</v>
      </c>
      <c r="F2128">
        <v>0.77742396421096405</v>
      </c>
      <c r="G2128">
        <v>0.69898491235091698</v>
      </c>
      <c r="H2128">
        <v>0.64230503877437295</v>
      </c>
      <c r="I2128">
        <v>1.3966432759202401</v>
      </c>
      <c r="J2128">
        <v>1.53861053541159</v>
      </c>
      <c r="K2128">
        <v>1.6058643663469601</v>
      </c>
      <c r="L2128">
        <v>15000</v>
      </c>
      <c r="M2128">
        <v>235.719417707671</v>
      </c>
      <c r="O2128">
        <v>63.6303980350527</v>
      </c>
      <c r="P2128">
        <v>0.463063698236998</v>
      </c>
      <c r="Q2128">
        <v>1.5</v>
      </c>
      <c r="R2128">
        <v>0.69843406566111599</v>
      </c>
      <c r="S2128" t="s">
        <v>8580</v>
      </c>
      <c r="T2128" t="s">
        <v>12902</v>
      </c>
      <c r="U2128" t="s">
        <v>12902</v>
      </c>
      <c r="V2128" t="s">
        <v>12902</v>
      </c>
      <c r="W2128" t="s">
        <v>14994</v>
      </c>
      <c r="X2128">
        <v>4</v>
      </c>
      <c r="Y2128" t="s">
        <v>21357</v>
      </c>
      <c r="Z2128" t="s">
        <v>27703</v>
      </c>
      <c r="AA2128">
        <v>1.1060208854861551</v>
      </c>
      <c r="AB2128" t="str">
        <f>HYPERLINK("Melting_Curves/meltCurve_P17096_HMGA1.pdf", "Melting_Curves/meltCurve_P17096_HMGA1.pdf")</f>
        <v>Melting_Curves/meltCurve_P17096_HMGA1.pdf</v>
      </c>
    </row>
    <row r="2129" spans="1:28" x14ac:dyDescent="0.25">
      <c r="A2129" t="s">
        <v>2133</v>
      </c>
      <c r="B2129">
        <v>0.99673306730245903</v>
      </c>
      <c r="C2129">
        <v>0.95381801760099005</v>
      </c>
      <c r="D2129">
        <v>0.88729978844591495</v>
      </c>
      <c r="E2129">
        <v>0.76159010327628096</v>
      </c>
      <c r="F2129">
        <v>0.54745356200163597</v>
      </c>
      <c r="G2129">
        <v>0.481539025519375</v>
      </c>
      <c r="H2129">
        <v>0.39281198664225098</v>
      </c>
      <c r="I2129">
        <v>0.62176575863466899</v>
      </c>
      <c r="J2129">
        <v>0.81076994142166803</v>
      </c>
      <c r="K2129">
        <v>0.80714902005657596</v>
      </c>
      <c r="L2129">
        <v>1423.4086440446099</v>
      </c>
      <c r="M2129">
        <v>29.796384680307199</v>
      </c>
      <c r="O2129">
        <v>47.557551933497102</v>
      </c>
      <c r="P2129">
        <v>-6.06202188690367E-2</v>
      </c>
      <c r="Q2129">
        <v>0.61298251944462301</v>
      </c>
      <c r="R2129">
        <v>0.59211984282027197</v>
      </c>
      <c r="S2129" t="s">
        <v>8581</v>
      </c>
      <c r="T2129" t="s">
        <v>12902</v>
      </c>
      <c r="U2129" t="s">
        <v>12902</v>
      </c>
      <c r="V2129" t="s">
        <v>12902</v>
      </c>
      <c r="W2129" t="s">
        <v>14995</v>
      </c>
      <c r="X2129">
        <v>4</v>
      </c>
      <c r="Y2129" t="s">
        <v>21357</v>
      </c>
      <c r="Z2129" t="s">
        <v>27704</v>
      </c>
      <c r="AA2129">
        <v>0.71559403427586898</v>
      </c>
      <c r="AB2129" t="str">
        <f>HYPERLINK("Melting_Curves/meltCurve_P17096_2_HMGA1.pdf", "Melting_Curves/meltCurve_P17096_2_HMGA1.pdf")</f>
        <v>Melting_Curves/meltCurve_P17096_2_HMGA1.pdf</v>
      </c>
    </row>
    <row r="2130" spans="1:28" x14ac:dyDescent="0.25">
      <c r="A2130" t="s">
        <v>2134</v>
      </c>
      <c r="B2130">
        <v>0.99673306730245903</v>
      </c>
      <c r="C2130">
        <v>1.01051849393006</v>
      </c>
      <c r="D2130">
        <v>0.84337610211979097</v>
      </c>
      <c r="E2130">
        <v>0.76045623994261202</v>
      </c>
      <c r="F2130">
        <v>0.35954714493091799</v>
      </c>
      <c r="G2130">
        <v>0.17556368971532901</v>
      </c>
      <c r="H2130">
        <v>9.7221672265612499E-2</v>
      </c>
      <c r="I2130">
        <v>9.9959289098672993E-2</v>
      </c>
      <c r="J2130">
        <v>0.14049266616842401</v>
      </c>
      <c r="K2130">
        <v>0.124277802321653</v>
      </c>
      <c r="L2130">
        <v>1174.5031676988301</v>
      </c>
      <c r="M2130">
        <v>22.924962599024301</v>
      </c>
      <c r="N2130">
        <v>51.7534146883361</v>
      </c>
      <c r="O2130">
        <v>50.847465688541497</v>
      </c>
      <c r="P2130">
        <v>-0.101103409584611</v>
      </c>
      <c r="Q2130">
        <v>0.103029719046126</v>
      </c>
      <c r="R2130">
        <v>0.98956564683436599</v>
      </c>
      <c r="S2130" t="s">
        <v>8582</v>
      </c>
      <c r="T2130" t="s">
        <v>12902</v>
      </c>
      <c r="U2130" t="s">
        <v>12902</v>
      </c>
      <c r="V2130" t="s">
        <v>12902</v>
      </c>
      <c r="W2130" t="s">
        <v>14996</v>
      </c>
      <c r="X2130">
        <v>4</v>
      </c>
      <c r="Y2130" t="s">
        <v>21358</v>
      </c>
      <c r="Z2130" t="s">
        <v>27705</v>
      </c>
      <c r="AA2130">
        <v>0.44848296095957968</v>
      </c>
      <c r="AB2130" t="str">
        <f>HYPERLINK("Melting_Curves/meltCurve_P17152_TMEM11.pdf", "Melting_Curves/meltCurve_P17152_TMEM11.pdf")</f>
        <v>Melting_Curves/meltCurve_P17152_TMEM11.pdf</v>
      </c>
    </row>
    <row r="2131" spans="1:28" x14ac:dyDescent="0.25">
      <c r="A2131" t="s">
        <v>2135</v>
      </c>
      <c r="B2131">
        <v>0.99673306730245903</v>
      </c>
      <c r="C2131">
        <v>1.02912126138033</v>
      </c>
      <c r="D2131">
        <v>1.0453807644755899</v>
      </c>
      <c r="E2131">
        <v>0.96669746747774299</v>
      </c>
      <c r="F2131">
        <v>0.65029263049386499</v>
      </c>
      <c r="G2131">
        <v>0.59748011370968501</v>
      </c>
      <c r="H2131">
        <v>0.57728460961072603</v>
      </c>
      <c r="I2131">
        <v>0.88965798994455603</v>
      </c>
      <c r="J2131">
        <v>1.2706741092912299</v>
      </c>
      <c r="K2131">
        <v>0.80866078820264697</v>
      </c>
      <c r="L2131">
        <v>12480.1769540188</v>
      </c>
      <c r="M2131">
        <v>250</v>
      </c>
      <c r="O2131">
        <v>49.917531606280001</v>
      </c>
      <c r="P2131">
        <v>-0.25165469165415</v>
      </c>
      <c r="Q2131">
        <v>0.799008377442047</v>
      </c>
      <c r="R2131">
        <v>0.236533196714001</v>
      </c>
      <c r="S2131" t="s">
        <v>8583</v>
      </c>
      <c r="T2131" t="s">
        <v>12902</v>
      </c>
      <c r="U2131" t="s">
        <v>12902</v>
      </c>
      <c r="V2131" t="s">
        <v>12902</v>
      </c>
      <c r="W2131" t="s">
        <v>14997</v>
      </c>
      <c r="X2131">
        <v>30</v>
      </c>
      <c r="Y2131" t="s">
        <v>21359</v>
      </c>
      <c r="Z2131" t="s">
        <v>27706</v>
      </c>
      <c r="AA2131">
        <v>0.86549195836043047</v>
      </c>
      <c r="AB2131" t="str">
        <f>HYPERLINK("Melting_Curves/meltCurve_P17174_GOT1.pdf", "Melting_Curves/meltCurve_P17174_GOT1.pdf")</f>
        <v>Melting_Curves/meltCurve_P17174_GOT1.pdf</v>
      </c>
    </row>
    <row r="2132" spans="1:28" x14ac:dyDescent="0.25">
      <c r="A2132" t="s">
        <v>2136</v>
      </c>
      <c r="B2132">
        <v>0.99673306730245903</v>
      </c>
      <c r="C2132">
        <v>0.99367737453211302</v>
      </c>
      <c r="D2132">
        <v>0.88986250736119699</v>
      </c>
      <c r="E2132">
        <v>0.61384890093882605</v>
      </c>
      <c r="F2132">
        <v>0.35104498659901201</v>
      </c>
      <c r="G2132">
        <v>0.21694198469857501</v>
      </c>
      <c r="H2132">
        <v>0.13725498150893001</v>
      </c>
      <c r="I2132">
        <v>0.12936727132857101</v>
      </c>
      <c r="J2132">
        <v>0.151291776595567</v>
      </c>
      <c r="K2132">
        <v>0.15339853176610699</v>
      </c>
      <c r="L2132">
        <v>1044.1732903110701</v>
      </c>
      <c r="M2132">
        <v>20.792327660424402</v>
      </c>
      <c r="N2132">
        <v>50.999368863527799</v>
      </c>
      <c r="O2132">
        <v>49.761555759981199</v>
      </c>
      <c r="P2132">
        <v>-9.0231964888653607E-2</v>
      </c>
      <c r="Q2132">
        <v>0.1362279942057</v>
      </c>
      <c r="R2132">
        <v>0.99867191578457803</v>
      </c>
      <c r="S2132" t="s">
        <v>8584</v>
      </c>
      <c r="T2132" t="s">
        <v>12902</v>
      </c>
      <c r="U2132" t="s">
        <v>12902</v>
      </c>
      <c r="V2132" t="s">
        <v>12902</v>
      </c>
      <c r="W2132" t="s">
        <v>14998</v>
      </c>
      <c r="X2132">
        <v>4</v>
      </c>
      <c r="Y2132" t="s">
        <v>21360</v>
      </c>
      <c r="Z2132" t="s">
        <v>27707</v>
      </c>
      <c r="AA2132">
        <v>0.44160473028850572</v>
      </c>
      <c r="AB2132" t="str">
        <f>HYPERLINK("Melting_Curves/meltCurve_P17252_PRKCA.pdf", "Melting_Curves/meltCurve_P17252_PRKCA.pdf")</f>
        <v>Melting_Curves/meltCurve_P17252_PRKCA.pdf</v>
      </c>
    </row>
    <row r="2133" spans="1:28" x14ac:dyDescent="0.25">
      <c r="A2133" t="s">
        <v>2137</v>
      </c>
      <c r="B2133">
        <v>0.99673306730245903</v>
      </c>
      <c r="C2133">
        <v>0.85142664837550996</v>
      </c>
      <c r="D2133">
        <v>0.80731898858135598</v>
      </c>
      <c r="E2133">
        <v>0.69813954377560306</v>
      </c>
      <c r="F2133">
        <v>0.60413712402383601</v>
      </c>
      <c r="G2133">
        <v>0.439703689769261</v>
      </c>
      <c r="H2133">
        <v>0.33790204568750398</v>
      </c>
      <c r="I2133">
        <v>0.45244343009625498</v>
      </c>
      <c r="J2133">
        <v>0.77423614876424696</v>
      </c>
      <c r="K2133">
        <v>1.09420943831597</v>
      </c>
      <c r="L2133">
        <v>967.63471557772698</v>
      </c>
      <c r="M2133">
        <v>21.494035687774399</v>
      </c>
      <c r="O2133">
        <v>44.6345093093204</v>
      </c>
      <c r="P2133">
        <v>-4.5620683687072602E-2</v>
      </c>
      <c r="Q2133">
        <v>0.62106567543776903</v>
      </c>
      <c r="R2133">
        <v>0.28011353474683798</v>
      </c>
      <c r="S2133" t="s">
        <v>8585</v>
      </c>
      <c r="T2133" t="s">
        <v>12902</v>
      </c>
      <c r="U2133" t="s">
        <v>12902</v>
      </c>
      <c r="V2133" t="s">
        <v>12902</v>
      </c>
      <c r="W2133" t="s">
        <v>14999</v>
      </c>
      <c r="X2133">
        <v>4</v>
      </c>
      <c r="Y2133" t="s">
        <v>21361</v>
      </c>
      <c r="Z2133" t="s">
        <v>27708</v>
      </c>
      <c r="AA2133">
        <v>0.68986311498689445</v>
      </c>
      <c r="AB2133" t="str">
        <f>HYPERLINK("Melting_Curves/meltCurve_P17275_JUNB.pdf", "Melting_Curves/meltCurve_P17275_JUNB.pdf")</f>
        <v>Melting_Curves/meltCurve_P17275_JUNB.pdf</v>
      </c>
    </row>
    <row r="2134" spans="1:28" x14ac:dyDescent="0.25">
      <c r="A2134" t="s">
        <v>2138</v>
      </c>
      <c r="B2134">
        <v>0.99673306730245903</v>
      </c>
      <c r="C2134">
        <v>0.91128957241725705</v>
      </c>
      <c r="D2134">
        <v>0.91385078742642101</v>
      </c>
      <c r="E2134">
        <v>0.83732871090347905</v>
      </c>
      <c r="F2134">
        <v>0.73326840696928497</v>
      </c>
      <c r="G2134">
        <v>0.59945344206586104</v>
      </c>
      <c r="H2134">
        <v>0.49546738938184598</v>
      </c>
      <c r="I2134">
        <v>0.35838495260837799</v>
      </c>
      <c r="J2134">
        <v>0.22903497005585099</v>
      </c>
      <c r="K2134">
        <v>0.13808212067943501</v>
      </c>
      <c r="L2134">
        <v>537.91554082094694</v>
      </c>
      <c r="M2134">
        <v>9.0863467791545105</v>
      </c>
      <c r="N2134">
        <v>59.200418470113</v>
      </c>
      <c r="O2134">
        <v>56.544239356884297</v>
      </c>
      <c r="P2134">
        <v>-4.0201758005787E-2</v>
      </c>
      <c r="Q2134">
        <v>0</v>
      </c>
      <c r="R2134">
        <v>0.98601015078497001</v>
      </c>
      <c r="S2134" t="s">
        <v>8586</v>
      </c>
      <c r="T2134" t="s">
        <v>12902</v>
      </c>
      <c r="U2134" t="s">
        <v>12902</v>
      </c>
      <c r="V2134" t="s">
        <v>12902</v>
      </c>
      <c r="W2134" t="s">
        <v>13347</v>
      </c>
      <c r="X2134">
        <v>22</v>
      </c>
      <c r="Y2134" t="s">
        <v>19742</v>
      </c>
      <c r="Z2134" t="s">
        <v>27709</v>
      </c>
      <c r="AA2134">
        <v>0.63839663033173144</v>
      </c>
      <c r="AB2134" t="str">
        <f>HYPERLINK("Melting_Curves/meltCurve_P17301_ITGA2.pdf", "Melting_Curves/meltCurve_P17301_ITGA2.pdf")</f>
        <v>Melting_Curves/meltCurve_P17301_ITGA2.pdf</v>
      </c>
    </row>
    <row r="2135" spans="1:28" x14ac:dyDescent="0.25">
      <c r="A2135" t="s">
        <v>2139</v>
      </c>
      <c r="B2135">
        <v>0.99673306730245903</v>
      </c>
      <c r="C2135">
        <v>0.87074638164000795</v>
      </c>
      <c r="D2135">
        <v>0.77965350180580795</v>
      </c>
      <c r="E2135">
        <v>0.74787650721013998</v>
      </c>
      <c r="F2135">
        <v>0.70030377389230203</v>
      </c>
      <c r="G2135">
        <v>0.53356697072758796</v>
      </c>
      <c r="H2135">
        <v>0.42677647858485901</v>
      </c>
      <c r="I2135">
        <v>0.69166765356054705</v>
      </c>
      <c r="J2135">
        <v>1.2273578673363701</v>
      </c>
      <c r="K2135">
        <v>1.35760285602908</v>
      </c>
      <c r="L2135">
        <v>15000</v>
      </c>
      <c r="M2135">
        <v>224.10320444610301</v>
      </c>
      <c r="O2135">
        <v>66.928116936032694</v>
      </c>
      <c r="P2135">
        <v>0.29938270644327902</v>
      </c>
      <c r="Q2135">
        <v>1.35764095006546</v>
      </c>
      <c r="R2135">
        <v>-0.12946541854381999</v>
      </c>
      <c r="S2135" t="s">
        <v>8587</v>
      </c>
      <c r="T2135" t="s">
        <v>12902</v>
      </c>
      <c r="U2135" t="s">
        <v>12902</v>
      </c>
      <c r="V2135" t="s">
        <v>12902</v>
      </c>
      <c r="W2135" t="s">
        <v>15000</v>
      </c>
      <c r="X2135">
        <v>2</v>
      </c>
      <c r="Y2135" t="s">
        <v>21362</v>
      </c>
      <c r="Z2135" t="s">
        <v>27710</v>
      </c>
      <c r="AA2135">
        <v>1.036505425272455</v>
      </c>
      <c r="AB2135" t="str">
        <f>HYPERLINK("Melting_Curves/meltCurve_P17535_JUND.pdf", "Melting_Curves/meltCurve_P17535_JUND.pdf")</f>
        <v>Melting_Curves/meltCurve_P17535_JUND.pdf</v>
      </c>
    </row>
    <row r="2136" spans="1:28" x14ac:dyDescent="0.25">
      <c r="A2136" t="s">
        <v>2140</v>
      </c>
      <c r="B2136">
        <v>0.99673306730245903</v>
      </c>
      <c r="C2136">
        <v>0.969806154997088</v>
      </c>
      <c r="D2136">
        <v>0.99497823751124004</v>
      </c>
      <c r="E2136">
        <v>0.92211958829834095</v>
      </c>
      <c r="F2136">
        <v>0.69151274114842298</v>
      </c>
      <c r="G2136">
        <v>0.58841696479420302</v>
      </c>
      <c r="H2136">
        <v>0.49272079987995299</v>
      </c>
      <c r="I2136">
        <v>0.54045099943777197</v>
      </c>
      <c r="J2136">
        <v>0.60827602202592901</v>
      </c>
      <c r="K2136">
        <v>0.56870822440226099</v>
      </c>
      <c r="L2136">
        <v>1755.19780016646</v>
      </c>
      <c r="M2136">
        <v>33.809835729796497</v>
      </c>
      <c r="O2136">
        <v>51.733215771785297</v>
      </c>
      <c r="P2136">
        <v>-7.2824481835543201E-2</v>
      </c>
      <c r="Q2136">
        <v>0.55428007402564905</v>
      </c>
      <c r="R2136">
        <v>0.97812692563855097</v>
      </c>
      <c r="S2136" t="s">
        <v>8588</v>
      </c>
      <c r="T2136" t="s">
        <v>12902</v>
      </c>
      <c r="U2136" t="s">
        <v>12902</v>
      </c>
      <c r="V2136" t="s">
        <v>12902</v>
      </c>
      <c r="W2136" t="s">
        <v>15001</v>
      </c>
      <c r="X2136">
        <v>6</v>
      </c>
      <c r="Y2136" t="s">
        <v>21363</v>
      </c>
      <c r="Z2136" t="s">
        <v>27711</v>
      </c>
      <c r="AA2136">
        <v>0.73352836159528878</v>
      </c>
      <c r="AB2136" t="str">
        <f>HYPERLINK("Melting_Curves/meltCurve_P17568_NDUFB7.pdf", "Melting_Curves/meltCurve_P17568_NDUFB7.pdf")</f>
        <v>Melting_Curves/meltCurve_P17568_NDUFB7.pdf</v>
      </c>
    </row>
    <row r="2137" spans="1:28" x14ac:dyDescent="0.25">
      <c r="A2137" t="s">
        <v>2141</v>
      </c>
      <c r="B2137">
        <v>0.99673306730245903</v>
      </c>
      <c r="C2137">
        <v>0.97159139494152202</v>
      </c>
      <c r="D2137">
        <v>0.94821600765834602</v>
      </c>
      <c r="E2137">
        <v>0.806063140560629</v>
      </c>
      <c r="F2137">
        <v>0.47419118424983098</v>
      </c>
      <c r="G2137">
        <v>0.14556995221761601</v>
      </c>
      <c r="H2137">
        <v>8.0462807703379297E-2</v>
      </c>
      <c r="I2137">
        <v>7.0541279342886704E-2</v>
      </c>
      <c r="J2137">
        <v>9.0314947146942395E-2</v>
      </c>
      <c r="K2137">
        <v>7.7019660457348496E-2</v>
      </c>
      <c r="L2137">
        <v>1319.8998813181299</v>
      </c>
      <c r="M2137">
        <v>25.1856280440395</v>
      </c>
      <c r="N2137">
        <v>52.695916525253097</v>
      </c>
      <c r="O2137">
        <v>52.079821330552001</v>
      </c>
      <c r="P2137">
        <v>-0.113100786285557</v>
      </c>
      <c r="Q2137">
        <v>6.4515388652243696E-2</v>
      </c>
      <c r="R2137">
        <v>0.99731852897456696</v>
      </c>
      <c r="S2137" t="s">
        <v>8589</v>
      </c>
      <c r="T2137" t="s">
        <v>12902</v>
      </c>
      <c r="U2137" t="s">
        <v>12902</v>
      </c>
      <c r="V2137" t="s">
        <v>12902</v>
      </c>
      <c r="W2137" t="s">
        <v>15002</v>
      </c>
      <c r="X2137">
        <v>10</v>
      </c>
      <c r="Y2137" t="s">
        <v>21364</v>
      </c>
      <c r="Z2137" t="s">
        <v>27712</v>
      </c>
      <c r="AA2137">
        <v>0.45984884456131903</v>
      </c>
      <c r="AB2137" t="str">
        <f>HYPERLINK("Melting_Curves/meltCurve_P17612_PRKACA.pdf", "Melting_Curves/meltCurve_P17612_PRKACA.pdf")</f>
        <v>Melting_Curves/meltCurve_P17612_PRKACA.pdf</v>
      </c>
    </row>
    <row r="2138" spans="1:28" x14ac:dyDescent="0.25">
      <c r="A2138" t="s">
        <v>2142</v>
      </c>
      <c r="B2138">
        <v>0.99673306730245903</v>
      </c>
      <c r="C2138">
        <v>0.97840031042621001</v>
      </c>
      <c r="D2138">
        <v>1.02116992540966</v>
      </c>
      <c r="E2138">
        <v>1.04758453788054</v>
      </c>
      <c r="F2138">
        <v>0.74013663247196504</v>
      </c>
      <c r="G2138">
        <v>0.25858312847794801</v>
      </c>
      <c r="H2138">
        <v>0.115434106862936</v>
      </c>
      <c r="I2138">
        <v>0.103010926321841</v>
      </c>
      <c r="J2138">
        <v>0.103998933331732</v>
      </c>
      <c r="K2138">
        <v>7.9341053864150399E-2</v>
      </c>
      <c r="L2138">
        <v>2162.1971673179601</v>
      </c>
      <c r="M2138">
        <v>39.664734445972599</v>
      </c>
      <c r="N2138">
        <v>54.810955097017498</v>
      </c>
      <c r="O2138">
        <v>54.373830355628598</v>
      </c>
      <c r="P2138">
        <v>-0.164621603714075</v>
      </c>
      <c r="Q2138">
        <v>9.7325497696437294E-2</v>
      </c>
      <c r="R2138">
        <v>0.99673198214004999</v>
      </c>
      <c r="S2138" t="s">
        <v>8590</v>
      </c>
      <c r="T2138" t="s">
        <v>12902</v>
      </c>
      <c r="U2138" t="s">
        <v>12902</v>
      </c>
      <c r="V2138" t="s">
        <v>12902</v>
      </c>
      <c r="W2138" t="s">
        <v>15003</v>
      </c>
      <c r="X2138">
        <v>12</v>
      </c>
      <c r="Y2138" t="s">
        <v>21365</v>
      </c>
      <c r="Z2138" t="s">
        <v>27713</v>
      </c>
      <c r="AA2138">
        <v>0.53742333928887398</v>
      </c>
      <c r="AB2138" t="str">
        <f>HYPERLINK("Melting_Curves/meltCurve_P17655_CAPN2.pdf", "Melting_Curves/meltCurve_P17655_CAPN2.pdf")</f>
        <v>Melting_Curves/meltCurve_P17655_CAPN2.pdf</v>
      </c>
    </row>
    <row r="2139" spans="1:28" x14ac:dyDescent="0.25">
      <c r="A2139" t="s">
        <v>2143</v>
      </c>
      <c r="B2139">
        <v>0.99673306730245903</v>
      </c>
      <c r="C2139">
        <v>0.95857939435190398</v>
      </c>
      <c r="D2139">
        <v>0.87863836335064105</v>
      </c>
      <c r="E2139">
        <v>0.54213424705376501</v>
      </c>
      <c r="F2139">
        <v>0.24474543460256101</v>
      </c>
      <c r="G2139">
        <v>0.140348295593064</v>
      </c>
      <c r="H2139">
        <v>8.8645346934928204E-2</v>
      </c>
      <c r="I2139">
        <v>7.6550446285388707E-2</v>
      </c>
      <c r="J2139">
        <v>8.8140302480626098E-2</v>
      </c>
      <c r="K2139">
        <v>6.8197204165283201E-2</v>
      </c>
      <c r="L2139">
        <v>1111.17416198506</v>
      </c>
      <c r="M2139">
        <v>22.366077664512499</v>
      </c>
      <c r="N2139">
        <v>50.049953861187703</v>
      </c>
      <c r="O2139">
        <v>49.289182407094003</v>
      </c>
      <c r="P2139">
        <v>-0.10482846854532001</v>
      </c>
      <c r="Q2139">
        <v>7.5957521074027298E-2</v>
      </c>
      <c r="R2139">
        <v>0.99949156572739395</v>
      </c>
      <c r="S2139" t="s">
        <v>8591</v>
      </c>
      <c r="T2139" t="s">
        <v>12902</v>
      </c>
      <c r="U2139" t="s">
        <v>12902</v>
      </c>
      <c r="V2139" t="s">
        <v>12902</v>
      </c>
      <c r="W2139" t="s">
        <v>15004</v>
      </c>
      <c r="X2139">
        <v>14</v>
      </c>
      <c r="Y2139" t="s">
        <v>21366</v>
      </c>
      <c r="Z2139" t="s">
        <v>27714</v>
      </c>
      <c r="AA2139">
        <v>0.3844605612030107</v>
      </c>
      <c r="AB2139" t="str">
        <f>HYPERLINK("Melting_Curves/meltCurve_P17706_2_PTPN2.pdf", "Melting_Curves/meltCurve_P17706_2_PTPN2.pdf")</f>
        <v>Melting_Curves/meltCurve_P17706_2_PTPN2.pdf</v>
      </c>
    </row>
    <row r="2140" spans="1:28" x14ac:dyDescent="0.25">
      <c r="A2140" t="s">
        <v>2144</v>
      </c>
      <c r="B2140">
        <v>0.99673306730245903</v>
      </c>
      <c r="C2140">
        <v>0.92286913587118102</v>
      </c>
      <c r="D2140">
        <v>0.94017503682270798</v>
      </c>
      <c r="E2140">
        <v>1.01258506212157</v>
      </c>
      <c r="F2140">
        <v>0.85709517936828505</v>
      </c>
      <c r="G2140">
        <v>0.69466961852608</v>
      </c>
      <c r="H2140">
        <v>0.40307081788256699</v>
      </c>
      <c r="I2140">
        <v>0.13980159413308901</v>
      </c>
      <c r="J2140">
        <v>0.105734468120467</v>
      </c>
      <c r="K2140">
        <v>9.16844514454076E-2</v>
      </c>
      <c r="L2140">
        <v>1158.1439483691199</v>
      </c>
      <c r="M2140">
        <v>19.652700572418201</v>
      </c>
      <c r="N2140">
        <v>59.082977334835498</v>
      </c>
      <c r="O2140">
        <v>58.330536336183599</v>
      </c>
      <c r="P2140">
        <v>-8.2150399760338E-2</v>
      </c>
      <c r="Q2140">
        <v>2.4722388087195499E-2</v>
      </c>
      <c r="R2140">
        <v>0.98788955015318103</v>
      </c>
      <c r="S2140" t="s">
        <v>8592</v>
      </c>
      <c r="T2140" t="s">
        <v>12902</v>
      </c>
      <c r="U2140" t="s">
        <v>12902</v>
      </c>
      <c r="V2140" t="s">
        <v>12902</v>
      </c>
      <c r="W2140" t="s">
        <v>15005</v>
      </c>
      <c r="X2140">
        <v>35</v>
      </c>
      <c r="Y2140" t="s">
        <v>21367</v>
      </c>
      <c r="Z2140" t="s">
        <v>27715</v>
      </c>
      <c r="AA2140">
        <v>0.6501695054401454</v>
      </c>
      <c r="AB2140" t="str">
        <f>HYPERLINK("Melting_Curves/meltCurve_P17812_CTPS1.pdf", "Melting_Curves/meltCurve_P17812_CTPS1.pdf")</f>
        <v>Melting_Curves/meltCurve_P17812_CTPS1.pdf</v>
      </c>
    </row>
    <row r="2141" spans="1:28" x14ac:dyDescent="0.25">
      <c r="A2141" t="s">
        <v>2145</v>
      </c>
      <c r="B2141">
        <v>0.99673306730245903</v>
      </c>
      <c r="C2141">
        <v>0.99798499816926101</v>
      </c>
      <c r="D2141">
        <v>1.05072668895383</v>
      </c>
      <c r="E2141">
        <v>1.2029443179413499</v>
      </c>
      <c r="F2141">
        <v>1.4768601532652199</v>
      </c>
      <c r="G2141">
        <v>1.3115284149444499</v>
      </c>
      <c r="H2141">
        <v>1.2388942050207801</v>
      </c>
      <c r="I2141">
        <v>1.23377729425119</v>
      </c>
      <c r="J2141">
        <v>0.82031714022580904</v>
      </c>
      <c r="K2141">
        <v>0.24735337987659201</v>
      </c>
      <c r="L2141">
        <v>15000</v>
      </c>
      <c r="M2141">
        <v>222.386858306547</v>
      </c>
      <c r="N2141">
        <v>67.657422707978</v>
      </c>
      <c r="O2141">
        <v>67.444574905064897</v>
      </c>
      <c r="P2141">
        <v>-0.62061911913915702</v>
      </c>
      <c r="Q2141">
        <v>0.24712471867937899</v>
      </c>
      <c r="R2141">
        <v>0.54089810891923995</v>
      </c>
      <c r="S2141" t="s">
        <v>8593</v>
      </c>
      <c r="T2141" t="s">
        <v>12902</v>
      </c>
      <c r="U2141" t="s">
        <v>12902</v>
      </c>
      <c r="V2141" t="s">
        <v>12902</v>
      </c>
      <c r="W2141" t="s">
        <v>15006</v>
      </c>
      <c r="X2141">
        <v>35</v>
      </c>
      <c r="Y2141" t="s">
        <v>21368</v>
      </c>
      <c r="Z2141" t="s">
        <v>27716</v>
      </c>
      <c r="AA2141">
        <v>0.93611644839507668</v>
      </c>
      <c r="AB2141" t="str">
        <f>HYPERLINK("Melting_Curves/meltCurve_P17858_PFKL.pdf", "Melting_Curves/meltCurve_P17858_PFKL.pdf")</f>
        <v>Melting_Curves/meltCurve_P17858_PFKL.pdf</v>
      </c>
    </row>
    <row r="2142" spans="1:28" x14ac:dyDescent="0.25">
      <c r="A2142" t="s">
        <v>2146</v>
      </c>
      <c r="B2142">
        <v>0.99673306730245903</v>
      </c>
      <c r="C2142">
        <v>1.0923863479367399</v>
      </c>
      <c r="D2142">
        <v>1.0440201552238799</v>
      </c>
      <c r="E2142">
        <v>0.815255717036655</v>
      </c>
      <c r="F2142">
        <v>0.76730428569979103</v>
      </c>
      <c r="G2142">
        <v>0.47483039577886099</v>
      </c>
      <c r="H2142">
        <v>0.33644830874606901</v>
      </c>
      <c r="I2142">
        <v>0.43599165713901</v>
      </c>
      <c r="J2142">
        <v>0.562801758288759</v>
      </c>
      <c r="K2142">
        <v>0.413056925425976</v>
      </c>
      <c r="L2142">
        <v>1342.76981106209</v>
      </c>
      <c r="M2142">
        <v>25.407964284096899</v>
      </c>
      <c r="N2142">
        <v>57.2567579303402</v>
      </c>
      <c r="O2142">
        <v>52.524268844745997</v>
      </c>
      <c r="P2142">
        <v>-6.9017487873575395E-2</v>
      </c>
      <c r="Q2142">
        <v>0.429305339805576</v>
      </c>
      <c r="R2142">
        <v>0.92031007000323395</v>
      </c>
      <c r="S2142" t="s">
        <v>8594</v>
      </c>
      <c r="T2142" t="s">
        <v>12902</v>
      </c>
      <c r="U2142" t="s">
        <v>12902</v>
      </c>
      <c r="V2142" t="s">
        <v>12902</v>
      </c>
      <c r="W2142" t="s">
        <v>15007</v>
      </c>
      <c r="X2142">
        <v>5</v>
      </c>
      <c r="Y2142" t="s">
        <v>21369</v>
      </c>
      <c r="Z2142" t="s">
        <v>27717</v>
      </c>
      <c r="AA2142">
        <v>0.67881268271672623</v>
      </c>
      <c r="AB2142" t="str">
        <f>HYPERLINK("Melting_Curves/meltCurve_P17900_GM2A.pdf", "Melting_Curves/meltCurve_P17900_GM2A.pdf")</f>
        <v>Melting_Curves/meltCurve_P17900_GM2A.pdf</v>
      </c>
    </row>
    <row r="2143" spans="1:28" x14ac:dyDescent="0.25">
      <c r="A2143" t="s">
        <v>2147</v>
      </c>
      <c r="B2143">
        <v>0.99673306730245903</v>
      </c>
      <c r="C2143">
        <v>0.75680003588997402</v>
      </c>
      <c r="D2143">
        <v>0.95139023280222801</v>
      </c>
      <c r="E2143">
        <v>0.86993947306375097</v>
      </c>
      <c r="F2143">
        <v>0.374269783472855</v>
      </c>
      <c r="G2143">
        <v>0.20446839776762099</v>
      </c>
      <c r="H2143">
        <v>0.10228145316227499</v>
      </c>
      <c r="I2143">
        <v>0.10440187210084401</v>
      </c>
      <c r="J2143">
        <v>9.7685020819564899E-2</v>
      </c>
      <c r="K2143">
        <v>9.8333127076814103E-2</v>
      </c>
      <c r="L2143">
        <v>1644.6629779539201</v>
      </c>
      <c r="M2143">
        <v>31.6206547276851</v>
      </c>
      <c r="N2143">
        <v>52.399174559632598</v>
      </c>
      <c r="O2143">
        <v>51.805599553994099</v>
      </c>
      <c r="P2143">
        <v>-0.13670769398411201</v>
      </c>
      <c r="Q2143">
        <v>0.104106262528707</v>
      </c>
      <c r="R2143">
        <v>0.95396563029940595</v>
      </c>
      <c r="S2143" t="s">
        <v>8595</v>
      </c>
      <c r="T2143" t="s">
        <v>12902</v>
      </c>
      <c r="U2143" t="s">
        <v>12902</v>
      </c>
      <c r="V2143" t="s">
        <v>12902</v>
      </c>
      <c r="W2143" t="s">
        <v>15008</v>
      </c>
      <c r="X2143">
        <v>13</v>
      </c>
      <c r="Y2143" t="s">
        <v>21370</v>
      </c>
      <c r="Z2143" t="s">
        <v>27718</v>
      </c>
      <c r="AA2143">
        <v>0.4679878848246079</v>
      </c>
      <c r="AB2143" t="str">
        <f>HYPERLINK("Melting_Curves/meltCurve_P17931_LGALS3.pdf", "Melting_Curves/meltCurve_P17931_LGALS3.pdf")</f>
        <v>Melting_Curves/meltCurve_P17931_LGALS3.pdf</v>
      </c>
    </row>
    <row r="2144" spans="1:28" x14ac:dyDescent="0.25">
      <c r="A2144" t="s">
        <v>2148</v>
      </c>
      <c r="B2144">
        <v>0.99673306730245903</v>
      </c>
      <c r="C2144">
        <v>1.05626899676121</v>
      </c>
      <c r="D2144">
        <v>1.1895851510331901</v>
      </c>
      <c r="E2144">
        <v>1.48170411544736</v>
      </c>
      <c r="F2144">
        <v>1.62625624346949</v>
      </c>
      <c r="G2144">
        <v>1.4572768264267899</v>
      </c>
      <c r="H2144">
        <v>0.62750461418619496</v>
      </c>
      <c r="I2144">
        <v>0.17816444928703801</v>
      </c>
      <c r="J2144">
        <v>0.13008105150909499</v>
      </c>
      <c r="K2144">
        <v>0.102655230353786</v>
      </c>
      <c r="L2144">
        <v>6732.7766575231599</v>
      </c>
      <c r="M2144">
        <v>110.450971539972</v>
      </c>
      <c r="N2144">
        <v>61.131679869524802</v>
      </c>
      <c r="O2144">
        <v>60.937176276501297</v>
      </c>
      <c r="P2144">
        <v>-0.39185870785023003</v>
      </c>
      <c r="Q2144">
        <v>0.13522672180530501</v>
      </c>
      <c r="R2144">
        <v>0.71905946479754901</v>
      </c>
      <c r="S2144" t="s">
        <v>8596</v>
      </c>
      <c r="T2144" t="s">
        <v>12902</v>
      </c>
      <c r="U2144" t="s">
        <v>12902</v>
      </c>
      <c r="V2144" t="s">
        <v>12902</v>
      </c>
      <c r="W2144" t="s">
        <v>15009</v>
      </c>
      <c r="X2144">
        <v>36</v>
      </c>
      <c r="Y2144" t="s">
        <v>21371</v>
      </c>
      <c r="Z2144" t="s">
        <v>27719</v>
      </c>
      <c r="AA2144">
        <v>0.73980726790314333</v>
      </c>
      <c r="AB2144" t="str">
        <f>HYPERLINK("Melting_Curves/meltCurve_P17987_TCP1.pdf", "Melting_Curves/meltCurve_P17987_TCP1.pdf")</f>
        <v>Melting_Curves/meltCurve_P17987_TCP1.pdf</v>
      </c>
    </row>
    <row r="2145" spans="1:28" x14ac:dyDescent="0.25">
      <c r="A2145" t="s">
        <v>2149</v>
      </c>
      <c r="B2145">
        <v>0.99673306730245903</v>
      </c>
      <c r="C2145">
        <v>0.92797571023236503</v>
      </c>
      <c r="D2145">
        <v>0.73994266973002198</v>
      </c>
      <c r="E2145">
        <v>0.35589616627962001</v>
      </c>
      <c r="F2145">
        <v>0.234481543785477</v>
      </c>
      <c r="G2145">
        <v>0.162380421735067</v>
      </c>
      <c r="H2145">
        <v>0.119367411488689</v>
      </c>
      <c r="I2145">
        <v>0.113888128107449</v>
      </c>
      <c r="J2145">
        <v>9.4828025989152506E-2</v>
      </c>
      <c r="K2145">
        <v>8.0608025378617304E-2</v>
      </c>
      <c r="L2145">
        <v>1003.93288013252</v>
      </c>
      <c r="M2145">
        <v>21.0090143306942</v>
      </c>
      <c r="N2145">
        <v>48.338278012349001</v>
      </c>
      <c r="O2145">
        <v>47.3591851232623</v>
      </c>
      <c r="P2145">
        <v>-9.9068464665005795E-2</v>
      </c>
      <c r="Q2145">
        <v>0.106730858071379</v>
      </c>
      <c r="R2145">
        <v>0.99648558864514902</v>
      </c>
      <c r="S2145" t="s">
        <v>8597</v>
      </c>
      <c r="T2145" t="s">
        <v>12902</v>
      </c>
      <c r="U2145" t="s">
        <v>12902</v>
      </c>
      <c r="V2145" t="s">
        <v>12902</v>
      </c>
      <c r="W2145" t="s">
        <v>15010</v>
      </c>
      <c r="X2145">
        <v>12</v>
      </c>
      <c r="Y2145" t="s">
        <v>21372</v>
      </c>
      <c r="Z2145" t="s">
        <v>27720</v>
      </c>
      <c r="AA2145">
        <v>0.35003668122405668</v>
      </c>
      <c r="AB2145" t="str">
        <f>HYPERLINK("Melting_Curves/meltCurve_P18031_PTPN1.pdf", "Melting_Curves/meltCurve_P18031_PTPN1.pdf")</f>
        <v>Melting_Curves/meltCurve_P18031_PTPN1.pdf</v>
      </c>
    </row>
    <row r="2146" spans="1:28" x14ac:dyDescent="0.25">
      <c r="A2146" t="s">
        <v>2150</v>
      </c>
      <c r="B2146">
        <v>0.99673306730245903</v>
      </c>
      <c r="C2146">
        <v>1.0395840830616101</v>
      </c>
      <c r="D2146">
        <v>1.02558567489011</v>
      </c>
      <c r="E2146">
        <v>0.94755798802041602</v>
      </c>
      <c r="F2146">
        <v>0.79772260234120096</v>
      </c>
      <c r="G2146">
        <v>0.64855780869978297</v>
      </c>
      <c r="H2146">
        <v>0.44111479273441601</v>
      </c>
      <c r="I2146">
        <v>0.41391367603079998</v>
      </c>
      <c r="J2146">
        <v>0.45711738739909502</v>
      </c>
      <c r="K2146">
        <v>0.37743812411181599</v>
      </c>
      <c r="L2146">
        <v>1161.5412595274299</v>
      </c>
      <c r="M2146">
        <v>20.985676838801801</v>
      </c>
      <c r="N2146">
        <v>59.733798407974398</v>
      </c>
      <c r="O2146">
        <v>54.854006273586499</v>
      </c>
      <c r="P2146">
        <v>-5.8071362386234802E-2</v>
      </c>
      <c r="Q2146">
        <v>0.39285050033447999</v>
      </c>
      <c r="R2146">
        <v>0.98788495004085697</v>
      </c>
      <c r="S2146" t="s">
        <v>8598</v>
      </c>
      <c r="T2146" t="s">
        <v>12902</v>
      </c>
      <c r="U2146" t="s">
        <v>12902</v>
      </c>
      <c r="V2146" t="s">
        <v>12902</v>
      </c>
      <c r="W2146" t="s">
        <v>15011</v>
      </c>
      <c r="X2146">
        <v>21</v>
      </c>
      <c r="Y2146" t="s">
        <v>21373</v>
      </c>
      <c r="Z2146" t="s">
        <v>27721</v>
      </c>
      <c r="AA2146">
        <v>0.71094564944850491</v>
      </c>
      <c r="AB2146" t="str">
        <f>HYPERLINK("Melting_Curves/meltCurve_P18065_IGFBP2.pdf", "Melting_Curves/meltCurve_P18065_IGFBP2.pdf")</f>
        <v>Melting_Curves/meltCurve_P18065_IGFBP2.pdf</v>
      </c>
    </row>
    <row r="2147" spans="1:28" x14ac:dyDescent="0.25">
      <c r="A2147" t="s">
        <v>2151</v>
      </c>
      <c r="B2147">
        <v>0.99673306730245903</v>
      </c>
      <c r="C2147">
        <v>1.00281383531026</v>
      </c>
      <c r="D2147">
        <v>0.86976411536546905</v>
      </c>
      <c r="E2147">
        <v>0.94507855751270098</v>
      </c>
      <c r="F2147">
        <v>0.53868628401715402</v>
      </c>
      <c r="G2147">
        <v>0.206917930593607</v>
      </c>
      <c r="H2147">
        <v>7.4849589523296303E-2</v>
      </c>
      <c r="I2147">
        <v>5.68350071428197E-2</v>
      </c>
      <c r="J2147">
        <v>5.3794523374794401E-2</v>
      </c>
      <c r="K2147">
        <v>4.2798256737538502E-2</v>
      </c>
      <c r="L2147">
        <v>1518.03776265444</v>
      </c>
      <c r="M2147">
        <v>28.409215603573202</v>
      </c>
      <c r="N2147">
        <v>53.623548753031599</v>
      </c>
      <c r="O2147">
        <v>53.172014154362003</v>
      </c>
      <c r="P2147">
        <v>-0.127214447090674</v>
      </c>
      <c r="Q2147">
        <v>4.7605375686003801E-2</v>
      </c>
      <c r="R2147">
        <v>0.99025305445284195</v>
      </c>
      <c r="S2147" t="s">
        <v>8599</v>
      </c>
      <c r="T2147" t="s">
        <v>12902</v>
      </c>
      <c r="U2147" t="s">
        <v>12902</v>
      </c>
      <c r="V2147" t="s">
        <v>12902</v>
      </c>
      <c r="W2147" t="s">
        <v>15012</v>
      </c>
      <c r="X2147">
        <v>9</v>
      </c>
      <c r="Y2147" t="s">
        <v>21374</v>
      </c>
      <c r="Z2147" t="s">
        <v>27722</v>
      </c>
      <c r="AA2147">
        <v>0.48101362404960901</v>
      </c>
      <c r="AB2147" t="str">
        <f>HYPERLINK("Melting_Curves/meltCurve_P18085_ARF4.pdf", "Melting_Curves/meltCurve_P18085_ARF4.pdf")</f>
        <v>Melting_Curves/meltCurve_P18085_ARF4.pdf</v>
      </c>
    </row>
    <row r="2148" spans="1:28" x14ac:dyDescent="0.25">
      <c r="A2148" t="s">
        <v>2152</v>
      </c>
      <c r="B2148">
        <v>0.99673306730245903</v>
      </c>
      <c r="C2148">
        <v>1.13863848252835</v>
      </c>
      <c r="D2148">
        <v>1.03826628737739</v>
      </c>
      <c r="E2148">
        <v>1.0822019749184999</v>
      </c>
      <c r="F2148">
        <v>1.0307954401487001</v>
      </c>
      <c r="G2148">
        <v>0.81993452228192998</v>
      </c>
      <c r="H2148">
        <v>0.38711836876065903</v>
      </c>
      <c r="I2148">
        <v>0.38674751624600501</v>
      </c>
      <c r="J2148">
        <v>0.498699537878324</v>
      </c>
      <c r="K2148">
        <v>0.42390306141562301</v>
      </c>
      <c r="L2148">
        <v>14244.737515914599</v>
      </c>
      <c r="M2148">
        <v>250</v>
      </c>
      <c r="N2148">
        <v>57.4119306599083</v>
      </c>
      <c r="O2148">
        <v>56.975286529422398</v>
      </c>
      <c r="P2148">
        <v>-0.63172425038146196</v>
      </c>
      <c r="Q2148">
        <v>0.424117102628495</v>
      </c>
      <c r="R2148">
        <v>0.959773287309865</v>
      </c>
      <c r="S2148" t="s">
        <v>8600</v>
      </c>
      <c r="T2148" t="s">
        <v>12902</v>
      </c>
      <c r="U2148" t="s">
        <v>12902</v>
      </c>
      <c r="V2148" t="s">
        <v>12902</v>
      </c>
      <c r="W2148" t="s">
        <v>15013</v>
      </c>
      <c r="X2148">
        <v>7</v>
      </c>
      <c r="Y2148" t="s">
        <v>21375</v>
      </c>
      <c r="Z2148" t="s">
        <v>27723</v>
      </c>
      <c r="AA2148">
        <v>0.7501042545216704</v>
      </c>
      <c r="AB2148" t="str">
        <f>HYPERLINK("Melting_Curves/meltCurve_P18124_RPL7.pdf", "Melting_Curves/meltCurve_P18124_RPL7.pdf")</f>
        <v>Melting_Curves/meltCurve_P18124_RPL7.pdf</v>
      </c>
    </row>
    <row r="2149" spans="1:28" x14ac:dyDescent="0.25">
      <c r="A2149" t="s">
        <v>2153</v>
      </c>
      <c r="B2149">
        <v>0.99673306730245903</v>
      </c>
      <c r="C2149">
        <v>0.91540484370313102</v>
      </c>
      <c r="D2149">
        <v>0.88220328097387202</v>
      </c>
      <c r="E2149">
        <v>0.74399329650359003</v>
      </c>
      <c r="F2149">
        <v>0.511882189429265</v>
      </c>
      <c r="G2149">
        <v>0.390785770884297</v>
      </c>
      <c r="H2149">
        <v>0.25176629044964399</v>
      </c>
      <c r="I2149">
        <v>0.30259971811456998</v>
      </c>
      <c r="J2149">
        <v>0.43214724325425102</v>
      </c>
      <c r="K2149">
        <v>0.48340825456516701</v>
      </c>
      <c r="L2149">
        <v>1052.1105384908001</v>
      </c>
      <c r="M2149">
        <v>21.024238221864302</v>
      </c>
      <c r="N2149">
        <v>53.290964703937497</v>
      </c>
      <c r="O2149">
        <v>49.596599609272701</v>
      </c>
      <c r="P2149">
        <v>-6.7700880076805206E-2</v>
      </c>
      <c r="Q2149">
        <v>0.36118613118503801</v>
      </c>
      <c r="R2149">
        <v>0.93064106532735702</v>
      </c>
      <c r="S2149" t="s">
        <v>8601</v>
      </c>
      <c r="T2149" t="s">
        <v>12902</v>
      </c>
      <c r="U2149" t="s">
        <v>12902</v>
      </c>
      <c r="V2149" t="s">
        <v>12902</v>
      </c>
      <c r="W2149" t="s">
        <v>15014</v>
      </c>
      <c r="X2149">
        <v>6</v>
      </c>
      <c r="Y2149" t="s">
        <v>21376</v>
      </c>
      <c r="Z2149" t="s">
        <v>27724</v>
      </c>
      <c r="AA2149">
        <v>0.58309788542550478</v>
      </c>
      <c r="AB2149" t="str">
        <f>HYPERLINK("Melting_Curves/meltCurve_P18146_EGR1.pdf", "Melting_Curves/meltCurve_P18146_EGR1.pdf")</f>
        <v>Melting_Curves/meltCurve_P18146_EGR1.pdf</v>
      </c>
    </row>
    <row r="2150" spans="1:28" x14ac:dyDescent="0.25">
      <c r="A2150" t="s">
        <v>2154</v>
      </c>
      <c r="B2150">
        <v>0.99673306730245903</v>
      </c>
      <c r="C2150">
        <v>0.96631065016058804</v>
      </c>
      <c r="D2150">
        <v>0.951254036222689</v>
      </c>
      <c r="E2150">
        <v>0.991338792235536</v>
      </c>
      <c r="F2150">
        <v>0.99533286955490596</v>
      </c>
      <c r="G2150">
        <v>0.93227566702550502</v>
      </c>
      <c r="H2150">
        <v>0.60713901387886204</v>
      </c>
      <c r="I2150">
        <v>0.30963311114082298</v>
      </c>
      <c r="J2150">
        <v>0.121699489245196</v>
      </c>
      <c r="K2150">
        <v>9.1509756072710599E-2</v>
      </c>
      <c r="L2150">
        <v>1775.0722739087901</v>
      </c>
      <c r="M2150">
        <v>28.813813961120498</v>
      </c>
      <c r="N2150">
        <v>61.858354471652802</v>
      </c>
      <c r="O2150">
        <v>61.310476971446199</v>
      </c>
      <c r="P2150">
        <v>-0.110950623012397</v>
      </c>
      <c r="Q2150">
        <v>5.5677712078235297E-2</v>
      </c>
      <c r="R2150">
        <v>0.99676117121406704</v>
      </c>
      <c r="S2150" t="s">
        <v>8602</v>
      </c>
      <c r="T2150" t="s">
        <v>12902</v>
      </c>
      <c r="U2150" t="s">
        <v>12902</v>
      </c>
      <c r="V2150" t="s">
        <v>12902</v>
      </c>
      <c r="W2150" t="s">
        <v>15015</v>
      </c>
      <c r="X2150">
        <v>67</v>
      </c>
      <c r="Y2150" t="s">
        <v>21377</v>
      </c>
      <c r="Z2150" t="s">
        <v>27725</v>
      </c>
      <c r="AA2150">
        <v>0.74061553735567143</v>
      </c>
      <c r="AB2150" t="str">
        <f>HYPERLINK("Melting_Curves/meltCurve_P18206_2_VCL.pdf", "Melting_Curves/meltCurve_P18206_2_VCL.pdf")</f>
        <v>Melting_Curves/meltCurve_P18206_2_VCL.pdf</v>
      </c>
    </row>
    <row r="2151" spans="1:28" x14ac:dyDescent="0.25">
      <c r="A2151" t="s">
        <v>2155</v>
      </c>
      <c r="B2151">
        <v>0.99673306730245903</v>
      </c>
      <c r="C2151">
        <v>1.0103888058055699</v>
      </c>
      <c r="D2151">
        <v>0.97007094526145299</v>
      </c>
      <c r="E2151">
        <v>0.97495063846116603</v>
      </c>
      <c r="F2151">
        <v>0.88949848667092402</v>
      </c>
      <c r="G2151">
        <v>0.81601658105341501</v>
      </c>
      <c r="H2151">
        <v>0.60354396887827599</v>
      </c>
      <c r="I2151">
        <v>0.68734941832521701</v>
      </c>
      <c r="J2151">
        <v>0.36040592813292699</v>
      </c>
      <c r="K2151">
        <v>0.16535321997962199</v>
      </c>
      <c r="L2151">
        <v>804.24155010053005</v>
      </c>
      <c r="M2151">
        <v>12.509041570558299</v>
      </c>
      <c r="N2151">
        <v>64.292834803600897</v>
      </c>
      <c r="O2151">
        <v>62.716058886394698</v>
      </c>
      <c r="P2151">
        <v>-4.9874022269533802E-2</v>
      </c>
      <c r="Q2151">
        <v>0</v>
      </c>
      <c r="R2151">
        <v>0.93806047694913597</v>
      </c>
      <c r="S2151" t="s">
        <v>8603</v>
      </c>
      <c r="T2151" t="s">
        <v>12902</v>
      </c>
      <c r="U2151" t="s">
        <v>12902</v>
      </c>
      <c r="V2151" t="s">
        <v>12902</v>
      </c>
      <c r="W2151" t="s">
        <v>15016</v>
      </c>
      <c r="X2151">
        <v>18</v>
      </c>
      <c r="Y2151" t="s">
        <v>20067</v>
      </c>
      <c r="Z2151" t="s">
        <v>27726</v>
      </c>
      <c r="AA2151">
        <v>0.78028985463956979</v>
      </c>
      <c r="AB2151" t="str">
        <f>HYPERLINK("Melting_Curves/meltCurve_P18283_GPX2.pdf", "Melting_Curves/meltCurve_P18283_GPX2.pdf")</f>
        <v>Melting_Curves/meltCurve_P18283_GPX2.pdf</v>
      </c>
    </row>
    <row r="2152" spans="1:28" x14ac:dyDescent="0.25">
      <c r="A2152" t="s">
        <v>2156</v>
      </c>
      <c r="B2152">
        <v>0.99673306730245903</v>
      </c>
      <c r="C2152">
        <v>0.89203677758645405</v>
      </c>
      <c r="D2152">
        <v>0.98243019884469496</v>
      </c>
      <c r="E2152">
        <v>0.77290068878060303</v>
      </c>
      <c r="F2152">
        <v>0.42190225728358799</v>
      </c>
      <c r="G2152">
        <v>0.25595275653146998</v>
      </c>
      <c r="H2152">
        <v>0.242410609731083</v>
      </c>
      <c r="I2152">
        <v>0.19523931442339801</v>
      </c>
      <c r="J2152">
        <v>0.25093871060309297</v>
      </c>
      <c r="K2152">
        <v>0.181126632966877</v>
      </c>
      <c r="L2152">
        <v>1394.08147843966</v>
      </c>
      <c r="M2152">
        <v>27.209245263319001</v>
      </c>
      <c r="N2152">
        <v>52.293634335509601</v>
      </c>
      <c r="O2152">
        <v>50.961227195835399</v>
      </c>
      <c r="P2152">
        <v>-0.105226574174828</v>
      </c>
      <c r="Q2152">
        <v>0.21167621253876301</v>
      </c>
      <c r="R2152">
        <v>0.986863780674611</v>
      </c>
      <c r="S2152" t="s">
        <v>8604</v>
      </c>
      <c r="T2152" t="s">
        <v>12902</v>
      </c>
      <c r="U2152" t="s">
        <v>12902</v>
      </c>
      <c r="V2152" t="s">
        <v>12902</v>
      </c>
      <c r="W2152" t="s">
        <v>15017</v>
      </c>
      <c r="X2152">
        <v>2</v>
      </c>
      <c r="Y2152" t="s">
        <v>21378</v>
      </c>
      <c r="Z2152" t="s">
        <v>27727</v>
      </c>
      <c r="AA2152">
        <v>0.51296167116299596</v>
      </c>
      <c r="AB2152" t="str">
        <f>HYPERLINK("Melting_Curves/meltCurve_P18583_2_SON.pdf", "Melting_Curves/meltCurve_P18583_2_SON.pdf")</f>
        <v>Melting_Curves/meltCurve_P18583_2_SON.pdf</v>
      </c>
    </row>
    <row r="2153" spans="1:28" x14ac:dyDescent="0.25">
      <c r="A2153" t="s">
        <v>2157</v>
      </c>
      <c r="B2153">
        <v>0.99673306730245903</v>
      </c>
      <c r="C2153">
        <v>0.93779945782989005</v>
      </c>
      <c r="D2153">
        <v>0.82300102704509204</v>
      </c>
      <c r="E2153">
        <v>0.62999206282225195</v>
      </c>
      <c r="F2153">
        <v>0.43459724700354802</v>
      </c>
      <c r="G2153">
        <v>0.33692188500319198</v>
      </c>
      <c r="H2153">
        <v>0.26039702247781898</v>
      </c>
      <c r="I2153">
        <v>0.36718242642167598</v>
      </c>
      <c r="J2153">
        <v>0.56694872239086302</v>
      </c>
      <c r="K2153">
        <v>0.57342558004773703</v>
      </c>
      <c r="L2153">
        <v>1176.51831979962</v>
      </c>
      <c r="M2153">
        <v>24.6230952252827</v>
      </c>
      <c r="N2153">
        <v>51.5739921941231</v>
      </c>
      <c r="O2153">
        <v>47.469280570654398</v>
      </c>
      <c r="P2153">
        <v>-7.5442838995442699E-2</v>
      </c>
      <c r="Q2153">
        <v>0.41824273810752799</v>
      </c>
      <c r="R2153">
        <v>0.85255495697776695</v>
      </c>
      <c r="S2153" t="s">
        <v>8605</v>
      </c>
      <c r="T2153" t="s">
        <v>12902</v>
      </c>
      <c r="U2153" t="s">
        <v>12902</v>
      </c>
      <c r="V2153" t="s">
        <v>12902</v>
      </c>
      <c r="W2153" t="s">
        <v>15018</v>
      </c>
      <c r="X2153">
        <v>16</v>
      </c>
      <c r="Y2153" t="s">
        <v>21379</v>
      </c>
      <c r="Z2153" t="s">
        <v>27728</v>
      </c>
      <c r="AA2153">
        <v>0.57444918325098515</v>
      </c>
      <c r="AB2153" t="str">
        <f>HYPERLINK("Melting_Curves/meltCurve_P18615_NELFE.pdf", "Melting_Curves/meltCurve_P18615_NELFE.pdf")</f>
        <v>Melting_Curves/meltCurve_P18615_NELFE.pdf</v>
      </c>
    </row>
    <row r="2154" spans="1:28" x14ac:dyDescent="0.25">
      <c r="A2154" t="s">
        <v>2158</v>
      </c>
      <c r="B2154">
        <v>0.99673306730245903</v>
      </c>
      <c r="C2154">
        <v>1.02071340657486</v>
      </c>
      <c r="D2154">
        <v>1.0477690613625199</v>
      </c>
      <c r="E2154">
        <v>1.00594972695693</v>
      </c>
      <c r="F2154">
        <v>0.92676670800591698</v>
      </c>
      <c r="G2154">
        <v>0.88483875073120699</v>
      </c>
      <c r="H2154">
        <v>0.71888822990846102</v>
      </c>
      <c r="I2154">
        <v>0.93152336123905999</v>
      </c>
      <c r="J2154">
        <v>0.74562404372121205</v>
      </c>
      <c r="K2154">
        <v>0.22825037713628399</v>
      </c>
      <c r="L2154">
        <v>3396.6029139900402</v>
      </c>
      <c r="M2154">
        <v>49.6583784266588</v>
      </c>
      <c r="N2154">
        <v>68.399392496828796</v>
      </c>
      <c r="O2154">
        <v>68.288741306883907</v>
      </c>
      <c r="P2154">
        <v>-0.18179578625492099</v>
      </c>
      <c r="Q2154">
        <v>0</v>
      </c>
      <c r="R2154">
        <v>0.813232813541241</v>
      </c>
      <c r="S2154" t="s">
        <v>8606</v>
      </c>
      <c r="T2154" t="s">
        <v>12902</v>
      </c>
      <c r="U2154" t="s">
        <v>12902</v>
      </c>
      <c r="V2154" t="s">
        <v>12902</v>
      </c>
      <c r="W2154" t="s">
        <v>15019</v>
      </c>
      <c r="X2154">
        <v>32</v>
      </c>
      <c r="Y2154" t="s">
        <v>21380</v>
      </c>
      <c r="Z2154" t="s">
        <v>27729</v>
      </c>
      <c r="AA2154">
        <v>0.93567540176121755</v>
      </c>
      <c r="AB2154" t="str">
        <f>HYPERLINK("Melting_Curves/meltCurve_P18669_PGAM1.pdf", "Melting_Curves/meltCurve_P18669_PGAM1.pdf")</f>
        <v>Melting_Curves/meltCurve_P18669_PGAM1.pdf</v>
      </c>
    </row>
    <row r="2155" spans="1:28" x14ac:dyDescent="0.25">
      <c r="A2155" t="s">
        <v>2159</v>
      </c>
      <c r="B2155">
        <v>0.99673306730245903</v>
      </c>
      <c r="C2155">
        <v>1.0010010640931499</v>
      </c>
      <c r="D2155">
        <v>0.45369171784425499</v>
      </c>
      <c r="E2155">
        <v>0.32799266337646699</v>
      </c>
      <c r="F2155">
        <v>0.11369194364676601</v>
      </c>
      <c r="G2155">
        <v>7.2428331817907698E-2</v>
      </c>
      <c r="H2155">
        <v>4.52040377629098E-2</v>
      </c>
      <c r="I2155">
        <v>4.5334134375922902E-2</v>
      </c>
      <c r="J2155">
        <v>5.5320343880396701E-2</v>
      </c>
      <c r="K2155">
        <v>5.30610883087426E-2</v>
      </c>
      <c r="L2155">
        <v>1089.69695006795</v>
      </c>
      <c r="M2155">
        <v>23.510087775320901</v>
      </c>
      <c r="N2155">
        <v>46.610283191819804</v>
      </c>
      <c r="O2155">
        <v>46.018727874472802</v>
      </c>
      <c r="P2155">
        <v>-0.11987071416143399</v>
      </c>
      <c r="Q2155">
        <v>6.1474318559022703E-2</v>
      </c>
      <c r="R2155">
        <v>0.96932398728303604</v>
      </c>
      <c r="S2155" t="s">
        <v>8607</v>
      </c>
      <c r="T2155" t="s">
        <v>12902</v>
      </c>
      <c r="U2155" t="s">
        <v>12902</v>
      </c>
      <c r="V2155" t="s">
        <v>12902</v>
      </c>
      <c r="W2155" t="s">
        <v>15020</v>
      </c>
      <c r="X2155">
        <v>16</v>
      </c>
      <c r="Y2155" t="s">
        <v>21381</v>
      </c>
      <c r="Z2155" t="s">
        <v>27730</v>
      </c>
      <c r="AA2155">
        <v>0.2699509148206059</v>
      </c>
      <c r="AB2155" t="str">
        <f>HYPERLINK("Melting_Curves/meltCurve_P18754_RCC1.pdf", "Melting_Curves/meltCurve_P18754_RCC1.pdf")</f>
        <v>Melting_Curves/meltCurve_P18754_RCC1.pdf</v>
      </c>
    </row>
    <row r="2156" spans="1:28" x14ac:dyDescent="0.25">
      <c r="A2156" t="s">
        <v>2160</v>
      </c>
      <c r="B2156">
        <v>0.99673306730245903</v>
      </c>
      <c r="C2156">
        <v>0.98300092814086903</v>
      </c>
      <c r="D2156">
        <v>0.93976380866164799</v>
      </c>
      <c r="E2156">
        <v>0.88906547222006604</v>
      </c>
      <c r="F2156">
        <v>0.68900605285264604</v>
      </c>
      <c r="G2156">
        <v>0.82114902804445</v>
      </c>
      <c r="H2156">
        <v>0.76960984333396898</v>
      </c>
      <c r="I2156">
        <v>0.99645331647873803</v>
      </c>
      <c r="J2156">
        <v>1.08400933023283</v>
      </c>
      <c r="K2156">
        <v>1.0914684154540999</v>
      </c>
      <c r="L2156">
        <v>2055.39314878798</v>
      </c>
      <c r="M2156">
        <v>45.552336356620202</v>
      </c>
      <c r="O2156">
        <v>45.034872536716499</v>
      </c>
      <c r="P2156">
        <v>-2.3731994072104499E-2</v>
      </c>
      <c r="Q2156">
        <v>0.90615049908928902</v>
      </c>
      <c r="R2156">
        <v>6.9752227015889595E-2</v>
      </c>
      <c r="S2156" t="s">
        <v>8608</v>
      </c>
      <c r="T2156" t="s">
        <v>12902</v>
      </c>
      <c r="U2156" t="s">
        <v>12902</v>
      </c>
      <c r="V2156" t="s">
        <v>12902</v>
      </c>
      <c r="W2156" t="s">
        <v>15021</v>
      </c>
      <c r="X2156">
        <v>3</v>
      </c>
      <c r="Y2156" t="s">
        <v>21382</v>
      </c>
      <c r="Z2156" t="s">
        <v>27731</v>
      </c>
      <c r="AA2156">
        <v>0.92240457933637321</v>
      </c>
      <c r="AB2156" t="str">
        <f>HYPERLINK("Melting_Curves/meltCurve_P18827_SDC1.pdf", "Melting_Curves/meltCurve_P18827_SDC1.pdf")</f>
        <v>Melting_Curves/meltCurve_P18827_SDC1.pdf</v>
      </c>
    </row>
    <row r="2157" spans="1:28" x14ac:dyDescent="0.25">
      <c r="A2157" t="s">
        <v>2161</v>
      </c>
      <c r="B2157">
        <v>0.99673306730245903</v>
      </c>
      <c r="C2157">
        <v>0.93686682102971597</v>
      </c>
      <c r="D2157">
        <v>0.89267618159366502</v>
      </c>
      <c r="E2157">
        <v>0.78991445721480402</v>
      </c>
      <c r="F2157">
        <v>0.70568406537385098</v>
      </c>
      <c r="G2157">
        <v>0.57886502058963296</v>
      </c>
      <c r="H2157">
        <v>0.69382659877584996</v>
      </c>
      <c r="I2157">
        <v>1.1857567744615101</v>
      </c>
      <c r="J2157">
        <v>1.8209808585576801</v>
      </c>
      <c r="K2157">
        <v>1.92602509988348</v>
      </c>
      <c r="L2157">
        <v>15000</v>
      </c>
      <c r="M2157">
        <v>233.84963664881499</v>
      </c>
      <c r="O2157">
        <v>64.139091037959403</v>
      </c>
      <c r="P2157">
        <v>0.45574710385963302</v>
      </c>
      <c r="Q2157">
        <v>1.5</v>
      </c>
      <c r="R2157">
        <v>0.641078276343786</v>
      </c>
      <c r="S2157" t="s">
        <v>8609</v>
      </c>
      <c r="T2157" t="s">
        <v>12902</v>
      </c>
      <c r="U2157" t="s">
        <v>12902</v>
      </c>
      <c r="V2157" t="s">
        <v>12902</v>
      </c>
      <c r="W2157" t="s">
        <v>15022</v>
      </c>
      <c r="X2157">
        <v>6</v>
      </c>
      <c r="Y2157" t="s">
        <v>21383</v>
      </c>
      <c r="Z2157" t="s">
        <v>27732</v>
      </c>
      <c r="AA2157">
        <v>1.097539310788274</v>
      </c>
      <c r="AB2157" t="str">
        <f>HYPERLINK("Melting_Curves/meltCurve_P18846_ATF1.pdf", "Melting_Curves/meltCurve_P18846_ATF1.pdf")</f>
        <v>Melting_Curves/meltCurve_P18846_ATF1.pdf</v>
      </c>
    </row>
    <row r="2158" spans="1:28" x14ac:dyDescent="0.25">
      <c r="A2158" t="s">
        <v>2162</v>
      </c>
      <c r="B2158">
        <v>0.99673306730245903</v>
      </c>
      <c r="C2158">
        <v>0.97355101587286397</v>
      </c>
      <c r="D2158">
        <v>0.86792369048097096</v>
      </c>
      <c r="E2158">
        <v>0.45964923286824899</v>
      </c>
      <c r="F2158">
        <v>0.15750515647969501</v>
      </c>
      <c r="G2158">
        <v>9.6538581258693107E-2</v>
      </c>
      <c r="H2158">
        <v>6.3484181323004304E-2</v>
      </c>
      <c r="I2158">
        <v>6.2552806549163606E-2</v>
      </c>
      <c r="J2158">
        <v>7.2259582030275701E-2</v>
      </c>
      <c r="K2158">
        <v>6.7013399719917502E-2</v>
      </c>
      <c r="L2158">
        <v>1342.25956822648</v>
      </c>
      <c r="M2158">
        <v>27.384749254043001</v>
      </c>
      <c r="N2158">
        <v>49.268974248745202</v>
      </c>
      <c r="O2158">
        <v>48.7557187598713</v>
      </c>
      <c r="P2158">
        <v>-0.13117134755074</v>
      </c>
      <c r="Q2158">
        <v>6.5860581118829503E-2</v>
      </c>
      <c r="R2158">
        <v>0.99980587042704605</v>
      </c>
      <c r="S2158" t="s">
        <v>8610</v>
      </c>
      <c r="T2158" t="s">
        <v>12902</v>
      </c>
      <c r="U2158" t="s">
        <v>12902</v>
      </c>
      <c r="V2158" t="s">
        <v>12902</v>
      </c>
      <c r="W2158" t="s">
        <v>15023</v>
      </c>
      <c r="X2158">
        <v>23</v>
      </c>
      <c r="Y2158" t="s">
        <v>21384</v>
      </c>
      <c r="Z2158" t="s">
        <v>27733</v>
      </c>
      <c r="AA2158">
        <v>0.35342777411289278</v>
      </c>
      <c r="AB2158" t="str">
        <f>HYPERLINK("Melting_Curves/meltCurve_P18858_LIG1.pdf", "Melting_Curves/meltCurve_P18858_LIG1.pdf")</f>
        <v>Melting_Curves/meltCurve_P18858_LIG1.pdf</v>
      </c>
    </row>
    <row r="2159" spans="1:28" x14ac:dyDescent="0.25">
      <c r="A2159" t="s">
        <v>2163</v>
      </c>
      <c r="B2159">
        <v>0.99673306730245903</v>
      </c>
      <c r="C2159">
        <v>0.98458000501702403</v>
      </c>
      <c r="D2159">
        <v>1.0239627280364401</v>
      </c>
      <c r="E2159">
        <v>1.07949591200901</v>
      </c>
      <c r="F2159">
        <v>1.0910374873194999</v>
      </c>
      <c r="G2159">
        <v>1.1705907878280799</v>
      </c>
      <c r="H2159">
        <v>1.28344531886874</v>
      </c>
      <c r="I2159">
        <v>2.3504750323703498</v>
      </c>
      <c r="J2159">
        <v>4.2273231524236099</v>
      </c>
      <c r="K2159">
        <v>3.9835621249002999</v>
      </c>
      <c r="L2159">
        <v>3068.9914870124999</v>
      </c>
      <c r="M2159">
        <v>53.223249973438897</v>
      </c>
      <c r="O2159">
        <v>57.581377012003401</v>
      </c>
      <c r="P2159">
        <v>0.115539276915518</v>
      </c>
      <c r="Q2159">
        <v>1.5</v>
      </c>
      <c r="R2159">
        <v>1.17556496410532E-2</v>
      </c>
      <c r="S2159" t="s">
        <v>8611</v>
      </c>
      <c r="T2159" t="s">
        <v>12902</v>
      </c>
      <c r="U2159" t="s">
        <v>12902</v>
      </c>
      <c r="V2159" t="s">
        <v>12902</v>
      </c>
      <c r="W2159" t="s">
        <v>15024</v>
      </c>
      <c r="X2159">
        <v>10</v>
      </c>
      <c r="Y2159" t="s">
        <v>21385</v>
      </c>
      <c r="Z2159" t="s">
        <v>27734</v>
      </c>
      <c r="AA2159">
        <v>1.2045038815400531</v>
      </c>
      <c r="AB2159" t="str">
        <f>HYPERLINK("Melting_Curves/meltCurve_P18859_ATP5J.pdf", "Melting_Curves/meltCurve_P18859_ATP5J.pdf")</f>
        <v>Melting_Curves/meltCurve_P18859_ATP5J.pdf</v>
      </c>
    </row>
    <row r="2160" spans="1:28" x14ac:dyDescent="0.25">
      <c r="A2160" t="s">
        <v>2164</v>
      </c>
      <c r="B2160">
        <v>0.99673306730245903</v>
      </c>
      <c r="C2160">
        <v>0.91106758417592304</v>
      </c>
      <c r="D2160">
        <v>0.95924586878393903</v>
      </c>
      <c r="E2160">
        <v>0.89567972779573102</v>
      </c>
      <c r="F2160">
        <v>0.80085930238880298</v>
      </c>
      <c r="G2160">
        <v>0.68424889521730903</v>
      </c>
      <c r="H2160">
        <v>0.53587003813844103</v>
      </c>
      <c r="I2160">
        <v>0.54618020257340805</v>
      </c>
      <c r="J2160">
        <v>0.49603534779002101</v>
      </c>
      <c r="K2160">
        <v>0.401955241286714</v>
      </c>
      <c r="L2160">
        <v>530.76144726725795</v>
      </c>
      <c r="M2160">
        <v>9.1509628144433801</v>
      </c>
      <c r="N2160">
        <v>64.831691573750106</v>
      </c>
      <c r="O2160">
        <v>55.4322428404164</v>
      </c>
      <c r="P2160">
        <v>-2.8522935802857401E-2</v>
      </c>
      <c r="Q2160">
        <v>0.30935663554689602</v>
      </c>
      <c r="R2160">
        <v>0.97743378150579596</v>
      </c>
      <c r="S2160" t="s">
        <v>8612</v>
      </c>
      <c r="T2160" t="s">
        <v>12902</v>
      </c>
      <c r="U2160" t="s">
        <v>12902</v>
      </c>
      <c r="V2160" t="s">
        <v>12902</v>
      </c>
      <c r="W2160" t="s">
        <v>15025</v>
      </c>
      <c r="X2160">
        <v>5</v>
      </c>
      <c r="Y2160" t="s">
        <v>21386</v>
      </c>
      <c r="Z2160" t="s">
        <v>27735</v>
      </c>
      <c r="AA2160">
        <v>0.72912348468843746</v>
      </c>
      <c r="AB2160" t="str">
        <f>HYPERLINK("Melting_Curves/meltCurve_P19021_6_PAM.pdf", "Melting_Curves/meltCurve_P19021_6_PAM.pdf")</f>
        <v>Melting_Curves/meltCurve_P19021_6_PAM.pdf</v>
      </c>
    </row>
    <row r="2161" spans="1:28" x14ac:dyDescent="0.25">
      <c r="A2161" t="s">
        <v>2165</v>
      </c>
      <c r="B2161">
        <v>0.99673306730245903</v>
      </c>
      <c r="C2161">
        <v>0.96578491201498395</v>
      </c>
      <c r="D2161">
        <v>0.81457847917959303</v>
      </c>
      <c r="E2161">
        <v>0.54448378774059303</v>
      </c>
      <c r="F2161">
        <v>0.42876566292892299</v>
      </c>
      <c r="G2161">
        <v>0.231915681750542</v>
      </c>
      <c r="H2161">
        <v>0.146564976006789</v>
      </c>
      <c r="I2161">
        <v>0.139392323186665</v>
      </c>
      <c r="J2161">
        <v>0.196983061967031</v>
      </c>
      <c r="K2161">
        <v>0.20720070201979601</v>
      </c>
      <c r="L2161">
        <v>828.80495524134301</v>
      </c>
      <c r="M2161">
        <v>16.711402910112898</v>
      </c>
      <c r="N2161">
        <v>50.757994128269701</v>
      </c>
      <c r="O2161">
        <v>48.901341767070903</v>
      </c>
      <c r="P2161">
        <v>-7.1851644410723101E-2</v>
      </c>
      <c r="Q2161">
        <v>0.159039236754346</v>
      </c>
      <c r="R2161">
        <v>0.98790528292796898</v>
      </c>
      <c r="S2161" t="s">
        <v>8613</v>
      </c>
      <c r="T2161" t="s">
        <v>12902</v>
      </c>
      <c r="U2161" t="s">
        <v>12902</v>
      </c>
      <c r="V2161" t="s">
        <v>12902</v>
      </c>
      <c r="W2161" t="s">
        <v>15026</v>
      </c>
      <c r="X2161">
        <v>3</v>
      </c>
      <c r="Y2161" t="s">
        <v>21387</v>
      </c>
      <c r="Z2161" t="s">
        <v>27736</v>
      </c>
      <c r="AA2161">
        <v>0.44464009613738631</v>
      </c>
      <c r="AB2161" t="str">
        <f>HYPERLINK("Melting_Curves/meltCurve_P19174_PLCG1.pdf", "Melting_Curves/meltCurve_P19174_PLCG1.pdf")</f>
        <v>Melting_Curves/meltCurve_P19174_PLCG1.pdf</v>
      </c>
    </row>
    <row r="2162" spans="1:28" x14ac:dyDescent="0.25">
      <c r="A2162" t="s">
        <v>2166</v>
      </c>
      <c r="B2162">
        <v>0.99673306730245903</v>
      </c>
      <c r="C2162">
        <v>0.92546208370755201</v>
      </c>
      <c r="D2162">
        <v>0.87767455901923896</v>
      </c>
      <c r="E2162">
        <v>0.91838226906721299</v>
      </c>
      <c r="F2162">
        <v>0.526281043554641</v>
      </c>
      <c r="G2162">
        <v>0.30028510847973899</v>
      </c>
      <c r="H2162">
        <v>0.21799232342032501</v>
      </c>
      <c r="I2162">
        <v>0.26440853187215402</v>
      </c>
      <c r="J2162">
        <v>0.32481856180714802</v>
      </c>
      <c r="K2162">
        <v>0.33923138948460302</v>
      </c>
      <c r="L2162">
        <v>1974.6128225971199</v>
      </c>
      <c r="M2162">
        <v>37.817740745582803</v>
      </c>
      <c r="N2162">
        <v>53.391918286933098</v>
      </c>
      <c r="O2162">
        <v>52.068555450110502</v>
      </c>
      <c r="P2162">
        <v>-0.13020398949923401</v>
      </c>
      <c r="Q2162">
        <v>0.28292721444114699</v>
      </c>
      <c r="R2162">
        <v>0.96807204533945401</v>
      </c>
      <c r="S2162" t="s">
        <v>8614</v>
      </c>
      <c r="T2162" t="s">
        <v>12902</v>
      </c>
      <c r="U2162" t="s">
        <v>12902</v>
      </c>
      <c r="V2162" t="s">
        <v>12902</v>
      </c>
      <c r="W2162" t="s">
        <v>15027</v>
      </c>
      <c r="X2162">
        <v>32</v>
      </c>
      <c r="Y2162" t="s">
        <v>21388</v>
      </c>
      <c r="Z2162" t="s">
        <v>27737</v>
      </c>
      <c r="AA2162">
        <v>0.57776487914293073</v>
      </c>
      <c r="AB2162" t="str">
        <f>HYPERLINK("Melting_Curves/meltCurve_P19338_NCL.pdf", "Melting_Curves/meltCurve_P19338_NCL.pdf")</f>
        <v>Melting_Curves/meltCurve_P19338_NCL.pdf</v>
      </c>
    </row>
    <row r="2163" spans="1:28" x14ac:dyDescent="0.25">
      <c r="A2163" t="s">
        <v>2167</v>
      </c>
      <c r="B2163">
        <v>0.99673306730245903</v>
      </c>
      <c r="C2163">
        <v>0.98409643410647196</v>
      </c>
      <c r="D2163">
        <v>0.90382644260843503</v>
      </c>
      <c r="E2163">
        <v>0.86497439215091698</v>
      </c>
      <c r="F2163">
        <v>0.36335390493425801</v>
      </c>
      <c r="G2163">
        <v>0.132697297824421</v>
      </c>
      <c r="H2163">
        <v>6.7761065416092003E-2</v>
      </c>
      <c r="I2163">
        <v>5.94343938633407E-2</v>
      </c>
      <c r="J2163">
        <v>6.5606811691480693E-2</v>
      </c>
      <c r="K2163">
        <v>5.5988755820148797E-2</v>
      </c>
      <c r="L2163">
        <v>1678.0663543809401</v>
      </c>
      <c r="M2163">
        <v>32.228611628909498</v>
      </c>
      <c r="N2163">
        <v>52.277238617419698</v>
      </c>
      <c r="O2163">
        <v>51.868360474050299</v>
      </c>
      <c r="P2163">
        <v>-0.14592268982135301</v>
      </c>
      <c r="Q2163">
        <v>6.0619341661689898E-2</v>
      </c>
      <c r="R2163">
        <v>0.99523781583646798</v>
      </c>
      <c r="S2163" t="s">
        <v>8615</v>
      </c>
      <c r="T2163" t="s">
        <v>12902</v>
      </c>
      <c r="U2163" t="s">
        <v>12902</v>
      </c>
      <c r="V2163" t="s">
        <v>12902</v>
      </c>
      <c r="W2163" t="s">
        <v>15028</v>
      </c>
      <c r="X2163">
        <v>62</v>
      </c>
      <c r="Y2163" t="s">
        <v>21389</v>
      </c>
      <c r="Z2163" t="s">
        <v>27738</v>
      </c>
      <c r="AA2163">
        <v>0.44369877964651899</v>
      </c>
      <c r="AB2163" t="str">
        <f>HYPERLINK("Melting_Curves/meltCurve_P19367_HK1.pdf", "Melting_Curves/meltCurve_P19367_HK1.pdf")</f>
        <v>Melting_Curves/meltCurve_P19367_HK1.pdf</v>
      </c>
    </row>
    <row r="2164" spans="1:28" x14ac:dyDescent="0.25">
      <c r="A2164" t="s">
        <v>2168</v>
      </c>
      <c r="B2164">
        <v>0.99673306730245903</v>
      </c>
      <c r="C2164">
        <v>0.87184013447198805</v>
      </c>
      <c r="D2164">
        <v>0.80016093643500996</v>
      </c>
      <c r="E2164">
        <v>0.79977961065288194</v>
      </c>
      <c r="F2164">
        <v>0.90046876013158295</v>
      </c>
      <c r="G2164">
        <v>0.53055838866866201</v>
      </c>
      <c r="H2164">
        <v>0.36864544936521199</v>
      </c>
      <c r="I2164">
        <v>0.22741882212439701</v>
      </c>
      <c r="J2164">
        <v>0.16843383054376901</v>
      </c>
      <c r="K2164">
        <v>0.135576619203645</v>
      </c>
      <c r="L2164">
        <v>632.27847280047899</v>
      </c>
      <c r="M2164">
        <v>10.906271079925</v>
      </c>
      <c r="N2164">
        <v>57.973840381221301</v>
      </c>
      <c r="O2164">
        <v>56.126922585447197</v>
      </c>
      <c r="P2164">
        <v>-4.859553137547E-2</v>
      </c>
      <c r="Q2164">
        <v>0</v>
      </c>
      <c r="R2164">
        <v>0.93095333018450799</v>
      </c>
      <c r="S2164" t="s">
        <v>8616</v>
      </c>
      <c r="T2164" t="s">
        <v>12902</v>
      </c>
      <c r="U2164" t="s">
        <v>12902</v>
      </c>
      <c r="V2164" t="s">
        <v>12902</v>
      </c>
      <c r="W2164" t="s">
        <v>15029</v>
      </c>
      <c r="X2164">
        <v>6</v>
      </c>
      <c r="Y2164" t="s">
        <v>21390</v>
      </c>
      <c r="Z2164" t="s">
        <v>27739</v>
      </c>
      <c r="AA2164">
        <v>0.61077507088107452</v>
      </c>
      <c r="AB2164" t="str">
        <f>HYPERLINK("Melting_Curves/meltCurve_P19387_POLR2C.pdf", "Melting_Curves/meltCurve_P19387_POLR2C.pdf")</f>
        <v>Melting_Curves/meltCurve_P19387_POLR2C.pdf</v>
      </c>
    </row>
    <row r="2165" spans="1:28" x14ac:dyDescent="0.25">
      <c r="A2165" t="s">
        <v>2169</v>
      </c>
      <c r="B2165">
        <v>0.99673306730245903</v>
      </c>
      <c r="C2165">
        <v>0.74427529185729502</v>
      </c>
      <c r="D2165">
        <v>0.70862996718462701</v>
      </c>
      <c r="E2165">
        <v>0.71678758438197498</v>
      </c>
      <c r="F2165">
        <v>0.66353303193132196</v>
      </c>
      <c r="G2165">
        <v>0.58864658704973305</v>
      </c>
      <c r="H2165">
        <v>0.61244185163134002</v>
      </c>
      <c r="I2165">
        <v>0.17615726344062699</v>
      </c>
      <c r="J2165">
        <v>0.12452058636086399</v>
      </c>
      <c r="K2165">
        <v>8.4100522453228299E-2</v>
      </c>
      <c r="L2165">
        <v>392.01420812264899</v>
      </c>
      <c r="M2165">
        <v>6.9633879039902196</v>
      </c>
      <c r="N2165">
        <v>56.296477161883899</v>
      </c>
      <c r="O2165">
        <v>52.204348103582703</v>
      </c>
      <c r="P2165">
        <v>-3.3409808554802599E-2</v>
      </c>
      <c r="Q2165">
        <v>0</v>
      </c>
      <c r="R2165">
        <v>0.81461707654993698</v>
      </c>
      <c r="S2165" t="s">
        <v>8617</v>
      </c>
      <c r="T2165" t="s">
        <v>12902</v>
      </c>
      <c r="U2165" t="s">
        <v>12902</v>
      </c>
      <c r="V2165" t="s">
        <v>12902</v>
      </c>
      <c r="W2165" t="s">
        <v>15030</v>
      </c>
      <c r="X2165">
        <v>4</v>
      </c>
      <c r="Y2165" t="s">
        <v>21391</v>
      </c>
      <c r="Z2165" t="s">
        <v>27740</v>
      </c>
      <c r="AA2165">
        <v>0.55828384351489269</v>
      </c>
      <c r="AB2165" t="str">
        <f>HYPERLINK("Melting_Curves/meltCurve_P19388_POLR2E.pdf", "Melting_Curves/meltCurve_P19388_POLR2E.pdf")</f>
        <v>Melting_Curves/meltCurve_P19388_POLR2E.pdf</v>
      </c>
    </row>
    <row r="2166" spans="1:28" x14ac:dyDescent="0.25">
      <c r="A2166" t="s">
        <v>2170</v>
      </c>
      <c r="B2166">
        <v>0.99673306730245903</v>
      </c>
      <c r="C2166">
        <v>0.73983753950198505</v>
      </c>
      <c r="D2166">
        <v>0.33469228555074099</v>
      </c>
      <c r="E2166">
        <v>0.187197155082789</v>
      </c>
      <c r="F2166">
        <v>0.119257301386775</v>
      </c>
      <c r="G2166">
        <v>7.9331125114668902E-2</v>
      </c>
      <c r="H2166">
        <v>6.2197208580805498E-2</v>
      </c>
      <c r="I2166">
        <v>5.5240520494143901E-2</v>
      </c>
      <c r="J2166">
        <v>6.2843538362472501E-2</v>
      </c>
      <c r="K2166">
        <v>5.3249293168996702E-2</v>
      </c>
      <c r="L2166">
        <v>1129.1806460318301</v>
      </c>
      <c r="M2166">
        <v>25.357756667715201</v>
      </c>
      <c r="N2166">
        <v>44.811459463147997</v>
      </c>
      <c r="O2166">
        <v>44.255833542297097</v>
      </c>
      <c r="P2166">
        <v>-0.13270182135358999</v>
      </c>
      <c r="Q2166">
        <v>7.3616256676217504E-2</v>
      </c>
      <c r="R2166">
        <v>0.99282099837450699</v>
      </c>
      <c r="S2166" t="s">
        <v>8618</v>
      </c>
      <c r="T2166" t="s">
        <v>12902</v>
      </c>
      <c r="U2166" t="s">
        <v>12902</v>
      </c>
      <c r="V2166" t="s">
        <v>12902</v>
      </c>
      <c r="W2166" t="s">
        <v>15031</v>
      </c>
      <c r="X2166">
        <v>13</v>
      </c>
      <c r="Y2166" t="s">
        <v>21392</v>
      </c>
      <c r="Z2166" t="s">
        <v>27741</v>
      </c>
      <c r="AA2166">
        <v>0.22293135776527781</v>
      </c>
      <c r="AB2166" t="str">
        <f>HYPERLINK("Melting_Curves/meltCurve_P19525_EIF2AK2.pdf", "Melting_Curves/meltCurve_P19525_EIF2AK2.pdf")</f>
        <v>Melting_Curves/meltCurve_P19525_EIF2AK2.pdf</v>
      </c>
    </row>
    <row r="2167" spans="1:28" x14ac:dyDescent="0.25">
      <c r="A2167" t="s">
        <v>2171</v>
      </c>
      <c r="B2167">
        <v>0.99673306730245903</v>
      </c>
      <c r="C2167">
        <v>0.95515697961476498</v>
      </c>
      <c r="D2167">
        <v>0.60032714438701795</v>
      </c>
      <c r="E2167">
        <v>0.342942550436935</v>
      </c>
      <c r="F2167">
        <v>0.15149753398888999</v>
      </c>
      <c r="G2167">
        <v>8.7338255908974302E-2</v>
      </c>
      <c r="H2167">
        <v>5.28136260087591E-2</v>
      </c>
      <c r="I2167">
        <v>5.2685540442042898E-2</v>
      </c>
      <c r="J2167">
        <v>5.4157773290744997E-2</v>
      </c>
      <c r="K2167">
        <v>4.43861876752615E-2</v>
      </c>
      <c r="L2167">
        <v>959.76153317195894</v>
      </c>
      <c r="M2167">
        <v>20.300460109318902</v>
      </c>
      <c r="N2167">
        <v>47.5328956229542</v>
      </c>
      <c r="O2167">
        <v>46.826222500214499</v>
      </c>
      <c r="P2167">
        <v>-0.102791934864575</v>
      </c>
      <c r="Q2167">
        <v>5.1605671359753698E-2</v>
      </c>
      <c r="R2167">
        <v>0.99368433336281203</v>
      </c>
      <c r="S2167" t="s">
        <v>8619</v>
      </c>
      <c r="T2167" t="s">
        <v>12902</v>
      </c>
      <c r="U2167" t="s">
        <v>12902</v>
      </c>
      <c r="V2167" t="s">
        <v>12902</v>
      </c>
      <c r="W2167" t="s">
        <v>15032</v>
      </c>
      <c r="X2167">
        <v>12</v>
      </c>
      <c r="Y2167" t="s">
        <v>21393</v>
      </c>
      <c r="Z2167" t="s">
        <v>27742</v>
      </c>
      <c r="AA2167">
        <v>0.29498156304143419</v>
      </c>
      <c r="AB2167" t="str">
        <f>HYPERLINK("Melting_Curves/meltCurve_P19623_SRM.pdf", "Melting_Curves/meltCurve_P19623_SRM.pdf")</f>
        <v>Melting_Curves/meltCurve_P19623_SRM.pdf</v>
      </c>
    </row>
    <row r="2168" spans="1:28" x14ac:dyDescent="0.25">
      <c r="A2168" t="s">
        <v>2172</v>
      </c>
      <c r="B2168">
        <v>0.99673306730245903</v>
      </c>
      <c r="C2168">
        <v>0.94383940307895198</v>
      </c>
      <c r="D2168">
        <v>0.94936182579426898</v>
      </c>
      <c r="E2168">
        <v>0.92653092681743399</v>
      </c>
      <c r="F2168">
        <v>0.58119047865318396</v>
      </c>
      <c r="G2168">
        <v>0.31817271404084202</v>
      </c>
      <c r="H2168">
        <v>0.13891344752405499</v>
      </c>
      <c r="I2168">
        <v>0.118163931294741</v>
      </c>
      <c r="J2168">
        <v>0.12687331160766499</v>
      </c>
      <c r="K2168">
        <v>0.111359525422458</v>
      </c>
      <c r="L2168">
        <v>1304.21280695472</v>
      </c>
      <c r="M2168">
        <v>24.290355876027999</v>
      </c>
      <c r="N2168">
        <v>54.234948909164999</v>
      </c>
      <c r="O2168">
        <v>53.332673704296603</v>
      </c>
      <c r="P2168">
        <v>-0.101586979595239</v>
      </c>
      <c r="Q2168">
        <v>0.10782310358567999</v>
      </c>
      <c r="R2168">
        <v>0.99519800978851303</v>
      </c>
      <c r="S2168" t="s">
        <v>8620</v>
      </c>
      <c r="T2168" t="s">
        <v>12902</v>
      </c>
      <c r="U2168" t="s">
        <v>12902</v>
      </c>
      <c r="V2168" t="s">
        <v>12902</v>
      </c>
      <c r="W2168" t="s">
        <v>13358</v>
      </c>
      <c r="X2168">
        <v>15</v>
      </c>
      <c r="Y2168" t="s">
        <v>21394</v>
      </c>
      <c r="Z2168" t="s">
        <v>27743</v>
      </c>
      <c r="AA2168">
        <v>0.52372416768058938</v>
      </c>
      <c r="AB2168" t="str">
        <f>HYPERLINK("Melting_Curves/meltCurve_P19784_CSNK2A2.pdf", "Melting_Curves/meltCurve_P19784_CSNK2A2.pdf")</f>
        <v>Melting_Curves/meltCurve_P19784_CSNK2A2.pdf</v>
      </c>
    </row>
    <row r="2169" spans="1:28" x14ac:dyDescent="0.25">
      <c r="A2169" t="s">
        <v>2173</v>
      </c>
      <c r="B2169">
        <v>0.99673306730245903</v>
      </c>
      <c r="C2169">
        <v>0.86902322515002595</v>
      </c>
      <c r="D2169">
        <v>0.59194629770740304</v>
      </c>
      <c r="E2169">
        <v>0.31810523732592899</v>
      </c>
      <c r="F2169">
        <v>0.201620429779825</v>
      </c>
      <c r="G2169">
        <v>0.14269118716451901</v>
      </c>
      <c r="H2169">
        <v>0.100750772878407</v>
      </c>
      <c r="I2169">
        <v>8.26934214815018E-2</v>
      </c>
      <c r="J2169">
        <v>7.9141384689421002E-2</v>
      </c>
      <c r="K2169">
        <v>7.9034810191986105E-2</v>
      </c>
      <c r="L2169">
        <v>867.11104274559796</v>
      </c>
      <c r="M2169">
        <v>18.544316659532601</v>
      </c>
      <c r="N2169">
        <v>47.254117166186198</v>
      </c>
      <c r="O2169">
        <v>46.225284162741403</v>
      </c>
      <c r="P2169">
        <v>-9.1439359769296805E-2</v>
      </c>
      <c r="Q2169">
        <v>8.8318929787745901E-2</v>
      </c>
      <c r="R2169">
        <v>0.99686711330489397</v>
      </c>
      <c r="S2169" t="s">
        <v>8621</v>
      </c>
      <c r="T2169" t="s">
        <v>12902</v>
      </c>
      <c r="U2169" t="s">
        <v>12902</v>
      </c>
      <c r="V2169" t="s">
        <v>12902</v>
      </c>
      <c r="W2169" t="s">
        <v>15033</v>
      </c>
      <c r="X2169">
        <v>8</v>
      </c>
      <c r="Y2169" t="s">
        <v>21395</v>
      </c>
      <c r="Z2169" t="s">
        <v>27744</v>
      </c>
      <c r="AA2169">
        <v>0.30966737603059991</v>
      </c>
      <c r="AB2169" t="str">
        <f>HYPERLINK("Melting_Curves/meltCurve_P19838_NFKB1.pdf", "Melting_Curves/meltCurve_P19838_NFKB1.pdf")</f>
        <v>Melting_Curves/meltCurve_P19838_NFKB1.pdf</v>
      </c>
    </row>
    <row r="2170" spans="1:28" x14ac:dyDescent="0.25">
      <c r="A2170" t="s">
        <v>2174</v>
      </c>
      <c r="B2170">
        <v>0.99673306730245903</v>
      </c>
      <c r="C2170">
        <v>0.93352824973641901</v>
      </c>
      <c r="D2170">
        <v>0.88631410989541304</v>
      </c>
      <c r="E2170">
        <v>0.767396420445146</v>
      </c>
      <c r="F2170">
        <v>0.58673175787396203</v>
      </c>
      <c r="G2170">
        <v>0.354880152012858</v>
      </c>
      <c r="H2170">
        <v>0.12064162545542299</v>
      </c>
      <c r="I2170">
        <v>9.5380616690903294E-2</v>
      </c>
      <c r="J2170">
        <v>0.1029834436487</v>
      </c>
      <c r="K2170">
        <v>8.4984235781988299E-2</v>
      </c>
      <c r="L2170">
        <v>753.47651397246398</v>
      </c>
      <c r="M2170">
        <v>13.999136842077499</v>
      </c>
      <c r="N2170">
        <v>53.987382621271401</v>
      </c>
      <c r="O2170">
        <v>52.760469078237897</v>
      </c>
      <c r="P2170">
        <v>-6.4958616660497695E-2</v>
      </c>
      <c r="Q2170">
        <v>2.0855773960534899E-2</v>
      </c>
      <c r="R2170">
        <v>0.992453368385529</v>
      </c>
      <c r="S2170" t="s">
        <v>8622</v>
      </c>
      <c r="T2170" t="s">
        <v>12902</v>
      </c>
      <c r="U2170" t="s">
        <v>12902</v>
      </c>
      <c r="V2170" t="s">
        <v>12902</v>
      </c>
      <c r="W2170" t="s">
        <v>15034</v>
      </c>
      <c r="X2170">
        <v>33</v>
      </c>
      <c r="Y2170" t="s">
        <v>21396</v>
      </c>
      <c r="Z2170" t="s">
        <v>27745</v>
      </c>
      <c r="AA2170">
        <v>0.49407611774941979</v>
      </c>
      <c r="AB2170" t="str">
        <f>HYPERLINK("Melting_Curves/meltCurve_P20020_6_ATP2B1.pdf", "Melting_Curves/meltCurve_P20020_6_ATP2B1.pdf")</f>
        <v>Melting_Curves/meltCurve_P20020_6_ATP2B1.pdf</v>
      </c>
    </row>
    <row r="2171" spans="1:28" x14ac:dyDescent="0.25">
      <c r="A2171" t="s">
        <v>2175</v>
      </c>
      <c r="B2171">
        <v>0.99673306730245903</v>
      </c>
      <c r="C2171">
        <v>0.95429987605964595</v>
      </c>
      <c r="D2171">
        <v>0.992377867978115</v>
      </c>
      <c r="E2171">
        <v>1.0063010410901101</v>
      </c>
      <c r="F2171">
        <v>0.77244486223123798</v>
      </c>
      <c r="G2171">
        <v>0.375243851224209</v>
      </c>
      <c r="H2171">
        <v>0.17566327087202699</v>
      </c>
      <c r="I2171">
        <v>0.12665185097401499</v>
      </c>
      <c r="J2171">
        <v>0.121778656471885</v>
      </c>
      <c r="K2171">
        <v>9.7266310682319806E-2</v>
      </c>
      <c r="L2171">
        <v>1662.85939268023</v>
      </c>
      <c r="M2171">
        <v>30.137679820871298</v>
      </c>
      <c r="N2171">
        <v>55.6441046594434</v>
      </c>
      <c r="O2171">
        <v>54.934212896294802</v>
      </c>
      <c r="P2171">
        <v>-0.121780249036214</v>
      </c>
      <c r="Q2171">
        <v>0.112093724982884</v>
      </c>
      <c r="R2171">
        <v>0.99749794244024703</v>
      </c>
      <c r="S2171" t="s">
        <v>8623</v>
      </c>
      <c r="T2171" t="s">
        <v>12902</v>
      </c>
      <c r="U2171" t="s">
        <v>12902</v>
      </c>
      <c r="V2171" t="s">
        <v>12902</v>
      </c>
      <c r="W2171" t="s">
        <v>15035</v>
      </c>
      <c r="X2171">
        <v>22</v>
      </c>
      <c r="Y2171" t="s">
        <v>21397</v>
      </c>
      <c r="Z2171" t="s">
        <v>27746</v>
      </c>
      <c r="AA2171">
        <v>0.56708586373880654</v>
      </c>
      <c r="AB2171" t="str">
        <f>HYPERLINK("Melting_Curves/meltCurve_P20042_EIF2S2.pdf", "Melting_Curves/meltCurve_P20042_EIF2S2.pdf")</f>
        <v>Melting_Curves/meltCurve_P20042_EIF2S2.pdf</v>
      </c>
    </row>
    <row r="2172" spans="1:28" x14ac:dyDescent="0.25">
      <c r="A2172" t="s">
        <v>2176</v>
      </c>
      <c r="B2172">
        <v>0.99673306730245903</v>
      </c>
      <c r="C2172">
        <v>0.98043517665753299</v>
      </c>
      <c r="D2172">
        <v>0.97324321696859795</v>
      </c>
      <c r="E2172">
        <v>0.90864603255101295</v>
      </c>
      <c r="F2172">
        <v>0.799562892724485</v>
      </c>
      <c r="G2172">
        <v>0.72540103258344402</v>
      </c>
      <c r="H2172">
        <v>0.50808755770039304</v>
      </c>
      <c r="I2172">
        <v>0.479707664081584</v>
      </c>
      <c r="J2172">
        <v>0.212062980958651</v>
      </c>
      <c r="K2172">
        <v>0.16811197013561599</v>
      </c>
      <c r="L2172">
        <v>672.28787867022902</v>
      </c>
      <c r="M2172">
        <v>10.981281735535401</v>
      </c>
      <c r="N2172">
        <v>61.221257691334799</v>
      </c>
      <c r="O2172">
        <v>59.296082450224098</v>
      </c>
      <c r="P2172">
        <v>-4.6314236080237402E-2</v>
      </c>
      <c r="Q2172">
        <v>0</v>
      </c>
      <c r="R2172">
        <v>0.98053520924430604</v>
      </c>
      <c r="S2172" t="s">
        <v>8624</v>
      </c>
      <c r="T2172" t="s">
        <v>12902</v>
      </c>
      <c r="U2172" t="s">
        <v>12902</v>
      </c>
      <c r="V2172" t="s">
        <v>12902</v>
      </c>
      <c r="W2172" t="s">
        <v>15036</v>
      </c>
      <c r="X2172">
        <v>4</v>
      </c>
      <c r="Y2172" t="s">
        <v>21398</v>
      </c>
      <c r="Z2172" t="s">
        <v>27747</v>
      </c>
      <c r="AA2172">
        <v>0.69800082763232396</v>
      </c>
      <c r="AB2172" t="str">
        <f>HYPERLINK("Melting_Curves/meltCurve_P20248_CCNA2.pdf", "Melting_Curves/meltCurve_P20248_CCNA2.pdf")</f>
        <v>Melting_Curves/meltCurve_P20248_CCNA2.pdf</v>
      </c>
    </row>
    <row r="2173" spans="1:28" x14ac:dyDescent="0.25">
      <c r="A2173" t="s">
        <v>2177</v>
      </c>
      <c r="B2173">
        <v>0.99673306730245903</v>
      </c>
      <c r="C2173">
        <v>0.95866672164696098</v>
      </c>
      <c r="D2173">
        <v>1.1414507709081301</v>
      </c>
      <c r="E2173">
        <v>0.96932152101155</v>
      </c>
      <c r="F2173">
        <v>1.0133316550120199</v>
      </c>
      <c r="G2173">
        <v>0.91818715266677298</v>
      </c>
      <c r="H2173">
        <v>0.79229319220764005</v>
      </c>
      <c r="I2173">
        <v>1.18659502968234</v>
      </c>
      <c r="J2173">
        <v>1.4470266672305301</v>
      </c>
      <c r="K2173">
        <v>1.6414270174469801</v>
      </c>
      <c r="L2173">
        <v>6592.8024822698499</v>
      </c>
      <c r="M2173">
        <v>102.45112869304199</v>
      </c>
      <c r="O2173">
        <v>64.326206976475206</v>
      </c>
      <c r="P2173">
        <v>0.199085163144607</v>
      </c>
      <c r="Q2173">
        <v>1.5</v>
      </c>
      <c r="R2173">
        <v>0.84249105799312096</v>
      </c>
      <c r="S2173" t="s">
        <v>8625</v>
      </c>
      <c r="T2173" t="s">
        <v>12902</v>
      </c>
      <c r="U2173" t="s">
        <v>12902</v>
      </c>
      <c r="V2173" t="s">
        <v>12902</v>
      </c>
      <c r="W2173" t="s">
        <v>15037</v>
      </c>
      <c r="X2173">
        <v>18</v>
      </c>
      <c r="Y2173" t="s">
        <v>21399</v>
      </c>
      <c r="Z2173" t="s">
        <v>27748</v>
      </c>
      <c r="AA2173">
        <v>1.093821539144886</v>
      </c>
      <c r="AB2173" t="str">
        <f>HYPERLINK("Melting_Curves/meltCurve_P20290_BTF3.pdf", "Melting_Curves/meltCurve_P20290_BTF3.pdf")</f>
        <v>Melting_Curves/meltCurve_P20290_BTF3.pdf</v>
      </c>
    </row>
    <row r="2174" spans="1:28" x14ac:dyDescent="0.25">
      <c r="A2174" t="s">
        <v>2178</v>
      </c>
      <c r="B2174">
        <v>0.99673306730245903</v>
      </c>
      <c r="C2174">
        <v>0.99970074468041803</v>
      </c>
      <c r="D2174">
        <v>1.06618620406766</v>
      </c>
      <c r="E2174">
        <v>0.92592827886320495</v>
      </c>
      <c r="F2174">
        <v>0.73808349695887099</v>
      </c>
      <c r="G2174">
        <v>0.55242744040933001</v>
      </c>
      <c r="H2174">
        <v>0.45688951415102202</v>
      </c>
      <c r="I2174">
        <v>1.39728448599533</v>
      </c>
      <c r="J2174">
        <v>2.24055711422952</v>
      </c>
      <c r="K2174">
        <v>2.2259327845592201</v>
      </c>
      <c r="L2174">
        <v>15000</v>
      </c>
      <c r="M2174">
        <v>235.727282418545</v>
      </c>
      <c r="O2174">
        <v>63.628276426497898</v>
      </c>
      <c r="P2174">
        <v>0.46309459650076301</v>
      </c>
      <c r="Q2174">
        <v>1.5</v>
      </c>
      <c r="R2174">
        <v>0.53115997193069298</v>
      </c>
      <c r="S2174" t="s">
        <v>8626</v>
      </c>
      <c r="T2174" t="s">
        <v>12902</v>
      </c>
      <c r="U2174" t="s">
        <v>12902</v>
      </c>
      <c r="V2174" t="s">
        <v>12902</v>
      </c>
      <c r="W2174" t="s">
        <v>15038</v>
      </c>
      <c r="X2174">
        <v>14</v>
      </c>
      <c r="Y2174" t="s">
        <v>21399</v>
      </c>
      <c r="Z2174" t="s">
        <v>27749</v>
      </c>
      <c r="AA2174">
        <v>1.106056276640315</v>
      </c>
      <c r="AB2174" t="str">
        <f>HYPERLINK("Melting_Curves/meltCurve_P20290_2_BTF3.pdf", "Melting_Curves/meltCurve_P20290_2_BTF3.pdf")</f>
        <v>Melting_Curves/meltCurve_P20290_2_BTF3.pdf</v>
      </c>
    </row>
    <row r="2175" spans="1:28" x14ac:dyDescent="0.25">
      <c r="A2175" t="s">
        <v>2179</v>
      </c>
      <c r="B2175">
        <v>0.99673306730245903</v>
      </c>
      <c r="C2175">
        <v>0.987349170235861</v>
      </c>
      <c r="D2175">
        <v>0.97163475101899299</v>
      </c>
      <c r="E2175">
        <v>0.92217793322313202</v>
      </c>
      <c r="F2175">
        <v>0.800085585854729</v>
      </c>
      <c r="G2175">
        <v>0.62754078088771004</v>
      </c>
      <c r="H2175">
        <v>0.59817931777007505</v>
      </c>
      <c r="I2175">
        <v>0.62932087504185896</v>
      </c>
      <c r="J2175">
        <v>0.40383113554743499</v>
      </c>
      <c r="K2175">
        <v>0.28445062606495602</v>
      </c>
      <c r="L2175">
        <v>472.209815730294</v>
      </c>
      <c r="M2175">
        <v>7.3809800956300098</v>
      </c>
      <c r="N2175">
        <v>63.976572994393401</v>
      </c>
      <c r="O2175">
        <v>59.783575151563099</v>
      </c>
      <c r="P2175">
        <v>-3.0912500829371799E-2</v>
      </c>
      <c r="Q2175">
        <v>0</v>
      </c>
      <c r="R2175">
        <v>0.946777998754189</v>
      </c>
      <c r="S2175" t="s">
        <v>8627</v>
      </c>
      <c r="T2175" t="s">
        <v>12902</v>
      </c>
      <c r="U2175" t="s">
        <v>12902</v>
      </c>
      <c r="V2175" t="s">
        <v>12902</v>
      </c>
      <c r="W2175" t="s">
        <v>15039</v>
      </c>
      <c r="X2175">
        <v>1</v>
      </c>
      <c r="Y2175" t="s">
        <v>21400</v>
      </c>
      <c r="Z2175" t="s">
        <v>27750</v>
      </c>
      <c r="AA2175">
        <v>0.72997635862120824</v>
      </c>
      <c r="AB2175" t="str">
        <f>HYPERLINK("Melting_Curves/meltCurve_P20309_CHRM3.pdf", "Melting_Curves/meltCurve_P20309_CHRM3.pdf")</f>
        <v>Melting_Curves/meltCurve_P20309_CHRM3.pdf</v>
      </c>
    </row>
    <row r="2176" spans="1:28" x14ac:dyDescent="0.25">
      <c r="A2176" t="s">
        <v>2180</v>
      </c>
      <c r="B2176">
        <v>0.99673306730245903</v>
      </c>
      <c r="C2176">
        <v>0.97492547540281005</v>
      </c>
      <c r="D2176">
        <v>0.89028465775046794</v>
      </c>
      <c r="E2176">
        <v>0.79472503553749696</v>
      </c>
      <c r="F2176">
        <v>0.71007534727379595</v>
      </c>
      <c r="G2176">
        <v>0.62113626415811296</v>
      </c>
      <c r="H2176">
        <v>0.470277260835535</v>
      </c>
      <c r="I2176">
        <v>0.34434710753007702</v>
      </c>
      <c r="J2176">
        <v>0.184170593564561</v>
      </c>
      <c r="K2176">
        <v>0.14015795117347901</v>
      </c>
      <c r="L2176">
        <v>538.07095143305799</v>
      </c>
      <c r="M2176">
        <v>9.1643046282582805</v>
      </c>
      <c r="N2176">
        <v>58.713778110161797</v>
      </c>
      <c r="O2176">
        <v>56.120850265840502</v>
      </c>
      <c r="P2176">
        <v>-4.08516588045462E-2</v>
      </c>
      <c r="Q2176">
        <v>0</v>
      </c>
      <c r="R2176">
        <v>0.98411838218779801</v>
      </c>
      <c r="S2176" t="s">
        <v>8628</v>
      </c>
      <c r="T2176" t="s">
        <v>12902</v>
      </c>
      <c r="U2176" t="s">
        <v>12902</v>
      </c>
      <c r="V2176" t="s">
        <v>12902</v>
      </c>
      <c r="W2176" t="s">
        <v>15040</v>
      </c>
      <c r="X2176">
        <v>10</v>
      </c>
      <c r="Y2176" t="s">
        <v>21401</v>
      </c>
      <c r="Z2176" t="s">
        <v>27751</v>
      </c>
      <c r="AA2176">
        <v>0.62632631106237502</v>
      </c>
      <c r="AB2176" t="str">
        <f>HYPERLINK("Melting_Curves/meltCurve_P20336_RAB3A.pdf", "Melting_Curves/meltCurve_P20336_RAB3A.pdf")</f>
        <v>Melting_Curves/meltCurve_P20336_RAB3A.pdf</v>
      </c>
    </row>
    <row r="2177" spans="1:28" x14ac:dyDescent="0.25">
      <c r="A2177" t="s">
        <v>2181</v>
      </c>
      <c r="B2177">
        <v>0.99673306730245903</v>
      </c>
      <c r="C2177">
        <v>0.98939991858746101</v>
      </c>
      <c r="D2177">
        <v>0.96964167333528695</v>
      </c>
      <c r="E2177">
        <v>0.89346223257967505</v>
      </c>
      <c r="F2177">
        <v>0.78035070156048603</v>
      </c>
      <c r="G2177">
        <v>0.69060030871584199</v>
      </c>
      <c r="H2177">
        <v>0.522178519466859</v>
      </c>
      <c r="I2177">
        <v>0.54872131646911004</v>
      </c>
      <c r="J2177">
        <v>0.190129696110095</v>
      </c>
      <c r="K2177">
        <v>0.122031645191745</v>
      </c>
      <c r="L2177">
        <v>651.63041562634101</v>
      </c>
      <c r="M2177">
        <v>10.660021718333599</v>
      </c>
      <c r="N2177">
        <v>61.128432287440098</v>
      </c>
      <c r="O2177">
        <v>59.094982717542202</v>
      </c>
      <c r="P2177">
        <v>-4.5114151328801699E-2</v>
      </c>
      <c r="Q2177">
        <v>0</v>
      </c>
      <c r="R2177">
        <v>0.95052278107372301</v>
      </c>
      <c r="S2177" t="s">
        <v>8629</v>
      </c>
      <c r="T2177" t="s">
        <v>12902</v>
      </c>
      <c r="U2177" t="s">
        <v>12902</v>
      </c>
      <c r="V2177" t="s">
        <v>12902</v>
      </c>
      <c r="W2177" t="s">
        <v>15041</v>
      </c>
      <c r="X2177">
        <v>6</v>
      </c>
      <c r="Y2177" t="s">
        <v>21402</v>
      </c>
      <c r="Z2177" t="s">
        <v>27752</v>
      </c>
      <c r="AA2177">
        <v>0.6942452862925671</v>
      </c>
      <c r="AB2177" t="str">
        <f>HYPERLINK("Melting_Curves/meltCurve_P20338_RAB4A.pdf", "Melting_Curves/meltCurve_P20338_RAB4A.pdf")</f>
        <v>Melting_Curves/meltCurve_P20338_RAB4A.pdf</v>
      </c>
    </row>
    <row r="2178" spans="1:28" x14ac:dyDescent="0.25">
      <c r="A2178" t="s">
        <v>2182</v>
      </c>
      <c r="B2178">
        <v>0.99673306730245903</v>
      </c>
      <c r="C2178">
        <v>0.96307978478641998</v>
      </c>
      <c r="D2178">
        <v>0.88024151400595596</v>
      </c>
      <c r="E2178">
        <v>0.78951988950228502</v>
      </c>
      <c r="F2178">
        <v>0.70858986647105804</v>
      </c>
      <c r="G2178">
        <v>0.597101613325701</v>
      </c>
      <c r="H2178">
        <v>0.497056057470594</v>
      </c>
      <c r="I2178">
        <v>0.53013377769736902</v>
      </c>
      <c r="J2178">
        <v>0.332292172236682</v>
      </c>
      <c r="K2178">
        <v>0.290721219984726</v>
      </c>
      <c r="L2178">
        <v>380.302219638846</v>
      </c>
      <c r="M2178">
        <v>6.2143847628403099</v>
      </c>
      <c r="N2178">
        <v>61.1970830249724</v>
      </c>
      <c r="O2178">
        <v>55.773008598671801</v>
      </c>
      <c r="P2178">
        <v>-2.79352536088192E-2</v>
      </c>
      <c r="Q2178">
        <v>0</v>
      </c>
      <c r="R2178">
        <v>0.97455763344276702</v>
      </c>
      <c r="S2178" t="s">
        <v>8630</v>
      </c>
      <c r="T2178" t="s">
        <v>12902</v>
      </c>
      <c r="U2178" t="s">
        <v>12902</v>
      </c>
      <c r="V2178" t="s">
        <v>12902</v>
      </c>
      <c r="W2178" t="s">
        <v>15042</v>
      </c>
      <c r="X2178">
        <v>18</v>
      </c>
      <c r="Y2178" t="s">
        <v>21403</v>
      </c>
      <c r="Z2178" t="s">
        <v>27753</v>
      </c>
      <c r="AA2178">
        <v>0.65938366011851468</v>
      </c>
      <c r="AB2178" t="str">
        <f>HYPERLINK("Melting_Curves/meltCurve_P20340_RAB6A.pdf", "Melting_Curves/meltCurve_P20340_RAB6A.pdf")</f>
        <v>Melting_Curves/meltCurve_P20340_RAB6A.pdf</v>
      </c>
    </row>
    <row r="2179" spans="1:28" x14ac:dyDescent="0.25">
      <c r="A2179" t="s">
        <v>2183</v>
      </c>
      <c r="B2179">
        <v>0.99673306730245903</v>
      </c>
      <c r="C2179">
        <v>1.2047769995717501</v>
      </c>
      <c r="D2179">
        <v>1.06819338177031</v>
      </c>
      <c r="E2179">
        <v>0.85041294104527199</v>
      </c>
      <c r="F2179">
        <v>0.45231309335090603</v>
      </c>
      <c r="G2179">
        <v>0.33219369710386099</v>
      </c>
      <c r="H2179">
        <v>0.20746533650694601</v>
      </c>
      <c r="I2179">
        <v>0.19730578390867001</v>
      </c>
      <c r="J2179">
        <v>0.15489306567618299</v>
      </c>
      <c r="K2179">
        <v>0.15412625023426399</v>
      </c>
      <c r="L2179">
        <v>1472.8851859583999</v>
      </c>
      <c r="M2179">
        <v>28.2041999066907</v>
      </c>
      <c r="N2179">
        <v>53.086915197180197</v>
      </c>
      <c r="O2179">
        <v>51.961779374669298</v>
      </c>
      <c r="P2179">
        <v>-0.110706134651432</v>
      </c>
      <c r="Q2179">
        <v>0.18417261821026101</v>
      </c>
      <c r="R2179">
        <v>0.96334161753061298</v>
      </c>
      <c r="S2179" t="s">
        <v>8631</v>
      </c>
      <c r="T2179" t="s">
        <v>12902</v>
      </c>
      <c r="U2179" t="s">
        <v>12902</v>
      </c>
      <c r="V2179" t="s">
        <v>12902</v>
      </c>
      <c r="W2179" t="s">
        <v>15043</v>
      </c>
      <c r="X2179">
        <v>18</v>
      </c>
      <c r="Y2179" t="s">
        <v>21403</v>
      </c>
      <c r="Z2179" t="s">
        <v>27754</v>
      </c>
      <c r="AA2179">
        <v>0.52245277209190011</v>
      </c>
      <c r="AB2179" t="str">
        <f>HYPERLINK("Melting_Curves/meltCurve_P20340_2_RAB6A.pdf", "Melting_Curves/meltCurve_P20340_2_RAB6A.pdf")</f>
        <v>Melting_Curves/meltCurve_P20340_2_RAB6A.pdf</v>
      </c>
    </row>
    <row r="2180" spans="1:28" x14ac:dyDescent="0.25">
      <c r="A2180" t="s">
        <v>2184</v>
      </c>
      <c r="B2180">
        <v>0.99673306730245903</v>
      </c>
      <c r="C2180">
        <v>0.86112882331818197</v>
      </c>
      <c r="D2180">
        <v>0.74916296884085898</v>
      </c>
      <c r="E2180">
        <v>0.39590342431102299</v>
      </c>
      <c r="F2180">
        <v>0.21819752501527401</v>
      </c>
      <c r="G2180">
        <v>0.131485490709566</v>
      </c>
      <c r="H2180">
        <v>9.3125868465075895E-2</v>
      </c>
      <c r="I2180">
        <v>7.5669744878717193E-2</v>
      </c>
      <c r="J2180">
        <v>8.85770600048051E-2</v>
      </c>
      <c r="K2180">
        <v>6.6844097143891806E-2</v>
      </c>
      <c r="L2180">
        <v>857.03956582405704</v>
      </c>
      <c r="M2180">
        <v>17.811396468226398</v>
      </c>
      <c r="N2180">
        <v>48.533009838395401</v>
      </c>
      <c r="O2180">
        <v>47.523241061584699</v>
      </c>
      <c r="P2180">
        <v>-8.7076213530817098E-2</v>
      </c>
      <c r="Q2180">
        <v>7.0722822316233197E-2</v>
      </c>
      <c r="R2180">
        <v>0.99661193689148597</v>
      </c>
      <c r="S2180" t="s">
        <v>8632</v>
      </c>
      <c r="T2180" t="s">
        <v>12902</v>
      </c>
      <c r="U2180" t="s">
        <v>12902</v>
      </c>
      <c r="V2180" t="s">
        <v>12902</v>
      </c>
      <c r="W2180" t="s">
        <v>15044</v>
      </c>
      <c r="X2180">
        <v>11</v>
      </c>
      <c r="Y2180" t="s">
        <v>21404</v>
      </c>
      <c r="Z2180" t="s">
        <v>27755</v>
      </c>
      <c r="AA2180">
        <v>0.33896306162299561</v>
      </c>
      <c r="AB2180" t="str">
        <f>HYPERLINK("Melting_Curves/meltCurve_P20585_MSH3.pdf", "Melting_Curves/meltCurve_P20585_MSH3.pdf")</f>
        <v>Melting_Curves/meltCurve_P20585_MSH3.pdf</v>
      </c>
    </row>
    <row r="2181" spans="1:28" x14ac:dyDescent="0.25">
      <c r="A2181" t="s">
        <v>2185</v>
      </c>
      <c r="B2181">
        <v>0.99673306730245903</v>
      </c>
      <c r="C2181">
        <v>0.950169342075043</v>
      </c>
      <c r="D2181">
        <v>1.0372479727470001</v>
      </c>
      <c r="E2181">
        <v>1.20220880734572</v>
      </c>
      <c r="F2181">
        <v>1.2973951252767399</v>
      </c>
      <c r="G2181">
        <v>1.4800945623356101</v>
      </c>
      <c r="H2181">
        <v>1.71973564922721</v>
      </c>
      <c r="I2181">
        <v>1.5511911448940701</v>
      </c>
      <c r="J2181">
        <v>1.3252197218464301</v>
      </c>
      <c r="K2181">
        <v>0.55995386002141201</v>
      </c>
      <c r="L2181">
        <v>2028.0724941067001</v>
      </c>
      <c r="M2181">
        <v>41.4491117271969</v>
      </c>
      <c r="O2181">
        <v>48.815735630513899</v>
      </c>
      <c r="P2181">
        <v>6.8783086998320503E-2</v>
      </c>
      <c r="Q2181">
        <v>1.3240301961824399</v>
      </c>
      <c r="R2181">
        <v>0.208273331561206</v>
      </c>
      <c r="S2181" t="s">
        <v>8633</v>
      </c>
      <c r="T2181" t="s">
        <v>12902</v>
      </c>
      <c r="U2181" t="s">
        <v>12902</v>
      </c>
      <c r="V2181" t="s">
        <v>12902</v>
      </c>
      <c r="W2181" t="s">
        <v>15045</v>
      </c>
      <c r="X2181">
        <v>13</v>
      </c>
      <c r="Y2181" t="s">
        <v>21405</v>
      </c>
      <c r="Z2181" t="s">
        <v>27756</v>
      </c>
      <c r="AA2181">
        <v>1.2265647167007181</v>
      </c>
      <c r="AB2181" t="str">
        <f>HYPERLINK("Melting_Curves/meltCurve_P20618_PSMB1.pdf", "Melting_Curves/meltCurve_P20618_PSMB1.pdf")</f>
        <v>Melting_Curves/meltCurve_P20618_PSMB1.pdf</v>
      </c>
    </row>
    <row r="2182" spans="1:28" x14ac:dyDescent="0.25">
      <c r="A2182" t="s">
        <v>2186</v>
      </c>
      <c r="B2182">
        <v>0.99673306730245903</v>
      </c>
      <c r="C2182">
        <v>0.95149378057579304</v>
      </c>
      <c r="D2182">
        <v>0.92878055812934701</v>
      </c>
      <c r="E2182">
        <v>0.79485157698499698</v>
      </c>
      <c r="F2182">
        <v>0.67142528324329798</v>
      </c>
      <c r="G2182">
        <v>0.57492416164878501</v>
      </c>
      <c r="H2182">
        <v>0.50125938371744305</v>
      </c>
      <c r="I2182">
        <v>0.651911592169509</v>
      </c>
      <c r="J2182">
        <v>0.580454859241611</v>
      </c>
      <c r="K2182">
        <v>0.59992491439905204</v>
      </c>
      <c r="L2182">
        <v>1052.9648048931699</v>
      </c>
      <c r="M2182">
        <v>21.243483304007299</v>
      </c>
      <c r="O2182">
        <v>49.1335176483461</v>
      </c>
      <c r="P2182">
        <v>-4.5736336746133602E-2</v>
      </c>
      <c r="Q2182">
        <v>0.57688104607829005</v>
      </c>
      <c r="R2182">
        <v>0.94861502920489904</v>
      </c>
      <c r="S2182" t="s">
        <v>8634</v>
      </c>
      <c r="T2182" t="s">
        <v>12902</v>
      </c>
      <c r="U2182" t="s">
        <v>12902</v>
      </c>
      <c r="V2182" t="s">
        <v>12902</v>
      </c>
      <c r="W2182" t="s">
        <v>15046</v>
      </c>
      <c r="X2182">
        <v>16</v>
      </c>
      <c r="Y2182" t="s">
        <v>21406</v>
      </c>
      <c r="Z2182" t="s">
        <v>27757</v>
      </c>
      <c r="AA2182">
        <v>0.71703940558281276</v>
      </c>
      <c r="AB2182" t="str">
        <f>HYPERLINK("Melting_Curves/meltCurve_P20645_M6PR.pdf", "Melting_Curves/meltCurve_P20645_M6PR.pdf")</f>
        <v>Melting_Curves/meltCurve_P20645_M6PR.pdf</v>
      </c>
    </row>
    <row r="2183" spans="1:28" x14ac:dyDescent="0.25">
      <c r="A2183" t="s">
        <v>2187</v>
      </c>
      <c r="B2183">
        <v>0.99673306730245903</v>
      </c>
      <c r="C2183">
        <v>1.0221822433549801</v>
      </c>
      <c r="D2183">
        <v>0.95253531881068199</v>
      </c>
      <c r="E2183">
        <v>0.85754312677503997</v>
      </c>
      <c r="F2183">
        <v>0.73095474903402802</v>
      </c>
      <c r="G2183">
        <v>0.67454990417785798</v>
      </c>
      <c r="H2183">
        <v>0.54423791376253094</v>
      </c>
      <c r="I2183">
        <v>0.87662116972048199</v>
      </c>
      <c r="J2183">
        <v>1.2909574948428</v>
      </c>
      <c r="K2183">
        <v>1.2881455645022</v>
      </c>
      <c r="L2183">
        <v>11509.077739632199</v>
      </c>
      <c r="M2183">
        <v>250</v>
      </c>
      <c r="O2183">
        <v>46.033364696493301</v>
      </c>
      <c r="P2183">
        <v>-0.142945634451802</v>
      </c>
      <c r="Q2183">
        <v>0.89471570320660998</v>
      </c>
      <c r="R2183">
        <v>3.9824487244751697E-2</v>
      </c>
      <c r="S2183" t="s">
        <v>8635</v>
      </c>
      <c r="T2183" t="s">
        <v>12902</v>
      </c>
      <c r="U2183" t="s">
        <v>12902</v>
      </c>
      <c r="V2183" t="s">
        <v>12902</v>
      </c>
      <c r="W2183" t="s">
        <v>15047</v>
      </c>
      <c r="X2183">
        <v>9</v>
      </c>
      <c r="Y2183" t="s">
        <v>21407</v>
      </c>
      <c r="Z2183" t="s">
        <v>27758</v>
      </c>
      <c r="AA2183">
        <v>0.91590850125827239</v>
      </c>
      <c r="AB2183" t="str">
        <f>HYPERLINK("Melting_Curves/meltCurve_P20674_COX5A.pdf", "Melting_Curves/meltCurve_P20674_COX5A.pdf")</f>
        <v>Melting_Curves/meltCurve_P20674_COX5A.pdf</v>
      </c>
    </row>
    <row r="2184" spans="1:28" x14ac:dyDescent="0.25">
      <c r="A2184" t="s">
        <v>2188</v>
      </c>
      <c r="B2184">
        <v>0.99673306730245903</v>
      </c>
      <c r="C2184">
        <v>1.01252783645202</v>
      </c>
      <c r="D2184">
        <v>1.01871724303832</v>
      </c>
      <c r="E2184">
        <v>0.99431693436426305</v>
      </c>
      <c r="F2184">
        <v>0.60230959222862002</v>
      </c>
      <c r="G2184">
        <v>0.41249191213275699</v>
      </c>
      <c r="H2184">
        <v>0.27104163889564398</v>
      </c>
      <c r="I2184">
        <v>0.301292324422053</v>
      </c>
      <c r="J2184">
        <v>0.383695135327555</v>
      </c>
      <c r="K2184">
        <v>0.34916637183424298</v>
      </c>
      <c r="L2184">
        <v>2399.5164194178801</v>
      </c>
      <c r="M2184">
        <v>45.428228582714198</v>
      </c>
      <c r="N2184">
        <v>54.151100912773998</v>
      </c>
      <c r="O2184">
        <v>52.717883987361397</v>
      </c>
      <c r="P2184">
        <v>-0.14297618672572099</v>
      </c>
      <c r="Q2184">
        <v>0.33632507361508901</v>
      </c>
      <c r="R2184">
        <v>0.98780222731065803</v>
      </c>
      <c r="S2184" t="s">
        <v>8636</v>
      </c>
      <c r="T2184" t="s">
        <v>12902</v>
      </c>
      <c r="U2184" t="s">
        <v>12902</v>
      </c>
      <c r="V2184" t="s">
        <v>12902</v>
      </c>
      <c r="W2184" t="s">
        <v>15048</v>
      </c>
      <c r="X2184">
        <v>64</v>
      </c>
      <c r="Y2184" t="s">
        <v>21408</v>
      </c>
      <c r="Z2184" t="s">
        <v>27759</v>
      </c>
      <c r="AA2184">
        <v>0.62180896926628704</v>
      </c>
      <c r="AB2184" t="str">
        <f>HYPERLINK("Melting_Curves/meltCurve_P20700_LMNB1.pdf", "Melting_Curves/meltCurve_P20700_LMNB1.pdf")</f>
        <v>Melting_Curves/meltCurve_P20700_LMNB1.pdf</v>
      </c>
    </row>
    <row r="2185" spans="1:28" x14ac:dyDescent="0.25">
      <c r="A2185" t="s">
        <v>2189</v>
      </c>
      <c r="B2185">
        <v>0.99673306730245903</v>
      </c>
      <c r="C2185">
        <v>0.76123577712791002</v>
      </c>
      <c r="D2185">
        <v>0.51577399677769298</v>
      </c>
      <c r="E2185">
        <v>0.32752844989034502</v>
      </c>
      <c r="F2185">
        <v>0.32624799329622101</v>
      </c>
      <c r="G2185">
        <v>0.17330324187111701</v>
      </c>
      <c r="H2185">
        <v>0.14293483668311299</v>
      </c>
      <c r="I2185">
        <v>0.178527997455494</v>
      </c>
      <c r="J2185">
        <v>0.230476947299152</v>
      </c>
      <c r="K2185">
        <v>0.249882498174998</v>
      </c>
      <c r="L2185">
        <v>871.90809924511098</v>
      </c>
      <c r="M2185">
        <v>19.334352047791398</v>
      </c>
      <c r="N2185">
        <v>46.361354620690001</v>
      </c>
      <c r="O2185">
        <v>44.622206535811898</v>
      </c>
      <c r="P2185">
        <v>-8.6121771891573398E-2</v>
      </c>
      <c r="Q2185">
        <v>0.20497980058127799</v>
      </c>
      <c r="R2185">
        <v>0.97125521683646399</v>
      </c>
      <c r="S2185" t="s">
        <v>8637</v>
      </c>
      <c r="T2185" t="s">
        <v>12902</v>
      </c>
      <c r="U2185" t="s">
        <v>12902</v>
      </c>
      <c r="V2185" t="s">
        <v>12902</v>
      </c>
      <c r="W2185" t="s">
        <v>15049</v>
      </c>
      <c r="X2185">
        <v>1</v>
      </c>
      <c r="Y2185" t="s">
        <v>21409</v>
      </c>
      <c r="Z2185" t="s">
        <v>27760</v>
      </c>
      <c r="AA2185">
        <v>0.35443975620181323</v>
      </c>
      <c r="AB2185" t="str">
        <f>HYPERLINK("Melting_Curves/meltCurve_P20719_HOXA5.pdf", "Melting_Curves/meltCurve_P20719_HOXA5.pdf")</f>
        <v>Melting_Curves/meltCurve_P20719_HOXA5.pdf</v>
      </c>
    </row>
    <row r="2186" spans="1:28" x14ac:dyDescent="0.25">
      <c r="A2186" t="s">
        <v>2190</v>
      </c>
      <c r="B2186">
        <v>0.99673306730245903</v>
      </c>
      <c r="C2186">
        <v>0.99320793064928703</v>
      </c>
      <c r="D2186">
        <v>1.0007537896413601</v>
      </c>
      <c r="E2186">
        <v>0.94256036043579405</v>
      </c>
      <c r="F2186">
        <v>0.89473235460318601</v>
      </c>
      <c r="G2186">
        <v>0.79545174011568698</v>
      </c>
      <c r="H2186">
        <v>0.70872358784365397</v>
      </c>
      <c r="I2186">
        <v>1.16143763814004</v>
      </c>
      <c r="J2186">
        <v>1.53130502605283</v>
      </c>
      <c r="K2186">
        <v>1.50211331357612</v>
      </c>
      <c r="L2186">
        <v>15000</v>
      </c>
      <c r="M2186">
        <v>233.634439606863</v>
      </c>
      <c r="O2186">
        <v>64.198156676651493</v>
      </c>
      <c r="P2186">
        <v>0.45490876059688801</v>
      </c>
      <c r="Q2186">
        <v>1.5</v>
      </c>
      <c r="R2186">
        <v>0.78910034350629799</v>
      </c>
      <c r="S2186" t="s">
        <v>8638</v>
      </c>
      <c r="T2186" t="s">
        <v>12902</v>
      </c>
      <c r="U2186" t="s">
        <v>12902</v>
      </c>
      <c r="V2186" t="s">
        <v>12902</v>
      </c>
      <c r="W2186" t="s">
        <v>15050</v>
      </c>
      <c r="X2186">
        <v>30</v>
      </c>
      <c r="Y2186" t="s">
        <v>21410</v>
      </c>
      <c r="Z2186" t="s">
        <v>27761</v>
      </c>
      <c r="AA2186">
        <v>1.0965544355417129</v>
      </c>
      <c r="AB2186" t="str">
        <f>HYPERLINK("Melting_Curves/meltCurve_P20810_5_CAST.pdf", "Melting_Curves/meltCurve_P20810_5_CAST.pdf")</f>
        <v>Melting_Curves/meltCurve_P20810_5_CAST.pdf</v>
      </c>
    </row>
    <row r="2187" spans="1:28" x14ac:dyDescent="0.25">
      <c r="A2187" t="s">
        <v>2191</v>
      </c>
      <c r="B2187">
        <v>0.99673306730245903</v>
      </c>
      <c r="C2187">
        <v>0.84875795100215701</v>
      </c>
      <c r="D2187">
        <v>1.0924417455134401</v>
      </c>
      <c r="E2187">
        <v>0.93996878844179499</v>
      </c>
      <c r="F2187">
        <v>0.93006328023940399</v>
      </c>
      <c r="G2187">
        <v>0.76876942208535604</v>
      </c>
      <c r="H2187">
        <v>0.67775225831504904</v>
      </c>
      <c r="I2187">
        <v>0.68016485974709295</v>
      </c>
      <c r="J2187">
        <v>0.41672492299367497</v>
      </c>
      <c r="K2187">
        <v>0.48403424738611001</v>
      </c>
      <c r="L2187">
        <v>665.458160705669</v>
      </c>
      <c r="M2187">
        <v>10.6726236773947</v>
      </c>
      <c r="N2187">
        <v>67.556643340554601</v>
      </c>
      <c r="O2187">
        <v>60.282362840511198</v>
      </c>
      <c r="P2187">
        <v>-3.1867615710075001E-2</v>
      </c>
      <c r="Q2187">
        <v>0.28027916850256501</v>
      </c>
      <c r="R2187">
        <v>0.87684626143956501</v>
      </c>
      <c r="S2187" t="s">
        <v>8639</v>
      </c>
      <c r="T2187" t="s">
        <v>12902</v>
      </c>
      <c r="U2187" t="s">
        <v>12902</v>
      </c>
      <c r="V2187" t="s">
        <v>12902</v>
      </c>
      <c r="W2187" t="s">
        <v>15051</v>
      </c>
      <c r="X2187">
        <v>6</v>
      </c>
      <c r="Y2187" t="s">
        <v>21411</v>
      </c>
      <c r="Z2187" t="s">
        <v>27762</v>
      </c>
      <c r="AA2187">
        <v>0.80170002488401082</v>
      </c>
      <c r="AB2187" t="str">
        <f>HYPERLINK("Melting_Curves/meltCurve_P20933_AGA.pdf", "Melting_Curves/meltCurve_P20933_AGA.pdf")</f>
        <v>Melting_Curves/meltCurve_P20933_AGA.pdf</v>
      </c>
    </row>
    <row r="2188" spans="1:28" x14ac:dyDescent="0.25">
      <c r="A2188" t="s">
        <v>2192</v>
      </c>
      <c r="B2188">
        <v>0.99673306730245903</v>
      </c>
      <c r="C2188">
        <v>1.0215405433598299</v>
      </c>
      <c r="D2188">
        <v>1.03270495957749</v>
      </c>
      <c r="E2188">
        <v>0.94586352585834599</v>
      </c>
      <c r="F2188">
        <v>0.96534546149731604</v>
      </c>
      <c r="G2188">
        <v>0.921033301327847</v>
      </c>
      <c r="H2188">
        <v>0.93273006849888596</v>
      </c>
      <c r="I2188">
        <v>1.52576261209708</v>
      </c>
      <c r="J2188">
        <v>2.2969304469409999</v>
      </c>
      <c r="K2188">
        <v>2.1673962062282399</v>
      </c>
      <c r="L2188">
        <v>15000</v>
      </c>
      <c r="M2188">
        <v>240.08722794455801</v>
      </c>
      <c r="O2188">
        <v>62.472939293409603</v>
      </c>
      <c r="P2188">
        <v>0.48038230715235503</v>
      </c>
      <c r="Q2188">
        <v>1.5</v>
      </c>
      <c r="R2188">
        <v>0.56954655258813303</v>
      </c>
      <c r="S2188" t="s">
        <v>8640</v>
      </c>
      <c r="T2188" t="s">
        <v>12902</v>
      </c>
      <c r="U2188" t="s">
        <v>12902</v>
      </c>
      <c r="V2188" t="s">
        <v>12902</v>
      </c>
      <c r="W2188" t="s">
        <v>15052</v>
      </c>
      <c r="X2188">
        <v>6</v>
      </c>
      <c r="Y2188" t="s">
        <v>21412</v>
      </c>
      <c r="Z2188" t="s">
        <v>27763</v>
      </c>
      <c r="AA2188">
        <v>1.125319010939728</v>
      </c>
      <c r="AB2188" t="str">
        <f>HYPERLINK("Melting_Curves/meltCurve_P20962_PTMS.pdf", "Melting_Curves/meltCurve_P20962_PTMS.pdf")</f>
        <v>Melting_Curves/meltCurve_P20962_PTMS.pdf</v>
      </c>
    </row>
    <row r="2189" spans="1:28" x14ac:dyDescent="0.25">
      <c r="A2189" t="s">
        <v>2193</v>
      </c>
      <c r="B2189">
        <v>0.99673306730245903</v>
      </c>
      <c r="C2189">
        <v>0.81322557566156495</v>
      </c>
      <c r="D2189">
        <v>0.62654300795159601</v>
      </c>
      <c r="E2189">
        <v>0.379427302491393</v>
      </c>
      <c r="F2189">
        <v>0.17572431673880101</v>
      </c>
      <c r="G2189">
        <v>9.1436201819436694E-2</v>
      </c>
      <c r="H2189">
        <v>5.7240484763150801E-2</v>
      </c>
      <c r="I2189">
        <v>4.8684593628807699E-2</v>
      </c>
      <c r="J2189">
        <v>4.8239127334532603E-2</v>
      </c>
      <c r="K2189">
        <v>4.6939616975198398E-2</v>
      </c>
      <c r="L2189">
        <v>738.28936966901097</v>
      </c>
      <c r="M2189">
        <v>15.564221619493701</v>
      </c>
      <c r="N2189">
        <v>47.642037365407198</v>
      </c>
      <c r="O2189">
        <v>46.672688612511301</v>
      </c>
      <c r="P2189">
        <v>-8.0650026951771203E-2</v>
      </c>
      <c r="Q2189">
        <v>3.26986534910517E-2</v>
      </c>
      <c r="R2189">
        <v>0.99659432397429004</v>
      </c>
      <c r="S2189" t="s">
        <v>8641</v>
      </c>
      <c r="T2189" t="s">
        <v>12902</v>
      </c>
      <c r="U2189" t="s">
        <v>12902</v>
      </c>
      <c r="V2189" t="s">
        <v>12902</v>
      </c>
      <c r="W2189" t="s">
        <v>15053</v>
      </c>
      <c r="X2189">
        <v>17</v>
      </c>
      <c r="Y2189" t="s">
        <v>21413</v>
      </c>
      <c r="Z2189" t="s">
        <v>27764</v>
      </c>
      <c r="AA2189">
        <v>0.29618848512965518</v>
      </c>
      <c r="AB2189" t="str">
        <f>HYPERLINK("Melting_Curves/meltCurve_P21127_8_CDK11B.pdf", "Melting_Curves/meltCurve_P21127_8_CDK11B.pdf")</f>
        <v>Melting_Curves/meltCurve_P21127_8_CDK11B.pdf</v>
      </c>
    </row>
    <row r="2190" spans="1:28" x14ac:dyDescent="0.25">
      <c r="A2190" t="s">
        <v>2194</v>
      </c>
      <c r="B2190">
        <v>0.99673306730245903</v>
      </c>
      <c r="C2190">
        <v>1.0001114143171601</v>
      </c>
      <c r="D2190">
        <v>1.0273623427057701</v>
      </c>
      <c r="E2190">
        <v>0.86462342261127501</v>
      </c>
      <c r="F2190">
        <v>1.3313145695575801</v>
      </c>
      <c r="G2190">
        <v>0.96546228936857004</v>
      </c>
      <c r="H2190">
        <v>0.48776121252864801</v>
      </c>
      <c r="I2190">
        <v>0.277052538483685</v>
      </c>
      <c r="J2190">
        <v>0.18986496549338699</v>
      </c>
      <c r="K2190">
        <v>0.13289501299384399</v>
      </c>
      <c r="L2190">
        <v>2790.6230923537901</v>
      </c>
      <c r="M2190">
        <v>46.304132121520603</v>
      </c>
      <c r="N2190">
        <v>60.835913849931799</v>
      </c>
      <c r="O2190">
        <v>60.1551740069579</v>
      </c>
      <c r="P2190">
        <v>-0.15863267318692301</v>
      </c>
      <c r="Q2190">
        <v>0.17566193644494599</v>
      </c>
      <c r="R2190">
        <v>0.91460910342280399</v>
      </c>
      <c r="S2190" t="s">
        <v>8642</v>
      </c>
      <c r="T2190" t="s">
        <v>12902</v>
      </c>
      <c r="U2190" t="s">
        <v>12902</v>
      </c>
      <c r="V2190" t="s">
        <v>12902</v>
      </c>
      <c r="W2190" t="s">
        <v>15054</v>
      </c>
      <c r="X2190">
        <v>28</v>
      </c>
      <c r="Y2190" t="s">
        <v>21414</v>
      </c>
      <c r="Z2190" t="s">
        <v>27765</v>
      </c>
      <c r="AA2190">
        <v>0.73504066835583448</v>
      </c>
      <c r="AB2190" t="str">
        <f>HYPERLINK("Melting_Curves/meltCurve_P21281_ATP6V1B2.pdf", "Melting_Curves/meltCurve_P21281_ATP6V1B2.pdf")</f>
        <v>Melting_Curves/meltCurve_P21281_ATP6V1B2.pdf</v>
      </c>
    </row>
    <row r="2191" spans="1:28" x14ac:dyDescent="0.25">
      <c r="A2191" t="s">
        <v>2195</v>
      </c>
      <c r="B2191">
        <v>0.99673306730245903</v>
      </c>
      <c r="C2191">
        <v>1.0101707751047999</v>
      </c>
      <c r="D2191">
        <v>0.56217065505972796</v>
      </c>
      <c r="E2191">
        <v>0.77183511171041996</v>
      </c>
      <c r="F2191">
        <v>0.44736505636609702</v>
      </c>
      <c r="G2191">
        <v>0.254622115864027</v>
      </c>
      <c r="H2191">
        <v>7.3714277667036504E-2</v>
      </c>
      <c r="I2191">
        <v>7.9660325374141597E-2</v>
      </c>
      <c r="J2191">
        <v>8.5228457162389304E-2</v>
      </c>
      <c r="K2191">
        <v>8.5833262091932205E-2</v>
      </c>
      <c r="L2191">
        <v>589.09899414341396</v>
      </c>
      <c r="M2191">
        <v>11.384311088123001</v>
      </c>
      <c r="N2191">
        <v>51.746558226584902</v>
      </c>
      <c r="O2191">
        <v>50.227055719767797</v>
      </c>
      <c r="P2191">
        <v>-5.6680984648263801E-2</v>
      </c>
      <c r="Q2191">
        <v>0</v>
      </c>
      <c r="R2191">
        <v>0.92208109798029803</v>
      </c>
      <c r="S2191" t="s">
        <v>8643</v>
      </c>
      <c r="T2191" t="s">
        <v>12902</v>
      </c>
      <c r="U2191" t="s">
        <v>12902</v>
      </c>
      <c r="V2191" t="s">
        <v>12902</v>
      </c>
      <c r="W2191" t="s">
        <v>15055</v>
      </c>
      <c r="X2191">
        <v>11</v>
      </c>
      <c r="Y2191" t="s">
        <v>21415</v>
      </c>
      <c r="Z2191" t="s">
        <v>27766</v>
      </c>
      <c r="AA2191">
        <v>0.42486705624371968</v>
      </c>
      <c r="AB2191" t="str">
        <f>HYPERLINK("Melting_Curves/meltCurve_P21283_ATP6V1C1.pdf", "Melting_Curves/meltCurve_P21283_ATP6V1C1.pdf")</f>
        <v>Melting_Curves/meltCurve_P21283_ATP6V1C1.pdf</v>
      </c>
    </row>
    <row r="2192" spans="1:28" x14ac:dyDescent="0.25">
      <c r="A2192" t="s">
        <v>2196</v>
      </c>
      <c r="B2192">
        <v>0.99673306730245903</v>
      </c>
      <c r="C2192">
        <v>1.0343257209675301</v>
      </c>
      <c r="D2192">
        <v>1.02517028143487</v>
      </c>
      <c r="E2192">
        <v>1.00913427189567</v>
      </c>
      <c r="F2192">
        <v>0.94288257683998</v>
      </c>
      <c r="G2192">
        <v>0.89890588892910495</v>
      </c>
      <c r="H2192">
        <v>0.68094130605938596</v>
      </c>
      <c r="I2192">
        <v>0.90241433739416399</v>
      </c>
      <c r="J2192">
        <v>1.1987525935743399</v>
      </c>
      <c r="K2192">
        <v>1.07117979003252</v>
      </c>
      <c r="L2192">
        <v>5552.1811111072802</v>
      </c>
      <c r="M2192">
        <v>84.522684663017003</v>
      </c>
      <c r="O2192">
        <v>65.651905688070102</v>
      </c>
      <c r="P2192">
        <v>4.4349275072545803E-2</v>
      </c>
      <c r="Q2192">
        <v>1.1377908963458201</v>
      </c>
      <c r="R2192">
        <v>0.15140102883978299</v>
      </c>
      <c r="S2192" t="s">
        <v>8644</v>
      </c>
      <c r="T2192" t="s">
        <v>12902</v>
      </c>
      <c r="U2192" t="s">
        <v>12902</v>
      </c>
      <c r="V2192" t="s">
        <v>12902</v>
      </c>
      <c r="W2192" t="s">
        <v>15056</v>
      </c>
      <c r="X2192">
        <v>9</v>
      </c>
      <c r="Y2192" t="s">
        <v>21416</v>
      </c>
      <c r="Z2192" t="s">
        <v>27767</v>
      </c>
      <c r="AA2192">
        <v>1.019685701272141</v>
      </c>
      <c r="AB2192" t="str">
        <f>HYPERLINK("Melting_Curves/meltCurve_P21291_CSRP1.pdf", "Melting_Curves/meltCurve_P21291_CSRP1.pdf")</f>
        <v>Melting_Curves/meltCurve_P21291_CSRP1.pdf</v>
      </c>
    </row>
    <row r="2193" spans="1:28" x14ac:dyDescent="0.25">
      <c r="A2193" t="s">
        <v>2197</v>
      </c>
      <c r="B2193">
        <v>0.99673306730245903</v>
      </c>
      <c r="C2193">
        <v>0.74960639649583904</v>
      </c>
      <c r="D2193">
        <v>0.92579723621921495</v>
      </c>
      <c r="E2193">
        <v>0.59439458555600799</v>
      </c>
      <c r="F2193">
        <v>0.17618487144564801</v>
      </c>
      <c r="G2193">
        <v>0.12053739887291801</v>
      </c>
      <c r="H2193">
        <v>7.1716360441495E-2</v>
      </c>
      <c r="I2193">
        <v>6.4585040415072306E-2</v>
      </c>
      <c r="J2193">
        <v>7.35105355407389E-2</v>
      </c>
      <c r="K2193">
        <v>6.6811578760643003E-2</v>
      </c>
      <c r="L2193">
        <v>1234.15186512061</v>
      </c>
      <c r="M2193">
        <v>24.7432987555568</v>
      </c>
      <c r="N2193">
        <v>50.1441886134999</v>
      </c>
      <c r="O2193">
        <v>49.555853661865903</v>
      </c>
      <c r="P2193">
        <v>-0.117150830695923</v>
      </c>
      <c r="Q2193">
        <v>6.1494904680187402E-2</v>
      </c>
      <c r="R2193">
        <v>0.95616129215277801</v>
      </c>
      <c r="S2193" t="s">
        <v>8645</v>
      </c>
      <c r="T2193" t="s">
        <v>12902</v>
      </c>
      <c r="U2193" t="s">
        <v>12902</v>
      </c>
      <c r="V2193" t="s">
        <v>12902</v>
      </c>
      <c r="W2193" t="s">
        <v>15057</v>
      </c>
      <c r="X2193">
        <v>103</v>
      </c>
      <c r="Y2193" t="s">
        <v>21417</v>
      </c>
      <c r="Z2193" t="s">
        <v>27768</v>
      </c>
      <c r="AA2193">
        <v>0.37907448117293652</v>
      </c>
      <c r="AB2193" t="str">
        <f>HYPERLINK("Melting_Curves/meltCurve_P21333_2_FLNA.pdf", "Melting_Curves/meltCurve_P21333_2_FLNA.pdf")</f>
        <v>Melting_Curves/meltCurve_P21333_2_FLNA.pdf</v>
      </c>
    </row>
    <row r="2194" spans="1:28" x14ac:dyDescent="0.25">
      <c r="A2194" t="s">
        <v>2198</v>
      </c>
      <c r="B2194">
        <v>0.99673306730245903</v>
      </c>
      <c r="C2194">
        <v>0.82837583034527795</v>
      </c>
      <c r="D2194">
        <v>0.89268224014786801</v>
      </c>
      <c r="E2194">
        <v>0.66735464064984595</v>
      </c>
      <c r="F2194">
        <v>0.25513676064611202</v>
      </c>
      <c r="G2194">
        <v>0.19318941401397599</v>
      </c>
      <c r="H2194">
        <v>0.13344059751530099</v>
      </c>
      <c r="I2194">
        <v>0.14259661122185699</v>
      </c>
      <c r="J2194">
        <v>0.135055793837495</v>
      </c>
      <c r="K2194">
        <v>0.14025321927356499</v>
      </c>
      <c r="L2194">
        <v>1150.1423668048899</v>
      </c>
      <c r="M2194">
        <v>22.946435716743501</v>
      </c>
      <c r="N2194">
        <v>50.775273189578201</v>
      </c>
      <c r="O2194">
        <v>49.746898794072202</v>
      </c>
      <c r="P2194">
        <v>-0.100596521228959</v>
      </c>
      <c r="Q2194">
        <v>0.127660516808558</v>
      </c>
      <c r="R2194">
        <v>0.97470522022530204</v>
      </c>
      <c r="S2194" t="s">
        <v>8646</v>
      </c>
      <c r="T2194" t="s">
        <v>12902</v>
      </c>
      <c r="U2194" t="s">
        <v>12902</v>
      </c>
      <c r="V2194" t="s">
        <v>12902</v>
      </c>
      <c r="W2194" t="s">
        <v>15058</v>
      </c>
      <c r="X2194">
        <v>2</v>
      </c>
      <c r="Y2194" t="s">
        <v>21418</v>
      </c>
      <c r="Z2194" t="s">
        <v>27769</v>
      </c>
      <c r="AA2194">
        <v>0.43127875615731542</v>
      </c>
      <c r="AB2194" t="str">
        <f>HYPERLINK("Melting_Curves/meltCurve_P21359_2_NF1.pdf", "Melting_Curves/meltCurve_P21359_2_NF1.pdf")</f>
        <v>Melting_Curves/meltCurve_P21359_2_NF1.pdf</v>
      </c>
    </row>
    <row r="2195" spans="1:28" x14ac:dyDescent="0.25">
      <c r="A2195" t="s">
        <v>2199</v>
      </c>
      <c r="B2195">
        <v>0.99673306730245903</v>
      </c>
      <c r="C2195">
        <v>0.96445012348007697</v>
      </c>
      <c r="D2195">
        <v>0.87663130580717896</v>
      </c>
      <c r="E2195">
        <v>0.796729077069672</v>
      </c>
      <c r="F2195">
        <v>0.65471309979645598</v>
      </c>
      <c r="G2195">
        <v>0.46569368971383102</v>
      </c>
      <c r="H2195">
        <v>0.276982714418679</v>
      </c>
      <c r="I2195">
        <v>0.20747049390577799</v>
      </c>
      <c r="J2195">
        <v>0.23502768245241401</v>
      </c>
      <c r="K2195">
        <v>0.204744589451266</v>
      </c>
      <c r="L2195">
        <v>681.03149606155898</v>
      </c>
      <c r="M2195">
        <v>12.542967508965299</v>
      </c>
      <c r="N2195">
        <v>55.6919007002436</v>
      </c>
      <c r="O2195">
        <v>52.9711990863822</v>
      </c>
      <c r="P2195">
        <v>-5.12223412940008E-2</v>
      </c>
      <c r="Q2195">
        <v>0.13489117223434499</v>
      </c>
      <c r="R2195">
        <v>0.99251142508955004</v>
      </c>
      <c r="S2195" t="s">
        <v>8647</v>
      </c>
      <c r="T2195" t="s">
        <v>12902</v>
      </c>
      <c r="U2195" t="s">
        <v>12902</v>
      </c>
      <c r="V2195" t="s">
        <v>12902</v>
      </c>
      <c r="W2195" t="s">
        <v>15059</v>
      </c>
      <c r="X2195">
        <v>5</v>
      </c>
      <c r="Y2195" t="s">
        <v>21419</v>
      </c>
      <c r="Z2195" t="s">
        <v>27770</v>
      </c>
      <c r="AA2195">
        <v>0.56823534480356486</v>
      </c>
      <c r="AB2195" t="str">
        <f>HYPERLINK("Melting_Curves/meltCurve_P21397_MAOA.pdf", "Melting_Curves/meltCurve_P21397_MAOA.pdf")</f>
        <v>Melting_Curves/meltCurve_P21397_MAOA.pdf</v>
      </c>
    </row>
    <row r="2196" spans="1:28" x14ac:dyDescent="0.25">
      <c r="A2196" t="s">
        <v>2200</v>
      </c>
      <c r="B2196">
        <v>0.99673306730245903</v>
      </c>
      <c r="C2196">
        <v>1.0073118575668101</v>
      </c>
      <c r="D2196">
        <v>0.98023662543192602</v>
      </c>
      <c r="E2196">
        <v>0.97650343396714201</v>
      </c>
      <c r="F2196">
        <v>0.58484911338145096</v>
      </c>
      <c r="G2196">
        <v>0.22918792428211901</v>
      </c>
      <c r="H2196">
        <v>9.8623387915300703E-2</v>
      </c>
      <c r="I2196">
        <v>8.11801003071424E-2</v>
      </c>
      <c r="J2196">
        <v>7.6839994253745394E-2</v>
      </c>
      <c r="K2196">
        <v>6.9090439813473903E-2</v>
      </c>
      <c r="L2196">
        <v>1740.98736392665</v>
      </c>
      <c r="M2196">
        <v>32.441901077609501</v>
      </c>
      <c r="N2196">
        <v>53.9449512653879</v>
      </c>
      <c r="O2196">
        <v>53.4621029388639</v>
      </c>
      <c r="P2196">
        <v>-0.13994370551628799</v>
      </c>
      <c r="Q2196">
        <v>7.7532596136913101E-2</v>
      </c>
      <c r="R2196">
        <v>0.99856239936783198</v>
      </c>
      <c r="S2196" t="s">
        <v>8648</v>
      </c>
      <c r="T2196" t="s">
        <v>12902</v>
      </c>
      <c r="U2196" t="s">
        <v>12902</v>
      </c>
      <c r="V2196" t="s">
        <v>12902</v>
      </c>
      <c r="W2196" t="s">
        <v>15060</v>
      </c>
      <c r="X2196">
        <v>31</v>
      </c>
      <c r="Y2196" t="s">
        <v>21420</v>
      </c>
      <c r="Z2196" t="s">
        <v>27771</v>
      </c>
      <c r="AA2196">
        <v>0.50288922823782767</v>
      </c>
      <c r="AB2196" t="str">
        <f>HYPERLINK("Melting_Curves/meltCurve_P21399_ACO1.pdf", "Melting_Curves/meltCurve_P21399_ACO1.pdf")</f>
        <v>Melting_Curves/meltCurve_P21399_ACO1.pdf</v>
      </c>
    </row>
    <row r="2197" spans="1:28" x14ac:dyDescent="0.25">
      <c r="A2197" t="s">
        <v>2201</v>
      </c>
      <c r="B2197">
        <v>0.99673306730245903</v>
      </c>
      <c r="C2197">
        <v>0.96224604665582902</v>
      </c>
      <c r="D2197">
        <v>0.99831890725949501</v>
      </c>
      <c r="E2197">
        <v>0.830284614137906</v>
      </c>
      <c r="F2197">
        <v>0.48204062238995798</v>
      </c>
      <c r="G2197">
        <v>0.27325643519124498</v>
      </c>
      <c r="H2197">
        <v>0.212274802762421</v>
      </c>
      <c r="I2197">
        <v>0.20223537532618099</v>
      </c>
      <c r="J2197">
        <v>0.18794241797764799</v>
      </c>
      <c r="K2197">
        <v>0.209414216424752</v>
      </c>
      <c r="L2197">
        <v>1427.5522434258301</v>
      </c>
      <c r="M2197">
        <v>27.436014408546399</v>
      </c>
      <c r="N2197">
        <v>53.005750418959302</v>
      </c>
      <c r="O2197">
        <v>51.7579968780854</v>
      </c>
      <c r="P2197">
        <v>-0.106290556920942</v>
      </c>
      <c r="Q2197">
        <v>0.197939794305487</v>
      </c>
      <c r="R2197">
        <v>0.99840717226771702</v>
      </c>
      <c r="S2197" t="s">
        <v>8649</v>
      </c>
      <c r="T2197" t="s">
        <v>12902</v>
      </c>
      <c r="U2197" t="s">
        <v>12902</v>
      </c>
      <c r="V2197" t="s">
        <v>12902</v>
      </c>
      <c r="W2197" t="s">
        <v>15061</v>
      </c>
      <c r="X2197">
        <v>9</v>
      </c>
      <c r="Y2197" t="s">
        <v>21421</v>
      </c>
      <c r="Z2197" t="s">
        <v>27772</v>
      </c>
      <c r="AA2197">
        <v>0.5257352963071803</v>
      </c>
      <c r="AB2197" t="str">
        <f>HYPERLINK("Melting_Curves/meltCurve_P21580_TNFAIP3.pdf", "Melting_Curves/meltCurve_P21580_TNFAIP3.pdf")</f>
        <v>Melting_Curves/meltCurve_P21580_TNFAIP3.pdf</v>
      </c>
    </row>
    <row r="2198" spans="1:28" x14ac:dyDescent="0.25">
      <c r="A2198" t="s">
        <v>2202</v>
      </c>
      <c r="B2198">
        <v>0.99673306730245903</v>
      </c>
      <c r="C2198">
        <v>1.0772631015867999</v>
      </c>
      <c r="D2198">
        <v>1.0142648527463101</v>
      </c>
      <c r="E2198">
        <v>0.88322937449988004</v>
      </c>
      <c r="F2198">
        <v>0.79255471707806202</v>
      </c>
      <c r="G2198">
        <v>0.74694145375469401</v>
      </c>
      <c r="H2198">
        <v>0.46382090810794102</v>
      </c>
      <c r="I2198">
        <v>0.484199288966076</v>
      </c>
      <c r="J2198">
        <v>0.57398588845211695</v>
      </c>
      <c r="K2198">
        <v>0.51289438363763595</v>
      </c>
      <c r="L2198">
        <v>1000.6895041356</v>
      </c>
      <c r="M2198">
        <v>18.3191070006716</v>
      </c>
      <c r="O2198">
        <v>53.986999687025197</v>
      </c>
      <c r="P2198">
        <v>-4.3069371665757E-2</v>
      </c>
      <c r="Q2198">
        <v>0.49231605919197702</v>
      </c>
      <c r="R2198">
        <v>0.93391547443428502</v>
      </c>
      <c r="S2198" t="s">
        <v>8650</v>
      </c>
      <c r="T2198" t="s">
        <v>12902</v>
      </c>
      <c r="U2198" t="s">
        <v>12902</v>
      </c>
      <c r="V2198" t="s">
        <v>12902</v>
      </c>
      <c r="W2198" t="s">
        <v>15062</v>
      </c>
      <c r="X2198">
        <v>1</v>
      </c>
      <c r="Y2198" t="s">
        <v>21422</v>
      </c>
      <c r="Z2198" t="s">
        <v>27773</v>
      </c>
      <c r="AA2198">
        <v>0.74758965722351678</v>
      </c>
      <c r="AB2198" t="str">
        <f>HYPERLINK("Melting_Curves/meltCurve_P21583_2_KITLG.pdf", "Melting_Curves/meltCurve_P21583_2_KITLG.pdf")</f>
        <v>Melting_Curves/meltCurve_P21583_2_KITLG.pdf</v>
      </c>
    </row>
    <row r="2199" spans="1:28" x14ac:dyDescent="0.25">
      <c r="A2199" t="s">
        <v>2203</v>
      </c>
      <c r="B2199">
        <v>0.99673306730245903</v>
      </c>
      <c r="C2199">
        <v>1.01787958618173</v>
      </c>
      <c r="D2199">
        <v>1.0018505468079899</v>
      </c>
      <c r="E2199">
        <v>0.99639509349548705</v>
      </c>
      <c r="F2199">
        <v>0.77549669374277297</v>
      </c>
      <c r="G2199">
        <v>0.42360811226810902</v>
      </c>
      <c r="H2199">
        <v>0.23528225127215699</v>
      </c>
      <c r="I2199">
        <v>0.22639243410600901</v>
      </c>
      <c r="J2199">
        <v>0.28343461363849298</v>
      </c>
      <c r="K2199">
        <v>0.21677618030708801</v>
      </c>
      <c r="L2199">
        <v>1814.2612806224099</v>
      </c>
      <c r="M2199">
        <v>33.152168959115002</v>
      </c>
      <c r="N2199">
        <v>55.786765278330897</v>
      </c>
      <c r="O2199">
        <v>54.527295913400998</v>
      </c>
      <c r="P2199">
        <v>-0.116443087476816</v>
      </c>
      <c r="Q2199">
        <v>0.23392053929442</v>
      </c>
      <c r="R2199">
        <v>0.99632307593932601</v>
      </c>
      <c r="S2199" t="s">
        <v>8651</v>
      </c>
      <c r="T2199" t="s">
        <v>12902</v>
      </c>
      <c r="U2199" t="s">
        <v>12902</v>
      </c>
      <c r="V2199" t="s">
        <v>12902</v>
      </c>
      <c r="W2199" t="s">
        <v>15063</v>
      </c>
      <c r="X2199">
        <v>4</v>
      </c>
      <c r="Y2199" t="s">
        <v>21423</v>
      </c>
      <c r="Z2199" t="s">
        <v>27774</v>
      </c>
      <c r="AA2199">
        <v>0.61412791041041015</v>
      </c>
      <c r="AB2199" t="str">
        <f>HYPERLINK("Melting_Curves/meltCurve_P21695_2_GPD1.pdf", "Melting_Curves/meltCurve_P21695_2_GPD1.pdf")</f>
        <v>Melting_Curves/meltCurve_P21695_2_GPD1.pdf</v>
      </c>
    </row>
    <row r="2200" spans="1:28" x14ac:dyDescent="0.25">
      <c r="A2200" t="s">
        <v>2204</v>
      </c>
      <c r="B2200">
        <v>0.99673306730245903</v>
      </c>
      <c r="C2200">
        <v>1.14079955718614</v>
      </c>
      <c r="D2200">
        <v>0.99804653082220696</v>
      </c>
      <c r="E2200">
        <v>0.95808076742326898</v>
      </c>
      <c r="F2200">
        <v>0.68271719173789902</v>
      </c>
      <c r="G2200">
        <v>0.56362655979807696</v>
      </c>
      <c r="H2200">
        <v>0.42727006380036497</v>
      </c>
      <c r="I2200">
        <v>0.62875464678554804</v>
      </c>
      <c r="J2200">
        <v>0.70821768069991697</v>
      </c>
      <c r="K2200">
        <v>0.59638685502662203</v>
      </c>
      <c r="L2200">
        <v>2625.99765705863</v>
      </c>
      <c r="M2200">
        <v>50.5999998310783</v>
      </c>
      <c r="O2200">
        <v>51.816341525637</v>
      </c>
      <c r="P2200">
        <v>-0.101436630174606</v>
      </c>
      <c r="Q2200">
        <v>0.58450050545841903</v>
      </c>
      <c r="R2200">
        <v>0.87390659028312001</v>
      </c>
      <c r="S2200" t="s">
        <v>8652</v>
      </c>
      <c r="T2200" t="s">
        <v>12902</v>
      </c>
      <c r="U2200" t="s">
        <v>12902</v>
      </c>
      <c r="V2200" t="s">
        <v>12902</v>
      </c>
      <c r="W2200" t="s">
        <v>15064</v>
      </c>
      <c r="X2200">
        <v>25</v>
      </c>
      <c r="Y2200" t="s">
        <v>21424</v>
      </c>
      <c r="Z2200" t="s">
        <v>27775</v>
      </c>
      <c r="AA2200">
        <v>0.75020490949659469</v>
      </c>
      <c r="AB2200" t="str">
        <f>HYPERLINK("Melting_Curves/meltCurve_P21796_VDAC1.pdf", "Melting_Curves/meltCurve_P21796_VDAC1.pdf")</f>
        <v>Melting_Curves/meltCurve_P21796_VDAC1.pdf</v>
      </c>
    </row>
    <row r="2201" spans="1:28" x14ac:dyDescent="0.25">
      <c r="A2201" t="s">
        <v>2205</v>
      </c>
      <c r="B2201">
        <v>0.99673306730245903</v>
      </c>
      <c r="C2201">
        <v>0.96875792059538601</v>
      </c>
      <c r="D2201">
        <v>0.88164139469222103</v>
      </c>
      <c r="E2201">
        <v>0.80911999282339997</v>
      </c>
      <c r="F2201">
        <v>0.70679032019619104</v>
      </c>
      <c r="G2201">
        <v>0.55945666495948798</v>
      </c>
      <c r="H2201">
        <v>0.37357928651540501</v>
      </c>
      <c r="I2201">
        <v>0.13490461529692099</v>
      </c>
      <c r="J2201">
        <v>0.120824273064691</v>
      </c>
      <c r="K2201">
        <v>0.103063813582395</v>
      </c>
      <c r="L2201">
        <v>662.07692052941002</v>
      </c>
      <c r="M2201">
        <v>11.6225335485282</v>
      </c>
      <c r="N2201">
        <v>56.964939095195902</v>
      </c>
      <c r="O2201">
        <v>55.356913955019699</v>
      </c>
      <c r="P2201">
        <v>-5.2503396218730798E-2</v>
      </c>
      <c r="Q2201">
        <v>0</v>
      </c>
      <c r="R2201">
        <v>0.98452692722574098</v>
      </c>
      <c r="S2201" t="s">
        <v>8653</v>
      </c>
      <c r="T2201" t="s">
        <v>12902</v>
      </c>
      <c r="U2201" t="s">
        <v>12902</v>
      </c>
      <c r="V2201" t="s">
        <v>12902</v>
      </c>
      <c r="W2201" t="s">
        <v>15065</v>
      </c>
      <c r="X2201">
        <v>22</v>
      </c>
      <c r="Y2201" t="s">
        <v>21425</v>
      </c>
      <c r="Z2201" t="s">
        <v>27776</v>
      </c>
      <c r="AA2201">
        <v>0.58242530536616033</v>
      </c>
      <c r="AB2201" t="str">
        <f>HYPERLINK("Melting_Curves/meltCurve_P21912_SDHB.pdf", "Melting_Curves/meltCurve_P21912_SDHB.pdf")</f>
        <v>Melting_Curves/meltCurve_P21912_SDHB.pdf</v>
      </c>
    </row>
    <row r="2202" spans="1:28" x14ac:dyDescent="0.25">
      <c r="A2202" t="s">
        <v>2206</v>
      </c>
      <c r="B2202">
        <v>0.99673306730245903</v>
      </c>
      <c r="C2202">
        <v>0.96723425992554801</v>
      </c>
      <c r="D2202">
        <v>0.94193767337702705</v>
      </c>
      <c r="E2202">
        <v>0.97375921477919203</v>
      </c>
      <c r="F2202">
        <v>0.58993241875111102</v>
      </c>
      <c r="G2202">
        <v>0.22391204310811499</v>
      </c>
      <c r="H2202">
        <v>0.109588037781255</v>
      </c>
      <c r="I2202">
        <v>8.4327485253359202E-2</v>
      </c>
      <c r="J2202">
        <v>8.6800739344494393E-2</v>
      </c>
      <c r="K2202">
        <v>7.50564056670599E-2</v>
      </c>
      <c r="L2202">
        <v>1759.61241685968</v>
      </c>
      <c r="M2202">
        <v>32.805333811423701</v>
      </c>
      <c r="N2202">
        <v>53.941851080359299</v>
      </c>
      <c r="O2202">
        <v>53.439861496555402</v>
      </c>
      <c r="P2202">
        <v>-0.140522188997352</v>
      </c>
      <c r="Q2202">
        <v>8.4362066594068294E-2</v>
      </c>
      <c r="R2202">
        <v>0.99660127043907398</v>
      </c>
      <c r="S2202" t="s">
        <v>8654</v>
      </c>
      <c r="T2202" t="s">
        <v>12902</v>
      </c>
      <c r="U2202" t="s">
        <v>12902</v>
      </c>
      <c r="V2202" t="s">
        <v>12902</v>
      </c>
      <c r="W2202" t="s">
        <v>15066</v>
      </c>
      <c r="X2202">
        <v>4</v>
      </c>
      <c r="Y2202" t="s">
        <v>21426</v>
      </c>
      <c r="Z2202" t="s">
        <v>27777</v>
      </c>
      <c r="AA2202">
        <v>0.50563879550475321</v>
      </c>
      <c r="AB2202" t="str">
        <f>HYPERLINK("Melting_Curves/meltCurve_P21953_BCKDHB.pdf", "Melting_Curves/meltCurve_P21953_BCKDHB.pdf")</f>
        <v>Melting_Curves/meltCurve_P21953_BCKDHB.pdf</v>
      </c>
    </row>
    <row r="2203" spans="1:28" x14ac:dyDescent="0.25">
      <c r="A2203" t="s">
        <v>2207</v>
      </c>
      <c r="B2203">
        <v>0.99673306730245903</v>
      </c>
      <c r="C2203">
        <v>0.95735293867831595</v>
      </c>
      <c r="D2203">
        <v>0.57414603481538395</v>
      </c>
      <c r="E2203">
        <v>0.57710940675501099</v>
      </c>
      <c r="F2203">
        <v>0.305986881571711</v>
      </c>
      <c r="G2203">
        <v>0.191150440656148</v>
      </c>
      <c r="H2203">
        <v>0.120923570561125</v>
      </c>
      <c r="I2203">
        <v>0.12896061372742601</v>
      </c>
      <c r="J2203">
        <v>0.121353060958757</v>
      </c>
      <c r="K2203">
        <v>0.10031725782506901</v>
      </c>
      <c r="L2203">
        <v>656.92888884595902</v>
      </c>
      <c r="M2203">
        <v>13.480117719034</v>
      </c>
      <c r="N2203">
        <v>49.429508723460302</v>
      </c>
      <c r="O2203">
        <v>47.698189395466699</v>
      </c>
      <c r="P2203">
        <v>-6.4553045243202406E-2</v>
      </c>
      <c r="Q2203">
        <v>8.6479441509410296E-2</v>
      </c>
      <c r="R2203">
        <v>0.96563805184426899</v>
      </c>
      <c r="S2203" t="s">
        <v>8655</v>
      </c>
      <c r="T2203" t="s">
        <v>12902</v>
      </c>
      <c r="U2203" t="s">
        <v>12902</v>
      </c>
      <c r="V2203" t="s">
        <v>12902</v>
      </c>
      <c r="W2203" t="s">
        <v>15067</v>
      </c>
      <c r="X2203">
        <v>17</v>
      </c>
      <c r="Y2203" t="s">
        <v>21427</v>
      </c>
      <c r="Z2203" t="s">
        <v>27778</v>
      </c>
      <c r="AA2203">
        <v>0.38020844895958122</v>
      </c>
      <c r="AB2203" t="str">
        <f>HYPERLINK("Melting_Curves/meltCurve_P21964_2_COMT.pdf", "Melting_Curves/meltCurve_P21964_2_COMT.pdf")</f>
        <v>Melting_Curves/meltCurve_P21964_2_COMT.pdf</v>
      </c>
    </row>
    <row r="2204" spans="1:28" x14ac:dyDescent="0.25">
      <c r="A2204" t="s">
        <v>2208</v>
      </c>
      <c r="B2204">
        <v>0.99673306730245903</v>
      </c>
      <c r="C2204">
        <v>0.96629252029604995</v>
      </c>
      <c r="D2204">
        <v>1.01426744477861</v>
      </c>
      <c r="E2204">
        <v>1.0933802563650601</v>
      </c>
      <c r="F2204">
        <v>0.741004886942913</v>
      </c>
      <c r="G2204">
        <v>0.381873995156015</v>
      </c>
      <c r="H2204">
        <v>0.17857784353617001</v>
      </c>
      <c r="I2204">
        <v>0.14101398930373801</v>
      </c>
      <c r="J2204">
        <v>0.11499439641707</v>
      </c>
      <c r="K2204">
        <v>6.8691873229012004E-2</v>
      </c>
      <c r="L2204">
        <v>1660.27752115823</v>
      </c>
      <c r="M2204">
        <v>30.094069593412399</v>
      </c>
      <c r="N2204">
        <v>55.619063970034901</v>
      </c>
      <c r="O2204">
        <v>54.927715480227903</v>
      </c>
      <c r="P2204">
        <v>-0.122186467155783</v>
      </c>
      <c r="Q2204">
        <v>0.10794667548588301</v>
      </c>
      <c r="R2204">
        <v>0.98775741968979403</v>
      </c>
      <c r="S2204" t="s">
        <v>8656</v>
      </c>
      <c r="T2204" t="s">
        <v>12902</v>
      </c>
      <c r="U2204" t="s">
        <v>12902</v>
      </c>
      <c r="V2204" t="s">
        <v>12902</v>
      </c>
      <c r="W2204" t="s">
        <v>15068</v>
      </c>
      <c r="X2204">
        <v>28</v>
      </c>
      <c r="Y2204" t="s">
        <v>21428</v>
      </c>
      <c r="Z2204" t="s">
        <v>27779</v>
      </c>
      <c r="AA2204">
        <v>0.56490611532733825</v>
      </c>
      <c r="AB2204" t="str">
        <f>HYPERLINK("Melting_Curves/meltCurve_P22033_MUT.pdf", "Melting_Curves/meltCurve_P22033_MUT.pdf")</f>
        <v>Melting_Curves/meltCurve_P22033_MUT.pdf</v>
      </c>
    </row>
    <row r="2205" spans="1:28" x14ac:dyDescent="0.25">
      <c r="A2205" t="s">
        <v>2209</v>
      </c>
      <c r="B2205">
        <v>0.99673306730245903</v>
      </c>
      <c r="C2205">
        <v>1.0461280440237199</v>
      </c>
      <c r="D2205">
        <v>0.66479916912052195</v>
      </c>
      <c r="E2205">
        <v>0.83518903741552897</v>
      </c>
      <c r="F2205">
        <v>0.19830590561615299</v>
      </c>
      <c r="G2205">
        <v>0.13818370282904399</v>
      </c>
      <c r="H2205">
        <v>7.7218463313608807E-2</v>
      </c>
      <c r="I2205">
        <v>6.6742811541487299E-2</v>
      </c>
      <c r="J2205">
        <v>6.9771212821845799E-2</v>
      </c>
      <c r="K2205">
        <v>5.93330762114746E-2</v>
      </c>
      <c r="L2205">
        <v>1138.7662447222301</v>
      </c>
      <c r="M2205">
        <v>22.378320769414</v>
      </c>
      <c r="N2205">
        <v>51.125248033092902</v>
      </c>
      <c r="O2205">
        <v>50.485902859522</v>
      </c>
      <c r="P2205">
        <v>-0.105330457845558</v>
      </c>
      <c r="Q2205">
        <v>4.9510037065667901E-2</v>
      </c>
      <c r="R2205">
        <v>0.92885857249952397</v>
      </c>
      <c r="S2205" t="s">
        <v>8657</v>
      </c>
      <c r="T2205" t="s">
        <v>12902</v>
      </c>
      <c r="U2205" t="s">
        <v>12902</v>
      </c>
      <c r="V2205" t="s">
        <v>12902</v>
      </c>
      <c r="W2205" t="s">
        <v>15069</v>
      </c>
      <c r="X2205">
        <v>28</v>
      </c>
      <c r="Y2205" t="s">
        <v>21429</v>
      </c>
      <c r="Z2205" t="s">
        <v>27780</v>
      </c>
      <c r="AA2205">
        <v>0.40509355933352859</v>
      </c>
      <c r="AB2205" t="str">
        <f>HYPERLINK("Melting_Curves/meltCurve_P22059_OSBP.pdf", "Melting_Curves/meltCurve_P22059_OSBP.pdf")</f>
        <v>Melting_Curves/meltCurve_P22059_OSBP.pdf</v>
      </c>
    </row>
    <row r="2206" spans="1:28" x14ac:dyDescent="0.25">
      <c r="A2206" t="s">
        <v>2210</v>
      </c>
      <c r="B2206">
        <v>0.99673306730245903</v>
      </c>
      <c r="C2206">
        <v>0.79995875941994199</v>
      </c>
      <c r="D2206">
        <v>0.88338213969389401</v>
      </c>
      <c r="E2206">
        <v>0.74928508194549603</v>
      </c>
      <c r="F2206">
        <v>0.52906246461622597</v>
      </c>
      <c r="G2206">
        <v>0.37023640873931601</v>
      </c>
      <c r="H2206">
        <v>0.200573821088118</v>
      </c>
      <c r="I2206">
        <v>7.0703582941337398E-2</v>
      </c>
      <c r="J2206">
        <v>8.1080032937548493E-2</v>
      </c>
      <c r="K2206">
        <v>3.7902240661047498E-2</v>
      </c>
      <c r="L2206">
        <v>629.01232667559896</v>
      </c>
      <c r="M2206">
        <v>11.734169150205901</v>
      </c>
      <c r="N2206">
        <v>53.605185854350502</v>
      </c>
      <c r="O2206">
        <v>52.119352797474797</v>
      </c>
      <c r="P2206">
        <v>-5.6299884518504803E-2</v>
      </c>
      <c r="Q2206">
        <v>0</v>
      </c>
      <c r="R2206">
        <v>0.976781588607193</v>
      </c>
      <c r="S2206" t="s">
        <v>8658</v>
      </c>
      <c r="T2206" t="s">
        <v>12902</v>
      </c>
      <c r="U2206" t="s">
        <v>12902</v>
      </c>
      <c r="V2206" t="s">
        <v>12902</v>
      </c>
      <c r="W2206" t="s">
        <v>14054</v>
      </c>
      <c r="X2206">
        <v>2</v>
      </c>
      <c r="Y2206" t="s">
        <v>21430</v>
      </c>
      <c r="Z2206" t="s">
        <v>27781</v>
      </c>
      <c r="AA2206">
        <v>0.48119180870347139</v>
      </c>
      <c r="AB2206" t="str">
        <f>HYPERLINK("Melting_Curves/meltCurve_P22083_FUT4.pdf", "Melting_Curves/meltCurve_P22083_FUT4.pdf")</f>
        <v>Melting_Curves/meltCurve_P22083_FUT4.pdf</v>
      </c>
    </row>
    <row r="2207" spans="1:28" x14ac:dyDescent="0.25">
      <c r="A2207" t="s">
        <v>2211</v>
      </c>
      <c r="B2207">
        <v>0.99673306730245903</v>
      </c>
      <c r="C2207">
        <v>0.84742453020410302</v>
      </c>
      <c r="D2207">
        <v>0.873788433695183</v>
      </c>
      <c r="E2207">
        <v>0.78368143405323898</v>
      </c>
      <c r="F2207">
        <v>0.32792790342765299</v>
      </c>
      <c r="G2207">
        <v>0.14315109065946599</v>
      </c>
      <c r="H2207">
        <v>7.9585764288783195E-2</v>
      </c>
      <c r="I2207">
        <v>7.0356740799581402E-2</v>
      </c>
      <c r="J2207">
        <v>8.9378153842253699E-2</v>
      </c>
      <c r="K2207">
        <v>8.6887554596554104E-2</v>
      </c>
      <c r="L2207">
        <v>1264.2805259315501</v>
      </c>
      <c r="M2207">
        <v>24.594837184646298</v>
      </c>
      <c r="N2207">
        <v>51.7212632945362</v>
      </c>
      <c r="O2207">
        <v>51.068108943152502</v>
      </c>
      <c r="P2207">
        <v>-0.111980313312478</v>
      </c>
      <c r="Q2207">
        <v>6.99611464242577E-2</v>
      </c>
      <c r="R2207">
        <v>0.977534399387325</v>
      </c>
      <c r="S2207" t="s">
        <v>8659</v>
      </c>
      <c r="T2207" t="s">
        <v>12902</v>
      </c>
      <c r="U2207" t="s">
        <v>12902</v>
      </c>
      <c r="V2207" t="s">
        <v>12902</v>
      </c>
      <c r="W2207" t="s">
        <v>15070</v>
      </c>
      <c r="X2207">
        <v>9</v>
      </c>
      <c r="Y2207" t="s">
        <v>21431</v>
      </c>
      <c r="Z2207" t="s">
        <v>27782</v>
      </c>
      <c r="AA2207">
        <v>0.43222092955621522</v>
      </c>
      <c r="AB2207" t="str">
        <f>HYPERLINK("Melting_Curves/meltCurve_P22087_FBL.pdf", "Melting_Curves/meltCurve_P22087_FBL.pdf")</f>
        <v>Melting_Curves/meltCurve_P22087_FBL.pdf</v>
      </c>
    </row>
    <row r="2208" spans="1:28" x14ac:dyDescent="0.25">
      <c r="A2208" t="s">
        <v>2212</v>
      </c>
      <c r="B2208">
        <v>0.99673306730245903</v>
      </c>
      <c r="C2208">
        <v>0.99868429227050104</v>
      </c>
      <c r="D2208">
        <v>0.68193541393063095</v>
      </c>
      <c r="E2208">
        <v>0.72295403858126805</v>
      </c>
      <c r="F2208">
        <v>0.24075696885569001</v>
      </c>
      <c r="G2208">
        <v>0.109911214964257</v>
      </c>
      <c r="H2208">
        <v>6.5045610449301405E-2</v>
      </c>
      <c r="I2208">
        <v>5.3459945914697798E-2</v>
      </c>
      <c r="J2208">
        <v>5.8067485558232899E-2</v>
      </c>
      <c r="K2208">
        <v>5.2776050831430402E-2</v>
      </c>
      <c r="L2208">
        <v>858.33084749418299</v>
      </c>
      <c r="M2208">
        <v>17.0436241855232</v>
      </c>
      <c r="N2208">
        <v>50.505658091576599</v>
      </c>
      <c r="O2208">
        <v>49.682867934760402</v>
      </c>
      <c r="P2208">
        <v>-8.3721564850479893E-2</v>
      </c>
      <c r="Q2208">
        <v>2.38527718685476E-2</v>
      </c>
      <c r="R2208">
        <v>0.96291951016386801</v>
      </c>
      <c r="S2208" t="s">
        <v>8660</v>
      </c>
      <c r="T2208" t="s">
        <v>12902</v>
      </c>
      <c r="U2208" t="s">
        <v>12902</v>
      </c>
      <c r="V2208" t="s">
        <v>12902</v>
      </c>
      <c r="W2208" t="s">
        <v>15071</v>
      </c>
      <c r="X2208">
        <v>46</v>
      </c>
      <c r="Y2208" t="s">
        <v>21432</v>
      </c>
      <c r="Z2208" t="s">
        <v>27783</v>
      </c>
      <c r="AA2208">
        <v>0.37930531860332017</v>
      </c>
      <c r="AB2208" t="str">
        <f>HYPERLINK("Melting_Curves/meltCurve_P22102_GART.pdf", "Melting_Curves/meltCurve_P22102_GART.pdf")</f>
        <v>Melting_Curves/meltCurve_P22102_GART.pdf</v>
      </c>
    </row>
    <row r="2209" spans="1:28" x14ac:dyDescent="0.25">
      <c r="A2209" t="s">
        <v>2213</v>
      </c>
      <c r="B2209">
        <v>0.99673306730245903</v>
      </c>
      <c r="C2209">
        <v>0.96350392553044995</v>
      </c>
      <c r="D2209">
        <v>1.06964392669169</v>
      </c>
      <c r="E2209">
        <v>1.2316280691674599</v>
      </c>
      <c r="F2209">
        <v>1.2531898922479201</v>
      </c>
      <c r="G2209">
        <v>1.2453473818051499</v>
      </c>
      <c r="H2209">
        <v>1.2394379502292501</v>
      </c>
      <c r="I2209">
        <v>1.1551932904448801</v>
      </c>
      <c r="J2209">
        <v>1.22190163195666</v>
      </c>
      <c r="K2209">
        <v>0.50944608946889702</v>
      </c>
      <c r="L2209">
        <v>15000</v>
      </c>
      <c r="M2209">
        <v>214.247600313779</v>
      </c>
      <c r="Q2209">
        <v>0</v>
      </c>
      <c r="R2209">
        <v>0.33987192326250698</v>
      </c>
      <c r="S2209" t="s">
        <v>8661</v>
      </c>
      <c r="T2209" t="s">
        <v>12902</v>
      </c>
      <c r="U2209" t="s">
        <v>12902</v>
      </c>
      <c r="V2209" t="s">
        <v>12902</v>
      </c>
      <c r="W2209" t="s">
        <v>15072</v>
      </c>
      <c r="X2209">
        <v>37</v>
      </c>
      <c r="Y2209" t="s">
        <v>21433</v>
      </c>
      <c r="Z2209" t="s">
        <v>27784</v>
      </c>
      <c r="AA2209">
        <v>0.99273765327488139</v>
      </c>
      <c r="AB2209" t="str">
        <f>HYPERLINK("Melting_Curves/meltCurve_P22234_PAICS.pdf", "Melting_Curves/meltCurve_P22234_PAICS.pdf")</f>
        <v>Melting_Curves/meltCurve_P22234_PAICS.pdf</v>
      </c>
    </row>
    <row r="2210" spans="1:28" x14ac:dyDescent="0.25">
      <c r="A2210" t="s">
        <v>2214</v>
      </c>
      <c r="B2210">
        <v>0.99673306730245903</v>
      </c>
      <c r="C2210">
        <v>0.92059495793583801</v>
      </c>
      <c r="D2210">
        <v>0.88714588876242495</v>
      </c>
      <c r="E2210">
        <v>0.90543877325095301</v>
      </c>
      <c r="F2210">
        <v>0.66418705686548696</v>
      </c>
      <c r="G2210">
        <v>0.34719791588931098</v>
      </c>
      <c r="H2210">
        <v>0.23381127954595199</v>
      </c>
      <c r="I2210">
        <v>8.8897539545762794E-2</v>
      </c>
      <c r="J2210">
        <v>9.0357790492588894E-2</v>
      </c>
      <c r="K2210">
        <v>8.5363755767397603E-2</v>
      </c>
      <c r="L2210">
        <v>954.58348584406394</v>
      </c>
      <c r="M2210">
        <v>17.423425827482301</v>
      </c>
      <c r="N2210">
        <v>55.131562271924402</v>
      </c>
      <c r="O2210">
        <v>54.080927581145097</v>
      </c>
      <c r="P2210">
        <v>-7.6396707275548301E-2</v>
      </c>
      <c r="Q2210">
        <v>5.15359922946831E-2</v>
      </c>
      <c r="R2210">
        <v>0.98719455452861704</v>
      </c>
      <c r="S2210" t="s">
        <v>8662</v>
      </c>
      <c r="T2210" t="s">
        <v>12902</v>
      </c>
      <c r="U2210" t="s">
        <v>12902</v>
      </c>
      <c r="V2210" t="s">
        <v>12902</v>
      </c>
      <c r="W2210" t="s">
        <v>15073</v>
      </c>
      <c r="X2210">
        <v>3</v>
      </c>
      <c r="Y2210" t="s">
        <v>21434</v>
      </c>
      <c r="Z2210" t="s">
        <v>27785</v>
      </c>
      <c r="AA2210">
        <v>0.53450748736015707</v>
      </c>
      <c r="AB2210" t="str">
        <f>HYPERLINK("Melting_Curves/meltCurve_P22304_IDS.pdf", "Melting_Curves/meltCurve_P22304_IDS.pdf")</f>
        <v>Melting_Curves/meltCurve_P22304_IDS.pdf</v>
      </c>
    </row>
    <row r="2211" spans="1:28" x14ac:dyDescent="0.25">
      <c r="A2211" t="s">
        <v>2215</v>
      </c>
      <c r="B2211">
        <v>0.99673306730245903</v>
      </c>
      <c r="C2211">
        <v>0.99633796491185</v>
      </c>
      <c r="D2211">
        <v>0.95716044403788303</v>
      </c>
      <c r="E2211">
        <v>0.98948583579593297</v>
      </c>
      <c r="F2211">
        <v>0.88560029864613798</v>
      </c>
      <c r="G2211">
        <v>0.59037368058905404</v>
      </c>
      <c r="H2211">
        <v>0.26576626283293697</v>
      </c>
      <c r="I2211">
        <v>0.237028022685254</v>
      </c>
      <c r="J2211">
        <v>0.25842757357629298</v>
      </c>
      <c r="K2211">
        <v>0.219357910760453</v>
      </c>
      <c r="L2211">
        <v>1811.62019708202</v>
      </c>
      <c r="M2211">
        <v>32.097767931068802</v>
      </c>
      <c r="N2211">
        <v>57.506114692256403</v>
      </c>
      <c r="O2211">
        <v>56.222968377754903</v>
      </c>
      <c r="P2211">
        <v>-0.110736752559151</v>
      </c>
      <c r="Q2211">
        <v>0.224130736291342</v>
      </c>
      <c r="R2211">
        <v>0.99636971874076496</v>
      </c>
      <c r="S2211" t="s">
        <v>8663</v>
      </c>
      <c r="T2211" t="s">
        <v>12902</v>
      </c>
      <c r="U2211" t="s">
        <v>12902</v>
      </c>
      <c r="V2211" t="s">
        <v>12902</v>
      </c>
      <c r="W2211" t="s">
        <v>15074</v>
      </c>
      <c r="X2211">
        <v>18</v>
      </c>
      <c r="Y2211" t="s">
        <v>21435</v>
      </c>
      <c r="Z2211" t="s">
        <v>27786</v>
      </c>
      <c r="AA2211">
        <v>0.65389899267430229</v>
      </c>
      <c r="AB2211" t="str">
        <f>HYPERLINK("Melting_Curves/meltCurve_P22307_6_SCP2.pdf", "Melting_Curves/meltCurve_P22307_6_SCP2.pdf")</f>
        <v>Melting_Curves/meltCurve_P22307_6_SCP2.pdf</v>
      </c>
    </row>
    <row r="2212" spans="1:28" x14ac:dyDescent="0.25">
      <c r="A2212" t="s">
        <v>2216</v>
      </c>
      <c r="B2212">
        <v>0.99673306730245903</v>
      </c>
      <c r="C2212">
        <v>1.0065154788666499</v>
      </c>
      <c r="D2212">
        <v>0.66553365956147104</v>
      </c>
      <c r="E2212">
        <v>0.25224708661851603</v>
      </c>
      <c r="F2212">
        <v>0.14801424299768201</v>
      </c>
      <c r="G2212">
        <v>8.4420815582320202E-2</v>
      </c>
      <c r="H2212">
        <v>5.2586646479306297E-2</v>
      </c>
      <c r="I2212">
        <v>4.7677542646959399E-2</v>
      </c>
      <c r="J2212">
        <v>4.7173513747319401E-2</v>
      </c>
      <c r="K2212">
        <v>3.7983483539050102E-2</v>
      </c>
      <c r="L2212">
        <v>1300.0992372770399</v>
      </c>
      <c r="M2212">
        <v>27.555238515821401</v>
      </c>
      <c r="N2212">
        <v>47.400345506984301</v>
      </c>
      <c r="O2212">
        <v>46.9351568850837</v>
      </c>
      <c r="P2212">
        <v>-0.13800968532546601</v>
      </c>
      <c r="Q2212">
        <v>5.9714381250047001E-2</v>
      </c>
      <c r="R2212">
        <v>0.99439355398545504</v>
      </c>
      <c r="S2212" t="s">
        <v>8664</v>
      </c>
      <c r="T2212" t="s">
        <v>12902</v>
      </c>
      <c r="U2212" t="s">
        <v>12902</v>
      </c>
      <c r="V2212" t="s">
        <v>12902</v>
      </c>
      <c r="W2212" t="s">
        <v>15075</v>
      </c>
      <c r="X2212">
        <v>59</v>
      </c>
      <c r="Y2212" t="s">
        <v>21436</v>
      </c>
      <c r="Z2212" t="s">
        <v>27787</v>
      </c>
      <c r="AA2212">
        <v>0.29157507303685942</v>
      </c>
      <c r="AB2212" t="str">
        <f>HYPERLINK("Melting_Curves/meltCurve_P22314_UBA1.pdf", "Melting_Curves/meltCurve_P22314_UBA1.pdf")</f>
        <v>Melting_Curves/meltCurve_P22314_UBA1.pdf</v>
      </c>
    </row>
    <row r="2213" spans="1:28" x14ac:dyDescent="0.25">
      <c r="A2213" t="s">
        <v>2217</v>
      </c>
      <c r="B2213">
        <v>0.99673306730245903</v>
      </c>
      <c r="C2213">
        <v>1.01070034144634</v>
      </c>
      <c r="D2213">
        <v>1.2229469921657601</v>
      </c>
      <c r="E2213">
        <v>1.2245503607823001</v>
      </c>
      <c r="F2213">
        <v>1.1255900108202599</v>
      </c>
      <c r="G2213">
        <v>0.954915508434247</v>
      </c>
      <c r="H2213">
        <v>0.80298400981771301</v>
      </c>
      <c r="I2213">
        <v>1.5189883690985999</v>
      </c>
      <c r="J2213">
        <v>1.8976652869208801</v>
      </c>
      <c r="K2213">
        <v>1.81413542830666</v>
      </c>
      <c r="L2213">
        <v>15000</v>
      </c>
      <c r="M2213">
        <v>239.44297972744801</v>
      </c>
      <c r="O2213">
        <v>62.641001228524303</v>
      </c>
      <c r="P2213">
        <v>0.47780783610439598</v>
      </c>
      <c r="Q2213">
        <v>1.5</v>
      </c>
      <c r="R2213">
        <v>0.66445303387051202</v>
      </c>
      <c r="S2213" t="s">
        <v>8665</v>
      </c>
      <c r="T2213" t="s">
        <v>12902</v>
      </c>
      <c r="U2213" t="s">
        <v>12902</v>
      </c>
      <c r="V2213" t="s">
        <v>12902</v>
      </c>
      <c r="W2213" t="s">
        <v>15076</v>
      </c>
      <c r="X2213">
        <v>1</v>
      </c>
      <c r="Y2213" t="s">
        <v>21437</v>
      </c>
      <c r="Z2213" t="s">
        <v>27788</v>
      </c>
      <c r="AA2213">
        <v>1.122516826912435</v>
      </c>
      <c r="AB2213" t="str">
        <f>HYPERLINK("Melting_Curves/meltCurve_P22532_SPRR2D.pdf", "Melting_Curves/meltCurve_P22532_SPRR2D.pdf")</f>
        <v>Melting_Curves/meltCurve_P22532_SPRR2D.pdf</v>
      </c>
    </row>
    <row r="2214" spans="1:28" x14ac:dyDescent="0.25">
      <c r="A2214" t="s">
        <v>2218</v>
      </c>
      <c r="B2214">
        <v>0.99673306730245903</v>
      </c>
      <c r="C2214">
        <v>0.92529091636952299</v>
      </c>
      <c r="D2214">
        <v>0.77250720527886796</v>
      </c>
      <c r="E2214">
        <v>0.60089143020268498</v>
      </c>
      <c r="F2214">
        <v>0.22133457882575799</v>
      </c>
      <c r="G2214">
        <v>0.13189359921902799</v>
      </c>
      <c r="H2214">
        <v>7.6328567121425606E-2</v>
      </c>
      <c r="I2214">
        <v>5.8216461298944602E-2</v>
      </c>
      <c r="J2214">
        <v>5.6049180014538E-2</v>
      </c>
      <c r="K2214">
        <v>3.93711441661517E-2</v>
      </c>
      <c r="L2214">
        <v>862.97040566652504</v>
      </c>
      <c r="M2214">
        <v>17.3302251604545</v>
      </c>
      <c r="N2214">
        <v>49.9950263049368</v>
      </c>
      <c r="O2214">
        <v>49.146836379074799</v>
      </c>
      <c r="P2214">
        <v>-8.5217301508222001E-2</v>
      </c>
      <c r="Q2214">
        <v>3.3383324713755998E-2</v>
      </c>
      <c r="R2214">
        <v>0.99308512217298694</v>
      </c>
      <c r="S2214" t="s">
        <v>8666</v>
      </c>
      <c r="T2214" t="s">
        <v>12902</v>
      </c>
      <c r="U2214" t="s">
        <v>12902</v>
      </c>
      <c r="V2214" t="s">
        <v>12902</v>
      </c>
      <c r="W2214" t="s">
        <v>15077</v>
      </c>
      <c r="X2214">
        <v>23</v>
      </c>
      <c r="Y2214" t="s">
        <v>21438</v>
      </c>
      <c r="Z2214" t="s">
        <v>27789</v>
      </c>
      <c r="AA2214">
        <v>0.36677524992977251</v>
      </c>
      <c r="AB2214" t="str">
        <f>HYPERLINK("Melting_Curves/meltCurve_P22570_FDXR.pdf", "Melting_Curves/meltCurve_P22570_FDXR.pdf")</f>
        <v>Melting_Curves/meltCurve_P22570_FDXR.pdf</v>
      </c>
    </row>
    <row r="2215" spans="1:28" x14ac:dyDescent="0.25">
      <c r="A2215" t="s">
        <v>2219</v>
      </c>
      <c r="B2215">
        <v>0.99673306730245903</v>
      </c>
      <c r="C2215">
        <v>0.96128994239806598</v>
      </c>
      <c r="D2215">
        <v>0.93690285645761295</v>
      </c>
      <c r="E2215">
        <v>0.73647309216441104</v>
      </c>
      <c r="F2215">
        <v>0.36309453604724401</v>
      </c>
      <c r="G2215">
        <v>0.27082323290293298</v>
      </c>
      <c r="H2215">
        <v>0.18946283413613599</v>
      </c>
      <c r="I2215">
        <v>0.248732652651146</v>
      </c>
      <c r="J2215">
        <v>0.409346967191897</v>
      </c>
      <c r="K2215">
        <v>0.59355978458640002</v>
      </c>
      <c r="L2215">
        <v>2440.6250464981199</v>
      </c>
      <c r="M2215">
        <v>48.837155815981603</v>
      </c>
      <c r="N2215">
        <v>51.171927604609998</v>
      </c>
      <c r="O2215">
        <v>49.891189531302103</v>
      </c>
      <c r="P2215">
        <v>-0.16139310476240901</v>
      </c>
      <c r="Q2215">
        <v>0.34049519445571402</v>
      </c>
      <c r="R2215">
        <v>0.87872712122400398</v>
      </c>
      <c r="S2215" t="s">
        <v>8667</v>
      </c>
      <c r="T2215" t="s">
        <v>12902</v>
      </c>
      <c r="U2215" t="s">
        <v>12902</v>
      </c>
      <c r="V2215" t="s">
        <v>12902</v>
      </c>
      <c r="W2215" t="s">
        <v>15078</v>
      </c>
      <c r="X2215">
        <v>24</v>
      </c>
      <c r="Y2215" t="s">
        <v>21439</v>
      </c>
      <c r="Z2215" t="s">
        <v>27790</v>
      </c>
      <c r="AA2215">
        <v>0.56129954487134026</v>
      </c>
      <c r="AB2215" t="str">
        <f>HYPERLINK("Melting_Curves/meltCurve_P22626_HNRNPA2B1.pdf", "Melting_Curves/meltCurve_P22626_HNRNPA2B1.pdf")</f>
        <v>Melting_Curves/meltCurve_P22626_HNRNPA2B1.pdf</v>
      </c>
    </row>
    <row r="2216" spans="1:28" x14ac:dyDescent="0.25">
      <c r="A2216" t="s">
        <v>2220</v>
      </c>
      <c r="B2216">
        <v>0.99673306730245903</v>
      </c>
      <c r="C2216">
        <v>0.99094732983690104</v>
      </c>
      <c r="D2216">
        <v>0.98422312531048495</v>
      </c>
      <c r="E2216">
        <v>0.94252063990328105</v>
      </c>
      <c r="F2216">
        <v>0.74055459556559</v>
      </c>
      <c r="G2216">
        <v>0.37181903499034202</v>
      </c>
      <c r="H2216">
        <v>0.180158967612261</v>
      </c>
      <c r="I2216">
        <v>0.146178324867518</v>
      </c>
      <c r="J2216">
        <v>0.13643971155839399</v>
      </c>
      <c r="K2216">
        <v>0.11784905904772</v>
      </c>
      <c r="L2216">
        <v>1462.9056945289201</v>
      </c>
      <c r="M2216">
        <v>26.662357500857599</v>
      </c>
      <c r="N2216">
        <v>55.453030698192201</v>
      </c>
      <c r="O2216">
        <v>54.561962932155303</v>
      </c>
      <c r="P2216">
        <v>-0.107185990246219</v>
      </c>
      <c r="Q2216">
        <v>0.122625652959734</v>
      </c>
      <c r="R2216">
        <v>0.99969050646892998</v>
      </c>
      <c r="S2216" t="s">
        <v>8668</v>
      </c>
      <c r="T2216" t="s">
        <v>12902</v>
      </c>
      <c r="U2216" t="s">
        <v>12902</v>
      </c>
      <c r="V2216" t="s">
        <v>12902</v>
      </c>
      <c r="W2216" t="s">
        <v>15079</v>
      </c>
      <c r="X2216">
        <v>15</v>
      </c>
      <c r="Y2216" t="s">
        <v>21440</v>
      </c>
      <c r="Z2216" t="s">
        <v>27791</v>
      </c>
      <c r="AA2216">
        <v>0.56468453626288595</v>
      </c>
      <c r="AB2216" t="str">
        <f>HYPERLINK("Melting_Curves/meltCurve_P22681_CBL.pdf", "Melting_Curves/meltCurve_P22681_CBL.pdf")</f>
        <v>Melting_Curves/meltCurve_P22681_CBL.pdf</v>
      </c>
    </row>
    <row r="2217" spans="1:28" x14ac:dyDescent="0.25">
      <c r="A2217" t="s">
        <v>2221</v>
      </c>
      <c r="B2217">
        <v>0.99673306730245903</v>
      </c>
      <c r="C2217">
        <v>0.955291425436264</v>
      </c>
      <c r="D2217">
        <v>0.93892717702639805</v>
      </c>
      <c r="E2217">
        <v>0.75354924969003201</v>
      </c>
      <c r="F2217">
        <v>0.345927492610139</v>
      </c>
      <c r="G2217">
        <v>0.139780217001192</v>
      </c>
      <c r="H2217">
        <v>7.8979417165436896E-2</v>
      </c>
      <c r="I2217">
        <v>8.0593040687637105E-2</v>
      </c>
      <c r="J2217">
        <v>9.90596755605746E-2</v>
      </c>
      <c r="K2217">
        <v>0.10088539711174099</v>
      </c>
      <c r="L2217">
        <v>1375.27070988623</v>
      </c>
      <c r="M2217">
        <v>26.771622606621001</v>
      </c>
      <c r="N2217">
        <v>51.721558047796101</v>
      </c>
      <c r="O2217">
        <v>51.086410121059899</v>
      </c>
      <c r="P2217">
        <v>-0.120127426139572</v>
      </c>
      <c r="Q2217">
        <v>8.3086490317884495E-2</v>
      </c>
      <c r="R2217">
        <v>0.99791213082407204</v>
      </c>
      <c r="S2217" t="s">
        <v>8669</v>
      </c>
      <c r="T2217" t="s">
        <v>12902</v>
      </c>
      <c r="U2217" t="s">
        <v>12902</v>
      </c>
      <c r="V2217" t="s">
        <v>12902</v>
      </c>
      <c r="W2217" t="s">
        <v>15080</v>
      </c>
      <c r="X2217">
        <v>12</v>
      </c>
      <c r="Y2217" t="s">
        <v>21441</v>
      </c>
      <c r="Z2217" t="s">
        <v>27792</v>
      </c>
      <c r="AA2217">
        <v>0.4378817927335108</v>
      </c>
      <c r="AB2217" t="str">
        <f>HYPERLINK("Melting_Curves/meltCurve_P22694_PRKACB.pdf", "Melting_Curves/meltCurve_P22694_PRKACB.pdf")</f>
        <v>Melting_Curves/meltCurve_P22694_PRKACB.pdf</v>
      </c>
    </row>
    <row r="2218" spans="1:28" x14ac:dyDescent="0.25">
      <c r="A2218" t="s">
        <v>2222</v>
      </c>
      <c r="B2218">
        <v>0.99673306730245903</v>
      </c>
      <c r="C2218">
        <v>1.04245179043794</v>
      </c>
      <c r="D2218">
        <v>0.96839161302509902</v>
      </c>
      <c r="E2218">
        <v>0.91460159465201996</v>
      </c>
      <c r="F2218">
        <v>0.71471645065274603</v>
      </c>
      <c r="G2218">
        <v>0.61152557204222302</v>
      </c>
      <c r="H2218">
        <v>0.43664605506544002</v>
      </c>
      <c r="I2218">
        <v>0.176246781390512</v>
      </c>
      <c r="J2218">
        <v>0.105284694717004</v>
      </c>
      <c r="K2218">
        <v>8.6956336331984102E-2</v>
      </c>
      <c r="L2218">
        <v>786.24507514233301</v>
      </c>
      <c r="M2218">
        <v>13.5096306969004</v>
      </c>
      <c r="N2218">
        <v>58.198857813286601</v>
      </c>
      <c r="O2218">
        <v>56.968052546972501</v>
      </c>
      <c r="P2218">
        <v>-5.9295011627408599E-2</v>
      </c>
      <c r="Q2218">
        <v>0</v>
      </c>
      <c r="R2218">
        <v>0.98648755243986896</v>
      </c>
      <c r="S2218" t="s">
        <v>8670</v>
      </c>
      <c r="T2218" t="s">
        <v>12902</v>
      </c>
      <c r="U2218" t="s">
        <v>12902</v>
      </c>
      <c r="V2218" t="s">
        <v>12902</v>
      </c>
      <c r="W2218" t="s">
        <v>15081</v>
      </c>
      <c r="X2218">
        <v>16</v>
      </c>
      <c r="Y2218" t="s">
        <v>21442</v>
      </c>
      <c r="Z2218" t="s">
        <v>27793</v>
      </c>
      <c r="AA2218">
        <v>0.6193541102755622</v>
      </c>
      <c r="AB2218" t="str">
        <f>HYPERLINK("Melting_Curves/meltCurve_P22695_UQCRC2.pdf", "Melting_Curves/meltCurve_P22695_UQCRC2.pdf")</f>
        <v>Melting_Curves/meltCurve_P22695_UQCRC2.pdf</v>
      </c>
    </row>
    <row r="2219" spans="1:28" x14ac:dyDescent="0.25">
      <c r="A2219" t="s">
        <v>2223</v>
      </c>
      <c r="B2219">
        <v>0.99673306730245903</v>
      </c>
      <c r="C2219">
        <v>0.98461229576109</v>
      </c>
      <c r="D2219">
        <v>0.93264797581531</v>
      </c>
      <c r="E2219">
        <v>0.80219045429166802</v>
      </c>
      <c r="F2219">
        <v>0.36143718107308498</v>
      </c>
      <c r="G2219">
        <v>0.196639764618425</v>
      </c>
      <c r="H2219">
        <v>0.116433152222133</v>
      </c>
      <c r="I2219">
        <v>9.3137236433960699E-2</v>
      </c>
      <c r="J2219">
        <v>8.8568439444119101E-2</v>
      </c>
      <c r="K2219">
        <v>7.4784770359085206E-2</v>
      </c>
      <c r="L2219">
        <v>1347.30126765311</v>
      </c>
      <c r="M2219">
        <v>26.041707502581499</v>
      </c>
      <c r="N2219">
        <v>52.128704345964302</v>
      </c>
      <c r="O2219">
        <v>51.434110415171197</v>
      </c>
      <c r="P2219">
        <v>-0.11531269789295</v>
      </c>
      <c r="Q2219">
        <v>8.9009473115517601E-2</v>
      </c>
      <c r="R2219">
        <v>0.99761180170181696</v>
      </c>
      <c r="S2219" t="s">
        <v>8671</v>
      </c>
      <c r="T2219" t="s">
        <v>12902</v>
      </c>
      <c r="U2219" t="s">
        <v>12902</v>
      </c>
      <c r="V2219" t="s">
        <v>12902</v>
      </c>
      <c r="W2219" t="s">
        <v>15082</v>
      </c>
      <c r="X2219">
        <v>11</v>
      </c>
      <c r="Y2219" t="s">
        <v>21443</v>
      </c>
      <c r="Z2219" t="s">
        <v>27794</v>
      </c>
      <c r="AA2219">
        <v>0.45305943274932792</v>
      </c>
      <c r="AB2219" t="str">
        <f>HYPERLINK("Melting_Curves/meltCurve_P22830_FECH.pdf", "Melting_Curves/meltCurve_P22830_FECH.pdf")</f>
        <v>Melting_Curves/meltCurve_P22830_FECH.pdf</v>
      </c>
    </row>
    <row r="2220" spans="1:28" x14ac:dyDescent="0.25">
      <c r="A2220" t="s">
        <v>2224</v>
      </c>
      <c r="B2220">
        <v>0.99673306730245903</v>
      </c>
      <c r="C2220">
        <v>0.96982385712846597</v>
      </c>
      <c r="D2220">
        <v>0.75145956935818004</v>
      </c>
      <c r="E2220">
        <v>0.38787095943301397</v>
      </c>
      <c r="F2220">
        <v>0.27993962886690699</v>
      </c>
      <c r="G2220">
        <v>0.181357922268853</v>
      </c>
      <c r="H2220">
        <v>0.12876943267422</v>
      </c>
      <c r="I2220">
        <v>0.132588767421083</v>
      </c>
      <c r="J2220">
        <v>0.14064693176014301</v>
      </c>
      <c r="K2220">
        <v>0.140326873618737</v>
      </c>
      <c r="L2220">
        <v>1051.2877866029301</v>
      </c>
      <c r="M2220">
        <v>21.943960194304299</v>
      </c>
      <c r="N2220">
        <v>48.648699423218602</v>
      </c>
      <c r="O2220">
        <v>47.515308001248002</v>
      </c>
      <c r="P2220">
        <v>-9.9060800766428703E-2</v>
      </c>
      <c r="Q2220">
        <v>0.14203301678483099</v>
      </c>
      <c r="R2220">
        <v>0.99535286705631598</v>
      </c>
      <c r="S2220" t="s">
        <v>8672</v>
      </c>
      <c r="T2220" t="s">
        <v>12902</v>
      </c>
      <c r="U2220" t="s">
        <v>12902</v>
      </c>
      <c r="V2220" t="s">
        <v>12902</v>
      </c>
      <c r="W2220" t="s">
        <v>15083</v>
      </c>
      <c r="X2220">
        <v>8</v>
      </c>
      <c r="Y2220" t="s">
        <v>21444</v>
      </c>
      <c r="Z2220" t="s">
        <v>27795</v>
      </c>
      <c r="AA2220">
        <v>0.37821047975825439</v>
      </c>
      <c r="AB2220" t="str">
        <f>HYPERLINK("Melting_Curves/meltCurve_P23025_XPA.pdf", "Melting_Curves/meltCurve_P23025_XPA.pdf")</f>
        <v>Melting_Curves/meltCurve_P23025_XPA.pdf</v>
      </c>
    </row>
    <row r="2221" spans="1:28" x14ac:dyDescent="0.25">
      <c r="A2221" t="s">
        <v>2225</v>
      </c>
      <c r="B2221">
        <v>0.99673306730245903</v>
      </c>
      <c r="C2221">
        <v>0.98839621321521698</v>
      </c>
      <c r="D2221">
        <v>0.90840319110891099</v>
      </c>
      <c r="E2221">
        <v>0.83197914873426204</v>
      </c>
      <c r="F2221">
        <v>0.52086087430693195</v>
      </c>
      <c r="G2221">
        <v>0.35001467076737303</v>
      </c>
      <c r="H2221">
        <v>0.22750938361262399</v>
      </c>
      <c r="I2221">
        <v>0.21399301050025099</v>
      </c>
      <c r="J2221">
        <v>0.18213775922578801</v>
      </c>
      <c r="K2221">
        <v>0.11726642345480601</v>
      </c>
      <c r="L2221">
        <v>907.62465844276005</v>
      </c>
      <c r="M2221">
        <v>17.160953039950002</v>
      </c>
      <c r="N2221">
        <v>53.957807932330198</v>
      </c>
      <c r="O2221">
        <v>52.186456208545501</v>
      </c>
      <c r="P2221">
        <v>-7.0368038242206707E-2</v>
      </c>
      <c r="Q2221">
        <v>0.14409458421757501</v>
      </c>
      <c r="R2221">
        <v>0.99483720527557495</v>
      </c>
      <c r="S2221" t="s">
        <v>8673</v>
      </c>
      <c r="T2221" t="s">
        <v>12902</v>
      </c>
      <c r="U2221" t="s">
        <v>12902</v>
      </c>
      <c r="V2221" t="s">
        <v>12902</v>
      </c>
      <c r="W2221" t="s">
        <v>15084</v>
      </c>
      <c r="X2221">
        <v>12</v>
      </c>
      <c r="Y2221" t="s">
        <v>21445</v>
      </c>
      <c r="Z2221" t="s">
        <v>27796</v>
      </c>
      <c r="AA2221">
        <v>0.52696793603233494</v>
      </c>
      <c r="AB2221" t="str">
        <f>HYPERLINK("Melting_Curves/meltCurve_P23141_3_CES1.pdf", "Melting_Curves/meltCurve_P23141_3_CES1.pdf")</f>
        <v>Melting_Curves/meltCurve_P23141_3_CES1.pdf</v>
      </c>
    </row>
    <row r="2222" spans="1:28" x14ac:dyDescent="0.25">
      <c r="A2222" t="s">
        <v>2226</v>
      </c>
      <c r="B2222">
        <v>0.99673306730245903</v>
      </c>
      <c r="C2222">
        <v>0.79638349011098997</v>
      </c>
      <c r="D2222">
        <v>1.1937681223916901</v>
      </c>
      <c r="E2222">
        <v>0.86022067155394899</v>
      </c>
      <c r="F2222">
        <v>0.47748666588602301</v>
      </c>
      <c r="G2222">
        <v>0.35323627142527197</v>
      </c>
      <c r="H2222">
        <v>0.22619166499870499</v>
      </c>
      <c r="I2222">
        <v>0.242664004566127</v>
      </c>
      <c r="J2222">
        <v>0.32202233691711502</v>
      </c>
      <c r="K2222">
        <v>0.28993959890284698</v>
      </c>
      <c r="L2222">
        <v>1890.5981520523001</v>
      </c>
      <c r="M2222">
        <v>36.494053514816102</v>
      </c>
      <c r="N2222">
        <v>52.9943848939117</v>
      </c>
      <c r="O2222">
        <v>51.650830171572203</v>
      </c>
      <c r="P2222">
        <v>-0.12727213577292901</v>
      </c>
      <c r="Q2222">
        <v>0.27947803016933598</v>
      </c>
      <c r="R2222">
        <v>0.919507529803676</v>
      </c>
      <c r="S2222" t="s">
        <v>8674</v>
      </c>
      <c r="T2222" t="s">
        <v>12902</v>
      </c>
      <c r="U2222" t="s">
        <v>12902</v>
      </c>
      <c r="V2222" t="s">
        <v>12902</v>
      </c>
      <c r="W2222" t="s">
        <v>15085</v>
      </c>
      <c r="X2222">
        <v>32</v>
      </c>
      <c r="Y2222" t="s">
        <v>21446</v>
      </c>
      <c r="Z2222" t="s">
        <v>27797</v>
      </c>
      <c r="AA2222">
        <v>0.56612051435039878</v>
      </c>
      <c r="AB2222" t="str">
        <f>HYPERLINK("Melting_Curves/meltCurve_P23193_TCEA1.pdf", "Melting_Curves/meltCurve_P23193_TCEA1.pdf")</f>
        <v>Melting_Curves/meltCurve_P23193_TCEA1.pdf</v>
      </c>
    </row>
    <row r="2223" spans="1:28" x14ac:dyDescent="0.25">
      <c r="A2223" t="s">
        <v>2227</v>
      </c>
      <c r="B2223">
        <v>0.99673306730245903</v>
      </c>
      <c r="C2223">
        <v>0.90283605315523796</v>
      </c>
      <c r="D2223">
        <v>0.58737124956515196</v>
      </c>
      <c r="E2223">
        <v>0.35764623932850598</v>
      </c>
      <c r="F2223">
        <v>0.170902749149836</v>
      </c>
      <c r="G2223">
        <v>0.107996070334668</v>
      </c>
      <c r="H2223">
        <v>7.5092173026372194E-2</v>
      </c>
      <c r="I2223">
        <v>7.6409406775776803E-2</v>
      </c>
      <c r="J2223">
        <v>9.2254381196156005E-2</v>
      </c>
      <c r="K2223">
        <v>9.4680079444617996E-2</v>
      </c>
      <c r="L2223">
        <v>903.13776873167103</v>
      </c>
      <c r="M2223">
        <v>19.229418846860199</v>
      </c>
      <c r="N2223">
        <v>47.404635057050498</v>
      </c>
      <c r="O2223">
        <v>46.467375147200897</v>
      </c>
      <c r="P2223">
        <v>-9.5036636805815505E-2</v>
      </c>
      <c r="Q2223">
        <v>8.1420981507205198E-2</v>
      </c>
      <c r="R2223">
        <v>0.99525476400892099</v>
      </c>
      <c r="S2223" t="s">
        <v>8675</v>
      </c>
      <c r="T2223" t="s">
        <v>12902</v>
      </c>
      <c r="U2223" t="s">
        <v>12902</v>
      </c>
      <c r="V2223" t="s">
        <v>12902</v>
      </c>
      <c r="W2223" t="s">
        <v>15086</v>
      </c>
      <c r="X2223">
        <v>49</v>
      </c>
      <c r="Y2223" t="s">
        <v>21447</v>
      </c>
      <c r="Z2223" t="s">
        <v>27798</v>
      </c>
      <c r="AA2223">
        <v>0.30941585455664139</v>
      </c>
      <c r="AB2223" t="str">
        <f>HYPERLINK("Melting_Curves/meltCurve_P23246_SFPQ.pdf", "Melting_Curves/meltCurve_P23246_SFPQ.pdf")</f>
        <v>Melting_Curves/meltCurve_P23246_SFPQ.pdf</v>
      </c>
    </row>
    <row r="2224" spans="1:28" x14ac:dyDescent="0.25">
      <c r="A2224" t="s">
        <v>2228</v>
      </c>
      <c r="B2224">
        <v>0.99673306730245903</v>
      </c>
      <c r="C2224">
        <v>0.97673476104633306</v>
      </c>
      <c r="D2224">
        <v>0.93579012541342599</v>
      </c>
      <c r="E2224">
        <v>0.92590461199974305</v>
      </c>
      <c r="F2224">
        <v>0.76591985943484298</v>
      </c>
      <c r="G2224">
        <v>0.508557236321307</v>
      </c>
      <c r="H2224">
        <v>0.20328400081972101</v>
      </c>
      <c r="I2224">
        <v>0.11255869489273899</v>
      </c>
      <c r="J2224">
        <v>8.7039207371008898E-2</v>
      </c>
      <c r="K2224">
        <v>7.8560006762968607E-2</v>
      </c>
      <c r="L2224">
        <v>1088.5983402223301</v>
      </c>
      <c r="M2224">
        <v>19.317781292707199</v>
      </c>
      <c r="N2224">
        <v>56.597251701554001</v>
      </c>
      <c r="O2224">
        <v>55.758688097280498</v>
      </c>
      <c r="P2224">
        <v>-8.3140759602228401E-2</v>
      </c>
      <c r="Q2224">
        <v>4.0128562889062497E-2</v>
      </c>
      <c r="R2224">
        <v>0.99659652666266496</v>
      </c>
      <c r="S2224" t="s">
        <v>8676</v>
      </c>
      <c r="T2224" t="s">
        <v>12902</v>
      </c>
      <c r="U2224" t="s">
        <v>12902</v>
      </c>
      <c r="V2224" t="s">
        <v>12902</v>
      </c>
      <c r="W2224" t="s">
        <v>15087</v>
      </c>
      <c r="X2224">
        <v>14</v>
      </c>
      <c r="Y2224" t="s">
        <v>21448</v>
      </c>
      <c r="Z2224" t="s">
        <v>27799</v>
      </c>
      <c r="AA2224">
        <v>0.57605077329358201</v>
      </c>
      <c r="AB2224" t="str">
        <f>HYPERLINK("Melting_Curves/meltCurve_P23258_TUBG1.pdf", "Melting_Curves/meltCurve_P23258_TUBG1.pdf")</f>
        <v>Melting_Curves/meltCurve_P23258_TUBG1.pdf</v>
      </c>
    </row>
    <row r="2225" spans="1:28" x14ac:dyDescent="0.25">
      <c r="A2225" t="s">
        <v>2229</v>
      </c>
      <c r="B2225">
        <v>0.99673306730245903</v>
      </c>
      <c r="C2225">
        <v>1.0128844995092301</v>
      </c>
      <c r="D2225">
        <v>0.88714072324676596</v>
      </c>
      <c r="E2225">
        <v>0.677994109842745</v>
      </c>
      <c r="F2225">
        <v>0.44078182001675298</v>
      </c>
      <c r="G2225">
        <v>0.22083276398590301</v>
      </c>
      <c r="H2225">
        <v>0.12874819099155299</v>
      </c>
      <c r="I2225">
        <v>0.104325639198224</v>
      </c>
      <c r="J2225">
        <v>9.6700747231089304E-2</v>
      </c>
      <c r="K2225">
        <v>8.2470119627182606E-2</v>
      </c>
      <c r="L2225">
        <v>889.84532391396397</v>
      </c>
      <c r="M2225">
        <v>17.241094783381701</v>
      </c>
      <c r="N2225">
        <v>52.084708407150202</v>
      </c>
      <c r="O2225">
        <v>50.932552589463398</v>
      </c>
      <c r="P2225">
        <v>-7.8501245846998899E-2</v>
      </c>
      <c r="Q2225">
        <v>7.2440553916709297E-2</v>
      </c>
      <c r="R2225">
        <v>0.99810849880317398</v>
      </c>
      <c r="S2225" t="s">
        <v>8677</v>
      </c>
      <c r="T2225" t="s">
        <v>12902</v>
      </c>
      <c r="U2225" t="s">
        <v>12902</v>
      </c>
      <c r="V2225" t="s">
        <v>12902</v>
      </c>
      <c r="W2225" t="s">
        <v>15088</v>
      </c>
      <c r="X2225">
        <v>6</v>
      </c>
      <c r="Y2225" t="s">
        <v>21449</v>
      </c>
      <c r="Z2225" t="s">
        <v>27800</v>
      </c>
      <c r="AA2225">
        <v>0.44817619590302321</v>
      </c>
      <c r="AB2225" t="str">
        <f>HYPERLINK("Melting_Curves/meltCurve_P23280_CA6.pdf", "Melting_Curves/meltCurve_P23280_CA6.pdf")</f>
        <v>Melting_Curves/meltCurve_P23280_CA6.pdf</v>
      </c>
    </row>
    <row r="2226" spans="1:28" x14ac:dyDescent="0.25">
      <c r="A2226" t="s">
        <v>2230</v>
      </c>
      <c r="B2226">
        <v>0.99673306730245903</v>
      </c>
      <c r="C2226">
        <v>0.91663039420904502</v>
      </c>
      <c r="D2226">
        <v>0.71215414192736504</v>
      </c>
      <c r="E2226">
        <v>0.80380531568248104</v>
      </c>
      <c r="F2226">
        <v>0.26071392336736199</v>
      </c>
      <c r="G2226">
        <v>0.15898135216946299</v>
      </c>
      <c r="H2226">
        <v>0.11017076031952</v>
      </c>
      <c r="I2226">
        <v>9.3609262456537806E-2</v>
      </c>
      <c r="J2226">
        <v>9.2342007014167504E-2</v>
      </c>
      <c r="K2226">
        <v>6.6827121433978398E-2</v>
      </c>
      <c r="L2226">
        <v>843.26568798419305</v>
      </c>
      <c r="M2226">
        <v>16.599140829161801</v>
      </c>
      <c r="N2226">
        <v>51.135490581616502</v>
      </c>
      <c r="O2226">
        <v>50.081619558990901</v>
      </c>
      <c r="P2226">
        <v>-7.8612188334041294E-2</v>
      </c>
      <c r="Q2226">
        <v>5.1334405442566802E-2</v>
      </c>
      <c r="R2226">
        <v>0.94953850645245996</v>
      </c>
      <c r="S2226" t="s">
        <v>8678</v>
      </c>
      <c r="T2226" t="s">
        <v>12902</v>
      </c>
      <c r="U2226" t="s">
        <v>12902</v>
      </c>
      <c r="V2226" t="s">
        <v>12902</v>
      </c>
      <c r="W2226" t="s">
        <v>15089</v>
      </c>
      <c r="X2226">
        <v>23</v>
      </c>
      <c r="Y2226" t="s">
        <v>21450</v>
      </c>
      <c r="Z2226" t="s">
        <v>27801</v>
      </c>
      <c r="AA2226">
        <v>0.41143688868812389</v>
      </c>
      <c r="AB2226" t="str">
        <f>HYPERLINK("Melting_Curves/meltCurve_P23284_PPIB.pdf", "Melting_Curves/meltCurve_P23284_PPIB.pdf")</f>
        <v>Melting_Curves/meltCurve_P23284_PPIB.pdf</v>
      </c>
    </row>
    <row r="2227" spans="1:28" x14ac:dyDescent="0.25">
      <c r="A2227" t="s">
        <v>2231</v>
      </c>
      <c r="B2227">
        <v>0.99673306730245903</v>
      </c>
      <c r="C2227">
        <v>0.98497210612125996</v>
      </c>
      <c r="D2227">
        <v>0.98578561480629701</v>
      </c>
      <c r="E2227">
        <v>0.94342960095554296</v>
      </c>
      <c r="F2227">
        <v>0.69187465578851304</v>
      </c>
      <c r="G2227">
        <v>0.30999080314047001</v>
      </c>
      <c r="H2227">
        <v>0.13452375412909801</v>
      </c>
      <c r="I2227">
        <v>9.2409575672129193E-2</v>
      </c>
      <c r="J2227">
        <v>7.2347762573218594E-2</v>
      </c>
      <c r="K2227">
        <v>6.1997606939803697E-2</v>
      </c>
      <c r="L2227">
        <v>1441.85506982526</v>
      </c>
      <c r="M2227">
        <v>26.402004006401199</v>
      </c>
      <c r="N2227">
        <v>54.912663030321099</v>
      </c>
      <c r="O2227">
        <v>54.301162772045899</v>
      </c>
      <c r="P2227">
        <v>-0.11336384562899</v>
      </c>
      <c r="Q2227">
        <v>6.7385665449603505E-2</v>
      </c>
      <c r="R2227">
        <v>0.99970822455823705</v>
      </c>
      <c r="S2227" t="s">
        <v>8679</v>
      </c>
      <c r="T2227" t="s">
        <v>12902</v>
      </c>
      <c r="U2227" t="s">
        <v>12902</v>
      </c>
      <c r="V2227" t="s">
        <v>12902</v>
      </c>
      <c r="W2227" t="s">
        <v>15090</v>
      </c>
      <c r="X2227">
        <v>19</v>
      </c>
      <c r="Y2227" t="s">
        <v>21451</v>
      </c>
      <c r="Z2227" t="s">
        <v>27802</v>
      </c>
      <c r="AA2227">
        <v>0.52944447242198378</v>
      </c>
      <c r="AB2227" t="str">
        <f>HYPERLINK("Melting_Curves/meltCurve_P23368_ME2.pdf", "Melting_Curves/meltCurve_P23368_ME2.pdf")</f>
        <v>Melting_Curves/meltCurve_P23368_ME2.pdf</v>
      </c>
    </row>
    <row r="2228" spans="1:28" x14ac:dyDescent="0.25">
      <c r="A2228" t="s">
        <v>2232</v>
      </c>
      <c r="B2228">
        <v>0.99673306730245903</v>
      </c>
      <c r="C2228">
        <v>0.95960377881025005</v>
      </c>
      <c r="D2228">
        <v>0.96066270150157396</v>
      </c>
      <c r="E2228">
        <v>0.99557724473424902</v>
      </c>
      <c r="F2228">
        <v>0.75698124475915296</v>
      </c>
      <c r="G2228">
        <v>0.58184369105871703</v>
      </c>
      <c r="H2228">
        <v>0.32816944907766199</v>
      </c>
      <c r="I2228">
        <v>0.390061952447042</v>
      </c>
      <c r="J2228">
        <v>0.43052382345021301</v>
      </c>
      <c r="K2228">
        <v>0.354140572650889</v>
      </c>
      <c r="L2228">
        <v>1455.91665994305</v>
      </c>
      <c r="M2228">
        <v>26.678252582489499</v>
      </c>
      <c r="N2228">
        <v>57.465265915420602</v>
      </c>
      <c r="O2228">
        <v>54.2692979089801</v>
      </c>
      <c r="P2228">
        <v>-7.7497127406738003E-2</v>
      </c>
      <c r="Q2228">
        <v>0.36942330442985899</v>
      </c>
      <c r="R2228">
        <v>0.97664290749791205</v>
      </c>
      <c r="S2228" t="s">
        <v>8680</v>
      </c>
      <c r="T2228" t="s">
        <v>12902</v>
      </c>
      <c r="U2228" t="s">
        <v>12902</v>
      </c>
      <c r="V2228" t="s">
        <v>12902</v>
      </c>
      <c r="W2228" t="s">
        <v>15091</v>
      </c>
      <c r="X2228">
        <v>30</v>
      </c>
      <c r="Y2228" t="s">
        <v>20076</v>
      </c>
      <c r="Z2228" t="s">
        <v>27803</v>
      </c>
      <c r="AA2228">
        <v>0.68093131835084908</v>
      </c>
      <c r="AB2228" t="str">
        <f>HYPERLINK("Melting_Curves/meltCurve_P23381_WARS.pdf", "Melting_Curves/meltCurve_P23381_WARS.pdf")</f>
        <v>Melting_Curves/meltCurve_P23381_WARS.pdf</v>
      </c>
    </row>
    <row r="2229" spans="1:28" x14ac:dyDescent="0.25">
      <c r="A2229" t="s">
        <v>2233</v>
      </c>
      <c r="B2229">
        <v>0.99673306730245903</v>
      </c>
      <c r="C2229">
        <v>1.2557922459192701</v>
      </c>
      <c r="D2229">
        <v>0.95729519707171395</v>
      </c>
      <c r="E2229">
        <v>1.0806201788979799</v>
      </c>
      <c r="F2229">
        <v>0.75231116119761399</v>
      </c>
      <c r="G2229">
        <v>0.42005905371168201</v>
      </c>
      <c r="H2229">
        <v>0.17026130374335899</v>
      </c>
      <c r="I2229">
        <v>0.14114852090273899</v>
      </c>
      <c r="J2229">
        <v>0.13766517983666801</v>
      </c>
      <c r="K2229">
        <v>0.14461489884416201</v>
      </c>
      <c r="L2229">
        <v>1682.4399152814401</v>
      </c>
      <c r="M2229">
        <v>30.4616582262314</v>
      </c>
      <c r="N2229">
        <v>55.803934523012998</v>
      </c>
      <c r="O2229">
        <v>54.995009697994803</v>
      </c>
      <c r="P2229">
        <v>-0.119891555424712</v>
      </c>
      <c r="Q2229">
        <v>0.13420391012264801</v>
      </c>
      <c r="R2229">
        <v>0.95527333903832501</v>
      </c>
      <c r="S2229" t="s">
        <v>8681</v>
      </c>
      <c r="T2229" t="s">
        <v>12902</v>
      </c>
      <c r="U2229" t="s">
        <v>12902</v>
      </c>
      <c r="V2229" t="s">
        <v>12902</v>
      </c>
      <c r="W2229" t="s">
        <v>15092</v>
      </c>
      <c r="X2229">
        <v>24</v>
      </c>
      <c r="Y2229" t="s">
        <v>21452</v>
      </c>
      <c r="Z2229" t="s">
        <v>27804</v>
      </c>
      <c r="AA2229">
        <v>0.57936990505873232</v>
      </c>
      <c r="AB2229" t="str">
        <f>HYPERLINK("Melting_Curves/meltCurve_P23396_RPS3.pdf", "Melting_Curves/meltCurve_P23396_RPS3.pdf")</f>
        <v>Melting_Curves/meltCurve_P23396_RPS3.pdf</v>
      </c>
    </row>
    <row r="2230" spans="1:28" x14ac:dyDescent="0.25">
      <c r="A2230" t="s">
        <v>2234</v>
      </c>
      <c r="B2230">
        <v>0.99673306730245903</v>
      </c>
      <c r="C2230">
        <v>0.94390059088036404</v>
      </c>
      <c r="D2230">
        <v>0.873191473343503</v>
      </c>
      <c r="E2230">
        <v>0.69092385849810201</v>
      </c>
      <c r="F2230">
        <v>0.127062793425684</v>
      </c>
      <c r="G2230">
        <v>4.8222601164663398E-2</v>
      </c>
      <c r="H2230">
        <v>1.5450317630075301E-2</v>
      </c>
      <c r="I2230">
        <v>0</v>
      </c>
      <c r="J2230">
        <v>0</v>
      </c>
      <c r="K2230">
        <v>0</v>
      </c>
      <c r="L2230">
        <v>1674.6893791807099</v>
      </c>
      <c r="M2230">
        <v>33.119419005436797</v>
      </c>
      <c r="N2230">
        <v>50.571189694188099</v>
      </c>
      <c r="O2230">
        <v>50.381899836003498</v>
      </c>
      <c r="P2230">
        <v>-0.16401997143257699</v>
      </c>
      <c r="Q2230">
        <v>1.9630077277972401E-3</v>
      </c>
      <c r="R2230">
        <v>0.99200264495740798</v>
      </c>
      <c r="S2230" t="s">
        <v>8682</v>
      </c>
      <c r="T2230" t="s">
        <v>12902</v>
      </c>
      <c r="U2230" t="s">
        <v>12902</v>
      </c>
      <c r="V2230" t="s">
        <v>12902</v>
      </c>
      <c r="W2230" t="s">
        <v>15093</v>
      </c>
      <c r="X2230">
        <v>1</v>
      </c>
      <c r="Y2230" t="s">
        <v>21453</v>
      </c>
      <c r="Z2230" t="s">
        <v>27805</v>
      </c>
      <c r="AA2230">
        <v>0.35854914281372219</v>
      </c>
      <c r="AB2230" t="str">
        <f>HYPERLINK("Melting_Curves/meltCurve_P23409_MYF6.pdf", "Melting_Curves/meltCurve_P23409_MYF6.pdf")</f>
        <v>Melting_Curves/meltCurve_P23409_MYF6.pdf</v>
      </c>
    </row>
    <row r="2231" spans="1:28" x14ac:dyDescent="0.25">
      <c r="A2231" t="s">
        <v>2235</v>
      </c>
      <c r="B2231">
        <v>0.99673306730245903</v>
      </c>
      <c r="C2231">
        <v>1.00856079555724</v>
      </c>
      <c r="D2231">
        <v>1.0019048503194099</v>
      </c>
      <c r="E2231">
        <v>0.80886136954707499</v>
      </c>
      <c r="F2231">
        <v>0.78841013021873796</v>
      </c>
      <c r="G2231">
        <v>0.84496336934543503</v>
      </c>
      <c r="H2231">
        <v>0.64154145435725096</v>
      </c>
      <c r="I2231">
        <v>0.68941772392144696</v>
      </c>
      <c r="J2231">
        <v>0.94700189939895796</v>
      </c>
      <c r="K2231">
        <v>0.76637777708993704</v>
      </c>
      <c r="L2231">
        <v>10117.032690481799</v>
      </c>
      <c r="M2231">
        <v>205.84976083855699</v>
      </c>
      <c r="O2231">
        <v>49.143014741564897</v>
      </c>
      <c r="P2231">
        <v>-0.23078271661875299</v>
      </c>
      <c r="Q2231">
        <v>0.77961872089389805</v>
      </c>
      <c r="R2231">
        <v>0.62815710813278602</v>
      </c>
      <c r="S2231" t="s">
        <v>8683</v>
      </c>
      <c r="T2231" t="s">
        <v>12902</v>
      </c>
      <c r="U2231" t="s">
        <v>12902</v>
      </c>
      <c r="V2231" t="s">
        <v>12902</v>
      </c>
      <c r="W2231" t="s">
        <v>15094</v>
      </c>
      <c r="X2231">
        <v>3</v>
      </c>
      <c r="Y2231" t="s">
        <v>21454</v>
      </c>
      <c r="Z2231" t="s">
        <v>27806</v>
      </c>
      <c r="AA2231">
        <v>0.84684581237333623</v>
      </c>
      <c r="AB2231" t="str">
        <f>HYPERLINK("Melting_Curves/meltCurve_P23434_GCSH.pdf", "Melting_Curves/meltCurve_P23434_GCSH.pdf")</f>
        <v>Melting_Curves/meltCurve_P23434_GCSH.pdf</v>
      </c>
    </row>
    <row r="2232" spans="1:28" x14ac:dyDescent="0.25">
      <c r="A2232" t="s">
        <v>2236</v>
      </c>
      <c r="B2232">
        <v>0.99673306730245903</v>
      </c>
      <c r="C2232">
        <v>0.92058252210161495</v>
      </c>
      <c r="D2232">
        <v>1.5756911536503999</v>
      </c>
      <c r="E2232">
        <v>0.83485721502825605</v>
      </c>
      <c r="F2232">
        <v>0.55244820738137401</v>
      </c>
      <c r="G2232">
        <v>0.14233501183486999</v>
      </c>
      <c r="H2232">
        <v>1.4234462984087599E-2</v>
      </c>
      <c r="I2232">
        <v>1.7725092858509699E-2</v>
      </c>
      <c r="J2232">
        <v>1.25902796718434E-2</v>
      </c>
      <c r="K2232">
        <v>0</v>
      </c>
      <c r="L2232">
        <v>1721.66484927028</v>
      </c>
      <c r="M2232">
        <v>32.206750289584903</v>
      </c>
      <c r="N2232">
        <v>53.4773724948233</v>
      </c>
      <c r="O2232">
        <v>53.251835082293397</v>
      </c>
      <c r="P2232">
        <v>-0.15026280364332301</v>
      </c>
      <c r="Q2232">
        <v>6.2048264330944597E-3</v>
      </c>
      <c r="R2232">
        <v>0.87320922865008299</v>
      </c>
      <c r="S2232" t="s">
        <v>8684</v>
      </c>
      <c r="T2232" t="s">
        <v>12902</v>
      </c>
      <c r="U2232" t="s">
        <v>12902</v>
      </c>
      <c r="V2232" t="s">
        <v>12902</v>
      </c>
      <c r="W2232" t="s">
        <v>15095</v>
      </c>
      <c r="X2232">
        <v>1</v>
      </c>
      <c r="Y2232" t="s">
        <v>21455</v>
      </c>
      <c r="Z2232" t="s">
        <v>27807</v>
      </c>
      <c r="AA2232">
        <v>0.45761974232017261</v>
      </c>
      <c r="AB2232" t="str">
        <f>HYPERLINK("Melting_Curves/meltCurve_P23458_JAK1.pdf", "Melting_Curves/meltCurve_P23458_JAK1.pdf")</f>
        <v>Melting_Curves/meltCurve_P23458_JAK1.pdf</v>
      </c>
    </row>
    <row r="2233" spans="1:28" x14ac:dyDescent="0.25">
      <c r="A2233" t="s">
        <v>2237</v>
      </c>
      <c r="B2233">
        <v>0.99673306730245903</v>
      </c>
      <c r="C2233">
        <v>0.95186825517942597</v>
      </c>
      <c r="D2233">
        <v>0.88672664428735504</v>
      </c>
      <c r="E2233">
        <v>0.49022391344727101</v>
      </c>
      <c r="F2233">
        <v>0.35997578870066299</v>
      </c>
      <c r="G2233">
        <v>0.23710833479089</v>
      </c>
      <c r="H2233">
        <v>0.13171723342783101</v>
      </c>
      <c r="I2233">
        <v>0.130511028230129</v>
      </c>
      <c r="J2233">
        <v>0.139430415252146</v>
      </c>
      <c r="K2233">
        <v>0.123034213287442</v>
      </c>
      <c r="L2233">
        <v>925.85128905743204</v>
      </c>
      <c r="M2233">
        <v>18.690039678652902</v>
      </c>
      <c r="N2233">
        <v>50.342285564435997</v>
      </c>
      <c r="O2233">
        <v>48.9805056806632</v>
      </c>
      <c r="P2233">
        <v>-8.3074927946487506E-2</v>
      </c>
      <c r="Q2233">
        <v>0.12918788367266701</v>
      </c>
      <c r="R2233">
        <v>0.99038746798948796</v>
      </c>
      <c r="S2233" t="s">
        <v>8685</v>
      </c>
      <c r="T2233" t="s">
        <v>12902</v>
      </c>
      <c r="U2233" t="s">
        <v>12902</v>
      </c>
      <c r="V2233" t="s">
        <v>12902</v>
      </c>
      <c r="W2233" t="s">
        <v>15096</v>
      </c>
      <c r="X2233">
        <v>14</v>
      </c>
      <c r="Y2233" t="s">
        <v>21456</v>
      </c>
      <c r="Z2233" t="s">
        <v>27808</v>
      </c>
      <c r="AA2233">
        <v>0.41991220391508199</v>
      </c>
      <c r="AB2233" t="str">
        <f>HYPERLINK("Melting_Curves/meltCurve_P23469_2_PTPRE.pdf", "Melting_Curves/meltCurve_P23469_2_PTPRE.pdf")</f>
        <v>Melting_Curves/meltCurve_P23469_2_PTPRE.pdf</v>
      </c>
    </row>
    <row r="2234" spans="1:28" x14ac:dyDescent="0.25">
      <c r="A2234" t="s">
        <v>2238</v>
      </c>
      <c r="B2234">
        <v>0.99673306730245903</v>
      </c>
      <c r="C2234">
        <v>0.89425920609290399</v>
      </c>
      <c r="D2234">
        <v>0.88315908184004399</v>
      </c>
      <c r="E2234">
        <v>0.60584222695768197</v>
      </c>
      <c r="F2234">
        <v>0.46133196145364902</v>
      </c>
      <c r="G2234">
        <v>0.36934955098650002</v>
      </c>
      <c r="H2234">
        <v>0.28022561032082199</v>
      </c>
      <c r="I2234">
        <v>0.316677687598659</v>
      </c>
      <c r="J2234">
        <v>0.40764945816214698</v>
      </c>
      <c r="K2234">
        <v>0.38244774801577403</v>
      </c>
      <c r="L2234">
        <v>989.10658763592801</v>
      </c>
      <c r="M2234">
        <v>20.279140944549798</v>
      </c>
      <c r="N2234">
        <v>51.721545082176299</v>
      </c>
      <c r="O2234">
        <v>48.307730402927497</v>
      </c>
      <c r="P2234">
        <v>-6.9000753270386794E-2</v>
      </c>
      <c r="Q2234">
        <v>0.34254289586664499</v>
      </c>
      <c r="R2234">
        <v>0.97236771251843501</v>
      </c>
      <c r="S2234" t="s">
        <v>8686</v>
      </c>
      <c r="T2234" t="s">
        <v>12902</v>
      </c>
      <c r="U2234" t="s">
        <v>12902</v>
      </c>
      <c r="V2234" t="s">
        <v>12902</v>
      </c>
      <c r="W2234" t="s">
        <v>15097</v>
      </c>
      <c r="X2234">
        <v>2</v>
      </c>
      <c r="Y2234" t="s">
        <v>21457</v>
      </c>
      <c r="Z2234" t="s">
        <v>27809</v>
      </c>
      <c r="AA2234">
        <v>0.5438117024050354</v>
      </c>
      <c r="AB2234" t="str">
        <f>HYPERLINK("Melting_Curves/meltCurve_P23470_2_PTPRG.pdf", "Melting_Curves/meltCurve_P23470_2_PTPRG.pdf")</f>
        <v>Melting_Curves/meltCurve_P23470_2_PTPRG.pdf</v>
      </c>
    </row>
    <row r="2235" spans="1:28" x14ac:dyDescent="0.25">
      <c r="A2235" t="s">
        <v>2239</v>
      </c>
      <c r="B2235">
        <v>0.99673306730245903</v>
      </c>
      <c r="C2235">
        <v>0.98926808714009995</v>
      </c>
      <c r="D2235">
        <v>0.81692338991540503</v>
      </c>
      <c r="E2235">
        <v>0.61730458200606897</v>
      </c>
      <c r="F2235">
        <v>0.40849541473239698</v>
      </c>
      <c r="G2235">
        <v>0.29743975998896399</v>
      </c>
      <c r="H2235">
        <v>0.22808979332318199</v>
      </c>
      <c r="I2235">
        <v>0.21400119896713299</v>
      </c>
      <c r="J2235">
        <v>0.32742056681724402</v>
      </c>
      <c r="K2235">
        <v>0.33043483513588101</v>
      </c>
      <c r="L2235">
        <v>990.09190661346304</v>
      </c>
      <c r="M2235">
        <v>20.1588871695518</v>
      </c>
      <c r="N2235">
        <v>51.065399976305997</v>
      </c>
      <c r="O2235">
        <v>48.638767034394597</v>
      </c>
      <c r="P2235">
        <v>-7.5793200862612695E-2</v>
      </c>
      <c r="Q2235">
        <v>0.26853674250430398</v>
      </c>
      <c r="R2235">
        <v>0.98117464930262999</v>
      </c>
      <c r="S2235" t="s">
        <v>8687</v>
      </c>
      <c r="T2235" t="s">
        <v>12902</v>
      </c>
      <c r="U2235" t="s">
        <v>12902</v>
      </c>
      <c r="V2235" t="s">
        <v>12902</v>
      </c>
      <c r="W2235" t="s">
        <v>15098</v>
      </c>
      <c r="X2235">
        <v>7</v>
      </c>
      <c r="Y2235" t="s">
        <v>21458</v>
      </c>
      <c r="Z2235" t="s">
        <v>27810</v>
      </c>
      <c r="AA2235">
        <v>0.50083840079875164</v>
      </c>
      <c r="AB2235" t="str">
        <f>HYPERLINK("Melting_Curves/meltCurve_P23497_SP100.pdf", "Melting_Curves/meltCurve_P23497_SP100.pdf")</f>
        <v>Melting_Curves/meltCurve_P23497_SP100.pdf</v>
      </c>
    </row>
    <row r="2236" spans="1:28" x14ac:dyDescent="0.25">
      <c r="A2236" t="s">
        <v>2240</v>
      </c>
      <c r="B2236">
        <v>0.99673306730245903</v>
      </c>
      <c r="C2236">
        <v>0.95889316644657896</v>
      </c>
      <c r="D2236">
        <v>0.92230173242575297</v>
      </c>
      <c r="E2236">
        <v>0.81709030885909395</v>
      </c>
      <c r="F2236">
        <v>0.76455498161658297</v>
      </c>
      <c r="G2236">
        <v>0.551634779167402</v>
      </c>
      <c r="H2236">
        <v>0.38622916858186002</v>
      </c>
      <c r="I2236">
        <v>0.45489768105095102</v>
      </c>
      <c r="J2236">
        <v>0.64728863739970899</v>
      </c>
      <c r="K2236">
        <v>0.58395712700461699</v>
      </c>
      <c r="L2236">
        <v>996.70872989119505</v>
      </c>
      <c r="M2236">
        <v>19.3755641335019</v>
      </c>
      <c r="O2236">
        <v>50.902963977685197</v>
      </c>
      <c r="P2236">
        <v>-4.6276856652702598E-2</v>
      </c>
      <c r="Q2236">
        <v>0.51370865026198198</v>
      </c>
      <c r="R2236">
        <v>0.85902487553243401</v>
      </c>
      <c r="S2236" t="s">
        <v>8688</v>
      </c>
      <c r="T2236" t="s">
        <v>12902</v>
      </c>
      <c r="U2236" t="s">
        <v>12902</v>
      </c>
      <c r="V2236" t="s">
        <v>12902</v>
      </c>
      <c r="W2236" t="s">
        <v>15099</v>
      </c>
      <c r="X2236">
        <v>2</v>
      </c>
      <c r="Y2236" t="s">
        <v>21459</v>
      </c>
      <c r="Z2236" t="s">
        <v>27811</v>
      </c>
      <c r="AA2236">
        <v>0.7063174417344017</v>
      </c>
      <c r="AB2236" t="str">
        <f>HYPERLINK("Melting_Curves/meltCurve_P23511_2_NFYA.pdf", "Melting_Curves/meltCurve_P23511_2_NFYA.pdf")</f>
        <v>Melting_Curves/meltCurve_P23511_2_NFYA.pdf</v>
      </c>
    </row>
    <row r="2237" spans="1:28" x14ac:dyDescent="0.25">
      <c r="A2237" t="s">
        <v>2241</v>
      </c>
      <c r="B2237">
        <v>0.99673306730245903</v>
      </c>
      <c r="C2237">
        <v>0.96560592005920698</v>
      </c>
      <c r="D2237">
        <v>1.0486914544246599</v>
      </c>
      <c r="E2237">
        <v>1.13615756324012</v>
      </c>
      <c r="F2237">
        <v>1.0839206855515999</v>
      </c>
      <c r="G2237">
        <v>0.98881683539486098</v>
      </c>
      <c r="H2237">
        <v>0.67187244632281795</v>
      </c>
      <c r="I2237">
        <v>0.15962636952279599</v>
      </c>
      <c r="J2237">
        <v>0.100157569186846</v>
      </c>
      <c r="K2237">
        <v>7.80079390688216E-2</v>
      </c>
      <c r="L2237">
        <v>3625.5064008591498</v>
      </c>
      <c r="M2237">
        <v>59.050415253434203</v>
      </c>
      <c r="N2237">
        <v>61.591432512724801</v>
      </c>
      <c r="O2237">
        <v>61.326502730459502</v>
      </c>
      <c r="P2237">
        <v>-0.22023272973195401</v>
      </c>
      <c r="Q2237">
        <v>8.5114174564749998E-2</v>
      </c>
      <c r="R2237">
        <v>0.98310509953054404</v>
      </c>
      <c r="S2237" t="s">
        <v>8689</v>
      </c>
      <c r="T2237" t="s">
        <v>12902</v>
      </c>
      <c r="U2237" t="s">
        <v>12902</v>
      </c>
      <c r="V2237" t="s">
        <v>12902</v>
      </c>
      <c r="W2237" t="s">
        <v>15100</v>
      </c>
      <c r="X2237">
        <v>36</v>
      </c>
      <c r="Y2237" t="s">
        <v>21460</v>
      </c>
      <c r="Z2237" t="s">
        <v>27812</v>
      </c>
      <c r="AA2237">
        <v>0.73937844326621227</v>
      </c>
      <c r="AB2237" t="str">
        <f>HYPERLINK("Melting_Curves/meltCurve_P23526_AHCY.pdf", "Melting_Curves/meltCurve_P23526_AHCY.pdf")</f>
        <v>Melting_Curves/meltCurve_P23526_AHCY.pdf</v>
      </c>
    </row>
    <row r="2238" spans="1:28" x14ac:dyDescent="0.25">
      <c r="A2238" t="s">
        <v>2242</v>
      </c>
      <c r="B2238">
        <v>0.99673306730245903</v>
      </c>
      <c r="C2238">
        <v>0.99005869847634698</v>
      </c>
      <c r="D2238">
        <v>0.90642615840907903</v>
      </c>
      <c r="E2238">
        <v>0.89066693579436995</v>
      </c>
      <c r="F2238">
        <v>0.52805006044258596</v>
      </c>
      <c r="G2238">
        <v>0.23555962831376501</v>
      </c>
      <c r="H2238">
        <v>0.120208546941005</v>
      </c>
      <c r="I2238">
        <v>0.11184134952246901</v>
      </c>
      <c r="J2238">
        <v>0.13594183437579899</v>
      </c>
      <c r="K2238">
        <v>0.12290488038660501</v>
      </c>
      <c r="L2238">
        <v>1422.86526626779</v>
      </c>
      <c r="M2238">
        <v>26.876747357420498</v>
      </c>
      <c r="N2238">
        <v>53.450720306594498</v>
      </c>
      <c r="O2238">
        <v>52.6499073517573</v>
      </c>
      <c r="P2238">
        <v>-0.113178972450378</v>
      </c>
      <c r="Q2238">
        <v>0.11316617102858199</v>
      </c>
      <c r="R2238">
        <v>0.994869240821877</v>
      </c>
      <c r="S2238" t="s">
        <v>8690</v>
      </c>
      <c r="T2238" t="s">
        <v>12902</v>
      </c>
      <c r="U2238" t="s">
        <v>12902</v>
      </c>
      <c r="V2238" t="s">
        <v>12902</v>
      </c>
      <c r="W2238" t="s">
        <v>15101</v>
      </c>
      <c r="X2238">
        <v>21</v>
      </c>
      <c r="Y2238" t="s">
        <v>21461</v>
      </c>
      <c r="Z2238" t="s">
        <v>27813</v>
      </c>
      <c r="AA2238">
        <v>0.50281145169518104</v>
      </c>
      <c r="AB2238" t="str">
        <f>HYPERLINK("Melting_Curves/meltCurve_P23528_CFL1.pdf", "Melting_Curves/meltCurve_P23528_CFL1.pdf")</f>
        <v>Melting_Curves/meltCurve_P23528_CFL1.pdf</v>
      </c>
    </row>
    <row r="2239" spans="1:28" x14ac:dyDescent="0.25">
      <c r="A2239" t="s">
        <v>2243</v>
      </c>
      <c r="B2239">
        <v>0.99673306730245903</v>
      </c>
      <c r="C2239">
        <v>0.90955658409696005</v>
      </c>
      <c r="D2239">
        <v>0.91589072602821897</v>
      </c>
      <c r="E2239">
        <v>0.75412000385539002</v>
      </c>
      <c r="F2239">
        <v>0.24579004914512201</v>
      </c>
      <c r="G2239">
        <v>0.12554415079704501</v>
      </c>
      <c r="H2239">
        <v>0.10687886636308699</v>
      </c>
      <c r="I2239">
        <v>0.106613485756944</v>
      </c>
      <c r="J2239">
        <v>0.15487883834051699</v>
      </c>
      <c r="K2239">
        <v>0.196034513171323</v>
      </c>
      <c r="L2239">
        <v>1975.17608297385</v>
      </c>
      <c r="M2239">
        <v>38.965803014347699</v>
      </c>
      <c r="N2239">
        <v>51.100342298725799</v>
      </c>
      <c r="O2239">
        <v>50.557029596750397</v>
      </c>
      <c r="P2239">
        <v>-0.16679738108276301</v>
      </c>
      <c r="Q2239">
        <v>0.134342403432405</v>
      </c>
      <c r="R2239">
        <v>0.98581297790704603</v>
      </c>
      <c r="S2239" t="s">
        <v>8691</v>
      </c>
      <c r="T2239" t="s">
        <v>12902</v>
      </c>
      <c r="U2239" t="s">
        <v>12902</v>
      </c>
      <c r="V2239" t="s">
        <v>12902</v>
      </c>
      <c r="W2239" t="s">
        <v>15102</v>
      </c>
      <c r="X2239">
        <v>4</v>
      </c>
      <c r="Y2239" t="s">
        <v>21462</v>
      </c>
      <c r="Z2239" t="s">
        <v>27814</v>
      </c>
      <c r="AA2239">
        <v>0.44600244802025479</v>
      </c>
      <c r="AB2239" t="str">
        <f>HYPERLINK("Melting_Curves/meltCurve_P23610_F8A1.pdf", "Melting_Curves/meltCurve_P23610_F8A1.pdf")</f>
        <v>Melting_Curves/meltCurve_P23610_F8A1.pdf</v>
      </c>
    </row>
    <row r="2240" spans="1:28" x14ac:dyDescent="0.25">
      <c r="A2240" t="s">
        <v>2244</v>
      </c>
      <c r="B2240">
        <v>0.99673306730245903</v>
      </c>
      <c r="C2240">
        <v>0.88362467379855103</v>
      </c>
      <c r="D2240">
        <v>0.54944312475554002</v>
      </c>
      <c r="E2240">
        <v>0.22694481388511101</v>
      </c>
      <c r="F2240">
        <v>0.11716762723323</v>
      </c>
      <c r="G2240">
        <v>7.2978339648532897E-2</v>
      </c>
      <c r="H2240">
        <v>4.8771573149637301E-2</v>
      </c>
      <c r="I2240">
        <v>4.42157182223595E-2</v>
      </c>
      <c r="J2240">
        <v>4.6264578911735098E-2</v>
      </c>
      <c r="K2240">
        <v>4.2270614922531702E-2</v>
      </c>
      <c r="L2240">
        <v>1065.69576925858</v>
      </c>
      <c r="M2240">
        <v>22.999123308778099</v>
      </c>
      <c r="N2240">
        <v>46.552019362560003</v>
      </c>
      <c r="O2240">
        <v>45.990344286303703</v>
      </c>
      <c r="P2240">
        <v>-0.118706177481307</v>
      </c>
      <c r="Q2240">
        <v>5.05319680300165E-2</v>
      </c>
      <c r="R2240">
        <v>0.99872745783310402</v>
      </c>
      <c r="S2240" t="s">
        <v>8692</v>
      </c>
      <c r="T2240" t="s">
        <v>12902</v>
      </c>
      <c r="U2240" t="s">
        <v>12902</v>
      </c>
      <c r="V2240" t="s">
        <v>12902</v>
      </c>
      <c r="W2240" t="s">
        <v>15103</v>
      </c>
      <c r="X2240">
        <v>24</v>
      </c>
      <c r="Y2240" t="s">
        <v>21463</v>
      </c>
      <c r="Z2240" t="s">
        <v>27815</v>
      </c>
      <c r="AA2240">
        <v>0.26151859920877679</v>
      </c>
      <c r="AB2240" t="str">
        <f>HYPERLINK("Melting_Curves/meltCurve_P23786_CPT2.pdf", "Melting_Curves/meltCurve_P23786_CPT2.pdf")</f>
        <v>Melting_Curves/meltCurve_P23786_CPT2.pdf</v>
      </c>
    </row>
    <row r="2241" spans="1:28" x14ac:dyDescent="0.25">
      <c r="A2241" t="s">
        <v>2245</v>
      </c>
      <c r="B2241">
        <v>0.99673306730245903</v>
      </c>
      <c r="C2241">
        <v>0.99285183896016604</v>
      </c>
      <c r="D2241">
        <v>0.93514347142767995</v>
      </c>
      <c r="E2241">
        <v>0.85224736531286704</v>
      </c>
      <c r="F2241">
        <v>0.62890530187563598</v>
      </c>
      <c r="G2241">
        <v>0.29702250435968502</v>
      </c>
      <c r="H2241">
        <v>0.113405415495275</v>
      </c>
      <c r="I2241">
        <v>0.10327716619314301</v>
      </c>
      <c r="J2241">
        <v>0.102081905137544</v>
      </c>
      <c r="K2241">
        <v>8.7004945657201904E-2</v>
      </c>
      <c r="L2241">
        <v>1144.05462703238</v>
      </c>
      <c r="M2241">
        <v>21.225689730009801</v>
      </c>
      <c r="N2241">
        <v>54.287408909973003</v>
      </c>
      <c r="O2241">
        <v>53.427945986258102</v>
      </c>
      <c r="P2241">
        <v>-9.2333666099729997E-2</v>
      </c>
      <c r="Q2241">
        <v>7.0358370603331194E-2</v>
      </c>
      <c r="R2241">
        <v>0.99692911980481702</v>
      </c>
      <c r="S2241" t="s">
        <v>8693</v>
      </c>
      <c r="T2241" t="s">
        <v>12902</v>
      </c>
      <c r="U2241" t="s">
        <v>12902</v>
      </c>
      <c r="V2241" t="s">
        <v>12902</v>
      </c>
      <c r="W2241" t="s">
        <v>15104</v>
      </c>
      <c r="X2241">
        <v>19</v>
      </c>
      <c r="Y2241" t="s">
        <v>21464</v>
      </c>
      <c r="Z2241" t="s">
        <v>27816</v>
      </c>
      <c r="AA2241">
        <v>0.51254741382350832</v>
      </c>
      <c r="AB2241" t="str">
        <f>HYPERLINK("Melting_Curves/meltCurve_P23919_DTYMK.pdf", "Melting_Curves/meltCurve_P23919_DTYMK.pdf")</f>
        <v>Melting_Curves/meltCurve_P23919_DTYMK.pdf</v>
      </c>
    </row>
    <row r="2242" spans="1:28" x14ac:dyDescent="0.25">
      <c r="A2242" t="s">
        <v>2246</v>
      </c>
      <c r="B2242">
        <v>0.99673306730245903</v>
      </c>
      <c r="C2242">
        <v>0.94485380839234501</v>
      </c>
      <c r="D2242">
        <v>0.96064558439014802</v>
      </c>
      <c r="E2242">
        <v>0.97894793604211106</v>
      </c>
      <c r="F2242">
        <v>0.60001119685331605</v>
      </c>
      <c r="G2242">
        <v>0.231243870729127</v>
      </c>
      <c r="H2242">
        <v>0.10261523495243199</v>
      </c>
      <c r="I2242">
        <v>8.8822602544781498E-2</v>
      </c>
      <c r="J2242">
        <v>8.6764788361815004E-2</v>
      </c>
      <c r="K2242">
        <v>7.2975171246248693E-2</v>
      </c>
      <c r="L2242">
        <v>1765.7493123066599</v>
      </c>
      <c r="M2242">
        <v>32.866582082616702</v>
      </c>
      <c r="N2242">
        <v>54.025051150084103</v>
      </c>
      <c r="O2242">
        <v>53.527039641258199</v>
      </c>
      <c r="P2242">
        <v>-0.14068991456050201</v>
      </c>
      <c r="Q2242">
        <v>8.3484793527842993E-2</v>
      </c>
      <c r="R2242">
        <v>0.99628839269782099</v>
      </c>
      <c r="S2242" t="s">
        <v>8694</v>
      </c>
      <c r="T2242" t="s">
        <v>12902</v>
      </c>
      <c r="U2242" t="s">
        <v>12902</v>
      </c>
      <c r="V2242" t="s">
        <v>12902</v>
      </c>
      <c r="W2242" t="s">
        <v>15105</v>
      </c>
      <c r="X2242">
        <v>27</v>
      </c>
      <c r="Y2242" t="s">
        <v>21465</v>
      </c>
      <c r="Z2242" t="s">
        <v>27817</v>
      </c>
      <c r="AA2242">
        <v>0.5078038557001977</v>
      </c>
      <c r="AB2242" t="str">
        <f>HYPERLINK("Melting_Curves/meltCurve_P23921_RRM1.pdf", "Melting_Curves/meltCurve_P23921_RRM1.pdf")</f>
        <v>Melting_Curves/meltCurve_P23921_RRM1.pdf</v>
      </c>
    </row>
    <row r="2243" spans="1:28" x14ac:dyDescent="0.25">
      <c r="A2243" t="s">
        <v>2247</v>
      </c>
      <c r="B2243">
        <v>0.99673306730245903</v>
      </c>
      <c r="C2243">
        <v>1.00992839964101</v>
      </c>
      <c r="D2243">
        <v>0.92963556151277105</v>
      </c>
      <c r="E2243">
        <v>0.77997520254628105</v>
      </c>
      <c r="F2243">
        <v>0.51521677970593605</v>
      </c>
      <c r="G2243">
        <v>0.32647716540159799</v>
      </c>
      <c r="H2243">
        <v>0.19769145224120099</v>
      </c>
      <c r="I2243">
        <v>0.12141427664813299</v>
      </c>
      <c r="J2243">
        <v>0.13934333301587701</v>
      </c>
      <c r="K2243">
        <v>0.13109382880352599</v>
      </c>
      <c r="L2243">
        <v>912.10047382172297</v>
      </c>
      <c r="M2243">
        <v>17.281526719334401</v>
      </c>
      <c r="N2243">
        <v>53.5462292438473</v>
      </c>
      <c r="O2243">
        <v>52.0874162378637</v>
      </c>
      <c r="P2243">
        <v>-7.3851813308210598E-2</v>
      </c>
      <c r="Q2243">
        <v>0.109678814881844</v>
      </c>
      <c r="R2243">
        <v>0.99842482030613</v>
      </c>
      <c r="S2243" t="s">
        <v>8695</v>
      </c>
      <c r="T2243" t="s">
        <v>12902</v>
      </c>
      <c r="U2243" t="s">
        <v>12902</v>
      </c>
      <c r="V2243" t="s">
        <v>12902</v>
      </c>
      <c r="W2243" t="s">
        <v>15106</v>
      </c>
      <c r="X2243">
        <v>4</v>
      </c>
      <c r="Y2243" t="s">
        <v>21466</v>
      </c>
      <c r="Z2243" t="s">
        <v>27818</v>
      </c>
      <c r="AA2243">
        <v>0.50454937510794573</v>
      </c>
      <c r="AB2243" t="str">
        <f>HYPERLINK("Melting_Curves/meltCurve_P24385_CCND1.pdf", "Melting_Curves/meltCurve_P24385_CCND1.pdf")</f>
        <v>Melting_Curves/meltCurve_P24385_CCND1.pdf</v>
      </c>
    </row>
    <row r="2244" spans="1:28" x14ac:dyDescent="0.25">
      <c r="A2244" t="s">
        <v>2248</v>
      </c>
      <c r="B2244">
        <v>0.99673306730245903</v>
      </c>
      <c r="C2244">
        <v>0.91237618078898097</v>
      </c>
      <c r="D2244">
        <v>0.82069355588394299</v>
      </c>
      <c r="E2244">
        <v>0.697084477180274</v>
      </c>
      <c r="F2244">
        <v>0.53259809072779196</v>
      </c>
      <c r="G2244">
        <v>0.30976735448050902</v>
      </c>
      <c r="H2244">
        <v>0.18695689959080999</v>
      </c>
      <c r="I2244">
        <v>0.110106774689299</v>
      </c>
      <c r="J2244">
        <v>7.8805532851326895E-2</v>
      </c>
      <c r="K2244">
        <v>4.0449806635392001E-2</v>
      </c>
      <c r="L2244">
        <v>608.70257286486105</v>
      </c>
      <c r="M2244">
        <v>11.4661246705469</v>
      </c>
      <c r="N2244">
        <v>53.087033964906901</v>
      </c>
      <c r="O2244">
        <v>51.549273330410401</v>
      </c>
      <c r="P2244">
        <v>-5.5623580025126997E-2</v>
      </c>
      <c r="Q2244">
        <v>0</v>
      </c>
      <c r="R2244">
        <v>0.99641370129238205</v>
      </c>
      <c r="S2244" t="s">
        <v>8696</v>
      </c>
      <c r="T2244" t="s">
        <v>12902</v>
      </c>
      <c r="U2244" t="s">
        <v>12902</v>
      </c>
      <c r="V2244" t="s">
        <v>12902</v>
      </c>
      <c r="W2244" t="s">
        <v>15107</v>
      </c>
      <c r="X2244">
        <v>1</v>
      </c>
      <c r="Y2244" t="s">
        <v>21467</v>
      </c>
      <c r="Z2244" t="s">
        <v>27819</v>
      </c>
      <c r="AA2244">
        <v>0.46592586316306461</v>
      </c>
      <c r="AB2244" t="str">
        <f>HYPERLINK("Melting_Curves/meltCurve_P24468_NR2F2.pdf", "Melting_Curves/meltCurve_P24468_NR2F2.pdf")</f>
        <v>Melting_Curves/meltCurve_P24468_NR2F2.pdf</v>
      </c>
    </row>
    <row r="2245" spans="1:28" x14ac:dyDescent="0.25">
      <c r="A2245" t="s">
        <v>2249</v>
      </c>
      <c r="B2245">
        <v>0.99673306730245903</v>
      </c>
      <c r="C2245">
        <v>0.87008544225346396</v>
      </c>
      <c r="D2245">
        <v>0.80450427977482697</v>
      </c>
      <c r="E2245">
        <v>0.84058041177142595</v>
      </c>
      <c r="F2245">
        <v>0.18615243693965799</v>
      </c>
      <c r="G2245">
        <v>0.12520983627152099</v>
      </c>
      <c r="H2245">
        <v>7.5824431505475895E-2</v>
      </c>
      <c r="I2245">
        <v>8.7437250181729806E-2</v>
      </c>
      <c r="J2245">
        <v>0.22266634841406199</v>
      </c>
      <c r="K2245">
        <v>0.24870513359263899</v>
      </c>
      <c r="L2245">
        <v>3234.7439367463599</v>
      </c>
      <c r="M2245">
        <v>63.780277615556997</v>
      </c>
      <c r="N2245">
        <v>51.003984742451102</v>
      </c>
      <c r="O2245">
        <v>50.667205184935902</v>
      </c>
      <c r="P2245">
        <v>-0.26725401748856997</v>
      </c>
      <c r="Q2245">
        <v>0.150771349931589</v>
      </c>
      <c r="R2245">
        <v>0.93826979322468995</v>
      </c>
      <c r="S2245" t="s">
        <v>8697</v>
      </c>
      <c r="T2245" t="s">
        <v>12902</v>
      </c>
      <c r="U2245" t="s">
        <v>12902</v>
      </c>
      <c r="V2245" t="s">
        <v>12902</v>
      </c>
      <c r="W2245" t="s">
        <v>15108</v>
      </c>
      <c r="X2245">
        <v>13</v>
      </c>
      <c r="Y2245" t="s">
        <v>21468</v>
      </c>
      <c r="Z2245" t="s">
        <v>27820</v>
      </c>
      <c r="AA2245">
        <v>0.45530900757248821</v>
      </c>
      <c r="AB2245" t="str">
        <f>HYPERLINK("Melting_Curves/meltCurve_P24534_EEF1B2.pdf", "Melting_Curves/meltCurve_P24534_EEF1B2.pdf")</f>
        <v>Melting_Curves/meltCurve_P24534_EEF1B2.pdf</v>
      </c>
    </row>
    <row r="2246" spans="1:28" x14ac:dyDescent="0.25">
      <c r="A2246" t="s">
        <v>2250</v>
      </c>
      <c r="B2246">
        <v>0.99673306730245903</v>
      </c>
      <c r="C2246">
        <v>0.96234378258394404</v>
      </c>
      <c r="D2246">
        <v>1.01301991936004</v>
      </c>
      <c r="E2246">
        <v>0.95445299216938095</v>
      </c>
      <c r="F2246">
        <v>0.77455787047450497</v>
      </c>
      <c r="G2246">
        <v>0.457632181332082</v>
      </c>
      <c r="H2246">
        <v>0.32204376803120499</v>
      </c>
      <c r="I2246">
        <v>0.34007046477691699</v>
      </c>
      <c r="J2246">
        <v>0.42233255893603</v>
      </c>
      <c r="K2246">
        <v>0.35298300022527701</v>
      </c>
      <c r="L2246">
        <v>1971.35133341136</v>
      </c>
      <c r="M2246">
        <v>36.465021439709403</v>
      </c>
      <c r="N2246">
        <v>55.987782178626702</v>
      </c>
      <c r="O2246">
        <v>53.899617632191401</v>
      </c>
      <c r="P2246">
        <v>-0.108683750595114</v>
      </c>
      <c r="Q2246">
        <v>0.35741214983858599</v>
      </c>
      <c r="R2246">
        <v>0.98940574115178404</v>
      </c>
      <c r="S2246" t="s">
        <v>8698</v>
      </c>
      <c r="T2246" t="s">
        <v>12902</v>
      </c>
      <c r="U2246" t="s">
        <v>12902</v>
      </c>
      <c r="V2246" t="s">
        <v>12902</v>
      </c>
      <c r="W2246" t="s">
        <v>15109</v>
      </c>
      <c r="X2246">
        <v>4</v>
      </c>
      <c r="Y2246" t="s">
        <v>21469</v>
      </c>
      <c r="Z2246" t="s">
        <v>27821</v>
      </c>
      <c r="AA2246">
        <v>0.66148366167160133</v>
      </c>
      <c r="AB2246" t="str">
        <f>HYPERLINK("Melting_Curves/meltCurve_P24593_IGFBP5.pdf", "Melting_Curves/meltCurve_P24593_IGFBP5.pdf")</f>
        <v>Melting_Curves/meltCurve_P24593_IGFBP5.pdf</v>
      </c>
    </row>
    <row r="2247" spans="1:28" x14ac:dyDescent="0.25">
      <c r="A2247" t="s">
        <v>2251</v>
      </c>
      <c r="B2247">
        <v>0.99673306730245903</v>
      </c>
      <c r="C2247">
        <v>1.0239223771769299</v>
      </c>
      <c r="D2247">
        <v>0.91838938126434</v>
      </c>
      <c r="E2247">
        <v>0.61792414716119803</v>
      </c>
      <c r="F2247">
        <v>0.33039394951047502</v>
      </c>
      <c r="G2247">
        <v>0.163236196116297</v>
      </c>
      <c r="H2247">
        <v>9.6163339696617903E-2</v>
      </c>
      <c r="I2247">
        <v>8.8885416084465804E-2</v>
      </c>
      <c r="J2247">
        <v>8.0492784827184499E-2</v>
      </c>
      <c r="K2247">
        <v>6.5815776058263095E-2</v>
      </c>
      <c r="L2247">
        <v>1088.8518894711799</v>
      </c>
      <c r="M2247">
        <v>21.503627231299301</v>
      </c>
      <c r="N2247">
        <v>51.020095061122703</v>
      </c>
      <c r="O2247">
        <v>50.203923572305897</v>
      </c>
      <c r="P2247">
        <v>-9.9076382612202404E-2</v>
      </c>
      <c r="Q2247">
        <v>7.4779050056501706E-2</v>
      </c>
      <c r="R2247">
        <v>0.99811329497886403</v>
      </c>
      <c r="S2247" t="s">
        <v>8699</v>
      </c>
      <c r="T2247" t="s">
        <v>12902</v>
      </c>
      <c r="U2247" t="s">
        <v>12902</v>
      </c>
      <c r="V2247" t="s">
        <v>12902</v>
      </c>
      <c r="W2247" t="s">
        <v>15110</v>
      </c>
      <c r="X2247">
        <v>13</v>
      </c>
      <c r="Y2247" t="s">
        <v>21470</v>
      </c>
      <c r="Z2247" t="s">
        <v>27822</v>
      </c>
      <c r="AA2247">
        <v>0.41397897106877152</v>
      </c>
      <c r="AB2247" t="str">
        <f>HYPERLINK("Melting_Curves/meltCurve_P24666_ACP1.pdf", "Melting_Curves/meltCurve_P24666_ACP1.pdf")</f>
        <v>Melting_Curves/meltCurve_P24666_ACP1.pdf</v>
      </c>
    </row>
    <row r="2248" spans="1:28" x14ac:dyDescent="0.25">
      <c r="A2248" t="s">
        <v>2252</v>
      </c>
      <c r="B2248">
        <v>0.99673306730245903</v>
      </c>
      <c r="C2248">
        <v>0.98547608127002795</v>
      </c>
      <c r="D2248">
        <v>1.06867824848014</v>
      </c>
      <c r="E2248">
        <v>0.747074050347593</v>
      </c>
      <c r="F2248">
        <v>0.55825076987104805</v>
      </c>
      <c r="G2248">
        <v>0.28009549289705998</v>
      </c>
      <c r="H2248">
        <v>0.145117238655843</v>
      </c>
      <c r="I2248">
        <v>0.162435437150655</v>
      </c>
      <c r="J2248">
        <v>0.13444427090917899</v>
      </c>
      <c r="K2248">
        <v>0.100372219550017</v>
      </c>
      <c r="L2248">
        <v>1083.9630062997901</v>
      </c>
      <c r="M2248">
        <v>20.512547145099902</v>
      </c>
      <c r="N2248">
        <v>53.508769004619403</v>
      </c>
      <c r="O2248">
        <v>52.349369186757201</v>
      </c>
      <c r="P2248">
        <v>-8.69425841208811E-2</v>
      </c>
      <c r="Q2248">
        <v>0.112493576678891</v>
      </c>
      <c r="R2248">
        <v>0.98662038189045198</v>
      </c>
      <c r="S2248" t="s">
        <v>8700</v>
      </c>
      <c r="T2248" t="s">
        <v>12902</v>
      </c>
      <c r="U2248" t="s">
        <v>12902</v>
      </c>
      <c r="V2248" t="s">
        <v>12902</v>
      </c>
      <c r="W2248" t="s">
        <v>15111</v>
      </c>
      <c r="X2248">
        <v>11</v>
      </c>
      <c r="Y2248" t="s">
        <v>21470</v>
      </c>
      <c r="Z2248" t="s">
        <v>27823</v>
      </c>
      <c r="AA2248">
        <v>0.50415978237635684</v>
      </c>
      <c r="AB2248" t="str">
        <f>HYPERLINK("Melting_Curves/meltCurve_P24666_2_ACP1.pdf", "Melting_Curves/meltCurve_P24666_2_ACP1.pdf")</f>
        <v>Melting_Curves/meltCurve_P24666_2_ACP1.pdf</v>
      </c>
    </row>
    <row r="2249" spans="1:28" x14ac:dyDescent="0.25">
      <c r="A2249" t="s">
        <v>2253</v>
      </c>
      <c r="B2249">
        <v>0.99673306730245903</v>
      </c>
      <c r="C2249">
        <v>0.87742109067560903</v>
      </c>
      <c r="D2249">
        <v>1.0103065184819799</v>
      </c>
      <c r="E2249">
        <v>1.1709433864460499</v>
      </c>
      <c r="F2249">
        <v>0.84037320079448696</v>
      </c>
      <c r="G2249">
        <v>0.53372606032317804</v>
      </c>
      <c r="H2249">
        <v>8.78055413562666E-2</v>
      </c>
      <c r="I2249">
        <v>7.28585986596825E-2</v>
      </c>
      <c r="J2249">
        <v>6.8503137373061102E-2</v>
      </c>
      <c r="K2249">
        <v>5.6231624029864799E-2</v>
      </c>
      <c r="L2249">
        <v>1943.99586185149</v>
      </c>
      <c r="M2249">
        <v>34.316903078625401</v>
      </c>
      <c r="N2249">
        <v>56.816261125219</v>
      </c>
      <c r="O2249">
        <v>56.457021297501797</v>
      </c>
      <c r="P2249">
        <v>-0.144632619127538</v>
      </c>
      <c r="Q2249">
        <v>4.82246854537767E-2</v>
      </c>
      <c r="R2249">
        <v>0.97129313976248499</v>
      </c>
      <c r="S2249" t="s">
        <v>8701</v>
      </c>
      <c r="T2249" t="s">
        <v>12902</v>
      </c>
      <c r="U2249" t="s">
        <v>12902</v>
      </c>
      <c r="V2249" t="s">
        <v>12902</v>
      </c>
      <c r="W2249" t="s">
        <v>15112</v>
      </c>
      <c r="X2249">
        <v>31</v>
      </c>
      <c r="Y2249" t="s">
        <v>19835</v>
      </c>
      <c r="Z2249" t="s">
        <v>27824</v>
      </c>
      <c r="AA2249">
        <v>0.58136470318884959</v>
      </c>
      <c r="AB2249" t="str">
        <f>HYPERLINK("Melting_Curves/meltCurve_P24752_ACAT1.pdf", "Melting_Curves/meltCurve_P24752_ACAT1.pdf")</f>
        <v>Melting_Curves/meltCurve_P24752_ACAT1.pdf</v>
      </c>
    </row>
    <row r="2250" spans="1:28" x14ac:dyDescent="0.25">
      <c r="A2250" t="s">
        <v>2254</v>
      </c>
      <c r="B2250">
        <v>0.99673306730245903</v>
      </c>
      <c r="C2250">
        <v>0.91242884563661197</v>
      </c>
      <c r="D2250">
        <v>0.99379220775478205</v>
      </c>
      <c r="E2250">
        <v>1.0742414499001001</v>
      </c>
      <c r="F2250">
        <v>0.90497826933343495</v>
      </c>
      <c r="G2250">
        <v>0.84501553933448204</v>
      </c>
      <c r="H2250">
        <v>0.67369111148532801</v>
      </c>
      <c r="I2250">
        <v>0.25828017757649602</v>
      </c>
      <c r="J2250">
        <v>0.22369340064974499</v>
      </c>
      <c r="K2250">
        <v>0.219862263214299</v>
      </c>
      <c r="L2250">
        <v>1646.48691842379</v>
      </c>
      <c r="M2250">
        <v>27.014250809684398</v>
      </c>
      <c r="N2250">
        <v>61.8269951611788</v>
      </c>
      <c r="O2250">
        <v>60.617776420454902</v>
      </c>
      <c r="P2250">
        <v>-9.3661631328855993E-2</v>
      </c>
      <c r="Q2250">
        <v>0.159332052905646</v>
      </c>
      <c r="R2250">
        <v>0.96556178825789696</v>
      </c>
      <c r="S2250" t="s">
        <v>8702</v>
      </c>
      <c r="T2250" t="s">
        <v>12902</v>
      </c>
      <c r="U2250" t="s">
        <v>12902</v>
      </c>
      <c r="V2250" t="s">
        <v>12902</v>
      </c>
      <c r="W2250" t="s">
        <v>15113</v>
      </c>
      <c r="X2250">
        <v>28</v>
      </c>
      <c r="Y2250" t="s">
        <v>21471</v>
      </c>
      <c r="Z2250" t="s">
        <v>27825</v>
      </c>
      <c r="AA2250">
        <v>0.75147208626082862</v>
      </c>
      <c r="AB2250" t="str">
        <f>HYPERLINK("Melting_Curves/meltCurve_P24928_POLR2A.pdf", "Melting_Curves/meltCurve_P24928_POLR2A.pdf")</f>
        <v>Melting_Curves/meltCurve_P24928_POLR2A.pdf</v>
      </c>
    </row>
    <row r="2251" spans="1:28" x14ac:dyDescent="0.25">
      <c r="A2251" t="s">
        <v>2255</v>
      </c>
      <c r="B2251">
        <v>0.99673306730245903</v>
      </c>
      <c r="C2251">
        <v>0.82977310937931803</v>
      </c>
      <c r="D2251">
        <v>0.664155128159994</v>
      </c>
      <c r="E2251">
        <v>0.55152978045498902</v>
      </c>
      <c r="F2251">
        <v>3.0461846152058301</v>
      </c>
      <c r="G2251">
        <v>0.27689006706557601</v>
      </c>
      <c r="H2251">
        <v>0.25451697320662098</v>
      </c>
      <c r="I2251">
        <v>0.19692007351101201</v>
      </c>
      <c r="J2251">
        <v>9.0377427179494402E-2</v>
      </c>
      <c r="K2251">
        <v>4.5818173328438003E-2</v>
      </c>
      <c r="L2251">
        <v>14102.524612191601</v>
      </c>
      <c r="M2251">
        <v>250</v>
      </c>
      <c r="N2251">
        <v>56.488703315544001</v>
      </c>
      <c r="O2251">
        <v>56.406489630512901</v>
      </c>
      <c r="P2251">
        <v>-0.94525109593624601</v>
      </c>
      <c r="Q2251">
        <v>0.14690727867585099</v>
      </c>
      <c r="R2251">
        <v>0.354744307726505</v>
      </c>
      <c r="S2251" t="s">
        <v>8703</v>
      </c>
      <c r="T2251" t="s">
        <v>12902</v>
      </c>
      <c r="U2251" t="s">
        <v>12902</v>
      </c>
      <c r="V2251" t="s">
        <v>12902</v>
      </c>
      <c r="W2251" t="s">
        <v>15114</v>
      </c>
      <c r="X2251">
        <v>1</v>
      </c>
      <c r="Y2251" t="s">
        <v>21472</v>
      </c>
      <c r="Z2251" t="s">
        <v>27826</v>
      </c>
      <c r="AA2251">
        <v>0.61363625196498328</v>
      </c>
      <c r="AB2251" t="str">
        <f>HYPERLINK("Melting_Curves/meltCurve_P25054_2_APC.pdf", "Melting_Curves/meltCurve_P25054_2_APC.pdf")</f>
        <v>Melting_Curves/meltCurve_P25054_2_APC.pdf</v>
      </c>
    </row>
    <row r="2252" spans="1:28" x14ac:dyDescent="0.25">
      <c r="A2252" t="s">
        <v>2256</v>
      </c>
      <c r="B2252">
        <v>0.99673306730245903</v>
      </c>
      <c r="C2252">
        <v>0.999057042074602</v>
      </c>
      <c r="D2252">
        <v>0.93934900725252302</v>
      </c>
      <c r="E2252">
        <v>0.82995809662178899</v>
      </c>
      <c r="F2252">
        <v>0.36463253542118501</v>
      </c>
      <c r="G2252">
        <v>0.162077951982882</v>
      </c>
      <c r="H2252">
        <v>9.9067414088102199E-2</v>
      </c>
      <c r="I2252">
        <v>8.6234527330016797E-2</v>
      </c>
      <c r="J2252">
        <v>8.8156982383111607E-2</v>
      </c>
      <c r="K2252">
        <v>7.54254772494935E-2</v>
      </c>
      <c r="L2252">
        <v>1552.67911891279</v>
      </c>
      <c r="M2252">
        <v>29.9422334493634</v>
      </c>
      <c r="N2252">
        <v>52.180872614699503</v>
      </c>
      <c r="O2252">
        <v>51.62615342094</v>
      </c>
      <c r="P2252">
        <v>-0.132660263178947</v>
      </c>
      <c r="Q2252">
        <v>8.50788126658652E-2</v>
      </c>
      <c r="R2252">
        <v>0.998479520856009</v>
      </c>
      <c r="S2252" t="s">
        <v>8704</v>
      </c>
      <c r="T2252" t="s">
        <v>12902</v>
      </c>
      <c r="U2252" t="s">
        <v>12902</v>
      </c>
      <c r="V2252" t="s">
        <v>12902</v>
      </c>
      <c r="W2252" t="s">
        <v>15115</v>
      </c>
      <c r="X2252">
        <v>21</v>
      </c>
      <c r="Y2252" t="s">
        <v>21473</v>
      </c>
      <c r="Z2252" t="s">
        <v>27827</v>
      </c>
      <c r="AA2252">
        <v>0.45250511568742152</v>
      </c>
      <c r="AB2252" t="str">
        <f>HYPERLINK("Melting_Curves/meltCurve_P25098_ADRBK1.pdf", "Melting_Curves/meltCurve_P25098_ADRBK1.pdf")</f>
        <v>Melting_Curves/meltCurve_P25098_ADRBK1.pdf</v>
      </c>
    </row>
    <row r="2253" spans="1:28" x14ac:dyDescent="0.25">
      <c r="A2253" t="s">
        <v>2257</v>
      </c>
      <c r="B2253">
        <v>0.99673306730245903</v>
      </c>
      <c r="C2253">
        <v>0.83853863243642301</v>
      </c>
      <c r="D2253">
        <v>0.802428434884491</v>
      </c>
      <c r="E2253">
        <v>0.80364039001204501</v>
      </c>
      <c r="F2253">
        <v>0.58984785749189195</v>
      </c>
      <c r="G2253">
        <v>0.237390961844651</v>
      </c>
      <c r="H2253">
        <v>0.10881491105447</v>
      </c>
      <c r="I2253">
        <v>9.0983487910112307E-2</v>
      </c>
      <c r="J2253">
        <v>8.6736447004854403E-2</v>
      </c>
      <c r="K2253">
        <v>7.3842068493555596E-2</v>
      </c>
      <c r="L2253">
        <v>711.368766694751</v>
      </c>
      <c r="M2253">
        <v>13.3307131940047</v>
      </c>
      <c r="N2253">
        <v>53.363146924372501</v>
      </c>
      <c r="O2253">
        <v>52.205189001215601</v>
      </c>
      <c r="P2253">
        <v>-6.3848279226979096E-2</v>
      </c>
      <c r="Q2253">
        <v>0</v>
      </c>
      <c r="R2253">
        <v>0.96479009651207204</v>
      </c>
      <c r="S2253" t="s">
        <v>8705</v>
      </c>
      <c r="T2253" t="s">
        <v>12902</v>
      </c>
      <c r="U2253" t="s">
        <v>12902</v>
      </c>
      <c r="V2253" t="s">
        <v>12902</v>
      </c>
      <c r="W2253" t="s">
        <v>15116</v>
      </c>
      <c r="X2253">
        <v>32</v>
      </c>
      <c r="Y2253" t="s">
        <v>21474</v>
      </c>
      <c r="Z2253" t="s">
        <v>27828</v>
      </c>
      <c r="AA2253">
        <v>0.47001811957633483</v>
      </c>
      <c r="AB2253" t="str">
        <f>HYPERLINK("Melting_Curves/meltCurve_P25205_MCM3.pdf", "Melting_Curves/meltCurve_P25205_MCM3.pdf")</f>
        <v>Melting_Curves/meltCurve_P25205_MCM3.pdf</v>
      </c>
    </row>
    <row r="2254" spans="1:28" x14ac:dyDescent="0.25">
      <c r="A2254" t="s">
        <v>2258</v>
      </c>
      <c r="B2254">
        <v>0.99673306730245903</v>
      </c>
      <c r="C2254">
        <v>1.04774851207477</v>
      </c>
      <c r="D2254">
        <v>1.00990702177735</v>
      </c>
      <c r="E2254">
        <v>0.88169408673358396</v>
      </c>
      <c r="F2254">
        <v>0.78452735627962</v>
      </c>
      <c r="G2254">
        <v>0.66417842309764796</v>
      </c>
      <c r="H2254">
        <v>0.549575917324029</v>
      </c>
      <c r="I2254">
        <v>0.68629997424187394</v>
      </c>
      <c r="J2254">
        <v>0.776368424050352</v>
      </c>
      <c r="K2254">
        <v>0.67581954692306501</v>
      </c>
      <c r="L2254">
        <v>1492.90882433756</v>
      </c>
      <c r="M2254">
        <v>29.184294841205599</v>
      </c>
      <c r="O2254">
        <v>50.9161520422279</v>
      </c>
      <c r="P2254">
        <v>-4.7233412862266101E-2</v>
      </c>
      <c r="Q2254">
        <v>0.67038078165793902</v>
      </c>
      <c r="R2254">
        <v>0.87756818501455103</v>
      </c>
      <c r="S2254" t="s">
        <v>8706</v>
      </c>
      <c r="T2254" t="s">
        <v>12902</v>
      </c>
      <c r="U2254" t="s">
        <v>12902</v>
      </c>
      <c r="V2254" t="s">
        <v>12902</v>
      </c>
      <c r="W2254" t="s">
        <v>15117</v>
      </c>
      <c r="X2254">
        <v>10</v>
      </c>
      <c r="Y2254" t="s">
        <v>21475</v>
      </c>
      <c r="Z2254" t="s">
        <v>27829</v>
      </c>
      <c r="AA2254">
        <v>0.79513436744843635</v>
      </c>
      <c r="AB2254" t="str">
        <f>HYPERLINK("Melting_Curves/meltCurve_P25311_AZGP1.pdf", "Melting_Curves/meltCurve_P25311_AZGP1.pdf")</f>
        <v>Melting_Curves/meltCurve_P25311_AZGP1.pdf</v>
      </c>
    </row>
    <row r="2255" spans="1:28" x14ac:dyDescent="0.25">
      <c r="A2255" t="s">
        <v>2259</v>
      </c>
      <c r="B2255">
        <v>0.99673306730245903</v>
      </c>
      <c r="C2255">
        <v>1.1297680892379001</v>
      </c>
      <c r="D2255">
        <v>0.78674080534623103</v>
      </c>
      <c r="E2255">
        <v>1.0375120011983101</v>
      </c>
      <c r="F2255">
        <v>0.68742262985979197</v>
      </c>
      <c r="G2255">
        <v>0.57675550679099996</v>
      </c>
      <c r="H2255">
        <v>0.25525360897681698</v>
      </c>
      <c r="I2255">
        <v>0.24031909857175501</v>
      </c>
      <c r="J2255">
        <v>0.298149932363584</v>
      </c>
      <c r="K2255">
        <v>0.29138690326183098</v>
      </c>
      <c r="L2255">
        <v>1233.1113246605901</v>
      </c>
      <c r="M2255">
        <v>22.438946981618301</v>
      </c>
      <c r="N2255">
        <v>56.719494953351102</v>
      </c>
      <c r="O2255">
        <v>54.523188605400101</v>
      </c>
      <c r="P2255">
        <v>-7.7031529274324703E-2</v>
      </c>
      <c r="Q2255">
        <v>0.25131642922275699</v>
      </c>
      <c r="R2255">
        <v>0.91837791481064301</v>
      </c>
      <c r="S2255" t="s">
        <v>8707</v>
      </c>
      <c r="T2255" t="s">
        <v>12902</v>
      </c>
      <c r="U2255" t="s">
        <v>12902</v>
      </c>
      <c r="V2255" t="s">
        <v>12902</v>
      </c>
      <c r="W2255" t="s">
        <v>15118</v>
      </c>
      <c r="X2255">
        <v>11</v>
      </c>
      <c r="Y2255" t="s">
        <v>21476</v>
      </c>
      <c r="Z2255" t="s">
        <v>27830</v>
      </c>
      <c r="AA2255">
        <v>0.6328377407100102</v>
      </c>
      <c r="AB2255" t="str">
        <f>HYPERLINK("Melting_Curves/meltCurve_P25398_RPS12.pdf", "Melting_Curves/meltCurve_P25398_RPS12.pdf")</f>
        <v>Melting_Curves/meltCurve_P25398_RPS12.pdf</v>
      </c>
    </row>
    <row r="2256" spans="1:28" x14ac:dyDescent="0.25">
      <c r="A2256" t="s">
        <v>2260</v>
      </c>
      <c r="B2256">
        <v>0.99673306730245903</v>
      </c>
      <c r="C2256">
        <v>0.79851263213635204</v>
      </c>
      <c r="D2256">
        <v>0.51777795256905601</v>
      </c>
      <c r="E2256">
        <v>0.34206849706811798</v>
      </c>
      <c r="F2256">
        <v>0.21892805093814699</v>
      </c>
      <c r="G2256">
        <v>0.159817924713999</v>
      </c>
      <c r="H2256">
        <v>0.118076489934816</v>
      </c>
      <c r="I2256">
        <v>0.13495356984267501</v>
      </c>
      <c r="J2256">
        <v>0.13258389950455199</v>
      </c>
      <c r="K2256">
        <v>0.142768564557987</v>
      </c>
      <c r="L2256">
        <v>821.83147035669197</v>
      </c>
      <c r="M2256">
        <v>17.930390470819301</v>
      </c>
      <c r="N2256">
        <v>46.644029059446403</v>
      </c>
      <c r="O2256">
        <v>45.275843979000904</v>
      </c>
      <c r="P2256">
        <v>-8.5773357504383793E-2</v>
      </c>
      <c r="Q2256">
        <v>0.13370172273031999</v>
      </c>
      <c r="R2256">
        <v>0.99273804607233695</v>
      </c>
      <c r="S2256" t="s">
        <v>8708</v>
      </c>
      <c r="T2256" t="s">
        <v>12902</v>
      </c>
      <c r="U2256" t="s">
        <v>12902</v>
      </c>
      <c r="V2256" t="s">
        <v>12902</v>
      </c>
      <c r="W2256" t="s">
        <v>15119</v>
      </c>
      <c r="X2256">
        <v>9</v>
      </c>
      <c r="Y2256" t="s">
        <v>21477</v>
      </c>
      <c r="Z2256" t="s">
        <v>27831</v>
      </c>
      <c r="AA2256">
        <v>0.31956669196070259</v>
      </c>
      <c r="AB2256" t="str">
        <f>HYPERLINK("Melting_Curves/meltCurve_P25490_YY1.pdf", "Melting_Curves/meltCurve_P25490_YY1.pdf")</f>
        <v>Melting_Curves/meltCurve_P25490_YY1.pdf</v>
      </c>
    </row>
    <row r="2257" spans="1:28" x14ac:dyDescent="0.25">
      <c r="A2257" t="s">
        <v>2261</v>
      </c>
      <c r="B2257">
        <v>0.99673306730245903</v>
      </c>
      <c r="C2257">
        <v>0.97623406322498896</v>
      </c>
      <c r="D2257">
        <v>0.53502862659078898</v>
      </c>
      <c r="E2257">
        <v>0.55524265055954203</v>
      </c>
      <c r="F2257">
        <v>0.15607370126055001</v>
      </c>
      <c r="G2257">
        <v>9.2947276364355597E-2</v>
      </c>
      <c r="H2257">
        <v>5.62792851901492E-2</v>
      </c>
      <c r="I2257">
        <v>5.3360351705658698E-2</v>
      </c>
      <c r="J2257">
        <v>5.78098774707426E-2</v>
      </c>
      <c r="K2257">
        <v>5.5384889194916E-2</v>
      </c>
      <c r="L2257">
        <v>760.40630243028602</v>
      </c>
      <c r="M2257">
        <v>15.758366356711599</v>
      </c>
      <c r="N2257">
        <v>48.459788446768002</v>
      </c>
      <c r="O2257">
        <v>47.497104473926299</v>
      </c>
      <c r="P2257">
        <v>-8.0268034594941695E-2</v>
      </c>
      <c r="Q2257">
        <v>3.23408557922132E-2</v>
      </c>
      <c r="R2257">
        <v>0.95530399488974904</v>
      </c>
      <c r="S2257" t="s">
        <v>8709</v>
      </c>
      <c r="T2257" t="s">
        <v>12902</v>
      </c>
      <c r="U2257" t="s">
        <v>12902</v>
      </c>
      <c r="V2257" t="s">
        <v>12902</v>
      </c>
      <c r="W2257" t="s">
        <v>15120</v>
      </c>
      <c r="X2257">
        <v>24</v>
      </c>
      <c r="Y2257" t="s">
        <v>21478</v>
      </c>
      <c r="Z2257" t="s">
        <v>27832</v>
      </c>
      <c r="AA2257">
        <v>0.3209111997051578</v>
      </c>
      <c r="AB2257" t="str">
        <f>HYPERLINK("Melting_Curves/meltCurve_P25685_DNAJB1.pdf", "Melting_Curves/meltCurve_P25685_DNAJB1.pdf")</f>
        <v>Melting_Curves/meltCurve_P25685_DNAJB1.pdf</v>
      </c>
    </row>
    <row r="2258" spans="1:28" x14ac:dyDescent="0.25">
      <c r="A2258" t="s">
        <v>2262</v>
      </c>
      <c r="B2258">
        <v>0.99673306730245903</v>
      </c>
      <c r="C2258">
        <v>0.97064740292853502</v>
      </c>
      <c r="D2258">
        <v>1.0186011085398601</v>
      </c>
      <c r="E2258">
        <v>1.07526696657903</v>
      </c>
      <c r="F2258">
        <v>0.98135018474985303</v>
      </c>
      <c r="G2258">
        <v>0.93526278755830505</v>
      </c>
      <c r="H2258">
        <v>1.0091500900699799</v>
      </c>
      <c r="I2258">
        <v>0.89736790561914404</v>
      </c>
      <c r="J2258">
        <v>0.10825819756888599</v>
      </c>
      <c r="K2258">
        <v>8.6635669191481093E-2</v>
      </c>
      <c r="L2258">
        <v>8016.3853742707797</v>
      </c>
      <c r="M2258">
        <v>123.18875392380799</v>
      </c>
      <c r="N2258">
        <v>65.174564231623194</v>
      </c>
      <c r="O2258">
        <v>65.0568584084305</v>
      </c>
      <c r="P2258">
        <v>-0.43241463573511302</v>
      </c>
      <c r="Q2258">
        <v>8.6555024961082694E-2</v>
      </c>
      <c r="R2258">
        <v>0.99102672331157404</v>
      </c>
      <c r="S2258" t="s">
        <v>8710</v>
      </c>
      <c r="T2258" t="s">
        <v>12902</v>
      </c>
      <c r="U2258" t="s">
        <v>12902</v>
      </c>
      <c r="V2258" t="s">
        <v>12902</v>
      </c>
      <c r="W2258" t="s">
        <v>15121</v>
      </c>
      <c r="X2258">
        <v>47</v>
      </c>
      <c r="Y2258" t="s">
        <v>21479</v>
      </c>
      <c r="Z2258" t="s">
        <v>27833</v>
      </c>
      <c r="AA2258">
        <v>0.85043911240789971</v>
      </c>
      <c r="AB2258" t="str">
        <f>HYPERLINK("Melting_Curves/meltCurve_P25705_ATP5A1.pdf", "Melting_Curves/meltCurve_P25705_ATP5A1.pdf")</f>
        <v>Melting_Curves/meltCurve_P25705_ATP5A1.pdf</v>
      </c>
    </row>
    <row r="2259" spans="1:28" x14ac:dyDescent="0.25">
      <c r="A2259" t="s">
        <v>2263</v>
      </c>
      <c r="B2259">
        <v>0.99673306730245903</v>
      </c>
      <c r="C2259">
        <v>0.96159949832747205</v>
      </c>
      <c r="D2259">
        <v>0.91053443668379497</v>
      </c>
      <c r="E2259">
        <v>0.827698072844544</v>
      </c>
      <c r="F2259">
        <v>0.84803914541254399</v>
      </c>
      <c r="G2259">
        <v>0.71638976346124295</v>
      </c>
      <c r="H2259">
        <v>0.87576880299533699</v>
      </c>
      <c r="I2259">
        <v>0.82495907747120201</v>
      </c>
      <c r="J2259">
        <v>0.60000959280120103</v>
      </c>
      <c r="K2259">
        <v>0.41616155165514501</v>
      </c>
      <c r="L2259">
        <v>351.34989264129302</v>
      </c>
      <c r="M2259">
        <v>4.7772084544974103</v>
      </c>
      <c r="O2259">
        <v>63.487286884976101</v>
      </c>
      <c r="P2259">
        <v>-1.8946299254272599E-2</v>
      </c>
      <c r="Q2259">
        <v>0</v>
      </c>
      <c r="R2259">
        <v>0.70994206124294701</v>
      </c>
      <c r="S2259" t="s">
        <v>8711</v>
      </c>
      <c r="T2259" t="s">
        <v>12902</v>
      </c>
      <c r="U2259" t="s">
        <v>12902</v>
      </c>
      <c r="V2259" t="s">
        <v>12902</v>
      </c>
      <c r="W2259" t="s">
        <v>15122</v>
      </c>
      <c r="X2259">
        <v>47</v>
      </c>
      <c r="Y2259" t="s">
        <v>21479</v>
      </c>
      <c r="Z2259" t="s">
        <v>27834</v>
      </c>
      <c r="AA2259">
        <v>0.81122860193755952</v>
      </c>
      <c r="AB2259" t="str">
        <f>HYPERLINK("Melting_Curves/meltCurve_P25705_2_ATP5A1.pdf", "Melting_Curves/meltCurve_P25705_2_ATP5A1.pdf")</f>
        <v>Melting_Curves/meltCurve_P25705_2_ATP5A1.pdf</v>
      </c>
    </row>
    <row r="2260" spans="1:28" x14ac:dyDescent="0.25">
      <c r="A2260" t="s">
        <v>2264</v>
      </c>
      <c r="B2260">
        <v>0.99673306730245903</v>
      </c>
      <c r="C2260">
        <v>0.93592284334042297</v>
      </c>
      <c r="D2260">
        <v>0.99259172853065503</v>
      </c>
      <c r="E2260">
        <v>1.1538018505876999</v>
      </c>
      <c r="F2260">
        <v>1.1484989282093101</v>
      </c>
      <c r="G2260">
        <v>1.2240487458673399</v>
      </c>
      <c r="H2260">
        <v>1.6083043234775301</v>
      </c>
      <c r="I2260">
        <v>1.5054399525375699</v>
      </c>
      <c r="J2260">
        <v>1.27891179912562</v>
      </c>
      <c r="K2260">
        <v>0.52027662216498505</v>
      </c>
      <c r="L2260">
        <v>2341.9044552804098</v>
      </c>
      <c r="M2260">
        <v>47.916748176745003</v>
      </c>
      <c r="O2260">
        <v>48.789544852454398</v>
      </c>
      <c r="P2260">
        <v>5.3059417729986499E-2</v>
      </c>
      <c r="Q2260">
        <v>1.2161033301101201</v>
      </c>
      <c r="R2260">
        <v>0.133377308666315</v>
      </c>
      <c r="S2260" t="s">
        <v>8712</v>
      </c>
      <c r="T2260" t="s">
        <v>12902</v>
      </c>
      <c r="U2260" t="s">
        <v>12902</v>
      </c>
      <c r="V2260" t="s">
        <v>12902</v>
      </c>
      <c r="W2260" t="s">
        <v>15123</v>
      </c>
      <c r="X2260">
        <v>21</v>
      </c>
      <c r="Y2260" t="s">
        <v>21480</v>
      </c>
      <c r="Z2260" t="s">
        <v>27835</v>
      </c>
      <c r="AA2260">
        <v>1.1516691188988479</v>
      </c>
      <c r="AB2260" t="str">
        <f>HYPERLINK("Melting_Curves/meltCurve_P25786_PSMA1.pdf", "Melting_Curves/meltCurve_P25786_PSMA1.pdf")</f>
        <v>Melting_Curves/meltCurve_P25786_PSMA1.pdf</v>
      </c>
    </row>
    <row r="2261" spans="1:28" x14ac:dyDescent="0.25">
      <c r="A2261" t="s">
        <v>2265</v>
      </c>
      <c r="B2261">
        <v>0.99673306730245903</v>
      </c>
      <c r="C2261">
        <v>0.94034638452680896</v>
      </c>
      <c r="D2261">
        <v>1.0458552510365799</v>
      </c>
      <c r="E2261">
        <v>1.23903420789507</v>
      </c>
      <c r="F2261">
        <v>1.12895777817886</v>
      </c>
      <c r="G2261">
        <v>1.2612795549889599</v>
      </c>
      <c r="H2261">
        <v>1.6167218995341699</v>
      </c>
      <c r="I2261">
        <v>1.5165101296169801</v>
      </c>
      <c r="J2261">
        <v>1.32496060821234</v>
      </c>
      <c r="K2261">
        <v>0.476644603167791</v>
      </c>
      <c r="L2261">
        <v>11562.2831405997</v>
      </c>
      <c r="M2261">
        <v>250</v>
      </c>
      <c r="O2261">
        <v>46.246172960417901</v>
      </c>
      <c r="P2261">
        <v>0.30197649214960298</v>
      </c>
      <c r="Q2261">
        <v>1.22344411294031</v>
      </c>
      <c r="R2261">
        <v>0.12006324629697</v>
      </c>
      <c r="S2261" t="s">
        <v>8713</v>
      </c>
      <c r="T2261" t="s">
        <v>12902</v>
      </c>
      <c r="U2261" t="s">
        <v>12902</v>
      </c>
      <c r="V2261" t="s">
        <v>12902</v>
      </c>
      <c r="W2261" t="s">
        <v>15124</v>
      </c>
      <c r="X2261">
        <v>13</v>
      </c>
      <c r="Y2261" t="s">
        <v>21481</v>
      </c>
      <c r="Z2261" t="s">
        <v>27836</v>
      </c>
      <c r="AA2261">
        <v>1.176881580693576</v>
      </c>
      <c r="AB2261" t="str">
        <f>HYPERLINK("Melting_Curves/meltCurve_P25787_PSMA2.pdf", "Melting_Curves/meltCurve_P25787_PSMA2.pdf")</f>
        <v>Melting_Curves/meltCurve_P25787_PSMA2.pdf</v>
      </c>
    </row>
    <row r="2262" spans="1:28" x14ac:dyDescent="0.25">
      <c r="A2262" t="s">
        <v>2266</v>
      </c>
      <c r="B2262">
        <v>0.99673306730245903</v>
      </c>
      <c r="C2262">
        <v>0.96192631637556802</v>
      </c>
      <c r="D2262">
        <v>1.0795101845587001</v>
      </c>
      <c r="E2262">
        <v>1.2691868188456701</v>
      </c>
      <c r="F2262">
        <v>1.1811552865061501</v>
      </c>
      <c r="G2262">
        <v>1.33966678442293</v>
      </c>
      <c r="H2262">
        <v>1.6811070685941401</v>
      </c>
      <c r="I2262">
        <v>1.5370904427543099</v>
      </c>
      <c r="J2262">
        <v>1.3191027770744801</v>
      </c>
      <c r="K2262">
        <v>0.51999911531794296</v>
      </c>
      <c r="L2262">
        <v>11538.693976226399</v>
      </c>
      <c r="M2262">
        <v>250</v>
      </c>
      <c r="O2262">
        <v>46.1518010076297</v>
      </c>
      <c r="P2262">
        <v>0.357381859642941</v>
      </c>
      <c r="Q2262">
        <v>1.26390118587218</v>
      </c>
      <c r="R2262">
        <v>0.14446098123786399</v>
      </c>
      <c r="S2262" t="s">
        <v>8714</v>
      </c>
      <c r="T2262" t="s">
        <v>12902</v>
      </c>
      <c r="U2262" t="s">
        <v>12902</v>
      </c>
      <c r="V2262" t="s">
        <v>12902</v>
      </c>
      <c r="W2262" t="s">
        <v>15125</v>
      </c>
      <c r="X2262">
        <v>18</v>
      </c>
      <c r="Y2262" t="s">
        <v>21482</v>
      </c>
      <c r="Z2262" t="s">
        <v>27837</v>
      </c>
      <c r="AA2262">
        <v>1.209738054299011</v>
      </c>
      <c r="AB2262" t="str">
        <f>HYPERLINK("Melting_Curves/meltCurve_P25788_2_PSMA3.pdf", "Melting_Curves/meltCurve_P25788_2_PSMA3.pdf")</f>
        <v>Melting_Curves/meltCurve_P25788_2_PSMA3.pdf</v>
      </c>
    </row>
    <row r="2263" spans="1:28" x14ac:dyDescent="0.25">
      <c r="A2263" t="s">
        <v>2267</v>
      </c>
      <c r="B2263">
        <v>0.99673306730245903</v>
      </c>
      <c r="C2263">
        <v>0.94923904212135701</v>
      </c>
      <c r="D2263">
        <v>1.00962469744395</v>
      </c>
      <c r="E2263">
        <v>1.2208992333798101</v>
      </c>
      <c r="F2263">
        <v>1.18977405289033</v>
      </c>
      <c r="G2263">
        <v>1.28683596837185</v>
      </c>
      <c r="H2263">
        <v>1.7391281908787399</v>
      </c>
      <c r="I2263">
        <v>1.98395606203009</v>
      </c>
      <c r="J2263">
        <v>1.43314120547299</v>
      </c>
      <c r="K2263">
        <v>0.52308097805318898</v>
      </c>
      <c r="L2263">
        <v>1224.6781338273099</v>
      </c>
      <c r="M2263">
        <v>24.198187941455199</v>
      </c>
      <c r="O2263">
        <v>50.2684823042608</v>
      </c>
      <c r="P2263">
        <v>4.6753619394029299E-2</v>
      </c>
      <c r="Q2263">
        <v>1.38849148970142</v>
      </c>
      <c r="R2263">
        <v>0.18885379759103399</v>
      </c>
      <c r="S2263" t="s">
        <v>8715</v>
      </c>
      <c r="T2263" t="s">
        <v>12902</v>
      </c>
      <c r="U2263" t="s">
        <v>12902</v>
      </c>
      <c r="V2263" t="s">
        <v>12902</v>
      </c>
      <c r="W2263" t="s">
        <v>15126</v>
      </c>
      <c r="X2263">
        <v>13</v>
      </c>
      <c r="Y2263" t="s">
        <v>21483</v>
      </c>
      <c r="Z2263" t="s">
        <v>27838</v>
      </c>
      <c r="AA2263">
        <v>1.247363068546681</v>
      </c>
      <c r="AB2263" t="str">
        <f>HYPERLINK("Melting_Curves/meltCurve_P25789_PSMA4.pdf", "Melting_Curves/meltCurve_P25789_PSMA4.pdf")</f>
        <v>Melting_Curves/meltCurve_P25789_PSMA4.pdf</v>
      </c>
    </row>
    <row r="2264" spans="1:28" x14ac:dyDescent="0.25">
      <c r="A2264" t="s">
        <v>2268</v>
      </c>
      <c r="B2264">
        <v>0.99673306730245903</v>
      </c>
      <c r="C2264">
        <v>0.96749295571774296</v>
      </c>
      <c r="D2264">
        <v>0.92256092122887601</v>
      </c>
      <c r="E2264">
        <v>0.99936215997741695</v>
      </c>
      <c r="F2264">
        <v>0.79861756477919099</v>
      </c>
      <c r="G2264">
        <v>0.67906338680392697</v>
      </c>
      <c r="H2264">
        <v>0.33981539702279101</v>
      </c>
      <c r="I2264">
        <v>0.29288155264860899</v>
      </c>
      <c r="J2264">
        <v>0.25930434543710301</v>
      </c>
      <c r="K2264">
        <v>0.21087363049205801</v>
      </c>
      <c r="L2264">
        <v>1098.3768860401401</v>
      </c>
      <c r="M2264">
        <v>19.201603264712499</v>
      </c>
      <c r="N2264">
        <v>58.698260532317001</v>
      </c>
      <c r="O2264">
        <v>56.592763682325902</v>
      </c>
      <c r="P2264">
        <v>-6.8413970036902097E-2</v>
      </c>
      <c r="Q2264">
        <v>0.193486595544377</v>
      </c>
      <c r="R2264">
        <v>0.98442935588744296</v>
      </c>
      <c r="S2264" t="s">
        <v>8716</v>
      </c>
      <c r="T2264" t="s">
        <v>12902</v>
      </c>
      <c r="U2264" t="s">
        <v>12902</v>
      </c>
      <c r="V2264" t="s">
        <v>12902</v>
      </c>
      <c r="W2264" t="s">
        <v>15127</v>
      </c>
      <c r="X2264">
        <v>8</v>
      </c>
      <c r="Y2264" t="s">
        <v>21484</v>
      </c>
      <c r="Z2264" t="s">
        <v>27839</v>
      </c>
      <c r="AA2264">
        <v>0.6661426678344744</v>
      </c>
      <c r="AB2264" t="str">
        <f>HYPERLINK("Melting_Curves/meltCurve_P25815_S100P.pdf", "Melting_Curves/meltCurve_P25815_S100P.pdf")</f>
        <v>Melting_Curves/meltCurve_P25815_S100P.pdf</v>
      </c>
    </row>
    <row r="2265" spans="1:28" x14ac:dyDescent="0.25">
      <c r="A2265" t="s">
        <v>2269</v>
      </c>
      <c r="B2265">
        <v>0.99673306730245903</v>
      </c>
      <c r="C2265">
        <v>1.01617714570414</v>
      </c>
      <c r="D2265">
        <v>0.92198233894186898</v>
      </c>
      <c r="E2265">
        <v>0.891181977409787</v>
      </c>
      <c r="F2265">
        <v>0.189351656397099</v>
      </c>
      <c r="G2265">
        <v>0.12625628121862201</v>
      </c>
      <c r="H2265">
        <v>7.3410508448375295E-2</v>
      </c>
      <c r="I2265">
        <v>7.6590459432487407E-2</v>
      </c>
      <c r="J2265">
        <v>9.4256353788031502E-2</v>
      </c>
      <c r="K2265">
        <v>8.3200777012097299E-2</v>
      </c>
      <c r="L2265">
        <v>2947.2280906566998</v>
      </c>
      <c r="M2265">
        <v>57.4541215510489</v>
      </c>
      <c r="N2265">
        <v>51.473652714370999</v>
      </c>
      <c r="O2265">
        <v>51.235035366948203</v>
      </c>
      <c r="P2265">
        <v>-0.25527249181173101</v>
      </c>
      <c r="Q2265">
        <v>8.9437736358179698E-2</v>
      </c>
      <c r="R2265">
        <v>0.99555195444447897</v>
      </c>
      <c r="S2265" t="s">
        <v>8717</v>
      </c>
      <c r="T2265" t="s">
        <v>12902</v>
      </c>
      <c r="U2265" t="s">
        <v>12902</v>
      </c>
      <c r="V2265" t="s">
        <v>12902</v>
      </c>
      <c r="W2265" t="s">
        <v>15128</v>
      </c>
      <c r="X2265">
        <v>61</v>
      </c>
      <c r="Y2265" t="s">
        <v>21485</v>
      </c>
      <c r="Z2265" t="s">
        <v>27840</v>
      </c>
      <c r="AA2265">
        <v>0.43388553624979997</v>
      </c>
      <c r="AB2265" t="str">
        <f>HYPERLINK("Melting_Curves/meltCurve_P26038_MSN.pdf", "Melting_Curves/meltCurve_P26038_MSN.pdf")</f>
        <v>Melting_Curves/meltCurve_P26038_MSN.pdf</v>
      </c>
    </row>
    <row r="2266" spans="1:28" x14ac:dyDescent="0.25">
      <c r="A2266" t="s">
        <v>2270</v>
      </c>
      <c r="B2266">
        <v>0.99673306730245903</v>
      </c>
      <c r="C2266">
        <v>0.75119208702548101</v>
      </c>
      <c r="D2266">
        <v>0.96119228277096902</v>
      </c>
      <c r="E2266">
        <v>0.81200149960995804</v>
      </c>
      <c r="F2266">
        <v>0.33116076163007102</v>
      </c>
      <c r="G2266">
        <v>0.12802149183618799</v>
      </c>
      <c r="H2266">
        <v>7.3179218982968405E-2</v>
      </c>
      <c r="I2266">
        <v>7.3992400806713002E-2</v>
      </c>
      <c r="J2266">
        <v>8.1931670764736397E-2</v>
      </c>
      <c r="K2266">
        <v>7.1466364674683105E-2</v>
      </c>
      <c r="L2266">
        <v>1601.5519206613801</v>
      </c>
      <c r="M2266">
        <v>31.009904496969799</v>
      </c>
      <c r="N2266">
        <v>51.907055219418702</v>
      </c>
      <c r="O2266">
        <v>51.4331093842925</v>
      </c>
      <c r="P2266">
        <v>-0.139864978563914</v>
      </c>
      <c r="Q2266">
        <v>7.2083610056321398E-2</v>
      </c>
      <c r="R2266">
        <v>0.95755333282979205</v>
      </c>
      <c r="S2266" t="s">
        <v>8718</v>
      </c>
      <c r="T2266" t="s">
        <v>12902</v>
      </c>
      <c r="U2266" t="s">
        <v>12902</v>
      </c>
      <c r="V2266" t="s">
        <v>12902</v>
      </c>
      <c r="W2266" t="s">
        <v>15129</v>
      </c>
      <c r="X2266">
        <v>22</v>
      </c>
      <c r="Y2266" t="s">
        <v>21486</v>
      </c>
      <c r="Z2266" t="s">
        <v>27841</v>
      </c>
      <c r="AA2266">
        <v>0.43783440104583998</v>
      </c>
      <c r="AB2266" t="str">
        <f>HYPERLINK("Melting_Curves/meltCurve_P26196_DDX6.pdf", "Melting_Curves/meltCurve_P26196_DDX6.pdf")</f>
        <v>Melting_Curves/meltCurve_P26196_DDX6.pdf</v>
      </c>
    </row>
    <row r="2267" spans="1:28" x14ac:dyDescent="0.25">
      <c r="A2267" t="s">
        <v>2271</v>
      </c>
      <c r="B2267">
        <v>0.99673306730245903</v>
      </c>
      <c r="C2267">
        <v>0.83537557372625004</v>
      </c>
      <c r="D2267">
        <v>1.0194456311799101</v>
      </c>
      <c r="E2267">
        <v>1.00846607526537</v>
      </c>
      <c r="F2267">
        <v>0.47338725241743201</v>
      </c>
      <c r="G2267">
        <v>0.16968172553421401</v>
      </c>
      <c r="H2267">
        <v>0.10232192043559001</v>
      </c>
      <c r="I2267">
        <v>0.10219043519568</v>
      </c>
      <c r="J2267">
        <v>0.119111798873624</v>
      </c>
      <c r="K2267">
        <v>0.105920844412769</v>
      </c>
      <c r="L2267">
        <v>3091.30122730517</v>
      </c>
      <c r="M2267">
        <v>58.472092279943404</v>
      </c>
      <c r="N2267">
        <v>53.108012295011797</v>
      </c>
      <c r="O2267">
        <v>52.806245064238396</v>
      </c>
      <c r="P2267">
        <v>-0.24467926276836199</v>
      </c>
      <c r="Q2267">
        <v>0.116119384321203</v>
      </c>
      <c r="R2267">
        <v>0.98127059168943098</v>
      </c>
      <c r="S2267" t="s">
        <v>8719</v>
      </c>
      <c r="T2267" t="s">
        <v>12902</v>
      </c>
      <c r="U2267" t="s">
        <v>12902</v>
      </c>
      <c r="V2267" t="s">
        <v>12902</v>
      </c>
      <c r="W2267" t="s">
        <v>15130</v>
      </c>
      <c r="X2267">
        <v>61</v>
      </c>
      <c r="Y2267" t="s">
        <v>21487</v>
      </c>
      <c r="Z2267" t="s">
        <v>27842</v>
      </c>
      <c r="AA2267">
        <v>0.49674945686631561</v>
      </c>
      <c r="AB2267" t="str">
        <f>HYPERLINK("Melting_Curves/meltCurve_P26358_DNMT1.pdf", "Melting_Curves/meltCurve_P26358_DNMT1.pdf")</f>
        <v>Melting_Curves/meltCurve_P26358_DNMT1.pdf</v>
      </c>
    </row>
    <row r="2268" spans="1:28" x14ac:dyDescent="0.25">
      <c r="A2268" t="s">
        <v>2272</v>
      </c>
      <c r="B2268">
        <v>0.99673306730245903</v>
      </c>
      <c r="C2268">
        <v>1.08135055396261</v>
      </c>
      <c r="D2268">
        <v>0.50547460546913003</v>
      </c>
      <c r="E2268">
        <v>0.63749861357770998</v>
      </c>
      <c r="F2268">
        <v>0.135867501141854</v>
      </c>
      <c r="G2268">
        <v>8.1542772123892895E-2</v>
      </c>
      <c r="H2268">
        <v>4.0831868131382801E-2</v>
      </c>
      <c r="I2268">
        <v>3.7566338139122503E-2</v>
      </c>
      <c r="J2268">
        <v>3.6402992914098799E-2</v>
      </c>
      <c r="K2268">
        <v>3.4877388568348801E-2</v>
      </c>
      <c r="L2268">
        <v>797.00456950296405</v>
      </c>
      <c r="M2268">
        <v>16.294562805728901</v>
      </c>
      <c r="N2268">
        <v>48.9775466387607</v>
      </c>
      <c r="O2268">
        <v>48.193410845571101</v>
      </c>
      <c r="P2268">
        <v>-8.3625505113710696E-2</v>
      </c>
      <c r="Q2268">
        <v>1.07364788976838E-2</v>
      </c>
      <c r="R2268">
        <v>0.91778959166054497</v>
      </c>
      <c r="S2268" t="s">
        <v>8720</v>
      </c>
      <c r="T2268" t="s">
        <v>12902</v>
      </c>
      <c r="U2268" t="s">
        <v>12902</v>
      </c>
      <c r="V2268" t="s">
        <v>12902</v>
      </c>
      <c r="W2268" t="s">
        <v>15131</v>
      </c>
      <c r="X2268">
        <v>12</v>
      </c>
      <c r="Y2268" t="s">
        <v>21488</v>
      </c>
      <c r="Z2268" t="s">
        <v>27843</v>
      </c>
      <c r="AA2268">
        <v>0.32551979376738982</v>
      </c>
      <c r="AB2268" t="str">
        <f>HYPERLINK("Melting_Curves/meltCurve_P26368_2_U2AF2.pdf", "Melting_Curves/meltCurve_P26368_2_U2AF2.pdf")</f>
        <v>Melting_Curves/meltCurve_P26368_2_U2AF2.pdf</v>
      </c>
    </row>
    <row r="2269" spans="1:28" x14ac:dyDescent="0.25">
      <c r="A2269" t="s">
        <v>2273</v>
      </c>
      <c r="B2269">
        <v>0.99673306730245903</v>
      </c>
      <c r="C2269">
        <v>1.12655507053176</v>
      </c>
      <c r="D2269">
        <v>1.01251983571288</v>
      </c>
      <c r="E2269">
        <v>1.01689717229632</v>
      </c>
      <c r="F2269">
        <v>0.73391845505111897</v>
      </c>
      <c r="G2269">
        <v>0.56136361236371701</v>
      </c>
      <c r="H2269">
        <v>0.22375355445822501</v>
      </c>
      <c r="I2269">
        <v>0.17644207368150799</v>
      </c>
      <c r="J2269">
        <v>0.25260879838755901</v>
      </c>
      <c r="K2269">
        <v>0.20981292977896501</v>
      </c>
      <c r="L2269">
        <v>1367.8483165145401</v>
      </c>
      <c r="M2269">
        <v>24.593976836990102</v>
      </c>
      <c r="N2269">
        <v>56.722818428750102</v>
      </c>
      <c r="O2269">
        <v>55.253435328211403</v>
      </c>
      <c r="P2269">
        <v>-9.0090463975977295E-2</v>
      </c>
      <c r="Q2269">
        <v>0.190414138635571</v>
      </c>
      <c r="R2269">
        <v>0.97366444893357396</v>
      </c>
      <c r="S2269" t="s">
        <v>8721</v>
      </c>
      <c r="T2269" t="s">
        <v>12902</v>
      </c>
      <c r="U2269" t="s">
        <v>12902</v>
      </c>
      <c r="V2269" t="s">
        <v>12902</v>
      </c>
      <c r="W2269" t="s">
        <v>15132</v>
      </c>
      <c r="X2269">
        <v>8</v>
      </c>
      <c r="Y2269" t="s">
        <v>21489</v>
      </c>
      <c r="Z2269" t="s">
        <v>27844</v>
      </c>
      <c r="AA2269">
        <v>0.61953461529532916</v>
      </c>
      <c r="AB2269" t="str">
        <f>HYPERLINK("Melting_Curves/meltCurve_P26373_RPL13.pdf", "Melting_Curves/meltCurve_P26373_RPL13.pdf")</f>
        <v>Melting_Curves/meltCurve_P26373_RPL13.pdf</v>
      </c>
    </row>
    <row r="2270" spans="1:28" x14ac:dyDescent="0.25">
      <c r="A2270" t="s">
        <v>2274</v>
      </c>
      <c r="B2270">
        <v>0.99673306730245903</v>
      </c>
      <c r="C2270">
        <v>0.95391218589024596</v>
      </c>
      <c r="D2270">
        <v>1.0054699812827801</v>
      </c>
      <c r="E2270">
        <v>1.0745980602234599</v>
      </c>
      <c r="F2270">
        <v>0.47004743353398099</v>
      </c>
      <c r="G2270">
        <v>0.23606983083401401</v>
      </c>
      <c r="H2270">
        <v>0.14698541215062799</v>
      </c>
      <c r="I2270">
        <v>9.5801594620118002E-2</v>
      </c>
      <c r="J2270">
        <v>8.3458033261999701E-2</v>
      </c>
      <c r="K2270">
        <v>7.6325652013510006E-2</v>
      </c>
      <c r="L2270">
        <v>3959.6122247511798</v>
      </c>
      <c r="M2270">
        <v>74.838038399507496</v>
      </c>
      <c r="N2270">
        <v>53.115334466734602</v>
      </c>
      <c r="O2270">
        <v>52.871344055919501</v>
      </c>
      <c r="P2270">
        <v>-0.30924893619430899</v>
      </c>
      <c r="Q2270">
        <v>0.12609125433680199</v>
      </c>
      <c r="R2270">
        <v>0.98552680338098597</v>
      </c>
      <c r="S2270" t="s">
        <v>8722</v>
      </c>
      <c r="T2270" t="s">
        <v>12902</v>
      </c>
      <c r="U2270" t="s">
        <v>12902</v>
      </c>
      <c r="V2270" t="s">
        <v>12902</v>
      </c>
      <c r="W2270" t="s">
        <v>15133</v>
      </c>
      <c r="X2270">
        <v>14</v>
      </c>
      <c r="Y2270" t="s">
        <v>21490</v>
      </c>
      <c r="Z2270" t="s">
        <v>27845</v>
      </c>
      <c r="AA2270">
        <v>0.50304427823207931</v>
      </c>
      <c r="AB2270" t="str">
        <f>HYPERLINK("Melting_Curves/meltCurve_P26440_IVD.pdf", "Melting_Curves/meltCurve_P26440_IVD.pdf")</f>
        <v>Melting_Curves/meltCurve_P26440_IVD.pdf</v>
      </c>
    </row>
    <row r="2271" spans="1:28" x14ac:dyDescent="0.25">
      <c r="A2271" t="s">
        <v>2275</v>
      </c>
      <c r="B2271">
        <v>0.99673306730245903</v>
      </c>
      <c r="C2271">
        <v>1.03227736128452</v>
      </c>
      <c r="D2271">
        <v>1.0386553794176101</v>
      </c>
      <c r="E2271">
        <v>0.98418968317042799</v>
      </c>
      <c r="F2271">
        <v>0.84658570758357798</v>
      </c>
      <c r="G2271">
        <v>0.61607826324904102</v>
      </c>
      <c r="H2271">
        <v>0.29814116567367899</v>
      </c>
      <c r="I2271">
        <v>0.210486846686253</v>
      </c>
      <c r="J2271">
        <v>0.19885561730596299</v>
      </c>
      <c r="K2271">
        <v>0.163938907683221</v>
      </c>
      <c r="L2271">
        <v>1356.5754752005</v>
      </c>
      <c r="M2271">
        <v>23.803477095127398</v>
      </c>
      <c r="N2271">
        <v>57.921283099866898</v>
      </c>
      <c r="O2271">
        <v>56.592983680902698</v>
      </c>
      <c r="P2271">
        <v>-8.8443917318789297E-2</v>
      </c>
      <c r="Q2271">
        <v>0.15890886268545801</v>
      </c>
      <c r="R2271">
        <v>0.99669554111424197</v>
      </c>
      <c r="S2271" t="s">
        <v>8723</v>
      </c>
      <c r="T2271" t="s">
        <v>12902</v>
      </c>
      <c r="U2271" t="s">
        <v>12902</v>
      </c>
      <c r="V2271" t="s">
        <v>12902</v>
      </c>
      <c r="W2271" t="s">
        <v>15134</v>
      </c>
      <c r="X2271">
        <v>10</v>
      </c>
      <c r="Y2271" t="s">
        <v>21491</v>
      </c>
      <c r="Z2271" t="s">
        <v>27846</v>
      </c>
      <c r="AA2271">
        <v>0.64342701242841249</v>
      </c>
      <c r="AB2271" t="str">
        <f>HYPERLINK("Melting_Curves/meltCurve_P26447_S100A4.pdf", "Melting_Curves/meltCurve_P26447_S100A4.pdf")</f>
        <v>Melting_Curves/meltCurve_P26447_S100A4.pdf</v>
      </c>
    </row>
    <row r="2272" spans="1:28" x14ac:dyDescent="0.25">
      <c r="A2272" t="s">
        <v>2276</v>
      </c>
      <c r="B2272">
        <v>0.99673306730245903</v>
      </c>
      <c r="C2272">
        <v>0.95339166878887405</v>
      </c>
      <c r="D2272">
        <v>0.88156687257627797</v>
      </c>
      <c r="E2272">
        <v>0.71296682997536198</v>
      </c>
      <c r="F2272">
        <v>0.46162429137093203</v>
      </c>
      <c r="G2272">
        <v>0.225765939599092</v>
      </c>
      <c r="H2272">
        <v>0.14516478021913301</v>
      </c>
      <c r="I2272">
        <v>0.131639519102763</v>
      </c>
      <c r="J2272">
        <v>0.107466008002229</v>
      </c>
      <c r="K2272">
        <v>0.107283957015482</v>
      </c>
      <c r="L2272">
        <v>870.63424070251995</v>
      </c>
      <c r="M2272">
        <v>16.820419766477499</v>
      </c>
      <c r="N2272">
        <v>52.3529653629164</v>
      </c>
      <c r="O2272">
        <v>51.045554182753797</v>
      </c>
      <c r="P2272">
        <v>-7.5245420442315997E-2</v>
      </c>
      <c r="Q2272">
        <v>8.6658535554546098E-2</v>
      </c>
      <c r="R2272">
        <v>0.99814700926924704</v>
      </c>
      <c r="S2272" t="s">
        <v>8724</v>
      </c>
      <c r="T2272" t="s">
        <v>12902</v>
      </c>
      <c r="U2272" t="s">
        <v>12902</v>
      </c>
      <c r="V2272" t="s">
        <v>12902</v>
      </c>
      <c r="W2272" t="s">
        <v>15135</v>
      </c>
      <c r="X2272">
        <v>3</v>
      </c>
      <c r="Y2272" t="s">
        <v>21492</v>
      </c>
      <c r="Z2272" t="s">
        <v>27847</v>
      </c>
      <c r="AA2272">
        <v>0.46181509868201698</v>
      </c>
      <c r="AB2272" t="str">
        <f>HYPERLINK("Melting_Curves/meltCurve_P26572_MGAT1.pdf", "Melting_Curves/meltCurve_P26572_MGAT1.pdf")</f>
        <v>Melting_Curves/meltCurve_P26572_MGAT1.pdf</v>
      </c>
    </row>
    <row r="2273" spans="1:28" x14ac:dyDescent="0.25">
      <c r="A2273" t="s">
        <v>2277</v>
      </c>
      <c r="B2273">
        <v>0.99673306730245903</v>
      </c>
      <c r="C2273">
        <v>0.99095773216932803</v>
      </c>
      <c r="D2273">
        <v>0.98370341957391105</v>
      </c>
      <c r="E2273">
        <v>0.92764332924717396</v>
      </c>
      <c r="F2273">
        <v>0.74704374718422495</v>
      </c>
      <c r="G2273">
        <v>0.62664478200112905</v>
      </c>
      <c r="H2273">
        <v>0.52178375467127502</v>
      </c>
      <c r="I2273">
        <v>0.68942763220192804</v>
      </c>
      <c r="J2273">
        <v>0.85073804764787597</v>
      </c>
      <c r="K2273">
        <v>0.88523461318358299</v>
      </c>
      <c r="L2273">
        <v>2613.2606612251002</v>
      </c>
      <c r="M2273">
        <v>51.596437646035596</v>
      </c>
      <c r="O2273">
        <v>50.572185882023803</v>
      </c>
      <c r="P2273">
        <v>-7.2391741383611402E-2</v>
      </c>
      <c r="Q2273">
        <v>0.71618157274302296</v>
      </c>
      <c r="R2273">
        <v>0.62878004190929904</v>
      </c>
      <c r="S2273" t="s">
        <v>8725</v>
      </c>
      <c r="T2273" t="s">
        <v>12902</v>
      </c>
      <c r="U2273" t="s">
        <v>12902</v>
      </c>
      <c r="V2273" t="s">
        <v>12902</v>
      </c>
      <c r="W2273" t="s">
        <v>15136</v>
      </c>
      <c r="X2273">
        <v>24</v>
      </c>
      <c r="Y2273" t="s">
        <v>21493</v>
      </c>
      <c r="Z2273" t="s">
        <v>27848</v>
      </c>
      <c r="AA2273">
        <v>0.81751421949516812</v>
      </c>
      <c r="AB2273" t="str">
        <f>HYPERLINK("Melting_Curves/meltCurve_P26583_HMGB2.pdf", "Melting_Curves/meltCurve_P26583_HMGB2.pdf")</f>
        <v>Melting_Curves/meltCurve_P26583_HMGB2.pdf</v>
      </c>
    </row>
    <row r="2274" spans="1:28" x14ac:dyDescent="0.25">
      <c r="A2274" t="s">
        <v>2278</v>
      </c>
      <c r="B2274">
        <v>0.99673306730245903</v>
      </c>
      <c r="C2274">
        <v>0.914996868699129</v>
      </c>
      <c r="D2274">
        <v>0.81001140668904004</v>
      </c>
      <c r="E2274">
        <v>0.39345405216604501</v>
      </c>
      <c r="F2274">
        <v>0.21097700999674199</v>
      </c>
      <c r="G2274">
        <v>0.131483260990643</v>
      </c>
      <c r="H2274">
        <v>7.7902995136621397E-2</v>
      </c>
      <c r="I2274">
        <v>8.2778816715709094E-2</v>
      </c>
      <c r="J2274">
        <v>9.0173439895000707E-2</v>
      </c>
      <c r="K2274">
        <v>7.9313843861813796E-2</v>
      </c>
      <c r="L2274">
        <v>1073.6775511567801</v>
      </c>
      <c r="M2274">
        <v>22.191025634617802</v>
      </c>
      <c r="N2274">
        <v>48.784821971744996</v>
      </c>
      <c r="O2274">
        <v>47.995642678773599</v>
      </c>
      <c r="P2274">
        <v>-0.10594565173050401</v>
      </c>
      <c r="Q2274">
        <v>8.3445695290310706E-2</v>
      </c>
      <c r="R2274">
        <v>0.99711909477523897</v>
      </c>
      <c r="S2274" t="s">
        <v>8726</v>
      </c>
      <c r="T2274" t="s">
        <v>12902</v>
      </c>
      <c r="U2274" t="s">
        <v>12902</v>
      </c>
      <c r="V2274" t="s">
        <v>12902</v>
      </c>
      <c r="W2274" t="s">
        <v>15137</v>
      </c>
      <c r="X2274">
        <v>25</v>
      </c>
      <c r="Y2274" t="s">
        <v>21494</v>
      </c>
      <c r="Z2274" t="s">
        <v>27849</v>
      </c>
      <c r="AA2274">
        <v>0.34997874939707002</v>
      </c>
      <c r="AB2274" t="str">
        <f>HYPERLINK("Melting_Curves/meltCurve_P26599_PTBP1.pdf", "Melting_Curves/meltCurve_P26599_PTBP1.pdf")</f>
        <v>Melting_Curves/meltCurve_P26599_PTBP1.pdf</v>
      </c>
    </row>
    <row r="2275" spans="1:28" x14ac:dyDescent="0.25">
      <c r="A2275" t="s">
        <v>2279</v>
      </c>
      <c r="B2275">
        <v>0.99673306730245903</v>
      </c>
      <c r="C2275">
        <v>0.98750002059019504</v>
      </c>
      <c r="D2275">
        <v>0.66352636846699298</v>
      </c>
      <c r="E2275">
        <v>0.754023332639294</v>
      </c>
      <c r="F2275">
        <v>0.207307122270418</v>
      </c>
      <c r="G2275">
        <v>0.10926246593340699</v>
      </c>
      <c r="H2275">
        <v>6.4403388759142394E-2</v>
      </c>
      <c r="I2275">
        <v>5.3725763948300802E-2</v>
      </c>
      <c r="J2275">
        <v>5.0104272977625E-2</v>
      </c>
      <c r="K2275">
        <v>4.4734418529384701E-2</v>
      </c>
      <c r="L2275">
        <v>860.49385841424203</v>
      </c>
      <c r="M2275">
        <v>17.085031417917101</v>
      </c>
      <c r="N2275">
        <v>50.474871934834901</v>
      </c>
      <c r="O2275">
        <v>49.690563797703</v>
      </c>
      <c r="P2275">
        <v>-8.4398579428694706E-2</v>
      </c>
      <c r="Q2275">
        <v>1.8191425066648399E-2</v>
      </c>
      <c r="R2275">
        <v>0.95007647416387297</v>
      </c>
      <c r="S2275" t="s">
        <v>8727</v>
      </c>
      <c r="T2275" t="s">
        <v>12902</v>
      </c>
      <c r="U2275" t="s">
        <v>12902</v>
      </c>
      <c r="V2275" t="s">
        <v>12902</v>
      </c>
      <c r="W2275" t="s">
        <v>15138</v>
      </c>
      <c r="X2275">
        <v>52</v>
      </c>
      <c r="Y2275" t="s">
        <v>21495</v>
      </c>
      <c r="Z2275" t="s">
        <v>27850</v>
      </c>
      <c r="AA2275">
        <v>0.37577123281216962</v>
      </c>
      <c r="AB2275" t="str">
        <f>HYPERLINK("Melting_Curves/meltCurve_P26639_TARS.pdf", "Melting_Curves/meltCurve_P26639_TARS.pdf")</f>
        <v>Melting_Curves/meltCurve_P26639_TARS.pdf</v>
      </c>
    </row>
    <row r="2276" spans="1:28" x14ac:dyDescent="0.25">
      <c r="A2276" t="s">
        <v>2280</v>
      </c>
      <c r="B2276">
        <v>0.99673306730245903</v>
      </c>
      <c r="C2276">
        <v>0.82956677736241302</v>
      </c>
      <c r="D2276">
        <v>0.93299477643770001</v>
      </c>
      <c r="E2276">
        <v>0.80899143629158199</v>
      </c>
      <c r="F2276">
        <v>0.130770115399054</v>
      </c>
      <c r="G2276">
        <v>9.2521281098113306E-2</v>
      </c>
      <c r="H2276">
        <v>4.81205579732518E-2</v>
      </c>
      <c r="I2276">
        <v>4.1366859259470999E-2</v>
      </c>
      <c r="J2276">
        <v>4.3987330206935203E-2</v>
      </c>
      <c r="K2276">
        <v>3.8981241263605103E-2</v>
      </c>
      <c r="L2276">
        <v>2672.3399959550802</v>
      </c>
      <c r="M2276">
        <v>52.526686599408102</v>
      </c>
      <c r="N2276">
        <v>50.980208918942502</v>
      </c>
      <c r="O2276">
        <v>50.802272925629502</v>
      </c>
      <c r="P2276">
        <v>-0.24531149478282799</v>
      </c>
      <c r="Q2276">
        <v>5.0968297683754299E-2</v>
      </c>
      <c r="R2276">
        <v>0.97912073995028703</v>
      </c>
      <c r="S2276" t="s">
        <v>8728</v>
      </c>
      <c r="T2276" t="s">
        <v>12902</v>
      </c>
      <c r="U2276" t="s">
        <v>12902</v>
      </c>
      <c r="V2276" t="s">
        <v>12902</v>
      </c>
      <c r="W2276" t="s">
        <v>15139</v>
      </c>
      <c r="X2276">
        <v>30</v>
      </c>
      <c r="Y2276" t="s">
        <v>21496</v>
      </c>
      <c r="Z2276" t="s">
        <v>27851</v>
      </c>
      <c r="AA2276">
        <v>0.39694804218161328</v>
      </c>
      <c r="AB2276" t="str">
        <f>HYPERLINK("Melting_Curves/meltCurve_P26641_EEF1G.pdf", "Melting_Curves/meltCurve_P26641_EEF1G.pdf")</f>
        <v>Melting_Curves/meltCurve_P26641_EEF1G.pdf</v>
      </c>
    </row>
    <row r="2277" spans="1:28" x14ac:dyDescent="0.25">
      <c r="A2277" t="s">
        <v>2281</v>
      </c>
      <c r="B2277">
        <v>0.99673306730245903</v>
      </c>
      <c r="C2277">
        <v>1.0324624132282001</v>
      </c>
      <c r="D2277">
        <v>1.00298502089502</v>
      </c>
      <c r="E2277">
        <v>0.94171954078591902</v>
      </c>
      <c r="F2277">
        <v>0.62628363559910305</v>
      </c>
      <c r="G2277">
        <v>0.39547196789514999</v>
      </c>
      <c r="H2277">
        <v>0.21410525947845299</v>
      </c>
      <c r="I2277">
        <v>0.192049471467582</v>
      </c>
      <c r="J2277">
        <v>0.20483623588174199</v>
      </c>
      <c r="K2277">
        <v>0.16059355588502799</v>
      </c>
      <c r="L2277">
        <v>1307.6168036174799</v>
      </c>
      <c r="M2277">
        <v>24.237096021019202</v>
      </c>
      <c r="N2277">
        <v>54.940556620855702</v>
      </c>
      <c r="O2277">
        <v>53.587805940397701</v>
      </c>
      <c r="P2277">
        <v>-9.3075791163808499E-2</v>
      </c>
      <c r="Q2277">
        <v>0.176856652073447</v>
      </c>
      <c r="R2277">
        <v>0.99607369579487604</v>
      </c>
      <c r="S2277" t="s">
        <v>8729</v>
      </c>
      <c r="T2277" t="s">
        <v>12902</v>
      </c>
      <c r="U2277" t="s">
        <v>12902</v>
      </c>
      <c r="V2277" t="s">
        <v>12902</v>
      </c>
      <c r="W2277" t="s">
        <v>15140</v>
      </c>
      <c r="X2277">
        <v>10</v>
      </c>
      <c r="Y2277" t="s">
        <v>21497</v>
      </c>
      <c r="Z2277" t="s">
        <v>27852</v>
      </c>
      <c r="AA2277">
        <v>0.5677032372845553</v>
      </c>
      <c r="AB2277" t="str">
        <f>HYPERLINK("Melting_Curves/meltCurve_P26885_FKBP2.pdf", "Melting_Curves/meltCurve_P26885_FKBP2.pdf")</f>
        <v>Melting_Curves/meltCurve_P26885_FKBP2.pdf</v>
      </c>
    </row>
    <row r="2278" spans="1:28" x14ac:dyDescent="0.25">
      <c r="A2278" t="s">
        <v>2282</v>
      </c>
      <c r="B2278">
        <v>0.99673306730245903</v>
      </c>
      <c r="C2278">
        <v>1.02299074524303</v>
      </c>
      <c r="D2278">
        <v>1.0019721609201999</v>
      </c>
      <c r="E2278">
        <v>0.91006284126664105</v>
      </c>
      <c r="F2278">
        <v>0.611625551200074</v>
      </c>
      <c r="G2278">
        <v>0.232931338499901</v>
      </c>
      <c r="H2278">
        <v>0.101831172484144</v>
      </c>
      <c r="I2278">
        <v>9.81346937038068E-2</v>
      </c>
      <c r="J2278">
        <v>0.116130955064172</v>
      </c>
      <c r="K2278">
        <v>9.9354504974792396E-2</v>
      </c>
      <c r="L2278">
        <v>1621.15846257985</v>
      </c>
      <c r="M2278">
        <v>30.228694329779302</v>
      </c>
      <c r="N2278">
        <v>54.007390270720798</v>
      </c>
      <c r="O2278">
        <v>53.396724523211198</v>
      </c>
      <c r="P2278">
        <v>-0.12804833313488301</v>
      </c>
      <c r="Q2278">
        <v>9.5254557228114198E-2</v>
      </c>
      <c r="R2278">
        <v>0.99892401570657297</v>
      </c>
      <c r="S2278" t="s">
        <v>8730</v>
      </c>
      <c r="T2278" t="s">
        <v>12902</v>
      </c>
      <c r="U2278" t="s">
        <v>12902</v>
      </c>
      <c r="V2278" t="s">
        <v>12902</v>
      </c>
      <c r="W2278" t="s">
        <v>15141</v>
      </c>
      <c r="X2278">
        <v>13</v>
      </c>
      <c r="Y2278" t="s">
        <v>21498</v>
      </c>
      <c r="Z2278" t="s">
        <v>27853</v>
      </c>
      <c r="AA2278">
        <v>0.51213416701163095</v>
      </c>
      <c r="AB2278" t="str">
        <f>HYPERLINK("Melting_Curves/meltCurve_P27144_AK4.pdf", "Melting_Curves/meltCurve_P27144_AK4.pdf")</f>
        <v>Melting_Curves/meltCurve_P27144_AK4.pdf</v>
      </c>
    </row>
    <row r="2279" spans="1:28" x14ac:dyDescent="0.25">
      <c r="A2279" t="s">
        <v>2283</v>
      </c>
      <c r="B2279">
        <v>0.99673306730245903</v>
      </c>
      <c r="C2279">
        <v>0.97254593285981605</v>
      </c>
      <c r="D2279">
        <v>0.91092384061490195</v>
      </c>
      <c r="E2279">
        <v>0.80799757767314395</v>
      </c>
      <c r="F2279">
        <v>0.68730932641557496</v>
      </c>
      <c r="G2279">
        <v>0.60874576913506395</v>
      </c>
      <c r="H2279">
        <v>0.57428820381266699</v>
      </c>
      <c r="I2279">
        <v>0.53542758114586197</v>
      </c>
      <c r="J2279">
        <v>0.36959565609753697</v>
      </c>
      <c r="K2279">
        <v>0.25751663677297898</v>
      </c>
      <c r="L2279">
        <v>391.72068674584398</v>
      </c>
      <c r="M2279">
        <v>6.3286878726240197</v>
      </c>
      <c r="N2279">
        <v>61.896043356844402</v>
      </c>
      <c r="O2279">
        <v>56.579474715150802</v>
      </c>
      <c r="P2279">
        <v>-2.80384927367168E-2</v>
      </c>
      <c r="Q2279">
        <v>0</v>
      </c>
      <c r="R2279">
        <v>0.96494755247837305</v>
      </c>
      <c r="S2279" t="s">
        <v>8731</v>
      </c>
      <c r="T2279" t="s">
        <v>12902</v>
      </c>
      <c r="U2279" t="s">
        <v>12902</v>
      </c>
      <c r="V2279" t="s">
        <v>12902</v>
      </c>
      <c r="W2279" t="s">
        <v>15142</v>
      </c>
      <c r="X2279">
        <v>30</v>
      </c>
      <c r="Y2279" t="s">
        <v>21499</v>
      </c>
      <c r="Z2279" t="s">
        <v>27854</v>
      </c>
      <c r="AA2279">
        <v>0.67471752983087752</v>
      </c>
      <c r="AB2279" t="str">
        <f>HYPERLINK("Melting_Curves/meltCurve_P27338_MAOB.pdf", "Melting_Curves/meltCurve_P27338_MAOB.pdf")</f>
        <v>Melting_Curves/meltCurve_P27338_MAOB.pdf</v>
      </c>
    </row>
    <row r="2280" spans="1:28" x14ac:dyDescent="0.25">
      <c r="A2280" t="s">
        <v>2284</v>
      </c>
      <c r="B2280">
        <v>0.99673306730245903</v>
      </c>
      <c r="C2280">
        <v>0.99206817625637</v>
      </c>
      <c r="D2280">
        <v>0.79360581971778799</v>
      </c>
      <c r="E2280">
        <v>0.96460448022686696</v>
      </c>
      <c r="F2280">
        <v>0.41830744565808697</v>
      </c>
      <c r="G2280">
        <v>0.164922586048831</v>
      </c>
      <c r="H2280">
        <v>7.4286688125845601E-2</v>
      </c>
      <c r="I2280">
        <v>7.1081559068824601E-2</v>
      </c>
      <c r="J2280">
        <v>7.9054412169965296E-2</v>
      </c>
      <c r="K2280">
        <v>7.1614920185785302E-2</v>
      </c>
      <c r="L2280">
        <v>2127.0215112630799</v>
      </c>
      <c r="M2280">
        <v>40.446575904494097</v>
      </c>
      <c r="N2280">
        <v>52.817807493110202</v>
      </c>
      <c r="O2280">
        <v>52.460357318542002</v>
      </c>
      <c r="P2280">
        <v>-0.17722323991036301</v>
      </c>
      <c r="Q2280">
        <v>8.05475243178949E-2</v>
      </c>
      <c r="R2280">
        <v>0.97210250187383196</v>
      </c>
      <c r="S2280" t="s">
        <v>8732</v>
      </c>
      <c r="T2280" t="s">
        <v>12902</v>
      </c>
      <c r="U2280" t="s">
        <v>12902</v>
      </c>
      <c r="V2280" t="s">
        <v>12902</v>
      </c>
      <c r="W2280" t="s">
        <v>15143</v>
      </c>
      <c r="X2280">
        <v>27</v>
      </c>
      <c r="Y2280" t="s">
        <v>21500</v>
      </c>
      <c r="Z2280" t="s">
        <v>27855</v>
      </c>
      <c r="AA2280">
        <v>0.46962864795882342</v>
      </c>
      <c r="AB2280" t="str">
        <f>HYPERLINK("Melting_Curves/meltCurve_P27348_YWHAQ.pdf", "Melting_Curves/meltCurve_P27348_YWHAQ.pdf")</f>
        <v>Melting_Curves/meltCurve_P27348_YWHAQ.pdf</v>
      </c>
    </row>
    <row r="2281" spans="1:28" x14ac:dyDescent="0.25">
      <c r="A2281" t="s">
        <v>2285</v>
      </c>
      <c r="B2281">
        <v>0.99673306730245903</v>
      </c>
      <c r="C2281">
        <v>0.89850177457908798</v>
      </c>
      <c r="D2281">
        <v>0.61410893377563203</v>
      </c>
      <c r="E2281">
        <v>0.62227767192293804</v>
      </c>
      <c r="F2281">
        <v>0.19605950715509499</v>
      </c>
      <c r="G2281">
        <v>0.121402387533461</v>
      </c>
      <c r="H2281">
        <v>8.3228222697801002E-2</v>
      </c>
      <c r="I2281">
        <v>7.3290889304647402E-2</v>
      </c>
      <c r="J2281">
        <v>7.8649857538711704E-2</v>
      </c>
      <c r="K2281">
        <v>7.7234373718831198E-2</v>
      </c>
      <c r="L2281">
        <v>703.20850284003495</v>
      </c>
      <c r="M2281">
        <v>14.376900346877299</v>
      </c>
      <c r="N2281">
        <v>49.201996827070303</v>
      </c>
      <c r="O2281">
        <v>47.995249482339901</v>
      </c>
      <c r="P2281">
        <v>-7.18573701509954E-2</v>
      </c>
      <c r="Q2281">
        <v>4.0571445901674101E-2</v>
      </c>
      <c r="R2281">
        <v>0.96450013455565298</v>
      </c>
      <c r="S2281" t="s">
        <v>8733</v>
      </c>
      <c r="T2281" t="s">
        <v>12902</v>
      </c>
      <c r="U2281" t="s">
        <v>12902</v>
      </c>
      <c r="V2281" t="s">
        <v>12902</v>
      </c>
      <c r="W2281" t="s">
        <v>15144</v>
      </c>
      <c r="X2281">
        <v>13</v>
      </c>
      <c r="Y2281" t="s">
        <v>21501</v>
      </c>
      <c r="Z2281" t="s">
        <v>27856</v>
      </c>
      <c r="AA2281">
        <v>0.35132051288321259</v>
      </c>
      <c r="AB2281" t="str">
        <f>HYPERLINK("Melting_Curves/meltCurve_P27361_MAPK3.pdf", "Melting_Curves/meltCurve_P27361_MAPK3.pdf")</f>
        <v>Melting_Curves/meltCurve_P27361_MAPK3.pdf</v>
      </c>
    </row>
    <row r="2282" spans="1:28" x14ac:dyDescent="0.25">
      <c r="A2282" t="s">
        <v>2286</v>
      </c>
      <c r="B2282">
        <v>0.99673306730245903</v>
      </c>
      <c r="C2282">
        <v>0.93429695203099306</v>
      </c>
      <c r="D2282">
        <v>0.90140979503352303</v>
      </c>
      <c r="E2282">
        <v>0.91626740924404404</v>
      </c>
      <c r="F2282">
        <v>0.78939231201078897</v>
      </c>
      <c r="G2282">
        <v>0.56696761133087903</v>
      </c>
      <c r="H2282">
        <v>0.36759051438751</v>
      </c>
      <c r="I2282">
        <v>0.54745968297690495</v>
      </c>
      <c r="J2282">
        <v>0.94676509759763805</v>
      </c>
      <c r="K2282">
        <v>1.3202801751901101</v>
      </c>
      <c r="L2282">
        <v>1998.9059599627301</v>
      </c>
      <c r="M2282">
        <v>39.8827594556072</v>
      </c>
      <c r="O2282">
        <v>49.994039303702799</v>
      </c>
      <c r="P2282">
        <v>-4.9277572428803901E-2</v>
      </c>
      <c r="Q2282">
        <v>0.75291782637055504</v>
      </c>
      <c r="R2282">
        <v>0.105720956823265</v>
      </c>
      <c r="S2282" t="s">
        <v>8734</v>
      </c>
      <c r="T2282" t="s">
        <v>12902</v>
      </c>
      <c r="U2282" t="s">
        <v>12902</v>
      </c>
      <c r="V2282" t="s">
        <v>12902</v>
      </c>
      <c r="W2282" t="s">
        <v>15145</v>
      </c>
      <c r="X2282">
        <v>1</v>
      </c>
      <c r="Y2282" t="s">
        <v>21502</v>
      </c>
      <c r="Z2282" t="s">
        <v>27857</v>
      </c>
      <c r="AA2282">
        <v>0.83712450169178199</v>
      </c>
      <c r="AB2282" t="str">
        <f>HYPERLINK("Melting_Curves/meltCurve_P27449_ATP6V0C.pdf", "Melting_Curves/meltCurve_P27449_ATP6V0C.pdf")</f>
        <v>Melting_Curves/meltCurve_P27449_ATP6V0C.pdf</v>
      </c>
    </row>
    <row r="2283" spans="1:28" x14ac:dyDescent="0.25">
      <c r="A2283" t="s">
        <v>2287</v>
      </c>
      <c r="B2283">
        <v>0.99673306730245903</v>
      </c>
      <c r="C2283">
        <v>1.03601522699677</v>
      </c>
      <c r="D2283">
        <v>0.97714343919577396</v>
      </c>
      <c r="E2283">
        <v>0.98010007549561495</v>
      </c>
      <c r="F2283">
        <v>0.92698629508599795</v>
      </c>
      <c r="G2283">
        <v>0.81561693521200496</v>
      </c>
      <c r="H2283">
        <v>0.63284742416558704</v>
      </c>
      <c r="I2283">
        <v>1.0295153729225399</v>
      </c>
      <c r="J2283">
        <v>1.4289718065768799</v>
      </c>
      <c r="K2283">
        <v>1.3609537640913301</v>
      </c>
      <c r="L2283">
        <v>15000</v>
      </c>
      <c r="M2283">
        <v>231.862997236604</v>
      </c>
      <c r="O2283">
        <v>64.688564559692793</v>
      </c>
      <c r="P2283">
        <v>0.35395145824667201</v>
      </c>
      <c r="Q2283">
        <v>1.3950024177053399</v>
      </c>
      <c r="R2283">
        <v>0.63394675979817305</v>
      </c>
      <c r="S2283" t="s">
        <v>8735</v>
      </c>
      <c r="T2283" t="s">
        <v>12902</v>
      </c>
      <c r="U2283" t="s">
        <v>12902</v>
      </c>
      <c r="V2283" t="s">
        <v>12902</v>
      </c>
      <c r="W2283" t="s">
        <v>15146</v>
      </c>
      <c r="X2283">
        <v>14</v>
      </c>
      <c r="Y2283" t="s">
        <v>21503</v>
      </c>
      <c r="Z2283" t="s">
        <v>27858</v>
      </c>
      <c r="AA2283">
        <v>1.0698188411971949</v>
      </c>
      <c r="AB2283" t="str">
        <f>HYPERLINK("Melting_Curves/meltCurve_P27482_CALML3.pdf", "Melting_Curves/meltCurve_P27482_CALML3.pdf")</f>
        <v>Melting_Curves/meltCurve_P27482_CALML3.pdf</v>
      </c>
    </row>
    <row r="2284" spans="1:28" x14ac:dyDescent="0.25">
      <c r="A2284" t="s">
        <v>2288</v>
      </c>
      <c r="B2284">
        <v>0.99673306730245903</v>
      </c>
      <c r="C2284">
        <v>0.93596398409487702</v>
      </c>
      <c r="D2284">
        <v>0.76701485818225901</v>
      </c>
      <c r="E2284">
        <v>0.55849582305741496</v>
      </c>
      <c r="F2284">
        <v>0.29209442672577701</v>
      </c>
      <c r="G2284">
        <v>0.17131282886052801</v>
      </c>
      <c r="H2284">
        <v>0.101020691497072</v>
      </c>
      <c r="I2284">
        <v>0.10929817200781899</v>
      </c>
      <c r="J2284">
        <v>0.15137886402093301</v>
      </c>
      <c r="K2284">
        <v>0.18626010119037301</v>
      </c>
      <c r="L2284">
        <v>889.19356850704401</v>
      </c>
      <c r="M2284">
        <v>18.1125084461985</v>
      </c>
      <c r="N2284">
        <v>49.867541571747701</v>
      </c>
      <c r="O2284">
        <v>48.506099852625702</v>
      </c>
      <c r="P2284">
        <v>-8.1907331584863394E-2</v>
      </c>
      <c r="Q2284">
        <v>0.122636423233061</v>
      </c>
      <c r="R2284">
        <v>0.99118445635667296</v>
      </c>
      <c r="S2284" t="s">
        <v>8736</v>
      </c>
      <c r="T2284" t="s">
        <v>12902</v>
      </c>
      <c r="U2284" t="s">
        <v>12902</v>
      </c>
      <c r="V2284" t="s">
        <v>12902</v>
      </c>
      <c r="W2284" t="s">
        <v>15147</v>
      </c>
      <c r="X2284">
        <v>6</v>
      </c>
      <c r="Y2284" t="s">
        <v>21504</v>
      </c>
      <c r="Z2284" t="s">
        <v>27859</v>
      </c>
      <c r="AA2284">
        <v>0.40354315897630411</v>
      </c>
      <c r="AB2284" t="str">
        <f>HYPERLINK("Melting_Curves/meltCurve_P27540_2_ARNT.pdf", "Melting_Curves/meltCurve_P27540_2_ARNT.pdf")</f>
        <v>Melting_Curves/meltCurve_P27540_2_ARNT.pdf</v>
      </c>
    </row>
    <row r="2285" spans="1:28" x14ac:dyDescent="0.25">
      <c r="A2285" t="s">
        <v>2289</v>
      </c>
      <c r="B2285">
        <v>0.99673306730245903</v>
      </c>
      <c r="C2285">
        <v>0.91988928725354802</v>
      </c>
      <c r="D2285">
        <v>0.93977293353281599</v>
      </c>
      <c r="E2285">
        <v>0.79934432737219296</v>
      </c>
      <c r="F2285">
        <v>0.63314621514569303</v>
      </c>
      <c r="G2285">
        <v>0.44392725994563698</v>
      </c>
      <c r="H2285">
        <v>0.1687749039808</v>
      </c>
      <c r="I2285">
        <v>0.112265049240983</v>
      </c>
      <c r="J2285">
        <v>0.13226936205676701</v>
      </c>
      <c r="K2285">
        <v>0.124333394650988</v>
      </c>
      <c r="L2285">
        <v>788.18859856168501</v>
      </c>
      <c r="M2285">
        <v>14.4290524453671</v>
      </c>
      <c r="N2285">
        <v>55.0314044131065</v>
      </c>
      <c r="O2285">
        <v>53.608038128315002</v>
      </c>
      <c r="P2285">
        <v>-6.3897282361576102E-2</v>
      </c>
      <c r="Q2285">
        <v>5.05252728580107E-2</v>
      </c>
      <c r="R2285">
        <v>0.98905898741946396</v>
      </c>
      <c r="S2285" t="s">
        <v>8737</v>
      </c>
      <c r="T2285" t="s">
        <v>12902</v>
      </c>
      <c r="U2285" t="s">
        <v>12902</v>
      </c>
      <c r="V2285" t="s">
        <v>12902</v>
      </c>
      <c r="W2285" t="s">
        <v>15148</v>
      </c>
      <c r="X2285">
        <v>15</v>
      </c>
      <c r="Y2285" t="s">
        <v>21505</v>
      </c>
      <c r="Z2285" t="s">
        <v>27860</v>
      </c>
      <c r="AA2285">
        <v>0.53299689339050571</v>
      </c>
      <c r="AB2285" t="str">
        <f>HYPERLINK("Melting_Curves/meltCurve_P27635_RPL10.pdf", "Melting_Curves/meltCurve_P27635_RPL10.pdf")</f>
        <v>Melting_Curves/meltCurve_P27635_RPL10.pdf</v>
      </c>
    </row>
    <row r="2286" spans="1:28" x14ac:dyDescent="0.25">
      <c r="A2286" t="s">
        <v>2290</v>
      </c>
      <c r="B2286">
        <v>0.99673306730245903</v>
      </c>
      <c r="C2286">
        <v>0.92130757898789495</v>
      </c>
      <c r="D2286">
        <v>0.93763778128139397</v>
      </c>
      <c r="E2286">
        <v>0.83871509173792702</v>
      </c>
      <c r="F2286">
        <v>0.377790935567071</v>
      </c>
      <c r="G2286">
        <v>0.222901280252121</v>
      </c>
      <c r="H2286">
        <v>0.157057686337022</v>
      </c>
      <c r="I2286">
        <v>0.106451012356858</v>
      </c>
      <c r="J2286">
        <v>9.3951650163329306E-2</v>
      </c>
      <c r="K2286">
        <v>8.7211291440353902E-2</v>
      </c>
      <c r="L2286">
        <v>1392.19901956986</v>
      </c>
      <c r="M2286">
        <v>26.814567880590999</v>
      </c>
      <c r="N2286">
        <v>52.394535199121897</v>
      </c>
      <c r="O2286">
        <v>51.633317976879397</v>
      </c>
      <c r="P2286">
        <v>-0.115822929491104</v>
      </c>
      <c r="Q2286">
        <v>0.107908617261276</v>
      </c>
      <c r="R2286">
        <v>0.99115309733393997</v>
      </c>
      <c r="S2286" t="s">
        <v>8738</v>
      </c>
      <c r="T2286" t="s">
        <v>12902</v>
      </c>
      <c r="U2286" t="s">
        <v>12902</v>
      </c>
      <c r="V2286" t="s">
        <v>12902</v>
      </c>
      <c r="W2286" t="s">
        <v>15149</v>
      </c>
      <c r="X2286">
        <v>21</v>
      </c>
      <c r="Y2286" t="s">
        <v>21506</v>
      </c>
      <c r="Z2286" t="s">
        <v>27861</v>
      </c>
      <c r="AA2286">
        <v>0.46945364245463428</v>
      </c>
      <c r="AB2286" t="str">
        <f>HYPERLINK("Melting_Curves/meltCurve_P27694_RPA1.pdf", "Melting_Curves/meltCurve_P27694_RPA1.pdf")</f>
        <v>Melting_Curves/meltCurve_P27694_RPA1.pdf</v>
      </c>
    </row>
    <row r="2287" spans="1:28" x14ac:dyDescent="0.25">
      <c r="A2287" t="s">
        <v>2291</v>
      </c>
      <c r="B2287">
        <v>0.99673306730245903</v>
      </c>
      <c r="C2287">
        <v>1.1234473162627601</v>
      </c>
      <c r="D2287">
        <v>0.74604870711784399</v>
      </c>
      <c r="E2287">
        <v>0.48072655943505899</v>
      </c>
      <c r="F2287">
        <v>0.15119078041661799</v>
      </c>
      <c r="G2287">
        <v>0.104988061040974</v>
      </c>
      <c r="H2287">
        <v>6.8267788985635E-2</v>
      </c>
      <c r="I2287">
        <v>6.5687212638173398E-2</v>
      </c>
      <c r="J2287">
        <v>5.29985346741913E-2</v>
      </c>
      <c r="K2287">
        <v>4.1375200288189598E-2</v>
      </c>
      <c r="L2287">
        <v>1161.22379918552</v>
      </c>
      <c r="M2287">
        <v>23.762650490980398</v>
      </c>
      <c r="N2287">
        <v>49.109752612178298</v>
      </c>
      <c r="O2287">
        <v>48.525476133676797</v>
      </c>
      <c r="P2287">
        <v>-0.115657692632107</v>
      </c>
      <c r="Q2287">
        <v>5.5281983454594098E-2</v>
      </c>
      <c r="R2287">
        <v>0.97954174700341301</v>
      </c>
      <c r="S2287" t="s">
        <v>8739</v>
      </c>
      <c r="T2287" t="s">
        <v>12902</v>
      </c>
      <c r="U2287" t="s">
        <v>12902</v>
      </c>
      <c r="V2287" t="s">
        <v>12902</v>
      </c>
      <c r="W2287" t="s">
        <v>15150</v>
      </c>
      <c r="X2287">
        <v>23</v>
      </c>
      <c r="Y2287" t="s">
        <v>21507</v>
      </c>
      <c r="Z2287" t="s">
        <v>27862</v>
      </c>
      <c r="AA2287">
        <v>0.34381897565942471</v>
      </c>
      <c r="AB2287" t="str">
        <f>HYPERLINK("Melting_Curves/meltCurve_P27695_APEX1.pdf", "Melting_Curves/meltCurve_P27695_APEX1.pdf")</f>
        <v>Melting_Curves/meltCurve_P27695_APEX1.pdf</v>
      </c>
    </row>
    <row r="2288" spans="1:28" x14ac:dyDescent="0.25">
      <c r="A2288" t="s">
        <v>2292</v>
      </c>
      <c r="B2288">
        <v>0.99673306730245903</v>
      </c>
      <c r="C2288">
        <v>0.95580291279466301</v>
      </c>
      <c r="D2288">
        <v>0.72011210940936599</v>
      </c>
      <c r="E2288">
        <v>0.57325154210610296</v>
      </c>
      <c r="F2288">
        <v>0.262233982490304</v>
      </c>
      <c r="G2288">
        <v>0.17642795116733501</v>
      </c>
      <c r="H2288">
        <v>0.13250247182361899</v>
      </c>
      <c r="I2288">
        <v>0.135726371160062</v>
      </c>
      <c r="J2288">
        <v>0.13926192129435</v>
      </c>
      <c r="K2288">
        <v>0.100590357973339</v>
      </c>
      <c r="L2288">
        <v>827.598299313128</v>
      </c>
      <c r="M2288">
        <v>16.8703946594634</v>
      </c>
      <c r="N2288">
        <v>49.764213412552998</v>
      </c>
      <c r="O2288">
        <v>48.382523019248197</v>
      </c>
      <c r="P2288">
        <v>-7.7876733089944597E-2</v>
      </c>
      <c r="Q2288">
        <v>0.106687648055648</v>
      </c>
      <c r="R2288">
        <v>0.990893460763415</v>
      </c>
      <c r="S2288" t="s">
        <v>8740</v>
      </c>
      <c r="T2288" t="s">
        <v>12902</v>
      </c>
      <c r="U2288" t="s">
        <v>12902</v>
      </c>
      <c r="V2288" t="s">
        <v>12902</v>
      </c>
      <c r="W2288" t="s">
        <v>15151</v>
      </c>
      <c r="X2288">
        <v>31</v>
      </c>
      <c r="Y2288" t="s">
        <v>20423</v>
      </c>
      <c r="Z2288" t="s">
        <v>27863</v>
      </c>
      <c r="AA2288">
        <v>0.39392059129848389</v>
      </c>
      <c r="AB2288" t="str">
        <f>HYPERLINK("Melting_Curves/meltCurve_P27797_CALR.pdf", "Melting_Curves/meltCurve_P27797_CALR.pdf")</f>
        <v>Melting_Curves/meltCurve_P27797_CALR.pdf</v>
      </c>
    </row>
    <row r="2289" spans="1:28" x14ac:dyDescent="0.25">
      <c r="A2289" t="s">
        <v>2293</v>
      </c>
      <c r="B2289">
        <v>0.99673306730245903</v>
      </c>
      <c r="C2289">
        <v>0.93838031824238999</v>
      </c>
      <c r="D2289">
        <v>0.50110423973224305</v>
      </c>
      <c r="E2289">
        <v>0.444718654989118</v>
      </c>
      <c r="F2289">
        <v>0.21856284577663301</v>
      </c>
      <c r="G2289">
        <v>0.14382377061257501</v>
      </c>
      <c r="H2289">
        <v>9.3897998127765295E-2</v>
      </c>
      <c r="I2289">
        <v>9.4876380937301899E-2</v>
      </c>
      <c r="J2289">
        <v>8.5530698334567196E-2</v>
      </c>
      <c r="K2289">
        <v>6.6682788177422694E-2</v>
      </c>
      <c r="L2289">
        <v>754.706415593207</v>
      </c>
      <c r="M2289">
        <v>15.9851945108271</v>
      </c>
      <c r="N2289">
        <v>47.729393550755198</v>
      </c>
      <c r="O2289">
        <v>46.492515696594999</v>
      </c>
      <c r="P2289">
        <v>-7.9134415503299693E-2</v>
      </c>
      <c r="Q2289">
        <v>7.9431512037615698E-2</v>
      </c>
      <c r="R2289">
        <v>0.96957819578474802</v>
      </c>
      <c r="S2289" t="s">
        <v>8741</v>
      </c>
      <c r="T2289" t="s">
        <v>12902</v>
      </c>
      <c r="U2289" t="s">
        <v>12902</v>
      </c>
      <c r="V2289" t="s">
        <v>12902</v>
      </c>
      <c r="W2289" t="s">
        <v>15152</v>
      </c>
      <c r="X2289">
        <v>26</v>
      </c>
      <c r="Y2289" t="s">
        <v>21508</v>
      </c>
      <c r="Z2289" t="s">
        <v>27864</v>
      </c>
      <c r="AA2289">
        <v>0.32240961056696299</v>
      </c>
      <c r="AB2289" t="str">
        <f>HYPERLINK("Melting_Curves/meltCurve_P27824_CANX.pdf", "Melting_Curves/meltCurve_P27824_CANX.pdf")</f>
        <v>Melting_Curves/meltCurve_P27824_CANX.pdf</v>
      </c>
    </row>
    <row r="2290" spans="1:28" x14ac:dyDescent="0.25">
      <c r="A2290" t="s">
        <v>2294</v>
      </c>
      <c r="B2290">
        <v>0.99673306730245903</v>
      </c>
      <c r="C2290">
        <v>0.91072758038609503</v>
      </c>
      <c r="D2290">
        <v>0.89305313144186604</v>
      </c>
      <c r="E2290">
        <v>0.61413183410786398</v>
      </c>
      <c r="F2290">
        <v>0.26632163355675198</v>
      </c>
      <c r="G2290">
        <v>0.16379804032773401</v>
      </c>
      <c r="H2290">
        <v>0.121097252422724</v>
      </c>
      <c r="I2290">
        <v>0.10543942881162501</v>
      </c>
      <c r="J2290">
        <v>0.133797372522375</v>
      </c>
      <c r="K2290">
        <v>0.111614378349548</v>
      </c>
      <c r="L2290">
        <v>1147.5437432500701</v>
      </c>
      <c r="M2290">
        <v>22.9578501123355</v>
      </c>
      <c r="N2290">
        <v>50.530103837686099</v>
      </c>
      <c r="O2290">
        <v>49.610211825380198</v>
      </c>
      <c r="P2290">
        <v>-0.102999451345132</v>
      </c>
      <c r="Q2290">
        <v>0.10972043495447301</v>
      </c>
      <c r="R2290">
        <v>0.99513349836573295</v>
      </c>
      <c r="S2290" t="s">
        <v>8742</v>
      </c>
      <c r="T2290" t="s">
        <v>12902</v>
      </c>
      <c r="U2290" t="s">
        <v>12902</v>
      </c>
      <c r="V2290" t="s">
        <v>12902</v>
      </c>
      <c r="W2290" t="s">
        <v>15153</v>
      </c>
      <c r="X2290">
        <v>4</v>
      </c>
      <c r="Y2290" t="s">
        <v>21509</v>
      </c>
      <c r="Z2290" t="s">
        <v>27865</v>
      </c>
      <c r="AA2290">
        <v>0.41546717676541128</v>
      </c>
      <c r="AB2290" t="str">
        <f>HYPERLINK("Melting_Curves/meltCurve_P27986_PIK3R1.pdf", "Melting_Curves/meltCurve_P27986_PIK3R1.pdf")</f>
        <v>Melting_Curves/meltCurve_P27986_PIK3R1.pdf</v>
      </c>
    </row>
    <row r="2291" spans="1:28" x14ac:dyDescent="0.25">
      <c r="A2291" t="s">
        <v>2295</v>
      </c>
      <c r="B2291">
        <v>0.99673306730245903</v>
      </c>
      <c r="C2291">
        <v>0.76311803344162699</v>
      </c>
      <c r="D2291">
        <v>0.47478751801304397</v>
      </c>
      <c r="E2291">
        <v>0.379571733749274</v>
      </c>
      <c r="F2291">
        <v>0.31883312891590099</v>
      </c>
      <c r="G2291">
        <v>0.199922160853856</v>
      </c>
      <c r="H2291">
        <v>0.20274585075018001</v>
      </c>
      <c r="I2291">
        <v>0.23092855710615701</v>
      </c>
      <c r="J2291">
        <v>0.38456752998863097</v>
      </c>
      <c r="K2291">
        <v>0.31319167961271699</v>
      </c>
      <c r="L2291">
        <v>1074.37879368723</v>
      </c>
      <c r="M2291">
        <v>24.2348263050621</v>
      </c>
      <c r="N2291">
        <v>45.867919842613503</v>
      </c>
      <c r="O2291">
        <v>44.0334778210987</v>
      </c>
      <c r="P2291">
        <v>-9.9356754708108799E-2</v>
      </c>
      <c r="Q2291">
        <v>0.27790578613590999</v>
      </c>
      <c r="R2291">
        <v>0.94558470349528201</v>
      </c>
      <c r="S2291" t="s">
        <v>8743</v>
      </c>
      <c r="T2291" t="s">
        <v>12902</v>
      </c>
      <c r="U2291" t="s">
        <v>12902</v>
      </c>
      <c r="V2291" t="s">
        <v>12902</v>
      </c>
      <c r="W2291" t="s">
        <v>15154</v>
      </c>
      <c r="X2291">
        <v>1</v>
      </c>
      <c r="Y2291" t="s">
        <v>21510</v>
      </c>
      <c r="Z2291" t="s">
        <v>27866</v>
      </c>
      <c r="AA2291">
        <v>0.39062144151445838</v>
      </c>
      <c r="AB2291" t="str">
        <f>HYPERLINK("Melting_Curves/meltCurve_P27987_ITPKB.pdf", "Melting_Curves/meltCurve_P27987_ITPKB.pdf")</f>
        <v>Melting_Curves/meltCurve_P27987_ITPKB.pdf</v>
      </c>
    </row>
    <row r="2292" spans="1:28" x14ac:dyDescent="0.25">
      <c r="A2292" t="s">
        <v>2296</v>
      </c>
      <c r="B2292">
        <v>0.99673306730245903</v>
      </c>
      <c r="C2292">
        <v>0.96424268756159504</v>
      </c>
      <c r="D2292">
        <v>0.95286937495574298</v>
      </c>
      <c r="E2292">
        <v>0.98029981913911901</v>
      </c>
      <c r="F2292">
        <v>0.842646093083809</v>
      </c>
      <c r="G2292">
        <v>0.92381408571432599</v>
      </c>
      <c r="H2292">
        <v>1.0899694756042899</v>
      </c>
      <c r="I2292">
        <v>1.16890290876591</v>
      </c>
      <c r="J2292">
        <v>0.89568065753637405</v>
      </c>
      <c r="K2292">
        <v>0.43700255086128897</v>
      </c>
      <c r="L2292">
        <v>15000</v>
      </c>
      <c r="M2292">
        <v>222.06548015011001</v>
      </c>
      <c r="N2292">
        <v>68.182529689637605</v>
      </c>
      <c r="O2292">
        <v>67.542165372509203</v>
      </c>
      <c r="P2292">
        <v>-0.46295010685892801</v>
      </c>
      <c r="Q2292">
        <v>0.436766980222483</v>
      </c>
      <c r="R2292">
        <v>0.79275493765430205</v>
      </c>
      <c r="S2292" t="s">
        <v>8744</v>
      </c>
      <c r="T2292" t="s">
        <v>12902</v>
      </c>
      <c r="U2292" t="s">
        <v>12902</v>
      </c>
      <c r="V2292" t="s">
        <v>12902</v>
      </c>
      <c r="W2292" t="s">
        <v>15155</v>
      </c>
      <c r="X2292">
        <v>4</v>
      </c>
      <c r="Y2292" t="s">
        <v>21511</v>
      </c>
      <c r="Z2292" t="s">
        <v>27867</v>
      </c>
      <c r="AA2292">
        <v>0.95404044455153281</v>
      </c>
      <c r="AB2292" t="str">
        <f>HYPERLINK("Melting_Curves/meltCurve_P28062_2_PSMB8.pdf", "Melting_Curves/meltCurve_P28062_2_PSMB8.pdf")</f>
        <v>Melting_Curves/meltCurve_P28062_2_PSMB8.pdf</v>
      </c>
    </row>
    <row r="2293" spans="1:28" x14ac:dyDescent="0.25">
      <c r="A2293" t="s">
        <v>2297</v>
      </c>
      <c r="B2293">
        <v>0.99673306730245903</v>
      </c>
      <c r="C2293">
        <v>0.98373388154969899</v>
      </c>
      <c r="D2293">
        <v>1.0424237663775999</v>
      </c>
      <c r="E2293">
        <v>1.2621776641487601</v>
      </c>
      <c r="F2293">
        <v>1.15658605242829</v>
      </c>
      <c r="G2293">
        <v>1.24884005875934</v>
      </c>
      <c r="H2293">
        <v>1.50417729623524</v>
      </c>
      <c r="I2293">
        <v>1.3852573226458</v>
      </c>
      <c r="J2293">
        <v>1.14536311585963</v>
      </c>
      <c r="K2293">
        <v>0.44576710306822198</v>
      </c>
      <c r="L2293">
        <v>15000</v>
      </c>
      <c r="M2293">
        <v>214.50322116064399</v>
      </c>
      <c r="N2293">
        <v>69.929027075211394</v>
      </c>
      <c r="O2293">
        <v>69.922941430307802</v>
      </c>
      <c r="P2293">
        <v>-0.76692719620652405</v>
      </c>
      <c r="Q2293">
        <v>0</v>
      </c>
      <c r="R2293">
        <v>0.226355955882724</v>
      </c>
      <c r="S2293" t="s">
        <v>8745</v>
      </c>
      <c r="T2293" t="s">
        <v>12902</v>
      </c>
      <c r="U2293" t="s">
        <v>12902</v>
      </c>
      <c r="V2293" t="s">
        <v>12902</v>
      </c>
      <c r="W2293" t="s">
        <v>15156</v>
      </c>
      <c r="X2293">
        <v>14</v>
      </c>
      <c r="Y2293" t="s">
        <v>21512</v>
      </c>
      <c r="Z2293" t="s">
        <v>27868</v>
      </c>
      <c r="AA2293">
        <v>0.99130254968239684</v>
      </c>
      <c r="AB2293" t="str">
        <f>HYPERLINK("Melting_Curves/meltCurve_P28066_PSMA5.pdf", "Melting_Curves/meltCurve_P28066_PSMA5.pdf")</f>
        <v>Melting_Curves/meltCurve_P28066_PSMA5.pdf</v>
      </c>
    </row>
    <row r="2294" spans="1:28" x14ac:dyDescent="0.25">
      <c r="A2294" t="s">
        <v>2298</v>
      </c>
      <c r="B2294">
        <v>0.99673306730245903</v>
      </c>
      <c r="C2294">
        <v>0.92638936326414201</v>
      </c>
      <c r="D2294">
        <v>1.0750092183125599</v>
      </c>
      <c r="E2294">
        <v>1.2510594681596201</v>
      </c>
      <c r="F2294">
        <v>1.5489342852338499</v>
      </c>
      <c r="G2294">
        <v>1.71172267418776</v>
      </c>
      <c r="H2294">
        <v>2.4050979722503598</v>
      </c>
      <c r="I2294">
        <v>2.0348666154297601</v>
      </c>
      <c r="J2294">
        <v>1.8369018910661501</v>
      </c>
      <c r="K2294">
        <v>0.68502601830531995</v>
      </c>
      <c r="L2294">
        <v>12399.5795968886</v>
      </c>
      <c r="M2294">
        <v>250</v>
      </c>
      <c r="O2294">
        <v>49.595144436826999</v>
      </c>
      <c r="P2294">
        <v>0.63010200694987095</v>
      </c>
      <c r="Q2294">
        <v>1.5</v>
      </c>
      <c r="R2294">
        <v>0.28818550227942602</v>
      </c>
      <c r="S2294" t="s">
        <v>8746</v>
      </c>
      <c r="T2294" t="s">
        <v>12902</v>
      </c>
      <c r="U2294" t="s">
        <v>12902</v>
      </c>
      <c r="V2294" t="s">
        <v>12902</v>
      </c>
      <c r="W2294" t="s">
        <v>15157</v>
      </c>
      <c r="X2294">
        <v>7</v>
      </c>
      <c r="Y2294" t="s">
        <v>21513</v>
      </c>
      <c r="Z2294" t="s">
        <v>27869</v>
      </c>
      <c r="AA2294">
        <v>1.339984504735672</v>
      </c>
      <c r="AB2294" t="str">
        <f>HYPERLINK("Melting_Curves/meltCurve_P28070_PSMB4.pdf", "Melting_Curves/meltCurve_P28070_PSMB4.pdf")</f>
        <v>Melting_Curves/meltCurve_P28070_PSMB4.pdf</v>
      </c>
    </row>
    <row r="2295" spans="1:28" x14ac:dyDescent="0.25">
      <c r="A2295" t="s">
        <v>2299</v>
      </c>
      <c r="B2295">
        <v>0.99673306730245903</v>
      </c>
      <c r="C2295">
        <v>0.94335145422270095</v>
      </c>
      <c r="D2295">
        <v>1.01204526442995</v>
      </c>
      <c r="E2295">
        <v>1.2358169494807101</v>
      </c>
      <c r="F2295">
        <v>1.42123260737018</v>
      </c>
      <c r="G2295">
        <v>1.69055304117059</v>
      </c>
      <c r="H2295">
        <v>2.30476943035878</v>
      </c>
      <c r="I2295">
        <v>2.32695943840291</v>
      </c>
      <c r="J2295">
        <v>1.81555275684418</v>
      </c>
      <c r="K2295">
        <v>0.81267216596535796</v>
      </c>
      <c r="L2295">
        <v>2182.1920785932002</v>
      </c>
      <c r="M2295">
        <v>43.830881584852499</v>
      </c>
      <c r="O2295">
        <v>49.6833480031327</v>
      </c>
      <c r="P2295">
        <v>0.110275776711726</v>
      </c>
      <c r="Q2295">
        <v>1.5</v>
      </c>
      <c r="R2295">
        <v>0.30411089502945199</v>
      </c>
      <c r="S2295" t="s">
        <v>8747</v>
      </c>
      <c r="T2295" t="s">
        <v>12902</v>
      </c>
      <c r="U2295" t="s">
        <v>12902</v>
      </c>
      <c r="V2295" t="s">
        <v>12902</v>
      </c>
      <c r="W2295" t="s">
        <v>15158</v>
      </c>
      <c r="X2295">
        <v>10</v>
      </c>
      <c r="Y2295" t="s">
        <v>21514</v>
      </c>
      <c r="Z2295" t="s">
        <v>27870</v>
      </c>
      <c r="AA2295">
        <v>1.335457950373613</v>
      </c>
      <c r="AB2295" t="str">
        <f>HYPERLINK("Melting_Curves/meltCurve_P28072_PSMB6.pdf", "Melting_Curves/meltCurve_P28072_PSMB6.pdf")</f>
        <v>Melting_Curves/meltCurve_P28072_PSMB6.pdf</v>
      </c>
    </row>
    <row r="2296" spans="1:28" x14ac:dyDescent="0.25">
      <c r="A2296" t="s">
        <v>2300</v>
      </c>
      <c r="B2296">
        <v>0.99673306730245903</v>
      </c>
      <c r="C2296">
        <v>0.95702605305647503</v>
      </c>
      <c r="D2296">
        <v>1.0077587944815301</v>
      </c>
      <c r="E2296">
        <v>1.07129294782999</v>
      </c>
      <c r="F2296">
        <v>1.07318752405766</v>
      </c>
      <c r="G2296">
        <v>1.14673569107599</v>
      </c>
      <c r="H2296">
        <v>1.30575119487425</v>
      </c>
      <c r="I2296">
        <v>1.2926022944244899</v>
      </c>
      <c r="J2296">
        <v>1.03118511918321</v>
      </c>
      <c r="K2296">
        <v>0.45235630467632798</v>
      </c>
      <c r="L2296">
        <v>15000</v>
      </c>
      <c r="M2296">
        <v>214.47681034055199</v>
      </c>
      <c r="N2296">
        <v>69.937633522490103</v>
      </c>
      <c r="O2296">
        <v>69.931550299155901</v>
      </c>
      <c r="P2296">
        <v>-0.76673836763213499</v>
      </c>
      <c r="Q2296">
        <v>0</v>
      </c>
      <c r="R2296">
        <v>0.57434312790490305</v>
      </c>
      <c r="S2296" t="s">
        <v>8748</v>
      </c>
      <c r="T2296" t="s">
        <v>12902</v>
      </c>
      <c r="U2296" t="s">
        <v>12902</v>
      </c>
      <c r="V2296" t="s">
        <v>12902</v>
      </c>
      <c r="W2296" t="s">
        <v>15159</v>
      </c>
      <c r="X2296">
        <v>16</v>
      </c>
      <c r="Y2296" t="s">
        <v>21515</v>
      </c>
      <c r="Z2296" t="s">
        <v>27871</v>
      </c>
      <c r="AA2296">
        <v>0.99145886653517878</v>
      </c>
      <c r="AB2296" t="str">
        <f>HYPERLINK("Melting_Curves/meltCurve_P28074_PSMB5.pdf", "Melting_Curves/meltCurve_P28074_PSMB5.pdf")</f>
        <v>Melting_Curves/meltCurve_P28074_PSMB5.pdf</v>
      </c>
    </row>
    <row r="2297" spans="1:28" x14ac:dyDescent="0.25">
      <c r="A2297" t="s">
        <v>2301</v>
      </c>
      <c r="B2297">
        <v>0.99673306730245903</v>
      </c>
      <c r="C2297">
        <v>0.95965251167560195</v>
      </c>
      <c r="D2297">
        <v>0.76429326834985301</v>
      </c>
      <c r="E2297">
        <v>1.0339431267644501</v>
      </c>
      <c r="F2297">
        <v>0.47585239474860902</v>
      </c>
      <c r="G2297">
        <v>0.17942653978603401</v>
      </c>
      <c r="H2297">
        <v>0.10861339738680301</v>
      </c>
      <c r="I2297">
        <v>9.8275361468614805E-2</v>
      </c>
      <c r="J2297">
        <v>9.1317018899282495E-2</v>
      </c>
      <c r="K2297">
        <v>7.2169869079929602E-2</v>
      </c>
      <c r="L2297">
        <v>3132.54371140579</v>
      </c>
      <c r="M2297">
        <v>59.195304369146797</v>
      </c>
      <c r="N2297">
        <v>53.132357851760098</v>
      </c>
      <c r="O2297">
        <v>52.858470492782502</v>
      </c>
      <c r="P2297">
        <v>-0.25032622552540101</v>
      </c>
      <c r="Q2297">
        <v>0.105884385678781</v>
      </c>
      <c r="R2297">
        <v>0.959039267423905</v>
      </c>
      <c r="S2297" t="s">
        <v>8749</v>
      </c>
      <c r="T2297" t="s">
        <v>12902</v>
      </c>
      <c r="U2297" t="s">
        <v>12902</v>
      </c>
      <c r="V2297" t="s">
        <v>12902</v>
      </c>
      <c r="W2297" t="s">
        <v>15160</v>
      </c>
      <c r="X2297">
        <v>25</v>
      </c>
      <c r="Y2297" t="s">
        <v>21516</v>
      </c>
      <c r="Z2297" t="s">
        <v>27872</v>
      </c>
      <c r="AA2297">
        <v>0.49240066032520002</v>
      </c>
      <c r="AB2297" t="str">
        <f>HYPERLINK("Melting_Curves/meltCurve_P28331_4_NDUFS1.pdf", "Melting_Curves/meltCurve_P28331_4_NDUFS1.pdf")</f>
        <v>Melting_Curves/meltCurve_P28331_4_NDUFS1.pdf</v>
      </c>
    </row>
    <row r="2298" spans="1:28" x14ac:dyDescent="0.25">
      <c r="A2298" t="s">
        <v>2302</v>
      </c>
      <c r="B2298">
        <v>0.99673306730245903</v>
      </c>
      <c r="C2298">
        <v>0.972728365042414</v>
      </c>
      <c r="D2298">
        <v>0.990632458903558</v>
      </c>
      <c r="E2298">
        <v>0.90397597026061105</v>
      </c>
      <c r="F2298">
        <v>0.75377206370119398</v>
      </c>
      <c r="G2298">
        <v>0.49195765415045001</v>
      </c>
      <c r="H2298">
        <v>0.12612954511341601</v>
      </c>
      <c r="I2298">
        <v>9.6931601342998594E-2</v>
      </c>
      <c r="J2298">
        <v>9.3942570036849596E-2</v>
      </c>
      <c r="K2298">
        <v>8.5728076805819606E-2</v>
      </c>
      <c r="L2298">
        <v>1223.9262137953201</v>
      </c>
      <c r="M2298">
        <v>21.902409951928099</v>
      </c>
      <c r="N2298">
        <v>56.161844327169</v>
      </c>
      <c r="O2298">
        <v>55.421319995526702</v>
      </c>
      <c r="P2298">
        <v>-9.3675157758806596E-2</v>
      </c>
      <c r="Q2298">
        <v>5.1888345925409897E-2</v>
      </c>
      <c r="R2298">
        <v>0.99367218467396901</v>
      </c>
      <c r="S2298" t="s">
        <v>8750</v>
      </c>
      <c r="T2298" t="s">
        <v>12902</v>
      </c>
      <c r="U2298" t="s">
        <v>12902</v>
      </c>
      <c r="V2298" t="s">
        <v>12902</v>
      </c>
      <c r="W2298" t="s">
        <v>15161</v>
      </c>
      <c r="X2298">
        <v>17</v>
      </c>
      <c r="Y2298" t="s">
        <v>21517</v>
      </c>
      <c r="Z2298" t="s">
        <v>27873</v>
      </c>
      <c r="AA2298">
        <v>0.56454565879955831</v>
      </c>
      <c r="AB2298" t="str">
        <f>HYPERLINK("Melting_Curves/meltCurve_P28482_MAPK1.pdf", "Melting_Curves/meltCurve_P28482_MAPK1.pdf")</f>
        <v>Melting_Curves/meltCurve_P28482_MAPK1.pdf</v>
      </c>
    </row>
    <row r="2299" spans="1:28" x14ac:dyDescent="0.25">
      <c r="A2299" t="s">
        <v>2303</v>
      </c>
      <c r="B2299">
        <v>0.99673306730245903</v>
      </c>
      <c r="C2299">
        <v>0.893603491564815</v>
      </c>
      <c r="D2299">
        <v>0.49262983422204798</v>
      </c>
      <c r="E2299">
        <v>0.245812963585546</v>
      </c>
      <c r="F2299">
        <v>0.147330790320852</v>
      </c>
      <c r="G2299">
        <v>8.9928573541768295E-2</v>
      </c>
      <c r="H2299">
        <v>6.5268379393956202E-2</v>
      </c>
      <c r="I2299">
        <v>7.4658420237133996E-2</v>
      </c>
      <c r="J2299">
        <v>8.4656597259794505E-2</v>
      </c>
      <c r="K2299">
        <v>7.1576909369237204E-2</v>
      </c>
      <c r="L2299">
        <v>1112.3580737316399</v>
      </c>
      <c r="M2299">
        <v>24.222548106861701</v>
      </c>
      <c r="N2299">
        <v>46.270978960854102</v>
      </c>
      <c r="O2299">
        <v>45.612866207081503</v>
      </c>
      <c r="P2299">
        <v>-0.121691941591343</v>
      </c>
      <c r="Q2299">
        <v>8.3394045122907601E-2</v>
      </c>
      <c r="R2299">
        <v>0.99484182417566303</v>
      </c>
      <c r="S2299" t="s">
        <v>8751</v>
      </c>
      <c r="T2299" t="s">
        <v>12902</v>
      </c>
      <c r="U2299" t="s">
        <v>12902</v>
      </c>
      <c r="V2299" t="s">
        <v>12902</v>
      </c>
      <c r="W2299" t="s">
        <v>15162</v>
      </c>
      <c r="X2299">
        <v>9</v>
      </c>
      <c r="Y2299" t="s">
        <v>21518</v>
      </c>
      <c r="Z2299" t="s">
        <v>27874</v>
      </c>
      <c r="AA2299">
        <v>0.27349298529523958</v>
      </c>
      <c r="AB2299" t="str">
        <f>HYPERLINK("Melting_Curves/meltCurve_P28702_RXRB.pdf", "Melting_Curves/meltCurve_P28702_RXRB.pdf")</f>
        <v>Melting_Curves/meltCurve_P28702_RXRB.pdf</v>
      </c>
    </row>
    <row r="2300" spans="1:28" x14ac:dyDescent="0.25">
      <c r="A2300" t="s">
        <v>2304</v>
      </c>
      <c r="B2300">
        <v>0.99673306730245903</v>
      </c>
      <c r="C2300">
        <v>0.90485950239202595</v>
      </c>
      <c r="D2300">
        <v>0.79194046756081105</v>
      </c>
      <c r="E2300">
        <v>0.55125968963065997</v>
      </c>
      <c r="F2300">
        <v>0.21718960836916501</v>
      </c>
      <c r="G2300">
        <v>0.13751378415212401</v>
      </c>
      <c r="H2300">
        <v>9.9058109472591596E-2</v>
      </c>
      <c r="I2300">
        <v>0.11041723517527401</v>
      </c>
      <c r="J2300">
        <v>0.138400997301452</v>
      </c>
      <c r="K2300">
        <v>0.12040977391044801</v>
      </c>
      <c r="L2300">
        <v>971.42430916599596</v>
      </c>
      <c r="M2300">
        <v>19.807797591512301</v>
      </c>
      <c r="N2300">
        <v>49.606857802986497</v>
      </c>
      <c r="O2300">
        <v>48.550867842834599</v>
      </c>
      <c r="P2300">
        <v>-9.1709278959391197E-2</v>
      </c>
      <c r="Q2300">
        <v>0.100876486023974</v>
      </c>
      <c r="R2300">
        <v>0.992653545707053</v>
      </c>
      <c r="S2300" t="s">
        <v>8752</v>
      </c>
      <c r="T2300" t="s">
        <v>12902</v>
      </c>
      <c r="U2300" t="s">
        <v>12902</v>
      </c>
      <c r="V2300" t="s">
        <v>12902</v>
      </c>
      <c r="W2300" t="s">
        <v>15163</v>
      </c>
      <c r="X2300">
        <v>13</v>
      </c>
      <c r="Y2300" t="s">
        <v>21519</v>
      </c>
      <c r="Z2300" t="s">
        <v>27875</v>
      </c>
      <c r="AA2300">
        <v>0.38472661933923002</v>
      </c>
      <c r="AB2300" t="str">
        <f>HYPERLINK("Melting_Curves/meltCurve_P28715_ERCC5.pdf", "Melting_Curves/meltCurve_P28715_ERCC5.pdf")</f>
        <v>Melting_Curves/meltCurve_P28715_ERCC5.pdf</v>
      </c>
    </row>
    <row r="2301" spans="1:28" x14ac:dyDescent="0.25">
      <c r="A2301" t="s">
        <v>2305</v>
      </c>
      <c r="B2301">
        <v>0.99673306730245903</v>
      </c>
      <c r="C2301">
        <v>1.0187942511136301</v>
      </c>
      <c r="D2301">
        <v>0.99126204934865703</v>
      </c>
      <c r="E2301">
        <v>0.96748852818628095</v>
      </c>
      <c r="F2301">
        <v>0.84558643397962396</v>
      </c>
      <c r="G2301">
        <v>0.709617672616914</v>
      </c>
      <c r="H2301">
        <v>0.65202851204539503</v>
      </c>
      <c r="I2301">
        <v>0.85223596677938795</v>
      </c>
      <c r="J2301">
        <v>1.30228095694609</v>
      </c>
      <c r="K2301">
        <v>1.2914641726448901</v>
      </c>
      <c r="L2301">
        <v>15000</v>
      </c>
      <c r="M2301">
        <v>227.50623006043401</v>
      </c>
      <c r="O2301">
        <v>65.92716573733</v>
      </c>
      <c r="P2301">
        <v>0.25840226030672597</v>
      </c>
      <c r="Q2301">
        <v>1.2995210918019</v>
      </c>
      <c r="R2301">
        <v>0.390868046502859</v>
      </c>
      <c r="S2301" t="s">
        <v>8753</v>
      </c>
      <c r="T2301" t="s">
        <v>12902</v>
      </c>
      <c r="U2301" t="s">
        <v>12902</v>
      </c>
      <c r="V2301" t="s">
        <v>12902</v>
      </c>
      <c r="W2301" t="s">
        <v>15164</v>
      </c>
      <c r="X2301">
        <v>10</v>
      </c>
      <c r="Y2301" t="s">
        <v>21520</v>
      </c>
      <c r="Z2301" t="s">
        <v>27876</v>
      </c>
      <c r="AA2301">
        <v>1.0405706147093401</v>
      </c>
      <c r="AB2301" t="str">
        <f>HYPERLINK("Melting_Curves/meltCurve_P28799_GRN.pdf", "Melting_Curves/meltCurve_P28799_GRN.pdf")</f>
        <v>Melting_Curves/meltCurve_P28799_GRN.pdf</v>
      </c>
    </row>
    <row r="2302" spans="1:28" x14ac:dyDescent="0.25">
      <c r="A2302" t="s">
        <v>2306</v>
      </c>
      <c r="B2302">
        <v>0.99673306730245903</v>
      </c>
      <c r="C2302">
        <v>0.92805994829365102</v>
      </c>
      <c r="D2302">
        <v>0.94237778812694395</v>
      </c>
      <c r="E2302">
        <v>0.89169856923420099</v>
      </c>
      <c r="F2302">
        <v>0.69424935476260197</v>
      </c>
      <c r="G2302">
        <v>0.55304284254790603</v>
      </c>
      <c r="H2302">
        <v>0.43605724719673</v>
      </c>
      <c r="I2302">
        <v>0.37759330829142101</v>
      </c>
      <c r="J2302">
        <v>0.42295011221747802</v>
      </c>
      <c r="K2302">
        <v>0.205626674559099</v>
      </c>
      <c r="L2302">
        <v>607.15624004101005</v>
      </c>
      <c r="M2302">
        <v>10.8263556108821</v>
      </c>
      <c r="N2302">
        <v>58.976668103014703</v>
      </c>
      <c r="O2302">
        <v>54.2696285278452</v>
      </c>
      <c r="P2302">
        <v>-3.9606430363625697E-2</v>
      </c>
      <c r="Q2302">
        <v>0.206138933921132</v>
      </c>
      <c r="R2302">
        <v>0.96842389669357398</v>
      </c>
      <c r="S2302" t="s">
        <v>8754</v>
      </c>
      <c r="T2302" t="s">
        <v>12902</v>
      </c>
      <c r="U2302" t="s">
        <v>12902</v>
      </c>
      <c r="V2302" t="s">
        <v>12902</v>
      </c>
      <c r="W2302" t="s">
        <v>15165</v>
      </c>
      <c r="X2302">
        <v>37</v>
      </c>
      <c r="Y2302" t="s">
        <v>21521</v>
      </c>
      <c r="Z2302" t="s">
        <v>27877</v>
      </c>
      <c r="AA2302">
        <v>0.64806005277301493</v>
      </c>
      <c r="AB2302" t="str">
        <f>HYPERLINK("Melting_Curves/meltCurve_P28838_2_LAP3.pdf", "Melting_Curves/meltCurve_P28838_2_LAP3.pdf")</f>
        <v>Melting_Curves/meltCurve_P28838_2_LAP3.pdf</v>
      </c>
    </row>
    <row r="2303" spans="1:28" x14ac:dyDescent="0.25">
      <c r="A2303" t="s">
        <v>2307</v>
      </c>
      <c r="B2303">
        <v>0.99673306730245903</v>
      </c>
      <c r="C2303">
        <v>1.0345750785689101</v>
      </c>
      <c r="D2303">
        <v>0.32015902991385797</v>
      </c>
      <c r="E2303">
        <v>0.85444143018559704</v>
      </c>
      <c r="F2303">
        <v>0.60340129717776503</v>
      </c>
      <c r="G2303">
        <v>0.47990680762571303</v>
      </c>
      <c r="H2303">
        <v>0.20370948959909699</v>
      </c>
      <c r="I2303">
        <v>0.158956515445036</v>
      </c>
      <c r="J2303">
        <v>0.14964781284704401</v>
      </c>
      <c r="K2303">
        <v>0.122828631497914</v>
      </c>
      <c r="L2303">
        <v>418.91261949168</v>
      </c>
      <c r="M2303">
        <v>7.8154275066130596</v>
      </c>
      <c r="N2303">
        <v>53.600729736901499</v>
      </c>
      <c r="O2303">
        <v>50.431213081702303</v>
      </c>
      <c r="P2303">
        <v>-3.8790811914874899E-2</v>
      </c>
      <c r="Q2303">
        <v>0</v>
      </c>
      <c r="R2303">
        <v>0.73344054380978096</v>
      </c>
      <c r="S2303" t="s">
        <v>8755</v>
      </c>
      <c r="T2303" t="s">
        <v>12902</v>
      </c>
      <c r="U2303" t="s">
        <v>12902</v>
      </c>
      <c r="V2303" t="s">
        <v>12902</v>
      </c>
      <c r="W2303" t="s">
        <v>15166</v>
      </c>
      <c r="X2303">
        <v>4</v>
      </c>
      <c r="Y2303" t="s">
        <v>21522</v>
      </c>
      <c r="Z2303" t="s">
        <v>27878</v>
      </c>
      <c r="AA2303">
        <v>0.49058203111191723</v>
      </c>
      <c r="AB2303" t="str">
        <f>HYPERLINK("Melting_Curves/meltCurve_P29034_S100A2.pdf", "Melting_Curves/meltCurve_P29034_S100A2.pdf")</f>
        <v>Melting_Curves/meltCurve_P29034_S100A2.pdf</v>
      </c>
    </row>
    <row r="2304" spans="1:28" x14ac:dyDescent="0.25">
      <c r="A2304" t="s">
        <v>2308</v>
      </c>
      <c r="B2304">
        <v>0.99673306730245903</v>
      </c>
      <c r="C2304">
        <v>0.97520348098824905</v>
      </c>
      <c r="D2304">
        <v>0.87535633263108703</v>
      </c>
      <c r="E2304">
        <v>0.51317694454131102</v>
      </c>
      <c r="F2304">
        <v>0.29285780919343102</v>
      </c>
      <c r="G2304">
        <v>0.21388152345586101</v>
      </c>
      <c r="H2304">
        <v>0.17267343703777099</v>
      </c>
      <c r="I2304">
        <v>0.16730075639435099</v>
      </c>
      <c r="J2304">
        <v>0.211263652726531</v>
      </c>
      <c r="K2304">
        <v>0.21127983661679101</v>
      </c>
      <c r="L2304">
        <v>1270.0880942563099</v>
      </c>
      <c r="M2304">
        <v>25.975551527738599</v>
      </c>
      <c r="N2304">
        <v>49.819422709878701</v>
      </c>
      <c r="O2304">
        <v>48.608494245995097</v>
      </c>
      <c r="P2304">
        <v>-0.108061600911297</v>
      </c>
      <c r="Q2304">
        <v>0.19113941595641701</v>
      </c>
      <c r="R2304">
        <v>0.99792147024202904</v>
      </c>
      <c r="S2304" t="s">
        <v>8756</v>
      </c>
      <c r="T2304" t="s">
        <v>12902</v>
      </c>
      <c r="U2304" t="s">
        <v>12902</v>
      </c>
      <c r="V2304" t="s">
        <v>12902</v>
      </c>
      <c r="W2304" t="s">
        <v>15167</v>
      </c>
      <c r="X2304">
        <v>11</v>
      </c>
      <c r="Y2304" t="s">
        <v>21523</v>
      </c>
      <c r="Z2304" t="s">
        <v>27879</v>
      </c>
      <c r="AA2304">
        <v>0.43759903261603073</v>
      </c>
      <c r="AB2304" t="str">
        <f>HYPERLINK("Melting_Curves/meltCurve_P29083_GTF2E1.pdf", "Melting_Curves/meltCurve_P29083_GTF2E1.pdf")</f>
        <v>Melting_Curves/meltCurve_P29083_GTF2E1.pdf</v>
      </c>
    </row>
    <row r="2305" spans="1:28" x14ac:dyDescent="0.25">
      <c r="A2305" t="s">
        <v>2309</v>
      </c>
      <c r="B2305">
        <v>0.99673306730245903</v>
      </c>
      <c r="C2305">
        <v>0.96916748014927501</v>
      </c>
      <c r="D2305">
        <v>0.90317239401708604</v>
      </c>
      <c r="E2305">
        <v>0.55472479272952302</v>
      </c>
      <c r="F2305">
        <v>0.24431725093539899</v>
      </c>
      <c r="G2305">
        <v>0.137931372590088</v>
      </c>
      <c r="H2305">
        <v>8.7770122278707494E-2</v>
      </c>
      <c r="I2305">
        <v>9.2002613419406604E-2</v>
      </c>
      <c r="J2305">
        <v>0.12281600468272</v>
      </c>
      <c r="K2305">
        <v>0.118664267330405</v>
      </c>
      <c r="L2305">
        <v>1278.8113843523799</v>
      </c>
      <c r="M2305">
        <v>25.755276806858301</v>
      </c>
      <c r="N2305">
        <v>50.102270478399802</v>
      </c>
      <c r="O2305">
        <v>49.355970356460801</v>
      </c>
      <c r="P2305">
        <v>-0.11699124313366401</v>
      </c>
      <c r="Q2305">
        <v>0.103228909784628</v>
      </c>
      <c r="R2305">
        <v>0.99884009547971897</v>
      </c>
      <c r="S2305" t="s">
        <v>8757</v>
      </c>
      <c r="T2305" t="s">
        <v>12902</v>
      </c>
      <c r="U2305" t="s">
        <v>12902</v>
      </c>
      <c r="V2305" t="s">
        <v>12902</v>
      </c>
      <c r="W2305" t="s">
        <v>15168</v>
      </c>
      <c r="X2305">
        <v>12</v>
      </c>
      <c r="Y2305" t="s">
        <v>21524</v>
      </c>
      <c r="Z2305" t="s">
        <v>27880</v>
      </c>
      <c r="AA2305">
        <v>0.39928223070530522</v>
      </c>
      <c r="AB2305" t="str">
        <f>HYPERLINK("Melting_Curves/meltCurve_P29084_GTF2E2.pdf", "Melting_Curves/meltCurve_P29084_GTF2E2.pdf")</f>
        <v>Melting_Curves/meltCurve_P29084_GTF2E2.pdf</v>
      </c>
    </row>
    <row r="2306" spans="1:28" x14ac:dyDescent="0.25">
      <c r="A2306" t="s">
        <v>2310</v>
      </c>
      <c r="B2306">
        <v>0.99673306730245903</v>
      </c>
      <c r="C2306">
        <v>0.93308844944312297</v>
      </c>
      <c r="D2306">
        <v>1.0347108218975201</v>
      </c>
      <c r="E2306">
        <v>1.0082934350211299</v>
      </c>
      <c r="F2306">
        <v>1.26923464269651</v>
      </c>
      <c r="G2306">
        <v>1.25339316757258</v>
      </c>
      <c r="H2306">
        <v>0.12190476061668599</v>
      </c>
      <c r="I2306">
        <v>0.126795432963589</v>
      </c>
      <c r="J2306">
        <v>0.112316002224537</v>
      </c>
      <c r="K2306">
        <v>9.27657990272856E-2</v>
      </c>
      <c r="L2306">
        <v>14935.5958695559</v>
      </c>
      <c r="M2306">
        <v>250</v>
      </c>
      <c r="N2306">
        <v>59.8021913169691</v>
      </c>
      <c r="O2306">
        <v>59.7385514312721</v>
      </c>
      <c r="P2306">
        <v>-0.93050339107466196</v>
      </c>
      <c r="Q2306">
        <v>0.11060907281575599</v>
      </c>
      <c r="R2306">
        <v>0.93929503952628202</v>
      </c>
      <c r="S2306" t="s">
        <v>8758</v>
      </c>
      <c r="T2306" t="s">
        <v>12902</v>
      </c>
      <c r="U2306" t="s">
        <v>12902</v>
      </c>
      <c r="V2306" t="s">
        <v>12902</v>
      </c>
      <c r="W2306" t="s">
        <v>15169</v>
      </c>
      <c r="X2306">
        <v>60</v>
      </c>
      <c r="Y2306" t="s">
        <v>21525</v>
      </c>
      <c r="Z2306" t="s">
        <v>27881</v>
      </c>
      <c r="AA2306">
        <v>0.69599221429548797</v>
      </c>
      <c r="AB2306" t="str">
        <f>HYPERLINK("Melting_Curves/meltCurve_P29144_TPP2.pdf", "Melting_Curves/meltCurve_P29144_TPP2.pdf")</f>
        <v>Melting_Curves/meltCurve_P29144_TPP2.pdf</v>
      </c>
    </row>
    <row r="2307" spans="1:28" x14ac:dyDescent="0.25">
      <c r="A2307" t="s">
        <v>2311</v>
      </c>
      <c r="B2307">
        <v>0.99673306730245903</v>
      </c>
      <c r="C2307">
        <v>1.0220094314763799</v>
      </c>
      <c r="D2307">
        <v>1.00486409555564</v>
      </c>
      <c r="E2307">
        <v>1.0104678467438499</v>
      </c>
      <c r="F2307">
        <v>0.93731746113896597</v>
      </c>
      <c r="G2307">
        <v>0.88124217778587799</v>
      </c>
      <c r="H2307">
        <v>0.76223240415480797</v>
      </c>
      <c r="I2307">
        <v>1.06620675664686</v>
      </c>
      <c r="J2307">
        <v>1.37292703319286</v>
      </c>
      <c r="K2307">
        <v>1.24301532858652</v>
      </c>
      <c r="L2307">
        <v>15000</v>
      </c>
      <c r="M2307">
        <v>233.080297865147</v>
      </c>
      <c r="O2307">
        <v>64.350765943510098</v>
      </c>
      <c r="P2307">
        <v>0.27887537633798498</v>
      </c>
      <c r="Q2307">
        <v>1.30797702268337</v>
      </c>
      <c r="R2307">
        <v>0.68895508623248802</v>
      </c>
      <c r="S2307" t="s">
        <v>8759</v>
      </c>
      <c r="T2307" t="s">
        <v>12902</v>
      </c>
      <c r="U2307" t="s">
        <v>12902</v>
      </c>
      <c r="V2307" t="s">
        <v>12902</v>
      </c>
      <c r="W2307" t="s">
        <v>15170</v>
      </c>
      <c r="X2307">
        <v>17</v>
      </c>
      <c r="Y2307" t="s">
        <v>19693</v>
      </c>
      <c r="Z2307" t="s">
        <v>27882</v>
      </c>
      <c r="AA2307">
        <v>1.0579058191255679</v>
      </c>
      <c r="AB2307" t="str">
        <f>HYPERLINK("Melting_Curves/meltCurve_P29218_IMPA1.pdf", "Melting_Curves/meltCurve_P29218_IMPA1.pdf")</f>
        <v>Melting_Curves/meltCurve_P29218_IMPA1.pdf</v>
      </c>
    </row>
    <row r="2308" spans="1:28" x14ac:dyDescent="0.25">
      <c r="A2308" t="s">
        <v>2312</v>
      </c>
      <c r="B2308">
        <v>0.99673306730245903</v>
      </c>
      <c r="C2308">
        <v>0.931714152837122</v>
      </c>
      <c r="D2308">
        <v>0.82055506506967901</v>
      </c>
      <c r="E2308">
        <v>0.52195054133274799</v>
      </c>
      <c r="F2308">
        <v>0.23239712179317801</v>
      </c>
      <c r="G2308">
        <v>0.144721685038215</v>
      </c>
      <c r="H2308">
        <v>9.0940676622441999E-2</v>
      </c>
      <c r="I2308">
        <v>8.2734066621829902E-2</v>
      </c>
      <c r="J2308">
        <v>9.3328473029379702E-2</v>
      </c>
      <c r="K2308">
        <v>7.8816757291932202E-2</v>
      </c>
      <c r="L2308">
        <v>980.55513382719005</v>
      </c>
      <c r="M2308">
        <v>19.8976698277067</v>
      </c>
      <c r="N2308">
        <v>49.6951829509932</v>
      </c>
      <c r="O2308">
        <v>48.790235969751301</v>
      </c>
      <c r="P2308">
        <v>-9.4149102806777102E-2</v>
      </c>
      <c r="Q2308">
        <v>7.65944168632927E-2</v>
      </c>
      <c r="R2308">
        <v>0.99903859548492402</v>
      </c>
      <c r="S2308" t="s">
        <v>8760</v>
      </c>
      <c r="T2308" t="s">
        <v>12902</v>
      </c>
      <c r="U2308" t="s">
        <v>12902</v>
      </c>
      <c r="V2308" t="s">
        <v>12902</v>
      </c>
      <c r="W2308" t="s">
        <v>15171</v>
      </c>
      <c r="X2308">
        <v>12</v>
      </c>
      <c r="Y2308" t="s">
        <v>21526</v>
      </c>
      <c r="Z2308" t="s">
        <v>27883</v>
      </c>
      <c r="AA2308">
        <v>0.37526988685705581</v>
      </c>
      <c r="AB2308" t="str">
        <f>HYPERLINK("Melting_Curves/meltCurve_P29317_EPHA2.pdf", "Melting_Curves/meltCurve_P29317_EPHA2.pdf")</f>
        <v>Melting_Curves/meltCurve_P29317_EPHA2.pdf</v>
      </c>
    </row>
    <row r="2309" spans="1:28" x14ac:dyDescent="0.25">
      <c r="A2309" t="s">
        <v>2313</v>
      </c>
      <c r="B2309">
        <v>0.99673306730245903</v>
      </c>
      <c r="C2309">
        <v>1.00090492866808</v>
      </c>
      <c r="D2309">
        <v>0.94670195073335495</v>
      </c>
      <c r="E2309">
        <v>0.80769546268359604</v>
      </c>
      <c r="F2309">
        <v>0.41300804284499898</v>
      </c>
      <c r="G2309">
        <v>0.22374180754294401</v>
      </c>
      <c r="H2309">
        <v>0.12752240321528499</v>
      </c>
      <c r="I2309">
        <v>0.110026669742467</v>
      </c>
      <c r="J2309">
        <v>9.69436846095518E-2</v>
      </c>
      <c r="K2309">
        <v>8.9512201277842707E-2</v>
      </c>
      <c r="L2309">
        <v>1255.2191200970401</v>
      </c>
      <c r="M2309">
        <v>24.116135982630301</v>
      </c>
      <c r="N2309">
        <v>52.520779446235203</v>
      </c>
      <c r="O2309">
        <v>51.695003891852302</v>
      </c>
      <c r="P2309">
        <v>-0.105268882587662</v>
      </c>
      <c r="Q2309">
        <v>9.7402520414663504E-2</v>
      </c>
      <c r="R2309">
        <v>0.99890973825076801</v>
      </c>
      <c r="S2309" t="s">
        <v>8761</v>
      </c>
      <c r="T2309" t="s">
        <v>12902</v>
      </c>
      <c r="U2309" t="s">
        <v>12902</v>
      </c>
      <c r="V2309" t="s">
        <v>12902</v>
      </c>
      <c r="W2309" t="s">
        <v>15172</v>
      </c>
      <c r="X2309">
        <v>12</v>
      </c>
      <c r="Y2309" t="s">
        <v>21527</v>
      </c>
      <c r="Z2309" t="s">
        <v>27884</v>
      </c>
      <c r="AA2309">
        <v>0.46874550404554222</v>
      </c>
      <c r="AB2309" t="str">
        <f>HYPERLINK("Melting_Curves/meltCurve_P29323_2_EPHB2.pdf", "Melting_Curves/meltCurve_P29323_2_EPHB2.pdf")</f>
        <v>Melting_Curves/meltCurve_P29323_2_EPHB2.pdf</v>
      </c>
    </row>
    <row r="2310" spans="1:28" x14ac:dyDescent="0.25">
      <c r="A2310" t="s">
        <v>2314</v>
      </c>
      <c r="B2310">
        <v>0.99673306730245903</v>
      </c>
      <c r="C2310">
        <v>1.0141011003671101</v>
      </c>
      <c r="D2310">
        <v>0.649563942583959</v>
      </c>
      <c r="E2310">
        <v>0.20747622603517599</v>
      </c>
      <c r="F2310">
        <v>0.13600076701813099</v>
      </c>
      <c r="G2310">
        <v>8.3312450266650406E-2</v>
      </c>
      <c r="H2310">
        <v>5.9292393542506899E-2</v>
      </c>
      <c r="I2310">
        <v>4.47170288604508E-2</v>
      </c>
      <c r="J2310">
        <v>4.3207769251083702E-2</v>
      </c>
      <c r="K2310">
        <v>3.49033750402679E-2</v>
      </c>
      <c r="L2310">
        <v>1486.37342982463</v>
      </c>
      <c r="M2310">
        <v>31.701402401415699</v>
      </c>
      <c r="N2310">
        <v>47.0843591943907</v>
      </c>
      <c r="O2310">
        <v>46.701289286726301</v>
      </c>
      <c r="P2310">
        <v>-0.15912972410364601</v>
      </c>
      <c r="Q2310">
        <v>6.2309712825479098E-2</v>
      </c>
      <c r="R2310">
        <v>0.99404414484034997</v>
      </c>
      <c r="S2310" t="s">
        <v>8762</v>
      </c>
      <c r="T2310" t="s">
        <v>12902</v>
      </c>
      <c r="U2310" t="s">
        <v>12902</v>
      </c>
      <c r="V2310" t="s">
        <v>12902</v>
      </c>
      <c r="W2310" t="s">
        <v>15173</v>
      </c>
      <c r="X2310">
        <v>22</v>
      </c>
      <c r="Y2310" t="s">
        <v>21528</v>
      </c>
      <c r="Z2310" t="s">
        <v>27885</v>
      </c>
      <c r="AA2310">
        <v>0.2825603400495062</v>
      </c>
      <c r="AB2310" t="str">
        <f>HYPERLINK("Melting_Curves/meltCurve_P29350_PTPN6.pdf", "Melting_Curves/meltCurve_P29350_PTPN6.pdf")</f>
        <v>Melting_Curves/meltCurve_P29350_PTPN6.pdf</v>
      </c>
    </row>
    <row r="2311" spans="1:28" x14ac:dyDescent="0.25">
      <c r="A2311" t="s">
        <v>2315</v>
      </c>
      <c r="B2311">
        <v>0.99673306730245903</v>
      </c>
      <c r="C2311">
        <v>0.99507882993548402</v>
      </c>
      <c r="D2311">
        <v>0.91176226771093305</v>
      </c>
      <c r="E2311">
        <v>0.82511983842779402</v>
      </c>
      <c r="F2311">
        <v>0.57968001900890098</v>
      </c>
      <c r="G2311">
        <v>0.35394768187454001</v>
      </c>
      <c r="H2311">
        <v>0.155234769279992</v>
      </c>
      <c r="I2311">
        <v>0.101751105068211</v>
      </c>
      <c r="J2311">
        <v>0.10277012320721</v>
      </c>
      <c r="K2311">
        <v>8.2167095455641506E-2</v>
      </c>
      <c r="L2311">
        <v>882.57944318402599</v>
      </c>
      <c r="M2311">
        <v>16.365237230420899</v>
      </c>
      <c r="N2311">
        <v>54.282139108667401</v>
      </c>
      <c r="O2311">
        <v>53.144160762671198</v>
      </c>
      <c r="P2311">
        <v>-7.3114753863572093E-2</v>
      </c>
      <c r="Q2311">
        <v>5.0342303632734599E-2</v>
      </c>
      <c r="R2311">
        <v>0.99802337464290902</v>
      </c>
      <c r="S2311" t="s">
        <v>8763</v>
      </c>
      <c r="T2311" t="s">
        <v>12902</v>
      </c>
      <c r="U2311" t="s">
        <v>12902</v>
      </c>
      <c r="V2311" t="s">
        <v>12902</v>
      </c>
      <c r="W2311" t="s">
        <v>15174</v>
      </c>
      <c r="X2311">
        <v>9</v>
      </c>
      <c r="Y2311" t="s">
        <v>21529</v>
      </c>
      <c r="Z2311" t="s">
        <v>27886</v>
      </c>
      <c r="AA2311">
        <v>0.50875162278466346</v>
      </c>
      <c r="AB2311" t="str">
        <f>HYPERLINK("Melting_Curves/meltCurve_P29353_2_SHC1.pdf", "Melting_Curves/meltCurve_P29353_2_SHC1.pdf")</f>
        <v>Melting_Curves/meltCurve_P29353_2_SHC1.pdf</v>
      </c>
    </row>
    <row r="2312" spans="1:28" x14ac:dyDescent="0.25">
      <c r="A2312" t="s">
        <v>2316</v>
      </c>
      <c r="B2312">
        <v>0.99673306730245903</v>
      </c>
      <c r="C2312">
        <v>0.98929500713497798</v>
      </c>
      <c r="D2312">
        <v>0.89210640960390197</v>
      </c>
      <c r="E2312">
        <v>0.69799148712933301</v>
      </c>
      <c r="F2312">
        <v>0.237739624362273</v>
      </c>
      <c r="G2312">
        <v>0.11388632467933101</v>
      </c>
      <c r="H2312">
        <v>6.9365366140269405E-2</v>
      </c>
      <c r="I2312">
        <v>5.74532322667562E-2</v>
      </c>
      <c r="J2312">
        <v>5.6744859850348099E-2</v>
      </c>
      <c r="K2312">
        <v>5.1985093826022399E-2</v>
      </c>
      <c r="L2312">
        <v>1370.56172730754</v>
      </c>
      <c r="M2312">
        <v>27.018177053342999</v>
      </c>
      <c r="N2312">
        <v>50.9430874647786</v>
      </c>
      <c r="O2312">
        <v>50.451943542036403</v>
      </c>
      <c r="P2312">
        <v>-0.126646202896392</v>
      </c>
      <c r="Q2312">
        <v>5.40466613534865E-2</v>
      </c>
      <c r="R2312">
        <v>0.99720318395492702</v>
      </c>
      <c r="S2312" t="s">
        <v>8764</v>
      </c>
      <c r="T2312" t="s">
        <v>12902</v>
      </c>
      <c r="U2312" t="s">
        <v>12902</v>
      </c>
      <c r="V2312" t="s">
        <v>12902</v>
      </c>
      <c r="W2312" t="s">
        <v>15175</v>
      </c>
      <c r="X2312">
        <v>7</v>
      </c>
      <c r="Y2312" t="s">
        <v>21530</v>
      </c>
      <c r="Z2312" t="s">
        <v>27887</v>
      </c>
      <c r="AA2312">
        <v>0.3996024572884021</v>
      </c>
      <c r="AB2312" t="str">
        <f>HYPERLINK("Melting_Curves/meltCurve_P29372_5_MPG.pdf", "Melting_Curves/meltCurve_P29372_5_MPG.pdf")</f>
        <v>Melting_Curves/meltCurve_P29372_5_MPG.pdf</v>
      </c>
    </row>
    <row r="2313" spans="1:28" x14ac:dyDescent="0.25">
      <c r="A2313" t="s">
        <v>2317</v>
      </c>
      <c r="B2313">
        <v>0.99673306730245903</v>
      </c>
      <c r="C2313">
        <v>0.92335188956764203</v>
      </c>
      <c r="D2313">
        <v>0.89968710366500404</v>
      </c>
      <c r="E2313">
        <v>0.63876245239567697</v>
      </c>
      <c r="F2313">
        <v>0.22563658185781699</v>
      </c>
      <c r="G2313">
        <v>0.12871625314851101</v>
      </c>
      <c r="H2313">
        <v>7.9806873607272205E-2</v>
      </c>
      <c r="I2313">
        <v>6.6588627610923101E-2</v>
      </c>
      <c r="J2313">
        <v>7.8263784055813898E-2</v>
      </c>
      <c r="K2313">
        <v>6.6333416742183002E-2</v>
      </c>
      <c r="L2313">
        <v>1259.81670822714</v>
      </c>
      <c r="M2313">
        <v>25.0579767585985</v>
      </c>
      <c r="N2313">
        <v>50.566915353518198</v>
      </c>
      <c r="O2313">
        <v>49.959156012330403</v>
      </c>
      <c r="P2313">
        <v>-0.116978853276531</v>
      </c>
      <c r="Q2313">
        <v>6.7109562121448196E-2</v>
      </c>
      <c r="R2313">
        <v>0.99573923105485596</v>
      </c>
      <c r="S2313" t="s">
        <v>8765</v>
      </c>
      <c r="T2313" t="s">
        <v>12902</v>
      </c>
      <c r="U2313" t="s">
        <v>12902</v>
      </c>
      <c r="V2313" t="s">
        <v>12902</v>
      </c>
      <c r="W2313" t="s">
        <v>15176</v>
      </c>
      <c r="X2313">
        <v>9</v>
      </c>
      <c r="Y2313" t="s">
        <v>21531</v>
      </c>
      <c r="Z2313" t="s">
        <v>27888</v>
      </c>
      <c r="AA2313">
        <v>0.39498116917504361</v>
      </c>
      <c r="AB2313" t="str">
        <f>HYPERLINK("Melting_Curves/meltCurve_P29373_CRABP2.pdf", "Melting_Curves/meltCurve_P29373_CRABP2.pdf")</f>
        <v>Melting_Curves/meltCurve_P29373_CRABP2.pdf</v>
      </c>
    </row>
    <row r="2314" spans="1:28" x14ac:dyDescent="0.25">
      <c r="A2314" t="s">
        <v>2318</v>
      </c>
      <c r="B2314">
        <v>0.99673306730245903</v>
      </c>
      <c r="C2314">
        <v>0.95026454535628802</v>
      </c>
      <c r="D2314">
        <v>0.98874759384209399</v>
      </c>
      <c r="E2314">
        <v>0.83983880444783399</v>
      </c>
      <c r="F2314">
        <v>0.488170105403195</v>
      </c>
      <c r="G2314">
        <v>0.32515438810699998</v>
      </c>
      <c r="H2314">
        <v>0.242076470598239</v>
      </c>
      <c r="I2314">
        <v>0.2217753582476</v>
      </c>
      <c r="J2314">
        <v>0.20979923800665101</v>
      </c>
      <c r="K2314">
        <v>0.204934653898523</v>
      </c>
      <c r="L2314">
        <v>1317.3709360851601</v>
      </c>
      <c r="M2314">
        <v>25.2803416521275</v>
      </c>
      <c r="N2314">
        <v>53.292373677178098</v>
      </c>
      <c r="O2314">
        <v>51.787715908622701</v>
      </c>
      <c r="P2314">
        <v>-9.5852594056146101E-2</v>
      </c>
      <c r="Q2314">
        <v>0.21458001929706799</v>
      </c>
      <c r="R2314">
        <v>0.99673865740715195</v>
      </c>
      <c r="S2314" t="s">
        <v>8766</v>
      </c>
      <c r="T2314" t="s">
        <v>12902</v>
      </c>
      <c r="U2314" t="s">
        <v>12902</v>
      </c>
      <c r="V2314" t="s">
        <v>12902</v>
      </c>
      <c r="W2314" t="s">
        <v>15177</v>
      </c>
      <c r="X2314">
        <v>3</v>
      </c>
      <c r="Y2314" t="s">
        <v>21532</v>
      </c>
      <c r="Z2314" t="s">
        <v>27889</v>
      </c>
      <c r="AA2314">
        <v>0.53866618235513919</v>
      </c>
      <c r="AB2314" t="str">
        <f>HYPERLINK("Melting_Curves/meltCurve_P29400_COL4A5.pdf", "Melting_Curves/meltCurve_P29400_COL4A5.pdf")</f>
        <v>Melting_Curves/meltCurve_P29400_COL4A5.pdf</v>
      </c>
    </row>
    <row r="2315" spans="1:28" x14ac:dyDescent="0.25">
      <c r="A2315" t="s">
        <v>2319</v>
      </c>
      <c r="B2315">
        <v>0.99673306730245903</v>
      </c>
      <c r="C2315">
        <v>0.79996175442028095</v>
      </c>
      <c r="D2315">
        <v>1.1806568949640801</v>
      </c>
      <c r="E2315">
        <v>1.0156997609512699</v>
      </c>
      <c r="F2315">
        <v>0.85746351246540697</v>
      </c>
      <c r="G2315">
        <v>0.74141566730437303</v>
      </c>
      <c r="H2315">
        <v>0.58822787713231905</v>
      </c>
      <c r="I2315">
        <v>0.61696218431532901</v>
      </c>
      <c r="J2315">
        <v>0.54310919441025696</v>
      </c>
      <c r="K2315">
        <v>0.18930504400235501</v>
      </c>
      <c r="L2315">
        <v>635.80201095810401</v>
      </c>
      <c r="M2315">
        <v>9.8146116463280393</v>
      </c>
      <c r="N2315">
        <v>64.781158092618696</v>
      </c>
      <c r="O2315">
        <v>62.263612631256002</v>
      </c>
      <c r="P2315">
        <v>-3.9428088606321098E-2</v>
      </c>
      <c r="Q2315">
        <v>0</v>
      </c>
      <c r="R2315">
        <v>0.81963191496604804</v>
      </c>
      <c r="S2315" t="s">
        <v>8767</v>
      </c>
      <c r="T2315" t="s">
        <v>12902</v>
      </c>
      <c r="U2315" t="s">
        <v>12902</v>
      </c>
      <c r="V2315" t="s">
        <v>12902</v>
      </c>
      <c r="W2315" t="s">
        <v>15178</v>
      </c>
      <c r="X2315">
        <v>51</v>
      </c>
      <c r="Y2315" t="s">
        <v>21533</v>
      </c>
      <c r="Z2315" t="s">
        <v>27890</v>
      </c>
      <c r="AA2315">
        <v>0.77278754970270469</v>
      </c>
      <c r="AB2315" t="str">
        <f>HYPERLINK("Melting_Curves/meltCurve_P29401_TKT.pdf", "Melting_Curves/meltCurve_P29401_TKT.pdf")</f>
        <v>Melting_Curves/meltCurve_P29401_TKT.pdf</v>
      </c>
    </row>
    <row r="2316" spans="1:28" x14ac:dyDescent="0.25">
      <c r="A2316" t="s">
        <v>2320</v>
      </c>
      <c r="B2316">
        <v>0.99673306730245903</v>
      </c>
      <c r="C2316">
        <v>0.94311966526222701</v>
      </c>
      <c r="D2316">
        <v>0.72619328139685202</v>
      </c>
      <c r="E2316">
        <v>0.43726636100125899</v>
      </c>
      <c r="F2316">
        <v>0.28771360648612498</v>
      </c>
      <c r="G2316">
        <v>0.20833853995252199</v>
      </c>
      <c r="H2316">
        <v>0.167883884102662</v>
      </c>
      <c r="I2316">
        <v>0.21167386338285499</v>
      </c>
      <c r="J2316">
        <v>0.256898237831092</v>
      </c>
      <c r="K2316">
        <v>0.202205759566917</v>
      </c>
      <c r="L2316">
        <v>1043.3640877943501</v>
      </c>
      <c r="M2316">
        <v>21.967858730145799</v>
      </c>
      <c r="N2316">
        <v>48.670742384490303</v>
      </c>
      <c r="O2316">
        <v>47.1066880613538</v>
      </c>
      <c r="P2316">
        <v>-9.2583521105676095E-2</v>
      </c>
      <c r="Q2316">
        <v>0.20589304840226</v>
      </c>
      <c r="R2316">
        <v>0.99419680748860395</v>
      </c>
      <c r="S2316" t="s">
        <v>8768</v>
      </c>
      <c r="T2316" t="s">
        <v>12902</v>
      </c>
      <c r="U2316" t="s">
        <v>12902</v>
      </c>
      <c r="V2316" t="s">
        <v>12902</v>
      </c>
      <c r="W2316" t="s">
        <v>15179</v>
      </c>
      <c r="X2316">
        <v>7</v>
      </c>
      <c r="Y2316" t="s">
        <v>21534</v>
      </c>
      <c r="Z2316" t="s">
        <v>27891</v>
      </c>
      <c r="AA2316">
        <v>0.41360862889295191</v>
      </c>
      <c r="AB2316" t="str">
        <f>HYPERLINK("Melting_Curves/meltCurve_P29590_11_PML.pdf", "Melting_Curves/meltCurve_P29590_11_PML.pdf")</f>
        <v>Melting_Curves/meltCurve_P29590_11_PML.pdf</v>
      </c>
    </row>
    <row r="2317" spans="1:28" x14ac:dyDescent="0.25">
      <c r="A2317" t="s">
        <v>2321</v>
      </c>
      <c r="B2317">
        <v>0.99673306730245903</v>
      </c>
      <c r="C2317">
        <v>0.97252556757393205</v>
      </c>
      <c r="D2317">
        <v>1.0361238261372601</v>
      </c>
      <c r="E2317">
        <v>0.98960854577179502</v>
      </c>
      <c r="F2317">
        <v>0.91770893754026095</v>
      </c>
      <c r="G2317">
        <v>0.95040118012361097</v>
      </c>
      <c r="H2317">
        <v>0.983418758589374</v>
      </c>
      <c r="I2317">
        <v>2.2395822714896099</v>
      </c>
      <c r="J2317">
        <v>1.41276492563233</v>
      </c>
      <c r="K2317">
        <v>2.4862548420129</v>
      </c>
      <c r="L2317">
        <v>15000</v>
      </c>
      <c r="M2317">
        <v>242.300322126162</v>
      </c>
      <c r="O2317">
        <v>61.902427698072003</v>
      </c>
      <c r="P2317">
        <v>0.489278716763341</v>
      </c>
      <c r="Q2317">
        <v>1.5</v>
      </c>
      <c r="R2317">
        <v>0.49300608624801401</v>
      </c>
      <c r="S2317" t="s">
        <v>8769</v>
      </c>
      <c r="T2317" t="s">
        <v>12902</v>
      </c>
      <c r="U2317" t="s">
        <v>12902</v>
      </c>
      <c r="V2317" t="s">
        <v>12902</v>
      </c>
      <c r="W2317" t="s">
        <v>15180</v>
      </c>
      <c r="X2317">
        <v>12</v>
      </c>
      <c r="Y2317" t="s">
        <v>21535</v>
      </c>
      <c r="Z2317" t="s">
        <v>27892</v>
      </c>
      <c r="AA2317">
        <v>1.1348314209928121</v>
      </c>
      <c r="AB2317" t="str">
        <f>HYPERLINK("Melting_Curves/meltCurve_P29966_MARCKS.pdf", "Melting_Curves/meltCurve_P29966_MARCKS.pdf")</f>
        <v>Melting_Curves/meltCurve_P29966_MARCKS.pdf</v>
      </c>
    </row>
    <row r="2318" spans="1:28" x14ac:dyDescent="0.25">
      <c r="A2318" t="s">
        <v>2322</v>
      </c>
      <c r="B2318">
        <v>0.99673306730245903</v>
      </c>
      <c r="C2318">
        <v>0.99084674288011898</v>
      </c>
      <c r="D2318">
        <v>0.89664486995741599</v>
      </c>
      <c r="E2318">
        <v>0.71479958395971299</v>
      </c>
      <c r="F2318">
        <v>0.25471802585368702</v>
      </c>
      <c r="G2318">
        <v>0.15732016931010701</v>
      </c>
      <c r="H2318">
        <v>8.9451578721540997E-2</v>
      </c>
      <c r="I2318">
        <v>7.2922126081582994E-2</v>
      </c>
      <c r="J2318">
        <v>7.7437273864520803E-2</v>
      </c>
      <c r="K2318">
        <v>6.8192226402902303E-2</v>
      </c>
      <c r="L2318">
        <v>1353.89133900511</v>
      </c>
      <c r="M2318">
        <v>26.647938794545801</v>
      </c>
      <c r="N2318">
        <v>51.118823051240497</v>
      </c>
      <c r="O2318">
        <v>50.523061274123599</v>
      </c>
      <c r="P2318">
        <v>-0.121958695197373</v>
      </c>
      <c r="Q2318">
        <v>7.5100837487607E-2</v>
      </c>
      <c r="R2318">
        <v>0.99628958217813501</v>
      </c>
      <c r="S2318" t="s">
        <v>8770</v>
      </c>
      <c r="T2318" t="s">
        <v>12902</v>
      </c>
      <c r="U2318" t="s">
        <v>12902</v>
      </c>
      <c r="V2318" t="s">
        <v>12902</v>
      </c>
      <c r="W2318" t="s">
        <v>15181</v>
      </c>
      <c r="X2318">
        <v>11</v>
      </c>
      <c r="Y2318" t="s">
        <v>21536</v>
      </c>
      <c r="Z2318" t="s">
        <v>27893</v>
      </c>
      <c r="AA2318">
        <v>0.41561457597754592</v>
      </c>
      <c r="AB2318" t="str">
        <f>HYPERLINK("Melting_Curves/meltCurve_P29992_GNA11.pdf", "Melting_Curves/meltCurve_P29992_GNA11.pdf")</f>
        <v>Melting_Curves/meltCurve_P29992_GNA11.pdf</v>
      </c>
    </row>
    <row r="2319" spans="1:28" x14ac:dyDescent="0.25">
      <c r="A2319" t="s">
        <v>2323</v>
      </c>
      <c r="B2319">
        <v>0.99673306730245903</v>
      </c>
      <c r="C2319">
        <v>0.91465634966275999</v>
      </c>
      <c r="D2319">
        <v>0.84524618057868095</v>
      </c>
      <c r="E2319">
        <v>0.75987691568409299</v>
      </c>
      <c r="F2319">
        <v>0.28948505887815901</v>
      </c>
      <c r="G2319">
        <v>0.104301221395445</v>
      </c>
      <c r="H2319">
        <v>5.91544694029566E-2</v>
      </c>
      <c r="I2319">
        <v>5.5457140577881502E-2</v>
      </c>
      <c r="J2319">
        <v>6.5968923220186104E-2</v>
      </c>
      <c r="K2319">
        <v>5.6028596452119397E-2</v>
      </c>
      <c r="L2319">
        <v>1254.96414192814</v>
      </c>
      <c r="M2319">
        <v>24.5206242746081</v>
      </c>
      <c r="N2319">
        <v>51.380490446486398</v>
      </c>
      <c r="O2319">
        <v>50.8431862166385</v>
      </c>
      <c r="P2319">
        <v>-0.115069517749657</v>
      </c>
      <c r="Q2319">
        <v>4.5633439402179003E-2</v>
      </c>
      <c r="R2319">
        <v>0.98639482894445696</v>
      </c>
      <c r="S2319" t="s">
        <v>8771</v>
      </c>
      <c r="T2319" t="s">
        <v>12902</v>
      </c>
      <c r="U2319" t="s">
        <v>12902</v>
      </c>
      <c r="V2319" t="s">
        <v>12902</v>
      </c>
      <c r="W2319" t="s">
        <v>15182</v>
      </c>
      <c r="X2319">
        <v>18</v>
      </c>
      <c r="Y2319" t="s">
        <v>21537</v>
      </c>
      <c r="Z2319" t="s">
        <v>27894</v>
      </c>
      <c r="AA2319">
        <v>0.41026436866129018</v>
      </c>
      <c r="AB2319" t="str">
        <f>HYPERLINK("Melting_Curves/meltCurve_P30038_ALDH4A1.pdf", "Melting_Curves/meltCurve_P30038_ALDH4A1.pdf")</f>
        <v>Melting_Curves/meltCurve_P30038_ALDH4A1.pdf</v>
      </c>
    </row>
    <row r="2320" spans="1:28" x14ac:dyDescent="0.25">
      <c r="A2320" t="s">
        <v>2324</v>
      </c>
      <c r="B2320">
        <v>0.99673306730245903</v>
      </c>
      <c r="C2320">
        <v>0.91976750908758098</v>
      </c>
      <c r="D2320">
        <v>0.92148283573158796</v>
      </c>
      <c r="E2320">
        <v>0.99755930234497203</v>
      </c>
      <c r="F2320">
        <v>0.58558345334078898</v>
      </c>
      <c r="G2320">
        <v>0.36436597301611101</v>
      </c>
      <c r="H2320">
        <v>0.251130734936165</v>
      </c>
      <c r="I2320">
        <v>0.28227899856963301</v>
      </c>
      <c r="J2320">
        <v>0.35506991616531203</v>
      </c>
      <c r="K2320">
        <v>0.321802712669575</v>
      </c>
      <c r="L2320">
        <v>2676.6947052560299</v>
      </c>
      <c r="M2320">
        <v>50.682087252088202</v>
      </c>
      <c r="N2320">
        <v>53.841852847602702</v>
      </c>
      <c r="O2320">
        <v>52.731396967196602</v>
      </c>
      <c r="P2320">
        <v>-0.165774050507148</v>
      </c>
      <c r="Q2320">
        <v>0.31009232232746198</v>
      </c>
      <c r="R2320">
        <v>0.97773612945356003</v>
      </c>
      <c r="S2320" t="s">
        <v>8772</v>
      </c>
      <c r="T2320" t="s">
        <v>12902</v>
      </c>
      <c r="U2320" t="s">
        <v>12902</v>
      </c>
      <c r="V2320" t="s">
        <v>12902</v>
      </c>
      <c r="W2320" t="s">
        <v>15183</v>
      </c>
      <c r="X2320">
        <v>16</v>
      </c>
      <c r="Y2320" t="s">
        <v>21538</v>
      </c>
      <c r="Z2320" t="s">
        <v>27895</v>
      </c>
      <c r="AA2320">
        <v>0.60632555257240073</v>
      </c>
      <c r="AB2320" t="str">
        <f>HYPERLINK("Melting_Curves/meltCurve_P30040_ERP29.pdf", "Melting_Curves/meltCurve_P30040_ERP29.pdf")</f>
        <v>Melting_Curves/meltCurve_P30040_ERP29.pdf</v>
      </c>
    </row>
    <row r="2321" spans="1:28" x14ac:dyDescent="0.25">
      <c r="A2321" t="s">
        <v>2325</v>
      </c>
      <c r="B2321">
        <v>0.99673306730245903</v>
      </c>
      <c r="C2321">
        <v>1.0105929296770899</v>
      </c>
      <c r="D2321">
        <v>1.0525763451854999</v>
      </c>
      <c r="E2321">
        <v>1.1002185968729501</v>
      </c>
      <c r="F2321">
        <v>0.81598550111474299</v>
      </c>
      <c r="G2321">
        <v>0.28345077914728301</v>
      </c>
      <c r="H2321">
        <v>9.1179774910536401E-2</v>
      </c>
      <c r="I2321">
        <v>7.6050248656034602E-2</v>
      </c>
      <c r="J2321">
        <v>7.3208613374790399E-2</v>
      </c>
      <c r="K2321">
        <v>6.3001182078141899E-2</v>
      </c>
      <c r="L2321">
        <v>2314.4109878674499</v>
      </c>
      <c r="M2321">
        <v>42.004102230098098</v>
      </c>
      <c r="N2321">
        <v>55.302589743576704</v>
      </c>
      <c r="O2321">
        <v>54.975193705298203</v>
      </c>
      <c r="P2321">
        <v>-0.17737076216080799</v>
      </c>
      <c r="Q2321">
        <v>7.1426373034962201E-2</v>
      </c>
      <c r="R2321">
        <v>0.99247138399942003</v>
      </c>
      <c r="S2321" t="s">
        <v>8773</v>
      </c>
      <c r="T2321" t="s">
        <v>12902</v>
      </c>
      <c r="U2321" t="s">
        <v>12902</v>
      </c>
      <c r="V2321" t="s">
        <v>12902</v>
      </c>
      <c r="W2321" t="s">
        <v>15184</v>
      </c>
      <c r="X2321">
        <v>22</v>
      </c>
      <c r="Y2321" t="s">
        <v>21539</v>
      </c>
      <c r="Z2321" t="s">
        <v>27896</v>
      </c>
      <c r="AA2321">
        <v>0.54199364495758173</v>
      </c>
      <c r="AB2321" t="str">
        <f>HYPERLINK("Melting_Curves/meltCurve_P30041_PRDX6.pdf", "Melting_Curves/meltCurve_P30041_PRDX6.pdf")</f>
        <v>Melting_Curves/meltCurve_P30041_PRDX6.pdf</v>
      </c>
    </row>
    <row r="2322" spans="1:28" x14ac:dyDescent="0.25">
      <c r="A2322" t="s">
        <v>2326</v>
      </c>
      <c r="B2322">
        <v>0.99673306730245903</v>
      </c>
      <c r="C2322">
        <v>1.0285122444038901</v>
      </c>
      <c r="D2322">
        <v>1.0337688116780599</v>
      </c>
      <c r="E2322">
        <v>0.99834886025263603</v>
      </c>
      <c r="F2322">
        <v>0.95566534089616595</v>
      </c>
      <c r="G2322">
        <v>0.81900061618388698</v>
      </c>
      <c r="H2322">
        <v>0.70141239163052505</v>
      </c>
      <c r="I2322">
        <v>0.89768373378270605</v>
      </c>
      <c r="J2322">
        <v>1.1642626199986901</v>
      </c>
      <c r="K2322">
        <v>0.85365731042545101</v>
      </c>
      <c r="L2322">
        <v>13323.1159423954</v>
      </c>
      <c r="M2322">
        <v>250</v>
      </c>
      <c r="O2322">
        <v>53.289053408225598</v>
      </c>
      <c r="P2322">
        <v>-0.13229342621299101</v>
      </c>
      <c r="Q2322">
        <v>0.88720333685789399</v>
      </c>
      <c r="R2322">
        <v>0.22820667619684301</v>
      </c>
      <c r="S2322" t="s">
        <v>8774</v>
      </c>
      <c r="T2322" t="s">
        <v>12902</v>
      </c>
      <c r="U2322" t="s">
        <v>12902</v>
      </c>
      <c r="V2322" t="s">
        <v>12902</v>
      </c>
      <c r="W2322" t="s">
        <v>15185</v>
      </c>
      <c r="X2322">
        <v>19</v>
      </c>
      <c r="Y2322" t="s">
        <v>21540</v>
      </c>
      <c r="Z2322" t="s">
        <v>27897</v>
      </c>
      <c r="AA2322">
        <v>0.93719207171308383</v>
      </c>
      <c r="AB2322" t="str">
        <f>HYPERLINK("Melting_Curves/meltCurve_P30042_C21orf33.pdf", "Melting_Curves/meltCurve_P30042_C21orf33.pdf")</f>
        <v>Melting_Curves/meltCurve_P30042_C21orf33.pdf</v>
      </c>
    </row>
    <row r="2323" spans="1:28" x14ac:dyDescent="0.25">
      <c r="A2323" t="s">
        <v>2327</v>
      </c>
      <c r="B2323">
        <v>0.99673306730245903</v>
      </c>
      <c r="C2323">
        <v>0.99345193977809898</v>
      </c>
      <c r="D2323">
        <v>0.92394869733214802</v>
      </c>
      <c r="E2323">
        <v>0.72593460328200998</v>
      </c>
      <c r="F2323">
        <v>0.25407978423378502</v>
      </c>
      <c r="G2323">
        <v>0.245594950887525</v>
      </c>
      <c r="H2323">
        <v>0.110388605598411</v>
      </c>
      <c r="I2323">
        <v>0.13087649747270499</v>
      </c>
      <c r="J2323">
        <v>0.200182790656875</v>
      </c>
      <c r="K2323">
        <v>0.17018639794503401</v>
      </c>
      <c r="L2323">
        <v>1750.5423032066899</v>
      </c>
      <c r="M2323">
        <v>34.672394636599101</v>
      </c>
      <c r="N2323">
        <v>51.068382510737699</v>
      </c>
      <c r="O2323">
        <v>50.321015590488201</v>
      </c>
      <c r="P2323">
        <v>-0.14420982588313999</v>
      </c>
      <c r="Q2323">
        <v>0.16282020079738799</v>
      </c>
      <c r="R2323">
        <v>0.98985745324365404</v>
      </c>
      <c r="S2323" t="s">
        <v>8775</v>
      </c>
      <c r="T2323" t="s">
        <v>12902</v>
      </c>
      <c r="U2323" t="s">
        <v>12902</v>
      </c>
      <c r="V2323" t="s">
        <v>12902</v>
      </c>
      <c r="W2323" t="s">
        <v>15186</v>
      </c>
      <c r="X2323">
        <v>5</v>
      </c>
      <c r="Y2323" t="s">
        <v>21541</v>
      </c>
      <c r="Z2323" t="s">
        <v>27898</v>
      </c>
      <c r="AA2323">
        <v>0.45939873257569958</v>
      </c>
      <c r="AB2323" t="str">
        <f>HYPERLINK("Melting_Curves/meltCurve_P30043_BLVRB.pdf", "Melting_Curves/meltCurve_P30043_BLVRB.pdf")</f>
        <v>Melting_Curves/meltCurve_P30043_BLVRB.pdf</v>
      </c>
    </row>
    <row r="2324" spans="1:28" x14ac:dyDescent="0.25">
      <c r="A2324" t="s">
        <v>2328</v>
      </c>
      <c r="B2324">
        <v>0.99673306730245903</v>
      </c>
      <c r="C2324">
        <v>1.0499378780962501</v>
      </c>
      <c r="D2324">
        <v>1.0207497144706801</v>
      </c>
      <c r="E2324">
        <v>0.98780563196601401</v>
      </c>
      <c r="F2324">
        <v>0.90293579462600604</v>
      </c>
      <c r="G2324">
        <v>0.76464513603509998</v>
      </c>
      <c r="H2324">
        <v>0.39239566709336998</v>
      </c>
      <c r="I2324">
        <v>0.156786878691658</v>
      </c>
      <c r="J2324">
        <v>0.123513463848691</v>
      </c>
      <c r="K2324">
        <v>0.10255168877251999</v>
      </c>
      <c r="L2324">
        <v>1461.09121927962</v>
      </c>
      <c r="M2324">
        <v>24.7227088588246</v>
      </c>
      <c r="N2324">
        <v>59.459832684871799</v>
      </c>
      <c r="O2324">
        <v>58.716548778977199</v>
      </c>
      <c r="P2324">
        <v>-9.7934744191891299E-2</v>
      </c>
      <c r="Q2324">
        <v>6.9631079687646993E-2</v>
      </c>
      <c r="R2324">
        <v>0.99568121785904895</v>
      </c>
      <c r="S2324" t="s">
        <v>8776</v>
      </c>
      <c r="T2324" t="s">
        <v>12902</v>
      </c>
      <c r="U2324" t="s">
        <v>12902</v>
      </c>
      <c r="V2324" t="s">
        <v>12902</v>
      </c>
      <c r="W2324" t="s">
        <v>15187</v>
      </c>
      <c r="X2324">
        <v>15</v>
      </c>
      <c r="Y2324" t="s">
        <v>21542</v>
      </c>
      <c r="Z2324" t="s">
        <v>27899</v>
      </c>
      <c r="AA2324">
        <v>0.66960154540797034</v>
      </c>
      <c r="AB2324" t="str">
        <f>HYPERLINK("Melting_Curves/meltCurve_P30044_PRDX5.pdf", "Melting_Curves/meltCurve_P30044_PRDX5.pdf")</f>
        <v>Melting_Curves/meltCurve_P30044_PRDX5.pdf</v>
      </c>
    </row>
    <row r="2325" spans="1:28" x14ac:dyDescent="0.25">
      <c r="A2325" t="s">
        <v>2329</v>
      </c>
      <c r="B2325">
        <v>0.99673306730245903</v>
      </c>
      <c r="C2325">
        <v>1.0146605161261699</v>
      </c>
      <c r="D2325">
        <v>0.990066990036371</v>
      </c>
      <c r="E2325">
        <v>0.90565111384125097</v>
      </c>
      <c r="F2325">
        <v>0.86353948055475904</v>
      </c>
      <c r="G2325">
        <v>0.90508967652477501</v>
      </c>
      <c r="H2325">
        <v>0.68899409976520798</v>
      </c>
      <c r="I2325">
        <v>1.0009201912193999</v>
      </c>
      <c r="J2325">
        <v>1.00705675944351</v>
      </c>
      <c r="K2325">
        <v>0.93754300131169199</v>
      </c>
      <c r="L2325">
        <v>3411.1564154982998</v>
      </c>
      <c r="M2325">
        <v>71.922022358130306</v>
      </c>
      <c r="O2325">
        <v>47.391911542348801</v>
      </c>
      <c r="P2325">
        <v>-3.7689608820759501E-2</v>
      </c>
      <c r="Q2325">
        <v>0.90066006779415697</v>
      </c>
      <c r="R2325">
        <v>0.231144733455735</v>
      </c>
      <c r="S2325" t="s">
        <v>8777</v>
      </c>
      <c r="T2325" t="s">
        <v>12902</v>
      </c>
      <c r="U2325" t="s">
        <v>12902</v>
      </c>
      <c r="V2325" t="s">
        <v>12902</v>
      </c>
      <c r="W2325" t="s">
        <v>15188</v>
      </c>
      <c r="X2325">
        <v>15</v>
      </c>
      <c r="Y2325" t="s">
        <v>21543</v>
      </c>
      <c r="Z2325" t="s">
        <v>27900</v>
      </c>
      <c r="AA2325">
        <v>0.92535857367713781</v>
      </c>
      <c r="AB2325" t="str">
        <f>HYPERLINK("Melting_Curves/meltCurve_P30046_DDT.pdf", "Melting_Curves/meltCurve_P30046_DDT.pdf")</f>
        <v>Melting_Curves/meltCurve_P30046_DDT.pdf</v>
      </c>
    </row>
    <row r="2326" spans="1:28" x14ac:dyDescent="0.25">
      <c r="A2326" t="s">
        <v>2330</v>
      </c>
      <c r="B2326">
        <v>0.99673306730245903</v>
      </c>
      <c r="C2326">
        <v>1.03585900266015</v>
      </c>
      <c r="D2326">
        <v>1.2147109113126699</v>
      </c>
      <c r="E2326">
        <v>1.2431013392011501</v>
      </c>
      <c r="F2326">
        <v>1.0762732685344301</v>
      </c>
      <c r="G2326">
        <v>0.85964051757420701</v>
      </c>
      <c r="H2326">
        <v>0.67501653767807501</v>
      </c>
      <c r="I2326">
        <v>1.1478153490788601</v>
      </c>
      <c r="J2326">
        <v>1.2575079916674201</v>
      </c>
      <c r="K2326">
        <v>1.27777558790963</v>
      </c>
      <c r="L2326">
        <v>15000</v>
      </c>
      <c r="M2326">
        <v>234.584772708027</v>
      </c>
      <c r="O2326">
        <v>63.938125919194398</v>
      </c>
      <c r="P2326">
        <v>0.245493251688295</v>
      </c>
      <c r="Q2326">
        <v>1.26764529120811</v>
      </c>
      <c r="R2326">
        <v>0.303383232837377</v>
      </c>
      <c r="S2326" t="s">
        <v>8778</v>
      </c>
      <c r="T2326" t="s">
        <v>12902</v>
      </c>
      <c r="U2326" t="s">
        <v>12902</v>
      </c>
      <c r="V2326" t="s">
        <v>12902</v>
      </c>
      <c r="W2326" t="s">
        <v>15189</v>
      </c>
      <c r="X2326">
        <v>8</v>
      </c>
      <c r="Y2326" t="s">
        <v>21544</v>
      </c>
      <c r="Z2326" t="s">
        <v>27901</v>
      </c>
      <c r="AA2326">
        <v>1.054005529759678</v>
      </c>
      <c r="AB2326" t="str">
        <f>HYPERLINK("Melting_Curves/meltCurve_P30047_GCHFR.pdf", "Melting_Curves/meltCurve_P30047_GCHFR.pdf")</f>
        <v>Melting_Curves/meltCurve_P30047_GCHFR.pdf</v>
      </c>
    </row>
    <row r="2327" spans="1:28" x14ac:dyDescent="0.25">
      <c r="A2327" t="s">
        <v>2331</v>
      </c>
      <c r="B2327">
        <v>0.99673306730245903</v>
      </c>
      <c r="C2327">
        <v>0.98023624432478695</v>
      </c>
      <c r="D2327">
        <v>0.94319674997127401</v>
      </c>
      <c r="E2327">
        <v>0.88162461393611102</v>
      </c>
      <c r="F2327">
        <v>0.75673767127122604</v>
      </c>
      <c r="G2327">
        <v>0.70484365432024199</v>
      </c>
      <c r="H2327">
        <v>0.73144437605036905</v>
      </c>
      <c r="I2327">
        <v>0.971435405716083</v>
      </c>
      <c r="J2327">
        <v>0.94303659513257898</v>
      </c>
      <c r="K2327">
        <v>0.731779113192357</v>
      </c>
      <c r="L2327">
        <v>1510.2102622260099</v>
      </c>
      <c r="M2327">
        <v>31.672131171742699</v>
      </c>
      <c r="O2327">
        <v>47.493733686743099</v>
      </c>
      <c r="P2327">
        <v>-3.1862720260946699E-2</v>
      </c>
      <c r="Q2327">
        <v>0.80888285829347195</v>
      </c>
      <c r="R2327">
        <v>0.43382812050498598</v>
      </c>
      <c r="S2327" t="s">
        <v>8779</v>
      </c>
      <c r="T2327" t="s">
        <v>12902</v>
      </c>
      <c r="U2327" t="s">
        <v>12902</v>
      </c>
      <c r="V2327" t="s">
        <v>12902</v>
      </c>
      <c r="W2327" t="s">
        <v>15190</v>
      </c>
      <c r="X2327">
        <v>3</v>
      </c>
      <c r="Y2327" t="s">
        <v>21545</v>
      </c>
      <c r="Z2327" t="s">
        <v>27902</v>
      </c>
      <c r="AA2327">
        <v>0.85884964164321309</v>
      </c>
      <c r="AB2327" t="str">
        <f>HYPERLINK("Melting_Curves/meltCurve_P30049_ATP5D.pdf", "Melting_Curves/meltCurve_P30049_ATP5D.pdf")</f>
        <v>Melting_Curves/meltCurve_P30049_ATP5D.pdf</v>
      </c>
    </row>
    <row r="2328" spans="1:28" x14ac:dyDescent="0.25">
      <c r="A2328" t="s">
        <v>2332</v>
      </c>
      <c r="B2328">
        <v>0.99673306730245903</v>
      </c>
      <c r="C2328">
        <v>0.97466888945309205</v>
      </c>
      <c r="D2328">
        <v>0.73701117699289997</v>
      </c>
      <c r="E2328">
        <v>0.51401315547028104</v>
      </c>
      <c r="F2328">
        <v>0.54383657551750797</v>
      </c>
      <c r="G2328">
        <v>0.396593398408501</v>
      </c>
      <c r="H2328">
        <v>0.30349845950453902</v>
      </c>
      <c r="I2328">
        <v>0.195491694591231</v>
      </c>
      <c r="J2328">
        <v>0.23348257466772801</v>
      </c>
      <c r="K2328">
        <v>0.20918865399509801</v>
      </c>
      <c r="L2328">
        <v>551.06234040516904</v>
      </c>
      <c r="M2328">
        <v>10.977151333726701</v>
      </c>
      <c r="N2328">
        <v>52.321326085827302</v>
      </c>
      <c r="O2328">
        <v>48.621099897578901</v>
      </c>
      <c r="P2328">
        <v>-4.6323881653765803E-2</v>
      </c>
      <c r="Q2328">
        <v>0.179549516421974</v>
      </c>
      <c r="R2328">
        <v>0.96103850137623703</v>
      </c>
      <c r="S2328" t="s">
        <v>8780</v>
      </c>
      <c r="T2328" t="s">
        <v>12902</v>
      </c>
      <c r="U2328" t="s">
        <v>12902</v>
      </c>
      <c r="V2328" t="s">
        <v>12902</v>
      </c>
      <c r="W2328" t="s">
        <v>15191</v>
      </c>
      <c r="X2328">
        <v>7</v>
      </c>
      <c r="Y2328" t="s">
        <v>21546</v>
      </c>
      <c r="Z2328" t="s">
        <v>27903</v>
      </c>
      <c r="AA2328">
        <v>0.49057567571881511</v>
      </c>
      <c r="AB2328" t="str">
        <f>HYPERLINK("Melting_Curves/meltCurve_P30050_RPL12.pdf", "Melting_Curves/meltCurve_P30050_RPL12.pdf")</f>
        <v>Melting_Curves/meltCurve_P30050_RPL12.pdf</v>
      </c>
    </row>
    <row r="2329" spans="1:28" x14ac:dyDescent="0.25">
      <c r="A2329" t="s">
        <v>2333</v>
      </c>
      <c r="B2329">
        <v>0.99673306730245903</v>
      </c>
      <c r="C2329">
        <v>0.804539702034339</v>
      </c>
      <c r="D2329">
        <v>1.0264430854511499</v>
      </c>
      <c r="E2329">
        <v>1.1846312927390701</v>
      </c>
      <c r="F2329">
        <v>0.43832116710445301</v>
      </c>
      <c r="G2329">
        <v>0.11509359586277999</v>
      </c>
      <c r="H2329">
        <v>5.9379619760093198E-2</v>
      </c>
      <c r="I2329">
        <v>4.5991683719501998E-2</v>
      </c>
      <c r="J2329">
        <v>4.9229604664955399E-2</v>
      </c>
      <c r="K2329">
        <v>4.2323628767263199E-2</v>
      </c>
      <c r="L2329">
        <v>12691.1839466579</v>
      </c>
      <c r="M2329">
        <v>238.95764918832199</v>
      </c>
      <c r="N2329">
        <v>53.140260589697803</v>
      </c>
      <c r="O2329">
        <v>53.106893451603803</v>
      </c>
      <c r="P2329">
        <v>-1.05469309313922</v>
      </c>
      <c r="Q2329">
        <v>6.2403587233649298E-2</v>
      </c>
      <c r="R2329">
        <v>0.96251855531286701</v>
      </c>
      <c r="S2329" t="s">
        <v>8781</v>
      </c>
      <c r="T2329" t="s">
        <v>12902</v>
      </c>
      <c r="U2329" t="s">
        <v>12902</v>
      </c>
      <c r="V2329" t="s">
        <v>12902</v>
      </c>
      <c r="W2329" t="s">
        <v>15192</v>
      </c>
      <c r="X2329">
        <v>16</v>
      </c>
      <c r="Y2329" t="s">
        <v>21547</v>
      </c>
      <c r="Z2329" t="s">
        <v>27904</v>
      </c>
      <c r="AA2329">
        <v>0.47224760567355928</v>
      </c>
      <c r="AB2329" t="str">
        <f>HYPERLINK("Melting_Curves/meltCurve_P30084_ECHS1.pdf", "Melting_Curves/meltCurve_P30084_ECHS1.pdf")</f>
        <v>Melting_Curves/meltCurve_P30084_ECHS1.pdf</v>
      </c>
    </row>
    <row r="2330" spans="1:28" x14ac:dyDescent="0.25">
      <c r="A2330" t="s">
        <v>2334</v>
      </c>
      <c r="B2330">
        <v>0.99673306730245903</v>
      </c>
      <c r="C2330">
        <v>0.77245118426464099</v>
      </c>
      <c r="D2330">
        <v>1.26079881748974</v>
      </c>
      <c r="E2330">
        <v>0.80648317926664104</v>
      </c>
      <c r="F2330">
        <v>0.27816722803176502</v>
      </c>
      <c r="G2330">
        <v>0.13159351571575101</v>
      </c>
      <c r="H2330">
        <v>7.4298753229903897E-2</v>
      </c>
      <c r="I2330">
        <v>7.7210065240544995E-2</v>
      </c>
      <c r="J2330">
        <v>8.9131181141783505E-2</v>
      </c>
      <c r="K2330">
        <v>7.9984464181120402E-2</v>
      </c>
      <c r="L2330">
        <v>2113.8745809197899</v>
      </c>
      <c r="M2330">
        <v>41.123783915237098</v>
      </c>
      <c r="N2330">
        <v>51.643476374834798</v>
      </c>
      <c r="O2330">
        <v>51.281625249819299</v>
      </c>
      <c r="P2330">
        <v>-0.18299361721451299</v>
      </c>
      <c r="Q2330">
        <v>8.7224816957498993E-2</v>
      </c>
      <c r="R2330">
        <v>0.93279291063016401</v>
      </c>
      <c r="S2330" t="s">
        <v>8782</v>
      </c>
      <c r="T2330" t="s">
        <v>12902</v>
      </c>
      <c r="U2330" t="s">
        <v>12902</v>
      </c>
      <c r="V2330" t="s">
        <v>12902</v>
      </c>
      <c r="W2330" t="s">
        <v>15193</v>
      </c>
      <c r="X2330">
        <v>14</v>
      </c>
      <c r="Y2330" t="s">
        <v>21548</v>
      </c>
      <c r="Z2330" t="s">
        <v>27905</v>
      </c>
      <c r="AA2330">
        <v>0.43722889926838959</v>
      </c>
      <c r="AB2330" t="str">
        <f>HYPERLINK("Melting_Curves/meltCurve_P30085_CMPK1.pdf", "Melting_Curves/meltCurve_P30085_CMPK1.pdf")</f>
        <v>Melting_Curves/meltCurve_P30085_CMPK1.pdf</v>
      </c>
    </row>
    <row r="2331" spans="1:28" x14ac:dyDescent="0.25">
      <c r="A2331" t="s">
        <v>2335</v>
      </c>
      <c r="B2331">
        <v>0.99673306730245903</v>
      </c>
      <c r="C2331">
        <v>1.0090428754269101</v>
      </c>
      <c r="D2331">
        <v>0.90371394511540404</v>
      </c>
      <c r="E2331">
        <v>0.95087574947909603</v>
      </c>
      <c r="F2331">
        <v>0.79387676281596398</v>
      </c>
      <c r="G2331">
        <v>0.73968593563198903</v>
      </c>
      <c r="H2331">
        <v>0.38034232918313099</v>
      </c>
      <c r="I2331">
        <v>0.20900932848787801</v>
      </c>
      <c r="J2331">
        <v>0.17405118334700201</v>
      </c>
      <c r="K2331">
        <v>0.154929840103079</v>
      </c>
      <c r="L2331">
        <v>961.98827800661604</v>
      </c>
      <c r="M2331">
        <v>16.392412285239999</v>
      </c>
      <c r="N2331">
        <v>59.180290456493402</v>
      </c>
      <c r="O2331">
        <v>57.832468575122299</v>
      </c>
      <c r="P2331">
        <v>-6.6324046118037994E-2</v>
      </c>
      <c r="Q2331">
        <v>6.4101185089534704E-2</v>
      </c>
      <c r="R2331">
        <v>0.98147364230983503</v>
      </c>
      <c r="S2331" t="s">
        <v>8783</v>
      </c>
      <c r="T2331" t="s">
        <v>12902</v>
      </c>
      <c r="U2331" t="s">
        <v>12902</v>
      </c>
      <c r="V2331" t="s">
        <v>12902</v>
      </c>
      <c r="W2331" t="s">
        <v>15194</v>
      </c>
      <c r="X2331">
        <v>20</v>
      </c>
      <c r="Y2331" t="s">
        <v>21549</v>
      </c>
      <c r="Z2331" t="s">
        <v>27906</v>
      </c>
      <c r="AA2331">
        <v>0.65778792101057548</v>
      </c>
      <c r="AB2331" t="str">
        <f>HYPERLINK("Melting_Curves/meltCurve_P30086_PEBP1.pdf", "Melting_Curves/meltCurve_P30086_PEBP1.pdf")</f>
        <v>Melting_Curves/meltCurve_P30086_PEBP1.pdf</v>
      </c>
    </row>
    <row r="2332" spans="1:28" x14ac:dyDescent="0.25">
      <c r="A2332" t="s">
        <v>2336</v>
      </c>
      <c r="B2332">
        <v>0.99673306730245903</v>
      </c>
      <c r="C2332">
        <v>1.09595164410242</v>
      </c>
      <c r="D2332">
        <v>0.68618978496246996</v>
      </c>
      <c r="E2332">
        <v>0.51901720088471304</v>
      </c>
      <c r="F2332">
        <v>0.21315526874400101</v>
      </c>
      <c r="G2332">
        <v>0.13323917037855601</v>
      </c>
      <c r="H2332">
        <v>0.100798027987321</v>
      </c>
      <c r="I2332">
        <v>9.0025752385010302E-2</v>
      </c>
      <c r="J2332">
        <v>0.10037437447811599</v>
      </c>
      <c r="K2332">
        <v>7.9884050386806002E-2</v>
      </c>
      <c r="L2332">
        <v>987.94683676508396</v>
      </c>
      <c r="M2332">
        <v>20.250361077772599</v>
      </c>
      <c r="N2332">
        <v>49.241705052640903</v>
      </c>
      <c r="O2332">
        <v>48.318353851233198</v>
      </c>
      <c r="P2332">
        <v>-9.5837219103609206E-2</v>
      </c>
      <c r="Q2332">
        <v>8.5339308446485601E-2</v>
      </c>
      <c r="R2332">
        <v>0.97407708074362898</v>
      </c>
      <c r="S2332" t="s">
        <v>8784</v>
      </c>
      <c r="T2332" t="s">
        <v>12902</v>
      </c>
      <c r="U2332" t="s">
        <v>12902</v>
      </c>
      <c r="V2332" t="s">
        <v>12902</v>
      </c>
      <c r="W2332" t="s">
        <v>15195</v>
      </c>
      <c r="X2332">
        <v>50</v>
      </c>
      <c r="Y2332" t="s">
        <v>20241</v>
      </c>
      <c r="Z2332" t="s">
        <v>27907</v>
      </c>
      <c r="AA2332">
        <v>0.36574869810049271</v>
      </c>
      <c r="AB2332" t="str">
        <f>HYPERLINK("Melting_Curves/meltCurve_P30101_PDIA3.pdf", "Melting_Curves/meltCurve_P30101_PDIA3.pdf")</f>
        <v>Melting_Curves/meltCurve_P30101_PDIA3.pdf</v>
      </c>
    </row>
    <row r="2333" spans="1:28" x14ac:dyDescent="0.25">
      <c r="A2333" t="s">
        <v>2337</v>
      </c>
      <c r="B2333">
        <v>0.99673306730245903</v>
      </c>
      <c r="C2333">
        <v>0.76683739624677105</v>
      </c>
      <c r="D2333">
        <v>1.14376817678844</v>
      </c>
      <c r="E2333">
        <v>1.09890757566054</v>
      </c>
      <c r="F2333">
        <v>0.39888211336919999</v>
      </c>
      <c r="G2333">
        <v>0.14537612631935601</v>
      </c>
      <c r="H2333">
        <v>7.4024393983796705E-2</v>
      </c>
      <c r="I2333">
        <v>7.0018662023909106E-2</v>
      </c>
      <c r="J2333">
        <v>7.3936756144965393E-2</v>
      </c>
      <c r="K2333">
        <v>6.6531665709919696E-2</v>
      </c>
      <c r="L2333">
        <v>11288.4731291835</v>
      </c>
      <c r="M2333">
        <v>212.84223577552299</v>
      </c>
      <c r="N2333">
        <v>53.083873966290398</v>
      </c>
      <c r="O2333">
        <v>53.032127557086703</v>
      </c>
      <c r="P2333">
        <v>-0.91709798797139697</v>
      </c>
      <c r="Q2333">
        <v>8.5977330853057102E-2</v>
      </c>
      <c r="R2333">
        <v>0.95445313680249699</v>
      </c>
      <c r="S2333" t="s">
        <v>8785</v>
      </c>
      <c r="T2333" t="s">
        <v>12902</v>
      </c>
      <c r="U2333" t="s">
        <v>12902</v>
      </c>
      <c r="V2333" t="s">
        <v>12902</v>
      </c>
      <c r="W2333" t="s">
        <v>15196</v>
      </c>
      <c r="X2333">
        <v>31</v>
      </c>
      <c r="Y2333" t="s">
        <v>21550</v>
      </c>
      <c r="Z2333" t="s">
        <v>27908</v>
      </c>
      <c r="AA2333">
        <v>0.48329269769520361</v>
      </c>
      <c r="AB2333" t="str">
        <f>HYPERLINK("Melting_Curves/meltCurve_P30153_PPP2R1A.pdf", "Melting_Curves/meltCurve_P30153_PPP2R1A.pdf")</f>
        <v>Melting_Curves/meltCurve_P30153_PPP2R1A.pdf</v>
      </c>
    </row>
    <row r="2334" spans="1:28" x14ac:dyDescent="0.25">
      <c r="A2334" t="s">
        <v>2338</v>
      </c>
      <c r="B2334">
        <v>0.99673306730245903</v>
      </c>
      <c r="C2334">
        <v>0.87684609458753904</v>
      </c>
      <c r="D2334">
        <v>0.63631603263571501</v>
      </c>
      <c r="E2334">
        <v>0.30677669352912501</v>
      </c>
      <c r="F2334">
        <v>0.210660036541923</v>
      </c>
      <c r="G2334">
        <v>0.13130228891838899</v>
      </c>
      <c r="H2334">
        <v>9.8801019703796303E-2</v>
      </c>
      <c r="I2334">
        <v>0.14889331219336999</v>
      </c>
      <c r="J2334">
        <v>0.19261523028986399</v>
      </c>
      <c r="K2334">
        <v>0.175094133176323</v>
      </c>
      <c r="L2334">
        <v>1070.8967405148501</v>
      </c>
      <c r="M2334">
        <v>23.0254038749237</v>
      </c>
      <c r="N2334">
        <v>47.2318468168951</v>
      </c>
      <c r="O2334">
        <v>46.1628232818207</v>
      </c>
      <c r="P2334">
        <v>-0.106189432433131</v>
      </c>
      <c r="Q2334">
        <v>0.14843435753981099</v>
      </c>
      <c r="R2334">
        <v>0.99272286119775599</v>
      </c>
      <c r="S2334" t="s">
        <v>8786</v>
      </c>
      <c r="T2334" t="s">
        <v>12902</v>
      </c>
      <c r="U2334" t="s">
        <v>12902</v>
      </c>
      <c r="V2334" t="s">
        <v>12902</v>
      </c>
      <c r="W2334" t="s">
        <v>15197</v>
      </c>
      <c r="X2334">
        <v>14</v>
      </c>
      <c r="Y2334" t="s">
        <v>21551</v>
      </c>
      <c r="Z2334" t="s">
        <v>27909</v>
      </c>
      <c r="AA2334">
        <v>0.34248077009841271</v>
      </c>
      <c r="AB2334" t="str">
        <f>HYPERLINK("Melting_Curves/meltCurve_P30154_PPP2R1B.pdf", "Melting_Curves/meltCurve_P30154_PPP2R1B.pdf")</f>
        <v>Melting_Curves/meltCurve_P30154_PPP2R1B.pdf</v>
      </c>
    </row>
    <row r="2335" spans="1:28" x14ac:dyDescent="0.25">
      <c r="A2335" t="s">
        <v>2339</v>
      </c>
      <c r="B2335">
        <v>0.99673306730245903</v>
      </c>
      <c r="C2335">
        <v>0.96001179696515304</v>
      </c>
      <c r="D2335">
        <v>0.97639223912830198</v>
      </c>
      <c r="E2335">
        <v>1.1461140750005101</v>
      </c>
      <c r="F2335">
        <v>0.810872345048818</v>
      </c>
      <c r="G2335">
        <v>0.30010600827771</v>
      </c>
      <c r="H2335">
        <v>0.138182036411512</v>
      </c>
      <c r="I2335">
        <v>0.115508489526247</v>
      </c>
      <c r="J2335">
        <v>8.01320604635785E-2</v>
      </c>
      <c r="K2335">
        <v>6.4671392401956795E-2</v>
      </c>
      <c r="L2335">
        <v>2274.6972906047499</v>
      </c>
      <c r="M2335">
        <v>41.297183899257902</v>
      </c>
      <c r="N2335">
        <v>55.361487634602298</v>
      </c>
      <c r="O2335">
        <v>54.952486773309801</v>
      </c>
      <c r="P2335">
        <v>-0.170151815690428</v>
      </c>
      <c r="Q2335">
        <v>9.4345186602482298E-2</v>
      </c>
      <c r="R2335">
        <v>0.98443933964201102</v>
      </c>
      <c r="S2335" t="s">
        <v>8787</v>
      </c>
      <c r="T2335" t="s">
        <v>12902</v>
      </c>
      <c r="U2335" t="s">
        <v>12902</v>
      </c>
      <c r="V2335" t="s">
        <v>12902</v>
      </c>
      <c r="W2335" t="s">
        <v>15198</v>
      </c>
      <c r="X2335">
        <v>3</v>
      </c>
      <c r="Y2335" t="s">
        <v>21552</v>
      </c>
      <c r="Z2335" t="s">
        <v>27910</v>
      </c>
      <c r="AA2335">
        <v>0.55284670050171736</v>
      </c>
      <c r="AB2335" t="str">
        <f>HYPERLINK("Melting_Curves/meltCurve_P30260_CDC27.pdf", "Melting_Curves/meltCurve_P30260_CDC27.pdf")</f>
        <v>Melting_Curves/meltCurve_P30260_CDC27.pdf</v>
      </c>
    </row>
    <row r="2336" spans="1:28" x14ac:dyDescent="0.25">
      <c r="A2336" t="s">
        <v>2340</v>
      </c>
      <c r="B2336">
        <v>0.99673306730245903</v>
      </c>
      <c r="C2336">
        <v>1.0206967401895599</v>
      </c>
      <c r="D2336">
        <v>0.96760709192612504</v>
      </c>
      <c r="E2336">
        <v>0.82702398393599597</v>
      </c>
      <c r="F2336">
        <v>0.62023036548482002</v>
      </c>
      <c r="G2336">
        <v>0.524622448783432</v>
      </c>
      <c r="H2336">
        <v>0.33556639599249999</v>
      </c>
      <c r="I2336">
        <v>0.236570754589814</v>
      </c>
      <c r="J2336">
        <v>0.16535455926487</v>
      </c>
      <c r="K2336">
        <v>0.10556435169711501</v>
      </c>
      <c r="L2336">
        <v>637.52841001864101</v>
      </c>
      <c r="M2336">
        <v>11.282159614714599</v>
      </c>
      <c r="N2336">
        <v>56.733194379988497</v>
      </c>
      <c r="O2336">
        <v>54.819639980444997</v>
      </c>
      <c r="P2336">
        <v>-5.0338346981117499E-2</v>
      </c>
      <c r="Q2336">
        <v>2.19299112848549E-2</v>
      </c>
      <c r="R2336">
        <v>0.99315301979496895</v>
      </c>
      <c r="S2336" t="s">
        <v>8788</v>
      </c>
      <c r="T2336" t="s">
        <v>12902</v>
      </c>
      <c r="U2336" t="s">
        <v>12902</v>
      </c>
      <c r="V2336" t="s">
        <v>12902</v>
      </c>
      <c r="W2336" t="s">
        <v>15199</v>
      </c>
      <c r="X2336">
        <v>1</v>
      </c>
      <c r="Y2336" t="s">
        <v>21553</v>
      </c>
      <c r="Z2336" t="s">
        <v>27911</v>
      </c>
      <c r="AA2336">
        <v>0.57848554491699489</v>
      </c>
      <c r="AB2336" t="str">
        <f>HYPERLINK("Melting_Curves/meltCurve_P30281_3_CCND3.pdf", "Melting_Curves/meltCurve_P30281_3_CCND3.pdf")</f>
        <v>Melting_Curves/meltCurve_P30281_3_CCND3.pdf</v>
      </c>
    </row>
    <row r="2337" spans="1:28" x14ac:dyDescent="0.25">
      <c r="A2337" t="s">
        <v>2341</v>
      </c>
      <c r="B2337">
        <v>0.99673306730245903</v>
      </c>
      <c r="C2337">
        <v>0.91858378121494599</v>
      </c>
      <c r="D2337">
        <v>0.81871139053026798</v>
      </c>
      <c r="E2337">
        <v>0.68875422435488098</v>
      </c>
      <c r="F2337">
        <v>0.61790031403186696</v>
      </c>
      <c r="G2337">
        <v>0.34364528352648699</v>
      </c>
      <c r="H2337">
        <v>0.12811148692141699</v>
      </c>
      <c r="I2337">
        <v>0.102639106424903</v>
      </c>
      <c r="J2337">
        <v>0.115079027706485</v>
      </c>
      <c r="K2337">
        <v>9.3691301685319806E-2</v>
      </c>
      <c r="L2337">
        <v>608.57340218636796</v>
      </c>
      <c r="M2337">
        <v>11.359793671021199</v>
      </c>
      <c r="N2337">
        <v>53.572574581725</v>
      </c>
      <c r="O2337">
        <v>51.992976083139801</v>
      </c>
      <c r="P2337">
        <v>-5.4638048387699499E-2</v>
      </c>
      <c r="Q2337">
        <v>0</v>
      </c>
      <c r="R2337">
        <v>0.981789538872612</v>
      </c>
      <c r="S2337" t="s">
        <v>8789</v>
      </c>
      <c r="T2337" t="s">
        <v>12902</v>
      </c>
      <c r="U2337" t="s">
        <v>12902</v>
      </c>
      <c r="V2337" t="s">
        <v>12902</v>
      </c>
      <c r="W2337" t="s">
        <v>15200</v>
      </c>
      <c r="X2337">
        <v>7</v>
      </c>
      <c r="Y2337" t="s">
        <v>21554</v>
      </c>
      <c r="Z2337" t="s">
        <v>27912</v>
      </c>
      <c r="AA2337">
        <v>0.48106534118885202</v>
      </c>
      <c r="AB2337" t="str">
        <f>HYPERLINK("Melting_Curves/meltCurve_P30291_WEE1.pdf", "Melting_Curves/meltCurve_P30291_WEE1.pdf")</f>
        <v>Melting_Curves/meltCurve_P30291_WEE1.pdf</v>
      </c>
    </row>
    <row r="2338" spans="1:28" x14ac:dyDescent="0.25">
      <c r="A2338" t="s">
        <v>2342</v>
      </c>
      <c r="B2338">
        <v>0.99673306730245903</v>
      </c>
      <c r="C2338">
        <v>0.97178786794587102</v>
      </c>
      <c r="D2338">
        <v>0.81448122566745296</v>
      </c>
      <c r="E2338">
        <v>0.86099481401568401</v>
      </c>
      <c r="F2338">
        <v>0.35125677444902698</v>
      </c>
      <c r="G2338">
        <v>0.17427055704372399</v>
      </c>
      <c r="H2338">
        <v>0.103380280074383</v>
      </c>
      <c r="I2338">
        <v>9.9109848262069394E-2</v>
      </c>
      <c r="J2338">
        <v>0.101144972419384</v>
      </c>
      <c r="K2338">
        <v>8.5895838893999002E-2</v>
      </c>
      <c r="L2338">
        <v>1501.4139688524101</v>
      </c>
      <c r="M2338">
        <v>28.983825029321601</v>
      </c>
      <c r="N2338">
        <v>52.173856469321599</v>
      </c>
      <c r="O2338">
        <v>51.5570795681123</v>
      </c>
      <c r="P2338">
        <v>-0.12742160511488301</v>
      </c>
      <c r="Q2338">
        <v>9.3365259900035899E-2</v>
      </c>
      <c r="R2338">
        <v>0.97821863162085398</v>
      </c>
      <c r="S2338" t="s">
        <v>8790</v>
      </c>
      <c r="T2338" t="s">
        <v>12902</v>
      </c>
      <c r="U2338" t="s">
        <v>12902</v>
      </c>
      <c r="V2338" t="s">
        <v>12902</v>
      </c>
      <c r="W2338" t="s">
        <v>15201</v>
      </c>
      <c r="X2338">
        <v>16</v>
      </c>
      <c r="Y2338" t="s">
        <v>21555</v>
      </c>
      <c r="Z2338" t="s">
        <v>27913</v>
      </c>
      <c r="AA2338">
        <v>0.45621221546351409</v>
      </c>
      <c r="AB2338" t="str">
        <f>HYPERLINK("Melting_Curves/meltCurve_P30405_PPIF.pdf", "Melting_Curves/meltCurve_P30405_PPIF.pdf")</f>
        <v>Melting_Curves/meltCurve_P30405_PPIF.pdf</v>
      </c>
    </row>
    <row r="2339" spans="1:28" x14ac:dyDescent="0.25">
      <c r="A2339" t="s">
        <v>2343</v>
      </c>
      <c r="B2339">
        <v>0.99673306730245903</v>
      </c>
      <c r="C2339">
        <v>0.96381383119157404</v>
      </c>
      <c r="D2339">
        <v>1.8133242274489001</v>
      </c>
      <c r="E2339">
        <v>1.83696401576941</v>
      </c>
      <c r="F2339">
        <v>0.56783696619464996</v>
      </c>
      <c r="G2339">
        <v>0.30550646083848898</v>
      </c>
      <c r="H2339">
        <v>0.21117649726495999</v>
      </c>
      <c r="I2339">
        <v>0.19754548926876001</v>
      </c>
      <c r="J2339">
        <v>0.30151909668326399</v>
      </c>
      <c r="K2339">
        <v>0.39256473803201303</v>
      </c>
      <c r="L2339">
        <v>13278.0709315408</v>
      </c>
      <c r="M2339">
        <v>250</v>
      </c>
      <c r="N2339">
        <v>53.288903884641798</v>
      </c>
      <c r="O2339">
        <v>53.108883249763402</v>
      </c>
      <c r="P2339">
        <v>-0.845359455133191</v>
      </c>
      <c r="Q2339">
        <v>0.28166243290666498</v>
      </c>
      <c r="R2339">
        <v>0.61137337384796997</v>
      </c>
      <c r="S2339" t="s">
        <v>8791</v>
      </c>
      <c r="T2339" t="s">
        <v>12902</v>
      </c>
      <c r="U2339" t="s">
        <v>12902</v>
      </c>
      <c r="V2339" t="s">
        <v>12902</v>
      </c>
      <c r="W2339" t="s">
        <v>15202</v>
      </c>
      <c r="X2339">
        <v>3</v>
      </c>
      <c r="Y2339" t="s">
        <v>21556</v>
      </c>
      <c r="Z2339" t="s">
        <v>27914</v>
      </c>
      <c r="AA2339">
        <v>0.59569758973212406</v>
      </c>
      <c r="AB2339" t="str">
        <f>HYPERLINK("Melting_Curves/meltCurve_P30414_NKTR.pdf", "Melting_Curves/meltCurve_P30414_NKTR.pdf")</f>
        <v>Melting_Curves/meltCurve_P30414_NKTR.pdf</v>
      </c>
    </row>
    <row r="2340" spans="1:28" x14ac:dyDescent="0.25">
      <c r="A2340" t="s">
        <v>2344</v>
      </c>
      <c r="B2340">
        <v>0.99673306730245903</v>
      </c>
      <c r="C2340">
        <v>0.989058837583634</v>
      </c>
      <c r="D2340">
        <v>0.96476590856452105</v>
      </c>
      <c r="E2340">
        <v>0.92558293510516498</v>
      </c>
      <c r="F2340">
        <v>0.40236624019648098</v>
      </c>
      <c r="G2340">
        <v>0.12611931969857701</v>
      </c>
      <c r="H2340">
        <v>7.4833795145701196E-2</v>
      </c>
      <c r="I2340">
        <v>7.6328271395438102E-2</v>
      </c>
      <c r="J2340">
        <v>9.1268959553510803E-2</v>
      </c>
      <c r="K2340">
        <v>8.1543489971462796E-2</v>
      </c>
      <c r="L2340">
        <v>2170.5727727349199</v>
      </c>
      <c r="M2340">
        <v>41.410166984299899</v>
      </c>
      <c r="N2340">
        <v>52.64332882227</v>
      </c>
      <c r="O2340">
        <v>52.294626747493403</v>
      </c>
      <c r="P2340">
        <v>-0.181785790970769</v>
      </c>
      <c r="Q2340">
        <v>8.1732470642406199E-2</v>
      </c>
      <c r="R2340">
        <v>0.99912846091175</v>
      </c>
      <c r="S2340" t="s">
        <v>8792</v>
      </c>
      <c r="T2340" t="s">
        <v>12902</v>
      </c>
      <c r="U2340" t="s">
        <v>12902</v>
      </c>
      <c r="V2340" t="s">
        <v>12902</v>
      </c>
      <c r="W2340" t="s">
        <v>15203</v>
      </c>
      <c r="X2340">
        <v>20</v>
      </c>
      <c r="Y2340" t="s">
        <v>21557</v>
      </c>
      <c r="Z2340" t="s">
        <v>27915</v>
      </c>
      <c r="AA2340">
        <v>0.46488685528845791</v>
      </c>
      <c r="AB2340" t="str">
        <f>HYPERLINK("Melting_Curves/meltCurve_P30419_NMT1.pdf", "Melting_Curves/meltCurve_P30419_NMT1.pdf")</f>
        <v>Melting_Curves/meltCurve_P30419_NMT1.pdf</v>
      </c>
    </row>
    <row r="2341" spans="1:28" x14ac:dyDescent="0.25">
      <c r="A2341" t="s">
        <v>2345</v>
      </c>
      <c r="B2341">
        <v>0.99673306730245903</v>
      </c>
      <c r="C2341">
        <v>0.94413819245394404</v>
      </c>
      <c r="D2341">
        <v>0.90035604191517205</v>
      </c>
      <c r="E2341">
        <v>0.66856899501061595</v>
      </c>
      <c r="F2341">
        <v>0.42397039219696298</v>
      </c>
      <c r="G2341">
        <v>0.32254152667637898</v>
      </c>
      <c r="H2341">
        <v>0.231896409778521</v>
      </c>
      <c r="I2341">
        <v>0.215620370631288</v>
      </c>
      <c r="J2341">
        <v>0.17297483012291201</v>
      </c>
      <c r="K2341">
        <v>0.135564260410555</v>
      </c>
      <c r="L2341">
        <v>800.50068656108203</v>
      </c>
      <c r="M2341">
        <v>15.6771356414769</v>
      </c>
      <c r="N2341">
        <v>52.321034071786997</v>
      </c>
      <c r="O2341">
        <v>50.2524888182935</v>
      </c>
      <c r="P2341">
        <v>-6.5740194452531001E-2</v>
      </c>
      <c r="Q2341">
        <v>0.157160394722832</v>
      </c>
      <c r="R2341">
        <v>0.99612087581397502</v>
      </c>
      <c r="S2341" t="s">
        <v>8793</v>
      </c>
      <c r="T2341" t="s">
        <v>12902</v>
      </c>
      <c r="U2341" t="s">
        <v>12902</v>
      </c>
      <c r="V2341" t="s">
        <v>12902</v>
      </c>
      <c r="W2341" t="s">
        <v>15204</v>
      </c>
      <c r="X2341">
        <v>23</v>
      </c>
      <c r="Y2341" t="s">
        <v>21339</v>
      </c>
      <c r="Z2341" t="s">
        <v>27916</v>
      </c>
      <c r="AA2341">
        <v>0.48599124081666473</v>
      </c>
      <c r="AB2341" t="str">
        <f>HYPERLINK("Melting_Curves/meltCurve_P30443_HLA_A.pdf", "Melting_Curves/meltCurve_P30443_HLA_A.pdf")</f>
        <v>Melting_Curves/meltCurve_P30443_HLA_A.pdf</v>
      </c>
    </row>
    <row r="2342" spans="1:28" x14ac:dyDescent="0.25">
      <c r="A2342" t="s">
        <v>2346</v>
      </c>
      <c r="B2342">
        <v>0.99673306730245903</v>
      </c>
      <c r="C2342">
        <v>0.98392041936929198</v>
      </c>
      <c r="D2342">
        <v>0.87671368797087001</v>
      </c>
      <c r="E2342">
        <v>0.58678253578641004</v>
      </c>
      <c r="F2342">
        <v>0.31771275945507799</v>
      </c>
      <c r="G2342">
        <v>0.217860795903593</v>
      </c>
      <c r="H2342">
        <v>0.145160923653605</v>
      </c>
      <c r="I2342">
        <v>0.123861273680846</v>
      </c>
      <c r="J2342">
        <v>0.18683809197336099</v>
      </c>
      <c r="K2342">
        <v>0.15721546281689</v>
      </c>
      <c r="L2342">
        <v>1086.8192223449801</v>
      </c>
      <c r="M2342">
        <v>21.842917763104602</v>
      </c>
      <c r="N2342">
        <v>50.582690780918497</v>
      </c>
      <c r="O2342">
        <v>49.344730744801403</v>
      </c>
      <c r="P2342">
        <v>-9.4057181405045195E-2</v>
      </c>
      <c r="Q2342">
        <v>0.15009162246541199</v>
      </c>
      <c r="R2342">
        <v>0.99753446611039098</v>
      </c>
      <c r="S2342" t="s">
        <v>8794</v>
      </c>
      <c r="T2342" t="s">
        <v>12902</v>
      </c>
      <c r="U2342" t="s">
        <v>12902</v>
      </c>
      <c r="V2342" t="s">
        <v>12902</v>
      </c>
      <c r="W2342" t="s">
        <v>15205</v>
      </c>
      <c r="X2342">
        <v>9</v>
      </c>
      <c r="Y2342" t="s">
        <v>19310</v>
      </c>
      <c r="Z2342" t="s">
        <v>27917</v>
      </c>
      <c r="AA2342">
        <v>0.43642858902031351</v>
      </c>
      <c r="AB2342" t="str">
        <f>HYPERLINK("Melting_Curves/meltCurve_P30504_HLA_C.pdf", "Melting_Curves/meltCurve_P30504_HLA_C.pdf")</f>
        <v>Melting_Curves/meltCurve_P30504_HLA_C.pdf</v>
      </c>
    </row>
    <row r="2343" spans="1:28" x14ac:dyDescent="0.25">
      <c r="A2343" t="s">
        <v>2347</v>
      </c>
      <c r="B2343">
        <v>0.99673306730245903</v>
      </c>
      <c r="C2343">
        <v>0.93852129998356304</v>
      </c>
      <c r="D2343">
        <v>0.80385433586838395</v>
      </c>
      <c r="E2343">
        <v>0.60294330864213697</v>
      </c>
      <c r="F2343">
        <v>0.35847710836547803</v>
      </c>
      <c r="G2343">
        <v>0.22282241486878801</v>
      </c>
      <c r="H2343">
        <v>0.211009500622867</v>
      </c>
      <c r="I2343">
        <v>0.208113417931408</v>
      </c>
      <c r="J2343">
        <v>0.24200981308094099</v>
      </c>
      <c r="K2343">
        <v>0.25815711566626398</v>
      </c>
      <c r="L2343">
        <v>937.097344864202</v>
      </c>
      <c r="M2343">
        <v>19.089085499735098</v>
      </c>
      <c r="N2343">
        <v>50.564291953803099</v>
      </c>
      <c r="O2343">
        <v>48.561521104454201</v>
      </c>
      <c r="P2343">
        <v>-7.7310724942272604E-2</v>
      </c>
      <c r="Q2343">
        <v>0.21333489187176799</v>
      </c>
      <c r="R2343">
        <v>0.99226098756983006</v>
      </c>
      <c r="S2343" t="s">
        <v>8795</v>
      </c>
      <c r="T2343" t="s">
        <v>12902</v>
      </c>
      <c r="U2343" t="s">
        <v>12902</v>
      </c>
      <c r="V2343" t="s">
        <v>12902</v>
      </c>
      <c r="W2343" t="s">
        <v>15206</v>
      </c>
      <c r="X2343">
        <v>11</v>
      </c>
      <c r="Y2343" t="s">
        <v>19310</v>
      </c>
      <c r="Z2343" t="s">
        <v>27918</v>
      </c>
      <c r="AA2343">
        <v>0.4638101740492927</v>
      </c>
      <c r="AB2343" t="str">
        <f>HYPERLINK("Melting_Curves/meltCurve_P30508_HLA_C.pdf", "Melting_Curves/meltCurve_P30508_HLA_C.pdf")</f>
        <v>Melting_Curves/meltCurve_P30508_HLA_C.pdf</v>
      </c>
    </row>
    <row r="2344" spans="1:28" x14ac:dyDescent="0.25">
      <c r="A2344" t="s">
        <v>2348</v>
      </c>
      <c r="B2344">
        <v>0.99673306730245903</v>
      </c>
      <c r="C2344">
        <v>0.96798709890854395</v>
      </c>
      <c r="D2344">
        <v>0.73919574240727703</v>
      </c>
      <c r="E2344">
        <v>0.50158382195435702</v>
      </c>
      <c r="F2344">
        <v>0.253229495991872</v>
      </c>
      <c r="G2344">
        <v>0.18743475991441599</v>
      </c>
      <c r="H2344">
        <v>0.14605331397569199</v>
      </c>
      <c r="I2344">
        <v>0.12541403853366501</v>
      </c>
      <c r="J2344">
        <v>0.103207981187007</v>
      </c>
      <c r="K2344">
        <v>7.9480865973604403E-2</v>
      </c>
      <c r="L2344">
        <v>865.55303962731796</v>
      </c>
      <c r="M2344">
        <v>17.7418021260779</v>
      </c>
      <c r="N2344">
        <v>49.424511588102398</v>
      </c>
      <c r="O2344">
        <v>48.178943720654999</v>
      </c>
      <c r="P2344">
        <v>-8.2638687247447995E-2</v>
      </c>
      <c r="Q2344">
        <v>0.102405295714305</v>
      </c>
      <c r="R2344">
        <v>0.99594641197309497</v>
      </c>
      <c r="S2344" t="s">
        <v>8796</v>
      </c>
      <c r="T2344" t="s">
        <v>12902</v>
      </c>
      <c r="U2344" t="s">
        <v>12902</v>
      </c>
      <c r="V2344" t="s">
        <v>12902</v>
      </c>
      <c r="W2344" t="s">
        <v>15207</v>
      </c>
      <c r="X2344">
        <v>24</v>
      </c>
      <c r="Y2344" t="s">
        <v>21558</v>
      </c>
      <c r="Z2344" t="s">
        <v>27919</v>
      </c>
      <c r="AA2344">
        <v>0.38135669817340101</v>
      </c>
      <c r="AB2344" t="str">
        <f>HYPERLINK("Melting_Curves/meltCurve_P30519_HMOX2.pdf", "Melting_Curves/meltCurve_P30519_HMOX2.pdf")</f>
        <v>Melting_Curves/meltCurve_P30519_HMOX2.pdf</v>
      </c>
    </row>
    <row r="2345" spans="1:28" x14ac:dyDescent="0.25">
      <c r="A2345" t="s">
        <v>2349</v>
      </c>
      <c r="B2345">
        <v>0.99673306730245903</v>
      </c>
      <c r="C2345">
        <v>1.00832840982537</v>
      </c>
      <c r="D2345">
        <v>1.02531813657403</v>
      </c>
      <c r="E2345">
        <v>1.0158563306986399</v>
      </c>
      <c r="F2345">
        <v>0.93094164040523197</v>
      </c>
      <c r="G2345">
        <v>0.72912505025429797</v>
      </c>
      <c r="H2345">
        <v>0.34050522502764102</v>
      </c>
      <c r="I2345">
        <v>0.12649096097353099</v>
      </c>
      <c r="J2345">
        <v>0.11978936095649</v>
      </c>
      <c r="K2345">
        <v>0.102146797906394</v>
      </c>
      <c r="L2345">
        <v>1634.6745903303499</v>
      </c>
      <c r="M2345">
        <v>27.910771551292299</v>
      </c>
      <c r="N2345">
        <v>58.9495887910251</v>
      </c>
      <c r="O2345">
        <v>58.269706727796198</v>
      </c>
      <c r="P2345">
        <v>-0.109849687634048</v>
      </c>
      <c r="Q2345">
        <v>8.2669260345192105E-2</v>
      </c>
      <c r="R2345">
        <v>0.99795341166401796</v>
      </c>
      <c r="S2345" t="s">
        <v>8797</v>
      </c>
      <c r="T2345" t="s">
        <v>12902</v>
      </c>
      <c r="U2345" t="s">
        <v>12902</v>
      </c>
      <c r="V2345" t="s">
        <v>12902</v>
      </c>
      <c r="W2345" t="s">
        <v>15208</v>
      </c>
      <c r="X2345">
        <v>24</v>
      </c>
      <c r="Y2345" t="s">
        <v>21559</v>
      </c>
      <c r="Z2345" t="s">
        <v>27920</v>
      </c>
      <c r="AA2345">
        <v>0.65708460892412102</v>
      </c>
      <c r="AB2345" t="str">
        <f>HYPERLINK("Melting_Curves/meltCurve_P30520_ADSS.pdf", "Melting_Curves/meltCurve_P30520_ADSS.pdf")</f>
        <v>Melting_Curves/meltCurve_P30520_ADSS.pdf</v>
      </c>
    </row>
    <row r="2346" spans="1:28" x14ac:dyDescent="0.25">
      <c r="A2346" t="s">
        <v>2350</v>
      </c>
      <c r="B2346">
        <v>0.99673306730245903</v>
      </c>
      <c r="C2346">
        <v>1.0126303139506401</v>
      </c>
      <c r="D2346">
        <v>0.98337803752198505</v>
      </c>
      <c r="E2346">
        <v>0.94804979099314102</v>
      </c>
      <c r="F2346">
        <v>0.790527843294488</v>
      </c>
      <c r="G2346">
        <v>0.656682166378591</v>
      </c>
      <c r="H2346">
        <v>0.49240142309264101</v>
      </c>
      <c r="I2346">
        <v>0.73870983449655103</v>
      </c>
      <c r="J2346">
        <v>1.04053998629136</v>
      </c>
      <c r="K2346">
        <v>1.0625232551227899</v>
      </c>
      <c r="L2346">
        <v>12452.9729291474</v>
      </c>
      <c r="M2346">
        <v>250</v>
      </c>
      <c r="O2346">
        <v>49.808704047161001</v>
      </c>
      <c r="P2346">
        <v>-0.25485328026253301</v>
      </c>
      <c r="Q2346">
        <v>0.79689741428732197</v>
      </c>
      <c r="R2346">
        <v>0.260949093696006</v>
      </c>
      <c r="S2346" t="s">
        <v>8798</v>
      </c>
      <c r="T2346" t="s">
        <v>12902</v>
      </c>
      <c r="U2346" t="s">
        <v>12902</v>
      </c>
      <c r="V2346" t="s">
        <v>12902</v>
      </c>
      <c r="W2346" t="s">
        <v>15209</v>
      </c>
      <c r="X2346">
        <v>26</v>
      </c>
      <c r="Y2346" t="s">
        <v>21560</v>
      </c>
      <c r="Z2346" t="s">
        <v>27921</v>
      </c>
      <c r="AA2346">
        <v>0.8633425219438966</v>
      </c>
      <c r="AB2346" t="str">
        <f>HYPERLINK("Melting_Curves/meltCurve_P30533_LRPAP1.pdf", "Melting_Curves/meltCurve_P30533_LRPAP1.pdf")</f>
        <v>Melting_Curves/meltCurve_P30533_LRPAP1.pdf</v>
      </c>
    </row>
    <row r="2347" spans="1:28" x14ac:dyDescent="0.25">
      <c r="A2347" t="s">
        <v>2351</v>
      </c>
      <c r="B2347">
        <v>0.99673306730245903</v>
      </c>
      <c r="C2347">
        <v>0.97720745423509003</v>
      </c>
      <c r="D2347">
        <v>1.06658994385685</v>
      </c>
      <c r="E2347">
        <v>1.1431124969465301</v>
      </c>
      <c r="F2347">
        <v>1.1578069442189201</v>
      </c>
      <c r="G2347">
        <v>1.0996741366326499</v>
      </c>
      <c r="H2347">
        <v>0.90419821459000904</v>
      </c>
      <c r="I2347">
        <v>0.11542584698712</v>
      </c>
      <c r="J2347">
        <v>0.10291228087401399</v>
      </c>
      <c r="K2347">
        <v>7.4681870311744294E-2</v>
      </c>
      <c r="L2347">
        <v>6861.1530247227502</v>
      </c>
      <c r="M2347">
        <v>110.705473124626</v>
      </c>
      <c r="N2347">
        <v>62.086173650251098</v>
      </c>
      <c r="O2347">
        <v>61.956421086952098</v>
      </c>
      <c r="P2347">
        <v>-0.40708381394498999</v>
      </c>
      <c r="Q2347">
        <v>8.8700690882217798E-2</v>
      </c>
      <c r="R2347">
        <v>0.96896219765222402</v>
      </c>
      <c r="S2347" t="s">
        <v>8799</v>
      </c>
      <c r="T2347" t="s">
        <v>12902</v>
      </c>
      <c r="U2347" t="s">
        <v>12902</v>
      </c>
      <c r="V2347" t="s">
        <v>12902</v>
      </c>
      <c r="W2347" t="s">
        <v>15210</v>
      </c>
      <c r="X2347">
        <v>25</v>
      </c>
      <c r="Y2347" t="s">
        <v>21561</v>
      </c>
      <c r="Z2347" t="s">
        <v>27922</v>
      </c>
      <c r="AA2347">
        <v>0.75678306094958492</v>
      </c>
      <c r="AB2347" t="str">
        <f>HYPERLINK("Melting_Curves/meltCurve_P30566_ADSL.pdf", "Melting_Curves/meltCurve_P30566_ADSL.pdf")</f>
        <v>Melting_Curves/meltCurve_P30566_ADSL.pdf</v>
      </c>
    </row>
    <row r="2348" spans="1:28" x14ac:dyDescent="0.25">
      <c r="A2348" t="s">
        <v>2352</v>
      </c>
      <c r="B2348">
        <v>0.99673306730245903</v>
      </c>
      <c r="C2348">
        <v>0.99052078156257894</v>
      </c>
      <c r="D2348">
        <v>0.97064510864967801</v>
      </c>
      <c r="E2348">
        <v>0.84738665798338597</v>
      </c>
      <c r="F2348">
        <v>0.59046235867348396</v>
      </c>
      <c r="G2348">
        <v>0.36848408169444202</v>
      </c>
      <c r="H2348">
        <v>0.23830673684814299</v>
      </c>
      <c r="I2348">
        <v>0.33785429428314201</v>
      </c>
      <c r="J2348">
        <v>0.54143848871522604</v>
      </c>
      <c r="K2348">
        <v>0.56819343204281803</v>
      </c>
      <c r="L2348">
        <v>1725.7610071803499</v>
      </c>
      <c r="M2348">
        <v>33.584429528413601</v>
      </c>
      <c r="N2348">
        <v>54.167790160741603</v>
      </c>
      <c r="O2348">
        <v>51.204584092883799</v>
      </c>
      <c r="P2348">
        <v>-9.6595733634318906E-2</v>
      </c>
      <c r="Q2348">
        <v>0.41090274442279001</v>
      </c>
      <c r="R2348">
        <v>0.88677712624976202</v>
      </c>
      <c r="S2348" t="s">
        <v>8800</v>
      </c>
      <c r="T2348" t="s">
        <v>12902</v>
      </c>
      <c r="U2348" t="s">
        <v>12902</v>
      </c>
      <c r="V2348" t="s">
        <v>12902</v>
      </c>
      <c r="W2348" t="s">
        <v>15211</v>
      </c>
      <c r="X2348">
        <v>34</v>
      </c>
      <c r="Y2348" t="s">
        <v>21562</v>
      </c>
      <c r="Z2348" t="s">
        <v>27923</v>
      </c>
      <c r="AA2348">
        <v>0.63745324210844967</v>
      </c>
      <c r="AB2348" t="str">
        <f>HYPERLINK("Melting_Curves/meltCurve_P30622_2_CLIP1.pdf", "Melting_Curves/meltCurve_P30622_2_CLIP1.pdf")</f>
        <v>Melting_Curves/meltCurve_P30622_2_CLIP1.pdf</v>
      </c>
    </row>
    <row r="2349" spans="1:28" x14ac:dyDescent="0.25">
      <c r="A2349" t="s">
        <v>2353</v>
      </c>
      <c r="B2349">
        <v>0.99673306730245903</v>
      </c>
      <c r="C2349">
        <v>1.0053394638190301</v>
      </c>
      <c r="D2349">
        <v>0.97927995909190801</v>
      </c>
      <c r="E2349">
        <v>0.91216980971802097</v>
      </c>
      <c r="F2349">
        <v>0.86377700699162197</v>
      </c>
      <c r="G2349">
        <v>0.801586649593931</v>
      </c>
      <c r="H2349">
        <v>0.65811557494765704</v>
      </c>
      <c r="I2349">
        <v>0.88159163748955305</v>
      </c>
      <c r="J2349">
        <v>1.0804479203951101</v>
      </c>
      <c r="K2349">
        <v>0.69083870905514</v>
      </c>
      <c r="L2349">
        <v>1503.09651827374</v>
      </c>
      <c r="M2349">
        <v>30.2714624024321</v>
      </c>
      <c r="O2349">
        <v>49.4387319518585</v>
      </c>
      <c r="P2349">
        <v>-2.6822156888857002E-2</v>
      </c>
      <c r="Q2349">
        <v>0.82477951517583603</v>
      </c>
      <c r="R2349">
        <v>0.325032070474433</v>
      </c>
      <c r="S2349" t="s">
        <v>8801</v>
      </c>
      <c r="T2349" t="s">
        <v>12902</v>
      </c>
      <c r="U2349" t="s">
        <v>12902</v>
      </c>
      <c r="V2349" t="s">
        <v>12902</v>
      </c>
      <c r="W2349" t="s">
        <v>15212</v>
      </c>
      <c r="X2349">
        <v>9</v>
      </c>
      <c r="Y2349" t="s">
        <v>21563</v>
      </c>
      <c r="Z2349" t="s">
        <v>27924</v>
      </c>
      <c r="AA2349">
        <v>0.88222318897636431</v>
      </c>
      <c r="AB2349" t="str">
        <f>HYPERLINK("Melting_Curves/meltCurve_P30711_GSTT1.pdf", "Melting_Curves/meltCurve_P30711_GSTT1.pdf")</f>
        <v>Melting_Curves/meltCurve_P30711_GSTT1.pdf</v>
      </c>
    </row>
    <row r="2350" spans="1:28" x14ac:dyDescent="0.25">
      <c r="A2350" t="s">
        <v>2354</v>
      </c>
      <c r="B2350">
        <v>0.99673306730245903</v>
      </c>
      <c r="C2350">
        <v>0.99873909462261601</v>
      </c>
      <c r="D2350">
        <v>0.95129502702327895</v>
      </c>
      <c r="E2350">
        <v>0.97623066462658004</v>
      </c>
      <c r="F2350">
        <v>0.431670157087513</v>
      </c>
      <c r="G2350">
        <v>0.16049794077784801</v>
      </c>
      <c r="H2350">
        <v>8.4215138572947004E-2</v>
      </c>
      <c r="I2350">
        <v>7.0570569562858704E-2</v>
      </c>
      <c r="J2350">
        <v>7.1974311289152895E-2</v>
      </c>
      <c r="K2350">
        <v>6.1735660372113602E-2</v>
      </c>
      <c r="L2350">
        <v>2358.7966084207401</v>
      </c>
      <c r="M2350">
        <v>44.7599052521172</v>
      </c>
      <c r="N2350">
        <v>52.906792665190302</v>
      </c>
      <c r="O2350">
        <v>52.594030058597902</v>
      </c>
      <c r="P2350">
        <v>-0.19560246501077899</v>
      </c>
      <c r="Q2350">
        <v>8.0650090071356401E-2</v>
      </c>
      <c r="R2350">
        <v>0.99671050831838803</v>
      </c>
      <c r="S2350" t="s">
        <v>8802</v>
      </c>
      <c r="T2350" t="s">
        <v>12902</v>
      </c>
      <c r="U2350" t="s">
        <v>12902</v>
      </c>
      <c r="V2350" t="s">
        <v>12902</v>
      </c>
      <c r="W2350" t="s">
        <v>15213</v>
      </c>
      <c r="X2350">
        <v>20</v>
      </c>
      <c r="Y2350" t="s">
        <v>21564</v>
      </c>
      <c r="Z2350" t="s">
        <v>27925</v>
      </c>
      <c r="AA2350">
        <v>0.47247650378537309</v>
      </c>
      <c r="AB2350" t="str">
        <f>HYPERLINK("Melting_Curves/meltCurve_P30740_SERPINB1.pdf", "Melting_Curves/meltCurve_P30740_SERPINB1.pdf")</f>
        <v>Melting_Curves/meltCurve_P30740_SERPINB1.pdf</v>
      </c>
    </row>
    <row r="2351" spans="1:28" x14ac:dyDescent="0.25">
      <c r="A2351" t="s">
        <v>2355</v>
      </c>
      <c r="B2351">
        <v>0.99673306730245903</v>
      </c>
      <c r="C2351">
        <v>0.95668705303389201</v>
      </c>
      <c r="D2351">
        <v>0.94292819338155798</v>
      </c>
      <c r="E2351">
        <v>0.81753693904810298</v>
      </c>
      <c r="F2351">
        <v>0.83813463413507405</v>
      </c>
      <c r="G2351">
        <v>0.78125386474031799</v>
      </c>
      <c r="H2351">
        <v>0.80038873420461498</v>
      </c>
      <c r="I2351">
        <v>0.93836384806826101</v>
      </c>
      <c r="J2351">
        <v>0.61663264632314496</v>
      </c>
      <c r="K2351">
        <v>0.401651729515909</v>
      </c>
      <c r="L2351">
        <v>375.24849602800703</v>
      </c>
      <c r="M2351">
        <v>5.0709016260303201</v>
      </c>
      <c r="O2351">
        <v>64.796199945138397</v>
      </c>
      <c r="P2351">
        <v>-1.9679052555925901E-2</v>
      </c>
      <c r="Q2351">
        <v>0</v>
      </c>
      <c r="R2351">
        <v>0.63083749538888201</v>
      </c>
      <c r="S2351" t="s">
        <v>8803</v>
      </c>
      <c r="T2351" t="s">
        <v>12902</v>
      </c>
      <c r="U2351" t="s">
        <v>12902</v>
      </c>
      <c r="V2351" t="s">
        <v>12902</v>
      </c>
      <c r="W2351" t="s">
        <v>15214</v>
      </c>
      <c r="X2351">
        <v>7</v>
      </c>
      <c r="Y2351" t="s">
        <v>21565</v>
      </c>
      <c r="Z2351" t="s">
        <v>27926</v>
      </c>
      <c r="AA2351">
        <v>0.82582926105838039</v>
      </c>
      <c r="AB2351" t="str">
        <f>HYPERLINK("Melting_Curves/meltCurve_P30825_SLC7A1.pdf", "Melting_Curves/meltCurve_P30825_SLC7A1.pdf")</f>
        <v>Melting_Curves/meltCurve_P30825_SLC7A1.pdf</v>
      </c>
    </row>
    <row r="2352" spans="1:28" x14ac:dyDescent="0.25">
      <c r="A2352" t="s">
        <v>2356</v>
      </c>
      <c r="B2352">
        <v>0.99673306730245903</v>
      </c>
      <c r="C2352">
        <v>0.92103489979837205</v>
      </c>
      <c r="D2352">
        <v>0.96533377898284001</v>
      </c>
      <c r="E2352">
        <v>1.0081516580399199</v>
      </c>
      <c r="F2352">
        <v>0.65073752761951797</v>
      </c>
      <c r="G2352">
        <v>0.23320250379295199</v>
      </c>
      <c r="H2352">
        <v>0.114534564074545</v>
      </c>
      <c r="I2352">
        <v>9.0543517703022006E-2</v>
      </c>
      <c r="J2352">
        <v>8.6773416494539499E-2</v>
      </c>
      <c r="K2352">
        <v>7.1561012547295202E-2</v>
      </c>
      <c r="L2352">
        <v>1928.0419984268699</v>
      </c>
      <c r="M2352">
        <v>35.697052271702901</v>
      </c>
      <c r="N2352">
        <v>54.3021905736368</v>
      </c>
      <c r="O2352">
        <v>53.8425813772296</v>
      </c>
      <c r="P2352">
        <v>-0.15132023232279099</v>
      </c>
      <c r="Q2352">
        <v>8.7045656352485401E-2</v>
      </c>
      <c r="R2352">
        <v>0.99397540699278797</v>
      </c>
      <c r="S2352" t="s">
        <v>8804</v>
      </c>
      <c r="T2352" t="s">
        <v>12902</v>
      </c>
      <c r="U2352" t="s">
        <v>12902</v>
      </c>
      <c r="V2352" t="s">
        <v>12902</v>
      </c>
      <c r="W2352" t="s">
        <v>15215</v>
      </c>
      <c r="X2352">
        <v>22</v>
      </c>
      <c r="Y2352" t="s">
        <v>21566</v>
      </c>
      <c r="Z2352" t="s">
        <v>27927</v>
      </c>
      <c r="AA2352">
        <v>0.51769974928817397</v>
      </c>
      <c r="AB2352" t="str">
        <f>HYPERLINK("Melting_Curves/meltCurve_P30837_ALDH1B1.pdf", "Melting_Curves/meltCurve_P30837_ALDH1B1.pdf")</f>
        <v>Melting_Curves/meltCurve_P30837_ALDH1B1.pdf</v>
      </c>
    </row>
    <row r="2353" spans="1:28" x14ac:dyDescent="0.25">
      <c r="A2353" t="s">
        <v>2357</v>
      </c>
      <c r="B2353">
        <v>0.99673306730245903</v>
      </c>
      <c r="C2353">
        <v>0.91007581860654696</v>
      </c>
      <c r="D2353">
        <v>0.78458990493425895</v>
      </c>
      <c r="E2353">
        <v>0.53298045491664403</v>
      </c>
      <c r="F2353">
        <v>0.15215973876290001</v>
      </c>
      <c r="G2353">
        <v>9.6723834161121805E-2</v>
      </c>
      <c r="H2353">
        <v>6.6350585581830504E-2</v>
      </c>
      <c r="I2353">
        <v>5.9598164199213897E-2</v>
      </c>
      <c r="J2353">
        <v>6.6378595619823094E-2</v>
      </c>
      <c r="K2353">
        <v>7.2433090724410801E-2</v>
      </c>
      <c r="L2353">
        <v>1007.3907525319</v>
      </c>
      <c r="M2353">
        <v>20.5255046200439</v>
      </c>
      <c r="N2353">
        <v>49.3352439549843</v>
      </c>
      <c r="O2353">
        <v>48.621208827686402</v>
      </c>
      <c r="P2353">
        <v>-0.10022343536464901</v>
      </c>
      <c r="Q2353">
        <v>5.03832352128449E-2</v>
      </c>
      <c r="R2353">
        <v>0.99271720711189904</v>
      </c>
      <c r="S2353" t="s">
        <v>8805</v>
      </c>
      <c r="T2353" t="s">
        <v>12902</v>
      </c>
      <c r="U2353" t="s">
        <v>12902</v>
      </c>
      <c r="V2353" t="s">
        <v>12902</v>
      </c>
      <c r="W2353" t="s">
        <v>15216</v>
      </c>
      <c r="X2353">
        <v>14</v>
      </c>
      <c r="Y2353" t="s">
        <v>21567</v>
      </c>
      <c r="Z2353" t="s">
        <v>27928</v>
      </c>
      <c r="AA2353">
        <v>0.35040973976162337</v>
      </c>
      <c r="AB2353" t="str">
        <f>HYPERLINK("Melting_Curves/meltCurve_P30838_ALDH3A1.pdf", "Melting_Curves/meltCurve_P30838_ALDH3A1.pdf")</f>
        <v>Melting_Curves/meltCurve_P30838_ALDH3A1.pdf</v>
      </c>
    </row>
    <row r="2354" spans="1:28" x14ac:dyDescent="0.25">
      <c r="A2354" t="s">
        <v>2358</v>
      </c>
      <c r="B2354">
        <v>0.99673306730245903</v>
      </c>
      <c r="C2354">
        <v>0.95755448905311302</v>
      </c>
      <c r="D2354">
        <v>0.95945980208242598</v>
      </c>
      <c r="E2354">
        <v>0.90162278239307603</v>
      </c>
      <c r="F2354">
        <v>0.78702378109798199</v>
      </c>
      <c r="G2354">
        <v>0.64784500112385301</v>
      </c>
      <c r="H2354">
        <v>0.43938951717123498</v>
      </c>
      <c r="I2354">
        <v>0.14661535588855901</v>
      </c>
      <c r="J2354">
        <v>0.10393746545999399</v>
      </c>
      <c r="K2354">
        <v>8.7664841948625602E-2</v>
      </c>
      <c r="L2354">
        <v>875.63007662916198</v>
      </c>
      <c r="M2354">
        <v>14.9358744733821</v>
      </c>
      <c r="N2354">
        <v>58.625966802838597</v>
      </c>
      <c r="O2354">
        <v>57.605131754181599</v>
      </c>
      <c r="P2354">
        <v>-6.4826730369756197E-2</v>
      </c>
      <c r="Q2354">
        <v>0</v>
      </c>
      <c r="R2354">
        <v>0.98689075989368102</v>
      </c>
      <c r="S2354" t="s">
        <v>8806</v>
      </c>
      <c r="T2354" t="s">
        <v>12902</v>
      </c>
      <c r="U2354" t="s">
        <v>12902</v>
      </c>
      <c r="V2354" t="s">
        <v>12902</v>
      </c>
      <c r="W2354" t="s">
        <v>15217</v>
      </c>
      <c r="X2354">
        <v>28</v>
      </c>
      <c r="Y2354" t="s">
        <v>21568</v>
      </c>
      <c r="Z2354" t="s">
        <v>27929</v>
      </c>
      <c r="AA2354">
        <v>0.63251406548342837</v>
      </c>
      <c r="AB2354" t="str">
        <f>HYPERLINK("Melting_Curves/meltCurve_P31040_SDHA.pdf", "Melting_Curves/meltCurve_P31040_SDHA.pdf")</f>
        <v>Melting_Curves/meltCurve_P31040_SDHA.pdf</v>
      </c>
    </row>
    <row r="2355" spans="1:28" x14ac:dyDescent="0.25">
      <c r="A2355" t="s">
        <v>2359</v>
      </c>
      <c r="B2355">
        <v>0.99673306730245903</v>
      </c>
      <c r="C2355">
        <v>0.93342648536524997</v>
      </c>
      <c r="D2355">
        <v>0.85931871449369701</v>
      </c>
      <c r="E2355">
        <v>0.34967118587958801</v>
      </c>
      <c r="F2355">
        <v>0.14157294395417899</v>
      </c>
      <c r="G2355">
        <v>8.4665615409622405E-2</v>
      </c>
      <c r="H2355">
        <v>5.3212057709801003E-2</v>
      </c>
      <c r="I2355">
        <v>4.9102316908399703E-2</v>
      </c>
      <c r="J2355">
        <v>5.1227631271950999E-2</v>
      </c>
      <c r="K2355">
        <v>4.9095328173983398E-2</v>
      </c>
      <c r="L2355">
        <v>1434.03807158524</v>
      </c>
      <c r="M2355">
        <v>29.620960246910599</v>
      </c>
      <c r="N2355">
        <v>48.611398274065202</v>
      </c>
      <c r="O2355">
        <v>48.193904644455699</v>
      </c>
      <c r="P2355">
        <v>-0.14490563835451201</v>
      </c>
      <c r="Q2355">
        <v>5.6948834491348702E-2</v>
      </c>
      <c r="R2355">
        <v>0.99728990763181402</v>
      </c>
      <c r="S2355" t="s">
        <v>8807</v>
      </c>
      <c r="T2355" t="s">
        <v>12902</v>
      </c>
      <c r="U2355" t="s">
        <v>12902</v>
      </c>
      <c r="V2355" t="s">
        <v>12902</v>
      </c>
      <c r="W2355" t="s">
        <v>15218</v>
      </c>
      <c r="X2355">
        <v>17</v>
      </c>
      <c r="Y2355" t="s">
        <v>21569</v>
      </c>
      <c r="Z2355" t="s">
        <v>27930</v>
      </c>
      <c r="AA2355">
        <v>0.32726237908956102</v>
      </c>
      <c r="AB2355" t="str">
        <f>HYPERLINK("Melting_Curves/meltCurve_P31146_CORO1A.pdf", "Melting_Curves/meltCurve_P31146_CORO1A.pdf")</f>
        <v>Melting_Curves/meltCurve_P31146_CORO1A.pdf</v>
      </c>
    </row>
    <row r="2356" spans="1:28" x14ac:dyDescent="0.25">
      <c r="A2356" t="s">
        <v>2360</v>
      </c>
      <c r="B2356">
        <v>0.99673306730245903</v>
      </c>
      <c r="C2356">
        <v>1.0142183552320601</v>
      </c>
      <c r="D2356">
        <v>1.0164252476406901</v>
      </c>
      <c r="E2356">
        <v>1.03417169407927</v>
      </c>
      <c r="F2356">
        <v>0.60938551818952102</v>
      </c>
      <c r="G2356">
        <v>0.194665988945909</v>
      </c>
      <c r="H2356">
        <v>9.4856514154035093E-2</v>
      </c>
      <c r="I2356">
        <v>8.6261763497195706E-2</v>
      </c>
      <c r="J2356">
        <v>0.101732592057048</v>
      </c>
      <c r="K2356">
        <v>8.8335826985996596E-2</v>
      </c>
      <c r="L2356">
        <v>2353.05352695281</v>
      </c>
      <c r="M2356">
        <v>43.891725207045099</v>
      </c>
      <c r="N2356">
        <v>53.873703568591303</v>
      </c>
      <c r="O2356">
        <v>53.499501039444397</v>
      </c>
      <c r="P2356">
        <v>-0.18530555675468699</v>
      </c>
      <c r="Q2356">
        <v>9.6527873468393297E-2</v>
      </c>
      <c r="R2356">
        <v>0.99712189913673199</v>
      </c>
      <c r="S2356" t="s">
        <v>8808</v>
      </c>
      <c r="T2356" t="s">
        <v>12902</v>
      </c>
      <c r="U2356" t="s">
        <v>12902</v>
      </c>
      <c r="V2356" t="s">
        <v>12902</v>
      </c>
      <c r="W2356" t="s">
        <v>15219</v>
      </c>
      <c r="X2356">
        <v>33</v>
      </c>
      <c r="Y2356" t="s">
        <v>21570</v>
      </c>
      <c r="Z2356" t="s">
        <v>27931</v>
      </c>
      <c r="AA2356">
        <v>0.50919043964623145</v>
      </c>
      <c r="AB2356" t="str">
        <f>HYPERLINK("Melting_Curves/meltCurve_P31150_GDI1.pdf", "Melting_Curves/meltCurve_P31150_GDI1.pdf")</f>
        <v>Melting_Curves/meltCurve_P31150_GDI1.pdf</v>
      </c>
    </row>
    <row r="2357" spans="1:28" x14ac:dyDescent="0.25">
      <c r="A2357" t="s">
        <v>2361</v>
      </c>
      <c r="B2357">
        <v>0.99673306730245903</v>
      </c>
      <c r="C2357">
        <v>0.996820293767812</v>
      </c>
      <c r="D2357">
        <v>1.0522249962989501</v>
      </c>
      <c r="E2357">
        <v>1.1374017274807999</v>
      </c>
      <c r="F2357">
        <v>1.06503432705802</v>
      </c>
      <c r="G2357">
        <v>0.95136926258888399</v>
      </c>
      <c r="H2357">
        <v>0.61473766586580003</v>
      </c>
      <c r="I2357">
        <v>0.16600737817717301</v>
      </c>
      <c r="J2357">
        <v>0.14969720935393599</v>
      </c>
      <c r="K2357">
        <v>0.108492152699608</v>
      </c>
      <c r="L2357">
        <v>3446.7579499615799</v>
      </c>
      <c r="M2357">
        <v>56.464386919461198</v>
      </c>
      <c r="N2357">
        <v>61.341699899663602</v>
      </c>
      <c r="O2357">
        <v>60.966619006985198</v>
      </c>
      <c r="P2357">
        <v>-0.20371195459459801</v>
      </c>
      <c r="Q2357">
        <v>0.120180151909956</v>
      </c>
      <c r="R2357">
        <v>0.98270574395148902</v>
      </c>
      <c r="S2357" t="s">
        <v>8809</v>
      </c>
      <c r="T2357" t="s">
        <v>12902</v>
      </c>
      <c r="U2357" t="s">
        <v>12902</v>
      </c>
      <c r="V2357" t="s">
        <v>12902</v>
      </c>
      <c r="W2357" t="s">
        <v>15220</v>
      </c>
      <c r="X2357">
        <v>24</v>
      </c>
      <c r="Y2357" t="s">
        <v>21571</v>
      </c>
      <c r="Z2357" t="s">
        <v>27932</v>
      </c>
      <c r="AA2357">
        <v>0.73914008176885515</v>
      </c>
      <c r="AB2357" t="str">
        <f>HYPERLINK("Melting_Curves/meltCurve_P31153_MAT2A.pdf", "Melting_Curves/meltCurve_P31153_MAT2A.pdf")</f>
        <v>Melting_Curves/meltCurve_P31153_MAT2A.pdf</v>
      </c>
    </row>
    <row r="2358" spans="1:28" x14ac:dyDescent="0.25">
      <c r="A2358" t="s">
        <v>2362</v>
      </c>
      <c r="B2358">
        <v>0.99673306730245903</v>
      </c>
      <c r="C2358">
        <v>0.95671552216748501</v>
      </c>
      <c r="D2358">
        <v>1.0082875175143999</v>
      </c>
      <c r="E2358">
        <v>0.84592656866970395</v>
      </c>
      <c r="F2358">
        <v>0.45117987492555001</v>
      </c>
      <c r="G2358">
        <v>0.197338630354253</v>
      </c>
      <c r="H2358">
        <v>0.12554177854916199</v>
      </c>
      <c r="I2358">
        <v>0.116018692248259</v>
      </c>
      <c r="J2358">
        <v>0.101443704769429</v>
      </c>
      <c r="K2358">
        <v>6.47953431170082E-2</v>
      </c>
      <c r="L2358">
        <v>1450.0798496902401</v>
      </c>
      <c r="M2358">
        <v>27.661410859697199</v>
      </c>
      <c r="N2358">
        <v>52.826389477090501</v>
      </c>
      <c r="O2358">
        <v>52.150798307051602</v>
      </c>
      <c r="P2358">
        <v>-0.119965431308018</v>
      </c>
      <c r="Q2358">
        <v>9.5311990788791795E-2</v>
      </c>
      <c r="R2358">
        <v>0.99753369662674496</v>
      </c>
      <c r="S2358" t="s">
        <v>8810</v>
      </c>
      <c r="T2358" t="s">
        <v>12902</v>
      </c>
      <c r="U2358" t="s">
        <v>12902</v>
      </c>
      <c r="V2358" t="s">
        <v>12902</v>
      </c>
      <c r="W2358" t="s">
        <v>15221</v>
      </c>
      <c r="X2358">
        <v>11</v>
      </c>
      <c r="Y2358" t="s">
        <v>21572</v>
      </c>
      <c r="Z2358" t="s">
        <v>27933</v>
      </c>
      <c r="AA2358">
        <v>0.47674965249587009</v>
      </c>
      <c r="AB2358" t="str">
        <f>HYPERLINK("Melting_Curves/meltCurve_P31321_PRKAR1B.pdf", "Melting_Curves/meltCurve_P31321_PRKAR1B.pdf")</f>
        <v>Melting_Curves/meltCurve_P31321_PRKAR1B.pdf</v>
      </c>
    </row>
    <row r="2359" spans="1:28" x14ac:dyDescent="0.25">
      <c r="A2359" t="s">
        <v>2363</v>
      </c>
      <c r="B2359">
        <v>0.99673306730245903</v>
      </c>
      <c r="C2359">
        <v>1.0148295391839499</v>
      </c>
      <c r="D2359">
        <v>1.00648505960512</v>
      </c>
      <c r="E2359">
        <v>0.86921236508713096</v>
      </c>
      <c r="F2359">
        <v>0.77251453986487795</v>
      </c>
      <c r="G2359">
        <v>0.59651312086383401</v>
      </c>
      <c r="H2359">
        <v>0.44434717740483398</v>
      </c>
      <c r="I2359">
        <v>0.50331336454186304</v>
      </c>
      <c r="J2359">
        <v>0.60947485560060899</v>
      </c>
      <c r="K2359">
        <v>0.58194217900988898</v>
      </c>
      <c r="L2359">
        <v>1309.8651252079401</v>
      </c>
      <c r="M2359">
        <v>24.909025109912701</v>
      </c>
      <c r="O2359">
        <v>52.250546857981099</v>
      </c>
      <c r="P2359">
        <v>-5.5630869586103901E-2</v>
      </c>
      <c r="Q2359">
        <v>0.53322879955804603</v>
      </c>
      <c r="R2359">
        <v>0.94449841064655404</v>
      </c>
      <c r="S2359" t="s">
        <v>8811</v>
      </c>
      <c r="T2359" t="s">
        <v>12902</v>
      </c>
      <c r="U2359" t="s">
        <v>12902</v>
      </c>
      <c r="V2359" t="s">
        <v>12902</v>
      </c>
      <c r="W2359" t="s">
        <v>15222</v>
      </c>
      <c r="X2359">
        <v>4</v>
      </c>
      <c r="Y2359" t="s">
        <v>21573</v>
      </c>
      <c r="Z2359" t="s">
        <v>27934</v>
      </c>
      <c r="AA2359">
        <v>0.73336799558619059</v>
      </c>
      <c r="AB2359" t="str">
        <f>HYPERLINK("Melting_Curves/meltCurve_P31323_PRKAR2B.pdf", "Melting_Curves/meltCurve_P31323_PRKAR2B.pdf")</f>
        <v>Melting_Curves/meltCurve_P31323_PRKAR2B.pdf</v>
      </c>
    </row>
    <row r="2360" spans="1:28" x14ac:dyDescent="0.25">
      <c r="A2360" t="s">
        <v>2364</v>
      </c>
      <c r="B2360">
        <v>0.99673306730245903</v>
      </c>
      <c r="C2360">
        <v>0.98321374036875797</v>
      </c>
      <c r="D2360">
        <v>0.96010488035605301</v>
      </c>
      <c r="E2360">
        <v>0.94884377251415697</v>
      </c>
      <c r="F2360">
        <v>0.83667918447749801</v>
      </c>
      <c r="G2360">
        <v>0.688357305799423</v>
      </c>
      <c r="H2360">
        <v>0.53261758582018803</v>
      </c>
      <c r="I2360">
        <v>0.62356021806629303</v>
      </c>
      <c r="J2360">
        <v>0.39663008613482298</v>
      </c>
      <c r="K2360">
        <v>0.21206662430335199</v>
      </c>
      <c r="L2360">
        <v>556.78181003244902</v>
      </c>
      <c r="M2360">
        <v>8.7907028439206307</v>
      </c>
      <c r="N2360">
        <v>63.3375691684586</v>
      </c>
      <c r="O2360">
        <v>60.316505370368397</v>
      </c>
      <c r="P2360">
        <v>-3.6464651814835498E-2</v>
      </c>
      <c r="Q2360">
        <v>0</v>
      </c>
      <c r="R2360">
        <v>0.94661498581664805</v>
      </c>
      <c r="S2360" t="s">
        <v>8812</v>
      </c>
      <c r="T2360" t="s">
        <v>12902</v>
      </c>
      <c r="U2360" t="s">
        <v>12902</v>
      </c>
      <c r="V2360" t="s">
        <v>12902</v>
      </c>
      <c r="W2360" t="s">
        <v>15223</v>
      </c>
      <c r="X2360">
        <v>25</v>
      </c>
      <c r="Y2360" t="s">
        <v>21574</v>
      </c>
      <c r="Z2360" t="s">
        <v>27935</v>
      </c>
      <c r="AA2360">
        <v>0.73299400996647934</v>
      </c>
      <c r="AB2360" t="str">
        <f>HYPERLINK("Melting_Curves/meltCurve_P31350_RRM2.pdf", "Melting_Curves/meltCurve_P31350_RRM2.pdf")</f>
        <v>Melting_Curves/meltCurve_P31350_RRM2.pdf</v>
      </c>
    </row>
    <row r="2361" spans="1:28" x14ac:dyDescent="0.25">
      <c r="A2361" t="s">
        <v>2365</v>
      </c>
      <c r="B2361">
        <v>0.99673306730245903</v>
      </c>
      <c r="C2361">
        <v>0.93842793930340096</v>
      </c>
      <c r="D2361">
        <v>0.87692396057287203</v>
      </c>
      <c r="E2361">
        <v>0.81178003755996997</v>
      </c>
      <c r="F2361">
        <v>0.69754326647970899</v>
      </c>
      <c r="G2361">
        <v>0.490968072738239</v>
      </c>
      <c r="H2361">
        <v>0.47447311259153702</v>
      </c>
      <c r="I2361">
        <v>0.46399698326652999</v>
      </c>
      <c r="J2361">
        <v>0.35328123264121303</v>
      </c>
      <c r="K2361">
        <v>0.37350720632949802</v>
      </c>
      <c r="L2361">
        <v>579.02568787371501</v>
      </c>
      <c r="M2361">
        <v>10.857787498981001</v>
      </c>
      <c r="N2361">
        <v>58.923834186270398</v>
      </c>
      <c r="O2361">
        <v>51.614830558175697</v>
      </c>
      <c r="P2361">
        <v>-3.56850613913859E-2</v>
      </c>
      <c r="Q2361">
        <v>0.32169402665186098</v>
      </c>
      <c r="R2361">
        <v>0.98210840801339305</v>
      </c>
      <c r="S2361" t="s">
        <v>8813</v>
      </c>
      <c r="T2361" t="s">
        <v>12902</v>
      </c>
      <c r="U2361" t="s">
        <v>12902</v>
      </c>
      <c r="V2361" t="s">
        <v>12902</v>
      </c>
      <c r="W2361" t="s">
        <v>15224</v>
      </c>
      <c r="X2361">
        <v>1</v>
      </c>
      <c r="Y2361" t="s">
        <v>21575</v>
      </c>
      <c r="Z2361" t="s">
        <v>27936</v>
      </c>
      <c r="AA2361">
        <v>0.6438190834644022</v>
      </c>
      <c r="AB2361" t="str">
        <f>HYPERLINK("Melting_Curves/meltCurve_P31641_SLC6A6.pdf", "Melting_Curves/meltCurve_P31641_SLC6A6.pdf")</f>
        <v>Melting_Curves/meltCurve_P31641_SLC6A6.pdf</v>
      </c>
    </row>
    <row r="2362" spans="1:28" x14ac:dyDescent="0.25">
      <c r="A2362" t="s">
        <v>2366</v>
      </c>
      <c r="B2362">
        <v>0.99673306730245903</v>
      </c>
      <c r="C2362">
        <v>0.86737832278767901</v>
      </c>
      <c r="D2362">
        <v>0.94061732943498599</v>
      </c>
      <c r="E2362">
        <v>0.94419569899330402</v>
      </c>
      <c r="F2362">
        <v>0.59792737523671602</v>
      </c>
      <c r="G2362">
        <v>0.39238829115683999</v>
      </c>
      <c r="H2362">
        <v>0.12086317905453001</v>
      </c>
      <c r="I2362">
        <v>0.105341064989773</v>
      </c>
      <c r="J2362">
        <v>0.10639402627833799</v>
      </c>
      <c r="K2362">
        <v>9.8882693104002703E-2</v>
      </c>
      <c r="L2362">
        <v>1139.5131281731101</v>
      </c>
      <c r="M2362">
        <v>20.964232827541501</v>
      </c>
      <c r="N2362">
        <v>54.788935471489502</v>
      </c>
      <c r="O2362">
        <v>53.867783494891498</v>
      </c>
      <c r="P2362">
        <v>-8.9856687622257306E-2</v>
      </c>
      <c r="Q2362">
        <v>7.6474730602978006E-2</v>
      </c>
      <c r="R2362">
        <v>0.98010422186236101</v>
      </c>
      <c r="S2362" t="s">
        <v>8814</v>
      </c>
      <c r="T2362" t="s">
        <v>12902</v>
      </c>
      <c r="U2362" t="s">
        <v>12902</v>
      </c>
      <c r="V2362" t="s">
        <v>12902</v>
      </c>
      <c r="W2362" t="s">
        <v>15225</v>
      </c>
      <c r="X2362">
        <v>20</v>
      </c>
      <c r="Y2362" t="s">
        <v>21576</v>
      </c>
      <c r="Z2362" t="s">
        <v>27937</v>
      </c>
      <c r="AA2362">
        <v>0.52995478703554932</v>
      </c>
      <c r="AB2362" t="str">
        <f>HYPERLINK("Melting_Curves/meltCurve_P31689_DNAJA1.pdf", "Melting_Curves/meltCurve_P31689_DNAJA1.pdf")</f>
        <v>Melting_Curves/meltCurve_P31689_DNAJA1.pdf</v>
      </c>
    </row>
    <row r="2363" spans="1:28" x14ac:dyDescent="0.25">
      <c r="A2363" t="s">
        <v>2367</v>
      </c>
      <c r="B2363">
        <v>0.99673306730245903</v>
      </c>
      <c r="C2363">
        <v>0.90056151219883196</v>
      </c>
      <c r="D2363">
        <v>0.62909786963698899</v>
      </c>
      <c r="E2363">
        <v>0.267428229956307</v>
      </c>
      <c r="F2363">
        <v>0.15205393135053499</v>
      </c>
      <c r="G2363">
        <v>0.102210087628527</v>
      </c>
      <c r="H2363">
        <v>5.8045138116263502E-2</v>
      </c>
      <c r="I2363">
        <v>4.6725787289974098E-2</v>
      </c>
      <c r="J2363">
        <v>4.9392607863071501E-2</v>
      </c>
      <c r="K2363">
        <v>4.6240850971700102E-2</v>
      </c>
      <c r="L2363">
        <v>1016.81343192593</v>
      </c>
      <c r="M2363">
        <v>21.655607407852301</v>
      </c>
      <c r="N2363">
        <v>47.214979964720499</v>
      </c>
      <c r="O2363">
        <v>46.558930035029697</v>
      </c>
      <c r="P2363">
        <v>-0.109719854798115</v>
      </c>
      <c r="Q2363">
        <v>5.6444351744742001E-2</v>
      </c>
      <c r="R2363">
        <v>0.99816088844087203</v>
      </c>
      <c r="S2363" t="s">
        <v>8815</v>
      </c>
      <c r="T2363" t="s">
        <v>12902</v>
      </c>
      <c r="U2363" t="s">
        <v>12902</v>
      </c>
      <c r="V2363" t="s">
        <v>12902</v>
      </c>
      <c r="W2363" t="s">
        <v>15226</v>
      </c>
      <c r="X2363">
        <v>6</v>
      </c>
      <c r="Y2363" t="s">
        <v>21577</v>
      </c>
      <c r="Z2363" t="s">
        <v>27938</v>
      </c>
      <c r="AA2363">
        <v>0.28675362383335867</v>
      </c>
      <c r="AB2363" t="str">
        <f>HYPERLINK("Melting_Curves/meltCurve_P31749_AKT1.pdf", "Melting_Curves/meltCurve_P31749_AKT1.pdf")</f>
        <v>Melting_Curves/meltCurve_P31749_AKT1.pdf</v>
      </c>
    </row>
    <row r="2364" spans="1:28" x14ac:dyDescent="0.25">
      <c r="A2364" t="s">
        <v>2368</v>
      </c>
      <c r="B2364">
        <v>0.99673306730245903</v>
      </c>
      <c r="C2364">
        <v>0.95119532484890601</v>
      </c>
      <c r="D2364">
        <v>0.77232656002751099</v>
      </c>
      <c r="E2364">
        <v>0.46883448447748699</v>
      </c>
      <c r="F2364">
        <v>0.186748823788352</v>
      </c>
      <c r="G2364">
        <v>0.11443016120591799</v>
      </c>
      <c r="H2364">
        <v>6.95635576403488E-2</v>
      </c>
      <c r="I2364">
        <v>6.7196304569476506E-2</v>
      </c>
      <c r="J2364">
        <v>6.6673108194324093E-2</v>
      </c>
      <c r="K2364">
        <v>7.3001940244941402E-2</v>
      </c>
      <c r="L2364">
        <v>999.70343939572604</v>
      </c>
      <c r="M2364">
        <v>20.502571230027499</v>
      </c>
      <c r="N2364">
        <v>49.072638337283799</v>
      </c>
      <c r="O2364">
        <v>48.303154563576101</v>
      </c>
      <c r="P2364">
        <v>-9.9618376648371101E-2</v>
      </c>
      <c r="Q2364">
        <v>6.1241859446651802E-2</v>
      </c>
      <c r="R2364">
        <v>0.99913581754802305</v>
      </c>
      <c r="S2364" t="s">
        <v>8816</v>
      </c>
      <c r="T2364" t="s">
        <v>12902</v>
      </c>
      <c r="U2364" t="s">
        <v>12902</v>
      </c>
      <c r="V2364" t="s">
        <v>12902</v>
      </c>
      <c r="W2364" t="s">
        <v>15227</v>
      </c>
      <c r="X2364">
        <v>2</v>
      </c>
      <c r="Y2364" t="s">
        <v>21578</v>
      </c>
      <c r="Z2364" t="s">
        <v>27939</v>
      </c>
      <c r="AA2364">
        <v>0.34788300287481622</v>
      </c>
      <c r="AB2364" t="str">
        <f>HYPERLINK("Melting_Curves/meltCurve_P31751_AKT2.pdf", "Melting_Curves/meltCurve_P31751_AKT2.pdf")</f>
        <v>Melting_Curves/meltCurve_P31751_AKT2.pdf</v>
      </c>
    </row>
    <row r="2365" spans="1:28" x14ac:dyDescent="0.25">
      <c r="A2365" t="s">
        <v>2369</v>
      </c>
      <c r="B2365">
        <v>0.99673306730245903</v>
      </c>
      <c r="C2365">
        <v>1.0443746113522001</v>
      </c>
      <c r="D2365">
        <v>0.95618391950698001</v>
      </c>
      <c r="E2365">
        <v>0.85853772385120397</v>
      </c>
      <c r="F2365">
        <v>0.67653070214134303</v>
      </c>
      <c r="G2365">
        <v>0.56442780563601103</v>
      </c>
      <c r="H2365">
        <v>0.36328556015462599</v>
      </c>
      <c r="I2365">
        <v>0.193333360475862</v>
      </c>
      <c r="J2365">
        <v>0.15589737026798201</v>
      </c>
      <c r="K2365">
        <v>0.13543722870171501</v>
      </c>
      <c r="L2365">
        <v>689.56562968230401</v>
      </c>
      <c r="M2365">
        <v>12.064732889984199</v>
      </c>
      <c r="N2365">
        <v>57.366655330538599</v>
      </c>
      <c r="O2365">
        <v>55.653159362121499</v>
      </c>
      <c r="P2365">
        <v>-5.3031452969976897E-2</v>
      </c>
      <c r="Q2365">
        <v>2.1720040762769399E-2</v>
      </c>
      <c r="R2365">
        <v>0.99232377704081098</v>
      </c>
      <c r="S2365" t="s">
        <v>8817</v>
      </c>
      <c r="T2365" t="s">
        <v>12902</v>
      </c>
      <c r="U2365" t="s">
        <v>12902</v>
      </c>
      <c r="V2365" t="s">
        <v>12902</v>
      </c>
      <c r="W2365" t="s">
        <v>15228</v>
      </c>
      <c r="X2365">
        <v>23</v>
      </c>
      <c r="Y2365" t="s">
        <v>21579</v>
      </c>
      <c r="Z2365" t="s">
        <v>27940</v>
      </c>
      <c r="AA2365">
        <v>0.59703510695859052</v>
      </c>
      <c r="AB2365" t="str">
        <f>HYPERLINK("Melting_Curves/meltCurve_P31930_UQCRC1.pdf", "Melting_Curves/meltCurve_P31930_UQCRC1.pdf")</f>
        <v>Melting_Curves/meltCurve_P31930_UQCRC1.pdf</v>
      </c>
    </row>
    <row r="2366" spans="1:28" x14ac:dyDescent="0.25">
      <c r="A2366" t="s">
        <v>2370</v>
      </c>
      <c r="B2366">
        <v>0.99673306730245903</v>
      </c>
      <c r="C2366">
        <v>1.0001418441769001</v>
      </c>
      <c r="D2366">
        <v>0.99343362710296501</v>
      </c>
      <c r="E2366">
        <v>1.02967181407865</v>
      </c>
      <c r="F2366">
        <v>0.94322936786234901</v>
      </c>
      <c r="G2366">
        <v>0.75611087581344605</v>
      </c>
      <c r="H2366">
        <v>0.48485869717170299</v>
      </c>
      <c r="I2366">
        <v>0.161866105745581</v>
      </c>
      <c r="J2366">
        <v>0.101779467521384</v>
      </c>
      <c r="K2366">
        <v>8.8909928996422694E-2</v>
      </c>
      <c r="L2366">
        <v>1371.33110164149</v>
      </c>
      <c r="M2366">
        <v>22.889965524831499</v>
      </c>
      <c r="N2366">
        <v>60.073918560131901</v>
      </c>
      <c r="O2366">
        <v>59.458047545287798</v>
      </c>
      <c r="P2366">
        <v>-9.3327208999248304E-2</v>
      </c>
      <c r="Q2366">
        <v>3.03261816175526E-2</v>
      </c>
      <c r="R2366">
        <v>0.99458495410203895</v>
      </c>
      <c r="S2366" t="s">
        <v>8818</v>
      </c>
      <c r="T2366" t="s">
        <v>12902</v>
      </c>
      <c r="U2366" t="s">
        <v>12902</v>
      </c>
      <c r="V2366" t="s">
        <v>12902</v>
      </c>
      <c r="W2366" t="s">
        <v>15229</v>
      </c>
      <c r="X2366">
        <v>8</v>
      </c>
      <c r="Y2366" t="s">
        <v>21580</v>
      </c>
      <c r="Z2366" t="s">
        <v>27941</v>
      </c>
      <c r="AA2366">
        <v>0.68165703011126011</v>
      </c>
      <c r="AB2366" t="str">
        <f>HYPERLINK("Melting_Curves/meltCurve_P31937_HIBADH.pdf", "Melting_Curves/meltCurve_P31937_HIBADH.pdf")</f>
        <v>Melting_Curves/meltCurve_P31937_HIBADH.pdf</v>
      </c>
    </row>
    <row r="2367" spans="1:28" x14ac:dyDescent="0.25">
      <c r="A2367" t="s">
        <v>2371</v>
      </c>
      <c r="B2367">
        <v>0.99673306730245903</v>
      </c>
      <c r="C2367">
        <v>0.98834448362199201</v>
      </c>
      <c r="D2367">
        <v>1.0062085793751601</v>
      </c>
      <c r="E2367">
        <v>1.00667084864913</v>
      </c>
      <c r="F2367">
        <v>0.80921861481271695</v>
      </c>
      <c r="G2367">
        <v>0.56874947025974798</v>
      </c>
      <c r="H2367">
        <v>0.15101775603954801</v>
      </c>
      <c r="I2367">
        <v>8.7204484203359203E-2</v>
      </c>
      <c r="J2367">
        <v>7.3808497253361499E-2</v>
      </c>
      <c r="K2367">
        <v>6.01971779420446E-2</v>
      </c>
      <c r="L2367">
        <v>1465.77594741748</v>
      </c>
      <c r="M2367">
        <v>25.789940683889299</v>
      </c>
      <c r="N2367">
        <v>57.0282279646826</v>
      </c>
      <c r="O2367">
        <v>56.496764447393197</v>
      </c>
      <c r="P2367">
        <v>-0.109352326428782</v>
      </c>
      <c r="Q2367">
        <v>4.1800168925916398E-2</v>
      </c>
      <c r="R2367">
        <v>0.99559952421057696</v>
      </c>
      <c r="S2367" t="s">
        <v>8819</v>
      </c>
      <c r="T2367" t="s">
        <v>12902</v>
      </c>
      <c r="U2367" t="s">
        <v>12902</v>
      </c>
      <c r="V2367" t="s">
        <v>12902</v>
      </c>
      <c r="W2367" t="s">
        <v>15230</v>
      </c>
      <c r="X2367">
        <v>51</v>
      </c>
      <c r="Y2367" t="s">
        <v>21581</v>
      </c>
      <c r="Z2367" t="s">
        <v>27942</v>
      </c>
      <c r="AA2367">
        <v>0.58776520628824114</v>
      </c>
      <c r="AB2367" t="str">
        <f>HYPERLINK("Melting_Curves/meltCurve_P31939_ATIC.pdf", "Melting_Curves/meltCurve_P31939_ATIC.pdf")</f>
        <v>Melting_Curves/meltCurve_P31939_ATIC.pdf</v>
      </c>
    </row>
    <row r="2368" spans="1:28" x14ac:dyDescent="0.25">
      <c r="A2368" t="s">
        <v>2372</v>
      </c>
      <c r="B2368">
        <v>0.99673306730245903</v>
      </c>
      <c r="C2368">
        <v>0.82725947684960899</v>
      </c>
      <c r="D2368">
        <v>0.42609851885412398</v>
      </c>
      <c r="E2368">
        <v>0.23043047286704399</v>
      </c>
      <c r="F2368">
        <v>0.130428440536864</v>
      </c>
      <c r="G2368">
        <v>9.6021555656770702E-2</v>
      </c>
      <c r="H2368">
        <v>8.3744277958132704E-2</v>
      </c>
      <c r="I2368">
        <v>9.9680434618096503E-2</v>
      </c>
      <c r="J2368">
        <v>0.17928037409754299</v>
      </c>
      <c r="K2368">
        <v>0.282995754653455</v>
      </c>
      <c r="L2368">
        <v>1312.5027418156101</v>
      </c>
      <c r="M2368">
        <v>29.2162291327177</v>
      </c>
      <c r="N2368">
        <v>45.468661212733899</v>
      </c>
      <c r="O2368">
        <v>44.714855770779202</v>
      </c>
      <c r="P2368">
        <v>-0.13922156691429799</v>
      </c>
      <c r="Q2368">
        <v>0.14770261407951599</v>
      </c>
      <c r="R2368">
        <v>0.96741342709668698</v>
      </c>
      <c r="S2368" t="s">
        <v>8820</v>
      </c>
      <c r="T2368" t="s">
        <v>12902</v>
      </c>
      <c r="U2368" t="s">
        <v>12902</v>
      </c>
      <c r="V2368" t="s">
        <v>12902</v>
      </c>
      <c r="W2368" t="s">
        <v>15231</v>
      </c>
      <c r="X2368">
        <v>7</v>
      </c>
      <c r="Y2368" t="s">
        <v>21582</v>
      </c>
      <c r="Z2368" t="s">
        <v>27943</v>
      </c>
      <c r="AA2368">
        <v>0.29346862159229842</v>
      </c>
      <c r="AB2368" t="str">
        <f>HYPERLINK("Melting_Curves/meltCurve_P31942_2_HNRNPH3.pdf", "Melting_Curves/meltCurve_P31942_2_HNRNPH3.pdf")</f>
        <v>Melting_Curves/meltCurve_P31942_2_HNRNPH3.pdf</v>
      </c>
    </row>
    <row r="2369" spans="1:28" x14ac:dyDescent="0.25">
      <c r="A2369" t="s">
        <v>2373</v>
      </c>
      <c r="B2369">
        <v>0.99673306730245903</v>
      </c>
      <c r="C2369">
        <v>0.81232224901941696</v>
      </c>
      <c r="D2369">
        <v>1.0261250393418999</v>
      </c>
      <c r="E2369">
        <v>0.99682472918853504</v>
      </c>
      <c r="F2369">
        <v>0.70332245707051899</v>
      </c>
      <c r="G2369">
        <v>0.29929765983288598</v>
      </c>
      <c r="H2369">
        <v>0.115152873520892</v>
      </c>
      <c r="I2369">
        <v>0.12202719912604899</v>
      </c>
      <c r="J2369">
        <v>0.115582412099799</v>
      </c>
      <c r="K2369">
        <v>9.6468160740892803E-2</v>
      </c>
      <c r="L2369">
        <v>1800.2120699711199</v>
      </c>
      <c r="M2369">
        <v>33.069098407376998</v>
      </c>
      <c r="N2369">
        <v>54.830243869474998</v>
      </c>
      <c r="O2369">
        <v>54.2399817975259</v>
      </c>
      <c r="P2369">
        <v>-0.13636179449227101</v>
      </c>
      <c r="Q2369">
        <v>0.10536077922496299</v>
      </c>
      <c r="R2369">
        <v>0.97545296780854696</v>
      </c>
      <c r="S2369" t="s">
        <v>8821</v>
      </c>
      <c r="T2369" t="s">
        <v>12902</v>
      </c>
      <c r="U2369" t="s">
        <v>12902</v>
      </c>
      <c r="V2369" t="s">
        <v>12902</v>
      </c>
      <c r="W2369" t="s">
        <v>15232</v>
      </c>
      <c r="X2369">
        <v>20</v>
      </c>
      <c r="Y2369" t="s">
        <v>21583</v>
      </c>
      <c r="Z2369" t="s">
        <v>27944</v>
      </c>
      <c r="AA2369">
        <v>0.54080856736829985</v>
      </c>
      <c r="AB2369" t="str">
        <f>HYPERLINK("Melting_Curves/meltCurve_P31946_YWHAB.pdf", "Melting_Curves/meltCurve_P31946_YWHAB.pdf")</f>
        <v>Melting_Curves/meltCurve_P31946_YWHAB.pdf</v>
      </c>
    </row>
    <row r="2370" spans="1:28" x14ac:dyDescent="0.25">
      <c r="A2370" t="s">
        <v>2374</v>
      </c>
      <c r="B2370">
        <v>0.99673306730245903</v>
      </c>
      <c r="C2370">
        <v>0.90817335155630197</v>
      </c>
      <c r="D2370">
        <v>0.98717272869438499</v>
      </c>
      <c r="E2370">
        <v>0.97175723813604897</v>
      </c>
      <c r="F2370">
        <v>0.66950289736252599</v>
      </c>
      <c r="G2370">
        <v>0.29129064486510498</v>
      </c>
      <c r="H2370">
        <v>0.122549140011995</v>
      </c>
      <c r="I2370">
        <v>9.9317640004991603E-2</v>
      </c>
      <c r="J2370">
        <v>0.10040786079260799</v>
      </c>
      <c r="K2370">
        <v>8.2000137900138201E-2</v>
      </c>
      <c r="L2370">
        <v>1614.40930624252</v>
      </c>
      <c r="M2370">
        <v>29.732331668309101</v>
      </c>
      <c r="N2370">
        <v>54.660503220400699</v>
      </c>
      <c r="O2370">
        <v>54.054255044314601</v>
      </c>
      <c r="P2370">
        <v>-0.12521115063931401</v>
      </c>
      <c r="Q2370">
        <v>8.9455926133709604E-2</v>
      </c>
      <c r="R2370">
        <v>0.994092421590967</v>
      </c>
      <c r="S2370" t="s">
        <v>8822</v>
      </c>
      <c r="T2370" t="s">
        <v>12902</v>
      </c>
      <c r="U2370" t="s">
        <v>12902</v>
      </c>
      <c r="V2370" t="s">
        <v>12902</v>
      </c>
      <c r="W2370" t="s">
        <v>15233</v>
      </c>
      <c r="X2370">
        <v>25</v>
      </c>
      <c r="Y2370" t="s">
        <v>21584</v>
      </c>
      <c r="Z2370" t="s">
        <v>27945</v>
      </c>
      <c r="AA2370">
        <v>0.52952921351647297</v>
      </c>
      <c r="AB2370" t="str">
        <f>HYPERLINK("Melting_Curves/meltCurve_P31947_SFN.pdf", "Melting_Curves/meltCurve_P31947_SFN.pdf")</f>
        <v>Melting_Curves/meltCurve_P31947_SFN.pdf</v>
      </c>
    </row>
    <row r="2371" spans="1:28" x14ac:dyDescent="0.25">
      <c r="A2371" t="s">
        <v>2375</v>
      </c>
      <c r="B2371">
        <v>0.99673306730245903</v>
      </c>
      <c r="C2371">
        <v>0.97463180382896097</v>
      </c>
      <c r="D2371">
        <v>1.0438501081422</v>
      </c>
      <c r="E2371">
        <v>1.0420612352058201</v>
      </c>
      <c r="F2371">
        <v>0.78102440805823403</v>
      </c>
      <c r="G2371">
        <v>0.50952675706935302</v>
      </c>
      <c r="H2371">
        <v>0.22407669834250701</v>
      </c>
      <c r="I2371">
        <v>0.238536905912556</v>
      </c>
      <c r="J2371">
        <v>0.30293805140588498</v>
      </c>
      <c r="K2371">
        <v>0.32584170299770299</v>
      </c>
      <c r="L2371">
        <v>1792.9622516690499</v>
      </c>
      <c r="M2371">
        <v>32.5845856372326</v>
      </c>
      <c r="N2371">
        <v>56.366421288578401</v>
      </c>
      <c r="O2371">
        <v>54.818854479121804</v>
      </c>
      <c r="P2371">
        <v>-0.108513331044936</v>
      </c>
      <c r="Q2371">
        <v>0.26977146199756402</v>
      </c>
      <c r="R2371">
        <v>0.98108592032735698</v>
      </c>
      <c r="S2371" t="s">
        <v>8823</v>
      </c>
      <c r="T2371" t="s">
        <v>12902</v>
      </c>
      <c r="U2371" t="s">
        <v>12902</v>
      </c>
      <c r="V2371" t="s">
        <v>12902</v>
      </c>
      <c r="W2371" t="s">
        <v>15234</v>
      </c>
      <c r="X2371">
        <v>74</v>
      </c>
      <c r="Y2371" t="s">
        <v>21585</v>
      </c>
      <c r="Z2371" t="s">
        <v>27946</v>
      </c>
      <c r="AA2371">
        <v>0.63962866709299904</v>
      </c>
      <c r="AB2371" t="str">
        <f>HYPERLINK("Melting_Curves/meltCurve_P31948_STIP1.pdf", "Melting_Curves/meltCurve_P31948_STIP1.pdf")</f>
        <v>Melting_Curves/meltCurve_P31948_STIP1.pdf</v>
      </c>
    </row>
    <row r="2372" spans="1:28" x14ac:dyDescent="0.25">
      <c r="A2372" t="s">
        <v>2376</v>
      </c>
      <c r="B2372">
        <v>0.99673306730245903</v>
      </c>
      <c r="C2372">
        <v>1.0403547509180999</v>
      </c>
      <c r="D2372">
        <v>1.0706454539807699</v>
      </c>
      <c r="E2372">
        <v>1.0258513007612899</v>
      </c>
      <c r="F2372">
        <v>0.89784175877113503</v>
      </c>
      <c r="G2372">
        <v>0.81780347514974505</v>
      </c>
      <c r="H2372">
        <v>0.39728917725012303</v>
      </c>
      <c r="I2372">
        <v>0.262178650749124</v>
      </c>
      <c r="J2372">
        <v>0.23670850193102599</v>
      </c>
      <c r="K2372">
        <v>0.20376054244653299</v>
      </c>
      <c r="L2372">
        <v>1783.0011562556899</v>
      </c>
      <c r="M2372">
        <v>30.363926873011</v>
      </c>
      <c r="N2372">
        <v>59.753656435319499</v>
      </c>
      <c r="O2372">
        <v>58.468093361907798</v>
      </c>
      <c r="P2372">
        <v>-0.10332757420791799</v>
      </c>
      <c r="Q2372">
        <v>0.204143908591122</v>
      </c>
      <c r="R2372">
        <v>0.989091816415686</v>
      </c>
      <c r="S2372" t="s">
        <v>8824</v>
      </c>
      <c r="T2372" t="s">
        <v>12902</v>
      </c>
      <c r="U2372" t="s">
        <v>12902</v>
      </c>
      <c r="V2372" t="s">
        <v>12902</v>
      </c>
      <c r="W2372" t="s">
        <v>15235</v>
      </c>
      <c r="X2372">
        <v>8</v>
      </c>
      <c r="Y2372" t="s">
        <v>21586</v>
      </c>
      <c r="Z2372" t="s">
        <v>27947</v>
      </c>
      <c r="AA2372">
        <v>0.70583663383951167</v>
      </c>
      <c r="AB2372" t="str">
        <f>HYPERLINK("Melting_Curves/meltCurve_P31949_S100A11.pdf", "Melting_Curves/meltCurve_P31949_S100A11.pdf")</f>
        <v>Melting_Curves/meltCurve_P31949_S100A11.pdf</v>
      </c>
    </row>
    <row r="2373" spans="1:28" x14ac:dyDescent="0.25">
      <c r="A2373" t="s">
        <v>2377</v>
      </c>
      <c r="B2373">
        <v>0.99673306730245903</v>
      </c>
      <c r="C2373">
        <v>0.982949270871882</v>
      </c>
      <c r="D2373">
        <v>1.07450519753434</v>
      </c>
      <c r="E2373">
        <v>1.1386924329682799</v>
      </c>
      <c r="F2373">
        <v>1.0939248179774499</v>
      </c>
      <c r="G2373">
        <v>0.910045413715316</v>
      </c>
      <c r="H2373">
        <v>0.32027123574324001</v>
      </c>
      <c r="I2373">
        <v>0.19222991635172201</v>
      </c>
      <c r="J2373">
        <v>0.20046290442933401</v>
      </c>
      <c r="K2373">
        <v>0.15236935570304899</v>
      </c>
      <c r="L2373">
        <v>3215.6919632989202</v>
      </c>
      <c r="M2373">
        <v>54.456693626870901</v>
      </c>
      <c r="N2373">
        <v>59.529349651290197</v>
      </c>
      <c r="O2373">
        <v>58.970974146745199</v>
      </c>
      <c r="P2373">
        <v>-0.18991477183355299</v>
      </c>
      <c r="Q2373">
        <v>0.17736817579772601</v>
      </c>
      <c r="R2373">
        <v>0.978529645230929</v>
      </c>
      <c r="S2373" t="s">
        <v>8825</v>
      </c>
      <c r="T2373" t="s">
        <v>12902</v>
      </c>
      <c r="U2373" t="s">
        <v>12902</v>
      </c>
      <c r="V2373" t="s">
        <v>12902</v>
      </c>
      <c r="W2373" t="s">
        <v>15236</v>
      </c>
      <c r="X2373">
        <v>20</v>
      </c>
      <c r="Y2373" t="s">
        <v>21587</v>
      </c>
      <c r="Z2373" t="s">
        <v>27948</v>
      </c>
      <c r="AA2373">
        <v>0.70154761364226492</v>
      </c>
      <c r="AB2373" t="str">
        <f>HYPERLINK("Melting_Curves/meltCurve_P32119_PRDX2.pdf", "Melting_Curves/meltCurve_P32119_PRDX2.pdf")</f>
        <v>Melting_Curves/meltCurve_P32119_PRDX2.pdf</v>
      </c>
    </row>
    <row r="2374" spans="1:28" x14ac:dyDescent="0.25">
      <c r="A2374" t="s">
        <v>2378</v>
      </c>
      <c r="B2374">
        <v>0.99673306730245903</v>
      </c>
      <c r="C2374">
        <v>1.01593140217907</v>
      </c>
      <c r="D2374">
        <v>0.81951876655526701</v>
      </c>
      <c r="E2374">
        <v>0.55161351105582102</v>
      </c>
      <c r="F2374">
        <v>0.302814668089184</v>
      </c>
      <c r="G2374">
        <v>0.17841707870665999</v>
      </c>
      <c r="H2374">
        <v>0.15672512966892799</v>
      </c>
      <c r="I2374">
        <v>0.177607946475482</v>
      </c>
      <c r="J2374">
        <v>0.17511594612110801</v>
      </c>
      <c r="K2374">
        <v>0.14492307944045599</v>
      </c>
      <c r="L2374">
        <v>1071.16806321794</v>
      </c>
      <c r="M2374">
        <v>21.7635215345462</v>
      </c>
      <c r="N2374">
        <v>50.074520527582699</v>
      </c>
      <c r="O2374">
        <v>48.808631462422802</v>
      </c>
      <c r="P2374">
        <v>-9.4160062033490199E-2</v>
      </c>
      <c r="Q2374">
        <v>0.155336153233436</v>
      </c>
      <c r="R2374">
        <v>0.99605467813830095</v>
      </c>
      <c r="S2374" t="s">
        <v>8826</v>
      </c>
      <c r="T2374" t="s">
        <v>12902</v>
      </c>
      <c r="U2374" t="s">
        <v>12902</v>
      </c>
      <c r="V2374" t="s">
        <v>12902</v>
      </c>
      <c r="W2374" t="s">
        <v>15237</v>
      </c>
      <c r="X2374">
        <v>6</v>
      </c>
      <c r="Y2374" t="s">
        <v>21588</v>
      </c>
      <c r="Z2374" t="s">
        <v>27949</v>
      </c>
      <c r="AA2374">
        <v>0.42483938798224469</v>
      </c>
      <c r="AB2374" t="str">
        <f>HYPERLINK("Melting_Curves/meltCurve_P32121_5_ARRB2.pdf", "Melting_Curves/meltCurve_P32121_5_ARRB2.pdf")</f>
        <v>Melting_Curves/meltCurve_P32121_5_ARRB2.pdf</v>
      </c>
    </row>
    <row r="2375" spans="1:28" x14ac:dyDescent="0.25">
      <c r="A2375" t="s">
        <v>2379</v>
      </c>
      <c r="B2375">
        <v>0.99673306730245903</v>
      </c>
      <c r="C2375">
        <v>1.15682209300628</v>
      </c>
      <c r="D2375">
        <v>1.02392404360789</v>
      </c>
      <c r="E2375">
        <v>0.94208021190775604</v>
      </c>
      <c r="F2375">
        <v>0.98995792659412896</v>
      </c>
      <c r="G2375">
        <v>0.83972578172204204</v>
      </c>
      <c r="H2375">
        <v>0.59086004812677695</v>
      </c>
      <c r="I2375">
        <v>0.76679397199522104</v>
      </c>
      <c r="J2375">
        <v>0.74085243068923801</v>
      </c>
      <c r="K2375">
        <v>0.62153752487065606</v>
      </c>
      <c r="L2375">
        <v>14199.8013771552</v>
      </c>
      <c r="M2375">
        <v>250</v>
      </c>
      <c r="O2375">
        <v>56.795554591711401</v>
      </c>
      <c r="P2375">
        <v>-0.35212803880882598</v>
      </c>
      <c r="Q2375">
        <v>0.68001099298856904</v>
      </c>
      <c r="R2375">
        <v>0.83442207973786298</v>
      </c>
      <c r="S2375" t="s">
        <v>8827</v>
      </c>
      <c r="T2375" t="s">
        <v>12902</v>
      </c>
      <c r="U2375" t="s">
        <v>12902</v>
      </c>
      <c r="V2375" t="s">
        <v>12902</v>
      </c>
      <c r="W2375" t="s">
        <v>15238</v>
      </c>
      <c r="X2375">
        <v>3</v>
      </c>
      <c r="Y2375" t="s">
        <v>21589</v>
      </c>
      <c r="Z2375" t="s">
        <v>27950</v>
      </c>
      <c r="AA2375">
        <v>0.85922825968652328</v>
      </c>
      <c r="AB2375" t="str">
        <f>HYPERLINK("Melting_Curves/meltCurve_P32189_1_GK.pdf", "Melting_Curves/meltCurve_P32189_1_GK.pdf")</f>
        <v>Melting_Curves/meltCurve_P32189_1_GK.pdf</v>
      </c>
    </row>
    <row r="2376" spans="1:28" x14ac:dyDescent="0.25">
      <c r="A2376" t="s">
        <v>2380</v>
      </c>
      <c r="B2376">
        <v>0.99673306730245903</v>
      </c>
      <c r="C2376">
        <v>1.0165480238204101</v>
      </c>
      <c r="D2376">
        <v>1.0421534706432101</v>
      </c>
      <c r="E2376">
        <v>1.15977820247039</v>
      </c>
      <c r="F2376">
        <v>1.10692159445933</v>
      </c>
      <c r="G2376">
        <v>1.03189536000922</v>
      </c>
      <c r="H2376">
        <v>0.71534649621525703</v>
      </c>
      <c r="I2376">
        <v>0.397823060324205</v>
      </c>
      <c r="J2376">
        <v>0.105179377897925</v>
      </c>
      <c r="K2376">
        <v>6.0736421629474298E-2</v>
      </c>
      <c r="L2376">
        <v>2054.0851318138898</v>
      </c>
      <c r="M2376">
        <v>32.693563682064401</v>
      </c>
      <c r="N2376">
        <v>62.904068388646799</v>
      </c>
      <c r="O2376">
        <v>62.594761931069002</v>
      </c>
      <c r="P2376">
        <v>-0.128060133033293</v>
      </c>
      <c r="Q2376">
        <v>1.92740880248197E-2</v>
      </c>
      <c r="R2376">
        <v>0.971112196388487</v>
      </c>
      <c r="S2376" t="s">
        <v>8828</v>
      </c>
      <c r="T2376" t="s">
        <v>12902</v>
      </c>
      <c r="U2376" t="s">
        <v>12902</v>
      </c>
      <c r="V2376" t="s">
        <v>12902</v>
      </c>
      <c r="W2376" t="s">
        <v>15239</v>
      </c>
      <c r="X2376">
        <v>9</v>
      </c>
      <c r="Y2376" t="s">
        <v>21590</v>
      </c>
      <c r="Z2376" t="s">
        <v>27951</v>
      </c>
      <c r="AA2376">
        <v>0.769063458965623</v>
      </c>
      <c r="AB2376" t="str">
        <f>HYPERLINK("Melting_Curves/meltCurve_P32321_2_DCTD.pdf", "Melting_Curves/meltCurve_P32321_2_DCTD.pdf")</f>
        <v>Melting_Curves/meltCurve_P32321_2_DCTD.pdf</v>
      </c>
    </row>
    <row r="2377" spans="1:28" x14ac:dyDescent="0.25">
      <c r="A2377" t="s">
        <v>2381</v>
      </c>
      <c r="B2377">
        <v>0.99673306730245903</v>
      </c>
      <c r="C2377">
        <v>0.98367115920482395</v>
      </c>
      <c r="D2377">
        <v>1.0165713286404201</v>
      </c>
      <c r="E2377">
        <v>1.10052777788748</v>
      </c>
      <c r="F2377">
        <v>1.04874652611137</v>
      </c>
      <c r="G2377">
        <v>0.94838135787300804</v>
      </c>
      <c r="H2377">
        <v>0.80394928500559404</v>
      </c>
      <c r="I2377">
        <v>0.65367587933096705</v>
      </c>
      <c r="J2377">
        <v>0.629163021911056</v>
      </c>
      <c r="K2377">
        <v>0.200425147555998</v>
      </c>
      <c r="L2377">
        <v>1209.2895482358199</v>
      </c>
      <c r="M2377">
        <v>18.092818339218098</v>
      </c>
      <c r="N2377">
        <v>66.838097508864294</v>
      </c>
      <c r="O2377">
        <v>66.037653366594</v>
      </c>
      <c r="P2377">
        <v>-6.8497660067719901E-2</v>
      </c>
      <c r="Q2377">
        <v>0</v>
      </c>
      <c r="R2377">
        <v>0.92508850683683397</v>
      </c>
      <c r="S2377" t="s">
        <v>8829</v>
      </c>
      <c r="T2377" t="s">
        <v>12902</v>
      </c>
      <c r="U2377" t="s">
        <v>12902</v>
      </c>
      <c r="V2377" t="s">
        <v>12902</v>
      </c>
      <c r="W2377" t="s">
        <v>15240</v>
      </c>
      <c r="X2377">
        <v>19</v>
      </c>
      <c r="Y2377" t="s">
        <v>21591</v>
      </c>
      <c r="Z2377" t="s">
        <v>27952</v>
      </c>
      <c r="AA2377">
        <v>0.86084207969924198</v>
      </c>
      <c r="AB2377" t="str">
        <f>HYPERLINK("Melting_Curves/meltCurve_P32322_PYCR1.pdf", "Melting_Curves/meltCurve_P32322_PYCR1.pdf")</f>
        <v>Melting_Curves/meltCurve_P32322_PYCR1.pdf</v>
      </c>
    </row>
    <row r="2378" spans="1:28" x14ac:dyDescent="0.25">
      <c r="A2378" t="s">
        <v>2382</v>
      </c>
      <c r="B2378">
        <v>0.99673306730245903</v>
      </c>
      <c r="C2378">
        <v>0.55467861927933404</v>
      </c>
      <c r="D2378">
        <v>0.309366012665795</v>
      </c>
      <c r="E2378">
        <v>0.21014293067590201</v>
      </c>
      <c r="F2378">
        <v>0.13402499752302199</v>
      </c>
      <c r="G2378">
        <v>7.8496455387211297E-2</v>
      </c>
      <c r="H2378">
        <v>5.6208062368427597E-2</v>
      </c>
      <c r="I2378">
        <v>6.9723704541932094E-2</v>
      </c>
      <c r="J2378">
        <v>7.98846663188892E-2</v>
      </c>
      <c r="K2378">
        <v>7.3169271916278103E-2</v>
      </c>
      <c r="L2378">
        <v>1007.52147690407</v>
      </c>
      <c r="M2378">
        <v>23.1333530654436</v>
      </c>
      <c r="N2378">
        <v>43.923273715130897</v>
      </c>
      <c r="O2378">
        <v>43.231228278318497</v>
      </c>
      <c r="P2378">
        <v>-0.12192137670924599</v>
      </c>
      <c r="Q2378">
        <v>8.8638079276000897E-2</v>
      </c>
      <c r="R2378">
        <v>0.97220159114870996</v>
      </c>
      <c r="S2378" t="s">
        <v>8830</v>
      </c>
      <c r="T2378" t="s">
        <v>12902</v>
      </c>
      <c r="U2378" t="s">
        <v>12902</v>
      </c>
      <c r="V2378" t="s">
        <v>12902</v>
      </c>
      <c r="W2378" t="s">
        <v>15241</v>
      </c>
      <c r="X2378">
        <v>2</v>
      </c>
      <c r="Y2378" t="s">
        <v>21592</v>
      </c>
      <c r="Z2378" t="s">
        <v>27953</v>
      </c>
      <c r="AA2378">
        <v>0.2102864526689778</v>
      </c>
      <c r="AB2378" t="str">
        <f>HYPERLINK("Melting_Curves/meltCurve_P32519_2_ELF1.pdf", "Melting_Curves/meltCurve_P32519_2_ELF1.pdf")</f>
        <v>Melting_Curves/meltCurve_P32519_2_ELF1.pdf</v>
      </c>
    </row>
    <row r="2379" spans="1:28" x14ac:dyDescent="0.25">
      <c r="A2379" t="s">
        <v>2383</v>
      </c>
      <c r="B2379">
        <v>0.99673306730245903</v>
      </c>
      <c r="C2379">
        <v>0.87548930093811805</v>
      </c>
      <c r="D2379">
        <v>0.77771418487062505</v>
      </c>
      <c r="E2379">
        <v>0.51722226024380302</v>
      </c>
      <c r="F2379">
        <v>0.43208975550346801</v>
      </c>
      <c r="G2379">
        <v>0.25502748184372298</v>
      </c>
      <c r="H2379">
        <v>0.16690439432708701</v>
      </c>
      <c r="I2379">
        <v>0.214372374985073</v>
      </c>
      <c r="J2379">
        <v>0.30991848652800902</v>
      </c>
      <c r="K2379">
        <v>0.286842982490839</v>
      </c>
      <c r="L2379">
        <v>789.30211143710198</v>
      </c>
      <c r="M2379">
        <v>16.357174450773499</v>
      </c>
      <c r="N2379">
        <v>50.187675445433399</v>
      </c>
      <c r="O2379">
        <v>47.550274660126298</v>
      </c>
      <c r="P2379">
        <v>-6.5901980940955604E-2</v>
      </c>
      <c r="Q2379">
        <v>0.233747694503502</v>
      </c>
      <c r="R2379">
        <v>0.969871917023302</v>
      </c>
      <c r="S2379" t="s">
        <v>8831</v>
      </c>
      <c r="T2379" t="s">
        <v>12902</v>
      </c>
      <c r="U2379" t="s">
        <v>12902</v>
      </c>
      <c r="V2379" t="s">
        <v>12902</v>
      </c>
      <c r="W2379" t="s">
        <v>15242</v>
      </c>
      <c r="X2379">
        <v>2</v>
      </c>
      <c r="Y2379" t="s">
        <v>21593</v>
      </c>
      <c r="Z2379" t="s">
        <v>27954</v>
      </c>
      <c r="AA2379">
        <v>0.4609835387978341</v>
      </c>
      <c r="AB2379" t="str">
        <f>HYPERLINK("Melting_Curves/meltCurve_P32780_GTF2H1.pdf", "Melting_Curves/meltCurve_P32780_GTF2H1.pdf")</f>
        <v>Melting_Curves/meltCurve_P32780_GTF2H1.pdf</v>
      </c>
    </row>
    <row r="2380" spans="1:28" x14ac:dyDescent="0.25">
      <c r="A2380" t="s">
        <v>2384</v>
      </c>
      <c r="B2380">
        <v>0.99673306730245903</v>
      </c>
      <c r="C2380">
        <v>0.972905481045372</v>
      </c>
      <c r="D2380">
        <v>0.97592677325870303</v>
      </c>
      <c r="E2380">
        <v>1.0667710138575801</v>
      </c>
      <c r="F2380">
        <v>1.0550878676378499</v>
      </c>
      <c r="G2380">
        <v>0.99070968271973703</v>
      </c>
      <c r="H2380">
        <v>0.84220029080044401</v>
      </c>
      <c r="I2380">
        <v>1.0939643078288199</v>
      </c>
      <c r="J2380">
        <v>1.16273050323966</v>
      </c>
      <c r="K2380">
        <v>0.77925685369911502</v>
      </c>
      <c r="L2380">
        <v>15000</v>
      </c>
      <c r="M2380">
        <v>213.02422528877</v>
      </c>
      <c r="Q2380">
        <v>0</v>
      </c>
      <c r="R2380">
        <v>0.41139530684320103</v>
      </c>
      <c r="S2380" t="s">
        <v>8832</v>
      </c>
      <c r="T2380" t="s">
        <v>12902</v>
      </c>
      <c r="U2380" t="s">
        <v>12902</v>
      </c>
      <c r="V2380" t="s">
        <v>12902</v>
      </c>
      <c r="W2380" t="s">
        <v>15243</v>
      </c>
      <c r="X2380">
        <v>13</v>
      </c>
      <c r="Y2380" t="s">
        <v>21594</v>
      </c>
      <c r="Z2380" t="s">
        <v>27955</v>
      </c>
      <c r="AA2380">
        <v>0.99731109431240861</v>
      </c>
      <c r="AB2380" t="str">
        <f>HYPERLINK("Melting_Curves/meltCurve_P32929_CTH.pdf", "Melting_Curves/meltCurve_P32929_CTH.pdf")</f>
        <v>Melting_Curves/meltCurve_P32929_CTH.pdf</v>
      </c>
    </row>
    <row r="2381" spans="1:28" x14ac:dyDescent="0.25">
      <c r="A2381" t="s">
        <v>2385</v>
      </c>
      <c r="B2381">
        <v>0.99673306730245903</v>
      </c>
      <c r="C2381">
        <v>1.0221323837358101</v>
      </c>
      <c r="D2381">
        <v>0.90594816328471395</v>
      </c>
      <c r="E2381">
        <v>0.91397196253415502</v>
      </c>
      <c r="F2381">
        <v>0.985237185658693</v>
      </c>
      <c r="G2381">
        <v>0.64314101554269698</v>
      </c>
      <c r="H2381">
        <v>0.16606362920166401</v>
      </c>
      <c r="I2381">
        <v>0.14012019190712499</v>
      </c>
      <c r="J2381">
        <v>0.13775516226217399</v>
      </c>
      <c r="K2381">
        <v>0.12559808540105999</v>
      </c>
      <c r="L2381">
        <v>3047.04337877438</v>
      </c>
      <c r="M2381">
        <v>53.288610786300502</v>
      </c>
      <c r="N2381">
        <v>57.513393463216197</v>
      </c>
      <c r="O2381">
        <v>57.099656179282</v>
      </c>
      <c r="P2381">
        <v>-0.202313690712109</v>
      </c>
      <c r="Q2381">
        <v>0.132870285345628</v>
      </c>
      <c r="R2381">
        <v>0.98892121533150201</v>
      </c>
      <c r="S2381" t="s">
        <v>8833</v>
      </c>
      <c r="T2381" t="s">
        <v>12902</v>
      </c>
      <c r="U2381" t="s">
        <v>12902</v>
      </c>
      <c r="V2381" t="s">
        <v>12902</v>
      </c>
      <c r="W2381" t="s">
        <v>15244</v>
      </c>
      <c r="X2381">
        <v>11</v>
      </c>
      <c r="Y2381" t="s">
        <v>21595</v>
      </c>
      <c r="Z2381" t="s">
        <v>27956</v>
      </c>
      <c r="AA2381">
        <v>0.63136827691482134</v>
      </c>
      <c r="AB2381" t="str">
        <f>HYPERLINK("Melting_Curves/meltCurve_P32969_RPL9.pdf", "Melting_Curves/meltCurve_P32969_RPL9.pdf")</f>
        <v>Melting_Curves/meltCurve_P32969_RPL9.pdf</v>
      </c>
    </row>
    <row r="2382" spans="1:28" x14ac:dyDescent="0.25">
      <c r="A2382" t="s">
        <v>2386</v>
      </c>
      <c r="B2382">
        <v>0.99673306730245903</v>
      </c>
      <c r="C2382">
        <v>0.92557352785439795</v>
      </c>
      <c r="D2382">
        <v>0.85889734022627695</v>
      </c>
      <c r="E2382">
        <v>0.83557650397300498</v>
      </c>
      <c r="F2382">
        <v>0.21174601471908</v>
      </c>
      <c r="G2382">
        <v>0.118833646149915</v>
      </c>
      <c r="H2382">
        <v>6.3145845515076807E-2</v>
      </c>
      <c r="I2382">
        <v>6.5359204488307093E-2</v>
      </c>
      <c r="J2382">
        <v>7.1950620408027702E-2</v>
      </c>
      <c r="K2382">
        <v>7.3095289084971302E-2</v>
      </c>
      <c r="L2382">
        <v>2237.08142929731</v>
      </c>
      <c r="M2382">
        <v>43.6799562392222</v>
      </c>
      <c r="N2382">
        <v>51.403147664917903</v>
      </c>
      <c r="O2382">
        <v>51.108285923112398</v>
      </c>
      <c r="P2382">
        <v>-0.19790184982432901</v>
      </c>
      <c r="Q2382">
        <v>7.3771084416903304E-2</v>
      </c>
      <c r="R2382">
        <v>0.98398133636825702</v>
      </c>
      <c r="S2382" t="s">
        <v>8834</v>
      </c>
      <c r="T2382" t="s">
        <v>12902</v>
      </c>
      <c r="U2382" t="s">
        <v>12902</v>
      </c>
      <c r="V2382" t="s">
        <v>12902</v>
      </c>
      <c r="W2382" t="s">
        <v>15245</v>
      </c>
      <c r="X2382">
        <v>27</v>
      </c>
      <c r="Y2382" t="s">
        <v>21596</v>
      </c>
      <c r="Z2382" t="s">
        <v>27957</v>
      </c>
      <c r="AA2382">
        <v>0.42278126943140271</v>
      </c>
      <c r="AB2382" t="str">
        <f>HYPERLINK("Melting_Curves/meltCurve_P33121_ACSL1.pdf", "Melting_Curves/meltCurve_P33121_ACSL1.pdf")</f>
        <v>Melting_Curves/meltCurve_P33121_ACSL1.pdf</v>
      </c>
    </row>
    <row r="2383" spans="1:28" x14ac:dyDescent="0.25">
      <c r="A2383" t="s">
        <v>2387</v>
      </c>
      <c r="B2383">
        <v>0.99673306730245903</v>
      </c>
      <c r="C2383">
        <v>0.96388747521237195</v>
      </c>
      <c r="D2383">
        <v>0.91908216392026498</v>
      </c>
      <c r="E2383">
        <v>1.14345947398051</v>
      </c>
      <c r="F2383">
        <v>0.20989510891364299</v>
      </c>
      <c r="G2383">
        <v>0.16157341478748699</v>
      </c>
      <c r="H2383">
        <v>0.102581860960701</v>
      </c>
      <c r="I2383">
        <v>9.2940105703972598E-2</v>
      </c>
      <c r="J2383">
        <v>0.10047204206060199</v>
      </c>
      <c r="K2383">
        <v>8.1785511044899506E-2</v>
      </c>
      <c r="L2383">
        <v>13191.1022551073</v>
      </c>
      <c r="M2383">
        <v>250</v>
      </c>
      <c r="N2383">
        <v>52.815729245391999</v>
      </c>
      <c r="O2383">
        <v>52.761032438320399</v>
      </c>
      <c r="P2383">
        <v>-1.0568043853089499</v>
      </c>
      <c r="Q2383">
        <v>0.107870553610213</v>
      </c>
      <c r="R2383">
        <v>0.98302240323577095</v>
      </c>
      <c r="S2383" t="s">
        <v>8835</v>
      </c>
      <c r="T2383" t="s">
        <v>12902</v>
      </c>
      <c r="U2383" t="s">
        <v>12902</v>
      </c>
      <c r="V2383" t="s">
        <v>12902</v>
      </c>
      <c r="W2383" t="s">
        <v>15246</v>
      </c>
      <c r="X2383">
        <v>73</v>
      </c>
      <c r="Y2383" t="s">
        <v>21597</v>
      </c>
      <c r="Z2383" t="s">
        <v>27958</v>
      </c>
      <c r="AA2383">
        <v>0.48753667053255689</v>
      </c>
      <c r="AB2383" t="str">
        <f>HYPERLINK("Melting_Curves/meltCurve_P33176_KIF5B.pdf", "Melting_Curves/meltCurve_P33176_KIF5B.pdf")</f>
        <v>Melting_Curves/meltCurve_P33176_KIF5B.pdf</v>
      </c>
    </row>
    <row r="2384" spans="1:28" x14ac:dyDescent="0.25">
      <c r="A2384" t="s">
        <v>2388</v>
      </c>
      <c r="B2384">
        <v>0.99673306730245903</v>
      </c>
      <c r="C2384">
        <v>0.93652755752397998</v>
      </c>
      <c r="D2384">
        <v>0.88133517601431099</v>
      </c>
      <c r="E2384">
        <v>0.85791331420181505</v>
      </c>
      <c r="F2384">
        <v>0.58302069745768303</v>
      </c>
      <c r="G2384">
        <v>0.35870638046067999</v>
      </c>
      <c r="H2384">
        <v>0.23336694740528899</v>
      </c>
      <c r="I2384">
        <v>0.25528326320532502</v>
      </c>
      <c r="J2384">
        <v>0.31974637589889698</v>
      </c>
      <c r="K2384">
        <v>0.31769448854189303</v>
      </c>
      <c r="L2384">
        <v>1200.9281179132799</v>
      </c>
      <c r="M2384">
        <v>22.964469061548201</v>
      </c>
      <c r="N2384">
        <v>54.131997713093</v>
      </c>
      <c r="O2384">
        <v>51.903344541156002</v>
      </c>
      <c r="P2384">
        <v>-8.0678017275563396E-2</v>
      </c>
      <c r="Q2384">
        <v>0.27063324442953701</v>
      </c>
      <c r="R2384">
        <v>0.97590981441806202</v>
      </c>
      <c r="S2384" t="s">
        <v>8836</v>
      </c>
      <c r="T2384" t="s">
        <v>12902</v>
      </c>
      <c r="U2384" t="s">
        <v>12902</v>
      </c>
      <c r="V2384" t="s">
        <v>12902</v>
      </c>
      <c r="W2384" t="s">
        <v>15247</v>
      </c>
      <c r="X2384">
        <v>16</v>
      </c>
      <c r="Y2384" t="s">
        <v>21598</v>
      </c>
      <c r="Z2384" t="s">
        <v>27959</v>
      </c>
      <c r="AA2384">
        <v>0.57739241118321016</v>
      </c>
      <c r="AB2384" t="str">
        <f>HYPERLINK("Melting_Curves/meltCurve_P33240_2_CSTF2.pdf", "Melting_Curves/meltCurve_P33240_2_CSTF2.pdf")</f>
        <v>Melting_Curves/meltCurve_P33240_2_CSTF2.pdf</v>
      </c>
    </row>
    <row r="2385" spans="1:28" x14ac:dyDescent="0.25">
      <c r="A2385" t="s">
        <v>2389</v>
      </c>
      <c r="B2385">
        <v>0.99673306730245903</v>
      </c>
      <c r="C2385">
        <v>0.97516008644073404</v>
      </c>
      <c r="D2385">
        <v>0.95925149565811196</v>
      </c>
      <c r="E2385">
        <v>0.82187938443165798</v>
      </c>
      <c r="F2385">
        <v>0.83875785633384703</v>
      </c>
      <c r="G2385">
        <v>0.81630943740010398</v>
      </c>
      <c r="H2385">
        <v>0.646262873800173</v>
      </c>
      <c r="I2385">
        <v>0.72775770767310799</v>
      </c>
      <c r="J2385">
        <v>1.2088051652634999</v>
      </c>
      <c r="K2385">
        <v>1.1697556825306199</v>
      </c>
      <c r="L2385">
        <v>11524.4397228655</v>
      </c>
      <c r="M2385">
        <v>250</v>
      </c>
      <c r="O2385">
        <v>46.094808352861101</v>
      </c>
      <c r="P2385">
        <v>-0.14924052150707601</v>
      </c>
      <c r="Q2385">
        <v>0.88993258692757304</v>
      </c>
      <c r="R2385">
        <v>5.4301022524485501E-2</v>
      </c>
      <c r="S2385" t="s">
        <v>8837</v>
      </c>
      <c r="T2385" t="s">
        <v>12902</v>
      </c>
      <c r="U2385" t="s">
        <v>12902</v>
      </c>
      <c r="V2385" t="s">
        <v>12902</v>
      </c>
      <c r="W2385" t="s">
        <v>15248</v>
      </c>
      <c r="X2385">
        <v>1</v>
      </c>
      <c r="Y2385" t="s">
        <v>21599</v>
      </c>
      <c r="Z2385" t="s">
        <v>27960</v>
      </c>
      <c r="AA2385">
        <v>0.91231364303220397</v>
      </c>
      <c r="AB2385" t="str">
        <f>HYPERLINK("Melting_Curves/meltCurve_P33241_2_LSP1.pdf", "Melting_Curves/meltCurve_P33241_2_LSP1.pdf")</f>
        <v>Melting_Curves/meltCurve_P33241_2_LSP1.pdf</v>
      </c>
    </row>
    <row r="2386" spans="1:28" x14ac:dyDescent="0.25">
      <c r="A2386" t="s">
        <v>2390</v>
      </c>
      <c r="B2386">
        <v>0.99673306730245903</v>
      </c>
      <c r="C2386">
        <v>0.98383998551850904</v>
      </c>
      <c r="D2386">
        <v>1.0027191548610399</v>
      </c>
      <c r="E2386">
        <v>0.90226885839835402</v>
      </c>
      <c r="F2386">
        <v>0.66140401509920799</v>
      </c>
      <c r="G2386">
        <v>0.38439055418074303</v>
      </c>
      <c r="H2386">
        <v>0.163803241973216</v>
      </c>
      <c r="I2386">
        <v>0.126717288758318</v>
      </c>
      <c r="J2386">
        <v>0.16380999451992001</v>
      </c>
      <c r="K2386">
        <v>0.177126034415825</v>
      </c>
      <c r="L2386">
        <v>1285.7834869830999</v>
      </c>
      <c r="M2386">
        <v>23.7112969982837</v>
      </c>
      <c r="N2386">
        <v>54.979171181893598</v>
      </c>
      <c r="O2386">
        <v>53.845310624234401</v>
      </c>
      <c r="P2386">
        <v>-9.4835910400646206E-2</v>
      </c>
      <c r="Q2386">
        <v>0.13857323257926399</v>
      </c>
      <c r="R2386">
        <v>0.99615328564071903</v>
      </c>
      <c r="S2386" t="s">
        <v>8838</v>
      </c>
      <c r="T2386" t="s">
        <v>12902</v>
      </c>
      <c r="U2386" t="s">
        <v>12902</v>
      </c>
      <c r="V2386" t="s">
        <v>12902</v>
      </c>
      <c r="W2386" t="s">
        <v>15249</v>
      </c>
      <c r="X2386">
        <v>13</v>
      </c>
      <c r="Y2386" t="s">
        <v>21600</v>
      </c>
      <c r="Z2386" t="s">
        <v>27961</v>
      </c>
      <c r="AA2386">
        <v>0.55584495725852179</v>
      </c>
      <c r="AB2386" t="str">
        <f>HYPERLINK("Melting_Curves/meltCurve_P33316_2_DUT.pdf", "Melting_Curves/meltCurve_P33316_2_DUT.pdf")</f>
        <v>Melting_Curves/meltCurve_P33316_2_DUT.pdf</v>
      </c>
    </row>
    <row r="2387" spans="1:28" x14ac:dyDescent="0.25">
      <c r="A2387" t="s">
        <v>2391</v>
      </c>
      <c r="B2387">
        <v>0.99673306730245903</v>
      </c>
      <c r="C2387">
        <v>0.92471951996275703</v>
      </c>
      <c r="D2387">
        <v>0.82603805766958505</v>
      </c>
      <c r="E2387">
        <v>0.54184142069845798</v>
      </c>
      <c r="F2387">
        <v>0.23607769817927901</v>
      </c>
      <c r="G2387">
        <v>0.161486942450905</v>
      </c>
      <c r="H2387">
        <v>0.11062763640051999</v>
      </c>
      <c r="I2387">
        <v>0.11572820588883</v>
      </c>
      <c r="J2387">
        <v>0.14819665561381801</v>
      </c>
      <c r="K2387">
        <v>0.13369752977848101</v>
      </c>
      <c r="L2387">
        <v>1046.11424939229</v>
      </c>
      <c r="M2387">
        <v>21.2893125314061</v>
      </c>
      <c r="N2387">
        <v>49.763896164177197</v>
      </c>
      <c r="O2387">
        <v>48.710604955803703</v>
      </c>
      <c r="P2387">
        <v>-9.6433106669566906E-2</v>
      </c>
      <c r="Q2387">
        <v>0.11745466478555699</v>
      </c>
      <c r="R2387">
        <v>0.99639404352989203</v>
      </c>
      <c r="S2387" t="s">
        <v>8839</v>
      </c>
      <c r="T2387" t="s">
        <v>12902</v>
      </c>
      <c r="U2387" t="s">
        <v>12902</v>
      </c>
      <c r="V2387" t="s">
        <v>12902</v>
      </c>
      <c r="W2387" t="s">
        <v>15250</v>
      </c>
      <c r="X2387">
        <v>3</v>
      </c>
      <c r="Y2387" t="s">
        <v>21601</v>
      </c>
      <c r="Z2387" t="s">
        <v>27962</v>
      </c>
      <c r="AA2387">
        <v>0.39715509347503353</v>
      </c>
      <c r="AB2387" t="str">
        <f>HYPERLINK("Melting_Curves/meltCurve_P33552_CKS2.pdf", "Melting_Curves/meltCurve_P33552_CKS2.pdf")</f>
        <v>Melting_Curves/meltCurve_P33552_CKS2.pdf</v>
      </c>
    </row>
    <row r="2388" spans="1:28" x14ac:dyDescent="0.25">
      <c r="A2388" t="s">
        <v>2392</v>
      </c>
      <c r="B2388">
        <v>0.99673306730245903</v>
      </c>
      <c r="C2388">
        <v>1.0199775426839299</v>
      </c>
      <c r="D2388">
        <v>1.01549446105597</v>
      </c>
      <c r="E2388">
        <v>0.98644784437171695</v>
      </c>
      <c r="F2388">
        <v>0.71897722987150903</v>
      </c>
      <c r="G2388">
        <v>0.57965976726833901</v>
      </c>
      <c r="H2388">
        <v>0.287045470189082</v>
      </c>
      <c r="I2388">
        <v>0.221300116377255</v>
      </c>
      <c r="J2388">
        <v>0.21026743026359901</v>
      </c>
      <c r="K2388">
        <v>0.16140333860110001</v>
      </c>
      <c r="L2388">
        <v>1071.0793024391601</v>
      </c>
      <c r="M2388">
        <v>19.069436937540999</v>
      </c>
      <c r="N2388">
        <v>57.255976195072002</v>
      </c>
      <c r="O2388">
        <v>55.560591030048002</v>
      </c>
      <c r="P2388">
        <v>-7.2760011108336506E-2</v>
      </c>
      <c r="Q2388">
        <v>0.15206087965940199</v>
      </c>
      <c r="R2388">
        <v>0.99093004504565996</v>
      </c>
      <c r="S2388" t="s">
        <v>8840</v>
      </c>
      <c r="T2388" t="s">
        <v>12902</v>
      </c>
      <c r="U2388" t="s">
        <v>12902</v>
      </c>
      <c r="V2388" t="s">
        <v>12902</v>
      </c>
      <c r="W2388" t="s">
        <v>15251</v>
      </c>
      <c r="X2388">
        <v>8</v>
      </c>
      <c r="Y2388" t="s">
        <v>21602</v>
      </c>
      <c r="Z2388" t="s">
        <v>27963</v>
      </c>
      <c r="AA2388">
        <v>0.62055953426715404</v>
      </c>
      <c r="AB2388" t="str">
        <f>HYPERLINK("Melting_Curves/meltCurve_P33764_S100A3.pdf", "Melting_Curves/meltCurve_P33764_S100A3.pdf")</f>
        <v>Melting_Curves/meltCurve_P33764_S100A3.pdf</v>
      </c>
    </row>
    <row r="2389" spans="1:28" x14ac:dyDescent="0.25">
      <c r="A2389" t="s">
        <v>2393</v>
      </c>
      <c r="B2389">
        <v>0.99673306730245903</v>
      </c>
      <c r="C2389">
        <v>0.959426406271781</v>
      </c>
      <c r="D2389">
        <v>0.96159899815312899</v>
      </c>
      <c r="E2389">
        <v>0.87155011551796402</v>
      </c>
      <c r="F2389">
        <v>0.72795415380877504</v>
      </c>
      <c r="G2389">
        <v>0.34874777336159102</v>
      </c>
      <c r="H2389">
        <v>0.13530818057795199</v>
      </c>
      <c r="I2389">
        <v>9.4842677203689899E-2</v>
      </c>
      <c r="J2389">
        <v>7.8867560947120802E-2</v>
      </c>
      <c r="K2389">
        <v>7.0552828910672494E-2</v>
      </c>
      <c r="L2389">
        <v>1215.1390171404901</v>
      </c>
      <c r="M2389">
        <v>22.1245859313022</v>
      </c>
      <c r="N2389">
        <v>55.2091442075793</v>
      </c>
      <c r="O2389">
        <v>54.479780244528598</v>
      </c>
      <c r="P2389">
        <v>-9.6021149483906706E-2</v>
      </c>
      <c r="Q2389">
        <v>5.42473423735002E-2</v>
      </c>
      <c r="R2389">
        <v>0.99572560800502696</v>
      </c>
      <c r="S2389" t="s">
        <v>8841</v>
      </c>
      <c r="T2389" t="s">
        <v>12902</v>
      </c>
      <c r="U2389" t="s">
        <v>12902</v>
      </c>
      <c r="V2389" t="s">
        <v>12902</v>
      </c>
      <c r="W2389" t="s">
        <v>15252</v>
      </c>
      <c r="X2389">
        <v>7</v>
      </c>
      <c r="Y2389" t="s">
        <v>21603</v>
      </c>
      <c r="Z2389" t="s">
        <v>27964</v>
      </c>
      <c r="AA2389">
        <v>0.53545031125275255</v>
      </c>
      <c r="AB2389" t="str">
        <f>HYPERLINK("Melting_Curves/meltCurve_P33908_MAN1A1.pdf", "Melting_Curves/meltCurve_P33908_MAN1A1.pdf")</f>
        <v>Melting_Curves/meltCurve_P33908_MAN1A1.pdf</v>
      </c>
    </row>
    <row r="2390" spans="1:28" x14ac:dyDescent="0.25">
      <c r="A2390" t="s">
        <v>2394</v>
      </c>
      <c r="B2390">
        <v>0.99673306730245903</v>
      </c>
      <c r="C2390">
        <v>0.81671992279940198</v>
      </c>
      <c r="D2390">
        <v>0.49553301924469301</v>
      </c>
      <c r="E2390">
        <v>0.29728348550545602</v>
      </c>
      <c r="F2390">
        <v>0.216778395163577</v>
      </c>
      <c r="G2390">
        <v>0.14964492973312299</v>
      </c>
      <c r="H2390">
        <v>9.6053951489914205E-2</v>
      </c>
      <c r="I2390">
        <v>7.6571538724813107E-2</v>
      </c>
      <c r="J2390">
        <v>7.71796464557154E-2</v>
      </c>
      <c r="K2390">
        <v>7.1168676800656194E-2</v>
      </c>
      <c r="L2390">
        <v>812.01504898548205</v>
      </c>
      <c r="M2390">
        <v>17.654556730802302</v>
      </c>
      <c r="N2390">
        <v>46.519361101707297</v>
      </c>
      <c r="O2390">
        <v>45.416692998483498</v>
      </c>
      <c r="P2390">
        <v>-8.8412134376834706E-2</v>
      </c>
      <c r="Q2390">
        <v>9.0280673267543493E-2</v>
      </c>
      <c r="R2390">
        <v>0.98953480681794104</v>
      </c>
      <c r="S2390" t="s">
        <v>8842</v>
      </c>
      <c r="T2390" t="s">
        <v>12902</v>
      </c>
      <c r="U2390" t="s">
        <v>12902</v>
      </c>
      <c r="V2390" t="s">
        <v>12902</v>
      </c>
      <c r="W2390" t="s">
        <v>15253</v>
      </c>
      <c r="X2390">
        <v>7</v>
      </c>
      <c r="Y2390" t="s">
        <v>21604</v>
      </c>
      <c r="Z2390" t="s">
        <v>27965</v>
      </c>
      <c r="AA2390">
        <v>0.29072084391510999</v>
      </c>
      <c r="AB2390" t="str">
        <f>HYPERLINK("Melting_Curves/meltCurve_P33981_2_TTK.pdf", "Melting_Curves/meltCurve_P33981_2_TTK.pdf")</f>
        <v>Melting_Curves/meltCurve_P33981_2_TTK.pdf</v>
      </c>
    </row>
    <row r="2391" spans="1:28" x14ac:dyDescent="0.25">
      <c r="A2391" t="s">
        <v>2395</v>
      </c>
      <c r="B2391">
        <v>0.99673306730245903</v>
      </c>
      <c r="C2391">
        <v>0.89615200028497199</v>
      </c>
      <c r="D2391">
        <v>0.93317230365414705</v>
      </c>
      <c r="E2391">
        <v>0.87662752951426803</v>
      </c>
      <c r="F2391">
        <v>0.25836800398670601</v>
      </c>
      <c r="G2391">
        <v>0.153130581043425</v>
      </c>
      <c r="H2391">
        <v>9.5649948823985795E-2</v>
      </c>
      <c r="I2391">
        <v>7.3070414876389295E-2</v>
      </c>
      <c r="J2391">
        <v>6.1930938212523601E-2</v>
      </c>
      <c r="K2391">
        <v>5.10927674853352E-2</v>
      </c>
      <c r="L2391">
        <v>2270.0734071778102</v>
      </c>
      <c r="M2391">
        <v>44.013958647607602</v>
      </c>
      <c r="N2391">
        <v>51.7857010710308</v>
      </c>
      <c r="O2391">
        <v>51.470085525217101</v>
      </c>
      <c r="P2391">
        <v>-0.19635083729833799</v>
      </c>
      <c r="Q2391">
        <v>8.1547727146398893E-2</v>
      </c>
      <c r="R2391">
        <v>0.98782166648807501</v>
      </c>
      <c r="S2391" t="s">
        <v>8843</v>
      </c>
      <c r="T2391" t="s">
        <v>12902</v>
      </c>
      <c r="U2391" t="s">
        <v>12902</v>
      </c>
      <c r="V2391" t="s">
        <v>12902</v>
      </c>
      <c r="W2391" t="s">
        <v>15254</v>
      </c>
      <c r="X2391">
        <v>32</v>
      </c>
      <c r="Y2391" t="s">
        <v>21605</v>
      </c>
      <c r="Z2391" t="s">
        <v>27966</v>
      </c>
      <c r="AA2391">
        <v>0.43865481198508183</v>
      </c>
      <c r="AB2391" t="str">
        <f>HYPERLINK("Melting_Curves/meltCurve_P33991_MCM4.pdf", "Melting_Curves/meltCurve_P33991_MCM4.pdf")</f>
        <v>Melting_Curves/meltCurve_P33991_MCM4.pdf</v>
      </c>
    </row>
    <row r="2392" spans="1:28" x14ac:dyDescent="0.25">
      <c r="A2392" t="s">
        <v>2396</v>
      </c>
      <c r="B2392">
        <v>0.99673306730245903</v>
      </c>
      <c r="C2392">
        <v>0.93318890882664896</v>
      </c>
      <c r="D2392">
        <v>1.0122942590314301</v>
      </c>
      <c r="E2392">
        <v>0.99588682735352996</v>
      </c>
      <c r="F2392">
        <v>0.67071270446213105</v>
      </c>
      <c r="G2392">
        <v>0.25560074984973202</v>
      </c>
      <c r="H2392">
        <v>0.128189534120768</v>
      </c>
      <c r="I2392">
        <v>0.100377670565952</v>
      </c>
      <c r="J2392">
        <v>9.4094001336625196E-2</v>
      </c>
      <c r="K2392">
        <v>8.6474474819154906E-2</v>
      </c>
      <c r="L2392">
        <v>1860.1906229669701</v>
      </c>
      <c r="M2392">
        <v>34.353895819285299</v>
      </c>
      <c r="N2392">
        <v>54.487997589088799</v>
      </c>
      <c r="O2392">
        <v>53.965387826005902</v>
      </c>
      <c r="P2392">
        <v>-0.14378984325632499</v>
      </c>
      <c r="Q2392">
        <v>9.6504787145819795E-2</v>
      </c>
      <c r="R2392">
        <v>0.99626194736294804</v>
      </c>
      <c r="S2392" t="s">
        <v>8844</v>
      </c>
      <c r="T2392" t="s">
        <v>12902</v>
      </c>
      <c r="U2392" t="s">
        <v>12902</v>
      </c>
      <c r="V2392" t="s">
        <v>12902</v>
      </c>
      <c r="W2392" t="s">
        <v>15255</v>
      </c>
      <c r="X2392">
        <v>32</v>
      </c>
      <c r="Y2392" t="s">
        <v>21606</v>
      </c>
      <c r="Z2392" t="s">
        <v>27967</v>
      </c>
      <c r="AA2392">
        <v>0.527154174743656</v>
      </c>
      <c r="AB2392" t="str">
        <f>HYPERLINK("Melting_Curves/meltCurve_P33992_MCM5.pdf", "Melting_Curves/meltCurve_P33992_MCM5.pdf")</f>
        <v>Melting_Curves/meltCurve_P33992_MCM5.pdf</v>
      </c>
    </row>
    <row r="2393" spans="1:28" x14ac:dyDescent="0.25">
      <c r="A2393" t="s">
        <v>2397</v>
      </c>
      <c r="B2393">
        <v>0.99673306730245903</v>
      </c>
      <c r="C2393">
        <v>0.84788060675994703</v>
      </c>
      <c r="D2393">
        <v>0.86166613172280304</v>
      </c>
      <c r="E2393">
        <v>0.80860243145735999</v>
      </c>
      <c r="F2393">
        <v>0.226187797040898</v>
      </c>
      <c r="G2393">
        <v>0.14405356800840999</v>
      </c>
      <c r="H2393">
        <v>8.9594272405727801E-2</v>
      </c>
      <c r="I2393">
        <v>8.00564030985116E-2</v>
      </c>
      <c r="J2393">
        <v>7.7147579475517106E-2</v>
      </c>
      <c r="K2393">
        <v>7.2829868013963198E-2</v>
      </c>
      <c r="L2393">
        <v>1951.0865714885399</v>
      </c>
      <c r="M2393">
        <v>38.174431100007602</v>
      </c>
      <c r="N2393">
        <v>51.359942701325998</v>
      </c>
      <c r="O2393">
        <v>50.970102276256398</v>
      </c>
      <c r="P2393">
        <v>-0.17135495377986801</v>
      </c>
      <c r="Q2393">
        <v>8.4836475101678702E-2</v>
      </c>
      <c r="R2393">
        <v>0.97089858487396397</v>
      </c>
      <c r="S2393" t="s">
        <v>8845</v>
      </c>
      <c r="T2393" t="s">
        <v>12902</v>
      </c>
      <c r="U2393" t="s">
        <v>12902</v>
      </c>
      <c r="V2393" t="s">
        <v>12902</v>
      </c>
      <c r="W2393" t="s">
        <v>15256</v>
      </c>
      <c r="X2393">
        <v>25</v>
      </c>
      <c r="Y2393" t="s">
        <v>21607</v>
      </c>
      <c r="Z2393" t="s">
        <v>27968</v>
      </c>
      <c r="AA2393">
        <v>0.42729686901646757</v>
      </c>
      <c r="AB2393" t="str">
        <f>HYPERLINK("Melting_Curves/meltCurve_P33993_MCM7.pdf", "Melting_Curves/meltCurve_P33993_MCM7.pdf")</f>
        <v>Melting_Curves/meltCurve_P33993_MCM7.pdf</v>
      </c>
    </row>
    <row r="2394" spans="1:28" x14ac:dyDescent="0.25">
      <c r="A2394" t="s">
        <v>2398</v>
      </c>
      <c r="B2394">
        <v>0.99673306730245903</v>
      </c>
      <c r="C2394">
        <v>0.97994348325648795</v>
      </c>
      <c r="D2394">
        <v>0.97786377882943298</v>
      </c>
      <c r="E2394">
        <v>1.05418696395732</v>
      </c>
      <c r="F2394">
        <v>1.0302560696224301</v>
      </c>
      <c r="G2394">
        <v>0.96097029044958304</v>
      </c>
      <c r="H2394">
        <v>0.80849653383168096</v>
      </c>
      <c r="I2394">
        <v>1.0312766808543301</v>
      </c>
      <c r="J2394">
        <v>1.2771979287495101</v>
      </c>
      <c r="K2394">
        <v>0.96256702443980002</v>
      </c>
      <c r="L2394">
        <v>15000</v>
      </c>
      <c r="M2394">
        <v>233.335663722649</v>
      </c>
      <c r="O2394">
        <v>64.280344777829001</v>
      </c>
      <c r="P2394">
        <v>0.108786089007292</v>
      </c>
      <c r="Q2394">
        <v>1.1198755088833401</v>
      </c>
      <c r="R2394">
        <v>0.239331090129939</v>
      </c>
      <c r="S2394" t="s">
        <v>8846</v>
      </c>
      <c r="T2394" t="s">
        <v>12902</v>
      </c>
      <c r="U2394" t="s">
        <v>12902</v>
      </c>
      <c r="V2394" t="s">
        <v>12902</v>
      </c>
      <c r="W2394" t="s">
        <v>15257</v>
      </c>
      <c r="X2394">
        <v>13</v>
      </c>
      <c r="Y2394" t="s">
        <v>21608</v>
      </c>
      <c r="Z2394" t="s">
        <v>27969</v>
      </c>
      <c r="AA2394">
        <v>1.022820470255384</v>
      </c>
      <c r="AB2394" t="str">
        <f>HYPERLINK("Melting_Curves/meltCurve_P34059_GALNS.pdf", "Melting_Curves/meltCurve_P34059_GALNS.pdf")</f>
        <v>Melting_Curves/meltCurve_P34059_GALNS.pdf</v>
      </c>
    </row>
    <row r="2395" spans="1:28" x14ac:dyDescent="0.25">
      <c r="A2395" t="s">
        <v>2399</v>
      </c>
      <c r="B2395">
        <v>0.99673306730245903</v>
      </c>
      <c r="C2395">
        <v>0.96363235848222795</v>
      </c>
      <c r="D2395">
        <v>1.0480392217607699</v>
      </c>
      <c r="E2395">
        <v>1.14439156436476</v>
      </c>
      <c r="F2395">
        <v>1.1671763114673299</v>
      </c>
      <c r="G2395">
        <v>0.93782772575111595</v>
      </c>
      <c r="H2395">
        <v>0.89674160899103295</v>
      </c>
      <c r="I2395">
        <v>0.40936594360877898</v>
      </c>
      <c r="J2395">
        <v>0.163535662203495</v>
      </c>
      <c r="K2395">
        <v>9.2470402827286802E-2</v>
      </c>
      <c r="L2395">
        <v>3094.8227098898701</v>
      </c>
      <c r="M2395">
        <v>48.958460847502501</v>
      </c>
      <c r="N2395">
        <v>63.492577516436803</v>
      </c>
      <c r="O2395">
        <v>63.108041742168602</v>
      </c>
      <c r="P2395">
        <v>-0.17515577598394799</v>
      </c>
      <c r="Q2395">
        <v>9.6889331990837296E-2</v>
      </c>
      <c r="R2395">
        <v>0.96141925216282897</v>
      </c>
      <c r="S2395" t="s">
        <v>8847</v>
      </c>
      <c r="T2395" t="s">
        <v>12902</v>
      </c>
      <c r="U2395" t="s">
        <v>12902</v>
      </c>
      <c r="V2395" t="s">
        <v>12902</v>
      </c>
      <c r="W2395" t="s">
        <v>15258</v>
      </c>
      <c r="X2395">
        <v>25</v>
      </c>
      <c r="Y2395" t="s">
        <v>21609</v>
      </c>
      <c r="Z2395" t="s">
        <v>27970</v>
      </c>
      <c r="AA2395">
        <v>0.79788845903608197</v>
      </c>
      <c r="AB2395" t="str">
        <f>HYPERLINK("Melting_Curves/meltCurve_P34896_2_SHMT1.pdf", "Melting_Curves/meltCurve_P34896_2_SHMT1.pdf")</f>
        <v>Melting_Curves/meltCurve_P34896_2_SHMT1.pdf</v>
      </c>
    </row>
    <row r="2396" spans="1:28" x14ac:dyDescent="0.25">
      <c r="A2396" t="s">
        <v>2400</v>
      </c>
      <c r="B2396">
        <v>0.99673306730245903</v>
      </c>
      <c r="C2396">
        <v>0.96171790543803404</v>
      </c>
      <c r="D2396">
        <v>1.0497715420743501</v>
      </c>
      <c r="E2396">
        <v>1.0858205316151699</v>
      </c>
      <c r="F2396">
        <v>1.0214230495352901</v>
      </c>
      <c r="G2396">
        <v>0.90789120048649397</v>
      </c>
      <c r="H2396">
        <v>0.56843479622204196</v>
      </c>
      <c r="I2396">
        <v>0.16764771095918199</v>
      </c>
      <c r="J2396">
        <v>0.100104655711706</v>
      </c>
      <c r="K2396">
        <v>7.7569689362886898E-2</v>
      </c>
      <c r="L2396">
        <v>2313.3095783007202</v>
      </c>
      <c r="M2396">
        <v>37.972635424894399</v>
      </c>
      <c r="N2396">
        <v>61.140575650621699</v>
      </c>
      <c r="O2396">
        <v>60.752223964685797</v>
      </c>
      <c r="P2396">
        <v>-0.146276831107466</v>
      </c>
      <c r="Q2396">
        <v>6.3892293958755605E-2</v>
      </c>
      <c r="R2396">
        <v>0.99109685621649102</v>
      </c>
      <c r="S2396" t="s">
        <v>8848</v>
      </c>
      <c r="T2396" t="s">
        <v>12902</v>
      </c>
      <c r="U2396" t="s">
        <v>12902</v>
      </c>
      <c r="V2396" t="s">
        <v>12902</v>
      </c>
      <c r="W2396" t="s">
        <v>15259</v>
      </c>
      <c r="X2396">
        <v>46</v>
      </c>
      <c r="Y2396" t="s">
        <v>21610</v>
      </c>
      <c r="Z2396" t="s">
        <v>27971</v>
      </c>
      <c r="AA2396">
        <v>0.72055459150036516</v>
      </c>
      <c r="AB2396" t="str">
        <f>HYPERLINK("Melting_Curves/meltCurve_P34897_3_SHMT2.pdf", "Melting_Curves/meltCurve_P34897_3_SHMT2.pdf")</f>
        <v>Melting_Curves/meltCurve_P34897_3_SHMT2.pdf</v>
      </c>
    </row>
    <row r="2397" spans="1:28" x14ac:dyDescent="0.25">
      <c r="A2397" t="s">
        <v>2401</v>
      </c>
      <c r="B2397">
        <v>0.99673306730245903</v>
      </c>
      <c r="C2397">
        <v>1.0811861468775801</v>
      </c>
      <c r="D2397">
        <v>0.75874787593839998</v>
      </c>
      <c r="E2397">
        <v>0.94960260104446403</v>
      </c>
      <c r="F2397">
        <v>0.189507178461753</v>
      </c>
      <c r="G2397">
        <v>0.116377814488045</v>
      </c>
      <c r="H2397">
        <v>7.4166397154369401E-2</v>
      </c>
      <c r="I2397">
        <v>6.3128035848520198E-2</v>
      </c>
      <c r="J2397">
        <v>6.4665693539283101E-2</v>
      </c>
      <c r="K2397">
        <v>5.7945306246180002E-2</v>
      </c>
      <c r="L2397">
        <v>3446.7693254109099</v>
      </c>
      <c r="M2397">
        <v>66.7184407970027</v>
      </c>
      <c r="N2397">
        <v>51.786521300298297</v>
      </c>
      <c r="O2397">
        <v>51.615081882383102</v>
      </c>
      <c r="P2397">
        <v>-0.29910374796311701</v>
      </c>
      <c r="Q2397">
        <v>7.4423494062695605E-2</v>
      </c>
      <c r="R2397">
        <v>0.96315272429104104</v>
      </c>
      <c r="S2397" t="s">
        <v>8849</v>
      </c>
      <c r="T2397" t="s">
        <v>12902</v>
      </c>
      <c r="U2397" t="s">
        <v>12902</v>
      </c>
      <c r="V2397" t="s">
        <v>12902</v>
      </c>
      <c r="W2397" t="s">
        <v>15260</v>
      </c>
      <c r="X2397">
        <v>73</v>
      </c>
      <c r="Y2397" t="s">
        <v>21611</v>
      </c>
      <c r="Z2397" t="s">
        <v>27972</v>
      </c>
      <c r="AA2397">
        <v>0.43538968759329499</v>
      </c>
      <c r="AB2397" t="str">
        <f>HYPERLINK("Melting_Curves/meltCurve_P34932_HSPA4.pdf", "Melting_Curves/meltCurve_P34932_HSPA4.pdf")</f>
        <v>Melting_Curves/meltCurve_P34932_HSPA4.pdf</v>
      </c>
    </row>
    <row r="2398" spans="1:28" x14ac:dyDescent="0.25">
      <c r="A2398" t="s">
        <v>2402</v>
      </c>
      <c r="B2398">
        <v>0.99673306730245903</v>
      </c>
      <c r="C2398">
        <v>1.0464410959914401</v>
      </c>
      <c r="D2398">
        <v>0.51843860055438296</v>
      </c>
      <c r="E2398">
        <v>0.63070351149076098</v>
      </c>
      <c r="F2398">
        <v>0.24101294826030001</v>
      </c>
      <c r="G2398">
        <v>0.13253123299473499</v>
      </c>
      <c r="H2398">
        <v>6.9949700244413895E-2</v>
      </c>
      <c r="I2398">
        <v>6.65635956374378E-2</v>
      </c>
      <c r="J2398">
        <v>8.4036325557775099E-2</v>
      </c>
      <c r="K2398">
        <v>5.4685907311077399E-2</v>
      </c>
      <c r="L2398">
        <v>712.25319079651899</v>
      </c>
      <c r="M2398">
        <v>14.5088818588889</v>
      </c>
      <c r="N2398">
        <v>49.3555035324313</v>
      </c>
      <c r="O2398">
        <v>48.186535207526298</v>
      </c>
      <c r="P2398">
        <v>-7.24656475816534E-2</v>
      </c>
      <c r="Q2398">
        <v>3.7426409369800698E-2</v>
      </c>
      <c r="R2398">
        <v>0.92993423065624203</v>
      </c>
      <c r="S2398" t="s">
        <v>8850</v>
      </c>
      <c r="T2398" t="s">
        <v>12902</v>
      </c>
      <c r="U2398" t="s">
        <v>12902</v>
      </c>
      <c r="V2398" t="s">
        <v>12902</v>
      </c>
      <c r="W2398" t="s">
        <v>15261</v>
      </c>
      <c r="X2398">
        <v>9</v>
      </c>
      <c r="Y2398" t="s">
        <v>21612</v>
      </c>
      <c r="Z2398" t="s">
        <v>27973</v>
      </c>
      <c r="AA2398">
        <v>0.35430115962567971</v>
      </c>
      <c r="AB2398" t="str">
        <f>HYPERLINK("Melting_Curves/meltCurve_P34949_MPI.pdf", "Melting_Curves/meltCurve_P34949_MPI.pdf")</f>
        <v>Melting_Curves/meltCurve_P34949_MPI.pdf</v>
      </c>
    </row>
    <row r="2399" spans="1:28" x14ac:dyDescent="0.25">
      <c r="A2399" t="s">
        <v>2403</v>
      </c>
      <c r="B2399">
        <v>0.99673306730245903</v>
      </c>
      <c r="C2399">
        <v>0.98212344142865005</v>
      </c>
      <c r="D2399">
        <v>0.93607719409478196</v>
      </c>
      <c r="E2399">
        <v>0.64554400499018105</v>
      </c>
      <c r="F2399">
        <v>0.219452164036052</v>
      </c>
      <c r="G2399">
        <v>0.13445514881495399</v>
      </c>
      <c r="H2399">
        <v>6.7553165031988799E-2</v>
      </c>
      <c r="I2399">
        <v>5.7862903342653302E-2</v>
      </c>
      <c r="J2399">
        <v>6.0362143479592699E-2</v>
      </c>
      <c r="K2399">
        <v>4.9472964024907799E-2</v>
      </c>
      <c r="L2399">
        <v>1407.0410095872601</v>
      </c>
      <c r="M2399">
        <v>27.903600341652101</v>
      </c>
      <c r="N2399">
        <v>50.660911833273701</v>
      </c>
      <c r="O2399">
        <v>50.168217153341402</v>
      </c>
      <c r="P2399">
        <v>-0.13058205661337499</v>
      </c>
      <c r="Q2399">
        <v>6.0908023339232897E-2</v>
      </c>
      <c r="R2399">
        <v>0.99880722961433499</v>
      </c>
      <c r="S2399" t="s">
        <v>8851</v>
      </c>
      <c r="T2399" t="s">
        <v>12902</v>
      </c>
      <c r="U2399" t="s">
        <v>12902</v>
      </c>
      <c r="V2399" t="s">
        <v>12902</v>
      </c>
      <c r="W2399" t="s">
        <v>15262</v>
      </c>
      <c r="X2399">
        <v>14</v>
      </c>
      <c r="Y2399" t="s">
        <v>21613</v>
      </c>
      <c r="Z2399" t="s">
        <v>27974</v>
      </c>
      <c r="AA2399">
        <v>0.39401127435215699</v>
      </c>
      <c r="AB2399" t="str">
        <f>HYPERLINK("Melting_Curves/meltCurve_P35219_CA8.pdf", "Melting_Curves/meltCurve_P35219_CA8.pdf")</f>
        <v>Melting_Curves/meltCurve_P35219_CA8.pdf</v>
      </c>
    </row>
    <row r="2400" spans="1:28" x14ac:dyDescent="0.25">
      <c r="A2400" t="s">
        <v>2404</v>
      </c>
      <c r="B2400">
        <v>0.99673306730245903</v>
      </c>
      <c r="C2400">
        <v>0.90643845172244297</v>
      </c>
      <c r="D2400">
        <v>0.95389218148506505</v>
      </c>
      <c r="E2400">
        <v>1.0047748274891499</v>
      </c>
      <c r="F2400">
        <v>0.62183242098970504</v>
      </c>
      <c r="G2400">
        <v>0.26586123588953697</v>
      </c>
      <c r="H2400">
        <v>0.109918655911911</v>
      </c>
      <c r="I2400">
        <v>8.5304508918329705E-2</v>
      </c>
      <c r="J2400">
        <v>8.3350416339777605E-2</v>
      </c>
      <c r="K2400">
        <v>7.05244961640909E-2</v>
      </c>
      <c r="L2400">
        <v>1683.6486892902701</v>
      </c>
      <c r="M2400">
        <v>31.169912061952001</v>
      </c>
      <c r="N2400">
        <v>54.321548059717003</v>
      </c>
      <c r="O2400">
        <v>53.7943210191887</v>
      </c>
      <c r="P2400">
        <v>-0.13318167727417901</v>
      </c>
      <c r="Q2400">
        <v>8.0603442888301E-2</v>
      </c>
      <c r="R2400">
        <v>0.99063498145981599</v>
      </c>
      <c r="S2400" t="s">
        <v>8852</v>
      </c>
      <c r="T2400" t="s">
        <v>12902</v>
      </c>
      <c r="U2400" t="s">
        <v>12902</v>
      </c>
      <c r="V2400" t="s">
        <v>12902</v>
      </c>
      <c r="W2400" t="s">
        <v>15263</v>
      </c>
      <c r="X2400">
        <v>59</v>
      </c>
      <c r="Y2400" t="s">
        <v>21614</v>
      </c>
      <c r="Z2400" t="s">
        <v>27975</v>
      </c>
      <c r="AA2400">
        <v>0.5157297983943574</v>
      </c>
      <c r="AB2400" t="str">
        <f>HYPERLINK("Melting_Curves/meltCurve_P35221_CTNNA1.pdf", "Melting_Curves/meltCurve_P35221_CTNNA1.pdf")</f>
        <v>Melting_Curves/meltCurve_P35221_CTNNA1.pdf</v>
      </c>
    </row>
    <row r="2401" spans="1:28" x14ac:dyDescent="0.25">
      <c r="A2401" t="s">
        <v>2405</v>
      </c>
      <c r="B2401">
        <v>0.99673306730245903</v>
      </c>
      <c r="C2401">
        <v>0.91929440017340303</v>
      </c>
      <c r="D2401">
        <v>0.814521158302981</v>
      </c>
      <c r="E2401">
        <v>0.46953041183519001</v>
      </c>
      <c r="F2401">
        <v>0.27718069835446002</v>
      </c>
      <c r="G2401">
        <v>0.202170049392081</v>
      </c>
      <c r="H2401">
        <v>0.12641444155276499</v>
      </c>
      <c r="I2401">
        <v>9.9133329710014401E-2</v>
      </c>
      <c r="J2401">
        <v>0.18962875857750899</v>
      </c>
      <c r="K2401">
        <v>0.14861445108881</v>
      </c>
      <c r="L2401">
        <v>982.93858150382198</v>
      </c>
      <c r="M2401">
        <v>20.2145352100259</v>
      </c>
      <c r="N2401">
        <v>49.423767848644303</v>
      </c>
      <c r="O2401">
        <v>48.156975488907698</v>
      </c>
      <c r="P2401">
        <v>-9.0325407447988296E-2</v>
      </c>
      <c r="Q2401">
        <v>0.139300041417388</v>
      </c>
      <c r="R2401">
        <v>0.99369082128521902</v>
      </c>
      <c r="S2401" t="s">
        <v>8853</v>
      </c>
      <c r="T2401" t="s">
        <v>12902</v>
      </c>
      <c r="U2401" t="s">
        <v>12902</v>
      </c>
      <c r="V2401" t="s">
        <v>12902</v>
      </c>
      <c r="W2401" t="s">
        <v>15264</v>
      </c>
      <c r="X2401">
        <v>3</v>
      </c>
      <c r="Y2401" t="s">
        <v>21615</v>
      </c>
      <c r="Z2401" t="s">
        <v>27976</v>
      </c>
      <c r="AA2401">
        <v>0.39860315230754478</v>
      </c>
      <c r="AB2401" t="str">
        <f>HYPERLINK("Melting_Curves/meltCurve_P35227_PCGF2.pdf", "Melting_Curves/meltCurve_P35227_PCGF2.pdf")</f>
        <v>Melting_Curves/meltCurve_P35227_PCGF2.pdf</v>
      </c>
    </row>
    <row r="2402" spans="1:28" x14ac:dyDescent="0.25">
      <c r="A2402" t="s">
        <v>2406</v>
      </c>
      <c r="B2402">
        <v>0.99673306730245903</v>
      </c>
      <c r="C2402">
        <v>1.0217061891046599</v>
      </c>
      <c r="D2402">
        <v>0.97504139201462103</v>
      </c>
      <c r="E2402">
        <v>0.88271554708247801</v>
      </c>
      <c r="F2402">
        <v>0.67100783430795496</v>
      </c>
      <c r="G2402">
        <v>0.51656138466453305</v>
      </c>
      <c r="H2402">
        <v>0.41206756129045202</v>
      </c>
      <c r="I2402">
        <v>0.376634463040116</v>
      </c>
      <c r="J2402">
        <v>0.31424135821236698</v>
      </c>
      <c r="K2402">
        <v>0.201556374069913</v>
      </c>
      <c r="L2402">
        <v>750.96378754700095</v>
      </c>
      <c r="M2402">
        <v>13.628326263308301</v>
      </c>
      <c r="N2402">
        <v>57.651615219290598</v>
      </c>
      <c r="O2402">
        <v>53.957337115861797</v>
      </c>
      <c r="P2402">
        <v>-4.8864167376391897E-2</v>
      </c>
      <c r="Q2402">
        <v>0.226260712943578</v>
      </c>
      <c r="R2402">
        <v>0.98677002001709602</v>
      </c>
      <c r="S2402" t="s">
        <v>8854</v>
      </c>
      <c r="T2402" t="s">
        <v>12902</v>
      </c>
      <c r="U2402" t="s">
        <v>12902</v>
      </c>
      <c r="V2402" t="s">
        <v>12902</v>
      </c>
      <c r="W2402" t="s">
        <v>15265</v>
      </c>
      <c r="X2402">
        <v>20</v>
      </c>
      <c r="Y2402" t="s">
        <v>21616</v>
      </c>
      <c r="Z2402" t="s">
        <v>27977</v>
      </c>
      <c r="AA2402">
        <v>0.63203096799268366</v>
      </c>
      <c r="AB2402" t="str">
        <f>HYPERLINK("Melting_Curves/meltCurve_P35232_PHB.pdf", "Melting_Curves/meltCurve_P35232_PHB.pdf")</f>
        <v>Melting_Curves/meltCurve_P35232_PHB.pdf</v>
      </c>
    </row>
    <row r="2403" spans="1:28" x14ac:dyDescent="0.25">
      <c r="A2403" t="s">
        <v>2407</v>
      </c>
      <c r="B2403">
        <v>0.99673306730245903</v>
      </c>
      <c r="C2403">
        <v>0.99333842092394298</v>
      </c>
      <c r="D2403">
        <v>1.04119933057119</v>
      </c>
      <c r="E2403">
        <v>1.04092021306324</v>
      </c>
      <c r="F2403">
        <v>0.95545871192776599</v>
      </c>
      <c r="G2403">
        <v>0.70566668952800404</v>
      </c>
      <c r="H2403">
        <v>0.17750701151168899</v>
      </c>
      <c r="I2403">
        <v>8.2567249068978901E-2</v>
      </c>
      <c r="J2403">
        <v>6.8609663800596701E-2</v>
      </c>
      <c r="K2403">
        <v>5.80366547777285E-2</v>
      </c>
      <c r="L2403">
        <v>2308.0530241586198</v>
      </c>
      <c r="M2403">
        <v>39.869160931390397</v>
      </c>
      <c r="N2403">
        <v>58.077944696803101</v>
      </c>
      <c r="O2403">
        <v>57.745620951282497</v>
      </c>
      <c r="P2403">
        <v>-0.16219646072823199</v>
      </c>
      <c r="Q2403">
        <v>6.0314846479716001E-2</v>
      </c>
      <c r="R2403">
        <v>0.99790375449743596</v>
      </c>
      <c r="S2403" t="s">
        <v>8855</v>
      </c>
      <c r="T2403" t="s">
        <v>12902</v>
      </c>
      <c r="U2403" t="s">
        <v>12902</v>
      </c>
      <c r="V2403" t="s">
        <v>12902</v>
      </c>
      <c r="W2403" t="s">
        <v>15266</v>
      </c>
      <c r="X2403">
        <v>18</v>
      </c>
      <c r="Y2403" t="s">
        <v>21617</v>
      </c>
      <c r="Z2403" t="s">
        <v>27978</v>
      </c>
      <c r="AA2403">
        <v>0.62441643680176917</v>
      </c>
      <c r="AB2403" t="str">
        <f>HYPERLINK("Melting_Curves/meltCurve_P35237_SERPINB6.pdf", "Melting_Curves/meltCurve_P35237_SERPINB6.pdf")</f>
        <v>Melting_Curves/meltCurve_P35237_SERPINB6.pdf</v>
      </c>
    </row>
    <row r="2404" spans="1:28" x14ac:dyDescent="0.25">
      <c r="A2404" t="s">
        <v>2408</v>
      </c>
      <c r="B2404">
        <v>0.99673306730245903</v>
      </c>
      <c r="C2404">
        <v>0.99481403550295899</v>
      </c>
      <c r="D2404">
        <v>1.0242516612500201</v>
      </c>
      <c r="E2404">
        <v>0.993482915167758</v>
      </c>
      <c r="F2404">
        <v>0.91399139578460098</v>
      </c>
      <c r="G2404">
        <v>0.75096731880759504</v>
      </c>
      <c r="H2404">
        <v>0.12866987954079301</v>
      </c>
      <c r="I2404">
        <v>0.120345556597255</v>
      </c>
      <c r="J2404">
        <v>0.12960424286335401</v>
      </c>
      <c r="K2404">
        <v>0.118138306971525</v>
      </c>
      <c r="L2404">
        <v>3918.2043857980402</v>
      </c>
      <c r="M2404">
        <v>68.067481840464197</v>
      </c>
      <c r="N2404">
        <v>57.793070680579902</v>
      </c>
      <c r="O2404">
        <v>57.513902297310999</v>
      </c>
      <c r="P2404">
        <v>-0.26083238541855902</v>
      </c>
      <c r="Q2404">
        <v>0.118434573925699</v>
      </c>
      <c r="R2404">
        <v>0.99533374957537202</v>
      </c>
      <c r="S2404" t="s">
        <v>8856</v>
      </c>
      <c r="T2404" t="s">
        <v>12902</v>
      </c>
      <c r="U2404" t="s">
        <v>12902</v>
      </c>
      <c r="V2404" t="s">
        <v>12902</v>
      </c>
      <c r="W2404" t="s">
        <v>15267</v>
      </c>
      <c r="X2404">
        <v>49</v>
      </c>
      <c r="Y2404" t="s">
        <v>21618</v>
      </c>
      <c r="Z2404" t="s">
        <v>27979</v>
      </c>
      <c r="AA2404">
        <v>0.63575236543630675</v>
      </c>
      <c r="AB2404" t="str">
        <f>HYPERLINK("Melting_Curves/meltCurve_P35241_RDX.pdf", "Melting_Curves/meltCurve_P35241_RDX.pdf")</f>
        <v>Melting_Curves/meltCurve_P35241_RDX.pdf</v>
      </c>
    </row>
    <row r="2405" spans="1:28" x14ac:dyDescent="0.25">
      <c r="A2405" t="s">
        <v>2409</v>
      </c>
      <c r="B2405">
        <v>0.99673306730245903</v>
      </c>
      <c r="C2405">
        <v>1.0213840822690501</v>
      </c>
      <c r="D2405">
        <v>1.0714711586977199</v>
      </c>
      <c r="E2405">
        <v>1.0368763884429699</v>
      </c>
      <c r="F2405">
        <v>1.11309468600406</v>
      </c>
      <c r="G2405">
        <v>1.2532013521768</v>
      </c>
      <c r="H2405">
        <v>0.40616574267876598</v>
      </c>
      <c r="I2405">
        <v>0.149555859531735</v>
      </c>
      <c r="J2405">
        <v>0.10074937229487101</v>
      </c>
      <c r="K2405">
        <v>7.2713077498656103E-2</v>
      </c>
      <c r="L2405">
        <v>10474.9546637776</v>
      </c>
      <c r="M2405">
        <v>172.973030868943</v>
      </c>
      <c r="N2405">
        <v>60.643302631185797</v>
      </c>
      <c r="O2405">
        <v>60.550240069514302</v>
      </c>
      <c r="P2405">
        <v>-0.63729925132766896</v>
      </c>
      <c r="Q2405">
        <v>0.107638742980423</v>
      </c>
      <c r="R2405">
        <v>0.95776307891316903</v>
      </c>
      <c r="S2405" t="s">
        <v>8857</v>
      </c>
      <c r="T2405" t="s">
        <v>12902</v>
      </c>
      <c r="U2405" t="s">
        <v>12902</v>
      </c>
      <c r="V2405" t="s">
        <v>12902</v>
      </c>
      <c r="W2405" t="s">
        <v>15268</v>
      </c>
      <c r="X2405">
        <v>5</v>
      </c>
      <c r="Y2405" t="s">
        <v>21619</v>
      </c>
      <c r="Z2405" t="s">
        <v>27980</v>
      </c>
      <c r="AA2405">
        <v>0.7193515890046146</v>
      </c>
      <c r="AB2405" t="str">
        <f>HYPERLINK("Melting_Curves/meltCurve_P35244_RPA3.pdf", "Melting_Curves/meltCurve_P35244_RPA3.pdf")</f>
        <v>Melting_Curves/meltCurve_P35244_RPA3.pdf</v>
      </c>
    </row>
    <row r="2406" spans="1:28" x14ac:dyDescent="0.25">
      <c r="A2406" t="s">
        <v>2410</v>
      </c>
      <c r="B2406">
        <v>0.99673306730245903</v>
      </c>
      <c r="C2406">
        <v>0.935831539013668</v>
      </c>
      <c r="D2406">
        <v>0.98716710252713402</v>
      </c>
      <c r="E2406">
        <v>0.92632248697000297</v>
      </c>
      <c r="F2406">
        <v>0.32942824941138599</v>
      </c>
      <c r="G2406">
        <v>0.19214624118412299</v>
      </c>
      <c r="H2406">
        <v>0.127903761503073</v>
      </c>
      <c r="I2406">
        <v>9.8250963318052095E-2</v>
      </c>
      <c r="J2406">
        <v>0.112642561253261</v>
      </c>
      <c r="K2406">
        <v>8.9946715476134004E-2</v>
      </c>
      <c r="L2406">
        <v>2448.8690076338298</v>
      </c>
      <c r="M2406">
        <v>47.129160195223697</v>
      </c>
      <c r="N2406">
        <v>52.2631202298668</v>
      </c>
      <c r="O2406">
        <v>51.867510193063502</v>
      </c>
      <c r="P2406">
        <v>-0.20005867549006401</v>
      </c>
      <c r="Q2406">
        <v>0.119310943793544</v>
      </c>
      <c r="R2406">
        <v>0.99425676178368305</v>
      </c>
      <c r="S2406" t="s">
        <v>8858</v>
      </c>
      <c r="T2406" t="s">
        <v>12902</v>
      </c>
      <c r="U2406" t="s">
        <v>12902</v>
      </c>
      <c r="V2406" t="s">
        <v>12902</v>
      </c>
      <c r="W2406" t="s">
        <v>15269</v>
      </c>
      <c r="X2406">
        <v>11</v>
      </c>
      <c r="Y2406" t="s">
        <v>21620</v>
      </c>
      <c r="Z2406" t="s">
        <v>27981</v>
      </c>
      <c r="AA2406">
        <v>0.47270913922258112</v>
      </c>
      <c r="AB2406" t="str">
        <f>HYPERLINK("Melting_Curves/meltCurve_P35250_RFC2.pdf", "Melting_Curves/meltCurve_P35250_RFC2.pdf")</f>
        <v>Melting_Curves/meltCurve_P35250_RFC2.pdf</v>
      </c>
    </row>
    <row r="2407" spans="1:28" x14ac:dyDescent="0.25">
      <c r="A2407" t="s">
        <v>2411</v>
      </c>
      <c r="B2407">
        <v>0.99673306730245903</v>
      </c>
      <c r="C2407">
        <v>0.69156415675286698</v>
      </c>
      <c r="D2407">
        <v>0.48006745256787797</v>
      </c>
      <c r="E2407">
        <v>0.16736471009766199</v>
      </c>
      <c r="F2407">
        <v>0.115778569786254</v>
      </c>
      <c r="G2407">
        <v>7.0513077676330901E-2</v>
      </c>
      <c r="H2407">
        <v>5.1351391548554497E-2</v>
      </c>
      <c r="I2407">
        <v>5.2691924315595801E-2</v>
      </c>
      <c r="J2407">
        <v>5.8594918584151799E-2</v>
      </c>
      <c r="K2407">
        <v>5.7833270687306697E-2</v>
      </c>
      <c r="L2407">
        <v>886.28068169703101</v>
      </c>
      <c r="M2407">
        <v>19.631757631902499</v>
      </c>
      <c r="N2407">
        <v>45.408653789452401</v>
      </c>
      <c r="O2407">
        <v>44.684655170690803</v>
      </c>
      <c r="P2407">
        <v>-0.103927601349282</v>
      </c>
      <c r="Q2407">
        <v>5.3817553604318301E-2</v>
      </c>
      <c r="R2407">
        <v>0.989667602268679</v>
      </c>
      <c r="S2407" t="s">
        <v>8859</v>
      </c>
      <c r="T2407" t="s">
        <v>12902</v>
      </c>
      <c r="U2407" t="s">
        <v>12902</v>
      </c>
      <c r="V2407" t="s">
        <v>12902</v>
      </c>
      <c r="W2407" t="s">
        <v>15270</v>
      </c>
      <c r="X2407">
        <v>3</v>
      </c>
      <c r="Y2407" t="s">
        <v>21621</v>
      </c>
      <c r="Z2407" t="s">
        <v>27982</v>
      </c>
      <c r="AA2407">
        <v>0.2325565329113517</v>
      </c>
      <c r="AB2407" t="str">
        <f>HYPERLINK("Melting_Curves/meltCurve_P35251_2_RFC1.pdf", "Melting_Curves/meltCurve_P35251_2_RFC1.pdf")</f>
        <v>Melting_Curves/meltCurve_P35251_2_RFC1.pdf</v>
      </c>
    </row>
    <row r="2408" spans="1:28" x14ac:dyDescent="0.25">
      <c r="A2408" t="s">
        <v>2412</v>
      </c>
      <c r="B2408">
        <v>0.99673306730245903</v>
      </c>
      <c r="C2408">
        <v>0.95482758643986498</v>
      </c>
      <c r="D2408">
        <v>0.85970436302126796</v>
      </c>
      <c r="E2408">
        <v>0.79273045860446201</v>
      </c>
      <c r="F2408">
        <v>0.55292941655100503</v>
      </c>
      <c r="G2408">
        <v>0.32524145729201998</v>
      </c>
      <c r="H2408">
        <v>0.114202014717423</v>
      </c>
      <c r="I2408">
        <v>8.1323015222517794E-2</v>
      </c>
      <c r="J2408">
        <v>7.2832592943097602E-2</v>
      </c>
      <c r="K2408">
        <v>6.4843159382543994E-2</v>
      </c>
      <c r="L2408">
        <v>777.45283841958201</v>
      </c>
      <c r="M2408">
        <v>14.4842101148542</v>
      </c>
      <c r="N2408">
        <v>53.730365601369002</v>
      </c>
      <c r="O2408">
        <v>52.683856555602098</v>
      </c>
      <c r="P2408">
        <v>-6.82386568267844E-2</v>
      </c>
      <c r="Q2408">
        <v>7.28893062181019E-3</v>
      </c>
      <c r="R2408">
        <v>0.99424225654088605</v>
      </c>
      <c r="S2408" t="s">
        <v>8860</v>
      </c>
      <c r="T2408" t="s">
        <v>12902</v>
      </c>
      <c r="U2408" t="s">
        <v>12902</v>
      </c>
      <c r="V2408" t="s">
        <v>12902</v>
      </c>
      <c r="W2408" t="s">
        <v>15271</v>
      </c>
      <c r="X2408">
        <v>10</v>
      </c>
      <c r="Y2408" t="s">
        <v>21622</v>
      </c>
      <c r="Z2408" t="s">
        <v>27983</v>
      </c>
      <c r="AA2408">
        <v>0.48148070165381818</v>
      </c>
      <c r="AB2408" t="str">
        <f>HYPERLINK("Melting_Curves/meltCurve_P35268_RPL22.pdf", "Melting_Curves/meltCurve_P35268_RPL22.pdf")</f>
        <v>Melting_Curves/meltCurve_P35268_RPL22.pdf</v>
      </c>
    </row>
    <row r="2409" spans="1:28" x14ac:dyDescent="0.25">
      <c r="A2409" t="s">
        <v>2413</v>
      </c>
      <c r="B2409">
        <v>0.99673306730245903</v>
      </c>
      <c r="C2409">
        <v>0.99814763337266699</v>
      </c>
      <c r="D2409">
        <v>1.0009759166235099</v>
      </c>
      <c r="E2409">
        <v>0.86911503494006304</v>
      </c>
      <c r="F2409">
        <v>0.64817973613160995</v>
      </c>
      <c r="G2409">
        <v>0.427245114520239</v>
      </c>
      <c r="H2409">
        <v>0.25661684396656698</v>
      </c>
      <c r="I2409">
        <v>0.29060328834811</v>
      </c>
      <c r="J2409">
        <v>0.420638662703678</v>
      </c>
      <c r="K2409">
        <v>0.52856535391466197</v>
      </c>
      <c r="L2409">
        <v>1564.9613792185901</v>
      </c>
      <c r="M2409">
        <v>29.851700902210599</v>
      </c>
      <c r="N2409">
        <v>54.953681452251701</v>
      </c>
      <c r="O2409">
        <v>52.190956943651699</v>
      </c>
      <c r="P2409">
        <v>-8.9594397825338207E-2</v>
      </c>
      <c r="Q2409">
        <v>0.37343788106547898</v>
      </c>
      <c r="R2409">
        <v>0.93647378030593897</v>
      </c>
      <c r="S2409" t="s">
        <v>8861</v>
      </c>
      <c r="T2409" t="s">
        <v>12902</v>
      </c>
      <c r="U2409" t="s">
        <v>12902</v>
      </c>
      <c r="V2409" t="s">
        <v>12902</v>
      </c>
      <c r="W2409" t="s">
        <v>15272</v>
      </c>
      <c r="X2409">
        <v>24</v>
      </c>
      <c r="Y2409" t="s">
        <v>21623</v>
      </c>
      <c r="Z2409" t="s">
        <v>27984</v>
      </c>
      <c r="AA2409">
        <v>0.63699821676063861</v>
      </c>
      <c r="AB2409" t="str">
        <f>HYPERLINK("Melting_Curves/meltCurve_P35269_GTF2F1.pdf", "Melting_Curves/meltCurve_P35269_GTF2F1.pdf")</f>
        <v>Melting_Curves/meltCurve_P35269_GTF2F1.pdf</v>
      </c>
    </row>
    <row r="2410" spans="1:28" x14ac:dyDescent="0.25">
      <c r="A2410" t="s">
        <v>2414</v>
      </c>
      <c r="B2410">
        <v>0.99673306730245903</v>
      </c>
      <c r="C2410">
        <v>1.0093273307189199</v>
      </c>
      <c r="D2410">
        <v>0.96137534568302097</v>
      </c>
      <c r="E2410">
        <v>0.89263852388626996</v>
      </c>
      <c r="F2410">
        <v>0.44409106159349199</v>
      </c>
      <c r="G2410">
        <v>0.19740602302257201</v>
      </c>
      <c r="H2410">
        <v>0.12445419634173301</v>
      </c>
      <c r="I2410">
        <v>0.114913094537842</v>
      </c>
      <c r="J2410">
        <v>0.101025298305691</v>
      </c>
      <c r="K2410">
        <v>9.3185621730198995E-2</v>
      </c>
      <c r="L2410">
        <v>1662.6214714989901</v>
      </c>
      <c r="M2410">
        <v>31.692701730964</v>
      </c>
      <c r="N2410">
        <v>52.8626138125734</v>
      </c>
      <c r="O2410">
        <v>52.253181812871198</v>
      </c>
      <c r="P2410">
        <v>-0.135397378170381</v>
      </c>
      <c r="Q2410">
        <v>0.107062023241383</v>
      </c>
      <c r="R2410">
        <v>0.99876245968111699</v>
      </c>
      <c r="S2410" t="s">
        <v>8862</v>
      </c>
      <c r="T2410" t="s">
        <v>12902</v>
      </c>
      <c r="U2410" t="s">
        <v>12902</v>
      </c>
      <c r="V2410" t="s">
        <v>12902</v>
      </c>
      <c r="W2410" t="s">
        <v>15273</v>
      </c>
      <c r="X2410">
        <v>13</v>
      </c>
      <c r="Y2410" t="s">
        <v>21624</v>
      </c>
      <c r="Z2410" t="s">
        <v>27985</v>
      </c>
      <c r="AA2410">
        <v>0.48310414892830073</v>
      </c>
      <c r="AB2410" t="str">
        <f>HYPERLINK("Melting_Curves/meltCurve_P35270_SPR.pdf", "Melting_Curves/meltCurve_P35270_SPR.pdf")</f>
        <v>Melting_Curves/meltCurve_P35270_SPR.pdf</v>
      </c>
    </row>
    <row r="2411" spans="1:28" x14ac:dyDescent="0.25">
      <c r="A2411" t="s">
        <v>2415</v>
      </c>
      <c r="B2411">
        <v>0.99673306730245903</v>
      </c>
      <c r="C2411">
        <v>0.96312825062582996</v>
      </c>
      <c r="D2411">
        <v>0.972835313661641</v>
      </c>
      <c r="E2411">
        <v>0.93616067700144601</v>
      </c>
      <c r="F2411">
        <v>0.74361727078996298</v>
      </c>
      <c r="G2411">
        <v>0.69404877137472598</v>
      </c>
      <c r="H2411">
        <v>0.61217834336236099</v>
      </c>
      <c r="I2411">
        <v>0.95780302631477099</v>
      </c>
      <c r="J2411">
        <v>1.6300246149142299</v>
      </c>
      <c r="K2411">
        <v>1.4851748647793299</v>
      </c>
      <c r="L2411">
        <v>10842.664634806801</v>
      </c>
      <c r="M2411">
        <v>165.93634435154999</v>
      </c>
      <c r="O2411">
        <v>65.332823541909903</v>
      </c>
      <c r="P2411">
        <v>0.31748273038312602</v>
      </c>
      <c r="Q2411">
        <v>1.5</v>
      </c>
      <c r="R2411">
        <v>0.64419676073681298</v>
      </c>
      <c r="S2411" t="s">
        <v>8863</v>
      </c>
      <c r="T2411" t="s">
        <v>12902</v>
      </c>
      <c r="U2411" t="s">
        <v>12902</v>
      </c>
      <c r="V2411" t="s">
        <v>12902</v>
      </c>
      <c r="W2411" t="s">
        <v>15274</v>
      </c>
      <c r="X2411">
        <v>3</v>
      </c>
      <c r="Y2411" t="s">
        <v>15274</v>
      </c>
      <c r="Z2411" t="s">
        <v>27986</v>
      </c>
      <c r="AA2411">
        <v>1.0774980467656561</v>
      </c>
      <c r="AB2411" t="str">
        <f>HYPERLINK("Melting_Curves/meltCurve_P35318_ADM.pdf", "Melting_Curves/meltCurve_P35318_ADM.pdf")</f>
        <v>Melting_Curves/meltCurve_P35318_ADM.pdf</v>
      </c>
    </row>
    <row r="2412" spans="1:28" x14ac:dyDescent="0.25">
      <c r="A2412" t="s">
        <v>2416</v>
      </c>
      <c r="B2412">
        <v>0.99673306730245903</v>
      </c>
      <c r="C2412">
        <v>0.93842086326712504</v>
      </c>
      <c r="D2412">
        <v>0.99270717768533301</v>
      </c>
      <c r="E2412">
        <v>0.87960708903898699</v>
      </c>
      <c r="F2412">
        <v>0.80368275460473004</v>
      </c>
      <c r="G2412">
        <v>0.59941769375055498</v>
      </c>
      <c r="H2412">
        <v>0.435837829477495</v>
      </c>
      <c r="I2412">
        <v>0.30633404881610599</v>
      </c>
      <c r="J2412">
        <v>0.28247373899700901</v>
      </c>
      <c r="K2412">
        <v>0.26440925316923403</v>
      </c>
      <c r="L2412">
        <v>803.800632489544</v>
      </c>
      <c r="M2412">
        <v>14.1339958435602</v>
      </c>
      <c r="N2412">
        <v>58.960021547473303</v>
      </c>
      <c r="O2412">
        <v>55.767909039175997</v>
      </c>
      <c r="P2412">
        <v>-5.0882453191445902E-2</v>
      </c>
      <c r="Q2412">
        <v>0.19704343762634799</v>
      </c>
      <c r="R2412">
        <v>0.99305862013298196</v>
      </c>
      <c r="S2412" t="s">
        <v>8864</v>
      </c>
      <c r="T2412" t="s">
        <v>12902</v>
      </c>
      <c r="U2412" t="s">
        <v>12902</v>
      </c>
      <c r="V2412" t="s">
        <v>12902</v>
      </c>
      <c r="W2412" t="s">
        <v>15275</v>
      </c>
      <c r="X2412">
        <v>9</v>
      </c>
      <c r="Y2412" t="s">
        <v>21625</v>
      </c>
      <c r="Z2412" t="s">
        <v>27987</v>
      </c>
      <c r="AA2412">
        <v>0.66191760975054015</v>
      </c>
      <c r="AB2412" t="str">
        <f>HYPERLINK("Melting_Curves/meltCurve_P35475_IDUA.pdf", "Melting_Curves/meltCurve_P35475_IDUA.pdf")</f>
        <v>Melting_Curves/meltCurve_P35475_IDUA.pdf</v>
      </c>
    </row>
    <row r="2413" spans="1:28" x14ac:dyDescent="0.25">
      <c r="A2413" t="s">
        <v>2417</v>
      </c>
      <c r="B2413">
        <v>0.99673306730245903</v>
      </c>
      <c r="C2413">
        <v>0.88384448153927297</v>
      </c>
      <c r="D2413">
        <v>0.94802712839755099</v>
      </c>
      <c r="E2413">
        <v>0.90041388451106796</v>
      </c>
      <c r="F2413">
        <v>0.23596196439532599</v>
      </c>
      <c r="G2413">
        <v>0.168537402753654</v>
      </c>
      <c r="H2413">
        <v>9.8068843840078093E-2</v>
      </c>
      <c r="I2413">
        <v>7.9122976845386397E-2</v>
      </c>
      <c r="J2413">
        <v>8.0981337594009398E-2</v>
      </c>
      <c r="K2413">
        <v>6.8552177280355994E-2</v>
      </c>
      <c r="L2413">
        <v>2675.9864772330402</v>
      </c>
      <c r="M2413">
        <v>51.933657378510198</v>
      </c>
      <c r="N2413">
        <v>51.739983145306702</v>
      </c>
      <c r="O2413">
        <v>51.450787822339699</v>
      </c>
      <c r="P2413">
        <v>-0.22806255708151099</v>
      </c>
      <c r="Q2413">
        <v>9.6232368660246995E-2</v>
      </c>
      <c r="R2413">
        <v>0.986516768143749</v>
      </c>
      <c r="S2413" t="s">
        <v>8865</v>
      </c>
      <c r="T2413" t="s">
        <v>12902</v>
      </c>
      <c r="U2413" t="s">
        <v>12902</v>
      </c>
      <c r="V2413" t="s">
        <v>12902</v>
      </c>
      <c r="W2413" t="s">
        <v>15276</v>
      </c>
      <c r="X2413">
        <v>31</v>
      </c>
      <c r="Y2413" t="s">
        <v>21626</v>
      </c>
      <c r="Z2413" t="s">
        <v>27988</v>
      </c>
      <c r="AA2413">
        <v>0.4453937419988146</v>
      </c>
      <c r="AB2413" t="str">
        <f>HYPERLINK("Melting_Curves/meltCurve_P35573_AGL.pdf", "Melting_Curves/meltCurve_P35573_AGL.pdf")</f>
        <v>Melting_Curves/meltCurve_P35573_AGL.pdf</v>
      </c>
    </row>
    <row r="2414" spans="1:28" x14ac:dyDescent="0.25">
      <c r="A2414" t="s">
        <v>2418</v>
      </c>
      <c r="B2414">
        <v>0.99673306730245903</v>
      </c>
      <c r="C2414">
        <v>1.01086333232472</v>
      </c>
      <c r="D2414">
        <v>0.97796058921650697</v>
      </c>
      <c r="E2414">
        <v>1.09209655346356</v>
      </c>
      <c r="F2414">
        <v>0.42204625388811201</v>
      </c>
      <c r="G2414">
        <v>0.26121623022255003</v>
      </c>
      <c r="H2414">
        <v>0.20110886041523299</v>
      </c>
      <c r="I2414">
        <v>0.24861058359249799</v>
      </c>
      <c r="J2414">
        <v>0.34465732873207899</v>
      </c>
      <c r="K2414">
        <v>0.32926952579829999</v>
      </c>
      <c r="L2414">
        <v>13226.4642320862</v>
      </c>
      <c r="M2414">
        <v>250</v>
      </c>
      <c r="N2414">
        <v>53.077238579754699</v>
      </c>
      <c r="O2414">
        <v>52.902476865915297</v>
      </c>
      <c r="P2414">
        <v>-0.85419863956595099</v>
      </c>
      <c r="Q2414">
        <v>0.27697249643650301</v>
      </c>
      <c r="R2414">
        <v>0.98182233289520104</v>
      </c>
      <c r="S2414" t="s">
        <v>8866</v>
      </c>
      <c r="T2414" t="s">
        <v>12902</v>
      </c>
      <c r="U2414" t="s">
        <v>12902</v>
      </c>
      <c r="V2414" t="s">
        <v>12902</v>
      </c>
      <c r="W2414" t="s">
        <v>15277</v>
      </c>
      <c r="X2414">
        <v>163</v>
      </c>
      <c r="Y2414" t="s">
        <v>21627</v>
      </c>
      <c r="Z2414" t="s">
        <v>27989</v>
      </c>
      <c r="AA2414">
        <v>0.58808261265997674</v>
      </c>
      <c r="AB2414" t="str">
        <f>HYPERLINK("Melting_Curves/meltCurve_P35579_MYH9.pdf", "Melting_Curves/meltCurve_P35579_MYH9.pdf")</f>
        <v>Melting_Curves/meltCurve_P35579_MYH9.pdf</v>
      </c>
    </row>
    <row r="2415" spans="1:28" x14ac:dyDescent="0.25">
      <c r="A2415" t="s">
        <v>2419</v>
      </c>
      <c r="B2415">
        <v>0.99673306730245903</v>
      </c>
      <c r="C2415">
        <v>1.0106254289890999</v>
      </c>
      <c r="D2415">
        <v>0.975723194792806</v>
      </c>
      <c r="E2415">
        <v>0.90584642745992205</v>
      </c>
      <c r="F2415">
        <v>0.45171503475951802</v>
      </c>
      <c r="G2415">
        <v>0.35516789317515002</v>
      </c>
      <c r="H2415">
        <v>0.27884661996598897</v>
      </c>
      <c r="I2415">
        <v>0.37207145262164398</v>
      </c>
      <c r="J2415">
        <v>0.51598303190835104</v>
      </c>
      <c r="K2415">
        <v>0.47247116532059702</v>
      </c>
      <c r="L2415">
        <v>2994.7392032579</v>
      </c>
      <c r="M2415">
        <v>58.691224346324198</v>
      </c>
      <c r="N2415">
        <v>52.455579145454799</v>
      </c>
      <c r="O2415">
        <v>50.966195392801701</v>
      </c>
      <c r="P2415">
        <v>-0.17300096127322301</v>
      </c>
      <c r="Q2415">
        <v>0.39907903828768698</v>
      </c>
      <c r="R2415">
        <v>0.95432569870689898</v>
      </c>
      <c r="S2415" t="s">
        <v>8867</v>
      </c>
      <c r="T2415" t="s">
        <v>12902</v>
      </c>
      <c r="U2415" t="s">
        <v>12902</v>
      </c>
      <c r="V2415" t="s">
        <v>12902</v>
      </c>
      <c r="W2415" t="s">
        <v>15278</v>
      </c>
      <c r="X2415">
        <v>54</v>
      </c>
      <c r="Y2415" t="s">
        <v>21628</v>
      </c>
      <c r="Z2415" t="s">
        <v>27990</v>
      </c>
      <c r="AA2415">
        <v>0.62090423322608901</v>
      </c>
      <c r="AB2415" t="str">
        <f>HYPERLINK("Melting_Curves/meltCurve_P35580_MYH10.pdf", "Melting_Curves/meltCurve_P35580_MYH10.pdf")</f>
        <v>Melting_Curves/meltCurve_P35580_MYH10.pdf</v>
      </c>
    </row>
    <row r="2416" spans="1:28" x14ac:dyDescent="0.25">
      <c r="A2416" t="s">
        <v>2420</v>
      </c>
      <c r="B2416">
        <v>0.99673306730245903</v>
      </c>
      <c r="C2416">
        <v>0.88028224644034303</v>
      </c>
      <c r="D2416">
        <v>0.99138038370859605</v>
      </c>
      <c r="E2416">
        <v>1.20133411984949</v>
      </c>
      <c r="F2416">
        <v>0.59517422074333703</v>
      </c>
      <c r="G2416">
        <v>0.228155482898446</v>
      </c>
      <c r="H2416">
        <v>9.9959120931857506E-2</v>
      </c>
      <c r="I2416">
        <v>8.1563518973855498E-2</v>
      </c>
      <c r="J2416">
        <v>8.6809739380161996E-2</v>
      </c>
      <c r="K2416">
        <v>6.7755873032808403E-2</v>
      </c>
      <c r="L2416">
        <v>2797.0589107221299</v>
      </c>
      <c r="M2416">
        <v>52.245657432953301</v>
      </c>
      <c r="N2416">
        <v>53.769908649338099</v>
      </c>
      <c r="O2416">
        <v>53.458415798505001</v>
      </c>
      <c r="P2416">
        <v>-0.219556683162487</v>
      </c>
      <c r="Q2416">
        <v>0.101387977591143</v>
      </c>
      <c r="R2416">
        <v>0.96281141758456001</v>
      </c>
      <c r="S2416" t="s">
        <v>8868</v>
      </c>
      <c r="T2416" t="s">
        <v>12902</v>
      </c>
      <c r="U2416" t="s">
        <v>12902</v>
      </c>
      <c r="V2416" t="s">
        <v>12902</v>
      </c>
      <c r="W2416" t="s">
        <v>15279</v>
      </c>
      <c r="X2416">
        <v>39</v>
      </c>
      <c r="Y2416" t="s">
        <v>21629</v>
      </c>
      <c r="Z2416" t="s">
        <v>27991</v>
      </c>
      <c r="AA2416">
        <v>0.50880442946642634</v>
      </c>
      <c r="AB2416" t="str">
        <f>HYPERLINK("Melting_Curves/meltCurve_P35606_COPB2.pdf", "Melting_Curves/meltCurve_P35606_COPB2.pdf")</f>
        <v>Melting_Curves/meltCurve_P35606_COPB2.pdf</v>
      </c>
    </row>
    <row r="2417" spans="1:28" x14ac:dyDescent="0.25">
      <c r="A2417" t="s">
        <v>2421</v>
      </c>
      <c r="B2417">
        <v>0.99673306730245903</v>
      </c>
      <c r="C2417">
        <v>1.0636891331313401</v>
      </c>
      <c r="D2417">
        <v>0.87980637700453601</v>
      </c>
      <c r="E2417">
        <v>0.75766442253810895</v>
      </c>
      <c r="F2417">
        <v>0.40249620523857799</v>
      </c>
      <c r="G2417">
        <v>0.23864529924626501</v>
      </c>
      <c r="H2417">
        <v>0.132379842049549</v>
      </c>
      <c r="I2417">
        <v>0.125119071993988</v>
      </c>
      <c r="J2417">
        <v>0.14712070044442099</v>
      </c>
      <c r="K2417">
        <v>0.13120638518730501</v>
      </c>
      <c r="L2417">
        <v>1115.5422320863099</v>
      </c>
      <c r="M2417">
        <v>21.6619390969792</v>
      </c>
      <c r="N2417">
        <v>52.1778962855836</v>
      </c>
      <c r="O2417">
        <v>51.064952074219001</v>
      </c>
      <c r="P2417">
        <v>-9.3009572124693393E-2</v>
      </c>
      <c r="Q2417">
        <v>0.122993330854462</v>
      </c>
      <c r="R2417">
        <v>0.99210682551777496</v>
      </c>
      <c r="S2417" t="s">
        <v>8869</v>
      </c>
      <c r="T2417" t="s">
        <v>12902</v>
      </c>
      <c r="U2417" t="s">
        <v>12902</v>
      </c>
      <c r="V2417" t="s">
        <v>12902</v>
      </c>
      <c r="W2417" t="s">
        <v>15280</v>
      </c>
      <c r="X2417">
        <v>2</v>
      </c>
      <c r="Y2417" t="s">
        <v>21630</v>
      </c>
      <c r="Z2417" t="s">
        <v>27992</v>
      </c>
      <c r="AA2417">
        <v>0.46959757991622542</v>
      </c>
      <c r="AB2417" t="str">
        <f>HYPERLINK("Melting_Curves/meltCurve_P35610_SOAT1.pdf", "Melting_Curves/meltCurve_P35610_SOAT1.pdf")</f>
        <v>Melting_Curves/meltCurve_P35610_SOAT1.pdf</v>
      </c>
    </row>
    <row r="2418" spans="1:28" x14ac:dyDescent="0.25">
      <c r="A2418" t="s">
        <v>2422</v>
      </c>
      <c r="B2418">
        <v>0.99673306730245903</v>
      </c>
      <c r="C2418">
        <v>0.97478722890404801</v>
      </c>
      <c r="D2418">
        <v>1.0161517762989301</v>
      </c>
      <c r="E2418">
        <v>1.01756525193533</v>
      </c>
      <c r="F2418">
        <v>0.90854057209984096</v>
      </c>
      <c r="G2418">
        <v>0.732299810930646</v>
      </c>
      <c r="H2418">
        <v>0.64631991180758996</v>
      </c>
      <c r="I2418">
        <v>0.79684714164936099</v>
      </c>
      <c r="J2418">
        <v>0.89697908252479897</v>
      </c>
      <c r="K2418">
        <v>0.368859402828696</v>
      </c>
      <c r="L2418">
        <v>433.38049122102598</v>
      </c>
      <c r="M2418">
        <v>5.9106466883839603</v>
      </c>
      <c r="O2418">
        <v>66.2433529037705</v>
      </c>
      <c r="P2418">
        <v>-2.2382767428635299E-2</v>
      </c>
      <c r="Q2418">
        <v>0</v>
      </c>
      <c r="R2418">
        <v>0.59803052420993597</v>
      </c>
      <c r="S2418" t="s">
        <v>8870</v>
      </c>
      <c r="T2418" t="s">
        <v>12902</v>
      </c>
      <c r="U2418" t="s">
        <v>12902</v>
      </c>
      <c r="V2418" t="s">
        <v>12902</v>
      </c>
      <c r="W2418" t="s">
        <v>15281</v>
      </c>
      <c r="X2418">
        <v>28</v>
      </c>
      <c r="Y2418" t="s">
        <v>21631</v>
      </c>
      <c r="Z2418" t="s">
        <v>27993</v>
      </c>
      <c r="AA2418">
        <v>0.84202991494849222</v>
      </c>
      <c r="AB2418" t="str">
        <f>HYPERLINK("Melting_Curves/meltCurve_P35611_ADD1.pdf", "Melting_Curves/meltCurve_P35611_ADD1.pdf")</f>
        <v>Melting_Curves/meltCurve_P35611_ADD1.pdf</v>
      </c>
    </row>
    <row r="2419" spans="1:28" x14ac:dyDescent="0.25">
      <c r="A2419" t="s">
        <v>2423</v>
      </c>
      <c r="B2419">
        <v>0.99673306730245903</v>
      </c>
      <c r="C2419">
        <v>0.94997217272884604</v>
      </c>
      <c r="D2419">
        <v>0.90940803349132904</v>
      </c>
      <c r="E2419">
        <v>0.78397667932070303</v>
      </c>
      <c r="F2419">
        <v>0.68585529376698096</v>
      </c>
      <c r="G2419">
        <v>0.52317004270008804</v>
      </c>
      <c r="H2419">
        <v>0.42836897051390699</v>
      </c>
      <c r="I2419">
        <v>0.51670758882518197</v>
      </c>
      <c r="J2419">
        <v>0.60270180950474295</v>
      </c>
      <c r="K2419">
        <v>0.527320825346271</v>
      </c>
      <c r="L2419">
        <v>919.15242151170503</v>
      </c>
      <c r="M2419">
        <v>18.307785182189999</v>
      </c>
      <c r="O2419">
        <v>49.618021336451299</v>
      </c>
      <c r="P2419">
        <v>-4.52166316234206E-2</v>
      </c>
      <c r="Q2419">
        <v>0.50983534617642601</v>
      </c>
      <c r="R2419">
        <v>0.93954347493724799</v>
      </c>
      <c r="S2419" t="s">
        <v>8871</v>
      </c>
      <c r="T2419" t="s">
        <v>12902</v>
      </c>
      <c r="U2419" t="s">
        <v>12902</v>
      </c>
      <c r="V2419" t="s">
        <v>12902</v>
      </c>
      <c r="W2419" t="s">
        <v>15282</v>
      </c>
      <c r="X2419">
        <v>7</v>
      </c>
      <c r="Y2419" t="s">
        <v>21632</v>
      </c>
      <c r="Z2419" t="s">
        <v>27994</v>
      </c>
      <c r="AA2419">
        <v>0.68465702841937059</v>
      </c>
      <c r="AB2419" t="str">
        <f>HYPERLINK("Melting_Curves/meltCurve_P35613_2_BSG.pdf", "Melting_Curves/meltCurve_P35613_2_BSG.pdf")</f>
        <v>Melting_Curves/meltCurve_P35613_2_BSG.pdf</v>
      </c>
    </row>
    <row r="2420" spans="1:28" x14ac:dyDescent="0.25">
      <c r="A2420" t="s">
        <v>2424</v>
      </c>
      <c r="B2420">
        <v>0.99673306730245903</v>
      </c>
      <c r="C2420">
        <v>0.77770967018458403</v>
      </c>
      <c r="D2420">
        <v>0.85244988146491096</v>
      </c>
      <c r="E2420">
        <v>0.83470450814938102</v>
      </c>
      <c r="F2420">
        <v>0.65228579431378297</v>
      </c>
      <c r="G2420">
        <v>0.59451628301041903</v>
      </c>
      <c r="H2420">
        <v>0.43263918542458801</v>
      </c>
      <c r="I2420">
        <v>0.69311122251188095</v>
      </c>
      <c r="J2420">
        <v>0.91576703525488401</v>
      </c>
      <c r="K2420">
        <v>0.98993371996715196</v>
      </c>
      <c r="L2420">
        <v>814.77396613943904</v>
      </c>
      <c r="M2420">
        <v>19.014597833088601</v>
      </c>
      <c r="O2420">
        <v>42.384413793175803</v>
      </c>
      <c r="P2420">
        <v>-3.04372071471695E-2</v>
      </c>
      <c r="Q2420">
        <v>0.72862703147420904</v>
      </c>
      <c r="R2420">
        <v>0.18983580417682899</v>
      </c>
      <c r="S2420" t="s">
        <v>8872</v>
      </c>
      <c r="T2420" t="s">
        <v>12902</v>
      </c>
      <c r="U2420" t="s">
        <v>12902</v>
      </c>
      <c r="V2420" t="s">
        <v>12902</v>
      </c>
      <c r="W2420" t="s">
        <v>15283</v>
      </c>
      <c r="X2420">
        <v>19</v>
      </c>
      <c r="Y2420" t="s">
        <v>21633</v>
      </c>
      <c r="Z2420" t="s">
        <v>27995</v>
      </c>
      <c r="AA2420">
        <v>0.7617475498951497</v>
      </c>
      <c r="AB2420" t="str">
        <f>HYPERLINK("Melting_Curves/meltCurve_P35637_2_FUS.pdf", "Melting_Curves/meltCurve_P35637_2_FUS.pdf")</f>
        <v>Melting_Curves/meltCurve_P35637_2_FUS.pdf</v>
      </c>
    </row>
    <row r="2421" spans="1:28" x14ac:dyDescent="0.25">
      <c r="A2421" t="s">
        <v>2425</v>
      </c>
      <c r="B2421">
        <v>0.99673306730245903</v>
      </c>
      <c r="C2421">
        <v>0.88118496896505005</v>
      </c>
      <c r="D2421">
        <v>0.833986212173913</v>
      </c>
      <c r="E2421">
        <v>0.71496900677618402</v>
      </c>
      <c r="F2421">
        <v>0.22520080532582001</v>
      </c>
      <c r="G2421">
        <v>0.15074166902121899</v>
      </c>
      <c r="H2421">
        <v>9.7943607177126593E-2</v>
      </c>
      <c r="I2421">
        <v>0.101664229111031</v>
      </c>
      <c r="J2421">
        <v>0.121059244062444</v>
      </c>
      <c r="K2421">
        <v>0.112526583917962</v>
      </c>
      <c r="L2421">
        <v>1219.2648082882799</v>
      </c>
      <c r="M2421">
        <v>24.202555053681699</v>
      </c>
      <c r="N2421">
        <v>50.823860825911602</v>
      </c>
      <c r="O2421">
        <v>50.037378322177702</v>
      </c>
      <c r="P2421">
        <v>-0.10934716165342399</v>
      </c>
      <c r="Q2421">
        <v>9.5738213585185902E-2</v>
      </c>
      <c r="R2421">
        <v>0.97670510758935003</v>
      </c>
      <c r="S2421" t="s">
        <v>8873</v>
      </c>
      <c r="T2421" t="s">
        <v>12902</v>
      </c>
      <c r="U2421" t="s">
        <v>12902</v>
      </c>
      <c r="V2421" t="s">
        <v>12902</v>
      </c>
      <c r="W2421" t="s">
        <v>15284</v>
      </c>
      <c r="X2421">
        <v>19</v>
      </c>
      <c r="Y2421" t="s">
        <v>21634</v>
      </c>
      <c r="Z2421" t="s">
        <v>27996</v>
      </c>
      <c r="AA2421">
        <v>0.41719304511609412</v>
      </c>
      <c r="AB2421" t="str">
        <f>HYPERLINK("Melting_Curves/meltCurve_P35658_2_NUP214.pdf", "Melting_Curves/meltCurve_P35658_2_NUP214.pdf")</f>
        <v>Melting_Curves/meltCurve_P35658_2_NUP214.pdf</v>
      </c>
    </row>
    <row r="2422" spans="1:28" x14ac:dyDescent="0.25">
      <c r="A2422" t="s">
        <v>2426</v>
      </c>
      <c r="B2422">
        <v>0.99673306730245903</v>
      </c>
      <c r="C2422">
        <v>0.99459112753722301</v>
      </c>
      <c r="D2422">
        <v>0.66305876589204904</v>
      </c>
      <c r="E2422">
        <v>0.46434521044604299</v>
      </c>
      <c r="F2422">
        <v>0.23191648265773199</v>
      </c>
      <c r="G2422">
        <v>0.16180714429336099</v>
      </c>
      <c r="H2422">
        <v>0.106888119105749</v>
      </c>
      <c r="I2422">
        <v>0.11107318211252</v>
      </c>
      <c r="J2422">
        <v>0.14405989215423601</v>
      </c>
      <c r="K2422">
        <v>0.13335936495839301</v>
      </c>
      <c r="L2422">
        <v>927.69069303046501</v>
      </c>
      <c r="M2422">
        <v>19.3355542359933</v>
      </c>
      <c r="N2422">
        <v>48.667019923302597</v>
      </c>
      <c r="O2422">
        <v>47.474133404021799</v>
      </c>
      <c r="P2422">
        <v>-8.9640355706428296E-2</v>
      </c>
      <c r="Q2422">
        <v>0.119665287139072</v>
      </c>
      <c r="R2422">
        <v>0.98812608423296699</v>
      </c>
      <c r="S2422" t="s">
        <v>8874</v>
      </c>
      <c r="T2422" t="s">
        <v>12902</v>
      </c>
      <c r="U2422" t="s">
        <v>12902</v>
      </c>
      <c r="V2422" t="s">
        <v>12902</v>
      </c>
      <c r="W2422" t="s">
        <v>15285</v>
      </c>
      <c r="X2422">
        <v>22</v>
      </c>
      <c r="Y2422" t="s">
        <v>21635</v>
      </c>
      <c r="Z2422" t="s">
        <v>27997</v>
      </c>
      <c r="AA2422">
        <v>0.36723518279750872</v>
      </c>
      <c r="AB2422" t="str">
        <f>HYPERLINK("Melting_Curves/meltCurve_P35659_DEK.pdf", "Melting_Curves/meltCurve_P35659_DEK.pdf")</f>
        <v>Melting_Curves/meltCurve_P35659_DEK.pdf</v>
      </c>
    </row>
    <row r="2423" spans="1:28" x14ac:dyDescent="0.25">
      <c r="A2423" t="s">
        <v>2427</v>
      </c>
      <c r="B2423">
        <v>0.99673306730245903</v>
      </c>
      <c r="C2423">
        <v>1.02630014367237</v>
      </c>
      <c r="D2423">
        <v>1.01312049522596</v>
      </c>
      <c r="E2423">
        <v>1.01514831466883</v>
      </c>
      <c r="F2423">
        <v>0.96005418611841997</v>
      </c>
      <c r="G2423">
        <v>0.93582884940334998</v>
      </c>
      <c r="H2423">
        <v>0.72699364359351004</v>
      </c>
      <c r="I2423">
        <v>1.0335156071229401</v>
      </c>
      <c r="J2423">
        <v>1.3123568112392501</v>
      </c>
      <c r="K2423">
        <v>1.0397813766527699</v>
      </c>
      <c r="L2423">
        <v>15000</v>
      </c>
      <c r="M2423">
        <v>232.929998995338</v>
      </c>
      <c r="O2423">
        <v>64.392282463886303</v>
      </c>
      <c r="P2423">
        <v>0.15922141527943401</v>
      </c>
      <c r="Q2423">
        <v>1.17606371635736</v>
      </c>
      <c r="R2423">
        <v>0.34624398150421198</v>
      </c>
      <c r="S2423" t="s">
        <v>8875</v>
      </c>
      <c r="T2423" t="s">
        <v>12902</v>
      </c>
      <c r="U2423" t="s">
        <v>12902</v>
      </c>
      <c r="V2423" t="s">
        <v>12902</v>
      </c>
      <c r="W2423" t="s">
        <v>15286</v>
      </c>
      <c r="X2423">
        <v>6</v>
      </c>
      <c r="Y2423" t="s">
        <v>21636</v>
      </c>
      <c r="Z2423" t="s">
        <v>27998</v>
      </c>
      <c r="AA2423">
        <v>1.032859738720832</v>
      </c>
      <c r="AB2423" t="str">
        <f>HYPERLINK("Melting_Curves/meltCurve_P35754_GLRX.pdf", "Melting_Curves/meltCurve_P35754_GLRX.pdf")</f>
        <v>Melting_Curves/meltCurve_P35754_GLRX.pdf</v>
      </c>
    </row>
    <row r="2424" spans="1:28" x14ac:dyDescent="0.25">
      <c r="A2424" t="s">
        <v>2428</v>
      </c>
      <c r="B2424">
        <v>0.99673306730245903</v>
      </c>
      <c r="C2424">
        <v>0.96466184860995097</v>
      </c>
      <c r="D2424">
        <v>0.87920482262711996</v>
      </c>
      <c r="E2424">
        <v>0.80419764069407296</v>
      </c>
      <c r="F2424">
        <v>0.69262107360712699</v>
      </c>
      <c r="G2424">
        <v>0.54011671865495803</v>
      </c>
      <c r="H2424">
        <v>0.292498348315546</v>
      </c>
      <c r="I2424">
        <v>0.21139760891897999</v>
      </c>
      <c r="J2424">
        <v>0.101923107580841</v>
      </c>
      <c r="K2424">
        <v>8.0791845970186807E-2</v>
      </c>
      <c r="L2424">
        <v>651.58780965714095</v>
      </c>
      <c r="M2424">
        <v>11.519879932872801</v>
      </c>
      <c r="N2424">
        <v>56.5620561654409</v>
      </c>
      <c r="O2424">
        <v>54.938156316094997</v>
      </c>
      <c r="P2424">
        <v>-5.2436844961334501E-2</v>
      </c>
      <c r="Q2424">
        <v>0</v>
      </c>
      <c r="R2424">
        <v>0.99211253784104503</v>
      </c>
      <c r="S2424" t="s">
        <v>8876</v>
      </c>
      <c r="T2424" t="s">
        <v>12902</v>
      </c>
      <c r="U2424" t="s">
        <v>12902</v>
      </c>
      <c r="V2424" t="s">
        <v>12902</v>
      </c>
      <c r="W2424" t="s">
        <v>15287</v>
      </c>
      <c r="X2424">
        <v>6</v>
      </c>
      <c r="Y2424" t="s">
        <v>21637</v>
      </c>
      <c r="Z2424" t="s">
        <v>27999</v>
      </c>
      <c r="AA2424">
        <v>0.57060921282124211</v>
      </c>
      <c r="AB2424" t="str">
        <f>HYPERLINK("Melting_Curves/meltCurve_P35790_CHKA.pdf", "Melting_Curves/meltCurve_P35790_CHKA.pdf")</f>
        <v>Melting_Curves/meltCurve_P35790_CHKA.pdf</v>
      </c>
    </row>
    <row r="2425" spans="1:28" x14ac:dyDescent="0.25">
      <c r="A2425" t="s">
        <v>2429</v>
      </c>
      <c r="B2425">
        <v>0.99673306730245903</v>
      </c>
      <c r="C2425">
        <v>0.99449737885196099</v>
      </c>
      <c r="D2425">
        <v>0.97126173511232605</v>
      </c>
      <c r="E2425">
        <v>0.800940965566319</v>
      </c>
      <c r="F2425">
        <v>0.209677685135292</v>
      </c>
      <c r="G2425">
        <v>0.119885525859104</v>
      </c>
      <c r="H2425">
        <v>7.2850983033079103E-2</v>
      </c>
      <c r="I2425">
        <v>7.4941882834154996E-2</v>
      </c>
      <c r="J2425">
        <v>8.5274594943093807E-2</v>
      </c>
      <c r="K2425">
        <v>8.1694956061258997E-2</v>
      </c>
      <c r="L2425">
        <v>2229.6583851472701</v>
      </c>
      <c r="M2425">
        <v>43.693779092963503</v>
      </c>
      <c r="N2425">
        <v>51.243923606878703</v>
      </c>
      <c r="O2425">
        <v>50.922651948936199</v>
      </c>
      <c r="P2425">
        <v>-0.196566055140769</v>
      </c>
      <c r="Q2425">
        <v>8.3654429886896295E-2</v>
      </c>
      <c r="R2425">
        <v>0.99917879417182198</v>
      </c>
      <c r="S2425" t="s">
        <v>8877</v>
      </c>
      <c r="T2425" t="s">
        <v>12902</v>
      </c>
      <c r="U2425" t="s">
        <v>12902</v>
      </c>
      <c r="V2425" t="s">
        <v>12902</v>
      </c>
      <c r="W2425" t="s">
        <v>15288</v>
      </c>
      <c r="X2425">
        <v>15</v>
      </c>
      <c r="Y2425" t="s">
        <v>21638</v>
      </c>
      <c r="Z2425" t="s">
        <v>28000</v>
      </c>
      <c r="AA2425">
        <v>0.42324488326256399</v>
      </c>
      <c r="AB2425" t="str">
        <f>HYPERLINK("Melting_Curves/meltCurve_P35813_PPM1A.pdf", "Melting_Curves/meltCurve_P35813_PPM1A.pdf")</f>
        <v>Melting_Curves/meltCurve_P35813_PPM1A.pdf</v>
      </c>
    </row>
    <row r="2426" spans="1:28" x14ac:dyDescent="0.25">
      <c r="A2426" t="s">
        <v>2430</v>
      </c>
      <c r="B2426">
        <v>0.99673306730245903</v>
      </c>
      <c r="C2426">
        <v>0.96337911195038595</v>
      </c>
      <c r="D2426">
        <v>1.04533609925305</v>
      </c>
      <c r="E2426">
        <v>1.13270107331338</v>
      </c>
      <c r="F2426">
        <v>0.947653852153031</v>
      </c>
      <c r="G2426">
        <v>0.38038658761824501</v>
      </c>
      <c r="H2426">
        <v>0.13809135842373901</v>
      </c>
      <c r="I2426">
        <v>0.115843693934534</v>
      </c>
      <c r="J2426">
        <v>0.118663706240367</v>
      </c>
      <c r="K2426">
        <v>0.111534165111733</v>
      </c>
      <c r="L2426">
        <v>3088.3486238021201</v>
      </c>
      <c r="M2426">
        <v>55.230050928311798</v>
      </c>
      <c r="N2426">
        <v>56.192103754437298</v>
      </c>
      <c r="O2426">
        <v>55.844736427268302</v>
      </c>
      <c r="P2426">
        <v>-0.21804442288575099</v>
      </c>
      <c r="Q2426">
        <v>0.118115869387746</v>
      </c>
      <c r="R2426">
        <v>0.98849674190699599</v>
      </c>
      <c r="S2426" t="s">
        <v>8878</v>
      </c>
      <c r="T2426" t="s">
        <v>12902</v>
      </c>
      <c r="U2426" t="s">
        <v>12902</v>
      </c>
      <c r="V2426" t="s">
        <v>12902</v>
      </c>
      <c r="W2426" t="s">
        <v>15289</v>
      </c>
      <c r="X2426">
        <v>26</v>
      </c>
      <c r="Y2426" t="s">
        <v>21639</v>
      </c>
      <c r="Z2426" t="s">
        <v>28001</v>
      </c>
      <c r="AA2426">
        <v>0.58782095394839862</v>
      </c>
      <c r="AB2426" t="str">
        <f>HYPERLINK("Melting_Curves/meltCurve_P35998_PSMC2.pdf", "Melting_Curves/meltCurve_P35998_PSMC2.pdf")</f>
        <v>Melting_Curves/meltCurve_P35998_PSMC2.pdf</v>
      </c>
    </row>
    <row r="2427" spans="1:28" x14ac:dyDescent="0.25">
      <c r="A2427" t="s">
        <v>2431</v>
      </c>
      <c r="B2427">
        <v>0.99673306730245903</v>
      </c>
      <c r="C2427">
        <v>0.98127943439991805</v>
      </c>
      <c r="D2427">
        <v>0.97387120510515002</v>
      </c>
      <c r="E2427">
        <v>1.01530949399618</v>
      </c>
      <c r="F2427">
        <v>0.65100186807570504</v>
      </c>
      <c r="G2427">
        <v>0.31097218702096502</v>
      </c>
      <c r="H2427">
        <v>0.13232130743255999</v>
      </c>
      <c r="I2427">
        <v>0.116964262555174</v>
      </c>
      <c r="J2427">
        <v>0.14270659351569201</v>
      </c>
      <c r="K2427">
        <v>0.128971979457287</v>
      </c>
      <c r="L2427">
        <v>1742.6697604989699</v>
      </c>
      <c r="M2427">
        <v>32.213195553452898</v>
      </c>
      <c r="N2427">
        <v>54.592059215123598</v>
      </c>
      <c r="O2427">
        <v>53.890820709522899</v>
      </c>
      <c r="P2427">
        <v>-0.13054336009367301</v>
      </c>
      <c r="Q2427">
        <v>0.12643842066377001</v>
      </c>
      <c r="R2427">
        <v>0.99553916046958402</v>
      </c>
      <c r="S2427" t="s">
        <v>8879</v>
      </c>
      <c r="T2427" t="s">
        <v>12902</v>
      </c>
      <c r="U2427" t="s">
        <v>12902</v>
      </c>
      <c r="V2427" t="s">
        <v>12902</v>
      </c>
      <c r="W2427" t="s">
        <v>15290</v>
      </c>
      <c r="X2427">
        <v>9</v>
      </c>
      <c r="Y2427" t="s">
        <v>21640</v>
      </c>
      <c r="Z2427" t="s">
        <v>28002</v>
      </c>
      <c r="AA2427">
        <v>0.54195820051339039</v>
      </c>
      <c r="AB2427" t="str">
        <f>HYPERLINK("Melting_Curves/meltCurve_P36404_ARL2.pdf", "Melting_Curves/meltCurve_P36404_ARL2.pdf")</f>
        <v>Melting_Curves/meltCurve_P36404_ARL2.pdf</v>
      </c>
    </row>
    <row r="2428" spans="1:28" x14ac:dyDescent="0.25">
      <c r="A2428" t="s">
        <v>2432</v>
      </c>
      <c r="B2428">
        <v>0.99673306730245903</v>
      </c>
      <c r="C2428">
        <v>0.96510430236512001</v>
      </c>
      <c r="D2428">
        <v>1.01053453176372</v>
      </c>
      <c r="E2428">
        <v>0.97530002036350705</v>
      </c>
      <c r="F2428">
        <v>0.83418284380505203</v>
      </c>
      <c r="G2428">
        <v>0.54336862674637898</v>
      </c>
      <c r="H2428">
        <v>0.25935098055864098</v>
      </c>
      <c r="I2428">
        <v>0.239321188577926</v>
      </c>
      <c r="J2428">
        <v>0.32177009060498202</v>
      </c>
      <c r="K2428">
        <v>0.27308003906016298</v>
      </c>
      <c r="L2428">
        <v>1719.9724677658501</v>
      </c>
      <c r="M2428">
        <v>30.9367227473941</v>
      </c>
      <c r="N2428">
        <v>56.960105411065101</v>
      </c>
      <c r="O2428">
        <v>55.365721315194897</v>
      </c>
      <c r="P2428">
        <v>-0.103150455195923</v>
      </c>
      <c r="Q2428">
        <v>0.26159397257088901</v>
      </c>
      <c r="R2428">
        <v>0.99088695059312804</v>
      </c>
      <c r="S2428" t="s">
        <v>8880</v>
      </c>
      <c r="T2428" t="s">
        <v>12902</v>
      </c>
      <c r="U2428" t="s">
        <v>12902</v>
      </c>
      <c r="V2428" t="s">
        <v>12902</v>
      </c>
      <c r="W2428" t="s">
        <v>15291</v>
      </c>
      <c r="X2428">
        <v>14</v>
      </c>
      <c r="Y2428" t="s">
        <v>21641</v>
      </c>
      <c r="Z2428" t="s">
        <v>28003</v>
      </c>
      <c r="AA2428">
        <v>0.65012062279756677</v>
      </c>
      <c r="AB2428" t="str">
        <f>HYPERLINK("Melting_Curves/meltCurve_P36405_ARL3.pdf", "Melting_Curves/meltCurve_P36405_ARL3.pdf")</f>
        <v>Melting_Curves/meltCurve_P36405_ARL3.pdf</v>
      </c>
    </row>
    <row r="2429" spans="1:28" x14ac:dyDescent="0.25">
      <c r="A2429" t="s">
        <v>2433</v>
      </c>
      <c r="B2429">
        <v>0.99673306730245903</v>
      </c>
      <c r="C2429">
        <v>1.0297818382624899</v>
      </c>
      <c r="D2429">
        <v>0.97704596933974597</v>
      </c>
      <c r="E2429">
        <v>0.88821315068317097</v>
      </c>
      <c r="F2429">
        <v>0.27969224327104902</v>
      </c>
      <c r="G2429">
        <v>0.14068890817977101</v>
      </c>
      <c r="H2429">
        <v>8.68927162677674E-2</v>
      </c>
      <c r="I2429">
        <v>7.7111337195469698E-2</v>
      </c>
      <c r="J2429">
        <v>7.2779813417200606E-2</v>
      </c>
      <c r="K2429">
        <v>6.6123885368434596E-2</v>
      </c>
      <c r="L2429">
        <v>2313.5499616627499</v>
      </c>
      <c r="M2429">
        <v>44.738534027555801</v>
      </c>
      <c r="N2429">
        <v>51.925968793791903</v>
      </c>
      <c r="O2429">
        <v>51.609687215788597</v>
      </c>
      <c r="P2429">
        <v>-0.19852698110349601</v>
      </c>
      <c r="Q2429">
        <v>8.3930479371728497E-2</v>
      </c>
      <c r="R2429">
        <v>0.99803242923966395</v>
      </c>
      <c r="S2429" t="s">
        <v>8881</v>
      </c>
      <c r="T2429" t="s">
        <v>12902</v>
      </c>
      <c r="U2429" t="s">
        <v>12902</v>
      </c>
      <c r="V2429" t="s">
        <v>12902</v>
      </c>
      <c r="W2429" t="s">
        <v>15292</v>
      </c>
      <c r="X2429">
        <v>18</v>
      </c>
      <c r="Y2429" t="s">
        <v>21642</v>
      </c>
      <c r="Z2429" t="s">
        <v>28004</v>
      </c>
      <c r="AA2429">
        <v>0.44419826150422759</v>
      </c>
      <c r="AB2429" t="str">
        <f>HYPERLINK("Melting_Curves/meltCurve_P36507_MAP2K2.pdf", "Melting_Curves/meltCurve_P36507_MAP2K2.pdf")</f>
        <v>Melting_Curves/meltCurve_P36507_MAP2K2.pdf</v>
      </c>
    </row>
    <row r="2430" spans="1:28" x14ac:dyDescent="0.25">
      <c r="A2430" t="s">
        <v>2434</v>
      </c>
      <c r="B2430">
        <v>0.99673306730245903</v>
      </c>
      <c r="C2430">
        <v>0.94950533299582396</v>
      </c>
      <c r="D2430">
        <v>0.95465000005008405</v>
      </c>
      <c r="E2430">
        <v>1.00677962109888</v>
      </c>
      <c r="F2430">
        <v>0.86197341477277101</v>
      </c>
      <c r="G2430">
        <v>0.83100398993885705</v>
      </c>
      <c r="H2430">
        <v>0.77755603469683898</v>
      </c>
      <c r="I2430">
        <v>0.323749022474419</v>
      </c>
      <c r="J2430">
        <v>0.106918655332884</v>
      </c>
      <c r="K2430">
        <v>8.9534991139906595E-2</v>
      </c>
      <c r="L2430">
        <v>1693.2219107251401</v>
      </c>
      <c r="M2430">
        <v>27.033198724756701</v>
      </c>
      <c r="N2430">
        <v>62.6349162517417</v>
      </c>
      <c r="O2430">
        <v>62.295182862962903</v>
      </c>
      <c r="P2430">
        <v>-0.108489409771916</v>
      </c>
      <c r="Q2430">
        <v>0</v>
      </c>
      <c r="R2430">
        <v>0.96361485994762297</v>
      </c>
      <c r="S2430" t="s">
        <v>8882</v>
      </c>
      <c r="T2430" t="s">
        <v>12902</v>
      </c>
      <c r="U2430" t="s">
        <v>12902</v>
      </c>
      <c r="V2430" t="s">
        <v>12902</v>
      </c>
      <c r="W2430" t="s">
        <v>15293</v>
      </c>
      <c r="X2430">
        <v>14</v>
      </c>
      <c r="Y2430" t="s">
        <v>21643</v>
      </c>
      <c r="Z2430" t="s">
        <v>28005</v>
      </c>
      <c r="AA2430">
        <v>0.75810066601508785</v>
      </c>
      <c r="AB2430" t="str">
        <f>HYPERLINK("Melting_Curves/meltCurve_P36542_ATP5C1.pdf", "Melting_Curves/meltCurve_P36542_ATP5C1.pdf")</f>
        <v>Melting_Curves/meltCurve_P36542_ATP5C1.pdf</v>
      </c>
    </row>
    <row r="2431" spans="1:28" x14ac:dyDescent="0.25">
      <c r="A2431" t="s">
        <v>2435</v>
      </c>
      <c r="B2431">
        <v>0.99673306730245903</v>
      </c>
      <c r="C2431">
        <v>0.90449260593657699</v>
      </c>
      <c r="D2431">
        <v>0.95909674501338205</v>
      </c>
      <c r="E2431">
        <v>1.07757167245162</v>
      </c>
      <c r="F2431">
        <v>0.67929816838356505</v>
      </c>
      <c r="G2431">
        <v>0.344602020582918</v>
      </c>
      <c r="H2431">
        <v>0.14433543361001799</v>
      </c>
      <c r="I2431">
        <v>0.105800546230173</v>
      </c>
      <c r="J2431">
        <v>0.143186881231784</v>
      </c>
      <c r="K2431">
        <v>0.12913777394624901</v>
      </c>
      <c r="L2431">
        <v>1757.1241159128699</v>
      </c>
      <c r="M2431">
        <v>32.257198278851803</v>
      </c>
      <c r="N2431">
        <v>54.9646250700861</v>
      </c>
      <c r="O2431">
        <v>54.2642403712224</v>
      </c>
      <c r="P2431">
        <v>-0.12996646829187899</v>
      </c>
      <c r="Q2431">
        <v>0.125466872600658</v>
      </c>
      <c r="R2431">
        <v>0.98201020215865298</v>
      </c>
      <c r="S2431" t="s">
        <v>8883</v>
      </c>
      <c r="T2431" t="s">
        <v>12902</v>
      </c>
      <c r="U2431" t="s">
        <v>12902</v>
      </c>
      <c r="V2431" t="s">
        <v>12902</v>
      </c>
      <c r="W2431" t="s">
        <v>15294</v>
      </c>
      <c r="X2431">
        <v>10</v>
      </c>
      <c r="Y2431" t="s">
        <v>21644</v>
      </c>
      <c r="Z2431" t="s">
        <v>28006</v>
      </c>
      <c r="AA2431">
        <v>0.5523710975064442</v>
      </c>
      <c r="AB2431" t="str">
        <f>HYPERLINK("Melting_Curves/meltCurve_P36543_ATP6V1E1.pdf", "Melting_Curves/meltCurve_P36543_ATP6V1E1.pdf")</f>
        <v>Melting_Curves/meltCurve_P36543_ATP6V1E1.pdf</v>
      </c>
    </row>
    <row r="2432" spans="1:28" x14ac:dyDescent="0.25">
      <c r="A2432" t="s">
        <v>2436</v>
      </c>
      <c r="B2432">
        <v>0.99673306730245903</v>
      </c>
      <c r="C2432">
        <v>1.0112274052518899</v>
      </c>
      <c r="D2432">
        <v>1.02531490099583</v>
      </c>
      <c r="E2432">
        <v>0.96839673573733198</v>
      </c>
      <c r="F2432">
        <v>0.84675807743630105</v>
      </c>
      <c r="G2432">
        <v>0.68415052339035398</v>
      </c>
      <c r="H2432">
        <v>0.35491033287267199</v>
      </c>
      <c r="I2432">
        <v>0.224936151665319</v>
      </c>
      <c r="J2432">
        <v>0.28825022000982298</v>
      </c>
      <c r="K2432">
        <v>0.192729241636238</v>
      </c>
      <c r="L2432">
        <v>1295.58471603198</v>
      </c>
      <c r="M2432">
        <v>22.573955332342901</v>
      </c>
      <c r="N2432">
        <v>58.693582713212798</v>
      </c>
      <c r="O2432">
        <v>56.948196105884698</v>
      </c>
      <c r="P2432">
        <v>-7.9596262532131701E-2</v>
      </c>
      <c r="Q2432">
        <v>0.196813828027573</v>
      </c>
      <c r="R2432">
        <v>0.99099914096701402</v>
      </c>
      <c r="S2432" t="s">
        <v>8884</v>
      </c>
      <c r="T2432" t="s">
        <v>12902</v>
      </c>
      <c r="U2432" t="s">
        <v>12902</v>
      </c>
      <c r="V2432" t="s">
        <v>12902</v>
      </c>
      <c r="W2432" t="s">
        <v>15295</v>
      </c>
      <c r="X2432">
        <v>24</v>
      </c>
      <c r="Y2432" t="s">
        <v>21645</v>
      </c>
      <c r="Z2432" t="s">
        <v>28007</v>
      </c>
      <c r="AA2432">
        <v>0.67073255485581773</v>
      </c>
      <c r="AB2432" t="str">
        <f>HYPERLINK("Melting_Curves/meltCurve_P36551_CPOX.pdf", "Melting_Curves/meltCurve_P36551_CPOX.pdf")</f>
        <v>Melting_Curves/meltCurve_P36551_CPOX.pdf</v>
      </c>
    </row>
    <row r="2433" spans="1:28" x14ac:dyDescent="0.25">
      <c r="A2433" t="s">
        <v>2437</v>
      </c>
      <c r="B2433">
        <v>0.99673306730245903</v>
      </c>
      <c r="C2433">
        <v>1.0794655471514201</v>
      </c>
      <c r="D2433">
        <v>0.94482064508727504</v>
      </c>
      <c r="E2433">
        <v>0.94337932678396497</v>
      </c>
      <c r="F2433">
        <v>0.80749470887633501</v>
      </c>
      <c r="G2433">
        <v>0.63303939420732402</v>
      </c>
      <c r="H2433">
        <v>0.31156858955154998</v>
      </c>
      <c r="I2433">
        <v>0.32550555625426603</v>
      </c>
      <c r="J2433">
        <v>0.43210804769176298</v>
      </c>
      <c r="K2433">
        <v>0.37165781548677801</v>
      </c>
      <c r="L2433">
        <v>1427.7762119189499</v>
      </c>
      <c r="M2433">
        <v>25.795670609758201</v>
      </c>
      <c r="N2433">
        <v>58.041432191643302</v>
      </c>
      <c r="O2433">
        <v>55.0200124885313</v>
      </c>
      <c r="P2433">
        <v>-7.6321085089576704E-2</v>
      </c>
      <c r="Q2433">
        <v>0.34886155173913602</v>
      </c>
      <c r="R2433">
        <v>0.96251683675047806</v>
      </c>
      <c r="S2433" t="s">
        <v>8885</v>
      </c>
      <c r="T2433" t="s">
        <v>12902</v>
      </c>
      <c r="U2433" t="s">
        <v>12902</v>
      </c>
      <c r="V2433" t="s">
        <v>12902</v>
      </c>
      <c r="W2433" t="s">
        <v>15296</v>
      </c>
      <c r="X2433">
        <v>11</v>
      </c>
      <c r="Y2433" t="s">
        <v>21646</v>
      </c>
      <c r="Z2433" t="s">
        <v>28008</v>
      </c>
      <c r="AA2433">
        <v>0.68771064855119968</v>
      </c>
      <c r="AB2433" t="str">
        <f>HYPERLINK("Melting_Curves/meltCurve_P36578_RPL4.pdf", "Melting_Curves/meltCurve_P36578_RPL4.pdf")</f>
        <v>Melting_Curves/meltCurve_P36578_RPL4.pdf</v>
      </c>
    </row>
    <row r="2434" spans="1:28" x14ac:dyDescent="0.25">
      <c r="A2434" t="s">
        <v>2438</v>
      </c>
      <c r="B2434">
        <v>0.99673306730245903</v>
      </c>
      <c r="C2434">
        <v>1.00087926443833</v>
      </c>
      <c r="D2434">
        <v>0.92413190631414599</v>
      </c>
      <c r="E2434">
        <v>0.89683520648696502</v>
      </c>
      <c r="F2434">
        <v>0.61369712777246199</v>
      </c>
      <c r="G2434">
        <v>0.35940458039176898</v>
      </c>
      <c r="H2434">
        <v>0.14367583059976799</v>
      </c>
      <c r="I2434">
        <v>0.10888147070681101</v>
      </c>
      <c r="J2434">
        <v>9.3086165109347002E-2</v>
      </c>
      <c r="K2434">
        <v>8.3036498647400606E-2</v>
      </c>
      <c r="L2434">
        <v>1066.7579554700601</v>
      </c>
      <c r="M2434">
        <v>19.647640230394401</v>
      </c>
      <c r="N2434">
        <v>54.683000028403001</v>
      </c>
      <c r="O2434">
        <v>53.741389028799603</v>
      </c>
      <c r="P2434">
        <v>-8.5447574836589907E-2</v>
      </c>
      <c r="Q2434">
        <v>6.5147561055240902E-2</v>
      </c>
      <c r="R2434">
        <v>0.99723155955560205</v>
      </c>
      <c r="S2434" t="s">
        <v>8886</v>
      </c>
      <c r="T2434" t="s">
        <v>12902</v>
      </c>
      <c r="U2434" t="s">
        <v>12902</v>
      </c>
      <c r="V2434" t="s">
        <v>12902</v>
      </c>
      <c r="W2434" t="s">
        <v>15297</v>
      </c>
      <c r="X2434">
        <v>5</v>
      </c>
      <c r="Y2434" t="s">
        <v>21647</v>
      </c>
      <c r="Z2434" t="s">
        <v>28009</v>
      </c>
      <c r="AA2434">
        <v>0.52358771732549192</v>
      </c>
      <c r="AB2434" t="str">
        <f>HYPERLINK("Melting_Curves/meltCurve_P36639_4_NUDT1.pdf", "Melting_Curves/meltCurve_P36639_4_NUDT1.pdf")</f>
        <v>Melting_Curves/meltCurve_P36639_4_NUDT1.pdf</v>
      </c>
    </row>
    <row r="2435" spans="1:28" x14ac:dyDescent="0.25">
      <c r="A2435" t="s">
        <v>2439</v>
      </c>
      <c r="B2435">
        <v>0.99673306730245903</v>
      </c>
      <c r="C2435">
        <v>1.01876013148823</v>
      </c>
      <c r="D2435">
        <v>0.99148905412652499</v>
      </c>
      <c r="E2435">
        <v>1.0121665930189401</v>
      </c>
      <c r="F2435">
        <v>0.86058776510755697</v>
      </c>
      <c r="G2435">
        <v>0.82551749152891896</v>
      </c>
      <c r="H2435">
        <v>0.414370910374878</v>
      </c>
      <c r="I2435">
        <v>8.8073879619749995E-2</v>
      </c>
      <c r="J2435">
        <v>7.1212588070785801E-2</v>
      </c>
      <c r="K2435">
        <v>5.4628799577758999E-2</v>
      </c>
      <c r="L2435">
        <v>1637.0782718262601</v>
      </c>
      <c r="M2435">
        <v>27.420237100782099</v>
      </c>
      <c r="N2435">
        <v>59.763027342941903</v>
      </c>
      <c r="O2435">
        <v>59.388448545985597</v>
      </c>
      <c r="P2435">
        <v>-0.113867848455703</v>
      </c>
      <c r="Q2435">
        <v>1.3521022492654199E-2</v>
      </c>
      <c r="R2435">
        <v>0.98933427580661903</v>
      </c>
      <c r="S2435" t="s">
        <v>8887</v>
      </c>
      <c r="T2435" t="s">
        <v>12902</v>
      </c>
      <c r="U2435" t="s">
        <v>12902</v>
      </c>
      <c r="V2435" t="s">
        <v>12902</v>
      </c>
      <c r="W2435" t="s">
        <v>15298</v>
      </c>
      <c r="X2435">
        <v>31</v>
      </c>
      <c r="Y2435" t="s">
        <v>21648</v>
      </c>
      <c r="Z2435" t="s">
        <v>28010</v>
      </c>
      <c r="AA2435">
        <v>0.66827219803687754</v>
      </c>
      <c r="AB2435" t="str">
        <f>HYPERLINK("Melting_Curves/meltCurve_P36871_PGM1.pdf", "Melting_Curves/meltCurve_P36871_PGM1.pdf")</f>
        <v>Melting_Curves/meltCurve_P36871_PGM1.pdf</v>
      </c>
    </row>
    <row r="2436" spans="1:28" x14ac:dyDescent="0.25">
      <c r="A2436" t="s">
        <v>2440</v>
      </c>
      <c r="B2436">
        <v>0.99673306730245903</v>
      </c>
      <c r="C2436">
        <v>0.734898107878452</v>
      </c>
      <c r="D2436">
        <v>0.75131102502095404</v>
      </c>
      <c r="E2436">
        <v>0.91613143304706102</v>
      </c>
      <c r="F2436">
        <v>0.69156662646593503</v>
      </c>
      <c r="G2436">
        <v>0.36817758781691901</v>
      </c>
      <c r="H2436">
        <v>0.14343944940175099</v>
      </c>
      <c r="I2436">
        <v>7.6342440224920205E-2</v>
      </c>
      <c r="J2436">
        <v>6.6844025815853997E-2</v>
      </c>
      <c r="K2436">
        <v>5.5208441832655601E-2</v>
      </c>
      <c r="L2436">
        <v>821.47773193504099</v>
      </c>
      <c r="M2436">
        <v>14.936830936135699</v>
      </c>
      <c r="N2436">
        <v>54.996774372593698</v>
      </c>
      <c r="O2436">
        <v>54.039266101434897</v>
      </c>
      <c r="P2436">
        <v>-6.9108846704646107E-2</v>
      </c>
      <c r="Q2436">
        <v>0</v>
      </c>
      <c r="R2436">
        <v>0.90860257809603395</v>
      </c>
      <c r="S2436" t="s">
        <v>8888</v>
      </c>
      <c r="T2436" t="s">
        <v>12902</v>
      </c>
      <c r="U2436" t="s">
        <v>12902</v>
      </c>
      <c r="V2436" t="s">
        <v>12902</v>
      </c>
      <c r="W2436" t="s">
        <v>15299</v>
      </c>
      <c r="X2436">
        <v>20</v>
      </c>
      <c r="Y2436" t="s">
        <v>21649</v>
      </c>
      <c r="Z2436" t="s">
        <v>28011</v>
      </c>
      <c r="AA2436">
        <v>0.5192664416331404</v>
      </c>
      <c r="AB2436" t="str">
        <f>HYPERLINK("Melting_Curves/meltCurve_P36873_2_PPP1CC.pdf", "Melting_Curves/meltCurve_P36873_2_PPP1CC.pdf")</f>
        <v>Melting_Curves/meltCurve_P36873_2_PPP1CC.pdf</v>
      </c>
    </row>
    <row r="2437" spans="1:28" x14ac:dyDescent="0.25">
      <c r="A2437" t="s">
        <v>2441</v>
      </c>
      <c r="B2437">
        <v>0.99673306730245903</v>
      </c>
      <c r="C2437">
        <v>0.94772660134221698</v>
      </c>
      <c r="D2437">
        <v>0.72991387230183402</v>
      </c>
      <c r="E2437">
        <v>0.69559628599297596</v>
      </c>
      <c r="F2437">
        <v>0.18722219056793499</v>
      </c>
      <c r="G2437">
        <v>0.11315540614043799</v>
      </c>
      <c r="H2437">
        <v>7.0345601641041602E-2</v>
      </c>
      <c r="I2437">
        <v>6.2112898462427402E-2</v>
      </c>
      <c r="J2437">
        <v>6.4358447189477197E-2</v>
      </c>
      <c r="K2437">
        <v>5.5485608790904799E-2</v>
      </c>
      <c r="L2437">
        <v>929.91842638673597</v>
      </c>
      <c r="M2437">
        <v>18.580407157696801</v>
      </c>
      <c r="N2437">
        <v>50.254526854861503</v>
      </c>
      <c r="O2437">
        <v>49.479414772125502</v>
      </c>
      <c r="P2437">
        <v>-9.0437990017019507E-2</v>
      </c>
      <c r="Q2437">
        <v>3.6700690966882499E-2</v>
      </c>
      <c r="R2437">
        <v>0.97158652630650799</v>
      </c>
      <c r="S2437" t="s">
        <v>8889</v>
      </c>
      <c r="T2437" t="s">
        <v>12902</v>
      </c>
      <c r="U2437" t="s">
        <v>12902</v>
      </c>
      <c r="V2437" t="s">
        <v>12902</v>
      </c>
      <c r="W2437" t="s">
        <v>15300</v>
      </c>
      <c r="X2437">
        <v>17</v>
      </c>
      <c r="Y2437" t="s">
        <v>21650</v>
      </c>
      <c r="Z2437" t="s">
        <v>28012</v>
      </c>
      <c r="AA2437">
        <v>0.37480760712322042</v>
      </c>
      <c r="AB2437" t="str">
        <f>HYPERLINK("Melting_Curves/meltCurve_P36915_GNL1.pdf", "Melting_Curves/meltCurve_P36915_GNL1.pdf")</f>
        <v>Melting_Curves/meltCurve_P36915_GNL1.pdf</v>
      </c>
    </row>
    <row r="2438" spans="1:28" x14ac:dyDescent="0.25">
      <c r="A2438" t="s">
        <v>2442</v>
      </c>
      <c r="B2438">
        <v>0.99673306730245903</v>
      </c>
      <c r="C2438">
        <v>1.0615954044993601</v>
      </c>
      <c r="D2438">
        <v>0.76875319208289195</v>
      </c>
      <c r="E2438">
        <v>0.74830933984826598</v>
      </c>
      <c r="F2438">
        <v>0.153650757636</v>
      </c>
      <c r="G2438">
        <v>9.8999603598010494E-2</v>
      </c>
      <c r="H2438">
        <v>5.5325295437720301E-2</v>
      </c>
      <c r="I2438">
        <v>5.3169151044152201E-2</v>
      </c>
      <c r="J2438">
        <v>5.87501465099163E-2</v>
      </c>
      <c r="K2438">
        <v>5.0771875694889702E-2</v>
      </c>
      <c r="L2438">
        <v>1654.95330787281</v>
      </c>
      <c r="M2438">
        <v>32.6751335585829</v>
      </c>
      <c r="N2438">
        <v>50.812033060348099</v>
      </c>
      <c r="O2438">
        <v>50.460133545552601</v>
      </c>
      <c r="P2438">
        <v>-0.153817117356393</v>
      </c>
      <c r="Q2438">
        <v>4.9846800542369701E-2</v>
      </c>
      <c r="R2438">
        <v>0.96925429221932602</v>
      </c>
      <c r="S2438" t="s">
        <v>8890</v>
      </c>
      <c r="T2438" t="s">
        <v>12902</v>
      </c>
      <c r="U2438" t="s">
        <v>12902</v>
      </c>
      <c r="V2438" t="s">
        <v>12902</v>
      </c>
      <c r="W2438" t="s">
        <v>15301</v>
      </c>
      <c r="X2438">
        <v>17</v>
      </c>
      <c r="Y2438" t="s">
        <v>21651</v>
      </c>
      <c r="Z2438" t="s">
        <v>28013</v>
      </c>
      <c r="AA2438">
        <v>0.39211174156172268</v>
      </c>
      <c r="AB2438" t="str">
        <f>HYPERLINK("Melting_Curves/meltCurve_P36952_SERPINB5.pdf", "Melting_Curves/meltCurve_P36952_SERPINB5.pdf")</f>
        <v>Melting_Curves/meltCurve_P36952_SERPINB5.pdf</v>
      </c>
    </row>
    <row r="2439" spans="1:28" x14ac:dyDescent="0.25">
      <c r="A2439" t="s">
        <v>2443</v>
      </c>
      <c r="B2439">
        <v>0.99673306730245903</v>
      </c>
      <c r="C2439">
        <v>1.00150768994609</v>
      </c>
      <c r="D2439">
        <v>1.03854574689457</v>
      </c>
      <c r="E2439">
        <v>1.1509072320095699</v>
      </c>
      <c r="F2439">
        <v>1.2907975727966501</v>
      </c>
      <c r="G2439">
        <v>1.01378174480326</v>
      </c>
      <c r="H2439">
        <v>0.73249458620168295</v>
      </c>
      <c r="I2439">
        <v>0.73749140863568896</v>
      </c>
      <c r="J2439">
        <v>0.73225201955012398</v>
      </c>
      <c r="K2439">
        <v>0.63244402331933103</v>
      </c>
      <c r="L2439">
        <v>10773.5570858599</v>
      </c>
      <c r="M2439">
        <v>179.326811784076</v>
      </c>
      <c r="O2439">
        <v>60.070310595164599</v>
      </c>
      <c r="P2439">
        <v>-0.22335598652184199</v>
      </c>
      <c r="Q2439">
        <v>0.70072376147058402</v>
      </c>
      <c r="R2439">
        <v>0.71766957298612399</v>
      </c>
      <c r="S2439" t="s">
        <v>8891</v>
      </c>
      <c r="T2439" t="s">
        <v>12902</v>
      </c>
      <c r="U2439" t="s">
        <v>12902</v>
      </c>
      <c r="V2439" t="s">
        <v>12902</v>
      </c>
      <c r="W2439" t="s">
        <v>15302</v>
      </c>
      <c r="X2439">
        <v>7</v>
      </c>
      <c r="Y2439" t="s">
        <v>21652</v>
      </c>
      <c r="Z2439" t="s">
        <v>28014</v>
      </c>
      <c r="AA2439">
        <v>0.90107853565000018</v>
      </c>
      <c r="AB2439" t="str">
        <f>HYPERLINK("Melting_Curves/meltCurve_P36954_POLR2I.pdf", "Melting_Curves/meltCurve_P36954_POLR2I.pdf")</f>
        <v>Melting_Curves/meltCurve_P36954_POLR2I.pdf</v>
      </c>
    </row>
    <row r="2440" spans="1:28" x14ac:dyDescent="0.25">
      <c r="A2440" t="s">
        <v>2444</v>
      </c>
      <c r="B2440">
        <v>0.99673306730245903</v>
      </c>
      <c r="C2440">
        <v>1.0284692719730499</v>
      </c>
      <c r="D2440">
        <v>0.98622990320724202</v>
      </c>
      <c r="E2440">
        <v>0.94170399741310995</v>
      </c>
      <c r="F2440">
        <v>0.85562842153910301</v>
      </c>
      <c r="G2440">
        <v>0.66368451982067</v>
      </c>
      <c r="H2440">
        <v>0.29478099953411502</v>
      </c>
      <c r="I2440">
        <v>0.13998160466659401</v>
      </c>
      <c r="J2440">
        <v>0.13551247790698001</v>
      </c>
      <c r="K2440">
        <v>9.8857600347508096E-2</v>
      </c>
      <c r="L2440">
        <v>1277.2715167855099</v>
      </c>
      <c r="M2440">
        <v>22.0790208429015</v>
      </c>
      <c r="N2440">
        <v>58.257306458135801</v>
      </c>
      <c r="O2440">
        <v>57.381714995408601</v>
      </c>
      <c r="P2440">
        <v>-8.9316141883392097E-2</v>
      </c>
      <c r="Q2440">
        <v>7.1516684110425194E-2</v>
      </c>
      <c r="R2440">
        <v>0.99600557295131398</v>
      </c>
      <c r="S2440" t="s">
        <v>8892</v>
      </c>
      <c r="T2440" t="s">
        <v>12902</v>
      </c>
      <c r="U2440" t="s">
        <v>12902</v>
      </c>
      <c r="V2440" t="s">
        <v>12902</v>
      </c>
      <c r="W2440" t="s">
        <v>15303</v>
      </c>
      <c r="X2440">
        <v>11</v>
      </c>
      <c r="Y2440" t="s">
        <v>21653</v>
      </c>
      <c r="Z2440" t="s">
        <v>28015</v>
      </c>
      <c r="AA2440">
        <v>0.6335316654929144</v>
      </c>
      <c r="AB2440" t="str">
        <f>HYPERLINK("Melting_Curves/meltCurve_P36955_SERPINF1.pdf", "Melting_Curves/meltCurve_P36955_SERPINF1.pdf")</f>
        <v>Melting_Curves/meltCurve_P36955_SERPINF1.pdf</v>
      </c>
    </row>
    <row r="2441" spans="1:28" x14ac:dyDescent="0.25">
      <c r="A2441" t="s">
        <v>2445</v>
      </c>
      <c r="B2441">
        <v>0.99673306730245903</v>
      </c>
      <c r="C2441">
        <v>1.0166924875627701</v>
      </c>
      <c r="D2441">
        <v>1.0165666164047</v>
      </c>
      <c r="E2441">
        <v>1.2374547536532099</v>
      </c>
      <c r="F2441">
        <v>1.66277895467647</v>
      </c>
      <c r="G2441">
        <v>1.5433210514332401</v>
      </c>
      <c r="H2441">
        <v>1.50577875049054</v>
      </c>
      <c r="I2441">
        <v>1.44022004767307</v>
      </c>
      <c r="J2441">
        <v>1.8611280786692601</v>
      </c>
      <c r="K2441">
        <v>0.75816301570155398</v>
      </c>
      <c r="L2441">
        <v>12397.204886616901</v>
      </c>
      <c r="M2441">
        <v>250</v>
      </c>
      <c r="O2441">
        <v>49.585652632559899</v>
      </c>
      <c r="P2441">
        <v>0.582197610980563</v>
      </c>
      <c r="Q2441">
        <v>1.46189831560066</v>
      </c>
      <c r="R2441">
        <v>0.36957004044744601</v>
      </c>
      <c r="S2441" t="s">
        <v>8893</v>
      </c>
      <c r="T2441" t="s">
        <v>12902</v>
      </c>
      <c r="U2441" t="s">
        <v>12902</v>
      </c>
      <c r="V2441" t="s">
        <v>12902</v>
      </c>
      <c r="W2441" t="s">
        <v>15304</v>
      </c>
      <c r="X2441">
        <v>25</v>
      </c>
      <c r="Y2441" t="s">
        <v>21654</v>
      </c>
      <c r="Z2441" t="s">
        <v>28016</v>
      </c>
      <c r="AA2441">
        <v>1.31422279779206</v>
      </c>
      <c r="AB2441" t="str">
        <f>HYPERLINK("Melting_Curves/meltCurve_P36957_DLST.pdf", "Melting_Curves/meltCurve_P36957_DLST.pdf")</f>
        <v>Melting_Curves/meltCurve_P36957_DLST.pdf</v>
      </c>
    </row>
    <row r="2442" spans="1:28" x14ac:dyDescent="0.25">
      <c r="A2442" t="s">
        <v>2446</v>
      </c>
      <c r="B2442">
        <v>0.99673306730245903</v>
      </c>
      <c r="C2442">
        <v>0.96364769452474097</v>
      </c>
      <c r="D2442">
        <v>0.999159473784896</v>
      </c>
      <c r="E2442">
        <v>1.09640491003713</v>
      </c>
      <c r="F2442">
        <v>1.0593648756001199</v>
      </c>
      <c r="G2442">
        <v>0.96921819877984605</v>
      </c>
      <c r="H2442">
        <v>0.88651237893110901</v>
      </c>
      <c r="I2442">
        <v>1.0953463271280699</v>
      </c>
      <c r="J2442">
        <v>1.1311973466243299</v>
      </c>
      <c r="K2442">
        <v>0.70539826859238597</v>
      </c>
      <c r="L2442">
        <v>15000</v>
      </c>
      <c r="M2442">
        <v>213.41245549813399</v>
      </c>
      <c r="Q2442">
        <v>0</v>
      </c>
      <c r="R2442">
        <v>0.61256119606778603</v>
      </c>
      <c r="S2442" t="s">
        <v>8894</v>
      </c>
      <c r="T2442" t="s">
        <v>12902</v>
      </c>
      <c r="U2442" t="s">
        <v>12902</v>
      </c>
      <c r="V2442" t="s">
        <v>12902</v>
      </c>
      <c r="W2442" t="s">
        <v>15305</v>
      </c>
      <c r="X2442">
        <v>13</v>
      </c>
      <c r="Y2442" t="s">
        <v>21655</v>
      </c>
      <c r="Z2442" t="s">
        <v>28017</v>
      </c>
      <c r="AA2442">
        <v>0.99623836621805262</v>
      </c>
      <c r="AB2442" t="str">
        <f>HYPERLINK("Melting_Curves/meltCurve_P36959_GMPR.pdf", "Melting_Curves/meltCurve_P36959_GMPR.pdf")</f>
        <v>Melting_Curves/meltCurve_P36959_GMPR.pdf</v>
      </c>
    </row>
    <row r="2443" spans="1:28" x14ac:dyDescent="0.25">
      <c r="A2443" t="s">
        <v>2447</v>
      </c>
      <c r="B2443">
        <v>0.99673306730245903</v>
      </c>
      <c r="C2443">
        <v>1.0212371419516799</v>
      </c>
      <c r="D2443">
        <v>1.0033993896932201</v>
      </c>
      <c r="E2443">
        <v>0.98918198903100996</v>
      </c>
      <c r="F2443">
        <v>0.82779558025779099</v>
      </c>
      <c r="G2443">
        <v>0.75138225716394003</v>
      </c>
      <c r="H2443">
        <v>0.37971688673330101</v>
      </c>
      <c r="I2443">
        <v>0.10128214097383501</v>
      </c>
      <c r="J2443">
        <v>9.4389418302472106E-2</v>
      </c>
      <c r="K2443">
        <v>7.7358942288514906E-2</v>
      </c>
      <c r="L2443">
        <v>1272.34840649693</v>
      </c>
      <c r="M2443">
        <v>21.5497027902647</v>
      </c>
      <c r="N2443">
        <v>59.125457556139096</v>
      </c>
      <c r="O2443">
        <v>58.541125197846</v>
      </c>
      <c r="P2443">
        <v>-9.0659880775897206E-2</v>
      </c>
      <c r="Q2443">
        <v>1.48907479980534E-2</v>
      </c>
      <c r="R2443">
        <v>0.98920394432172598</v>
      </c>
      <c r="S2443" t="s">
        <v>8895</v>
      </c>
      <c r="T2443" t="s">
        <v>12902</v>
      </c>
      <c r="U2443" t="s">
        <v>12902</v>
      </c>
      <c r="V2443" t="s">
        <v>12902</v>
      </c>
      <c r="W2443" t="s">
        <v>15306</v>
      </c>
      <c r="X2443">
        <v>16</v>
      </c>
      <c r="Y2443" t="s">
        <v>21656</v>
      </c>
      <c r="Z2443" t="s">
        <v>28018</v>
      </c>
      <c r="AA2443">
        <v>0.64952754106512811</v>
      </c>
      <c r="AB2443" t="str">
        <f>HYPERLINK("Melting_Curves/meltCurve_P36969_2_GPX4.pdf", "Melting_Curves/meltCurve_P36969_2_GPX4.pdf")</f>
        <v>Melting_Curves/meltCurve_P36969_2_GPX4.pdf</v>
      </c>
    </row>
    <row r="2444" spans="1:28" x14ac:dyDescent="0.25">
      <c r="A2444" t="s">
        <v>2448</v>
      </c>
      <c r="B2444">
        <v>0.99673306730245903</v>
      </c>
      <c r="C2444">
        <v>0.96770567951541098</v>
      </c>
      <c r="D2444">
        <v>0.98170379549917097</v>
      </c>
      <c r="E2444">
        <v>0.94701742775275899</v>
      </c>
      <c r="F2444">
        <v>0.80289733871087199</v>
      </c>
      <c r="G2444">
        <v>0.70831045107466695</v>
      </c>
      <c r="H2444">
        <v>0.50478369192051498</v>
      </c>
      <c r="I2444">
        <v>0.421396848959328</v>
      </c>
      <c r="J2444">
        <v>0.26348032106147001</v>
      </c>
      <c r="K2444">
        <v>0.219476801962256</v>
      </c>
      <c r="L2444">
        <v>642.27068419943998</v>
      </c>
      <c r="M2444">
        <v>10.479914923980701</v>
      </c>
      <c r="N2444">
        <v>61.285868157383398</v>
      </c>
      <c r="O2444">
        <v>59.180483747375298</v>
      </c>
      <c r="P2444">
        <v>-4.4288985784414397E-2</v>
      </c>
      <c r="Q2444">
        <v>0</v>
      </c>
      <c r="R2444">
        <v>0.99529889126798499</v>
      </c>
      <c r="S2444" t="s">
        <v>8896</v>
      </c>
      <c r="T2444" t="s">
        <v>12902</v>
      </c>
      <c r="U2444" t="s">
        <v>12902</v>
      </c>
      <c r="V2444" t="s">
        <v>12902</v>
      </c>
      <c r="W2444" t="s">
        <v>15307</v>
      </c>
      <c r="X2444">
        <v>10</v>
      </c>
      <c r="Y2444" t="s">
        <v>21657</v>
      </c>
      <c r="Z2444" t="s">
        <v>28019</v>
      </c>
      <c r="AA2444">
        <v>0.69735229897637685</v>
      </c>
      <c r="AB2444" t="str">
        <f>HYPERLINK("Melting_Curves/meltCurve_P37108_SRP14.pdf", "Melting_Curves/meltCurve_P37108_SRP14.pdf")</f>
        <v>Melting_Curves/meltCurve_P37108_SRP14.pdf</v>
      </c>
    </row>
    <row r="2445" spans="1:28" x14ac:dyDescent="0.25">
      <c r="A2445" t="s">
        <v>2449</v>
      </c>
      <c r="B2445">
        <v>0.99673306730245903</v>
      </c>
      <c r="C2445">
        <v>0.91369090790138696</v>
      </c>
      <c r="D2445">
        <v>0.92357290027009198</v>
      </c>
      <c r="E2445">
        <v>0.70518383609788504</v>
      </c>
      <c r="F2445">
        <v>0.45459560025856299</v>
      </c>
      <c r="G2445">
        <v>0.32643769404835099</v>
      </c>
      <c r="H2445">
        <v>0.25794933438437301</v>
      </c>
      <c r="I2445">
        <v>0.36302220621287801</v>
      </c>
      <c r="J2445">
        <v>0.53305373538184597</v>
      </c>
      <c r="K2445">
        <v>0.51879376057430204</v>
      </c>
      <c r="L2445">
        <v>1563.68812404767</v>
      </c>
      <c r="M2445">
        <v>31.609450380748601</v>
      </c>
      <c r="N2445">
        <v>52.097857246921699</v>
      </c>
      <c r="O2445">
        <v>49.272275261338201</v>
      </c>
      <c r="P2445">
        <v>-9.6462528827095995E-2</v>
      </c>
      <c r="Q2445">
        <v>0.398546562941819</v>
      </c>
      <c r="R2445">
        <v>0.89498525339059798</v>
      </c>
      <c r="S2445" t="s">
        <v>8897</v>
      </c>
      <c r="T2445" t="s">
        <v>12902</v>
      </c>
      <c r="U2445" t="s">
        <v>12902</v>
      </c>
      <c r="V2445" t="s">
        <v>12902</v>
      </c>
      <c r="W2445" t="s">
        <v>15308</v>
      </c>
      <c r="X2445">
        <v>9</v>
      </c>
      <c r="Y2445" t="s">
        <v>21658</v>
      </c>
      <c r="Z2445" t="s">
        <v>28020</v>
      </c>
      <c r="AA2445">
        <v>0.59170214517812725</v>
      </c>
      <c r="AB2445" t="str">
        <f>HYPERLINK("Melting_Curves/meltCurve_P37198_NUP62.pdf", "Melting_Curves/meltCurve_P37198_NUP62.pdf")</f>
        <v>Melting_Curves/meltCurve_P37198_NUP62.pdf</v>
      </c>
    </row>
    <row r="2446" spans="1:28" x14ac:dyDescent="0.25">
      <c r="A2446" t="s">
        <v>2450</v>
      </c>
      <c r="B2446">
        <v>0.99673306730245903</v>
      </c>
      <c r="C2446">
        <v>1.0298186872800801</v>
      </c>
      <c r="D2446">
        <v>0.95126054479202804</v>
      </c>
      <c r="E2446">
        <v>0.87316421366475105</v>
      </c>
      <c r="F2446">
        <v>0.59472869427650099</v>
      </c>
      <c r="G2446">
        <v>0.33128396458791698</v>
      </c>
      <c r="H2446">
        <v>0.199098941382232</v>
      </c>
      <c r="I2446">
        <v>0.25954579932744998</v>
      </c>
      <c r="J2446">
        <v>0.18562785726061701</v>
      </c>
      <c r="K2446">
        <v>0.157303427153901</v>
      </c>
      <c r="L2446">
        <v>1224.8884465589199</v>
      </c>
      <c r="M2446">
        <v>23.0304284380145</v>
      </c>
      <c r="N2446">
        <v>54.256767853468403</v>
      </c>
      <c r="O2446">
        <v>52.789527916334698</v>
      </c>
      <c r="P2446">
        <v>-8.9145914388342906E-2</v>
      </c>
      <c r="Q2446">
        <v>0.18266686165586199</v>
      </c>
      <c r="R2446">
        <v>0.99427027746943697</v>
      </c>
      <c r="S2446" t="s">
        <v>8898</v>
      </c>
      <c r="T2446" t="s">
        <v>12902</v>
      </c>
      <c r="U2446" t="s">
        <v>12902</v>
      </c>
      <c r="V2446" t="s">
        <v>12902</v>
      </c>
      <c r="W2446" t="s">
        <v>15309</v>
      </c>
      <c r="X2446">
        <v>4</v>
      </c>
      <c r="Y2446" t="s">
        <v>21659</v>
      </c>
      <c r="Z2446" t="s">
        <v>28021</v>
      </c>
      <c r="AA2446">
        <v>0.5506658855782941</v>
      </c>
      <c r="AB2446" t="str">
        <f>HYPERLINK("Melting_Curves/meltCurve_P37235_HPCAL1.pdf", "Melting_Curves/meltCurve_P37235_HPCAL1.pdf")</f>
        <v>Melting_Curves/meltCurve_P37235_HPCAL1.pdf</v>
      </c>
    </row>
    <row r="2447" spans="1:28" x14ac:dyDescent="0.25">
      <c r="A2447" t="s">
        <v>2451</v>
      </c>
      <c r="B2447">
        <v>0.99673306730245903</v>
      </c>
      <c r="C2447">
        <v>0.98634286624238199</v>
      </c>
      <c r="D2447">
        <v>0.90402071573835696</v>
      </c>
      <c r="E2447">
        <v>0.75954997095833499</v>
      </c>
      <c r="F2447">
        <v>0.28578573995058498</v>
      </c>
      <c r="G2447">
        <v>0.128451966590022</v>
      </c>
      <c r="H2447">
        <v>7.5441346062596101E-2</v>
      </c>
      <c r="I2447">
        <v>6.0429890020744899E-2</v>
      </c>
      <c r="J2447">
        <v>6.7585279416637806E-2</v>
      </c>
      <c r="K2447">
        <v>5.08178655940534E-2</v>
      </c>
      <c r="L2447">
        <v>1429.90839823538</v>
      </c>
      <c r="M2447">
        <v>27.909368024226801</v>
      </c>
      <c r="N2447">
        <v>51.467911653363799</v>
      </c>
      <c r="O2447">
        <v>50.9731257896389</v>
      </c>
      <c r="P2447">
        <v>-0.12873031175972</v>
      </c>
      <c r="Q2447">
        <v>5.9566040390767502E-2</v>
      </c>
      <c r="R2447">
        <v>0.99690706394266204</v>
      </c>
      <c r="S2447" t="s">
        <v>8899</v>
      </c>
      <c r="T2447" t="s">
        <v>12902</v>
      </c>
      <c r="U2447" t="s">
        <v>12902</v>
      </c>
      <c r="V2447" t="s">
        <v>12902</v>
      </c>
      <c r="W2447" t="s">
        <v>15310</v>
      </c>
      <c r="X2447">
        <v>22</v>
      </c>
      <c r="Y2447" t="s">
        <v>21660</v>
      </c>
      <c r="Z2447" t="s">
        <v>28022</v>
      </c>
      <c r="AA2447">
        <v>0.41858154404035341</v>
      </c>
      <c r="AB2447" t="str">
        <f>HYPERLINK("Melting_Curves/meltCurve_P37268_FDFT1.pdf", "Melting_Curves/meltCurve_P37268_FDFT1.pdf")</f>
        <v>Melting_Curves/meltCurve_P37268_FDFT1.pdf</v>
      </c>
    </row>
    <row r="2448" spans="1:28" x14ac:dyDescent="0.25">
      <c r="A2448" t="s">
        <v>2452</v>
      </c>
      <c r="B2448">
        <v>0.99673306730245903</v>
      </c>
      <c r="C2448">
        <v>1.00757834900071</v>
      </c>
      <c r="D2448">
        <v>0.69390450637536905</v>
      </c>
      <c r="E2448">
        <v>0.75494865496444696</v>
      </c>
      <c r="F2448">
        <v>0.29277528269755698</v>
      </c>
      <c r="G2448">
        <v>0.167028906942189</v>
      </c>
      <c r="H2448">
        <v>9.0096712385527605E-2</v>
      </c>
      <c r="I2448">
        <v>9.0539918018322396E-2</v>
      </c>
      <c r="J2448">
        <v>0.109060124543352</v>
      </c>
      <c r="K2448">
        <v>0.113923255883438</v>
      </c>
      <c r="L2448">
        <v>866.13987421393404</v>
      </c>
      <c r="M2448">
        <v>17.131999276075501</v>
      </c>
      <c r="N2448">
        <v>51.013121968952198</v>
      </c>
      <c r="O2448">
        <v>49.883092433334603</v>
      </c>
      <c r="P2448">
        <v>-7.9766409296987403E-2</v>
      </c>
      <c r="Q2448">
        <v>7.1035075464138495E-2</v>
      </c>
      <c r="R2448">
        <v>0.95858308112039303</v>
      </c>
      <c r="S2448" t="s">
        <v>8900</v>
      </c>
      <c r="T2448" t="s">
        <v>12902</v>
      </c>
      <c r="U2448" t="s">
        <v>12902</v>
      </c>
      <c r="V2448" t="s">
        <v>12902</v>
      </c>
      <c r="W2448" t="s">
        <v>15311</v>
      </c>
      <c r="X2448">
        <v>22</v>
      </c>
      <c r="Y2448" t="s">
        <v>21661</v>
      </c>
      <c r="Z2448" t="s">
        <v>28023</v>
      </c>
      <c r="AA2448">
        <v>0.4151556530467328</v>
      </c>
      <c r="AB2448" t="str">
        <f>HYPERLINK("Melting_Curves/meltCurve_P37802_TAGLN2.pdf", "Melting_Curves/meltCurve_P37802_TAGLN2.pdf")</f>
        <v>Melting_Curves/meltCurve_P37802_TAGLN2.pdf</v>
      </c>
    </row>
    <row r="2449" spans="1:28" x14ac:dyDescent="0.25">
      <c r="A2449" t="s">
        <v>2453</v>
      </c>
      <c r="B2449">
        <v>0.99673306730245903</v>
      </c>
      <c r="C2449">
        <v>0.99873548688215297</v>
      </c>
      <c r="D2449">
        <v>0.81881958779432595</v>
      </c>
      <c r="E2449">
        <v>0.73785013604995298</v>
      </c>
      <c r="F2449">
        <v>0.35333086600150398</v>
      </c>
      <c r="G2449">
        <v>0.228839130129669</v>
      </c>
      <c r="H2449">
        <v>0.159397657866968</v>
      </c>
      <c r="I2449">
        <v>0.17402696037391199</v>
      </c>
      <c r="J2449">
        <v>0.19903298526102101</v>
      </c>
      <c r="K2449">
        <v>0.13292792801996101</v>
      </c>
      <c r="L2449">
        <v>1024.8505915637099</v>
      </c>
      <c r="M2449">
        <v>20.207333927669801</v>
      </c>
      <c r="N2449">
        <v>51.626859829772101</v>
      </c>
      <c r="O2449">
        <v>50.227912287913298</v>
      </c>
      <c r="P2449">
        <v>-8.5509806151014903E-2</v>
      </c>
      <c r="Q2449">
        <v>0.14984434008617201</v>
      </c>
      <c r="R2449">
        <v>0.98620094979651396</v>
      </c>
      <c r="S2449" t="s">
        <v>8901</v>
      </c>
      <c r="T2449" t="s">
        <v>12902</v>
      </c>
      <c r="U2449" t="s">
        <v>12902</v>
      </c>
      <c r="V2449" t="s">
        <v>12902</v>
      </c>
      <c r="W2449" t="s">
        <v>15312</v>
      </c>
      <c r="X2449">
        <v>34</v>
      </c>
      <c r="Y2449" t="s">
        <v>21662</v>
      </c>
      <c r="Z2449" t="s">
        <v>28024</v>
      </c>
      <c r="AA2449">
        <v>0.46512253876669613</v>
      </c>
      <c r="AB2449" t="str">
        <f>HYPERLINK("Melting_Curves/meltCurve_P37837_TALDO1.pdf", "Melting_Curves/meltCurve_P37837_TALDO1.pdf")</f>
        <v>Melting_Curves/meltCurve_P37837_TALDO1.pdf</v>
      </c>
    </row>
    <row r="2450" spans="1:28" x14ac:dyDescent="0.25">
      <c r="A2450" t="s">
        <v>2454</v>
      </c>
      <c r="B2450">
        <v>0.99673306730245903</v>
      </c>
      <c r="C2450">
        <v>1.0109446289927599</v>
      </c>
      <c r="D2450">
        <v>0.99647554178259001</v>
      </c>
      <c r="E2450">
        <v>0.91877002541992903</v>
      </c>
      <c r="F2450">
        <v>0.71420948965276099</v>
      </c>
      <c r="G2450">
        <v>0.39495440677444899</v>
      </c>
      <c r="H2450">
        <v>0.36065373172627102</v>
      </c>
      <c r="I2450">
        <v>8.8561129325960497E-2</v>
      </c>
      <c r="J2450">
        <v>5.8455347928932297E-2</v>
      </c>
      <c r="K2450">
        <v>5.2557530842946898E-2</v>
      </c>
      <c r="L2450">
        <v>870.46632496150698</v>
      </c>
      <c r="M2450">
        <v>15.448265716498099</v>
      </c>
      <c r="N2450">
        <v>56.347168912346703</v>
      </c>
      <c r="O2450">
        <v>55.428314495922699</v>
      </c>
      <c r="P2450">
        <v>-6.9683052951736796E-2</v>
      </c>
      <c r="Q2450">
        <v>0</v>
      </c>
      <c r="R2450">
        <v>0.98460030576981195</v>
      </c>
      <c r="S2450" t="s">
        <v>8902</v>
      </c>
      <c r="T2450" t="s">
        <v>12902</v>
      </c>
      <c r="U2450" t="s">
        <v>12902</v>
      </c>
      <c r="V2450" t="s">
        <v>12902</v>
      </c>
      <c r="W2450" t="s">
        <v>15313</v>
      </c>
      <c r="X2450">
        <v>26</v>
      </c>
      <c r="Y2450" t="s">
        <v>21663</v>
      </c>
      <c r="Z2450" t="s">
        <v>28025</v>
      </c>
      <c r="AA2450">
        <v>0.56163407551166578</v>
      </c>
      <c r="AB2450" t="str">
        <f>HYPERLINK("Melting_Curves/meltCurve_P38117_ETFB.pdf", "Melting_Curves/meltCurve_P38117_ETFB.pdf")</f>
        <v>Melting_Curves/meltCurve_P38117_ETFB.pdf</v>
      </c>
    </row>
    <row r="2451" spans="1:28" x14ac:dyDescent="0.25">
      <c r="A2451" t="s">
        <v>2455</v>
      </c>
      <c r="B2451">
        <v>0.99673306730245903</v>
      </c>
      <c r="C2451">
        <v>0.97230684275371404</v>
      </c>
      <c r="D2451">
        <v>0.92922156879958795</v>
      </c>
      <c r="E2451">
        <v>0.82854750722890202</v>
      </c>
      <c r="F2451">
        <v>0.61281189478305198</v>
      </c>
      <c r="G2451">
        <v>0.455088449085297</v>
      </c>
      <c r="H2451">
        <v>0.32256948171474398</v>
      </c>
      <c r="I2451">
        <v>0.42176512198841698</v>
      </c>
      <c r="J2451">
        <v>0.66977158410503701</v>
      </c>
      <c r="K2451">
        <v>0.90503461242060201</v>
      </c>
      <c r="L2451">
        <v>1867.7708780314199</v>
      </c>
      <c r="M2451">
        <v>37.292110677649603</v>
      </c>
      <c r="O2451">
        <v>49.941499565191897</v>
      </c>
      <c r="P2451">
        <v>-8.2800820887676999E-2</v>
      </c>
      <c r="Q2451">
        <v>0.556454528408452</v>
      </c>
      <c r="R2451">
        <v>0.60223084502322299</v>
      </c>
      <c r="S2451" t="s">
        <v>8903</v>
      </c>
      <c r="T2451" t="s">
        <v>12902</v>
      </c>
      <c r="U2451" t="s">
        <v>12902</v>
      </c>
      <c r="V2451" t="s">
        <v>12902</v>
      </c>
      <c r="W2451" t="s">
        <v>15314</v>
      </c>
      <c r="X2451">
        <v>21</v>
      </c>
      <c r="Y2451" t="s">
        <v>21664</v>
      </c>
      <c r="Z2451" t="s">
        <v>28026</v>
      </c>
      <c r="AA2451">
        <v>0.70732746375526323</v>
      </c>
      <c r="AB2451" t="str">
        <f>HYPERLINK("Melting_Curves/meltCurve_P38159_RBMX.pdf", "Melting_Curves/meltCurve_P38159_RBMX.pdf")</f>
        <v>Melting_Curves/meltCurve_P38159_RBMX.pdf</v>
      </c>
    </row>
    <row r="2452" spans="1:28" x14ac:dyDescent="0.25">
      <c r="A2452" t="s">
        <v>2456</v>
      </c>
      <c r="B2452">
        <v>0.99673306730245903</v>
      </c>
      <c r="C2452">
        <v>0.84641130473432302</v>
      </c>
      <c r="D2452">
        <v>0.60789261946889805</v>
      </c>
      <c r="E2452">
        <v>0.41466960831380001</v>
      </c>
      <c r="F2452">
        <v>0.254271809848028</v>
      </c>
      <c r="G2452">
        <v>0.17257795242748</v>
      </c>
      <c r="H2452">
        <v>0.10447074638340401</v>
      </c>
      <c r="I2452">
        <v>0.113803377039966</v>
      </c>
      <c r="J2452">
        <v>0.13951496847766601</v>
      </c>
      <c r="K2452">
        <v>0.13109458585641301</v>
      </c>
      <c r="L2452">
        <v>742.29336054473595</v>
      </c>
      <c r="M2452">
        <v>15.7460342917184</v>
      </c>
      <c r="N2452">
        <v>47.928263281577301</v>
      </c>
      <c r="O2452">
        <v>46.400921495632097</v>
      </c>
      <c r="P2452">
        <v>-7.5182550217606406E-2</v>
      </c>
      <c r="Q2452">
        <v>0.113872895298005</v>
      </c>
      <c r="R2452">
        <v>0.99392654339799902</v>
      </c>
      <c r="S2452" t="s">
        <v>8904</v>
      </c>
      <c r="T2452" t="s">
        <v>12902</v>
      </c>
      <c r="U2452" t="s">
        <v>12902</v>
      </c>
      <c r="V2452" t="s">
        <v>12902</v>
      </c>
      <c r="W2452" t="s">
        <v>15315</v>
      </c>
      <c r="X2452">
        <v>6</v>
      </c>
      <c r="Y2452" t="s">
        <v>21665</v>
      </c>
      <c r="Z2452" t="s">
        <v>28027</v>
      </c>
      <c r="AA2452">
        <v>0.34640774479279829</v>
      </c>
      <c r="AB2452" t="str">
        <f>HYPERLINK("Melting_Curves/meltCurve_P38432_COIL.pdf", "Melting_Curves/meltCurve_P38432_COIL.pdf")</f>
        <v>Melting_Curves/meltCurve_P38432_COIL.pdf</v>
      </c>
    </row>
    <row r="2453" spans="1:28" x14ac:dyDescent="0.25">
      <c r="A2453" t="s">
        <v>2457</v>
      </c>
      <c r="B2453">
        <v>0.99673306730245903</v>
      </c>
      <c r="C2453">
        <v>0.89036496695310396</v>
      </c>
      <c r="D2453">
        <v>0.87221598443235104</v>
      </c>
      <c r="E2453">
        <v>0.62561696837737202</v>
      </c>
      <c r="F2453">
        <v>0.25540691925555697</v>
      </c>
      <c r="G2453">
        <v>0.137023981455417</v>
      </c>
      <c r="H2453">
        <v>8.8973509438135104E-2</v>
      </c>
      <c r="I2453">
        <v>7.20429191513942E-2</v>
      </c>
      <c r="J2453">
        <v>9.9062149041432804E-2</v>
      </c>
      <c r="K2453">
        <v>0.10117553295458</v>
      </c>
      <c r="L2453">
        <v>1077.8152548358</v>
      </c>
      <c r="M2453">
        <v>21.508034565275299</v>
      </c>
      <c r="N2453">
        <v>50.507064420741798</v>
      </c>
      <c r="O2453">
        <v>49.685044360864403</v>
      </c>
      <c r="P2453">
        <v>-9.9849722431460494E-2</v>
      </c>
      <c r="Q2453">
        <v>7.7383521239038994E-2</v>
      </c>
      <c r="R2453">
        <v>0.99210950296076295</v>
      </c>
      <c r="S2453" t="s">
        <v>8905</v>
      </c>
      <c r="T2453" t="s">
        <v>12902</v>
      </c>
      <c r="U2453" t="s">
        <v>12902</v>
      </c>
      <c r="V2453" t="s">
        <v>12902</v>
      </c>
      <c r="W2453" t="s">
        <v>15316</v>
      </c>
      <c r="X2453">
        <v>5</v>
      </c>
      <c r="Y2453" t="s">
        <v>21666</v>
      </c>
      <c r="Z2453" t="s">
        <v>28028</v>
      </c>
      <c r="AA2453">
        <v>0.39951025571559839</v>
      </c>
      <c r="AB2453" t="str">
        <f>HYPERLINK("Melting_Curves/meltCurve_P38435_GGCX.pdf", "Melting_Curves/meltCurve_P38435_GGCX.pdf")</f>
        <v>Melting_Curves/meltCurve_P38435_GGCX.pdf</v>
      </c>
    </row>
    <row r="2454" spans="1:28" x14ac:dyDescent="0.25">
      <c r="A2454" t="s">
        <v>2458</v>
      </c>
      <c r="B2454">
        <v>0.99673306730245903</v>
      </c>
      <c r="C2454">
        <v>1.0335938298167999</v>
      </c>
      <c r="D2454">
        <v>0.98883625287935395</v>
      </c>
      <c r="E2454">
        <v>1.07212140041468</v>
      </c>
      <c r="F2454">
        <v>0.94180383351057695</v>
      </c>
      <c r="G2454">
        <v>0.81738223853119796</v>
      </c>
      <c r="H2454">
        <v>0.53008670938230296</v>
      </c>
      <c r="I2454">
        <v>0.26132018269065499</v>
      </c>
      <c r="J2454">
        <v>0.16243092162532199</v>
      </c>
      <c r="K2454">
        <v>0.115587281377474</v>
      </c>
      <c r="L2454">
        <v>1375.0525933358099</v>
      </c>
      <c r="M2454">
        <v>22.719064422720699</v>
      </c>
      <c r="N2454">
        <v>60.927144494696499</v>
      </c>
      <c r="O2454">
        <v>60.0611092341614</v>
      </c>
      <c r="P2454">
        <v>-8.7971334945947194E-2</v>
      </c>
      <c r="Q2454">
        <v>6.9758924971910496E-2</v>
      </c>
      <c r="R2454">
        <v>0.99359501932810501</v>
      </c>
      <c r="S2454" t="s">
        <v>8906</v>
      </c>
      <c r="T2454" t="s">
        <v>12902</v>
      </c>
      <c r="U2454" t="s">
        <v>12902</v>
      </c>
      <c r="V2454" t="s">
        <v>12902</v>
      </c>
      <c r="W2454" t="s">
        <v>15317</v>
      </c>
      <c r="X2454">
        <v>3</v>
      </c>
      <c r="Y2454" t="s">
        <v>21667</v>
      </c>
      <c r="Z2454" t="s">
        <v>28029</v>
      </c>
      <c r="AA2454">
        <v>0.71287575322066599</v>
      </c>
      <c r="AB2454" t="str">
        <f>HYPERLINK("Melting_Curves/meltCurve_P38571_2_LIPA.pdf", "Melting_Curves/meltCurve_P38571_2_LIPA.pdf")</f>
        <v>Melting_Curves/meltCurve_P38571_2_LIPA.pdf</v>
      </c>
    </row>
    <row r="2455" spans="1:28" x14ac:dyDescent="0.25">
      <c r="A2455" t="s">
        <v>2459</v>
      </c>
      <c r="B2455">
        <v>0.99673306730245903</v>
      </c>
      <c r="C2455">
        <v>0.96008657472431402</v>
      </c>
      <c r="D2455">
        <v>0.89598633224195601</v>
      </c>
      <c r="E2455">
        <v>0.87028665188633703</v>
      </c>
      <c r="F2455">
        <v>0.788521648466464</v>
      </c>
      <c r="G2455">
        <v>0.74787897028328199</v>
      </c>
      <c r="H2455">
        <v>0.50670289274117097</v>
      </c>
      <c r="I2455">
        <v>0.210373161042685</v>
      </c>
      <c r="J2455">
        <v>0.141747122383104</v>
      </c>
      <c r="K2455">
        <v>0.10128979327908399</v>
      </c>
      <c r="L2455">
        <v>841.25165165923795</v>
      </c>
      <c r="M2455">
        <v>14.085609466363501</v>
      </c>
      <c r="N2455">
        <v>59.724192719947403</v>
      </c>
      <c r="O2455">
        <v>58.559081745787402</v>
      </c>
      <c r="P2455">
        <v>-6.0141975272472697E-2</v>
      </c>
      <c r="Q2455">
        <v>0</v>
      </c>
      <c r="R2455">
        <v>0.96858909187242903</v>
      </c>
      <c r="S2455" t="s">
        <v>8907</v>
      </c>
      <c r="T2455" t="s">
        <v>12902</v>
      </c>
      <c r="U2455" t="s">
        <v>12902</v>
      </c>
      <c r="V2455" t="s">
        <v>12902</v>
      </c>
      <c r="W2455" t="s">
        <v>15318</v>
      </c>
      <c r="X2455">
        <v>28</v>
      </c>
      <c r="Y2455" t="s">
        <v>21668</v>
      </c>
      <c r="Z2455" t="s">
        <v>28030</v>
      </c>
      <c r="AA2455">
        <v>0.66463010812409573</v>
      </c>
      <c r="AB2455" t="str">
        <f>HYPERLINK("Melting_Curves/meltCurve_P38606_ATP6V1A.pdf", "Melting_Curves/meltCurve_P38606_ATP6V1A.pdf")</f>
        <v>Melting_Curves/meltCurve_P38606_ATP6V1A.pdf</v>
      </c>
    </row>
    <row r="2456" spans="1:28" x14ac:dyDescent="0.25">
      <c r="A2456" t="s">
        <v>2460</v>
      </c>
      <c r="B2456">
        <v>0.99673306730245903</v>
      </c>
      <c r="C2456">
        <v>0.88709178182038495</v>
      </c>
      <c r="D2456">
        <v>0.90588551942626006</v>
      </c>
      <c r="E2456">
        <v>0.83546974826959097</v>
      </c>
      <c r="F2456">
        <v>0.76513054445004602</v>
      </c>
      <c r="G2456">
        <v>0.58631944548236503</v>
      </c>
      <c r="H2456">
        <v>0.20845733239265499</v>
      </c>
      <c r="I2456">
        <v>6.6951736376900106E-2</v>
      </c>
      <c r="J2456">
        <v>6.1012812134521303E-2</v>
      </c>
      <c r="K2456">
        <v>5.2761374035055202E-2</v>
      </c>
      <c r="L2456">
        <v>958.64951548029705</v>
      </c>
      <c r="M2456">
        <v>16.876118046580601</v>
      </c>
      <c r="N2456">
        <v>56.805096678505201</v>
      </c>
      <c r="O2456">
        <v>56.025491572392397</v>
      </c>
      <c r="P2456">
        <v>-7.5310355443850702E-2</v>
      </c>
      <c r="Q2456">
        <v>0</v>
      </c>
      <c r="R2456">
        <v>0.97288457595019395</v>
      </c>
      <c r="S2456" t="s">
        <v>8908</v>
      </c>
      <c r="T2456" t="s">
        <v>12902</v>
      </c>
      <c r="U2456" t="s">
        <v>12902</v>
      </c>
      <c r="V2456" t="s">
        <v>12902</v>
      </c>
      <c r="W2456" t="s">
        <v>15319</v>
      </c>
      <c r="X2456">
        <v>69</v>
      </c>
      <c r="Y2456" t="s">
        <v>21669</v>
      </c>
      <c r="Z2456" t="s">
        <v>28031</v>
      </c>
      <c r="AA2456">
        <v>0.57500177533939223</v>
      </c>
      <c r="AB2456" t="str">
        <f>HYPERLINK("Melting_Curves/meltCurve_P38646_HSPA9.pdf", "Melting_Curves/meltCurve_P38646_HSPA9.pdf")</f>
        <v>Melting_Curves/meltCurve_P38646_HSPA9.pdf</v>
      </c>
    </row>
    <row r="2457" spans="1:28" x14ac:dyDescent="0.25">
      <c r="A2457" t="s">
        <v>2461</v>
      </c>
      <c r="B2457">
        <v>0.99673306730245903</v>
      </c>
      <c r="C2457">
        <v>1.0096979001581401</v>
      </c>
      <c r="D2457">
        <v>0.99706207375948896</v>
      </c>
      <c r="E2457">
        <v>1.0162121597460001</v>
      </c>
      <c r="F2457">
        <v>0.65906302199118305</v>
      </c>
      <c r="G2457">
        <v>0.29290518646609098</v>
      </c>
      <c r="H2457">
        <v>0.12209853057080999</v>
      </c>
      <c r="I2457">
        <v>8.9213891304347898E-2</v>
      </c>
      <c r="J2457">
        <v>8.3451670648362203E-2</v>
      </c>
      <c r="K2457">
        <v>7.0673108014699601E-2</v>
      </c>
      <c r="L2457">
        <v>1667.8983380336999</v>
      </c>
      <c r="M2457">
        <v>30.691804040521401</v>
      </c>
      <c r="N2457">
        <v>54.661548678849996</v>
      </c>
      <c r="O2457">
        <v>54.114304779914598</v>
      </c>
      <c r="P2457">
        <v>-0.13019589155299499</v>
      </c>
      <c r="Q2457">
        <v>8.1785089811168193E-2</v>
      </c>
      <c r="R2457">
        <v>0.99694142712797396</v>
      </c>
      <c r="S2457" t="s">
        <v>8909</v>
      </c>
      <c r="T2457" t="s">
        <v>12902</v>
      </c>
      <c r="U2457" t="s">
        <v>12902</v>
      </c>
      <c r="V2457" t="s">
        <v>12902</v>
      </c>
      <c r="W2457" t="s">
        <v>15320</v>
      </c>
      <c r="X2457">
        <v>31</v>
      </c>
      <c r="Y2457" t="s">
        <v>21670</v>
      </c>
      <c r="Z2457" t="s">
        <v>28032</v>
      </c>
      <c r="AA2457">
        <v>0.52659204248069913</v>
      </c>
      <c r="AB2457" t="str">
        <f>HYPERLINK("Melting_Curves/meltCurve_P38919_EIF4A3.pdf", "Melting_Curves/meltCurve_P38919_EIF4A3.pdf")</f>
        <v>Melting_Curves/meltCurve_P38919_EIF4A3.pdf</v>
      </c>
    </row>
    <row r="2458" spans="1:28" x14ac:dyDescent="0.25">
      <c r="A2458" t="s">
        <v>2462</v>
      </c>
      <c r="B2458">
        <v>0.99673306730245903</v>
      </c>
      <c r="C2458">
        <v>1.2228690273240801</v>
      </c>
      <c r="D2458">
        <v>1.2257280196753899</v>
      </c>
      <c r="E2458">
        <v>0.14732158043282001</v>
      </c>
      <c r="F2458">
        <v>0.101722526528433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12306.8501081588</v>
      </c>
      <c r="M2458">
        <v>250</v>
      </c>
      <c r="N2458">
        <v>49.234193977814698</v>
      </c>
      <c r="O2458">
        <v>49.224250381803103</v>
      </c>
      <c r="P2458">
        <v>-1.24817322277083</v>
      </c>
      <c r="Q2458">
        <v>1.69537448719554E-2</v>
      </c>
      <c r="R2458">
        <v>0.95890273278784399</v>
      </c>
      <c r="S2458" t="s">
        <v>8910</v>
      </c>
      <c r="T2458" t="s">
        <v>12902</v>
      </c>
      <c r="U2458" t="s">
        <v>12902</v>
      </c>
      <c r="V2458" t="s">
        <v>12902</v>
      </c>
      <c r="W2458" t="s">
        <v>15321</v>
      </c>
      <c r="X2458">
        <v>1</v>
      </c>
      <c r="Y2458" t="s">
        <v>21671</v>
      </c>
      <c r="Z2458" t="s">
        <v>28033</v>
      </c>
      <c r="AA2458">
        <v>0.31940405483219819</v>
      </c>
      <c r="AB2458" t="str">
        <f>HYPERLINK("Melting_Curves/meltCurve_P38935_IGHMBP2.pdf", "Melting_Curves/meltCurve_P38935_IGHMBP2.pdf")</f>
        <v>Melting_Curves/meltCurve_P38935_IGHMBP2.pdf</v>
      </c>
    </row>
    <row r="2459" spans="1:28" x14ac:dyDescent="0.25">
      <c r="A2459" t="s">
        <v>2463</v>
      </c>
      <c r="B2459">
        <v>0.99673306730245903</v>
      </c>
      <c r="C2459">
        <v>1.1761196142251</v>
      </c>
      <c r="D2459">
        <v>1.01026206425688</v>
      </c>
      <c r="E2459">
        <v>1.0731877210635501</v>
      </c>
      <c r="F2459">
        <v>0.91409761371506204</v>
      </c>
      <c r="G2459">
        <v>0.71424116170199503</v>
      </c>
      <c r="H2459">
        <v>0.44475019158405998</v>
      </c>
      <c r="I2459">
        <v>0.54217095540147997</v>
      </c>
      <c r="J2459">
        <v>0.84709712179400498</v>
      </c>
      <c r="K2459">
        <v>1.0989620648467</v>
      </c>
      <c r="L2459">
        <v>13340.712272806901</v>
      </c>
      <c r="M2459">
        <v>250</v>
      </c>
      <c r="O2459">
        <v>53.359434258780901</v>
      </c>
      <c r="P2459">
        <v>-0.31690238779192298</v>
      </c>
      <c r="Q2459">
        <v>0.72944428645405401</v>
      </c>
      <c r="R2459">
        <v>0.43512584229687801</v>
      </c>
      <c r="S2459" t="s">
        <v>8911</v>
      </c>
      <c r="T2459" t="s">
        <v>12902</v>
      </c>
      <c r="U2459" t="s">
        <v>12902</v>
      </c>
      <c r="V2459" t="s">
        <v>12902</v>
      </c>
      <c r="W2459" t="s">
        <v>15322</v>
      </c>
      <c r="X2459">
        <v>13</v>
      </c>
      <c r="Y2459" t="s">
        <v>21672</v>
      </c>
      <c r="Z2459" t="s">
        <v>28034</v>
      </c>
      <c r="AA2459">
        <v>0.84998279662176657</v>
      </c>
      <c r="AB2459" t="str">
        <f>HYPERLINK("Melting_Curves/meltCurve_P39019_RPS19.pdf", "Melting_Curves/meltCurve_P39019_RPS19.pdf")</f>
        <v>Melting_Curves/meltCurve_P39019_RPS19.pdf</v>
      </c>
    </row>
    <row r="2460" spans="1:28" x14ac:dyDescent="0.25">
      <c r="A2460" t="s">
        <v>2464</v>
      </c>
      <c r="B2460">
        <v>0.99673306730245903</v>
      </c>
      <c r="C2460">
        <v>1.0436711511441701</v>
      </c>
      <c r="D2460">
        <v>0.99612299332492604</v>
      </c>
      <c r="E2460">
        <v>0.92609052731852703</v>
      </c>
      <c r="F2460">
        <v>0.76375804707705597</v>
      </c>
      <c r="G2460">
        <v>0.54839286226211603</v>
      </c>
      <c r="H2460">
        <v>0.28274895370828901</v>
      </c>
      <c r="I2460">
        <v>0.20540758894241601</v>
      </c>
      <c r="J2460">
        <v>0.248184242775839</v>
      </c>
      <c r="K2460">
        <v>0.229457553913398</v>
      </c>
      <c r="L2460">
        <v>1184.26750563932</v>
      </c>
      <c r="M2460">
        <v>21.2998321304296</v>
      </c>
      <c r="N2460">
        <v>56.968235317554303</v>
      </c>
      <c r="O2460">
        <v>55.116724344957298</v>
      </c>
      <c r="P2460">
        <v>-7.7268850905368003E-2</v>
      </c>
      <c r="Q2460">
        <v>0.200238195904925</v>
      </c>
      <c r="R2460">
        <v>0.99344425552763505</v>
      </c>
      <c r="S2460" t="s">
        <v>8912</v>
      </c>
      <c r="T2460" t="s">
        <v>12902</v>
      </c>
      <c r="U2460" t="s">
        <v>12902</v>
      </c>
      <c r="V2460" t="s">
        <v>12902</v>
      </c>
      <c r="W2460" t="s">
        <v>15323</v>
      </c>
      <c r="X2460">
        <v>12</v>
      </c>
      <c r="Y2460" t="s">
        <v>21673</v>
      </c>
      <c r="Z2460" t="s">
        <v>28035</v>
      </c>
      <c r="AA2460">
        <v>0.62564828574732767</v>
      </c>
      <c r="AB2460" t="str">
        <f>HYPERLINK("Melting_Curves/meltCurve_P39023_RPL3.pdf", "Melting_Curves/meltCurve_P39023_RPL3.pdf")</f>
        <v>Melting_Curves/meltCurve_P39023_RPL3.pdf</v>
      </c>
    </row>
    <row r="2461" spans="1:28" x14ac:dyDescent="0.25">
      <c r="A2461" t="s">
        <v>2465</v>
      </c>
      <c r="B2461">
        <v>0.99673306730245903</v>
      </c>
      <c r="C2461">
        <v>0.95697754885429398</v>
      </c>
      <c r="D2461">
        <v>0.85980025562352302</v>
      </c>
      <c r="E2461">
        <v>0.749055556382071</v>
      </c>
      <c r="F2461">
        <v>0.29564684418221199</v>
      </c>
      <c r="G2461">
        <v>0.129822692328151</v>
      </c>
      <c r="H2461">
        <v>7.3640787070760994E-2</v>
      </c>
      <c r="I2461">
        <v>6.8419726567601494E-2</v>
      </c>
      <c r="J2461">
        <v>6.5910339423708802E-2</v>
      </c>
      <c r="K2461">
        <v>5.6180459445805297E-2</v>
      </c>
      <c r="L2461">
        <v>1226.4336563715899</v>
      </c>
      <c r="M2461">
        <v>23.972069427894301</v>
      </c>
      <c r="N2461">
        <v>51.407927215650403</v>
      </c>
      <c r="O2461">
        <v>50.808906266285497</v>
      </c>
      <c r="P2461">
        <v>-0.111538445282583</v>
      </c>
      <c r="Q2461">
        <v>5.4390125315122502E-2</v>
      </c>
      <c r="R2461">
        <v>0.992679766595294</v>
      </c>
      <c r="S2461" t="s">
        <v>8913</v>
      </c>
      <c r="T2461" t="s">
        <v>12902</v>
      </c>
      <c r="U2461" t="s">
        <v>12902</v>
      </c>
      <c r="V2461" t="s">
        <v>12902</v>
      </c>
      <c r="W2461" t="s">
        <v>15324</v>
      </c>
      <c r="X2461">
        <v>12</v>
      </c>
      <c r="Y2461" t="s">
        <v>21674</v>
      </c>
      <c r="Z2461" t="s">
        <v>28036</v>
      </c>
      <c r="AA2461">
        <v>0.41547587758683008</v>
      </c>
      <c r="AB2461" t="str">
        <f>HYPERLINK("Melting_Curves/meltCurve_P39656_DDOST.pdf", "Melting_Curves/meltCurve_P39656_DDOST.pdf")</f>
        <v>Melting_Curves/meltCurve_P39656_DDOST.pdf</v>
      </c>
    </row>
    <row r="2462" spans="1:28" x14ac:dyDescent="0.25">
      <c r="A2462" t="s">
        <v>2466</v>
      </c>
      <c r="B2462">
        <v>0.99673306730245903</v>
      </c>
      <c r="C2462">
        <v>1.0567470718272101</v>
      </c>
      <c r="D2462">
        <v>1.0365718873673799</v>
      </c>
      <c r="E2462">
        <v>1.0462594218419401</v>
      </c>
      <c r="F2462">
        <v>0.87244203303109702</v>
      </c>
      <c r="G2462">
        <v>0.53787485619097397</v>
      </c>
      <c r="H2462">
        <v>0.272731913236132</v>
      </c>
      <c r="I2462">
        <v>0.35126445932768702</v>
      </c>
      <c r="J2462">
        <v>0.44909976426577403</v>
      </c>
      <c r="K2462">
        <v>0.44606786248025898</v>
      </c>
      <c r="L2462">
        <v>2407.2709524236202</v>
      </c>
      <c r="M2462">
        <v>43.701301461266503</v>
      </c>
      <c r="N2462">
        <v>56.963557475708697</v>
      </c>
      <c r="O2462">
        <v>54.9696800614742</v>
      </c>
      <c r="P2462">
        <v>-0.122886690677159</v>
      </c>
      <c r="Q2462">
        <v>0.38170882656542299</v>
      </c>
      <c r="R2462">
        <v>0.96576069531539099</v>
      </c>
      <c r="S2462" t="s">
        <v>8914</v>
      </c>
      <c r="T2462" t="s">
        <v>12902</v>
      </c>
      <c r="U2462" t="s">
        <v>12902</v>
      </c>
      <c r="V2462" t="s">
        <v>12902</v>
      </c>
      <c r="W2462" t="s">
        <v>15325</v>
      </c>
      <c r="X2462">
        <v>14</v>
      </c>
      <c r="Y2462" t="s">
        <v>21675</v>
      </c>
      <c r="Z2462" t="s">
        <v>28037</v>
      </c>
      <c r="AA2462">
        <v>0.69456506206104729</v>
      </c>
      <c r="AB2462" t="str">
        <f>HYPERLINK("Melting_Curves/meltCurve_P39687_ANP32A.pdf", "Melting_Curves/meltCurve_P39687_ANP32A.pdf")</f>
        <v>Melting_Curves/meltCurve_P39687_ANP32A.pdf</v>
      </c>
    </row>
    <row r="2463" spans="1:28" x14ac:dyDescent="0.25">
      <c r="A2463" t="s">
        <v>2467</v>
      </c>
      <c r="B2463">
        <v>0.99673306730245903</v>
      </c>
      <c r="C2463">
        <v>1.1149345574340599</v>
      </c>
      <c r="D2463">
        <v>0.37921761664335202</v>
      </c>
      <c r="E2463">
        <v>0.36339909669138698</v>
      </c>
      <c r="F2463">
        <v>0.110709599222567</v>
      </c>
      <c r="G2463">
        <v>6.4673460347046005E-2</v>
      </c>
      <c r="H2463">
        <v>3.5251539998374902E-2</v>
      </c>
      <c r="I2463">
        <v>3.2465683307935297E-2</v>
      </c>
      <c r="J2463">
        <v>3.3860380212888702E-2</v>
      </c>
      <c r="K2463">
        <v>2.8885744138020399E-2</v>
      </c>
      <c r="L2463">
        <v>11463.9646829057</v>
      </c>
      <c r="M2463">
        <v>250</v>
      </c>
      <c r="N2463">
        <v>45.894819896027897</v>
      </c>
      <c r="O2463">
        <v>45.852925837660401</v>
      </c>
      <c r="P2463">
        <v>-1.23273694805347</v>
      </c>
      <c r="Q2463">
        <v>9.5606498441800802E-2</v>
      </c>
      <c r="R2463">
        <v>0.933520679052675</v>
      </c>
      <c r="S2463" t="s">
        <v>8915</v>
      </c>
      <c r="T2463" t="s">
        <v>12902</v>
      </c>
      <c r="U2463" t="s">
        <v>12902</v>
      </c>
      <c r="V2463" t="s">
        <v>12902</v>
      </c>
      <c r="W2463" t="s">
        <v>15326</v>
      </c>
      <c r="X2463">
        <v>27</v>
      </c>
      <c r="Y2463" t="s">
        <v>21676</v>
      </c>
      <c r="Z2463" t="s">
        <v>28038</v>
      </c>
      <c r="AA2463">
        <v>0.27221263346527358</v>
      </c>
      <c r="AB2463" t="str">
        <f>HYPERLINK("Melting_Curves/meltCurve_P39748_FEN1.pdf", "Melting_Curves/meltCurve_P39748_FEN1.pdf")</f>
        <v>Melting_Curves/meltCurve_P39748_FEN1.pdf</v>
      </c>
    </row>
    <row r="2464" spans="1:28" x14ac:dyDescent="0.25">
      <c r="A2464" t="s">
        <v>2468</v>
      </c>
      <c r="B2464">
        <v>0.99673306730245903</v>
      </c>
      <c r="C2464">
        <v>0.84698449650499397</v>
      </c>
      <c r="D2464">
        <v>0.75851951167327003</v>
      </c>
      <c r="E2464">
        <v>0.53626187258706504</v>
      </c>
      <c r="F2464">
        <v>0.25226976919963501</v>
      </c>
      <c r="G2464">
        <v>0.16665145774775</v>
      </c>
      <c r="H2464">
        <v>0.13459352376557401</v>
      </c>
      <c r="I2464">
        <v>0.148663213257134</v>
      </c>
      <c r="J2464">
        <v>0.17803464274999101</v>
      </c>
      <c r="K2464">
        <v>0.181292218872144</v>
      </c>
      <c r="L2464">
        <v>832.40923988166401</v>
      </c>
      <c r="M2464">
        <v>17.189339923211499</v>
      </c>
      <c r="N2464">
        <v>49.361618391372701</v>
      </c>
      <c r="O2464">
        <v>47.784746071235801</v>
      </c>
      <c r="P2464">
        <v>-7.7431428068951494E-2</v>
      </c>
      <c r="Q2464">
        <v>0.13904262722737101</v>
      </c>
      <c r="R2464">
        <v>0.98609944576975495</v>
      </c>
      <c r="S2464" t="s">
        <v>8916</v>
      </c>
      <c r="T2464" t="s">
        <v>12902</v>
      </c>
      <c r="U2464" t="s">
        <v>12902</v>
      </c>
      <c r="V2464" t="s">
        <v>12902</v>
      </c>
      <c r="W2464" t="s">
        <v>15327</v>
      </c>
      <c r="X2464">
        <v>12</v>
      </c>
      <c r="Y2464" t="s">
        <v>21677</v>
      </c>
      <c r="Z2464" t="s">
        <v>28039</v>
      </c>
      <c r="AA2464">
        <v>0.39743908939673328</v>
      </c>
      <c r="AB2464" t="str">
        <f>HYPERLINK("Melting_Curves/meltCurve_P39880_3_CUX1.pdf", "Melting_Curves/meltCurve_P39880_3_CUX1.pdf")</f>
        <v>Melting_Curves/meltCurve_P39880_3_CUX1.pdf</v>
      </c>
    </row>
    <row r="2465" spans="1:28" x14ac:dyDescent="0.25">
      <c r="A2465" t="s">
        <v>2469</v>
      </c>
      <c r="B2465">
        <v>0.99673306730245903</v>
      </c>
      <c r="C2465">
        <v>0.89631700781323798</v>
      </c>
      <c r="D2465">
        <v>0.89130817561453402</v>
      </c>
      <c r="E2465">
        <v>0.92064778409853398</v>
      </c>
      <c r="F2465">
        <v>0.45577228623890398</v>
      </c>
      <c r="G2465">
        <v>0.245129724431702</v>
      </c>
      <c r="H2465">
        <v>0.16152419068666701</v>
      </c>
      <c r="I2465">
        <v>0.18743390964616599</v>
      </c>
      <c r="J2465">
        <v>0.29017825199754599</v>
      </c>
      <c r="K2465">
        <v>0.32109530966562699</v>
      </c>
      <c r="L2465">
        <v>2233.4578625659701</v>
      </c>
      <c r="M2465">
        <v>42.913834199930001</v>
      </c>
      <c r="N2465">
        <v>52.836767696684099</v>
      </c>
      <c r="O2465">
        <v>51.932535609471799</v>
      </c>
      <c r="P2465">
        <v>-0.15759830704008801</v>
      </c>
      <c r="Q2465">
        <v>0.23712555391135001</v>
      </c>
      <c r="R2465">
        <v>0.962388309301625</v>
      </c>
      <c r="S2465" t="s">
        <v>8917</v>
      </c>
      <c r="T2465" t="s">
        <v>12902</v>
      </c>
      <c r="U2465" t="s">
        <v>12902</v>
      </c>
      <c r="V2465" t="s">
        <v>12902</v>
      </c>
      <c r="W2465" t="s">
        <v>15328</v>
      </c>
      <c r="X2465">
        <v>27</v>
      </c>
      <c r="Y2465" t="s">
        <v>21678</v>
      </c>
      <c r="Z2465" t="s">
        <v>28040</v>
      </c>
      <c r="AA2465">
        <v>0.54580537420366226</v>
      </c>
      <c r="AB2465" t="str">
        <f>HYPERLINK("Melting_Curves/meltCurve_P40222_TXLNA.pdf", "Melting_Curves/meltCurve_P40222_TXLNA.pdf")</f>
        <v>Melting_Curves/meltCurve_P40222_TXLNA.pdf</v>
      </c>
    </row>
    <row r="2466" spans="1:28" x14ac:dyDescent="0.25">
      <c r="A2466" t="s">
        <v>2470</v>
      </c>
      <c r="B2466">
        <v>0.99673306730245903</v>
      </c>
      <c r="C2466">
        <v>1.0573810195498801</v>
      </c>
      <c r="D2466">
        <v>1.14378026850582</v>
      </c>
      <c r="E2466">
        <v>1.2536839508745301</v>
      </c>
      <c r="F2466">
        <v>1.3797935261060801</v>
      </c>
      <c r="G2466">
        <v>1.2855661465047199</v>
      </c>
      <c r="H2466">
        <v>0.65378425052990197</v>
      </c>
      <c r="I2466">
        <v>0.20141344722761101</v>
      </c>
      <c r="J2466">
        <v>0.13630516155939801</v>
      </c>
      <c r="K2466">
        <v>9.8520815160097197E-2</v>
      </c>
      <c r="L2466">
        <v>4608.4878953739999</v>
      </c>
      <c r="M2466">
        <v>75.347413101654197</v>
      </c>
      <c r="N2466">
        <v>61.417125074777204</v>
      </c>
      <c r="O2466">
        <v>61.120143662149701</v>
      </c>
      <c r="P2466">
        <v>-0.26694578194848101</v>
      </c>
      <c r="Q2466">
        <v>0.133838248517192</v>
      </c>
      <c r="R2466">
        <v>0.86208708883221197</v>
      </c>
      <c r="S2466" t="s">
        <v>8918</v>
      </c>
      <c r="T2466" t="s">
        <v>12902</v>
      </c>
      <c r="U2466" t="s">
        <v>12902</v>
      </c>
      <c r="V2466" t="s">
        <v>12902</v>
      </c>
      <c r="W2466" t="s">
        <v>15329</v>
      </c>
      <c r="X2466">
        <v>35</v>
      </c>
      <c r="Y2466" t="s">
        <v>21679</v>
      </c>
      <c r="Z2466" t="s">
        <v>28041</v>
      </c>
      <c r="AA2466">
        <v>0.7458864878558582</v>
      </c>
      <c r="AB2466" t="str">
        <f>HYPERLINK("Melting_Curves/meltCurve_P40227_CCT6A.pdf", "Melting_Curves/meltCurve_P40227_CCT6A.pdf")</f>
        <v>Melting_Curves/meltCurve_P40227_CCT6A.pdf</v>
      </c>
    </row>
    <row r="2467" spans="1:28" x14ac:dyDescent="0.25">
      <c r="A2467" t="s">
        <v>2471</v>
      </c>
      <c r="B2467">
        <v>0.99673306730245903</v>
      </c>
      <c r="C2467">
        <v>0.74452995111862297</v>
      </c>
      <c r="D2467">
        <v>0.41898213914990101</v>
      </c>
      <c r="E2467">
        <v>0.23402333631001401</v>
      </c>
      <c r="F2467">
        <v>0.17192850301444601</v>
      </c>
      <c r="G2467">
        <v>9.6732484282837095E-2</v>
      </c>
      <c r="H2467">
        <v>5.8663690382656002E-2</v>
      </c>
      <c r="I2467">
        <v>5.3333765661917103E-2</v>
      </c>
      <c r="J2467">
        <v>4.23553628019026E-2</v>
      </c>
      <c r="K2467">
        <v>4.9130792682842997E-2</v>
      </c>
      <c r="L2467">
        <v>861.81285833506399</v>
      </c>
      <c r="M2467">
        <v>19.061067544964601</v>
      </c>
      <c r="N2467">
        <v>45.543158532249599</v>
      </c>
      <c r="O2467">
        <v>44.724426464426998</v>
      </c>
      <c r="P2467">
        <v>-9.9680497519206407E-2</v>
      </c>
      <c r="Q2467">
        <v>6.4485262933733897E-2</v>
      </c>
      <c r="R2467">
        <v>0.988661854971017</v>
      </c>
      <c r="S2467" t="s">
        <v>8919</v>
      </c>
      <c r="T2467" t="s">
        <v>12902</v>
      </c>
      <c r="U2467" t="s">
        <v>12902</v>
      </c>
      <c r="V2467" t="s">
        <v>12902</v>
      </c>
      <c r="W2467" t="s">
        <v>15330</v>
      </c>
      <c r="X2467">
        <v>4</v>
      </c>
      <c r="Y2467" t="s">
        <v>21680</v>
      </c>
      <c r="Z2467" t="s">
        <v>28042</v>
      </c>
      <c r="AA2467">
        <v>0.24435313376475831</v>
      </c>
      <c r="AB2467" t="str">
        <f>HYPERLINK("Melting_Curves/meltCurve_P40692_MLH1.pdf", "Melting_Curves/meltCurve_P40692_MLH1.pdf")</f>
        <v>Melting_Curves/meltCurve_P40692_MLH1.pdf</v>
      </c>
    </row>
    <row r="2468" spans="1:28" x14ac:dyDescent="0.25">
      <c r="A2468" t="s">
        <v>2472</v>
      </c>
      <c r="B2468">
        <v>0.99673306730245903</v>
      </c>
      <c r="C2468">
        <v>0.91471742088171504</v>
      </c>
      <c r="D2468">
        <v>0.60069446190947096</v>
      </c>
      <c r="E2468">
        <v>0.266678070742845</v>
      </c>
      <c r="F2468">
        <v>0.149317639883777</v>
      </c>
      <c r="G2468">
        <v>9.5206966795978704E-2</v>
      </c>
      <c r="H2468">
        <v>6.3157460815134694E-2</v>
      </c>
      <c r="I2468">
        <v>6.6857647963466701E-2</v>
      </c>
      <c r="J2468">
        <v>7.2537689586334705E-2</v>
      </c>
      <c r="K2468">
        <v>6.4034931497102904E-2</v>
      </c>
      <c r="L2468">
        <v>1073.41290567288</v>
      </c>
      <c r="M2468">
        <v>22.9782312456855</v>
      </c>
      <c r="N2468">
        <v>47.031438479150701</v>
      </c>
      <c r="O2468">
        <v>46.364854296517301</v>
      </c>
      <c r="P2468">
        <v>-0.115010128066777</v>
      </c>
      <c r="Q2468">
        <v>7.1760263275706004E-2</v>
      </c>
      <c r="R2468">
        <v>0.99841627724585302</v>
      </c>
      <c r="S2468" t="s">
        <v>8920</v>
      </c>
      <c r="T2468" t="s">
        <v>12902</v>
      </c>
      <c r="U2468" t="s">
        <v>12902</v>
      </c>
      <c r="V2468" t="s">
        <v>12902</v>
      </c>
      <c r="W2468" t="s">
        <v>15331</v>
      </c>
      <c r="X2468">
        <v>18</v>
      </c>
      <c r="Y2468" t="s">
        <v>21681</v>
      </c>
      <c r="Z2468" t="s">
        <v>28043</v>
      </c>
      <c r="AA2468">
        <v>0.28958861809647363</v>
      </c>
      <c r="AB2468" t="str">
        <f>HYPERLINK("Melting_Curves/meltCurve_P40763_STAT3.pdf", "Melting_Curves/meltCurve_P40763_STAT3.pdf")</f>
        <v>Melting_Curves/meltCurve_P40763_STAT3.pdf</v>
      </c>
    </row>
    <row r="2469" spans="1:28" x14ac:dyDescent="0.25">
      <c r="A2469" t="s">
        <v>2473</v>
      </c>
      <c r="B2469">
        <v>0.99673306730245903</v>
      </c>
      <c r="C2469">
        <v>0.91032816770288205</v>
      </c>
      <c r="D2469">
        <v>0.69546884059896796</v>
      </c>
      <c r="E2469">
        <v>0.271307554180437</v>
      </c>
      <c r="F2469">
        <v>0.12738407813866101</v>
      </c>
      <c r="G2469">
        <v>8.2807018684321596E-2</v>
      </c>
      <c r="H2469">
        <v>5.4704004959663301E-2</v>
      </c>
      <c r="I2469">
        <v>5.5846391856986102E-2</v>
      </c>
      <c r="J2469">
        <v>4.4603916031859703E-2</v>
      </c>
      <c r="K2469">
        <v>3.9749448001492903E-2</v>
      </c>
      <c r="L2469">
        <v>1133.3313991447701</v>
      </c>
      <c r="M2469">
        <v>23.9525810099395</v>
      </c>
      <c r="N2469">
        <v>47.530332464000701</v>
      </c>
      <c r="O2469">
        <v>46.989527134496598</v>
      </c>
      <c r="P2469">
        <v>-0.120903153841092</v>
      </c>
      <c r="Q2469">
        <v>5.12769404978504E-2</v>
      </c>
      <c r="R2469">
        <v>0.99898841857387699</v>
      </c>
      <c r="S2469" t="s">
        <v>8921</v>
      </c>
      <c r="T2469" t="s">
        <v>12902</v>
      </c>
      <c r="U2469" t="s">
        <v>12902</v>
      </c>
      <c r="V2469" t="s">
        <v>12902</v>
      </c>
      <c r="W2469" t="s">
        <v>15332</v>
      </c>
      <c r="X2469">
        <v>10</v>
      </c>
      <c r="Y2469" t="s">
        <v>21682</v>
      </c>
      <c r="Z2469" t="s">
        <v>28044</v>
      </c>
      <c r="AA2469">
        <v>0.29187900125440153</v>
      </c>
      <c r="AB2469" t="str">
        <f>HYPERLINK("Melting_Curves/meltCurve_P40818_USP8.pdf", "Melting_Curves/meltCurve_P40818_USP8.pdf")</f>
        <v>Melting_Curves/meltCurve_P40818_USP8.pdf</v>
      </c>
    </row>
    <row r="2470" spans="1:28" x14ac:dyDescent="0.25">
      <c r="A2470" t="s">
        <v>2474</v>
      </c>
      <c r="B2470">
        <v>0.99673306730245903</v>
      </c>
      <c r="C2470">
        <v>0.98955579206352196</v>
      </c>
      <c r="D2470">
        <v>1.02843280593569</v>
      </c>
      <c r="E2470">
        <v>0.94119730367351495</v>
      </c>
      <c r="F2470">
        <v>0.88764642719057596</v>
      </c>
      <c r="G2470">
        <v>0.72199491650745096</v>
      </c>
      <c r="H2470">
        <v>0.167090101186712</v>
      </c>
      <c r="I2470">
        <v>7.3802091677771506E-2</v>
      </c>
      <c r="J2470">
        <v>6.6945855575904101E-2</v>
      </c>
      <c r="K2470">
        <v>5.6730504281663999E-2</v>
      </c>
      <c r="L2470">
        <v>2152.0297919841</v>
      </c>
      <c r="M2470">
        <v>37.136419023070701</v>
      </c>
      <c r="N2470">
        <v>58.111469841210202</v>
      </c>
      <c r="O2470">
        <v>57.782043523881399</v>
      </c>
      <c r="P2470">
        <v>-0.152766518472952</v>
      </c>
      <c r="Q2470">
        <v>4.92205101298838E-2</v>
      </c>
      <c r="R2470">
        <v>0.99320323143518996</v>
      </c>
      <c r="S2470" t="s">
        <v>8922</v>
      </c>
      <c r="T2470" t="s">
        <v>12902</v>
      </c>
      <c r="U2470" t="s">
        <v>12902</v>
      </c>
      <c r="V2470" t="s">
        <v>12902</v>
      </c>
      <c r="W2470" t="s">
        <v>15333</v>
      </c>
      <c r="X2470">
        <v>23</v>
      </c>
      <c r="Y2470" t="s">
        <v>21683</v>
      </c>
      <c r="Z2470" t="s">
        <v>28045</v>
      </c>
      <c r="AA2470">
        <v>0.62237833915979934</v>
      </c>
      <c r="AB2470" t="str">
        <f>HYPERLINK("Melting_Curves/meltCurve_P40925_MDH1.pdf", "Melting_Curves/meltCurve_P40925_MDH1.pdf")</f>
        <v>Melting_Curves/meltCurve_P40925_MDH1.pdf</v>
      </c>
    </row>
    <row r="2471" spans="1:28" x14ac:dyDescent="0.25">
      <c r="A2471" t="s">
        <v>2475</v>
      </c>
      <c r="B2471">
        <v>0.99673306730245903</v>
      </c>
      <c r="C2471">
        <v>0.98227522415356505</v>
      </c>
      <c r="D2471">
        <v>1.0587106141110301</v>
      </c>
      <c r="E2471">
        <v>1.0718998791796399</v>
      </c>
      <c r="F2471">
        <v>0.90554236596284199</v>
      </c>
      <c r="G2471">
        <v>0.88914358987312403</v>
      </c>
      <c r="H2471">
        <v>0.48029096729206899</v>
      </c>
      <c r="I2471">
        <v>0.10254738069929401</v>
      </c>
      <c r="J2471">
        <v>7.1553991569118999E-2</v>
      </c>
      <c r="K2471">
        <v>5.9123582776362198E-2</v>
      </c>
      <c r="L2471">
        <v>2130.1440913154702</v>
      </c>
      <c r="M2471">
        <v>35.296036705371598</v>
      </c>
      <c r="N2471">
        <v>60.471856343918098</v>
      </c>
      <c r="O2471">
        <v>60.158037714907501</v>
      </c>
      <c r="P2471">
        <v>-0.14167771370958701</v>
      </c>
      <c r="Q2471">
        <v>3.4109426181811502E-2</v>
      </c>
      <c r="R2471">
        <v>0.98841017266622</v>
      </c>
      <c r="S2471" t="s">
        <v>8923</v>
      </c>
      <c r="T2471" t="s">
        <v>12902</v>
      </c>
      <c r="U2471" t="s">
        <v>12902</v>
      </c>
      <c r="V2471" t="s">
        <v>12902</v>
      </c>
      <c r="W2471" t="s">
        <v>15334</v>
      </c>
      <c r="X2471">
        <v>32</v>
      </c>
      <c r="Y2471" t="s">
        <v>21684</v>
      </c>
      <c r="Z2471" t="s">
        <v>28046</v>
      </c>
      <c r="AA2471">
        <v>0.69391010533843511</v>
      </c>
      <c r="AB2471" t="str">
        <f>HYPERLINK("Melting_Curves/meltCurve_P40926_MDH2.pdf", "Melting_Curves/meltCurve_P40926_MDH2.pdf")</f>
        <v>Melting_Curves/meltCurve_P40926_MDH2.pdf</v>
      </c>
    </row>
    <row r="2472" spans="1:28" x14ac:dyDescent="0.25">
      <c r="A2472" t="s">
        <v>2476</v>
      </c>
      <c r="B2472">
        <v>0.99673306730245903</v>
      </c>
      <c r="C2472">
        <v>0.90544809658643699</v>
      </c>
      <c r="D2472">
        <v>0.95161615187745097</v>
      </c>
      <c r="E2472">
        <v>0.94710471089637605</v>
      </c>
      <c r="F2472">
        <v>0.20982017755188601</v>
      </c>
      <c r="G2472">
        <v>0.119928240118579</v>
      </c>
      <c r="H2472">
        <v>7.2440876841541699E-2</v>
      </c>
      <c r="I2472">
        <v>5.4275779448870402E-2</v>
      </c>
      <c r="J2472">
        <v>5.14255837732513E-2</v>
      </c>
      <c r="K2472">
        <v>3.7914481673532098E-2</v>
      </c>
      <c r="L2472">
        <v>3239.4508818857698</v>
      </c>
      <c r="M2472">
        <v>62.5712333247277</v>
      </c>
      <c r="N2472">
        <v>51.889511419506199</v>
      </c>
      <c r="O2472">
        <v>51.719402145656503</v>
      </c>
      <c r="P2472">
        <v>-0.28250811452062402</v>
      </c>
      <c r="Q2472">
        <v>6.5951218166586695E-2</v>
      </c>
      <c r="R2472">
        <v>0.99166168490853601</v>
      </c>
      <c r="S2472" t="s">
        <v>8924</v>
      </c>
      <c r="T2472" t="s">
        <v>12902</v>
      </c>
      <c r="U2472" t="s">
        <v>12902</v>
      </c>
      <c r="V2472" t="s">
        <v>12902</v>
      </c>
      <c r="W2472" t="s">
        <v>15335</v>
      </c>
      <c r="X2472">
        <v>8</v>
      </c>
      <c r="Y2472" t="s">
        <v>21685</v>
      </c>
      <c r="Z2472" t="s">
        <v>28047</v>
      </c>
      <c r="AA2472">
        <v>0.4338377234733205</v>
      </c>
      <c r="AB2472" t="str">
        <f>HYPERLINK("Melting_Curves/meltCurve_P40937_RFC5.pdf", "Melting_Curves/meltCurve_P40937_RFC5.pdf")</f>
        <v>Melting_Curves/meltCurve_P40937_RFC5.pdf</v>
      </c>
    </row>
    <row r="2473" spans="1:28" x14ac:dyDescent="0.25">
      <c r="A2473" t="s">
        <v>2477</v>
      </c>
      <c r="B2473">
        <v>0.99673306730245903</v>
      </c>
      <c r="C2473">
        <v>0.52321801955969205</v>
      </c>
      <c r="D2473">
        <v>1.1068654407497001</v>
      </c>
      <c r="E2473">
        <v>0.885892939353352</v>
      </c>
      <c r="F2473">
        <v>0.25482985807108899</v>
      </c>
      <c r="G2473">
        <v>0.18057993825531801</v>
      </c>
      <c r="H2473">
        <v>9.2146272376386507E-2</v>
      </c>
      <c r="I2473">
        <v>7.6135647387616606E-2</v>
      </c>
      <c r="J2473">
        <v>7.5425275038918896E-2</v>
      </c>
      <c r="K2473">
        <v>6.9516512136684097E-2</v>
      </c>
      <c r="L2473">
        <v>2490.1615155643099</v>
      </c>
      <c r="M2473">
        <v>48.283197892820702</v>
      </c>
      <c r="N2473">
        <v>51.800268733974399</v>
      </c>
      <c r="O2473">
        <v>51.485841970213201</v>
      </c>
      <c r="P2473">
        <v>-0.21216775436406299</v>
      </c>
      <c r="Q2473">
        <v>9.5037187077711305E-2</v>
      </c>
      <c r="R2473">
        <v>0.84442421712247995</v>
      </c>
      <c r="S2473" t="s">
        <v>8925</v>
      </c>
      <c r="T2473" t="s">
        <v>12902</v>
      </c>
      <c r="U2473" t="s">
        <v>12902</v>
      </c>
      <c r="V2473" t="s">
        <v>12902</v>
      </c>
      <c r="W2473" t="s">
        <v>15336</v>
      </c>
      <c r="X2473">
        <v>10</v>
      </c>
      <c r="Y2473" t="s">
        <v>21686</v>
      </c>
      <c r="Z2473" t="s">
        <v>28048</v>
      </c>
      <c r="AA2473">
        <v>0.44638274289251212</v>
      </c>
      <c r="AB2473" t="str">
        <f>HYPERLINK("Melting_Curves/meltCurve_P40938_2_RFC3.pdf", "Melting_Curves/meltCurve_P40938_2_RFC3.pdf")</f>
        <v>Melting_Curves/meltCurve_P40938_2_RFC3.pdf</v>
      </c>
    </row>
    <row r="2474" spans="1:28" x14ac:dyDescent="0.25">
      <c r="A2474" t="s">
        <v>2478</v>
      </c>
      <c r="B2474">
        <v>0.99673306730245903</v>
      </c>
      <c r="C2474">
        <v>0.76959856119903403</v>
      </c>
      <c r="D2474">
        <v>1.0425428737418101</v>
      </c>
      <c r="E2474">
        <v>0.84369108443719798</v>
      </c>
      <c r="F2474">
        <v>0.19692617740483501</v>
      </c>
      <c r="G2474">
        <v>0.12527287005864601</v>
      </c>
      <c r="H2474">
        <v>6.7594993420724905E-2</v>
      </c>
      <c r="I2474">
        <v>6.2847052002086706E-2</v>
      </c>
      <c r="J2474">
        <v>5.9985697975030297E-2</v>
      </c>
      <c r="K2474">
        <v>4.8441807679559502E-2</v>
      </c>
      <c r="L2474">
        <v>2495.5884594383701</v>
      </c>
      <c r="M2474">
        <v>48.715742506371903</v>
      </c>
      <c r="N2474">
        <v>51.3875066357649</v>
      </c>
      <c r="O2474">
        <v>51.141455941196703</v>
      </c>
      <c r="P2474">
        <v>-0.22138997211769301</v>
      </c>
      <c r="Q2474">
        <v>7.0346116116758395E-2</v>
      </c>
      <c r="R2474">
        <v>0.96537554146022997</v>
      </c>
      <c r="S2474" t="s">
        <v>8926</v>
      </c>
      <c r="T2474" t="s">
        <v>12902</v>
      </c>
      <c r="U2474" t="s">
        <v>12902</v>
      </c>
      <c r="V2474" t="s">
        <v>12902</v>
      </c>
      <c r="W2474" t="s">
        <v>15337</v>
      </c>
      <c r="X2474">
        <v>37</v>
      </c>
      <c r="Y2474" t="s">
        <v>21687</v>
      </c>
      <c r="Z2474" t="s">
        <v>28049</v>
      </c>
      <c r="AA2474">
        <v>0.42048432064827612</v>
      </c>
      <c r="AB2474" t="str">
        <f>HYPERLINK("Melting_Curves/meltCurve_P40939_HADHA.pdf", "Melting_Curves/meltCurve_P40939_HADHA.pdf")</f>
        <v>Melting_Curves/meltCurve_P40939_HADHA.pdf</v>
      </c>
    </row>
    <row r="2475" spans="1:28" x14ac:dyDescent="0.25">
      <c r="A2475" t="s">
        <v>2479</v>
      </c>
      <c r="B2475">
        <v>0.99673306730245903</v>
      </c>
      <c r="C2475">
        <v>0.95777846122958499</v>
      </c>
      <c r="D2475">
        <v>0.97431089738712495</v>
      </c>
      <c r="E2475">
        <v>1.0244156592793701</v>
      </c>
      <c r="F2475">
        <v>0.80446585441966501</v>
      </c>
      <c r="G2475">
        <v>0.35296134565495701</v>
      </c>
      <c r="H2475">
        <v>0.12912264068965101</v>
      </c>
      <c r="I2475">
        <v>9.1319288075978902E-2</v>
      </c>
      <c r="J2475">
        <v>7.5833643007479898E-2</v>
      </c>
      <c r="K2475">
        <v>5.2899580007086403E-2</v>
      </c>
      <c r="L2475">
        <v>1837.72702252161</v>
      </c>
      <c r="M2475">
        <v>33.1782437059343</v>
      </c>
      <c r="N2475">
        <v>55.648754866921898</v>
      </c>
      <c r="O2475">
        <v>55.189454532039498</v>
      </c>
      <c r="P2475">
        <v>-0.13953193400793201</v>
      </c>
      <c r="Q2475">
        <v>7.1601422045670701E-2</v>
      </c>
      <c r="R2475">
        <v>0.99716079288847903</v>
      </c>
      <c r="S2475" t="s">
        <v>8927</v>
      </c>
      <c r="T2475" t="s">
        <v>12902</v>
      </c>
      <c r="U2475" t="s">
        <v>12902</v>
      </c>
      <c r="V2475" t="s">
        <v>12902</v>
      </c>
      <c r="W2475" t="s">
        <v>15338</v>
      </c>
      <c r="X2475">
        <v>28</v>
      </c>
      <c r="Y2475" t="s">
        <v>21688</v>
      </c>
      <c r="Z2475" t="s">
        <v>28050</v>
      </c>
      <c r="AA2475">
        <v>0.55295614834018791</v>
      </c>
      <c r="AB2475" t="str">
        <f>HYPERLINK("Melting_Curves/meltCurve_P41091_EIF2S3.pdf", "Melting_Curves/meltCurve_P41091_EIF2S3.pdf")</f>
        <v>Melting_Curves/meltCurve_P41091_EIF2S3.pdf</v>
      </c>
    </row>
    <row r="2476" spans="1:28" x14ac:dyDescent="0.25">
      <c r="A2476" t="s">
        <v>2480</v>
      </c>
      <c r="B2476">
        <v>0.99673306730245903</v>
      </c>
      <c r="C2476">
        <v>0.845279786682684</v>
      </c>
      <c r="D2476">
        <v>0.64037040002494805</v>
      </c>
      <c r="E2476">
        <v>0.34322122744813299</v>
      </c>
      <c r="F2476">
        <v>0.19455690564127401</v>
      </c>
      <c r="G2476">
        <v>0.14025100532458501</v>
      </c>
      <c r="H2476">
        <v>0.116833910406411</v>
      </c>
      <c r="I2476">
        <v>0.14384754522961801</v>
      </c>
      <c r="J2476">
        <v>0.24406280334422101</v>
      </c>
      <c r="K2476">
        <v>0.41278788173860198</v>
      </c>
      <c r="L2476">
        <v>1103.48356292528</v>
      </c>
      <c r="M2476">
        <v>23.9136009191601</v>
      </c>
      <c r="N2476">
        <v>47.181226076507102</v>
      </c>
      <c r="O2476">
        <v>45.825531448703202</v>
      </c>
      <c r="P2476">
        <v>-0.103803159368035</v>
      </c>
      <c r="Q2476">
        <v>0.20434231640359099</v>
      </c>
      <c r="R2476">
        <v>0.92552339810736495</v>
      </c>
      <c r="S2476" t="s">
        <v>8928</v>
      </c>
      <c r="T2476" t="s">
        <v>12902</v>
      </c>
      <c r="U2476" t="s">
        <v>12902</v>
      </c>
      <c r="V2476" t="s">
        <v>12902</v>
      </c>
      <c r="W2476" t="s">
        <v>15339</v>
      </c>
      <c r="X2476">
        <v>3</v>
      </c>
      <c r="Y2476" t="s">
        <v>21689</v>
      </c>
      <c r="Z2476" t="s">
        <v>28051</v>
      </c>
      <c r="AA2476">
        <v>0.37539116550852009</v>
      </c>
      <c r="AB2476" t="str">
        <f>HYPERLINK("Melting_Curves/meltCurve_P41134_ID1.pdf", "Melting_Curves/meltCurve_P41134_ID1.pdf")</f>
        <v>Melting_Curves/meltCurve_P41134_ID1.pdf</v>
      </c>
    </row>
    <row r="2477" spans="1:28" x14ac:dyDescent="0.25">
      <c r="A2477" t="s">
        <v>2481</v>
      </c>
      <c r="B2477">
        <v>0.99673306730245903</v>
      </c>
      <c r="C2477">
        <v>0.84743908541747903</v>
      </c>
      <c r="D2477">
        <v>0.82080319030837301</v>
      </c>
      <c r="E2477">
        <v>0.62461564005704995</v>
      </c>
      <c r="F2477">
        <v>0.38288716214945101</v>
      </c>
      <c r="G2477">
        <v>0.26612145105569601</v>
      </c>
      <c r="H2477">
        <v>0.16226729817944699</v>
      </c>
      <c r="I2477">
        <v>0.168703003230253</v>
      </c>
      <c r="J2477">
        <v>0.30637328178266199</v>
      </c>
      <c r="K2477">
        <v>0.67357741431669504</v>
      </c>
      <c r="L2477">
        <v>989.16215194339998</v>
      </c>
      <c r="M2477">
        <v>20.4792358747513</v>
      </c>
      <c r="N2477">
        <v>50.6960510060768</v>
      </c>
      <c r="O2477">
        <v>47.847256211085401</v>
      </c>
      <c r="P2477">
        <v>-7.3833745138270804E-2</v>
      </c>
      <c r="Q2477">
        <v>0.31000595206603798</v>
      </c>
      <c r="R2477">
        <v>0.76432783932002801</v>
      </c>
      <c r="S2477" t="s">
        <v>8929</v>
      </c>
      <c r="T2477" t="s">
        <v>12902</v>
      </c>
      <c r="U2477" t="s">
        <v>12902</v>
      </c>
      <c r="V2477" t="s">
        <v>12902</v>
      </c>
      <c r="W2477" t="s">
        <v>15340</v>
      </c>
      <c r="X2477">
        <v>1</v>
      </c>
      <c r="Y2477" t="s">
        <v>21690</v>
      </c>
      <c r="Z2477" t="s">
        <v>28052</v>
      </c>
      <c r="AA2477">
        <v>0.51020028426663011</v>
      </c>
      <c r="AB2477" t="str">
        <f>HYPERLINK("Melting_Curves/meltCurve_P41182_2_BCL6.pdf", "Melting_Curves/meltCurve_P41182_2_BCL6.pdf")</f>
        <v>Melting_Curves/meltCurve_P41182_2_BCL6.pdf</v>
      </c>
    </row>
    <row r="2478" spans="1:28" x14ac:dyDescent="0.25">
      <c r="A2478" t="s">
        <v>2482</v>
      </c>
      <c r="B2478">
        <v>0.99673306730245903</v>
      </c>
      <c r="C2478">
        <v>0.97623687196551601</v>
      </c>
      <c r="D2478">
        <v>0.94695063054964501</v>
      </c>
      <c r="E2478">
        <v>0.96583473602274905</v>
      </c>
      <c r="F2478">
        <v>0.95748012947543204</v>
      </c>
      <c r="G2478">
        <v>1.0136743655134</v>
      </c>
      <c r="H2478">
        <v>0.903594404114064</v>
      </c>
      <c r="I2478">
        <v>1.6086732052588</v>
      </c>
      <c r="J2478">
        <v>2.5176123415318901</v>
      </c>
      <c r="K2478">
        <v>2.57260180408929</v>
      </c>
      <c r="L2478">
        <v>8870.5899722593495</v>
      </c>
      <c r="M2478">
        <v>142.31030268387499</v>
      </c>
      <c r="O2478">
        <v>62.320424869970402</v>
      </c>
      <c r="P2478">
        <v>0.28544073801798098</v>
      </c>
      <c r="Q2478">
        <v>1.5</v>
      </c>
      <c r="R2478">
        <v>0.44040991053768003</v>
      </c>
      <c r="S2478" t="s">
        <v>8930</v>
      </c>
      <c r="T2478" t="s">
        <v>12902</v>
      </c>
      <c r="U2478" t="s">
        <v>12902</v>
      </c>
      <c r="V2478" t="s">
        <v>12902</v>
      </c>
      <c r="W2478" t="s">
        <v>15341</v>
      </c>
      <c r="X2478">
        <v>7</v>
      </c>
      <c r="Y2478" t="s">
        <v>21691</v>
      </c>
      <c r="Z2478" t="s">
        <v>28053</v>
      </c>
      <c r="AA2478">
        <v>1.127618924139238</v>
      </c>
      <c r="AB2478" t="str">
        <f>HYPERLINK("Melting_Curves/meltCurve_P41208_CETN2.pdf", "Melting_Curves/meltCurve_P41208_CETN2.pdf")</f>
        <v>Melting_Curves/meltCurve_P41208_CETN2.pdf</v>
      </c>
    </row>
    <row r="2479" spans="1:28" x14ac:dyDescent="0.25">
      <c r="A2479" t="s">
        <v>2483</v>
      </c>
      <c r="B2479">
        <v>0.99673306730245903</v>
      </c>
      <c r="C2479">
        <v>1.00838501009276</v>
      </c>
      <c r="D2479">
        <v>0.837184070909057</v>
      </c>
      <c r="E2479">
        <v>0.44293653093111301</v>
      </c>
      <c r="F2479">
        <v>0.36463810763690901</v>
      </c>
      <c r="G2479">
        <v>0.21877926558312699</v>
      </c>
      <c r="H2479">
        <v>0.14792739040213601</v>
      </c>
      <c r="I2479">
        <v>0.13141326735702399</v>
      </c>
      <c r="J2479">
        <v>0.115353423586512</v>
      </c>
      <c r="K2479">
        <v>9.6029976520147803E-2</v>
      </c>
      <c r="L2479">
        <v>917.84227917174599</v>
      </c>
      <c r="M2479">
        <v>18.663133616978499</v>
      </c>
      <c r="N2479">
        <v>49.936902879829297</v>
      </c>
      <c r="O2479">
        <v>48.625235327411502</v>
      </c>
      <c r="P2479">
        <v>-8.4128823309699799E-2</v>
      </c>
      <c r="Q2479">
        <v>0.123275056217027</v>
      </c>
      <c r="R2479">
        <v>0.98519604269324001</v>
      </c>
      <c r="S2479" t="s">
        <v>8931</v>
      </c>
      <c r="T2479" t="s">
        <v>12902</v>
      </c>
      <c r="U2479" t="s">
        <v>12902</v>
      </c>
      <c r="V2479" t="s">
        <v>12902</v>
      </c>
      <c r="W2479" t="s">
        <v>15342</v>
      </c>
      <c r="X2479">
        <v>8</v>
      </c>
      <c r="Y2479" t="s">
        <v>21692</v>
      </c>
      <c r="Z2479" t="s">
        <v>28054</v>
      </c>
      <c r="AA2479">
        <v>0.40562356140510941</v>
      </c>
      <c r="AB2479" t="str">
        <f>HYPERLINK("Melting_Curves/meltCurve_P41214_EIF2D.pdf", "Melting_Curves/meltCurve_P41214_EIF2D.pdf")</f>
        <v>Melting_Curves/meltCurve_P41214_EIF2D.pdf</v>
      </c>
    </row>
    <row r="2480" spans="1:28" x14ac:dyDescent="0.25">
      <c r="A2480" t="s">
        <v>2484</v>
      </c>
      <c r="B2480">
        <v>0.99673306730245903</v>
      </c>
      <c r="C2480">
        <v>0.94987638577162603</v>
      </c>
      <c r="D2480">
        <v>0.96501839235767295</v>
      </c>
      <c r="E2480">
        <v>0.92547799061281699</v>
      </c>
      <c r="F2480">
        <v>0.32512172271752299</v>
      </c>
      <c r="G2480">
        <v>0.15701286415463001</v>
      </c>
      <c r="H2480">
        <v>7.6853915415627694E-2</v>
      </c>
      <c r="I2480">
        <v>6.14051228481537E-2</v>
      </c>
      <c r="J2480">
        <v>7.3854458297455294E-2</v>
      </c>
      <c r="K2480">
        <v>6.2468558910485E-2</v>
      </c>
      <c r="L2480">
        <v>2327.3467384498499</v>
      </c>
      <c r="M2480">
        <v>44.692055127099501</v>
      </c>
      <c r="N2480">
        <v>52.278681982841903</v>
      </c>
      <c r="O2480">
        <v>51.971231062014702</v>
      </c>
      <c r="P2480">
        <v>-0.197820550285046</v>
      </c>
      <c r="Q2480">
        <v>7.9839564202959706E-2</v>
      </c>
      <c r="R2480">
        <v>0.99552352727471505</v>
      </c>
      <c r="S2480" t="s">
        <v>8932</v>
      </c>
      <c r="T2480" t="s">
        <v>12902</v>
      </c>
      <c r="U2480" t="s">
        <v>12902</v>
      </c>
      <c r="V2480" t="s">
        <v>12902</v>
      </c>
      <c r="W2480" t="s">
        <v>15343</v>
      </c>
      <c r="X2480">
        <v>7</v>
      </c>
      <c r="Y2480" t="s">
        <v>21693</v>
      </c>
      <c r="Z2480" t="s">
        <v>28055</v>
      </c>
      <c r="AA2480">
        <v>0.45285820942115068</v>
      </c>
      <c r="AB2480" t="str">
        <f>HYPERLINK("Melting_Curves/meltCurve_P41223_BUD31.pdf", "Melting_Curves/meltCurve_P41223_BUD31.pdf")</f>
        <v>Melting_Curves/meltCurve_P41223_BUD31.pdf</v>
      </c>
    </row>
    <row r="2481" spans="1:28" x14ac:dyDescent="0.25">
      <c r="A2481" t="s">
        <v>2485</v>
      </c>
      <c r="B2481">
        <v>0.99673306730245903</v>
      </c>
      <c r="C2481">
        <v>0.95029034421810199</v>
      </c>
      <c r="D2481">
        <v>0.97316160877887303</v>
      </c>
      <c r="E2481">
        <v>0.94832577060728696</v>
      </c>
      <c r="F2481">
        <v>0.42524081202991398</v>
      </c>
      <c r="G2481">
        <v>0.12351007359546599</v>
      </c>
      <c r="H2481">
        <v>6.5932741352697E-2</v>
      </c>
      <c r="I2481">
        <v>6.1691471651806398E-2</v>
      </c>
      <c r="J2481">
        <v>6.94852868878722E-2</v>
      </c>
      <c r="K2481">
        <v>6.7968663906905799E-2</v>
      </c>
      <c r="L2481">
        <v>2267.2213626555399</v>
      </c>
      <c r="M2481">
        <v>43.071250843284403</v>
      </c>
      <c r="N2481">
        <v>52.820355107445202</v>
      </c>
      <c r="O2481">
        <v>52.525763192072702</v>
      </c>
      <c r="P2481">
        <v>-0.19089994266371199</v>
      </c>
      <c r="Q2481">
        <v>6.8784907015752503E-2</v>
      </c>
      <c r="R2481">
        <v>0.99795714417474701</v>
      </c>
      <c r="S2481" t="s">
        <v>8933</v>
      </c>
      <c r="T2481" t="s">
        <v>12902</v>
      </c>
      <c r="U2481" t="s">
        <v>12902</v>
      </c>
      <c r="V2481" t="s">
        <v>12902</v>
      </c>
      <c r="W2481" t="s">
        <v>15344</v>
      </c>
      <c r="X2481">
        <v>10</v>
      </c>
      <c r="Y2481" t="s">
        <v>21694</v>
      </c>
      <c r="Z2481" t="s">
        <v>28056</v>
      </c>
      <c r="AA2481">
        <v>0.46401929021212401</v>
      </c>
      <c r="AB2481" t="str">
        <f>HYPERLINK("Melting_Curves/meltCurve_P41227_NAA10.pdf", "Melting_Curves/meltCurve_P41227_NAA10.pdf")</f>
        <v>Melting_Curves/meltCurve_P41227_NAA10.pdf</v>
      </c>
    </row>
    <row r="2482" spans="1:28" x14ac:dyDescent="0.25">
      <c r="A2482" t="s">
        <v>2486</v>
      </c>
      <c r="B2482">
        <v>0.99673306730245903</v>
      </c>
      <c r="C2482">
        <v>0.92510624230829597</v>
      </c>
      <c r="D2482">
        <v>0.74242467648587196</v>
      </c>
      <c r="E2482">
        <v>0.35270095461831302</v>
      </c>
      <c r="F2482">
        <v>0.194840440038972</v>
      </c>
      <c r="G2482">
        <v>0.122777485720376</v>
      </c>
      <c r="H2482">
        <v>8.74694095144289E-2</v>
      </c>
      <c r="I2482">
        <v>5.73947463447829E-2</v>
      </c>
      <c r="J2482">
        <v>5.4847043689689602E-2</v>
      </c>
      <c r="K2482">
        <v>4.64140271548611E-2</v>
      </c>
      <c r="L2482">
        <v>991.28443386116498</v>
      </c>
      <c r="M2482">
        <v>20.654222148591298</v>
      </c>
      <c r="N2482">
        <v>48.309729941479702</v>
      </c>
      <c r="O2482">
        <v>47.551179032685098</v>
      </c>
      <c r="P2482">
        <v>-0.10174184393386999</v>
      </c>
      <c r="Q2482">
        <v>6.3086578192497397E-2</v>
      </c>
      <c r="R2482">
        <v>0.99782726611332295</v>
      </c>
      <c r="S2482" t="s">
        <v>8934</v>
      </c>
      <c r="T2482" t="s">
        <v>12902</v>
      </c>
      <c r="U2482" t="s">
        <v>12902</v>
      </c>
      <c r="V2482" t="s">
        <v>12902</v>
      </c>
      <c r="W2482" t="s">
        <v>15345</v>
      </c>
      <c r="X2482">
        <v>7</v>
      </c>
      <c r="Y2482" t="s">
        <v>21695</v>
      </c>
      <c r="Z2482" t="s">
        <v>28057</v>
      </c>
      <c r="AA2482">
        <v>0.32518786902518371</v>
      </c>
      <c r="AB2482" t="str">
        <f>HYPERLINK("Melting_Curves/meltCurve_P41229_3_KDM5C.pdf", "Melting_Curves/meltCurve_P41229_3_KDM5C.pdf")</f>
        <v>Melting_Curves/meltCurve_P41229_3_KDM5C.pdf</v>
      </c>
    </row>
    <row r="2483" spans="1:28" x14ac:dyDescent="0.25">
      <c r="A2483" t="s">
        <v>2487</v>
      </c>
      <c r="B2483">
        <v>0.99673306730245903</v>
      </c>
      <c r="C2483">
        <v>0.92032819691804102</v>
      </c>
      <c r="D2483">
        <v>0.72761866536127595</v>
      </c>
      <c r="E2483">
        <v>0.49565712594178002</v>
      </c>
      <c r="F2483">
        <v>0.165199216636603</v>
      </c>
      <c r="G2483">
        <v>0.10428954617703901</v>
      </c>
      <c r="H2483">
        <v>6.0718509204321203E-2</v>
      </c>
      <c r="I2483">
        <v>6.0948401532485201E-2</v>
      </c>
      <c r="J2483">
        <v>5.84512989207275E-2</v>
      </c>
      <c r="K2483">
        <v>4.9061157643228402E-2</v>
      </c>
      <c r="L2483">
        <v>891.46343019811604</v>
      </c>
      <c r="M2483">
        <v>18.295216726034401</v>
      </c>
      <c r="N2483">
        <v>48.9559939458915</v>
      </c>
      <c r="O2483">
        <v>48.1556147739336</v>
      </c>
      <c r="P2483">
        <v>-9.1082124801376896E-2</v>
      </c>
      <c r="Q2483">
        <v>4.1079843323940997E-2</v>
      </c>
      <c r="R2483">
        <v>0.99545104432409204</v>
      </c>
      <c r="S2483" t="s">
        <v>8935</v>
      </c>
      <c r="T2483" t="s">
        <v>12902</v>
      </c>
      <c r="U2483" t="s">
        <v>12902</v>
      </c>
      <c r="V2483" t="s">
        <v>12902</v>
      </c>
      <c r="W2483" t="s">
        <v>15346</v>
      </c>
      <c r="X2483">
        <v>20</v>
      </c>
      <c r="Y2483" t="s">
        <v>21696</v>
      </c>
      <c r="Z2483" t="s">
        <v>28058</v>
      </c>
      <c r="AA2483">
        <v>0.33617632342468101</v>
      </c>
      <c r="AB2483" t="str">
        <f>HYPERLINK("Melting_Curves/meltCurve_P41240_CSK.pdf", "Melting_Curves/meltCurve_P41240_CSK.pdf")</f>
        <v>Melting_Curves/meltCurve_P41240_CSK.pdf</v>
      </c>
    </row>
    <row r="2484" spans="1:28" x14ac:dyDescent="0.25">
      <c r="A2484" t="s">
        <v>2488</v>
      </c>
      <c r="B2484">
        <v>0.99673306730245903</v>
      </c>
      <c r="C2484">
        <v>0.98110511888367102</v>
      </c>
      <c r="D2484">
        <v>0.82751546875070003</v>
      </c>
      <c r="E2484">
        <v>0.71013742924136303</v>
      </c>
      <c r="F2484">
        <v>0.401833713524333</v>
      </c>
      <c r="G2484">
        <v>0.20384260723352701</v>
      </c>
      <c r="H2484">
        <v>8.7927912649025802E-2</v>
      </c>
      <c r="I2484">
        <v>8.8807130971206905E-2</v>
      </c>
      <c r="J2484">
        <v>4.1121437343475099E-2</v>
      </c>
      <c r="K2484">
        <v>3.7029424770402199E-2</v>
      </c>
      <c r="L2484">
        <v>815.59117132608901</v>
      </c>
      <c r="M2484">
        <v>15.7528518409862</v>
      </c>
      <c r="N2484">
        <v>51.901989637390798</v>
      </c>
      <c r="O2484">
        <v>50.961394742432503</v>
      </c>
      <c r="P2484">
        <v>-7.58146464570916E-2</v>
      </c>
      <c r="Q2484">
        <v>1.9022749113925999E-2</v>
      </c>
      <c r="R2484">
        <v>0.99613428277024496</v>
      </c>
      <c r="S2484" t="s">
        <v>8936</v>
      </c>
      <c r="T2484" t="s">
        <v>12902</v>
      </c>
      <c r="U2484" t="s">
        <v>12902</v>
      </c>
      <c r="V2484" t="s">
        <v>12902</v>
      </c>
      <c r="W2484" t="s">
        <v>15347</v>
      </c>
      <c r="X2484">
        <v>3</v>
      </c>
      <c r="Y2484" t="s">
        <v>21697</v>
      </c>
      <c r="Z2484" t="s">
        <v>28059</v>
      </c>
      <c r="AA2484">
        <v>0.42448439614164529</v>
      </c>
      <c r="AB2484" t="str">
        <f>HYPERLINK("Melting_Curves/meltCurve_P41247_PNPLA4.pdf", "Melting_Curves/meltCurve_P41247_PNPLA4.pdf")</f>
        <v>Melting_Curves/meltCurve_P41247_PNPLA4.pdf</v>
      </c>
    </row>
    <row r="2485" spans="1:28" x14ac:dyDescent="0.25">
      <c r="A2485" t="s">
        <v>2489</v>
      </c>
      <c r="B2485">
        <v>0.99673306730245903</v>
      </c>
      <c r="C2485">
        <v>0.96426931068559896</v>
      </c>
      <c r="D2485">
        <v>1.00417327858271</v>
      </c>
      <c r="E2485">
        <v>1.0923311528053801</v>
      </c>
      <c r="F2485">
        <v>1.0458132604689501</v>
      </c>
      <c r="G2485">
        <v>0.97262227417561897</v>
      </c>
      <c r="H2485">
        <v>0.80880370885528996</v>
      </c>
      <c r="I2485">
        <v>0.68863684332819597</v>
      </c>
      <c r="J2485">
        <v>0.120213362102713</v>
      </c>
      <c r="K2485">
        <v>9.8466277461041099E-2</v>
      </c>
      <c r="L2485">
        <v>2476.97099294687</v>
      </c>
      <c r="M2485">
        <v>38.271799011481903</v>
      </c>
      <c r="N2485">
        <v>64.720526797180298</v>
      </c>
      <c r="O2485">
        <v>64.544583571048605</v>
      </c>
      <c r="P2485">
        <v>-0.14823820852875</v>
      </c>
      <c r="Q2485">
        <v>0</v>
      </c>
      <c r="R2485">
        <v>0.96685503267218598</v>
      </c>
      <c r="S2485" t="s">
        <v>8937</v>
      </c>
      <c r="T2485" t="s">
        <v>12902</v>
      </c>
      <c r="U2485" t="s">
        <v>12902</v>
      </c>
      <c r="V2485" t="s">
        <v>12902</v>
      </c>
      <c r="W2485" t="s">
        <v>15348</v>
      </c>
      <c r="X2485">
        <v>52</v>
      </c>
      <c r="Y2485" t="s">
        <v>21698</v>
      </c>
      <c r="Z2485" t="s">
        <v>28060</v>
      </c>
      <c r="AA2485">
        <v>0.82510625919319847</v>
      </c>
      <c r="AB2485" t="str">
        <f>HYPERLINK("Melting_Curves/meltCurve_P41250_GARS.pdf", "Melting_Curves/meltCurve_P41250_GARS.pdf")</f>
        <v>Melting_Curves/meltCurve_P41250_GARS.pdf</v>
      </c>
    </row>
    <row r="2486" spans="1:28" x14ac:dyDescent="0.25">
      <c r="A2486" t="s">
        <v>2490</v>
      </c>
      <c r="B2486">
        <v>0.99673306730245903</v>
      </c>
      <c r="C2486">
        <v>0.90389022302390098</v>
      </c>
      <c r="D2486">
        <v>0.612221190066078</v>
      </c>
      <c r="E2486">
        <v>0.32063266435635601</v>
      </c>
      <c r="F2486">
        <v>0.170367611007469</v>
      </c>
      <c r="G2486">
        <v>0.105301552932688</v>
      </c>
      <c r="H2486">
        <v>7.5753455367306793E-2</v>
      </c>
      <c r="I2486">
        <v>5.7867323761477601E-2</v>
      </c>
      <c r="J2486">
        <v>5.3586814881074203E-2</v>
      </c>
      <c r="K2486">
        <v>4.56415971730353E-2</v>
      </c>
      <c r="L2486">
        <v>911.54034589139701</v>
      </c>
      <c r="M2486">
        <v>19.343822968099701</v>
      </c>
      <c r="N2486">
        <v>47.430038777660201</v>
      </c>
      <c r="O2486">
        <v>46.628122917697198</v>
      </c>
      <c r="P2486">
        <v>-9.7615139268380002E-2</v>
      </c>
      <c r="Q2486">
        <v>5.8833056431630802E-2</v>
      </c>
      <c r="R2486">
        <v>0.99763432553537301</v>
      </c>
      <c r="S2486" t="s">
        <v>8938</v>
      </c>
      <c r="T2486" t="s">
        <v>12902</v>
      </c>
      <c r="U2486" t="s">
        <v>12902</v>
      </c>
      <c r="V2486" t="s">
        <v>12902</v>
      </c>
      <c r="W2486" t="s">
        <v>15349</v>
      </c>
      <c r="X2486">
        <v>15</v>
      </c>
      <c r="Y2486" t="s">
        <v>21699</v>
      </c>
      <c r="Z2486" t="s">
        <v>28061</v>
      </c>
      <c r="AA2486">
        <v>0.29705441873125799</v>
      </c>
      <c r="AB2486" t="str">
        <f>HYPERLINK("Melting_Curves/meltCurve_P41252_IARS.pdf", "Melting_Curves/meltCurve_P41252_IARS.pdf")</f>
        <v>Melting_Curves/meltCurve_P41252_IARS.pdf</v>
      </c>
    </row>
    <row r="2487" spans="1:28" x14ac:dyDescent="0.25">
      <c r="A2487" t="s">
        <v>2491</v>
      </c>
      <c r="B2487">
        <v>0.99673306730245903</v>
      </c>
      <c r="C2487">
        <v>0.769451885851548</v>
      </c>
      <c r="D2487">
        <v>0.77084400451758095</v>
      </c>
      <c r="E2487">
        <v>0.652806995811264</v>
      </c>
      <c r="F2487">
        <v>0.70957620030135804</v>
      </c>
      <c r="G2487">
        <v>0.51002811335169695</v>
      </c>
      <c r="H2487">
        <v>0.50177112196131701</v>
      </c>
      <c r="I2487">
        <v>0.72174019471046102</v>
      </c>
      <c r="J2487">
        <v>0.61879690006111099</v>
      </c>
      <c r="K2487">
        <v>0.50096273296222105</v>
      </c>
      <c r="L2487">
        <v>609.02727323078</v>
      </c>
      <c r="M2487">
        <v>13.641229622046</v>
      </c>
      <c r="O2487">
        <v>43.719397761688597</v>
      </c>
      <c r="P2487">
        <v>-3.3029661745517302E-2</v>
      </c>
      <c r="Q2487">
        <v>0.57662900572340003</v>
      </c>
      <c r="R2487">
        <v>0.71619493349355401</v>
      </c>
      <c r="S2487" t="s">
        <v>8939</v>
      </c>
      <c r="T2487" t="s">
        <v>12902</v>
      </c>
      <c r="U2487" t="s">
        <v>12902</v>
      </c>
      <c r="V2487" t="s">
        <v>12902</v>
      </c>
      <c r="W2487" t="s">
        <v>15350</v>
      </c>
      <c r="X2487">
        <v>2</v>
      </c>
      <c r="Y2487" t="s">
        <v>21700</v>
      </c>
      <c r="Z2487" t="s">
        <v>28062</v>
      </c>
      <c r="AA2487">
        <v>0.65936396137664421</v>
      </c>
      <c r="AB2487" t="str">
        <f>HYPERLINK("Melting_Curves/meltCurve_P41440_2_SLC19A1.pdf", "Melting_Curves/meltCurve_P41440_2_SLC19A1.pdf")</f>
        <v>Melting_Curves/meltCurve_P41440_2_SLC19A1.pdf</v>
      </c>
    </row>
    <row r="2488" spans="1:28" x14ac:dyDescent="0.25">
      <c r="A2488" t="s">
        <v>2492</v>
      </c>
      <c r="B2488">
        <v>0.99673306730245903</v>
      </c>
      <c r="C2488">
        <v>1.0229148529468299</v>
      </c>
      <c r="D2488">
        <v>0.98301406059912999</v>
      </c>
      <c r="E2488">
        <v>0.92779148930537003</v>
      </c>
      <c r="F2488">
        <v>0.86157327749367296</v>
      </c>
      <c r="G2488">
        <v>0.74820067887376296</v>
      </c>
      <c r="H2488">
        <v>0.462171038226873</v>
      </c>
      <c r="I2488">
        <v>0.48236902188929498</v>
      </c>
      <c r="J2488">
        <v>0.48360238655260701</v>
      </c>
      <c r="K2488">
        <v>0.35313336746325902</v>
      </c>
      <c r="L2488">
        <v>996.92229819190004</v>
      </c>
      <c r="M2488">
        <v>17.4579895487229</v>
      </c>
      <c r="N2488">
        <v>62.056117268750398</v>
      </c>
      <c r="O2488">
        <v>56.370643827244201</v>
      </c>
      <c r="P2488">
        <v>-4.8327335449297501E-2</v>
      </c>
      <c r="Q2488">
        <v>0.37585247341375699</v>
      </c>
      <c r="R2488">
        <v>0.97365691739767501</v>
      </c>
      <c r="S2488" t="s">
        <v>8940</v>
      </c>
      <c r="T2488" t="s">
        <v>12902</v>
      </c>
      <c r="U2488" t="s">
        <v>12902</v>
      </c>
      <c r="V2488" t="s">
        <v>12902</v>
      </c>
      <c r="W2488" t="s">
        <v>15351</v>
      </c>
      <c r="X2488">
        <v>12</v>
      </c>
      <c r="Y2488" t="s">
        <v>21701</v>
      </c>
      <c r="Z2488" t="s">
        <v>28063</v>
      </c>
      <c r="AA2488">
        <v>0.7404315465308644</v>
      </c>
      <c r="AB2488" t="str">
        <f>HYPERLINK("Melting_Curves/meltCurve_P41567_EIF1.pdf", "Melting_Curves/meltCurve_P41567_EIF1.pdf")</f>
        <v>Melting_Curves/meltCurve_P41567_EIF1.pdf</v>
      </c>
    </row>
    <row r="2489" spans="1:28" x14ac:dyDescent="0.25">
      <c r="A2489" t="s">
        <v>2493</v>
      </c>
      <c r="B2489">
        <v>0.99673306730245903</v>
      </c>
      <c r="C2489">
        <v>0.96886831797902895</v>
      </c>
      <c r="D2489">
        <v>0.90178786751721096</v>
      </c>
      <c r="E2489">
        <v>0.63356458221707102</v>
      </c>
      <c r="F2489">
        <v>0.21837210992050299</v>
      </c>
      <c r="G2489">
        <v>0.12099932508288</v>
      </c>
      <c r="H2489">
        <v>6.8391854985237199E-2</v>
      </c>
      <c r="I2489">
        <v>5.2858818945308597E-2</v>
      </c>
      <c r="J2489">
        <v>5.3572531371686098E-2</v>
      </c>
      <c r="K2489">
        <v>4.3298990291210399E-2</v>
      </c>
      <c r="L2489">
        <v>1275.59020093405</v>
      </c>
      <c r="M2489">
        <v>25.341426915588801</v>
      </c>
      <c r="N2489">
        <v>50.5506703188316</v>
      </c>
      <c r="O2489">
        <v>50.025853753884903</v>
      </c>
      <c r="P2489">
        <v>-0.12018738341742299</v>
      </c>
      <c r="Q2489">
        <v>5.0976967725955301E-2</v>
      </c>
      <c r="R2489">
        <v>0.99854873575008396</v>
      </c>
      <c r="S2489" t="s">
        <v>8941</v>
      </c>
      <c r="T2489" t="s">
        <v>12902</v>
      </c>
      <c r="U2489" t="s">
        <v>12902</v>
      </c>
      <c r="V2489" t="s">
        <v>12902</v>
      </c>
      <c r="W2489" t="s">
        <v>15352</v>
      </c>
      <c r="X2489">
        <v>8</v>
      </c>
      <c r="Y2489" t="s">
        <v>21702</v>
      </c>
      <c r="Z2489" t="s">
        <v>28064</v>
      </c>
      <c r="AA2489">
        <v>0.38623657560235869</v>
      </c>
      <c r="AB2489" t="str">
        <f>HYPERLINK("Melting_Curves/meltCurve_P41743_PRKCI.pdf", "Melting_Curves/meltCurve_P41743_PRKCI.pdf")</f>
        <v>Melting_Curves/meltCurve_P41743_PRKCI.pdf</v>
      </c>
    </row>
    <row r="2490" spans="1:28" x14ac:dyDescent="0.25">
      <c r="A2490" t="s">
        <v>2494</v>
      </c>
      <c r="B2490">
        <v>0.99673306730245903</v>
      </c>
      <c r="C2490">
        <v>1.0066234314493101</v>
      </c>
      <c r="D2490">
        <v>1.04022519967973</v>
      </c>
      <c r="E2490">
        <v>1.0659905258543301</v>
      </c>
      <c r="F2490">
        <v>0.94265430100891401</v>
      </c>
      <c r="G2490">
        <v>0.75116542251228902</v>
      </c>
      <c r="H2490">
        <v>0.30883851103656401</v>
      </c>
      <c r="I2490">
        <v>0.13197002792044299</v>
      </c>
      <c r="J2490">
        <v>9.2284906785534096E-2</v>
      </c>
      <c r="K2490">
        <v>6.9874582988125003E-2</v>
      </c>
      <c r="L2490">
        <v>1770.01497097624</v>
      </c>
      <c r="M2490">
        <v>30.161037903842701</v>
      </c>
      <c r="N2490">
        <v>58.960191664905103</v>
      </c>
      <c r="O2490">
        <v>58.429301484833502</v>
      </c>
      <c r="P2490">
        <v>-0.120590793186912</v>
      </c>
      <c r="Q2490">
        <v>6.5550501745650497E-2</v>
      </c>
      <c r="R2490">
        <v>0.99592971655558604</v>
      </c>
      <c r="S2490" t="s">
        <v>8942</v>
      </c>
      <c r="T2490" t="s">
        <v>12902</v>
      </c>
      <c r="U2490" t="s">
        <v>12902</v>
      </c>
      <c r="V2490" t="s">
        <v>12902</v>
      </c>
      <c r="W2490" t="s">
        <v>15353</v>
      </c>
      <c r="X2490">
        <v>17</v>
      </c>
      <c r="Y2490" t="s">
        <v>21703</v>
      </c>
      <c r="Z2490" t="s">
        <v>28065</v>
      </c>
      <c r="AA2490">
        <v>0.65357143710466892</v>
      </c>
      <c r="AB2490" t="str">
        <f>HYPERLINK("Melting_Curves/meltCurve_P42025_ACTR1B.pdf", "Melting_Curves/meltCurve_P42025_ACTR1B.pdf")</f>
        <v>Melting_Curves/meltCurve_P42025_ACTR1B.pdf</v>
      </c>
    </row>
    <row r="2491" spans="1:28" x14ac:dyDescent="0.25">
      <c r="A2491" t="s">
        <v>2495</v>
      </c>
      <c r="B2491">
        <v>0.99673306730245903</v>
      </c>
      <c r="C2491">
        <v>0.96673783470131303</v>
      </c>
      <c r="D2491">
        <v>1.2494706544287899</v>
      </c>
      <c r="E2491">
        <v>1.00220398834804</v>
      </c>
      <c r="F2491">
        <v>0.770930604505769</v>
      </c>
      <c r="G2491">
        <v>0.55729015925151204</v>
      </c>
      <c r="H2491">
        <v>0.45693242202518702</v>
      </c>
      <c r="I2491">
        <v>0.58017427590141402</v>
      </c>
      <c r="J2491">
        <v>1.60943742160303</v>
      </c>
      <c r="K2491">
        <v>0.52758963402871095</v>
      </c>
      <c r="L2491">
        <v>13181.394903484401</v>
      </c>
      <c r="M2491">
        <v>250</v>
      </c>
      <c r="O2491">
        <v>52.722205544869503</v>
      </c>
      <c r="P2491">
        <v>-0.30076891977917403</v>
      </c>
      <c r="Q2491">
        <v>0.74628478742378801</v>
      </c>
      <c r="R2491">
        <v>0.17298546939137199</v>
      </c>
      <c r="S2491" t="s">
        <v>8943</v>
      </c>
      <c r="T2491" t="s">
        <v>12902</v>
      </c>
      <c r="U2491" t="s">
        <v>12902</v>
      </c>
      <c r="V2491" t="s">
        <v>12902</v>
      </c>
      <c r="W2491" t="s">
        <v>15354</v>
      </c>
      <c r="X2491">
        <v>8</v>
      </c>
      <c r="Y2491" t="s">
        <v>21704</v>
      </c>
      <c r="Z2491" t="s">
        <v>28066</v>
      </c>
      <c r="AA2491">
        <v>0.85393070224172962</v>
      </c>
      <c r="AB2491" t="str">
        <f>HYPERLINK("Melting_Curves/meltCurve_P42126_2_ECI1.pdf", "Melting_Curves/meltCurve_P42126_2_ECI1.pdf")</f>
        <v>Melting_Curves/meltCurve_P42126_2_ECI1.pdf</v>
      </c>
    </row>
    <row r="2492" spans="1:28" x14ac:dyDescent="0.25">
      <c r="A2492" t="s">
        <v>2496</v>
      </c>
      <c r="B2492">
        <v>0.99673306730245903</v>
      </c>
      <c r="C2492">
        <v>0.93914123073446998</v>
      </c>
      <c r="D2492">
        <v>0.82342928485441802</v>
      </c>
      <c r="E2492">
        <v>0.53825931537684701</v>
      </c>
      <c r="F2492">
        <v>0.44330736100426399</v>
      </c>
      <c r="G2492">
        <v>0.33141223788583402</v>
      </c>
      <c r="H2492">
        <v>0.23763849844402701</v>
      </c>
      <c r="I2492">
        <v>0.29587268645869003</v>
      </c>
      <c r="J2492">
        <v>0.33733358398761798</v>
      </c>
      <c r="K2492">
        <v>0.40963118577304403</v>
      </c>
      <c r="L2492">
        <v>1015.84496517369</v>
      </c>
      <c r="M2492">
        <v>21.111470982484899</v>
      </c>
      <c r="N2492">
        <v>50.5689964581168</v>
      </c>
      <c r="O2492">
        <v>47.692652906803701</v>
      </c>
      <c r="P2492">
        <v>-7.5223291517858296E-2</v>
      </c>
      <c r="Q2492">
        <v>0.32027397633888299</v>
      </c>
      <c r="R2492">
        <v>0.97211825615451497</v>
      </c>
      <c r="S2492" t="s">
        <v>8944</v>
      </c>
      <c r="T2492" t="s">
        <v>12902</v>
      </c>
      <c r="U2492" t="s">
        <v>12902</v>
      </c>
      <c r="V2492" t="s">
        <v>12902</v>
      </c>
      <c r="W2492" t="s">
        <v>15355</v>
      </c>
      <c r="X2492">
        <v>34</v>
      </c>
      <c r="Y2492" t="s">
        <v>21705</v>
      </c>
      <c r="Z2492" t="s">
        <v>28067</v>
      </c>
      <c r="AA2492">
        <v>0.51280707745637133</v>
      </c>
      <c r="AB2492" t="str">
        <f>HYPERLINK("Melting_Curves/meltCurve_P42166_TMPO.pdf", "Melting_Curves/meltCurve_P42166_TMPO.pdf")</f>
        <v>Melting_Curves/meltCurve_P42166_TMPO.pdf</v>
      </c>
    </row>
    <row r="2493" spans="1:28" x14ac:dyDescent="0.25">
      <c r="A2493" t="s">
        <v>2497</v>
      </c>
      <c r="B2493">
        <v>0.99673306730245903</v>
      </c>
      <c r="C2493">
        <v>0.93438490651124095</v>
      </c>
      <c r="D2493">
        <v>0.94701349404457302</v>
      </c>
      <c r="E2493">
        <v>0.79470939663846096</v>
      </c>
      <c r="F2493">
        <v>0.695432543770657</v>
      </c>
      <c r="G2493">
        <v>0.58203092196829298</v>
      </c>
      <c r="H2493">
        <v>0.446850939239606</v>
      </c>
      <c r="I2493">
        <v>0.49965756300605002</v>
      </c>
      <c r="J2493">
        <v>0.61237157640366802</v>
      </c>
      <c r="K2493">
        <v>0.732443448833065</v>
      </c>
      <c r="L2493">
        <v>1107.8654827960099</v>
      </c>
      <c r="M2493">
        <v>22.205447384253901</v>
      </c>
      <c r="O2493">
        <v>49.4922638872657</v>
      </c>
      <c r="P2493">
        <v>-4.79397540355153E-2</v>
      </c>
      <c r="Q2493">
        <v>0.57261011497143699</v>
      </c>
      <c r="R2493">
        <v>0.83502760171399504</v>
      </c>
      <c r="S2493" t="s">
        <v>8945</v>
      </c>
      <c r="T2493" t="s">
        <v>12902</v>
      </c>
      <c r="U2493" t="s">
        <v>12902</v>
      </c>
      <c r="V2493" t="s">
        <v>12902</v>
      </c>
      <c r="W2493" t="s">
        <v>15356</v>
      </c>
      <c r="X2493">
        <v>29</v>
      </c>
      <c r="Y2493" t="s">
        <v>21705</v>
      </c>
      <c r="Z2493" t="s">
        <v>28068</v>
      </c>
      <c r="AA2493">
        <v>0.7183692566436245</v>
      </c>
      <c r="AB2493" t="str">
        <f>HYPERLINK("Melting_Curves/meltCurve_P42167_TMPO.pdf", "Melting_Curves/meltCurve_P42167_TMPO.pdf")</f>
        <v>Melting_Curves/meltCurve_P42167_TMPO.pdf</v>
      </c>
    </row>
    <row r="2494" spans="1:28" x14ac:dyDescent="0.25">
      <c r="A2494" t="s">
        <v>2498</v>
      </c>
      <c r="B2494">
        <v>0.99673306730245903</v>
      </c>
      <c r="C2494">
        <v>0.730832398750626</v>
      </c>
      <c r="D2494">
        <v>1.26812674880238</v>
      </c>
      <c r="E2494">
        <v>0.71782074194364798</v>
      </c>
      <c r="F2494">
        <v>0.69485595440904901</v>
      </c>
      <c r="G2494">
        <v>0.52029065784093298</v>
      </c>
      <c r="H2494">
        <v>0.54604203848913502</v>
      </c>
      <c r="I2494">
        <v>1.07173479932602</v>
      </c>
      <c r="J2494">
        <v>1.0673713705614301</v>
      </c>
      <c r="K2494">
        <v>1.0980723146210101</v>
      </c>
      <c r="L2494">
        <v>11958.5061127872</v>
      </c>
      <c r="M2494">
        <v>250</v>
      </c>
      <c r="O2494">
        <v>47.8309635966122</v>
      </c>
      <c r="P2494">
        <v>-0.239648087004738</v>
      </c>
      <c r="Q2494">
        <v>0.81659841819551204</v>
      </c>
      <c r="R2494">
        <v>0.11459065309482599</v>
      </c>
      <c r="S2494" t="s">
        <v>8946</v>
      </c>
      <c r="T2494" t="s">
        <v>12902</v>
      </c>
      <c r="U2494" t="s">
        <v>12902</v>
      </c>
      <c r="V2494" t="s">
        <v>12902</v>
      </c>
      <c r="W2494" t="s">
        <v>15357</v>
      </c>
      <c r="X2494">
        <v>25</v>
      </c>
      <c r="Y2494" t="s">
        <v>21705</v>
      </c>
      <c r="Z2494" t="s">
        <v>28069</v>
      </c>
      <c r="AA2494">
        <v>0.86450623026023921</v>
      </c>
      <c r="AB2494" t="str">
        <f>HYPERLINK("Melting_Curves/meltCurve_P42167_2_TMPO.pdf", "Melting_Curves/meltCurve_P42167_2_TMPO.pdf")</f>
        <v>Melting_Curves/meltCurve_P42167_2_TMPO.pdf</v>
      </c>
    </row>
    <row r="2495" spans="1:28" x14ac:dyDescent="0.25">
      <c r="A2495" t="s">
        <v>2499</v>
      </c>
      <c r="B2495">
        <v>0.99673306730245903</v>
      </c>
      <c r="C2495">
        <v>0.787609716251639</v>
      </c>
      <c r="D2495">
        <v>0.30452939895747</v>
      </c>
      <c r="E2495">
        <v>0.20880076198178399</v>
      </c>
      <c r="F2495">
        <v>0.14572311967092</v>
      </c>
      <c r="G2495">
        <v>9.8603218853236502E-2</v>
      </c>
      <c r="H2495">
        <v>6.3641652979307795E-2</v>
      </c>
      <c r="I2495">
        <v>5.8718235817871001E-2</v>
      </c>
      <c r="J2495">
        <v>4.5269905797703701E-2</v>
      </c>
      <c r="K2495">
        <v>3.56080001842487E-2</v>
      </c>
      <c r="L2495">
        <v>1293.4350189090701</v>
      </c>
      <c r="M2495">
        <v>29.035663820990202</v>
      </c>
      <c r="N2495">
        <v>44.822183787782897</v>
      </c>
      <c r="O2495">
        <v>44.336717609400203</v>
      </c>
      <c r="P2495">
        <v>-0.15033189913387901</v>
      </c>
      <c r="Q2495">
        <v>8.1794710042145405E-2</v>
      </c>
      <c r="R2495">
        <v>0.98362752151855903</v>
      </c>
      <c r="S2495" t="s">
        <v>8947</v>
      </c>
      <c r="T2495" t="s">
        <v>12902</v>
      </c>
      <c r="U2495" t="s">
        <v>12902</v>
      </c>
      <c r="V2495" t="s">
        <v>12902</v>
      </c>
      <c r="W2495" t="s">
        <v>15358</v>
      </c>
      <c r="X2495">
        <v>21</v>
      </c>
      <c r="Y2495" t="s">
        <v>21706</v>
      </c>
      <c r="Z2495" t="s">
        <v>28070</v>
      </c>
      <c r="AA2495">
        <v>0.2276466788661313</v>
      </c>
      <c r="AB2495" t="str">
        <f>HYPERLINK("Melting_Curves/meltCurve_P42224_STAT1.pdf", "Melting_Curves/meltCurve_P42224_STAT1.pdf")</f>
        <v>Melting_Curves/meltCurve_P42224_STAT1.pdf</v>
      </c>
    </row>
    <row r="2496" spans="1:28" x14ac:dyDescent="0.25">
      <c r="A2496" t="s">
        <v>2500</v>
      </c>
      <c r="B2496">
        <v>0.99673306730245903</v>
      </c>
      <c r="C2496">
        <v>0.82412919802095297</v>
      </c>
      <c r="D2496">
        <v>0.50844484412069102</v>
      </c>
      <c r="E2496">
        <v>0.22374222472588301</v>
      </c>
      <c r="F2496">
        <v>9.1997531152079495E-2</v>
      </c>
      <c r="G2496">
        <v>6.7036004588593601E-2</v>
      </c>
      <c r="H2496">
        <v>4.7937856628621302E-2</v>
      </c>
      <c r="I2496">
        <v>5.9451521184563698E-2</v>
      </c>
      <c r="J2496">
        <v>5.1141971284630099E-2</v>
      </c>
      <c r="K2496">
        <v>5.5505056265030599E-2</v>
      </c>
      <c r="L2496">
        <v>1000.76664341712</v>
      </c>
      <c r="M2496">
        <v>21.797888037381501</v>
      </c>
      <c r="N2496">
        <v>46.145294695128896</v>
      </c>
      <c r="O2496">
        <v>45.530008091005399</v>
      </c>
      <c r="P2496">
        <v>-0.11342697397373901</v>
      </c>
      <c r="Q2496">
        <v>5.23463897635311E-2</v>
      </c>
      <c r="R2496">
        <v>0.99862167289672299</v>
      </c>
      <c r="S2496" t="s">
        <v>8948</v>
      </c>
      <c r="T2496" t="s">
        <v>12902</v>
      </c>
      <c r="U2496" t="s">
        <v>12902</v>
      </c>
      <c r="V2496" t="s">
        <v>12902</v>
      </c>
      <c r="W2496" t="s">
        <v>15359</v>
      </c>
      <c r="X2496">
        <v>4</v>
      </c>
      <c r="Y2496" t="s">
        <v>21707</v>
      </c>
      <c r="Z2496" t="s">
        <v>28071</v>
      </c>
      <c r="AA2496">
        <v>0.25115899819610987</v>
      </c>
      <c r="AB2496" t="str">
        <f>HYPERLINK("Melting_Curves/meltCurve_P42226_STAT6.pdf", "Melting_Curves/meltCurve_P42226_STAT6.pdf")</f>
        <v>Melting_Curves/meltCurve_P42226_STAT6.pdf</v>
      </c>
    </row>
    <row r="2497" spans="1:28" x14ac:dyDescent="0.25">
      <c r="A2497" t="s">
        <v>2501</v>
      </c>
      <c r="B2497">
        <v>0.99673306730245903</v>
      </c>
      <c r="C2497">
        <v>1.09642846194886</v>
      </c>
      <c r="D2497">
        <v>1.3680997637463801</v>
      </c>
      <c r="E2497">
        <v>1.3762363808893301</v>
      </c>
      <c r="F2497">
        <v>0.43851470872180698</v>
      </c>
      <c r="G2497">
        <v>0.21224932992510601</v>
      </c>
      <c r="H2497">
        <v>0.12276006562814901</v>
      </c>
      <c r="I2497">
        <v>0.103385079723748</v>
      </c>
      <c r="J2497">
        <v>0.108398682578213</v>
      </c>
      <c r="K2497">
        <v>8.6613367185061005E-2</v>
      </c>
      <c r="L2497">
        <v>13268.712224224601</v>
      </c>
      <c r="M2497">
        <v>250</v>
      </c>
      <c r="N2497">
        <v>53.136950295034801</v>
      </c>
      <c r="O2497">
        <v>53.071452606999202</v>
      </c>
      <c r="P2497">
        <v>-1.0284704330279999</v>
      </c>
      <c r="Q2497">
        <v>0.12668128595911099</v>
      </c>
      <c r="R2497">
        <v>0.89236032637046903</v>
      </c>
      <c r="S2497" t="s">
        <v>8949</v>
      </c>
      <c r="T2497" t="s">
        <v>12902</v>
      </c>
      <c r="U2497" t="s">
        <v>12902</v>
      </c>
      <c r="V2497" t="s">
        <v>12902</v>
      </c>
      <c r="W2497" t="s">
        <v>15360</v>
      </c>
      <c r="X2497">
        <v>42</v>
      </c>
      <c r="Y2497" t="s">
        <v>21708</v>
      </c>
      <c r="Z2497" t="s">
        <v>28072</v>
      </c>
      <c r="AA2497">
        <v>0.50737963919417117</v>
      </c>
      <c r="AB2497" t="str">
        <f>HYPERLINK("Melting_Curves/meltCurve_P42285_SKIV2L2.pdf", "Melting_Curves/meltCurve_P42285_SKIV2L2.pdf")</f>
        <v>Melting_Curves/meltCurve_P42285_SKIV2L2.pdf</v>
      </c>
    </row>
    <row r="2498" spans="1:28" x14ac:dyDescent="0.25">
      <c r="A2498" t="s">
        <v>2502</v>
      </c>
      <c r="B2498">
        <v>0.99673306730245903</v>
      </c>
      <c r="C2498">
        <v>1.0689479642597399</v>
      </c>
      <c r="D2498">
        <v>0.68332969197203697</v>
      </c>
      <c r="E2498">
        <v>0.480181249616421</v>
      </c>
      <c r="F2498">
        <v>0.16148580754075201</v>
      </c>
      <c r="G2498">
        <v>0.10555524120446</v>
      </c>
      <c r="H2498">
        <v>5.6192006064987199E-2</v>
      </c>
      <c r="I2498">
        <v>4.6343551508021601E-2</v>
      </c>
      <c r="J2498">
        <v>4.27417289212072E-2</v>
      </c>
      <c r="K2498">
        <v>2.9177700187646E-2</v>
      </c>
      <c r="L2498">
        <v>982.44508312803305</v>
      </c>
      <c r="M2498">
        <v>20.169527602562098</v>
      </c>
      <c r="N2498">
        <v>48.901315892322003</v>
      </c>
      <c r="O2498">
        <v>48.2381464459502</v>
      </c>
      <c r="P2498">
        <v>-0.100556044772426</v>
      </c>
      <c r="Q2498">
        <v>3.8057053190851897E-2</v>
      </c>
      <c r="R2498">
        <v>0.98166086805862396</v>
      </c>
      <c r="S2498" t="s">
        <v>8950</v>
      </c>
      <c r="T2498" t="s">
        <v>12902</v>
      </c>
      <c r="U2498" t="s">
        <v>12902</v>
      </c>
      <c r="V2498" t="s">
        <v>12902</v>
      </c>
      <c r="W2498" t="s">
        <v>15361</v>
      </c>
      <c r="X2498">
        <v>21</v>
      </c>
      <c r="Y2498" t="s">
        <v>21709</v>
      </c>
      <c r="Z2498" t="s">
        <v>28073</v>
      </c>
      <c r="AA2498">
        <v>0.33060444730011862</v>
      </c>
      <c r="AB2498" t="str">
        <f>HYPERLINK("Melting_Curves/meltCurve_P42330_AKR1C3.pdf", "Melting_Curves/meltCurve_P42330_AKR1C3.pdf")</f>
        <v>Melting_Curves/meltCurve_P42330_AKR1C3.pdf</v>
      </c>
    </row>
    <row r="2499" spans="1:28" x14ac:dyDescent="0.25">
      <c r="A2499" t="s">
        <v>2503</v>
      </c>
      <c r="B2499">
        <v>0.99673306730245903</v>
      </c>
      <c r="C2499">
        <v>0.90685873969142405</v>
      </c>
      <c r="D2499">
        <v>0.853855229575603</v>
      </c>
      <c r="E2499">
        <v>0.39291130396234603</v>
      </c>
      <c r="F2499">
        <v>0.17715713068727401</v>
      </c>
      <c r="G2499">
        <v>0.125247913999051</v>
      </c>
      <c r="H2499">
        <v>9.4237937347665904E-2</v>
      </c>
      <c r="I2499">
        <v>7.5312055146880996E-2</v>
      </c>
      <c r="J2499">
        <v>0.114940305634971</v>
      </c>
      <c r="K2499">
        <v>0.139743677267092</v>
      </c>
      <c r="L2499">
        <v>1351.23140150782</v>
      </c>
      <c r="M2499">
        <v>27.936986457707199</v>
      </c>
      <c r="N2499">
        <v>48.784678533376898</v>
      </c>
      <c r="O2499">
        <v>48.121324936179803</v>
      </c>
      <c r="P2499">
        <v>-0.129705301023019</v>
      </c>
      <c r="Q2499">
        <v>0.10634069603195601</v>
      </c>
      <c r="R2499">
        <v>0.99385805859165799</v>
      </c>
      <c r="S2499" t="s">
        <v>8951</v>
      </c>
      <c r="T2499" t="s">
        <v>12902</v>
      </c>
      <c r="U2499" t="s">
        <v>12902</v>
      </c>
      <c r="V2499" t="s">
        <v>12902</v>
      </c>
      <c r="W2499" t="s">
        <v>15362</v>
      </c>
      <c r="X2499">
        <v>1</v>
      </c>
      <c r="Y2499" t="s">
        <v>21710</v>
      </c>
      <c r="Z2499" t="s">
        <v>28074</v>
      </c>
      <c r="AA2499">
        <v>0.3618459611095432</v>
      </c>
      <c r="AB2499" t="str">
        <f>HYPERLINK("Melting_Curves/meltCurve_P42336_PIK3CA.pdf", "Melting_Curves/meltCurve_P42336_PIK3CA.pdf")</f>
        <v>Melting_Curves/meltCurve_P42336_PIK3CA.pdf</v>
      </c>
    </row>
    <row r="2500" spans="1:28" x14ac:dyDescent="0.25">
      <c r="A2500" t="s">
        <v>2504</v>
      </c>
      <c r="B2500">
        <v>0.99673306730245903</v>
      </c>
      <c r="C2500">
        <v>0.90803283407234203</v>
      </c>
      <c r="D2500">
        <v>0.80923467678705197</v>
      </c>
      <c r="E2500">
        <v>0.36102796799487502</v>
      </c>
      <c r="F2500">
        <v>0.22884891902467799</v>
      </c>
      <c r="G2500">
        <v>0.12077285130755699</v>
      </c>
      <c r="H2500">
        <v>8.0412955130134398E-2</v>
      </c>
      <c r="I2500">
        <v>7.2709669395261203E-2</v>
      </c>
      <c r="J2500">
        <v>6.8633782221620004E-2</v>
      </c>
      <c r="K2500">
        <v>5.6879346386889601E-2</v>
      </c>
      <c r="L2500">
        <v>1038.25793862555</v>
      </c>
      <c r="M2500">
        <v>21.487452666487901</v>
      </c>
      <c r="N2500">
        <v>48.670857715611703</v>
      </c>
      <c r="O2500">
        <v>47.906601662497998</v>
      </c>
      <c r="P2500">
        <v>-0.10407364623431301</v>
      </c>
      <c r="Q2500">
        <v>7.1887674564615603E-2</v>
      </c>
      <c r="R2500">
        <v>0.99395525918532002</v>
      </c>
      <c r="S2500" t="s">
        <v>8952</v>
      </c>
      <c r="T2500" t="s">
        <v>12902</v>
      </c>
      <c r="U2500" t="s">
        <v>12902</v>
      </c>
      <c r="V2500" t="s">
        <v>12902</v>
      </c>
      <c r="W2500" t="s">
        <v>15363</v>
      </c>
      <c r="X2500">
        <v>33</v>
      </c>
      <c r="Y2500" t="s">
        <v>21711</v>
      </c>
      <c r="Z2500" t="s">
        <v>28075</v>
      </c>
      <c r="AA2500">
        <v>0.34054152120801551</v>
      </c>
      <c r="AB2500" t="str">
        <f>HYPERLINK("Melting_Curves/meltCurve_P42345_MTOR.pdf", "Melting_Curves/meltCurve_P42345_MTOR.pdf")</f>
        <v>Melting_Curves/meltCurve_P42345_MTOR.pdf</v>
      </c>
    </row>
    <row r="2501" spans="1:28" x14ac:dyDescent="0.25">
      <c r="A2501" t="s">
        <v>2505</v>
      </c>
      <c r="B2501">
        <v>0.99673306730245903</v>
      </c>
      <c r="C2501">
        <v>0.94464269225950903</v>
      </c>
      <c r="D2501">
        <v>0.89807372653472095</v>
      </c>
      <c r="E2501">
        <v>0.58096886387289104</v>
      </c>
      <c r="F2501">
        <v>0.35956197482445501</v>
      </c>
      <c r="G2501">
        <v>0.25511002046713499</v>
      </c>
      <c r="H2501">
        <v>0.16310443351639101</v>
      </c>
      <c r="I2501">
        <v>0.22857452518454999</v>
      </c>
      <c r="J2501">
        <v>0.33934193345166702</v>
      </c>
      <c r="K2501">
        <v>0.38487099788037799</v>
      </c>
      <c r="L2501">
        <v>1349.3552767984099</v>
      </c>
      <c r="M2501">
        <v>27.530543638569601</v>
      </c>
      <c r="N2501">
        <v>50.4570285246065</v>
      </c>
      <c r="O2501">
        <v>48.756611908798199</v>
      </c>
      <c r="P2501">
        <v>-0.1026835225733</v>
      </c>
      <c r="Q2501">
        <v>0.27259631133031798</v>
      </c>
      <c r="R2501">
        <v>0.96191871855085798</v>
      </c>
      <c r="S2501" t="s">
        <v>8953</v>
      </c>
      <c r="T2501" t="s">
        <v>12902</v>
      </c>
      <c r="U2501" t="s">
        <v>12902</v>
      </c>
      <c r="V2501" t="s">
        <v>12902</v>
      </c>
      <c r="W2501" t="s">
        <v>15364</v>
      </c>
      <c r="X2501">
        <v>6</v>
      </c>
      <c r="Y2501" t="s">
        <v>21712</v>
      </c>
      <c r="Z2501" t="s">
        <v>28076</v>
      </c>
      <c r="AA2501">
        <v>0.49641908230402337</v>
      </c>
      <c r="AB2501" t="str">
        <f>HYPERLINK("Melting_Curves/meltCurve_P42566_EPS15.pdf", "Melting_Curves/meltCurve_P42566_EPS15.pdf")</f>
        <v>Melting_Curves/meltCurve_P42566_EPS15.pdf</v>
      </c>
    </row>
    <row r="2502" spans="1:28" x14ac:dyDescent="0.25">
      <c r="A2502" t="s">
        <v>2506</v>
      </c>
      <c r="B2502">
        <v>0.99673306730245903</v>
      </c>
      <c r="C2502">
        <v>1.01161951105016</v>
      </c>
      <c r="D2502">
        <v>1.00045646783678</v>
      </c>
      <c r="E2502">
        <v>0.95907055132413199</v>
      </c>
      <c r="F2502">
        <v>0.92939207800505697</v>
      </c>
      <c r="G2502">
        <v>0.79463518608802497</v>
      </c>
      <c r="H2502">
        <v>0.64683097838122805</v>
      </c>
      <c r="I2502">
        <v>0.809167042497552</v>
      </c>
      <c r="J2502">
        <v>1.0559730429613501</v>
      </c>
      <c r="K2502">
        <v>0.87774537924636098</v>
      </c>
      <c r="L2502">
        <v>13314.3799983548</v>
      </c>
      <c r="M2502">
        <v>250</v>
      </c>
      <c r="O2502">
        <v>53.254111881086899</v>
      </c>
      <c r="P2502">
        <v>-0.191451972399756</v>
      </c>
      <c r="Q2502">
        <v>0.83687032411079598</v>
      </c>
      <c r="R2502">
        <v>0.37327043096081802</v>
      </c>
      <c r="S2502" t="s">
        <v>8954</v>
      </c>
      <c r="T2502" t="s">
        <v>12902</v>
      </c>
      <c r="U2502" t="s">
        <v>12902</v>
      </c>
      <c r="V2502" t="s">
        <v>12902</v>
      </c>
      <c r="W2502" t="s">
        <v>15365</v>
      </c>
      <c r="X2502">
        <v>16</v>
      </c>
      <c r="Y2502" t="s">
        <v>21713</v>
      </c>
      <c r="Z2502" t="s">
        <v>28077</v>
      </c>
      <c r="AA2502">
        <v>0.90897540252915299</v>
      </c>
      <c r="AB2502" t="str">
        <f>HYPERLINK("Melting_Curves/meltCurve_P42574_CASP3.pdf", "Melting_Curves/meltCurve_P42574_CASP3.pdf")</f>
        <v>Melting_Curves/meltCurve_P42574_CASP3.pdf</v>
      </c>
    </row>
    <row r="2503" spans="1:28" x14ac:dyDescent="0.25">
      <c r="A2503" t="s">
        <v>2507</v>
      </c>
      <c r="B2503">
        <v>0.99673306730245903</v>
      </c>
      <c r="C2503">
        <v>0.94451113135652298</v>
      </c>
      <c r="D2503">
        <v>0.71006101626981999</v>
      </c>
      <c r="E2503">
        <v>0.47859989407148201</v>
      </c>
      <c r="F2503">
        <v>0.28941363118220298</v>
      </c>
      <c r="G2503">
        <v>0.15518936981381901</v>
      </c>
      <c r="H2503">
        <v>8.7724145392388195E-2</v>
      </c>
      <c r="I2503">
        <v>7.1541166097902897E-2</v>
      </c>
      <c r="J2503">
        <v>7.64767144283727E-2</v>
      </c>
      <c r="K2503">
        <v>6.1508392954334301E-2</v>
      </c>
      <c r="L2503">
        <v>760.74718619351904</v>
      </c>
      <c r="M2503">
        <v>15.5360656132305</v>
      </c>
      <c r="N2503">
        <v>49.334975029759804</v>
      </c>
      <c r="O2503">
        <v>48.176772244566301</v>
      </c>
      <c r="P2503">
        <v>-7.6210870558043001E-2</v>
      </c>
      <c r="Q2503">
        <v>5.4774704528051298E-2</v>
      </c>
      <c r="R2503">
        <v>0.99666704749711998</v>
      </c>
      <c r="S2503" t="s">
        <v>8955</v>
      </c>
      <c r="T2503" t="s">
        <v>12902</v>
      </c>
      <c r="U2503" t="s">
        <v>12902</v>
      </c>
      <c r="V2503" t="s">
        <v>12902</v>
      </c>
      <c r="W2503" t="s">
        <v>15366</v>
      </c>
      <c r="X2503">
        <v>5</v>
      </c>
      <c r="Y2503" t="s">
        <v>21714</v>
      </c>
      <c r="Z2503" t="s">
        <v>28078</v>
      </c>
      <c r="AA2503">
        <v>0.35913978585943601</v>
      </c>
      <c r="AB2503" t="str">
        <f>HYPERLINK("Melting_Curves/meltCurve_P42575_CASP2.pdf", "Melting_Curves/meltCurve_P42575_CASP2.pdf")</f>
        <v>Melting_Curves/meltCurve_P42575_CASP2.pdf</v>
      </c>
    </row>
    <row r="2504" spans="1:28" x14ac:dyDescent="0.25">
      <c r="A2504" t="s">
        <v>2508</v>
      </c>
      <c r="B2504">
        <v>0.99673306730245903</v>
      </c>
      <c r="C2504">
        <v>0.97971318279594799</v>
      </c>
      <c r="D2504">
        <v>0.88314455182138896</v>
      </c>
      <c r="E2504">
        <v>0.80640633965049902</v>
      </c>
      <c r="F2504">
        <v>0.57796545067679395</v>
      </c>
      <c r="G2504">
        <v>0.32282054434826002</v>
      </c>
      <c r="H2504">
        <v>0.127804622206216</v>
      </c>
      <c r="I2504">
        <v>9.8626043181467907E-2</v>
      </c>
      <c r="J2504">
        <v>0.113642558792176</v>
      </c>
      <c r="K2504">
        <v>9.1728095831358505E-2</v>
      </c>
      <c r="L2504">
        <v>880.33352964011794</v>
      </c>
      <c r="M2504">
        <v>16.438688079360698</v>
      </c>
      <c r="N2504">
        <v>53.932571118671397</v>
      </c>
      <c r="O2504">
        <v>52.778863344670903</v>
      </c>
      <c r="P2504">
        <v>-7.3612464759941806E-2</v>
      </c>
      <c r="Q2504">
        <v>5.46914047587524E-2</v>
      </c>
      <c r="R2504">
        <v>0.99479009656849204</v>
      </c>
      <c r="S2504" t="s">
        <v>8956</v>
      </c>
      <c r="T2504" t="s">
        <v>12902</v>
      </c>
      <c r="U2504" t="s">
        <v>12902</v>
      </c>
      <c r="V2504" t="s">
        <v>12902</v>
      </c>
      <c r="W2504" t="s">
        <v>15367</v>
      </c>
      <c r="X2504">
        <v>6</v>
      </c>
      <c r="Y2504" t="s">
        <v>21715</v>
      </c>
      <c r="Z2504" t="s">
        <v>28079</v>
      </c>
      <c r="AA2504">
        <v>0.49923912283462107</v>
      </c>
      <c r="AB2504" t="str">
        <f>HYPERLINK("Melting_Curves/meltCurve_P42677_RPS27.pdf", "Melting_Curves/meltCurve_P42677_RPS27.pdf")</f>
        <v>Melting_Curves/meltCurve_P42677_RPS27.pdf</v>
      </c>
    </row>
    <row r="2505" spans="1:28" x14ac:dyDescent="0.25">
      <c r="A2505" t="s">
        <v>2509</v>
      </c>
      <c r="B2505">
        <v>0.99673306730245903</v>
      </c>
      <c r="C2505">
        <v>1.0047223405590799</v>
      </c>
      <c r="D2505">
        <v>0.89455714354245097</v>
      </c>
      <c r="E2505">
        <v>0.63686430697701002</v>
      </c>
      <c r="F2505">
        <v>0.33533157255950002</v>
      </c>
      <c r="G2505">
        <v>0.21357685273421001</v>
      </c>
      <c r="H2505">
        <v>0.13948126940728001</v>
      </c>
      <c r="I2505">
        <v>0.16417686354055699</v>
      </c>
      <c r="J2505">
        <v>0.148767427018131</v>
      </c>
      <c r="K2505">
        <v>0.179542419090365</v>
      </c>
      <c r="L2505">
        <v>1152.8180000990901</v>
      </c>
      <c r="M2505">
        <v>22.971383020672</v>
      </c>
      <c r="N2505">
        <v>50.9989620844622</v>
      </c>
      <c r="O2505">
        <v>49.809282642440103</v>
      </c>
      <c r="P2505">
        <v>-9.7603557213479505E-2</v>
      </c>
      <c r="Q2505">
        <v>0.153473381224698</v>
      </c>
      <c r="R2505">
        <v>0.99824162836090102</v>
      </c>
      <c r="S2505" t="s">
        <v>8957</v>
      </c>
      <c r="T2505" t="s">
        <v>12902</v>
      </c>
      <c r="U2505" t="s">
        <v>12902</v>
      </c>
      <c r="V2505" t="s">
        <v>12902</v>
      </c>
      <c r="W2505" t="s">
        <v>15368</v>
      </c>
      <c r="X2505">
        <v>5</v>
      </c>
      <c r="Y2505" t="s">
        <v>21716</v>
      </c>
      <c r="Z2505" t="s">
        <v>28080</v>
      </c>
      <c r="AA2505">
        <v>0.44984211983940531</v>
      </c>
      <c r="AB2505" t="str">
        <f>HYPERLINK("Melting_Curves/meltCurve_P42685_FRK.pdf", "Melting_Curves/meltCurve_P42685_FRK.pdf")</f>
        <v>Melting_Curves/meltCurve_P42685_FRK.pdf</v>
      </c>
    </row>
    <row r="2506" spans="1:28" x14ac:dyDescent="0.25">
      <c r="A2506" t="s">
        <v>2510</v>
      </c>
      <c r="B2506">
        <v>0.99673306730245903</v>
      </c>
      <c r="C2506">
        <v>0.72330929246044995</v>
      </c>
      <c r="D2506">
        <v>0.75698570712567803</v>
      </c>
      <c r="E2506">
        <v>0.35399057036255799</v>
      </c>
      <c r="F2506">
        <v>0.32919335418127399</v>
      </c>
      <c r="G2506">
        <v>4.88925962465964E-2</v>
      </c>
      <c r="H2506">
        <v>5.0552176702717097E-2</v>
      </c>
      <c r="I2506">
        <v>0</v>
      </c>
      <c r="J2506">
        <v>0</v>
      </c>
      <c r="K2506">
        <v>0</v>
      </c>
      <c r="L2506">
        <v>653.01716787742203</v>
      </c>
      <c r="M2506">
        <v>13.503557032997399</v>
      </c>
      <c r="N2506">
        <v>48.358903548857597</v>
      </c>
      <c r="O2506">
        <v>47.335326286069503</v>
      </c>
      <c r="P2506">
        <v>-7.1329498922662701E-2</v>
      </c>
      <c r="Q2506">
        <v>0</v>
      </c>
      <c r="R2506">
        <v>0.96217137119838902</v>
      </c>
      <c r="S2506" t="s">
        <v>8958</v>
      </c>
      <c r="T2506" t="s">
        <v>12902</v>
      </c>
      <c r="U2506" t="s">
        <v>12902</v>
      </c>
      <c r="V2506" t="s">
        <v>12902</v>
      </c>
      <c r="W2506" t="s">
        <v>15369</v>
      </c>
      <c r="X2506">
        <v>1</v>
      </c>
      <c r="Y2506" t="s">
        <v>21717</v>
      </c>
      <c r="Z2506" t="s">
        <v>28081</v>
      </c>
      <c r="AA2506">
        <v>0.30955389327460142</v>
      </c>
      <c r="AB2506" t="str">
        <f>HYPERLINK("Melting_Curves/meltCurve_P42695_NCAPD3.pdf", "Melting_Curves/meltCurve_P42695_NCAPD3.pdf")</f>
        <v>Melting_Curves/meltCurve_P42695_NCAPD3.pdf</v>
      </c>
    </row>
    <row r="2507" spans="1:28" x14ac:dyDescent="0.25">
      <c r="A2507" t="s">
        <v>2511</v>
      </c>
      <c r="B2507">
        <v>0.99673306730245903</v>
      </c>
      <c r="C2507">
        <v>0.85143909121220795</v>
      </c>
      <c r="D2507">
        <v>0.35964430053558599</v>
      </c>
      <c r="E2507">
        <v>0.14806846443007299</v>
      </c>
      <c r="F2507">
        <v>0.100742598283765</v>
      </c>
      <c r="G2507">
        <v>6.3882871485129694E-2</v>
      </c>
      <c r="H2507">
        <v>4.0821750811355098E-2</v>
      </c>
      <c r="I2507">
        <v>3.6273595936959502E-2</v>
      </c>
      <c r="J2507">
        <v>3.6836240630315799E-2</v>
      </c>
      <c r="K2507">
        <v>3.2070425651700901E-2</v>
      </c>
      <c r="L2507">
        <v>1400.87989120153</v>
      </c>
      <c r="M2507">
        <v>31.091912891522298</v>
      </c>
      <c r="N2507">
        <v>45.224635697021498</v>
      </c>
      <c r="O2507">
        <v>44.870947653594797</v>
      </c>
      <c r="P2507">
        <v>-0.163753727231878</v>
      </c>
      <c r="Q2507">
        <v>5.4707178195333599E-2</v>
      </c>
      <c r="R2507">
        <v>0.99529512655316699</v>
      </c>
      <c r="S2507" t="s">
        <v>8959</v>
      </c>
      <c r="T2507" t="s">
        <v>12902</v>
      </c>
      <c r="U2507" t="s">
        <v>12902</v>
      </c>
      <c r="V2507" t="s">
        <v>12902</v>
      </c>
      <c r="W2507" t="s">
        <v>15370</v>
      </c>
      <c r="X2507">
        <v>77</v>
      </c>
      <c r="Y2507" t="s">
        <v>21718</v>
      </c>
      <c r="Z2507" t="s">
        <v>28082</v>
      </c>
      <c r="AA2507">
        <v>0.21958722710904799</v>
      </c>
      <c r="AB2507" t="str">
        <f>HYPERLINK("Melting_Curves/meltCurve_P42704_LRPPRC.pdf", "Melting_Curves/meltCurve_P42704_LRPPRC.pdf")</f>
        <v>Melting_Curves/meltCurve_P42704_LRPPRC.pdf</v>
      </c>
    </row>
    <row r="2508" spans="1:28" x14ac:dyDescent="0.25">
      <c r="A2508" t="s">
        <v>2512</v>
      </c>
      <c r="B2508">
        <v>0.99673306730245903</v>
      </c>
      <c r="C2508">
        <v>0.98035492688322901</v>
      </c>
      <c r="D2508">
        <v>1.04050894717222</v>
      </c>
      <c r="E2508">
        <v>1.0691573817903499</v>
      </c>
      <c r="F2508">
        <v>0.96298439260358903</v>
      </c>
      <c r="G2508">
        <v>0.86211703613049395</v>
      </c>
      <c r="H2508">
        <v>0.73895659337349895</v>
      </c>
      <c r="I2508">
        <v>0.87281977878830597</v>
      </c>
      <c r="J2508">
        <v>0.74074338882608504</v>
      </c>
      <c r="K2508">
        <v>0.14815853521133901</v>
      </c>
      <c r="L2508">
        <v>4052.3994500546501</v>
      </c>
      <c r="M2508">
        <v>59.478142181134302</v>
      </c>
      <c r="N2508">
        <v>68.132571336512598</v>
      </c>
      <c r="O2508">
        <v>68.0556862393926</v>
      </c>
      <c r="P2508">
        <v>-0.21849079387449699</v>
      </c>
      <c r="Q2508">
        <v>0</v>
      </c>
      <c r="R2508">
        <v>0.835377624353139</v>
      </c>
      <c r="S2508" t="s">
        <v>8960</v>
      </c>
      <c r="T2508" t="s">
        <v>12902</v>
      </c>
      <c r="U2508" t="s">
        <v>12902</v>
      </c>
      <c r="V2508" t="s">
        <v>12902</v>
      </c>
      <c r="W2508" t="s">
        <v>15371</v>
      </c>
      <c r="X2508">
        <v>25</v>
      </c>
      <c r="Y2508" t="s">
        <v>21719</v>
      </c>
      <c r="Z2508" t="s">
        <v>28083</v>
      </c>
      <c r="AA2508">
        <v>0.93208350009160468</v>
      </c>
      <c r="AB2508" t="str">
        <f>HYPERLINK("Melting_Curves/meltCurve_P42765_ACAA2.pdf", "Melting_Curves/meltCurve_P42765_ACAA2.pdf")</f>
        <v>Melting_Curves/meltCurve_P42765_ACAA2.pdf</v>
      </c>
    </row>
    <row r="2509" spans="1:28" x14ac:dyDescent="0.25">
      <c r="A2509" t="s">
        <v>2513</v>
      </c>
      <c r="B2509">
        <v>0.99673306730245903</v>
      </c>
      <c r="C2509">
        <v>0.96914614678145705</v>
      </c>
      <c r="D2509">
        <v>0.89578322337496696</v>
      </c>
      <c r="E2509">
        <v>0.81373939107193904</v>
      </c>
      <c r="F2509">
        <v>0.466998189758974</v>
      </c>
      <c r="G2509">
        <v>0.24314679952225501</v>
      </c>
      <c r="H2509">
        <v>7.4928815857269807E-2</v>
      </c>
      <c r="I2509">
        <v>6.7296671277991493E-2</v>
      </c>
      <c r="J2509">
        <v>7.2376203955552304E-2</v>
      </c>
      <c r="K2509">
        <v>5.50428263269764E-2</v>
      </c>
      <c r="L2509">
        <v>1028.3356601345799</v>
      </c>
      <c r="M2509">
        <v>19.504816495357201</v>
      </c>
      <c r="N2509">
        <v>52.950090376757601</v>
      </c>
      <c r="O2509">
        <v>52.177330692744498</v>
      </c>
      <c r="P2509">
        <v>-8.9694299626267904E-2</v>
      </c>
      <c r="Q2509">
        <v>4.0269685466294301E-2</v>
      </c>
      <c r="R2509">
        <v>0.99622837031243705</v>
      </c>
      <c r="S2509" t="s">
        <v>8961</v>
      </c>
      <c r="T2509" t="s">
        <v>12902</v>
      </c>
      <c r="U2509" t="s">
        <v>12902</v>
      </c>
      <c r="V2509" t="s">
        <v>12902</v>
      </c>
      <c r="W2509" t="s">
        <v>15372</v>
      </c>
      <c r="X2509">
        <v>3</v>
      </c>
      <c r="Y2509" t="s">
        <v>21720</v>
      </c>
      <c r="Z2509" t="s">
        <v>28084</v>
      </c>
      <c r="AA2509">
        <v>0.46107537057980458</v>
      </c>
      <c r="AB2509" t="str">
        <f>HYPERLINK("Melting_Curves/meltCurve_P42766_RPL35.pdf", "Melting_Curves/meltCurve_P42766_RPL35.pdf")</f>
        <v>Melting_Curves/meltCurve_P42766_RPL35.pdf</v>
      </c>
    </row>
    <row r="2510" spans="1:28" x14ac:dyDescent="0.25">
      <c r="A2510" t="s">
        <v>2514</v>
      </c>
      <c r="B2510">
        <v>0.99673306730245903</v>
      </c>
      <c r="C2510">
        <v>1.0627003831627799</v>
      </c>
      <c r="D2510">
        <v>0.898278928633372</v>
      </c>
      <c r="E2510">
        <v>0.78663900517013596</v>
      </c>
      <c r="F2510">
        <v>0.49598359174702</v>
      </c>
      <c r="G2510">
        <v>0.32128347739393998</v>
      </c>
      <c r="H2510">
        <v>0.131385745612353</v>
      </c>
      <c r="I2510">
        <v>0.123870514639998</v>
      </c>
      <c r="J2510">
        <v>0.13871644796427701</v>
      </c>
      <c r="K2510">
        <v>0.16367900492642301</v>
      </c>
      <c r="L2510">
        <v>995.80340136684197</v>
      </c>
      <c r="M2510">
        <v>18.978267933033099</v>
      </c>
      <c r="N2510">
        <v>53.231862565650502</v>
      </c>
      <c r="O2510">
        <v>51.898556774677203</v>
      </c>
      <c r="P2510">
        <v>-8.0559910848751595E-2</v>
      </c>
      <c r="Q2510">
        <v>0.118828818314462</v>
      </c>
      <c r="R2510">
        <v>0.99023485680246404</v>
      </c>
      <c r="S2510" t="s">
        <v>8962</v>
      </c>
      <c r="T2510" t="s">
        <v>12902</v>
      </c>
      <c r="U2510" t="s">
        <v>12902</v>
      </c>
      <c r="V2510" t="s">
        <v>12902</v>
      </c>
      <c r="W2510" t="s">
        <v>15373</v>
      </c>
      <c r="X2510">
        <v>3</v>
      </c>
      <c r="Y2510" t="s">
        <v>21721</v>
      </c>
      <c r="Z2510" t="s">
        <v>28085</v>
      </c>
      <c r="AA2510">
        <v>0.49844460159744591</v>
      </c>
      <c r="AB2510" t="str">
        <f>HYPERLINK("Melting_Curves/meltCurve_P42772_CDKN2B.pdf", "Melting_Curves/meltCurve_P42772_CDKN2B.pdf")</f>
        <v>Melting_Curves/meltCurve_P42772_CDKN2B.pdf</v>
      </c>
    </row>
    <row r="2511" spans="1:28" x14ac:dyDescent="0.25">
      <c r="A2511" t="s">
        <v>2515</v>
      </c>
      <c r="B2511">
        <v>0.99673306730245903</v>
      </c>
      <c r="C2511">
        <v>0.96071034597634197</v>
      </c>
      <c r="D2511">
        <v>0.98781931144714497</v>
      </c>
      <c r="E2511">
        <v>1.0426908275889499</v>
      </c>
      <c r="F2511">
        <v>1.0043552395523001</v>
      </c>
      <c r="G2511">
        <v>0.83371677881322204</v>
      </c>
      <c r="H2511">
        <v>0.60893539829707899</v>
      </c>
      <c r="I2511">
        <v>0.19818057094684</v>
      </c>
      <c r="J2511">
        <v>0.12716766786261099</v>
      </c>
      <c r="K2511">
        <v>0.10093240324142</v>
      </c>
      <c r="L2511">
        <v>1727.14798769306</v>
      </c>
      <c r="M2511">
        <v>28.3090814831688</v>
      </c>
      <c r="N2511">
        <v>61.267915795965202</v>
      </c>
      <c r="O2511">
        <v>60.708362399966298</v>
      </c>
      <c r="P2511">
        <v>-0.110039852765345</v>
      </c>
      <c r="Q2511">
        <v>5.6092847427944299E-2</v>
      </c>
      <c r="R2511">
        <v>0.98940086604137101</v>
      </c>
      <c r="S2511" t="s">
        <v>8963</v>
      </c>
      <c r="T2511" t="s">
        <v>12902</v>
      </c>
      <c r="U2511" t="s">
        <v>12902</v>
      </c>
      <c r="V2511" t="s">
        <v>12902</v>
      </c>
      <c r="W2511" t="s">
        <v>15374</v>
      </c>
      <c r="X2511">
        <v>10</v>
      </c>
      <c r="Y2511" t="s">
        <v>21722</v>
      </c>
      <c r="Z2511" t="s">
        <v>28086</v>
      </c>
      <c r="AA2511">
        <v>0.72263563705095268</v>
      </c>
      <c r="AB2511" t="str">
        <f>HYPERLINK("Melting_Curves/meltCurve_P42785_PRCP.pdf", "Melting_Curves/meltCurve_P42785_PRCP.pdf")</f>
        <v>Melting_Curves/meltCurve_P42785_PRCP.pdf</v>
      </c>
    </row>
    <row r="2512" spans="1:28" x14ac:dyDescent="0.25">
      <c r="A2512" t="s">
        <v>2516</v>
      </c>
      <c r="B2512">
        <v>0.99673306730245903</v>
      </c>
      <c r="C2512">
        <v>1.0108708176757799</v>
      </c>
      <c r="D2512">
        <v>1.06772327437034</v>
      </c>
      <c r="E2512">
        <v>0.93303053700861505</v>
      </c>
      <c r="F2512">
        <v>0.26201521759153601</v>
      </c>
      <c r="G2512">
        <v>0.170180846946831</v>
      </c>
      <c r="H2512">
        <v>8.7501888684317006E-2</v>
      </c>
      <c r="I2512">
        <v>7.2590773771238598E-2</v>
      </c>
      <c r="J2512">
        <v>7.4164599917346904E-2</v>
      </c>
      <c r="K2512">
        <v>6.3269896409811205E-2</v>
      </c>
      <c r="L2512">
        <v>2836.9306890162002</v>
      </c>
      <c r="M2512">
        <v>54.741877578839599</v>
      </c>
      <c r="N2512">
        <v>52.014492666768497</v>
      </c>
      <c r="O2512">
        <v>51.754752501967701</v>
      </c>
      <c r="P2512">
        <v>-0.24038513367332101</v>
      </c>
      <c r="Q2512">
        <v>9.09288280633508E-2</v>
      </c>
      <c r="R2512">
        <v>0.99397418299666696</v>
      </c>
      <c r="S2512" t="s">
        <v>8964</v>
      </c>
      <c r="T2512" t="s">
        <v>12902</v>
      </c>
      <c r="U2512" t="s">
        <v>12902</v>
      </c>
      <c r="V2512" t="s">
        <v>12902</v>
      </c>
      <c r="W2512" t="s">
        <v>15375</v>
      </c>
      <c r="X2512">
        <v>19</v>
      </c>
      <c r="Y2512" t="s">
        <v>21723</v>
      </c>
      <c r="Z2512" t="s">
        <v>28087</v>
      </c>
      <c r="AA2512">
        <v>0.45094925753344411</v>
      </c>
      <c r="AB2512" t="str">
        <f>HYPERLINK("Melting_Curves/meltCurve_P42858_HTT.pdf", "Melting_Curves/meltCurve_P42858_HTT.pdf")</f>
        <v>Melting_Curves/meltCurve_P42858_HTT.pdf</v>
      </c>
    </row>
    <row r="2513" spans="1:28" x14ac:dyDescent="0.25">
      <c r="A2513" t="s">
        <v>2517</v>
      </c>
      <c r="B2513">
        <v>0.99673306730245903</v>
      </c>
      <c r="C2513">
        <v>0.933019165590109</v>
      </c>
      <c r="D2513">
        <v>0.93743109180699302</v>
      </c>
      <c r="E2513">
        <v>0.88064105859645903</v>
      </c>
      <c r="F2513">
        <v>0.77162074704582195</v>
      </c>
      <c r="G2513">
        <v>0.591003722760439</v>
      </c>
      <c r="H2513">
        <v>0.48616482687257601</v>
      </c>
      <c r="I2513">
        <v>0.37471658558204501</v>
      </c>
      <c r="J2513">
        <v>0.27411008835963502</v>
      </c>
      <c r="K2513">
        <v>0.181033558150167</v>
      </c>
      <c r="L2513">
        <v>548.86714488093901</v>
      </c>
      <c r="M2513">
        <v>9.1660206598794893</v>
      </c>
      <c r="N2513">
        <v>59.880631942485699</v>
      </c>
      <c r="O2513">
        <v>57.237113016636002</v>
      </c>
      <c r="P2513">
        <v>-4.00624455494367E-2</v>
      </c>
      <c r="Q2513">
        <v>0</v>
      </c>
      <c r="R2513">
        <v>0.99442530423870201</v>
      </c>
      <c r="S2513" t="s">
        <v>8965</v>
      </c>
      <c r="T2513" t="s">
        <v>12902</v>
      </c>
      <c r="U2513" t="s">
        <v>12902</v>
      </c>
      <c r="V2513" t="s">
        <v>12902</v>
      </c>
      <c r="W2513" t="s">
        <v>15376</v>
      </c>
      <c r="X2513">
        <v>12</v>
      </c>
      <c r="Y2513" t="s">
        <v>21724</v>
      </c>
      <c r="Z2513" t="s">
        <v>28088</v>
      </c>
      <c r="AA2513">
        <v>0.65579983969343014</v>
      </c>
      <c r="AB2513" t="str">
        <f>HYPERLINK("Melting_Curves/meltCurve_P42892_3_ECE1.pdf", "Melting_Curves/meltCurve_P42892_3_ECE1.pdf")</f>
        <v>Melting_Curves/meltCurve_P42892_3_ECE1.pdf</v>
      </c>
    </row>
    <row r="2514" spans="1:28" x14ac:dyDescent="0.25">
      <c r="A2514" t="s">
        <v>2518</v>
      </c>
      <c r="B2514">
        <v>0.99673306730245903</v>
      </c>
      <c r="C2514">
        <v>0.95458145913038295</v>
      </c>
      <c r="D2514">
        <v>0.95633535563763095</v>
      </c>
      <c r="E2514">
        <v>0.89092817238453403</v>
      </c>
      <c r="F2514">
        <v>0.31321678224610899</v>
      </c>
      <c r="G2514">
        <v>0.113047595265237</v>
      </c>
      <c r="H2514">
        <v>8.0221294413963404E-2</v>
      </c>
      <c r="I2514">
        <v>7.2615514240631396E-2</v>
      </c>
      <c r="J2514">
        <v>5.7433704589378597E-2</v>
      </c>
      <c r="K2514">
        <v>6.0377591762123303E-2</v>
      </c>
      <c r="L2514">
        <v>2160.2642985228799</v>
      </c>
      <c r="M2514">
        <v>41.614031680205798</v>
      </c>
      <c r="N2514">
        <v>52.1019097999081</v>
      </c>
      <c r="O2514">
        <v>51.792472252480103</v>
      </c>
      <c r="P2514">
        <v>-0.186728958655069</v>
      </c>
      <c r="Q2514">
        <v>7.0396509098766297E-2</v>
      </c>
      <c r="R2514">
        <v>0.99748228189313104</v>
      </c>
      <c r="S2514" t="s">
        <v>8966</v>
      </c>
      <c r="T2514" t="s">
        <v>12902</v>
      </c>
      <c r="U2514" t="s">
        <v>12902</v>
      </c>
      <c r="V2514" t="s">
        <v>12902</v>
      </c>
      <c r="W2514" t="s">
        <v>15377</v>
      </c>
      <c r="X2514">
        <v>6</v>
      </c>
      <c r="Y2514" t="s">
        <v>21725</v>
      </c>
      <c r="Z2514" t="s">
        <v>28089</v>
      </c>
      <c r="AA2514">
        <v>0.44258784333957257</v>
      </c>
      <c r="AB2514" t="str">
        <f>HYPERLINK("Melting_Curves/meltCurve_P42898_MTHFR.pdf", "Melting_Curves/meltCurve_P42898_MTHFR.pdf")</f>
        <v>Melting_Curves/meltCurve_P42898_MTHFR.pdf</v>
      </c>
    </row>
    <row r="2515" spans="1:28" x14ac:dyDescent="0.25">
      <c r="A2515" t="s">
        <v>2519</v>
      </c>
      <c r="B2515">
        <v>0.99673306730245903</v>
      </c>
      <c r="C2515">
        <v>1.04329769516271</v>
      </c>
      <c r="D2515">
        <v>1.2150733759802701</v>
      </c>
      <c r="E2515">
        <v>0.83868737790062997</v>
      </c>
      <c r="F2515">
        <v>1.0698965547581201</v>
      </c>
      <c r="G2515">
        <v>0.62055197073228996</v>
      </c>
      <c r="H2515">
        <v>1.02332057622379</v>
      </c>
      <c r="I2515">
        <v>1.5945346213323599</v>
      </c>
      <c r="J2515">
        <v>1.95356887692402</v>
      </c>
      <c r="K2515">
        <v>1.7838518888663399</v>
      </c>
      <c r="L2515">
        <v>15000</v>
      </c>
      <c r="M2515">
        <v>243.70144003782701</v>
      </c>
      <c r="O2515">
        <v>61.5465779179845</v>
      </c>
      <c r="P2515">
        <v>0.49495326488823599</v>
      </c>
      <c r="Q2515">
        <v>1.5</v>
      </c>
      <c r="R2515">
        <v>0.68455946543623702</v>
      </c>
      <c r="S2515" t="s">
        <v>8967</v>
      </c>
      <c r="T2515" t="s">
        <v>12902</v>
      </c>
      <c r="U2515" t="s">
        <v>12902</v>
      </c>
      <c r="V2515" t="s">
        <v>12902</v>
      </c>
      <c r="W2515" t="s">
        <v>15378</v>
      </c>
      <c r="X2515">
        <v>1</v>
      </c>
      <c r="Y2515" t="s">
        <v>21726</v>
      </c>
      <c r="Z2515" t="s">
        <v>28090</v>
      </c>
      <c r="AA2515">
        <v>1.1407644328875439</v>
      </c>
      <c r="AB2515" t="str">
        <f>HYPERLINK("Melting_Curves/meltCurve_P43003_2_SLC1A3.pdf", "Melting_Curves/meltCurve_P43003_2_SLC1A3.pdf")</f>
        <v>Melting_Curves/meltCurve_P43003_2_SLC1A3.pdf</v>
      </c>
    </row>
    <row r="2516" spans="1:28" x14ac:dyDescent="0.25">
      <c r="A2516" t="s">
        <v>2520</v>
      </c>
      <c r="B2516">
        <v>0.99673306730245903</v>
      </c>
      <c r="C2516">
        <v>0.96227968436599198</v>
      </c>
      <c r="D2516">
        <v>0.93293888444730599</v>
      </c>
      <c r="E2516">
        <v>0.82432417547465497</v>
      </c>
      <c r="F2516">
        <v>0.66709366775370804</v>
      </c>
      <c r="G2516">
        <v>0.55000846529089398</v>
      </c>
      <c r="H2516">
        <v>0.44593577928849798</v>
      </c>
      <c r="I2516">
        <v>0.69523199211810705</v>
      </c>
      <c r="J2516">
        <v>0.57747780773762403</v>
      </c>
      <c r="K2516">
        <v>0.63244367148418301</v>
      </c>
      <c r="L2516">
        <v>1292.8398064937401</v>
      </c>
      <c r="M2516">
        <v>25.865900367978799</v>
      </c>
      <c r="O2516">
        <v>49.686502005830803</v>
      </c>
      <c r="P2516">
        <v>-5.4782899483639902E-2</v>
      </c>
      <c r="Q2516">
        <v>0.57906905525969898</v>
      </c>
      <c r="R2516">
        <v>0.87978498171150199</v>
      </c>
      <c r="S2516" t="s">
        <v>8968</v>
      </c>
      <c r="T2516" t="s">
        <v>12902</v>
      </c>
      <c r="U2516" t="s">
        <v>12902</v>
      </c>
      <c r="V2516" t="s">
        <v>12902</v>
      </c>
      <c r="W2516" t="s">
        <v>15379</v>
      </c>
      <c r="X2516">
        <v>3</v>
      </c>
      <c r="Y2516" t="s">
        <v>21727</v>
      </c>
      <c r="Z2516" t="s">
        <v>28091</v>
      </c>
      <c r="AA2516">
        <v>0.72264466337676736</v>
      </c>
      <c r="AB2516" t="str">
        <f>HYPERLINK("Melting_Curves/meltCurve_P43007_SLC1A4.pdf", "Melting_Curves/meltCurve_P43007_SLC1A4.pdf")</f>
        <v>Melting_Curves/meltCurve_P43007_SLC1A4.pdf</v>
      </c>
    </row>
    <row r="2517" spans="1:28" x14ac:dyDescent="0.25">
      <c r="A2517" t="s">
        <v>2521</v>
      </c>
      <c r="B2517">
        <v>0.99673306730245903</v>
      </c>
      <c r="C2517">
        <v>0.96084249783989295</v>
      </c>
      <c r="D2517">
        <v>0.99552847761900398</v>
      </c>
      <c r="E2517">
        <v>1.0749427662244899</v>
      </c>
      <c r="F2517">
        <v>0.70547994635346301</v>
      </c>
      <c r="G2517">
        <v>0.77036461324860395</v>
      </c>
      <c r="H2517">
        <v>0.61083215056145101</v>
      </c>
      <c r="I2517">
        <v>0.55617606521838303</v>
      </c>
      <c r="J2517">
        <v>0.28623309453301599</v>
      </c>
      <c r="K2517">
        <v>0.119944476630619</v>
      </c>
      <c r="L2517">
        <v>732.36152270478897</v>
      </c>
      <c r="M2517">
        <v>11.7040529327139</v>
      </c>
      <c r="N2517">
        <v>62.5733262799477</v>
      </c>
      <c r="O2517">
        <v>60.830380401099198</v>
      </c>
      <c r="P2517">
        <v>-4.8113951901646197E-2</v>
      </c>
      <c r="Q2517">
        <v>0</v>
      </c>
      <c r="R2517">
        <v>0.91833396358643105</v>
      </c>
      <c r="S2517" t="s">
        <v>8969</v>
      </c>
      <c r="T2517" t="s">
        <v>12902</v>
      </c>
      <c r="U2517" t="s">
        <v>12902</v>
      </c>
      <c r="V2517" t="s">
        <v>12902</v>
      </c>
      <c r="W2517" t="s">
        <v>15380</v>
      </c>
      <c r="X2517">
        <v>31</v>
      </c>
      <c r="Y2517" t="s">
        <v>21728</v>
      </c>
      <c r="Z2517" t="s">
        <v>28092</v>
      </c>
      <c r="AA2517">
        <v>0.73511029608387068</v>
      </c>
      <c r="AB2517" t="str">
        <f>HYPERLINK("Melting_Curves/meltCurve_P43034_PAFAH1B1.pdf", "Melting_Curves/meltCurve_P43034_PAFAH1B1.pdf")</f>
        <v>Melting_Curves/meltCurve_P43034_PAFAH1B1.pdf</v>
      </c>
    </row>
    <row r="2518" spans="1:28" x14ac:dyDescent="0.25">
      <c r="A2518" t="s">
        <v>2522</v>
      </c>
      <c r="B2518">
        <v>0.99673306730245903</v>
      </c>
      <c r="C2518">
        <v>0.97852734817901899</v>
      </c>
      <c r="D2518">
        <v>0.86472020628731805</v>
      </c>
      <c r="E2518">
        <v>0.77906757530094295</v>
      </c>
      <c r="F2518">
        <v>0.709580154221918</v>
      </c>
      <c r="G2518">
        <v>0.58358642068210798</v>
      </c>
      <c r="H2518">
        <v>0.42368263568005399</v>
      </c>
      <c r="I2518">
        <v>0.46281192369718799</v>
      </c>
      <c r="J2518">
        <v>0.376035955982985</v>
      </c>
      <c r="K2518">
        <v>0.31426660664339601</v>
      </c>
      <c r="L2518">
        <v>487.13001195547997</v>
      </c>
      <c r="M2518">
        <v>8.7755098859472191</v>
      </c>
      <c r="N2518">
        <v>59.660742792918001</v>
      </c>
      <c r="O2518">
        <v>52.853970279679999</v>
      </c>
      <c r="P2518">
        <v>-3.2050760609822801E-2</v>
      </c>
      <c r="Q2518">
        <v>0.228462893452753</v>
      </c>
      <c r="R2518">
        <v>0.98443214350668296</v>
      </c>
      <c r="S2518" t="s">
        <v>8970</v>
      </c>
      <c r="T2518" t="s">
        <v>12902</v>
      </c>
      <c r="U2518" t="s">
        <v>12902</v>
      </c>
      <c r="V2518" t="s">
        <v>12902</v>
      </c>
      <c r="W2518" t="s">
        <v>15381</v>
      </c>
      <c r="X2518">
        <v>4</v>
      </c>
      <c r="Y2518" t="s">
        <v>21729</v>
      </c>
      <c r="Z2518" t="s">
        <v>28093</v>
      </c>
      <c r="AA2518">
        <v>0.64567267504652504</v>
      </c>
      <c r="AB2518" t="str">
        <f>HYPERLINK("Melting_Curves/meltCurve_P43121_MCAM.pdf", "Melting_Curves/meltCurve_P43121_MCAM.pdf")</f>
        <v>Melting_Curves/meltCurve_P43121_MCAM.pdf</v>
      </c>
    </row>
    <row r="2519" spans="1:28" x14ac:dyDescent="0.25">
      <c r="A2519" t="s">
        <v>2523</v>
      </c>
      <c r="B2519">
        <v>0.99673306730245903</v>
      </c>
      <c r="C2519">
        <v>0.97790271575925602</v>
      </c>
      <c r="D2519">
        <v>0.78076728486612801</v>
      </c>
      <c r="E2519">
        <v>0.32094468978455298</v>
      </c>
      <c r="F2519">
        <v>0.213543652514425</v>
      </c>
      <c r="G2519">
        <v>0.133565021459852</v>
      </c>
      <c r="H2519">
        <v>7.7530969574400199E-2</v>
      </c>
      <c r="I2519">
        <v>5.4867606223979799E-2</v>
      </c>
      <c r="J2519">
        <v>6.0676247603814903E-2</v>
      </c>
      <c r="K2519">
        <v>5.2675313753184801E-2</v>
      </c>
      <c r="L2519">
        <v>1191.9890115489</v>
      </c>
      <c r="M2519">
        <v>24.8293300149485</v>
      </c>
      <c r="N2519">
        <v>48.331370638167797</v>
      </c>
      <c r="O2519">
        <v>47.699137488509798</v>
      </c>
      <c r="P2519">
        <v>-0.120157077870578</v>
      </c>
      <c r="Q2519">
        <v>7.6687142998445798E-2</v>
      </c>
      <c r="R2519">
        <v>0.99337239924256904</v>
      </c>
      <c r="S2519" t="s">
        <v>8971</v>
      </c>
      <c r="T2519" t="s">
        <v>12902</v>
      </c>
      <c r="U2519" t="s">
        <v>12902</v>
      </c>
      <c r="V2519" t="s">
        <v>12902</v>
      </c>
      <c r="W2519" t="s">
        <v>15382</v>
      </c>
      <c r="X2519">
        <v>16</v>
      </c>
      <c r="Y2519" t="s">
        <v>21730</v>
      </c>
      <c r="Z2519" t="s">
        <v>28094</v>
      </c>
      <c r="AA2519">
        <v>0.33140871434611879</v>
      </c>
      <c r="AB2519" t="str">
        <f>HYPERLINK("Melting_Curves/meltCurve_P43155_2_CRAT.pdf", "Melting_Curves/meltCurve_P43155_2_CRAT.pdf")</f>
        <v>Melting_Curves/meltCurve_P43155_2_CRAT.pdf</v>
      </c>
    </row>
    <row r="2520" spans="1:28" x14ac:dyDescent="0.25">
      <c r="A2520" t="s">
        <v>2524</v>
      </c>
      <c r="B2520">
        <v>0.99673306730245903</v>
      </c>
      <c r="C2520">
        <v>0.83710291951284799</v>
      </c>
      <c r="D2520">
        <v>0.73534597480876696</v>
      </c>
      <c r="E2520">
        <v>0.57428656616737495</v>
      </c>
      <c r="F2520">
        <v>0.150277921229898</v>
      </c>
      <c r="G2520">
        <v>0.101498006895776</v>
      </c>
      <c r="H2520">
        <v>6.1492698149177002E-2</v>
      </c>
      <c r="I2520">
        <v>6.2011587183271398E-2</v>
      </c>
      <c r="J2520">
        <v>6.5037937005996999E-2</v>
      </c>
      <c r="K2520">
        <v>5.4598245592958901E-2</v>
      </c>
      <c r="L2520">
        <v>807.27471002246</v>
      </c>
      <c r="M2520">
        <v>16.467028761426398</v>
      </c>
      <c r="N2520">
        <v>49.2134955601543</v>
      </c>
      <c r="O2520">
        <v>48.317828386814597</v>
      </c>
      <c r="P2520">
        <v>-8.2586120637462901E-2</v>
      </c>
      <c r="Q2520">
        <v>3.0765603032666702E-2</v>
      </c>
      <c r="R2520">
        <v>0.97873546351369101</v>
      </c>
      <c r="S2520" t="s">
        <v>8972</v>
      </c>
      <c r="T2520" t="s">
        <v>12902</v>
      </c>
      <c r="U2520" t="s">
        <v>12902</v>
      </c>
      <c r="V2520" t="s">
        <v>12902</v>
      </c>
      <c r="W2520" t="s">
        <v>15383</v>
      </c>
      <c r="X2520">
        <v>41</v>
      </c>
      <c r="Y2520" t="s">
        <v>21731</v>
      </c>
      <c r="Z2520" t="s">
        <v>28095</v>
      </c>
      <c r="AA2520">
        <v>0.34229617625752379</v>
      </c>
      <c r="AB2520" t="str">
        <f>HYPERLINK("Melting_Curves/meltCurve_P43246_MSH2.pdf", "Melting_Curves/meltCurve_P43246_MSH2.pdf")</f>
        <v>Melting_Curves/meltCurve_P43246_MSH2.pdf</v>
      </c>
    </row>
    <row r="2521" spans="1:28" x14ac:dyDescent="0.25">
      <c r="A2521" t="s">
        <v>2525</v>
      </c>
      <c r="B2521">
        <v>0.99673306730245903</v>
      </c>
      <c r="C2521">
        <v>0.99407200011876296</v>
      </c>
      <c r="D2521">
        <v>0.96481930631575596</v>
      </c>
      <c r="E2521">
        <v>0.97723393540561898</v>
      </c>
      <c r="F2521">
        <v>0.88834894008892096</v>
      </c>
      <c r="G2521">
        <v>0.83093074987084903</v>
      </c>
      <c r="H2521">
        <v>0.67839935483029901</v>
      </c>
      <c r="I2521">
        <v>0.43843736910984099</v>
      </c>
      <c r="J2521">
        <v>0.26979874632414702</v>
      </c>
      <c r="K2521">
        <v>0.131274861272586</v>
      </c>
      <c r="L2521">
        <v>1002.23561314041</v>
      </c>
      <c r="M2521">
        <v>15.9239386941693</v>
      </c>
      <c r="N2521">
        <v>62.938927035688401</v>
      </c>
      <c r="O2521">
        <v>61.971442275153201</v>
      </c>
      <c r="P2521">
        <v>-6.4244169795027603E-2</v>
      </c>
      <c r="Q2521">
        <v>0</v>
      </c>
      <c r="R2521">
        <v>0.99140239001388997</v>
      </c>
      <c r="S2521" t="s">
        <v>8973</v>
      </c>
      <c r="T2521" t="s">
        <v>12902</v>
      </c>
      <c r="U2521" t="s">
        <v>12902</v>
      </c>
      <c r="V2521" t="s">
        <v>12902</v>
      </c>
      <c r="W2521" t="s">
        <v>15384</v>
      </c>
      <c r="X2521">
        <v>59</v>
      </c>
      <c r="Y2521" t="s">
        <v>21732</v>
      </c>
      <c r="Z2521" t="s">
        <v>28096</v>
      </c>
      <c r="AA2521">
        <v>0.75805392126387028</v>
      </c>
      <c r="AB2521" t="str">
        <f>HYPERLINK("Melting_Curves/meltCurve_P43304_GPD2.pdf", "Melting_Curves/meltCurve_P43304_GPD2.pdf")</f>
        <v>Melting_Curves/meltCurve_P43304_GPD2.pdf</v>
      </c>
    </row>
    <row r="2522" spans="1:28" x14ac:dyDescent="0.25">
      <c r="A2522" t="s">
        <v>2526</v>
      </c>
      <c r="B2522">
        <v>0.99673306730245903</v>
      </c>
      <c r="C2522">
        <v>1.0076354676846899</v>
      </c>
      <c r="D2522">
        <v>0.91665008533858405</v>
      </c>
      <c r="E2522">
        <v>0.80574660085960603</v>
      </c>
      <c r="F2522">
        <v>0.60324691025478105</v>
      </c>
      <c r="G2522">
        <v>0.50452278063875</v>
      </c>
      <c r="H2522">
        <v>0.31506785866058701</v>
      </c>
      <c r="I2522">
        <v>0.35673260514034399</v>
      </c>
      <c r="J2522">
        <v>0.29695112400014401</v>
      </c>
      <c r="K2522">
        <v>0.32672503266424202</v>
      </c>
      <c r="L2522">
        <v>820.50411882777701</v>
      </c>
      <c r="M2522">
        <v>15.587639747076199</v>
      </c>
      <c r="N2522">
        <v>55.769590720797801</v>
      </c>
      <c r="O2522">
        <v>51.794612010265197</v>
      </c>
      <c r="P2522">
        <v>-5.3301511445792801E-2</v>
      </c>
      <c r="Q2522">
        <v>0.29162047540536401</v>
      </c>
      <c r="R2522">
        <v>0.99079157455955003</v>
      </c>
      <c r="S2522" t="s">
        <v>8974</v>
      </c>
      <c r="T2522" t="s">
        <v>12902</v>
      </c>
      <c r="U2522" t="s">
        <v>12902</v>
      </c>
      <c r="V2522" t="s">
        <v>12902</v>
      </c>
      <c r="W2522" t="s">
        <v>15385</v>
      </c>
      <c r="X2522">
        <v>2</v>
      </c>
      <c r="Y2522" t="s">
        <v>21733</v>
      </c>
      <c r="Z2522" t="s">
        <v>28097</v>
      </c>
      <c r="AA2522">
        <v>0.60466243595079916</v>
      </c>
      <c r="AB2522" t="str">
        <f>HYPERLINK("Melting_Curves/meltCurve_P43307_SSR1.pdf", "Melting_Curves/meltCurve_P43307_SSR1.pdf")</f>
        <v>Melting_Curves/meltCurve_P43307_SSR1.pdf</v>
      </c>
    </row>
    <row r="2523" spans="1:28" x14ac:dyDescent="0.25">
      <c r="A2523" t="s">
        <v>2527</v>
      </c>
      <c r="B2523">
        <v>0.99673306730245903</v>
      </c>
      <c r="C2523">
        <v>0.967085627961905</v>
      </c>
      <c r="D2523">
        <v>0.70079451085224698</v>
      </c>
      <c r="E2523">
        <v>0.24459939200448</v>
      </c>
      <c r="F2523">
        <v>0.21302925516572899</v>
      </c>
      <c r="G2523">
        <v>0.102599080615356</v>
      </c>
      <c r="H2523">
        <v>6.2387370602866803E-2</v>
      </c>
      <c r="I2523">
        <v>6.1844085168991599E-2</v>
      </c>
      <c r="J2523">
        <v>8.0811047860727098E-2</v>
      </c>
      <c r="K2523">
        <v>6.1825707301963101E-2</v>
      </c>
      <c r="L2523">
        <v>1281.1064790248399</v>
      </c>
      <c r="M2523">
        <v>27.136455551104799</v>
      </c>
      <c r="N2523">
        <v>47.5292583371304</v>
      </c>
      <c r="O2523">
        <v>46.955635441612003</v>
      </c>
      <c r="P2523">
        <v>-0.13243608453477099</v>
      </c>
      <c r="Q2523">
        <v>8.3364108015907906E-2</v>
      </c>
      <c r="R2523">
        <v>0.99165149527820395</v>
      </c>
      <c r="S2523" t="s">
        <v>8975</v>
      </c>
      <c r="T2523" t="s">
        <v>12902</v>
      </c>
      <c r="U2523" t="s">
        <v>12902</v>
      </c>
      <c r="V2523" t="s">
        <v>12902</v>
      </c>
      <c r="W2523" t="s">
        <v>15386</v>
      </c>
      <c r="X2523">
        <v>3</v>
      </c>
      <c r="Y2523" t="s">
        <v>21734</v>
      </c>
      <c r="Z2523" t="s">
        <v>28098</v>
      </c>
      <c r="AA2523">
        <v>0.31047679898220282</v>
      </c>
      <c r="AB2523" t="str">
        <f>HYPERLINK("Melting_Curves/meltCurve_P43378_PTPN9.pdf", "Melting_Curves/meltCurve_P43378_PTPN9.pdf")</f>
        <v>Melting_Curves/meltCurve_P43378_PTPN9.pdf</v>
      </c>
    </row>
    <row r="2524" spans="1:28" x14ac:dyDescent="0.25">
      <c r="A2524" t="s">
        <v>2528</v>
      </c>
      <c r="B2524">
        <v>0.99673306730245903</v>
      </c>
      <c r="C2524">
        <v>0.96193977079237802</v>
      </c>
      <c r="D2524">
        <v>0.69898940417403599</v>
      </c>
      <c r="E2524">
        <v>0.23674861320423199</v>
      </c>
      <c r="F2524">
        <v>0.192306359974876</v>
      </c>
      <c r="G2524">
        <v>0.10413690125868701</v>
      </c>
      <c r="H2524">
        <v>7.3022389608222493E-2</v>
      </c>
      <c r="I2524">
        <v>6.6615658240342907E-2</v>
      </c>
      <c r="J2524">
        <v>6.8979605160066404E-2</v>
      </c>
      <c r="K2524">
        <v>5.8045407700215303E-2</v>
      </c>
      <c r="L2524">
        <v>1325.99263553265</v>
      </c>
      <c r="M2524">
        <v>28.1257077159866</v>
      </c>
      <c r="N2524">
        <v>47.448431149182298</v>
      </c>
      <c r="O2524">
        <v>46.908806795614801</v>
      </c>
      <c r="P2524">
        <v>-0.137567370216472</v>
      </c>
      <c r="Q2524">
        <v>8.2253390470395496E-2</v>
      </c>
      <c r="R2524">
        <v>0.99407202203416001</v>
      </c>
      <c r="S2524" t="s">
        <v>8976</v>
      </c>
      <c r="T2524" t="s">
        <v>12902</v>
      </c>
      <c r="U2524" t="s">
        <v>12902</v>
      </c>
      <c r="V2524" t="s">
        <v>12902</v>
      </c>
      <c r="W2524" t="s">
        <v>15387</v>
      </c>
      <c r="X2524">
        <v>10</v>
      </c>
      <c r="Y2524" t="s">
        <v>21735</v>
      </c>
      <c r="Z2524" t="s">
        <v>28099</v>
      </c>
      <c r="AA2524">
        <v>0.30715948891445088</v>
      </c>
      <c r="AB2524" t="str">
        <f>HYPERLINK("Melting_Curves/meltCurve_P43405_SYK.pdf", "Melting_Curves/meltCurve_P43405_SYK.pdf")</f>
        <v>Melting_Curves/meltCurve_P43405_SYK.pdf</v>
      </c>
    </row>
    <row r="2525" spans="1:28" x14ac:dyDescent="0.25">
      <c r="A2525" t="s">
        <v>2529</v>
      </c>
      <c r="B2525">
        <v>0.99673306730245903</v>
      </c>
      <c r="C2525">
        <v>0.93993428098116205</v>
      </c>
      <c r="D2525">
        <v>0.94998427462895196</v>
      </c>
      <c r="E2525">
        <v>0.74531788320764503</v>
      </c>
      <c r="F2525">
        <v>0.46233662860926</v>
      </c>
      <c r="G2525">
        <v>0.42669777293144501</v>
      </c>
      <c r="H2525">
        <v>0.32879229387554298</v>
      </c>
      <c r="I2525">
        <v>0.2543212895311</v>
      </c>
      <c r="J2525">
        <v>0.34326344046362101</v>
      </c>
      <c r="K2525">
        <v>0.33445881667424399</v>
      </c>
      <c r="L2525">
        <v>1109.5877044464401</v>
      </c>
      <c r="M2525">
        <v>21.898245650541</v>
      </c>
      <c r="N2525">
        <v>53.0832498981841</v>
      </c>
      <c r="O2525">
        <v>50.253276827040203</v>
      </c>
      <c r="P2525">
        <v>-7.4600807299954899E-2</v>
      </c>
      <c r="Q2525">
        <v>0.31522360726538201</v>
      </c>
      <c r="R2525">
        <v>0.98491837491161005</v>
      </c>
      <c r="S2525" t="s">
        <v>8977</v>
      </c>
      <c r="T2525" t="s">
        <v>12902</v>
      </c>
      <c r="U2525" t="s">
        <v>12902</v>
      </c>
      <c r="V2525" t="s">
        <v>12902</v>
      </c>
      <c r="W2525" t="s">
        <v>15388</v>
      </c>
      <c r="X2525">
        <v>14</v>
      </c>
      <c r="Y2525" t="s">
        <v>21736</v>
      </c>
      <c r="Z2525" t="s">
        <v>28100</v>
      </c>
      <c r="AA2525">
        <v>0.56677326813991269</v>
      </c>
      <c r="AB2525" t="str">
        <f>HYPERLINK("Melting_Curves/meltCurve_P43487_RANBP1.pdf", "Melting_Curves/meltCurve_P43487_RANBP1.pdf")</f>
        <v>Melting_Curves/meltCurve_P43487_RANBP1.pdf</v>
      </c>
    </row>
    <row r="2526" spans="1:28" x14ac:dyDescent="0.25">
      <c r="A2526" t="s">
        <v>2530</v>
      </c>
      <c r="B2526">
        <v>0.99673306730245903</v>
      </c>
      <c r="C2526">
        <v>0.96186611126764598</v>
      </c>
      <c r="D2526">
        <v>0.93947439466706495</v>
      </c>
      <c r="E2526">
        <v>1.00753938024125</v>
      </c>
      <c r="F2526">
        <v>0.92396914907889804</v>
      </c>
      <c r="G2526">
        <v>0.766554045190452</v>
      </c>
      <c r="H2526">
        <v>0.23953572639196599</v>
      </c>
      <c r="I2526">
        <v>0.119590945330787</v>
      </c>
      <c r="J2526">
        <v>0.13379390337882099</v>
      </c>
      <c r="K2526">
        <v>0.112465776140909</v>
      </c>
      <c r="L2526">
        <v>2317.0825147153901</v>
      </c>
      <c r="M2526">
        <v>39.830479337842498</v>
      </c>
      <c r="N2526">
        <v>58.543805321001798</v>
      </c>
      <c r="O2526">
        <v>58.027545528643103</v>
      </c>
      <c r="P2526">
        <v>-0.152498172276331</v>
      </c>
      <c r="Q2526">
        <v>0.111326234595181</v>
      </c>
      <c r="R2526">
        <v>0.99407938738888102</v>
      </c>
      <c r="S2526" t="s">
        <v>8978</v>
      </c>
      <c r="T2526" t="s">
        <v>12902</v>
      </c>
      <c r="U2526" t="s">
        <v>12902</v>
      </c>
      <c r="V2526" t="s">
        <v>12902</v>
      </c>
      <c r="W2526" t="s">
        <v>15389</v>
      </c>
      <c r="X2526">
        <v>22</v>
      </c>
      <c r="Y2526" t="s">
        <v>21737</v>
      </c>
      <c r="Z2526" t="s">
        <v>28101</v>
      </c>
      <c r="AA2526">
        <v>0.65319849459508006</v>
      </c>
      <c r="AB2526" t="str">
        <f>HYPERLINK("Melting_Curves/meltCurve_P43490_NAMPT.pdf", "Melting_Curves/meltCurve_P43490_NAMPT.pdf")</f>
        <v>Melting_Curves/meltCurve_P43490_NAMPT.pdf</v>
      </c>
    </row>
    <row r="2527" spans="1:28" x14ac:dyDescent="0.25">
      <c r="A2527" t="s">
        <v>2531</v>
      </c>
      <c r="B2527">
        <v>0.99673306730245903</v>
      </c>
      <c r="C2527">
        <v>0.94662523715872904</v>
      </c>
      <c r="D2527">
        <v>1.0497742773514001</v>
      </c>
      <c r="E2527">
        <v>1.11856151260357</v>
      </c>
      <c r="F2527">
        <v>0.92255743316721595</v>
      </c>
      <c r="G2527">
        <v>0.36451775409654402</v>
      </c>
      <c r="H2527">
        <v>0.122664313976279</v>
      </c>
      <c r="I2527">
        <v>0.11149646566151</v>
      </c>
      <c r="J2527">
        <v>0.122770605373564</v>
      </c>
      <c r="K2527">
        <v>0.118296638825673</v>
      </c>
      <c r="L2527">
        <v>2854.5228589933099</v>
      </c>
      <c r="M2527">
        <v>51.204430496017501</v>
      </c>
      <c r="N2527">
        <v>56.035495617868797</v>
      </c>
      <c r="O2527">
        <v>55.662741912269802</v>
      </c>
      <c r="P2527">
        <v>-0.203377706964122</v>
      </c>
      <c r="Q2527">
        <v>0.115658395610596</v>
      </c>
      <c r="R2527">
        <v>0.98912377025176601</v>
      </c>
      <c r="S2527" t="s">
        <v>8979</v>
      </c>
      <c r="T2527" t="s">
        <v>12902</v>
      </c>
      <c r="U2527" t="s">
        <v>12902</v>
      </c>
      <c r="V2527" t="s">
        <v>12902</v>
      </c>
      <c r="W2527" t="s">
        <v>15390</v>
      </c>
      <c r="X2527">
        <v>27</v>
      </c>
      <c r="Y2527" t="s">
        <v>21738</v>
      </c>
      <c r="Z2527" t="s">
        <v>28102</v>
      </c>
      <c r="AA2527">
        <v>0.58193768684257585</v>
      </c>
      <c r="AB2527" t="str">
        <f>HYPERLINK("Melting_Curves/meltCurve_P43686_PSMC4.pdf", "Melting_Curves/meltCurve_P43686_PSMC4.pdf")</f>
        <v>Melting_Curves/meltCurve_P43686_PSMC4.pdf</v>
      </c>
    </row>
    <row r="2528" spans="1:28" x14ac:dyDescent="0.25">
      <c r="A2528" t="s">
        <v>2532</v>
      </c>
      <c r="B2528">
        <v>0.99673306730245903</v>
      </c>
      <c r="C2528">
        <v>0.90001466698514199</v>
      </c>
      <c r="D2528">
        <v>0.68654184336523405</v>
      </c>
      <c r="E2528">
        <v>0.33243875059905698</v>
      </c>
      <c r="F2528">
        <v>0.133076103927047</v>
      </c>
      <c r="G2528">
        <v>8.2785003441064098E-2</v>
      </c>
      <c r="H2528">
        <v>5.1757790355456197E-2</v>
      </c>
      <c r="I2528">
        <v>4.49627956614259E-2</v>
      </c>
      <c r="J2528">
        <v>4.8555739802982403E-2</v>
      </c>
      <c r="K2528">
        <v>4.1556489125842699E-2</v>
      </c>
      <c r="L2528">
        <v>983.69476896209301</v>
      </c>
      <c r="M2528">
        <v>20.675584586174001</v>
      </c>
      <c r="N2528">
        <v>47.7842121865705</v>
      </c>
      <c r="O2528">
        <v>47.139249239774003</v>
      </c>
      <c r="P2528">
        <v>-0.104966120186665</v>
      </c>
      <c r="Q2528">
        <v>4.2758650946020903E-2</v>
      </c>
      <c r="R2528">
        <v>0.99965302398947398</v>
      </c>
      <c r="S2528" t="s">
        <v>8980</v>
      </c>
      <c r="T2528" t="s">
        <v>12902</v>
      </c>
      <c r="U2528" t="s">
        <v>12902</v>
      </c>
      <c r="V2528" t="s">
        <v>12902</v>
      </c>
      <c r="W2528" t="s">
        <v>15391</v>
      </c>
      <c r="X2528">
        <v>20</v>
      </c>
      <c r="Y2528" t="s">
        <v>21739</v>
      </c>
      <c r="Z2528" t="s">
        <v>28103</v>
      </c>
      <c r="AA2528">
        <v>0.29733588700333341</v>
      </c>
      <c r="AB2528" t="str">
        <f>HYPERLINK("Melting_Curves/meltCurve_P43897_TSFM.pdf", "Melting_Curves/meltCurve_P43897_TSFM.pdf")</f>
        <v>Melting_Curves/meltCurve_P43897_TSFM.pdf</v>
      </c>
    </row>
    <row r="2529" spans="1:28" x14ac:dyDescent="0.25">
      <c r="A2529" t="s">
        <v>2533</v>
      </c>
      <c r="B2529">
        <v>0.99673306730245903</v>
      </c>
      <c r="C2529">
        <v>0.94044553468223602</v>
      </c>
      <c r="D2529">
        <v>0.85032787621571504</v>
      </c>
      <c r="E2529">
        <v>0.812900449496608</v>
      </c>
      <c r="F2529">
        <v>0.44127082318439098</v>
      </c>
      <c r="G2529">
        <v>0.24903837910413901</v>
      </c>
      <c r="H2529">
        <v>0.15472352032794201</v>
      </c>
      <c r="I2529">
        <v>0.147969628016872</v>
      </c>
      <c r="J2529">
        <v>0.12726258158207501</v>
      </c>
      <c r="K2529">
        <v>9.0749183338275696E-2</v>
      </c>
      <c r="L2529">
        <v>945.34599798499403</v>
      </c>
      <c r="M2529">
        <v>18.13877347136</v>
      </c>
      <c r="N2529">
        <v>52.748186758766401</v>
      </c>
      <c r="O2529">
        <v>51.496327379889003</v>
      </c>
      <c r="P2529">
        <v>-7.9476940601926102E-2</v>
      </c>
      <c r="Q2529">
        <v>9.7496635577524998E-2</v>
      </c>
      <c r="R2529">
        <v>0.98898618073489897</v>
      </c>
      <c r="S2529" t="s">
        <v>8981</v>
      </c>
      <c r="T2529" t="s">
        <v>12902</v>
      </c>
      <c r="U2529" t="s">
        <v>12902</v>
      </c>
      <c r="V2529" t="s">
        <v>12902</v>
      </c>
      <c r="W2529" t="s">
        <v>15392</v>
      </c>
      <c r="X2529">
        <v>1</v>
      </c>
      <c r="Y2529" t="s">
        <v>21740</v>
      </c>
      <c r="Z2529" t="s">
        <v>28104</v>
      </c>
      <c r="AA2529">
        <v>0.47682982471758811</v>
      </c>
      <c r="AB2529" t="str">
        <f>HYPERLINK("Melting_Curves/meltCurve_P45877_PPIC.pdf", "Melting_Curves/meltCurve_P45877_PPIC.pdf")</f>
        <v>Melting_Curves/meltCurve_P45877_PPIC.pdf</v>
      </c>
    </row>
    <row r="2530" spans="1:28" x14ac:dyDescent="0.25">
      <c r="A2530" t="s">
        <v>2534</v>
      </c>
      <c r="B2530">
        <v>0.99673306730245903</v>
      </c>
      <c r="C2530">
        <v>1.1548624182258</v>
      </c>
      <c r="D2530">
        <v>1.0064813033117599</v>
      </c>
      <c r="E2530">
        <v>0.92414438717420599</v>
      </c>
      <c r="F2530">
        <v>0.61641945358067696</v>
      </c>
      <c r="G2530">
        <v>0.45315161051019098</v>
      </c>
      <c r="H2530">
        <v>0.345969760032655</v>
      </c>
      <c r="I2530">
        <v>0.390426300005496</v>
      </c>
      <c r="J2530">
        <v>0.401019827139248</v>
      </c>
      <c r="K2530">
        <v>0.31615206553143999</v>
      </c>
      <c r="L2530">
        <v>1629.7679467130599</v>
      </c>
      <c r="M2530">
        <v>30.969254533463602</v>
      </c>
      <c r="N2530">
        <v>54.949209603986198</v>
      </c>
      <c r="O2530">
        <v>52.407387639964199</v>
      </c>
      <c r="P2530">
        <v>-9.3803354360449107E-2</v>
      </c>
      <c r="Q2530">
        <v>0.36505278510952699</v>
      </c>
      <c r="R2530">
        <v>0.96793414704834302</v>
      </c>
      <c r="S2530" t="s">
        <v>8982</v>
      </c>
      <c r="T2530" t="s">
        <v>12902</v>
      </c>
      <c r="U2530" t="s">
        <v>12902</v>
      </c>
      <c r="V2530" t="s">
        <v>12902</v>
      </c>
      <c r="W2530" t="s">
        <v>15393</v>
      </c>
      <c r="X2530">
        <v>16</v>
      </c>
      <c r="Y2530" t="s">
        <v>21741</v>
      </c>
      <c r="Z2530" t="s">
        <v>28105</v>
      </c>
      <c r="AA2530">
        <v>0.63611376358390959</v>
      </c>
      <c r="AB2530" t="str">
        <f>HYPERLINK("Melting_Curves/meltCurve_P45880_VDAC2.pdf", "Melting_Curves/meltCurve_P45880_VDAC2.pdf")</f>
        <v>Melting_Curves/meltCurve_P45880_VDAC2.pdf</v>
      </c>
    </row>
    <row r="2531" spans="1:28" x14ac:dyDescent="0.25">
      <c r="A2531" t="s">
        <v>2535</v>
      </c>
      <c r="B2531">
        <v>0.99673306730245903</v>
      </c>
      <c r="C2531">
        <v>0.92114057647260805</v>
      </c>
      <c r="D2531">
        <v>0.889449370539936</v>
      </c>
      <c r="E2531">
        <v>0.85957128858163401</v>
      </c>
      <c r="F2531">
        <v>0.36595485212900802</v>
      </c>
      <c r="G2531">
        <v>0.228179940688017</v>
      </c>
      <c r="H2531">
        <v>0.123649076191609</v>
      </c>
      <c r="I2531">
        <v>7.4688654346707406E-2</v>
      </c>
      <c r="J2531">
        <v>6.03444214942895E-2</v>
      </c>
      <c r="K2531">
        <v>4.8856359448075502E-2</v>
      </c>
      <c r="L2531">
        <v>1233.37711911164</v>
      </c>
      <c r="M2531">
        <v>23.6442931981572</v>
      </c>
      <c r="N2531">
        <v>52.484439503687398</v>
      </c>
      <c r="O2531">
        <v>51.794994728172099</v>
      </c>
      <c r="P2531">
        <v>-0.106452203125704</v>
      </c>
      <c r="Q2531">
        <v>6.7242263781666201E-2</v>
      </c>
      <c r="R2531">
        <v>0.98482041491487604</v>
      </c>
      <c r="S2531" t="s">
        <v>8983</v>
      </c>
      <c r="T2531" t="s">
        <v>12902</v>
      </c>
      <c r="U2531" t="s">
        <v>12902</v>
      </c>
      <c r="V2531" t="s">
        <v>12902</v>
      </c>
      <c r="W2531" t="s">
        <v>15394</v>
      </c>
      <c r="X2531">
        <v>13</v>
      </c>
      <c r="Y2531" t="s">
        <v>21742</v>
      </c>
      <c r="Z2531" t="s">
        <v>28106</v>
      </c>
      <c r="AA2531">
        <v>0.45492307158809719</v>
      </c>
      <c r="AB2531" t="str">
        <f>HYPERLINK("Melting_Curves/meltCurve_P45954_ACADSB.pdf", "Melting_Curves/meltCurve_P45954_ACADSB.pdf")</f>
        <v>Melting_Curves/meltCurve_P45954_ACADSB.pdf</v>
      </c>
    </row>
    <row r="2532" spans="1:28" x14ac:dyDescent="0.25">
      <c r="A2532" t="s">
        <v>2536</v>
      </c>
      <c r="B2532">
        <v>0.99673306730245903</v>
      </c>
      <c r="C2532">
        <v>0.83001491340747802</v>
      </c>
      <c r="D2532">
        <v>0.61995592203440897</v>
      </c>
      <c r="E2532">
        <v>0.58110083997135598</v>
      </c>
      <c r="F2532">
        <v>0.25224917896160198</v>
      </c>
      <c r="G2532">
        <v>0.169405603983282</v>
      </c>
      <c r="H2532">
        <v>0.114689095816411</v>
      </c>
      <c r="I2532">
        <v>0.125823210845559</v>
      </c>
      <c r="J2532">
        <v>0.154808057886658</v>
      </c>
      <c r="K2532">
        <v>0.137635456507266</v>
      </c>
      <c r="L2532">
        <v>647.40394292887595</v>
      </c>
      <c r="M2532">
        <v>13.437002004704301</v>
      </c>
      <c r="N2532">
        <v>48.9879759542168</v>
      </c>
      <c r="O2532">
        <v>47.151089909246103</v>
      </c>
      <c r="P2532">
        <v>-6.4178763922302207E-2</v>
      </c>
      <c r="Q2532">
        <v>9.9314346678720494E-2</v>
      </c>
      <c r="R2532">
        <v>0.97148851564159</v>
      </c>
      <c r="S2532" t="s">
        <v>8984</v>
      </c>
      <c r="T2532" t="s">
        <v>12902</v>
      </c>
      <c r="U2532" t="s">
        <v>12902</v>
      </c>
      <c r="V2532" t="s">
        <v>12902</v>
      </c>
      <c r="W2532" t="s">
        <v>15395</v>
      </c>
      <c r="X2532">
        <v>10</v>
      </c>
      <c r="Y2532" t="s">
        <v>21743</v>
      </c>
      <c r="Z2532" t="s">
        <v>28107</v>
      </c>
      <c r="AA2532">
        <v>0.37330388680212429</v>
      </c>
      <c r="AB2532" t="str">
        <f>HYPERLINK("Melting_Curves/meltCurve_P45973_CBX5.pdf", "Melting_Curves/meltCurve_P45973_CBX5.pdf")</f>
        <v>Melting_Curves/meltCurve_P45973_CBX5.pdf</v>
      </c>
    </row>
    <row r="2533" spans="1:28" x14ac:dyDescent="0.25">
      <c r="A2533" t="s">
        <v>2537</v>
      </c>
      <c r="B2533">
        <v>0.99673306730245903</v>
      </c>
      <c r="C2533">
        <v>0.98945852205681994</v>
      </c>
      <c r="D2533">
        <v>0.82207583972760101</v>
      </c>
      <c r="E2533">
        <v>0.86686888502458304</v>
      </c>
      <c r="F2533">
        <v>0.37658720288067199</v>
      </c>
      <c r="G2533">
        <v>0.16761659020422101</v>
      </c>
      <c r="H2533">
        <v>7.2107764098197802E-2</v>
      </c>
      <c r="I2533">
        <v>6.2866896782318493E-2</v>
      </c>
      <c r="J2533">
        <v>6.9843801062856203E-2</v>
      </c>
      <c r="K2533">
        <v>5.92418208826734E-2</v>
      </c>
      <c r="L2533">
        <v>1383.88306234584</v>
      </c>
      <c r="M2533">
        <v>26.550617099348699</v>
      </c>
      <c r="N2533">
        <v>52.369182803566197</v>
      </c>
      <c r="O2533">
        <v>51.829454142987998</v>
      </c>
      <c r="P2533">
        <v>-0.12053907180847501</v>
      </c>
      <c r="Q2533">
        <v>5.8792781356448699E-2</v>
      </c>
      <c r="R2533">
        <v>0.98238149338027603</v>
      </c>
      <c r="S2533" t="s">
        <v>8985</v>
      </c>
      <c r="T2533" t="s">
        <v>12902</v>
      </c>
      <c r="U2533" t="s">
        <v>12902</v>
      </c>
      <c r="V2533" t="s">
        <v>12902</v>
      </c>
      <c r="W2533" t="s">
        <v>15396</v>
      </c>
      <c r="X2533">
        <v>42</v>
      </c>
      <c r="Y2533" t="s">
        <v>21744</v>
      </c>
      <c r="Z2533" t="s">
        <v>28108</v>
      </c>
      <c r="AA2533">
        <v>0.44677537876551437</v>
      </c>
      <c r="AB2533" t="str">
        <f>HYPERLINK("Melting_Curves/meltCurve_P45974_2_USP5.pdf", "Melting_Curves/meltCurve_P45974_2_USP5.pdf")</f>
        <v>Melting_Curves/meltCurve_P45974_2_USP5.pdf</v>
      </c>
    </row>
    <row r="2534" spans="1:28" x14ac:dyDescent="0.25">
      <c r="A2534" t="s">
        <v>2538</v>
      </c>
      <c r="B2534">
        <v>0.99673306730245903</v>
      </c>
      <c r="C2534">
        <v>0.95093908098306501</v>
      </c>
      <c r="D2534">
        <v>0.88213706713116202</v>
      </c>
      <c r="E2534">
        <v>0.68522162775249396</v>
      </c>
      <c r="F2534">
        <v>0.44018775452079401</v>
      </c>
      <c r="G2534">
        <v>0.50179973514377996</v>
      </c>
      <c r="H2534">
        <v>0.49544120603326502</v>
      </c>
      <c r="I2534">
        <v>0.57532822857670995</v>
      </c>
      <c r="J2534">
        <v>0.95000619287350396</v>
      </c>
      <c r="K2534">
        <v>0.48896515498092902</v>
      </c>
      <c r="L2534">
        <v>1662.5499696056199</v>
      </c>
      <c r="M2534">
        <v>35.139312019330603</v>
      </c>
      <c r="O2534">
        <v>47.160650766819501</v>
      </c>
      <c r="P2534">
        <v>-7.8439432878956994E-2</v>
      </c>
      <c r="Q2534">
        <v>0.57890553309803405</v>
      </c>
      <c r="R2534">
        <v>0.597335374590649</v>
      </c>
      <c r="S2534" t="s">
        <v>8986</v>
      </c>
      <c r="T2534" t="s">
        <v>12902</v>
      </c>
      <c r="U2534" t="s">
        <v>12902</v>
      </c>
      <c r="V2534" t="s">
        <v>12902</v>
      </c>
      <c r="W2534" t="s">
        <v>15397</v>
      </c>
      <c r="X2534">
        <v>4</v>
      </c>
      <c r="Y2534" t="s">
        <v>21745</v>
      </c>
      <c r="Z2534" t="s">
        <v>28109</v>
      </c>
      <c r="AA2534">
        <v>0.6833659420485011</v>
      </c>
      <c r="AB2534" t="str">
        <f>HYPERLINK("Melting_Curves/meltCurve_P45983_3_MAPK8.pdf", "Melting_Curves/meltCurve_P45983_3_MAPK8.pdf")</f>
        <v>Melting_Curves/meltCurve_P45983_3_MAPK8.pdf</v>
      </c>
    </row>
    <row r="2535" spans="1:28" x14ac:dyDescent="0.25">
      <c r="A2535" t="s">
        <v>2539</v>
      </c>
      <c r="B2535">
        <v>0.99673306730245903</v>
      </c>
      <c r="C2535">
        <v>1.0165724368575</v>
      </c>
      <c r="D2535">
        <v>1.03113381968221</v>
      </c>
      <c r="E2535">
        <v>1.0072157178255901</v>
      </c>
      <c r="F2535">
        <v>0.71127694841667599</v>
      </c>
      <c r="G2535">
        <v>0.249210301306554</v>
      </c>
      <c r="H2535">
        <v>0.101659687985185</v>
      </c>
      <c r="I2535">
        <v>3.9462189162806298E-2</v>
      </c>
      <c r="J2535">
        <v>1.8988895859865799E-2</v>
      </c>
      <c r="K2535">
        <v>2.2536504122109099E-2</v>
      </c>
      <c r="L2535">
        <v>1792.3639269893099</v>
      </c>
      <c r="M2535">
        <v>32.787234978629002</v>
      </c>
      <c r="N2535">
        <v>54.781508010626098</v>
      </c>
      <c r="O2535">
        <v>54.4643593447733</v>
      </c>
      <c r="P2535">
        <v>-0.145494658002086</v>
      </c>
      <c r="Q2535">
        <v>3.3253386410767798E-2</v>
      </c>
      <c r="R2535">
        <v>0.99764676034829503</v>
      </c>
      <c r="S2535" t="s">
        <v>8987</v>
      </c>
      <c r="T2535" t="s">
        <v>12902</v>
      </c>
      <c r="U2535" t="s">
        <v>12902</v>
      </c>
      <c r="V2535" t="s">
        <v>12902</v>
      </c>
      <c r="W2535" t="s">
        <v>15398</v>
      </c>
      <c r="X2535">
        <v>3</v>
      </c>
      <c r="Y2535" t="s">
        <v>21746</v>
      </c>
      <c r="Z2535" t="s">
        <v>28110</v>
      </c>
      <c r="AA2535">
        <v>0.51127007104444766</v>
      </c>
      <c r="AB2535" t="str">
        <f>HYPERLINK("Melting_Curves/meltCurve_P45984_3_MAPK9.pdf", "Melting_Curves/meltCurve_P45984_3_MAPK9.pdf")</f>
        <v>Melting_Curves/meltCurve_P45984_3_MAPK9.pdf</v>
      </c>
    </row>
    <row r="2536" spans="1:28" x14ac:dyDescent="0.25">
      <c r="A2536" t="s">
        <v>2540</v>
      </c>
      <c r="B2536">
        <v>0.99673306730245903</v>
      </c>
      <c r="C2536">
        <v>1.03442916522916</v>
      </c>
      <c r="D2536">
        <v>0.97059952020270401</v>
      </c>
      <c r="E2536">
        <v>0.90931110886963495</v>
      </c>
      <c r="F2536">
        <v>0.292248102568893</v>
      </c>
      <c r="G2536">
        <v>0.16319659230956901</v>
      </c>
      <c r="H2536">
        <v>0.12246568631784099</v>
      </c>
      <c r="I2536">
        <v>0.10634720630300901</v>
      </c>
      <c r="J2536">
        <v>7.2994640589845894E-2</v>
      </c>
      <c r="K2536">
        <v>4.9923954876824203E-2</v>
      </c>
      <c r="L2536">
        <v>2435.9191963022099</v>
      </c>
      <c r="M2536">
        <v>47.0244868688822</v>
      </c>
      <c r="N2536">
        <v>52.0440548675939</v>
      </c>
      <c r="O2536">
        <v>51.7076604034282</v>
      </c>
      <c r="P2536">
        <v>-0.20495067758206301</v>
      </c>
      <c r="Q2536">
        <v>9.8554057444179999E-2</v>
      </c>
      <c r="R2536">
        <v>0.99529168817628799</v>
      </c>
      <c r="S2536" t="s">
        <v>8988</v>
      </c>
      <c r="T2536" t="s">
        <v>12902</v>
      </c>
      <c r="U2536" t="s">
        <v>12902</v>
      </c>
      <c r="V2536" t="s">
        <v>12902</v>
      </c>
      <c r="W2536" t="s">
        <v>15399</v>
      </c>
      <c r="X2536">
        <v>7</v>
      </c>
      <c r="Y2536" t="s">
        <v>21747</v>
      </c>
      <c r="Z2536" t="s">
        <v>28111</v>
      </c>
      <c r="AA2536">
        <v>0.4554853515505729</v>
      </c>
      <c r="AB2536" t="str">
        <f>HYPERLINK("Melting_Curves/meltCurve_P45985_MAP2K4.pdf", "Melting_Curves/meltCurve_P45985_MAP2K4.pdf")</f>
        <v>Melting_Curves/meltCurve_P45985_MAP2K4.pdf</v>
      </c>
    </row>
    <row r="2537" spans="1:28" x14ac:dyDescent="0.25">
      <c r="A2537" t="s">
        <v>2541</v>
      </c>
      <c r="B2537">
        <v>0.99673306730245903</v>
      </c>
      <c r="C2537">
        <v>0.78608379098794201</v>
      </c>
      <c r="D2537">
        <v>0.67655444647582796</v>
      </c>
      <c r="E2537">
        <v>0.53775027131462505</v>
      </c>
      <c r="F2537">
        <v>0.40440973404323299</v>
      </c>
      <c r="G2537">
        <v>0.28723817894509701</v>
      </c>
      <c r="H2537">
        <v>0.20859004437659301</v>
      </c>
      <c r="I2537">
        <v>0.30330794307949499</v>
      </c>
      <c r="J2537">
        <v>0.45764086855820302</v>
      </c>
      <c r="K2537">
        <v>0.45845889773472998</v>
      </c>
      <c r="L2537">
        <v>773.27299068758305</v>
      </c>
      <c r="M2537">
        <v>16.850151471886701</v>
      </c>
      <c r="N2537">
        <v>49.265483620195603</v>
      </c>
      <c r="O2537">
        <v>45.259421758446798</v>
      </c>
      <c r="P2537">
        <v>-6.1216573319768E-2</v>
      </c>
      <c r="Q2537">
        <v>0.34233245760801501</v>
      </c>
      <c r="R2537">
        <v>0.88340336744891101</v>
      </c>
      <c r="S2537" t="s">
        <v>8989</v>
      </c>
      <c r="T2537" t="s">
        <v>12902</v>
      </c>
      <c r="U2537" t="s">
        <v>12902</v>
      </c>
      <c r="V2537" t="s">
        <v>12902</v>
      </c>
      <c r="W2537" t="s">
        <v>15400</v>
      </c>
      <c r="X2537">
        <v>63</v>
      </c>
      <c r="Y2537" t="s">
        <v>21748</v>
      </c>
      <c r="Z2537" t="s">
        <v>28112</v>
      </c>
      <c r="AA2537">
        <v>0.4865635655904465</v>
      </c>
      <c r="AB2537" t="str">
        <f>HYPERLINK("Melting_Curves/meltCurve_P46013_MKI67.pdf", "Melting_Curves/meltCurve_P46013_MKI67.pdf")</f>
        <v>Melting_Curves/meltCurve_P46013_MKI67.pdf</v>
      </c>
    </row>
    <row r="2538" spans="1:28" x14ac:dyDescent="0.25">
      <c r="A2538" t="s">
        <v>2542</v>
      </c>
      <c r="B2538">
        <v>0.99673306730245903</v>
      </c>
      <c r="C2538">
        <v>1.0073060290054201</v>
      </c>
      <c r="D2538">
        <v>0.91439242816575195</v>
      </c>
      <c r="E2538">
        <v>0.99820576792262605</v>
      </c>
      <c r="F2538">
        <v>0.40757281676389701</v>
      </c>
      <c r="G2538">
        <v>0.23053759929414799</v>
      </c>
      <c r="H2538">
        <v>0.10153051840883701</v>
      </c>
      <c r="I2538">
        <v>7.3559321713788595E-2</v>
      </c>
      <c r="J2538">
        <v>6.4970414979278301E-2</v>
      </c>
      <c r="K2538">
        <v>4.3456396405034299E-2</v>
      </c>
      <c r="L2538">
        <v>2250.18518745346</v>
      </c>
      <c r="M2538">
        <v>42.765789242326797</v>
      </c>
      <c r="N2538">
        <v>52.863461710210501</v>
      </c>
      <c r="O2538">
        <v>52.501819455174299</v>
      </c>
      <c r="P2538">
        <v>-0.185199251873882</v>
      </c>
      <c r="Q2538">
        <v>9.0555119485040594E-2</v>
      </c>
      <c r="R2538">
        <v>0.98526258260700295</v>
      </c>
      <c r="S2538" t="s">
        <v>8990</v>
      </c>
      <c r="T2538" t="s">
        <v>12902</v>
      </c>
      <c r="U2538" t="s">
        <v>12902</v>
      </c>
      <c r="V2538" t="s">
        <v>12902</v>
      </c>
      <c r="W2538" t="s">
        <v>15401</v>
      </c>
      <c r="X2538">
        <v>1</v>
      </c>
      <c r="Y2538" t="s">
        <v>21749</v>
      </c>
      <c r="Z2538" t="s">
        <v>28113</v>
      </c>
      <c r="AA2538">
        <v>0.47591105747747081</v>
      </c>
      <c r="AB2538" t="str">
        <f>HYPERLINK("Melting_Curves/meltCurve_P46019_PHKA2.pdf", "Melting_Curves/meltCurve_P46019_PHKA2.pdf")</f>
        <v>Melting_Curves/meltCurve_P46019_PHKA2.pdf</v>
      </c>
    </row>
    <row r="2539" spans="1:28" x14ac:dyDescent="0.25">
      <c r="A2539" t="s">
        <v>2543</v>
      </c>
      <c r="B2539">
        <v>0.99673306730245903</v>
      </c>
      <c r="C2539">
        <v>1.14931250812157</v>
      </c>
      <c r="D2539">
        <v>0.61622129761952804</v>
      </c>
      <c r="E2539">
        <v>0.555042586415741</v>
      </c>
      <c r="F2539">
        <v>0.17017767654350399</v>
      </c>
      <c r="G2539">
        <v>8.2578912016899805E-2</v>
      </c>
      <c r="H2539">
        <v>4.79370729508884E-2</v>
      </c>
      <c r="I2539">
        <v>4.2738239395124701E-2</v>
      </c>
      <c r="J2539">
        <v>4.46009517622959E-2</v>
      </c>
      <c r="K2539">
        <v>3.9698577626017202E-2</v>
      </c>
      <c r="L2539">
        <v>946.34804341281597</v>
      </c>
      <c r="M2539">
        <v>19.3064185064258</v>
      </c>
      <c r="N2539">
        <v>49.177324808187599</v>
      </c>
      <c r="O2539">
        <v>48.500470626802503</v>
      </c>
      <c r="P2539">
        <v>-9.6489989331500006E-2</v>
      </c>
      <c r="Q2539">
        <v>3.0449952714317E-2</v>
      </c>
      <c r="R2539">
        <v>0.94971091843359901</v>
      </c>
      <c r="S2539" t="s">
        <v>8991</v>
      </c>
      <c r="T2539" t="s">
        <v>12902</v>
      </c>
      <c r="U2539" t="s">
        <v>12902</v>
      </c>
      <c r="V2539" t="s">
        <v>12902</v>
      </c>
      <c r="W2539" t="s">
        <v>15402</v>
      </c>
      <c r="X2539">
        <v>22</v>
      </c>
      <c r="Y2539" t="s">
        <v>21750</v>
      </c>
      <c r="Z2539" t="s">
        <v>28114</v>
      </c>
      <c r="AA2539">
        <v>0.3364588956263409</v>
      </c>
      <c r="AB2539" t="str">
        <f>HYPERLINK("Melting_Curves/meltCurve_P46060_RANGAP1.pdf", "Melting_Curves/meltCurve_P46060_RANGAP1.pdf")</f>
        <v>Melting_Curves/meltCurve_P46060_RANGAP1.pdf</v>
      </c>
    </row>
    <row r="2540" spans="1:28" x14ac:dyDescent="0.25">
      <c r="A2540" t="s">
        <v>2544</v>
      </c>
      <c r="B2540">
        <v>0.99673306730245903</v>
      </c>
      <c r="C2540">
        <v>0.93928368759631298</v>
      </c>
      <c r="D2540">
        <v>0.95935217102227899</v>
      </c>
      <c r="E2540">
        <v>0.98218732851745005</v>
      </c>
      <c r="F2540">
        <v>0.35633407424824698</v>
      </c>
      <c r="G2540">
        <v>0.122849696321239</v>
      </c>
      <c r="H2540">
        <v>7.8458785327582894E-2</v>
      </c>
      <c r="I2540">
        <v>6.6248700076222106E-2</v>
      </c>
      <c r="J2540">
        <v>6.4493432011131696E-2</v>
      </c>
      <c r="K2540">
        <v>5.4874647080343203E-2</v>
      </c>
      <c r="L2540">
        <v>3075.0526067332398</v>
      </c>
      <c r="M2540">
        <v>58.609139585493303</v>
      </c>
      <c r="N2540">
        <v>52.612373467542596</v>
      </c>
      <c r="O2540">
        <v>52.406139202556098</v>
      </c>
      <c r="P2540">
        <v>-0.25870588993438498</v>
      </c>
      <c r="Q2540">
        <v>7.4699211864527298E-2</v>
      </c>
      <c r="R2540">
        <v>0.99579960049140204</v>
      </c>
      <c r="S2540" t="s">
        <v>8992</v>
      </c>
      <c r="T2540" t="s">
        <v>12902</v>
      </c>
      <c r="U2540" t="s">
        <v>12902</v>
      </c>
      <c r="V2540" t="s">
        <v>12902</v>
      </c>
      <c r="W2540" t="s">
        <v>15403</v>
      </c>
      <c r="X2540">
        <v>36</v>
      </c>
      <c r="Y2540" t="s">
        <v>21751</v>
      </c>
      <c r="Z2540" t="s">
        <v>28115</v>
      </c>
      <c r="AA2540">
        <v>0.4607831422396772</v>
      </c>
      <c r="AB2540" t="str">
        <f>HYPERLINK("Melting_Curves/meltCurve_P46063_RECQL.pdf", "Melting_Curves/meltCurve_P46063_RECQL.pdf")</f>
        <v>Melting_Curves/meltCurve_P46063_RECQL.pdf</v>
      </c>
    </row>
    <row r="2541" spans="1:28" x14ac:dyDescent="0.25">
      <c r="A2541" t="s">
        <v>2545</v>
      </c>
      <c r="B2541">
        <v>0.99673306730245903</v>
      </c>
      <c r="C2541">
        <v>0.91611994406222297</v>
      </c>
      <c r="D2541">
        <v>0.89268137868580599</v>
      </c>
      <c r="E2541">
        <v>0.80691203858891103</v>
      </c>
      <c r="F2541">
        <v>0.77066505386172901</v>
      </c>
      <c r="G2541">
        <v>0.43713000053483297</v>
      </c>
      <c r="H2541">
        <v>0.32825249204648099</v>
      </c>
      <c r="I2541">
        <v>0.42272502298415299</v>
      </c>
      <c r="J2541">
        <v>0.69184487700428299</v>
      </c>
      <c r="K2541">
        <v>0.68640479606487903</v>
      </c>
      <c r="L2541">
        <v>1061.1580921965699</v>
      </c>
      <c r="M2541">
        <v>20.962252722954499</v>
      </c>
      <c r="O2541">
        <v>50.168387571533103</v>
      </c>
      <c r="P2541">
        <v>-5.0211532478163901E-2</v>
      </c>
      <c r="Q2541">
        <v>0.51933342881525801</v>
      </c>
      <c r="R2541">
        <v>0.68560484957123602</v>
      </c>
      <c r="S2541" t="s">
        <v>8993</v>
      </c>
      <c r="T2541" t="s">
        <v>12902</v>
      </c>
      <c r="U2541" t="s">
        <v>12902</v>
      </c>
      <c r="V2541" t="s">
        <v>12902</v>
      </c>
      <c r="W2541" t="s">
        <v>15404</v>
      </c>
      <c r="X2541">
        <v>6</v>
      </c>
      <c r="Y2541" t="s">
        <v>21752</v>
      </c>
      <c r="Z2541" t="s">
        <v>28116</v>
      </c>
      <c r="AA2541">
        <v>0.69563120706361847</v>
      </c>
      <c r="AB2541" t="str">
        <f>HYPERLINK("Melting_Curves/meltCurve_P46087_NOP2.pdf", "Melting_Curves/meltCurve_P46087_NOP2.pdf")</f>
        <v>Melting_Curves/meltCurve_P46087_NOP2.pdf</v>
      </c>
    </row>
    <row r="2542" spans="1:28" x14ac:dyDescent="0.25">
      <c r="A2542" t="s">
        <v>2546</v>
      </c>
      <c r="B2542">
        <v>0.99673306730245903</v>
      </c>
      <c r="C2542">
        <v>0.94447659202584699</v>
      </c>
      <c r="D2542">
        <v>0.78952332154392202</v>
      </c>
      <c r="E2542">
        <v>0.74493553141665902</v>
      </c>
      <c r="F2542">
        <v>0.49193448151478802</v>
      </c>
      <c r="G2542">
        <v>0.34906521933475598</v>
      </c>
      <c r="H2542">
        <v>0.18408873871791701</v>
      </c>
      <c r="I2542">
        <v>0.18237539689170601</v>
      </c>
      <c r="J2542">
        <v>0.22777557881323099</v>
      </c>
      <c r="K2542">
        <v>0.22755265794152399</v>
      </c>
      <c r="L2542">
        <v>710.60671862157699</v>
      </c>
      <c r="M2542">
        <v>13.818632346736701</v>
      </c>
      <c r="N2542">
        <v>52.942143854870899</v>
      </c>
      <c r="O2542">
        <v>50.382766528727402</v>
      </c>
      <c r="P2542">
        <v>-5.7358391647917298E-2</v>
      </c>
      <c r="Q2542">
        <v>0.16360103760379799</v>
      </c>
      <c r="R2542">
        <v>0.98141749533790101</v>
      </c>
      <c r="S2542" t="s">
        <v>8994</v>
      </c>
      <c r="T2542" t="s">
        <v>12902</v>
      </c>
      <c r="U2542" t="s">
        <v>12902</v>
      </c>
      <c r="V2542" t="s">
        <v>12902</v>
      </c>
      <c r="W2542" t="s">
        <v>15405</v>
      </c>
      <c r="X2542">
        <v>5</v>
      </c>
      <c r="Y2542" t="s">
        <v>21753</v>
      </c>
      <c r="Z2542" t="s">
        <v>28117</v>
      </c>
      <c r="AA2542">
        <v>0.50376533174836269</v>
      </c>
      <c r="AB2542" t="str">
        <f>HYPERLINK("Melting_Curves/meltCurve_P46100_2_ATRX.pdf", "Melting_Curves/meltCurve_P46100_2_ATRX.pdf")</f>
        <v>Melting_Curves/meltCurve_P46100_2_ATRX.pdf</v>
      </c>
    </row>
    <row r="2543" spans="1:28" x14ac:dyDescent="0.25">
      <c r="A2543" t="s">
        <v>2547</v>
      </c>
      <c r="B2543">
        <v>0.99673306730245903</v>
      </c>
      <c r="C2543">
        <v>1.0652934799941001</v>
      </c>
      <c r="D2543">
        <v>0.61660953786045003</v>
      </c>
      <c r="E2543">
        <v>0.46858673594925199</v>
      </c>
      <c r="F2543">
        <v>0.23405747081530601</v>
      </c>
      <c r="G2543">
        <v>0.12517883303393201</v>
      </c>
      <c r="H2543">
        <v>7.2039702090335694E-2</v>
      </c>
      <c r="I2543">
        <v>5.8291302612117901E-2</v>
      </c>
      <c r="J2543">
        <v>6.4684012065631097E-2</v>
      </c>
      <c r="K2543">
        <v>5.4625899661285199E-2</v>
      </c>
      <c r="L2543">
        <v>864.70247303248698</v>
      </c>
      <c r="M2543">
        <v>17.848472052603299</v>
      </c>
      <c r="N2543">
        <v>48.774060349349199</v>
      </c>
      <c r="O2543">
        <v>47.850985582748997</v>
      </c>
      <c r="P2543">
        <v>-8.7993367773955E-2</v>
      </c>
      <c r="Q2543">
        <v>5.6422406733300901E-2</v>
      </c>
      <c r="R2543">
        <v>0.97192640470549796</v>
      </c>
      <c r="S2543" t="s">
        <v>8995</v>
      </c>
      <c r="T2543" t="s">
        <v>12902</v>
      </c>
      <c r="U2543" t="s">
        <v>12902</v>
      </c>
      <c r="V2543" t="s">
        <v>12902</v>
      </c>
      <c r="W2543" t="s">
        <v>15406</v>
      </c>
      <c r="X2543">
        <v>13</v>
      </c>
      <c r="Y2543" t="s">
        <v>21754</v>
      </c>
      <c r="Z2543" t="s">
        <v>28118</v>
      </c>
      <c r="AA2543">
        <v>0.33892524520389022</v>
      </c>
      <c r="AB2543" t="str">
        <f>HYPERLINK("Melting_Curves/meltCurve_P46108_CRK.pdf", "Melting_Curves/meltCurve_P46108_CRK.pdf")</f>
        <v>Melting_Curves/meltCurve_P46108_CRK.pdf</v>
      </c>
    </row>
    <row r="2544" spans="1:28" x14ac:dyDescent="0.25">
      <c r="A2544" t="s">
        <v>2548</v>
      </c>
      <c r="B2544">
        <v>0.99673306730245903</v>
      </c>
      <c r="C2544">
        <v>0.98394115503665802</v>
      </c>
      <c r="D2544">
        <v>0.92340402054885995</v>
      </c>
      <c r="E2544">
        <v>0.49994853320959898</v>
      </c>
      <c r="F2544">
        <v>0.25164731090204401</v>
      </c>
      <c r="G2544">
        <v>0.15679622567540899</v>
      </c>
      <c r="H2544">
        <v>7.6498509596895997E-2</v>
      </c>
      <c r="I2544">
        <v>6.7708513392673697E-2</v>
      </c>
      <c r="J2544">
        <v>5.2148502389737103E-2</v>
      </c>
      <c r="K2544">
        <v>4.8072862451408897E-2</v>
      </c>
      <c r="L2544">
        <v>1167.90878930129</v>
      </c>
      <c r="M2544">
        <v>23.509012549403199</v>
      </c>
      <c r="N2544">
        <v>49.9860170090137</v>
      </c>
      <c r="O2544">
        <v>49.323916571662899</v>
      </c>
      <c r="P2544">
        <v>-0.111152431013311</v>
      </c>
      <c r="Q2544">
        <v>6.7186835121158195E-2</v>
      </c>
      <c r="R2544">
        <v>0.99533728830178003</v>
      </c>
      <c r="S2544" t="s">
        <v>8996</v>
      </c>
      <c r="T2544" t="s">
        <v>12902</v>
      </c>
      <c r="U2544" t="s">
        <v>12902</v>
      </c>
      <c r="V2544" t="s">
        <v>12902</v>
      </c>
      <c r="W2544" t="s">
        <v>15407</v>
      </c>
      <c r="X2544">
        <v>11</v>
      </c>
      <c r="Y2544" t="s">
        <v>21754</v>
      </c>
      <c r="Z2544" t="s">
        <v>28119</v>
      </c>
      <c r="AA2544">
        <v>0.37756120850119052</v>
      </c>
      <c r="AB2544" t="str">
        <f>HYPERLINK("Melting_Curves/meltCurve_P46108_2_CRK.pdf", "Melting_Curves/meltCurve_P46108_2_CRK.pdf")</f>
        <v>Melting_Curves/meltCurve_P46108_2_CRK.pdf</v>
      </c>
    </row>
    <row r="2545" spans="1:28" x14ac:dyDescent="0.25">
      <c r="A2545" t="s">
        <v>2549</v>
      </c>
      <c r="B2545">
        <v>0.99673306730245903</v>
      </c>
      <c r="C2545">
        <v>0.93763897237182203</v>
      </c>
      <c r="D2545">
        <v>0.76427267987807501</v>
      </c>
      <c r="E2545">
        <v>0.54231119663134897</v>
      </c>
      <c r="F2545">
        <v>0.297290340332099</v>
      </c>
      <c r="G2545">
        <v>0.16081835857837601</v>
      </c>
      <c r="H2545">
        <v>8.5785256629536705E-2</v>
      </c>
      <c r="I2545">
        <v>7.8834732020356998E-2</v>
      </c>
      <c r="J2545">
        <v>8.1166291379393601E-2</v>
      </c>
      <c r="K2545">
        <v>7.7473558501778797E-2</v>
      </c>
      <c r="L2545">
        <v>794.15156599487602</v>
      </c>
      <c r="M2545">
        <v>16.021246363367801</v>
      </c>
      <c r="N2545">
        <v>49.9514135957319</v>
      </c>
      <c r="O2545">
        <v>48.815674721207202</v>
      </c>
      <c r="P2545">
        <v>-7.7316158976171098E-2</v>
      </c>
      <c r="Q2545">
        <v>5.7764694755712297E-2</v>
      </c>
      <c r="R2545">
        <v>0.99855900095232097</v>
      </c>
      <c r="S2545" t="s">
        <v>8997</v>
      </c>
      <c r="T2545" t="s">
        <v>12902</v>
      </c>
      <c r="U2545" t="s">
        <v>12902</v>
      </c>
      <c r="V2545" t="s">
        <v>12902</v>
      </c>
      <c r="W2545" t="s">
        <v>15408</v>
      </c>
      <c r="X2545">
        <v>14</v>
      </c>
      <c r="Y2545" t="s">
        <v>21755</v>
      </c>
      <c r="Z2545" t="s">
        <v>28120</v>
      </c>
      <c r="AA2545">
        <v>0.37847861885703249</v>
      </c>
      <c r="AB2545" t="str">
        <f>HYPERLINK("Melting_Curves/meltCurve_P46109_CRKL.pdf", "Melting_Curves/meltCurve_P46109_CRKL.pdf")</f>
        <v>Melting_Curves/meltCurve_P46109_CRKL.pdf</v>
      </c>
    </row>
    <row r="2546" spans="1:28" x14ac:dyDescent="0.25">
      <c r="A2546" t="s">
        <v>2550</v>
      </c>
      <c r="B2546">
        <v>0.99673306730245903</v>
      </c>
      <c r="C2546">
        <v>0.867577065286119</v>
      </c>
      <c r="D2546">
        <v>0.60341877341045602</v>
      </c>
      <c r="E2546">
        <v>0.19040120383241901</v>
      </c>
      <c r="F2546">
        <v>0.133675140130016</v>
      </c>
      <c r="G2546">
        <v>8.6269599073256098E-2</v>
      </c>
      <c r="H2546">
        <v>5.9877621218802898E-2</v>
      </c>
      <c r="I2546">
        <v>6.4047537697508095E-2</v>
      </c>
      <c r="J2546">
        <v>7.2077935681302996E-2</v>
      </c>
      <c r="K2546">
        <v>7.4500579269671893E-2</v>
      </c>
      <c r="L2546">
        <v>1172.18429286893</v>
      </c>
      <c r="M2546">
        <v>25.282373487318999</v>
      </c>
      <c r="N2546">
        <v>46.6448148963946</v>
      </c>
      <c r="O2546">
        <v>46.0765502812732</v>
      </c>
      <c r="P2546">
        <v>-0.127484296817099</v>
      </c>
      <c r="Q2546">
        <v>7.0663034514203193E-2</v>
      </c>
      <c r="R2546">
        <v>0.99725463413434301</v>
      </c>
      <c r="S2546" t="s">
        <v>8998</v>
      </c>
      <c r="T2546" t="s">
        <v>12902</v>
      </c>
      <c r="U2546" t="s">
        <v>12902</v>
      </c>
      <c r="V2546" t="s">
        <v>12902</v>
      </c>
      <c r="W2546" t="s">
        <v>15409</v>
      </c>
      <c r="X2546">
        <v>5</v>
      </c>
      <c r="Y2546" t="s">
        <v>21756</v>
      </c>
      <c r="Z2546" t="s">
        <v>28121</v>
      </c>
      <c r="AA2546">
        <v>0.27603234756443579</v>
      </c>
      <c r="AB2546" t="str">
        <f>HYPERLINK("Melting_Curves/meltCurve_P46199_MTIF2.pdf", "Melting_Curves/meltCurve_P46199_MTIF2.pdf")</f>
        <v>Melting_Curves/meltCurve_P46199_MTIF2.pdf</v>
      </c>
    </row>
    <row r="2547" spans="1:28" x14ac:dyDescent="0.25">
      <c r="A2547" t="s">
        <v>2551</v>
      </c>
      <c r="B2547">
        <v>0.99673306730245903</v>
      </c>
      <c r="C2547">
        <v>1.0319907491626801</v>
      </c>
      <c r="D2547">
        <v>1.0565457137924901</v>
      </c>
      <c r="E2547">
        <v>0.90868487444457302</v>
      </c>
      <c r="F2547">
        <v>0.94746818912088404</v>
      </c>
      <c r="G2547">
        <v>0.80815226944056195</v>
      </c>
      <c r="H2547">
        <v>0.73074195090134997</v>
      </c>
      <c r="I2547">
        <v>1.0499299757537</v>
      </c>
      <c r="J2547">
        <v>1.5178912264531299</v>
      </c>
      <c r="K2547">
        <v>1.45066045686928</v>
      </c>
      <c r="L2547">
        <v>15000</v>
      </c>
      <c r="M2547">
        <v>232.21306364969499</v>
      </c>
      <c r="O2547">
        <v>64.591046452598306</v>
      </c>
      <c r="P2547">
        <v>0.43529030159743498</v>
      </c>
      <c r="Q2547">
        <v>1.48431144380112</v>
      </c>
      <c r="R2547">
        <v>0.77874674452036896</v>
      </c>
      <c r="S2547" t="s">
        <v>8999</v>
      </c>
      <c r="T2547" t="s">
        <v>12902</v>
      </c>
      <c r="U2547" t="s">
        <v>12902</v>
      </c>
      <c r="V2547" t="s">
        <v>12902</v>
      </c>
      <c r="W2547" t="s">
        <v>15410</v>
      </c>
      <c r="X2547">
        <v>5</v>
      </c>
      <c r="Y2547" t="s">
        <v>21757</v>
      </c>
      <c r="Z2547" t="s">
        <v>28122</v>
      </c>
      <c r="AA2547">
        <v>1.087179433021582</v>
      </c>
      <c r="AB2547" t="str">
        <f>HYPERLINK("Melting_Curves/meltCurve_P46527_CDKN1B.pdf", "Melting_Curves/meltCurve_P46527_CDKN1B.pdf")</f>
        <v>Melting_Curves/meltCurve_P46527_CDKN1B.pdf</v>
      </c>
    </row>
    <row r="2548" spans="1:28" x14ac:dyDescent="0.25">
      <c r="A2548" t="s">
        <v>2552</v>
      </c>
      <c r="B2548">
        <v>0.99673306730245903</v>
      </c>
      <c r="C2548">
        <v>0.91863475406332795</v>
      </c>
      <c r="D2548">
        <v>0.84370485230090198</v>
      </c>
      <c r="E2548">
        <v>0.53410430647592699</v>
      </c>
      <c r="F2548">
        <v>0.341463245920753</v>
      </c>
      <c r="G2548">
        <v>0.252667226489244</v>
      </c>
      <c r="H2548">
        <v>0.21716471761949299</v>
      </c>
      <c r="I2548">
        <v>0.21647999676515101</v>
      </c>
      <c r="J2548">
        <v>0.27480777358911002</v>
      </c>
      <c r="K2548">
        <v>0.22633619828790399</v>
      </c>
      <c r="L2548">
        <v>1032.4617148467801</v>
      </c>
      <c r="M2548">
        <v>21.210879503174102</v>
      </c>
      <c r="N2548">
        <v>50.108954797505298</v>
      </c>
      <c r="O2548">
        <v>48.249594399097603</v>
      </c>
      <c r="P2548">
        <v>-8.4914141950167998E-2</v>
      </c>
      <c r="Q2548">
        <v>0.22738405790149499</v>
      </c>
      <c r="R2548">
        <v>0.994752018354228</v>
      </c>
      <c r="S2548" t="s">
        <v>9000</v>
      </c>
      <c r="T2548" t="s">
        <v>12902</v>
      </c>
      <c r="U2548" t="s">
        <v>12902</v>
      </c>
      <c r="V2548" t="s">
        <v>12902</v>
      </c>
      <c r="W2548" t="s">
        <v>15411</v>
      </c>
      <c r="X2548">
        <v>5</v>
      </c>
      <c r="Y2548" t="s">
        <v>21758</v>
      </c>
      <c r="Z2548" t="s">
        <v>28123</v>
      </c>
      <c r="AA2548">
        <v>0.46044356266069669</v>
      </c>
      <c r="AB2548" t="str">
        <f>HYPERLINK("Melting_Curves/meltCurve_P46531_NOTCH1.pdf", "Melting_Curves/meltCurve_P46531_NOTCH1.pdf")</f>
        <v>Melting_Curves/meltCurve_P46531_NOTCH1.pdf</v>
      </c>
    </row>
    <row r="2549" spans="1:28" x14ac:dyDescent="0.25">
      <c r="A2549" t="s">
        <v>2553</v>
      </c>
      <c r="B2549">
        <v>0.99673306730245903</v>
      </c>
      <c r="C2549">
        <v>0.97114494580715505</v>
      </c>
      <c r="D2549">
        <v>0.70308168410207705</v>
      </c>
      <c r="E2549">
        <v>0.695863162561147</v>
      </c>
      <c r="F2549">
        <v>0.14694285950625899</v>
      </c>
      <c r="G2549">
        <v>8.1379777751051999E-2</v>
      </c>
      <c r="H2549">
        <v>4.9000959253791401E-2</v>
      </c>
      <c r="I2549">
        <v>5.2665242626670397E-2</v>
      </c>
      <c r="J2549">
        <v>5.6645403829213598E-2</v>
      </c>
      <c r="K2549">
        <v>5.3089498974990601E-2</v>
      </c>
      <c r="L2549">
        <v>976.43963263678199</v>
      </c>
      <c r="M2549">
        <v>19.5707121171449</v>
      </c>
      <c r="N2549">
        <v>50.032905956910398</v>
      </c>
      <c r="O2549">
        <v>49.380748295257902</v>
      </c>
      <c r="P2549">
        <v>-9.6444078160815502E-2</v>
      </c>
      <c r="Q2549">
        <v>2.6645387615023799E-2</v>
      </c>
      <c r="R2549">
        <v>0.96259276119352799</v>
      </c>
      <c r="S2549" t="s">
        <v>9001</v>
      </c>
      <c r="T2549" t="s">
        <v>12902</v>
      </c>
      <c r="U2549" t="s">
        <v>12902</v>
      </c>
      <c r="V2549" t="s">
        <v>12902</v>
      </c>
      <c r="W2549" t="s">
        <v>15412</v>
      </c>
      <c r="X2549">
        <v>15</v>
      </c>
      <c r="Y2549" t="s">
        <v>21759</v>
      </c>
      <c r="Z2549" t="s">
        <v>28124</v>
      </c>
      <c r="AA2549">
        <v>0.36176571733912571</v>
      </c>
      <c r="AB2549" t="str">
        <f>HYPERLINK("Melting_Curves/meltCurve_P46734_MAP2K3.pdf", "Melting_Curves/meltCurve_P46734_MAP2K3.pdf")</f>
        <v>Melting_Curves/meltCurve_P46734_MAP2K3.pdf</v>
      </c>
    </row>
    <row r="2550" spans="1:28" x14ac:dyDescent="0.25">
      <c r="A2550" t="s">
        <v>2554</v>
      </c>
      <c r="B2550">
        <v>0.99673306730245903</v>
      </c>
      <c r="C2550">
        <v>0.94091314973796103</v>
      </c>
      <c r="D2550">
        <v>1.0111018122948701</v>
      </c>
      <c r="E2550">
        <v>1.1127086635174099</v>
      </c>
      <c r="F2550">
        <v>1.2583441073789099</v>
      </c>
      <c r="G2550">
        <v>1.0856559733137401</v>
      </c>
      <c r="H2550">
        <v>0.87196312897156802</v>
      </c>
      <c r="I2550">
        <v>0.43896130078952</v>
      </c>
      <c r="J2550">
        <v>0.17596278530402701</v>
      </c>
      <c r="K2550">
        <v>0.17877895497906601</v>
      </c>
      <c r="L2550">
        <v>3152.75924660182</v>
      </c>
      <c r="M2550">
        <v>50.002984487921999</v>
      </c>
      <c r="N2550">
        <v>63.532802046946301</v>
      </c>
      <c r="O2550">
        <v>62.950822053251997</v>
      </c>
      <c r="P2550">
        <v>-0.16726743012398601</v>
      </c>
      <c r="Q2550">
        <v>0.15768125211944001</v>
      </c>
      <c r="R2550">
        <v>0.93442526822972805</v>
      </c>
      <c r="S2550" t="s">
        <v>9002</v>
      </c>
      <c r="T2550" t="s">
        <v>12902</v>
      </c>
      <c r="U2550" t="s">
        <v>12902</v>
      </c>
      <c r="V2550" t="s">
        <v>12902</v>
      </c>
      <c r="W2550" t="s">
        <v>15413</v>
      </c>
      <c r="X2550">
        <v>8</v>
      </c>
      <c r="Y2550" t="s">
        <v>21760</v>
      </c>
      <c r="Z2550" t="s">
        <v>28125</v>
      </c>
      <c r="AA2550">
        <v>0.80692674476404058</v>
      </c>
      <c r="AB2550" t="str">
        <f>HYPERLINK("Melting_Curves/meltCurve_P46736_2_BRCC3.pdf", "Melting_Curves/meltCurve_P46736_2_BRCC3.pdf")</f>
        <v>Melting_Curves/meltCurve_P46736_2_BRCC3.pdf</v>
      </c>
    </row>
    <row r="2551" spans="1:28" x14ac:dyDescent="0.25">
      <c r="A2551" t="s">
        <v>2555</v>
      </c>
      <c r="B2551">
        <v>0.99673306730245903</v>
      </c>
      <c r="C2551">
        <v>1.0060069481259699</v>
      </c>
      <c r="D2551">
        <v>1.0707384915178899</v>
      </c>
      <c r="E2551">
        <v>0.99496726758181897</v>
      </c>
      <c r="F2551">
        <v>1.0255255174461799</v>
      </c>
      <c r="G2551">
        <v>0.70470527825142004</v>
      </c>
      <c r="H2551">
        <v>0.160540842508343</v>
      </c>
      <c r="I2551">
        <v>0.107917747193832</v>
      </c>
      <c r="J2551">
        <v>0.11781760714291099</v>
      </c>
      <c r="K2551">
        <v>0.102908990663899</v>
      </c>
      <c r="L2551">
        <v>3241.7610806656699</v>
      </c>
      <c r="M2551">
        <v>56.3584095167638</v>
      </c>
      <c r="N2551">
        <v>57.777954835828403</v>
      </c>
      <c r="O2551">
        <v>57.448164522876702</v>
      </c>
      <c r="P2551">
        <v>-0.21802021211903599</v>
      </c>
      <c r="Q2551">
        <v>0.111056936419225</v>
      </c>
      <c r="R2551">
        <v>0.99638224648759599</v>
      </c>
      <c r="S2551" t="s">
        <v>9003</v>
      </c>
      <c r="T2551" t="s">
        <v>12902</v>
      </c>
      <c r="U2551" t="s">
        <v>12902</v>
      </c>
      <c r="V2551" t="s">
        <v>12902</v>
      </c>
      <c r="W2551" t="s">
        <v>15414</v>
      </c>
      <c r="X2551">
        <v>25</v>
      </c>
      <c r="Y2551" t="s">
        <v>21761</v>
      </c>
      <c r="Z2551" t="s">
        <v>28126</v>
      </c>
      <c r="AA2551">
        <v>0.63198412079639221</v>
      </c>
      <c r="AB2551" t="str">
        <f>HYPERLINK("Melting_Curves/meltCurve_P46777_RPL5.pdf", "Melting_Curves/meltCurve_P46777_RPL5.pdf")</f>
        <v>Melting_Curves/meltCurve_P46777_RPL5.pdf</v>
      </c>
    </row>
    <row r="2552" spans="1:28" x14ac:dyDescent="0.25">
      <c r="A2552" t="s">
        <v>2556</v>
      </c>
      <c r="B2552">
        <v>0.99673306730245903</v>
      </c>
      <c r="C2552">
        <v>1.05330643095632</v>
      </c>
      <c r="D2552">
        <v>0.99005235047997397</v>
      </c>
      <c r="E2552">
        <v>0.95825061632646502</v>
      </c>
      <c r="F2552">
        <v>0.83740972290779903</v>
      </c>
      <c r="G2552">
        <v>0.445733638774098</v>
      </c>
      <c r="H2552">
        <v>0.22192690267825399</v>
      </c>
      <c r="I2552">
        <v>0.17690269664181299</v>
      </c>
      <c r="J2552">
        <v>0.19068052199258201</v>
      </c>
      <c r="K2552">
        <v>0.16730601212176199</v>
      </c>
      <c r="L2552">
        <v>1731.81124791144</v>
      </c>
      <c r="M2552">
        <v>31.187330379508701</v>
      </c>
      <c r="N2552">
        <v>56.288305538243002</v>
      </c>
      <c r="O2552">
        <v>55.302510949414199</v>
      </c>
      <c r="P2552">
        <v>-0.116785691357323</v>
      </c>
      <c r="Q2552">
        <v>0.171650062537613</v>
      </c>
      <c r="R2552">
        <v>0.99728709106179303</v>
      </c>
      <c r="S2552" t="s">
        <v>9004</v>
      </c>
      <c r="T2552" t="s">
        <v>12902</v>
      </c>
      <c r="U2552" t="s">
        <v>12902</v>
      </c>
      <c r="V2552" t="s">
        <v>12902</v>
      </c>
      <c r="W2552" t="s">
        <v>15415</v>
      </c>
      <c r="X2552">
        <v>7</v>
      </c>
      <c r="Y2552" t="s">
        <v>21762</v>
      </c>
      <c r="Z2552" t="s">
        <v>28127</v>
      </c>
      <c r="AA2552">
        <v>0.60556761662167324</v>
      </c>
      <c r="AB2552" t="str">
        <f>HYPERLINK("Melting_Curves/meltCurve_P46778_RPL21.pdf", "Melting_Curves/meltCurve_P46778_RPL21.pdf")</f>
        <v>Melting_Curves/meltCurve_P46778_RPL21.pdf</v>
      </c>
    </row>
    <row r="2553" spans="1:28" x14ac:dyDescent="0.25">
      <c r="A2553" t="s">
        <v>2557</v>
      </c>
      <c r="B2553">
        <v>0.99673306730245903</v>
      </c>
      <c r="C2553">
        <v>1.05075091560011</v>
      </c>
      <c r="D2553">
        <v>0.95651342808252704</v>
      </c>
      <c r="E2553">
        <v>1.03294467150742</v>
      </c>
      <c r="F2553">
        <v>0.77188893762393995</v>
      </c>
      <c r="G2553">
        <v>0.43446448905850699</v>
      </c>
      <c r="H2553">
        <v>0.14630163882344899</v>
      </c>
      <c r="I2553">
        <v>0.100152266623648</v>
      </c>
      <c r="J2553">
        <v>9.4337837923322093E-2</v>
      </c>
      <c r="K2553">
        <v>7.9927220318141604E-2</v>
      </c>
      <c r="L2553">
        <v>1538.0136104231599</v>
      </c>
      <c r="M2553">
        <v>27.6195969637707</v>
      </c>
      <c r="N2553">
        <v>56.027376401079998</v>
      </c>
      <c r="O2553">
        <v>55.396132858262398</v>
      </c>
      <c r="P2553">
        <v>-0.114983717243743</v>
      </c>
      <c r="Q2553">
        <v>7.7525263803512698E-2</v>
      </c>
      <c r="R2553">
        <v>0.99432275845964102</v>
      </c>
      <c r="S2553" t="s">
        <v>9005</v>
      </c>
      <c r="T2553" t="s">
        <v>12902</v>
      </c>
      <c r="U2553" t="s">
        <v>12902</v>
      </c>
      <c r="V2553" t="s">
        <v>12902</v>
      </c>
      <c r="W2553" t="s">
        <v>15416</v>
      </c>
      <c r="X2553">
        <v>18</v>
      </c>
      <c r="Y2553" t="s">
        <v>21763</v>
      </c>
      <c r="Z2553" t="s">
        <v>28128</v>
      </c>
      <c r="AA2553">
        <v>0.56698737920284836</v>
      </c>
      <c r="AB2553" t="str">
        <f>HYPERLINK("Melting_Curves/meltCurve_P46781_RPS9.pdf", "Melting_Curves/meltCurve_P46781_RPS9.pdf")</f>
        <v>Melting_Curves/meltCurve_P46781_RPS9.pdf</v>
      </c>
    </row>
    <row r="2554" spans="1:28" x14ac:dyDescent="0.25">
      <c r="A2554" t="s">
        <v>2558</v>
      </c>
      <c r="B2554">
        <v>0.99673306730245903</v>
      </c>
      <c r="C2554">
        <v>1.0556458649615299</v>
      </c>
      <c r="D2554">
        <v>0.80063578702562399</v>
      </c>
      <c r="E2554">
        <v>0.80692149786394596</v>
      </c>
      <c r="F2554">
        <v>0.57065665017540301</v>
      </c>
      <c r="G2554">
        <v>0.33517760873303798</v>
      </c>
      <c r="H2554">
        <v>0.14569030750932199</v>
      </c>
      <c r="I2554">
        <v>0.14448023191266199</v>
      </c>
      <c r="J2554">
        <v>0.19136252702182499</v>
      </c>
      <c r="K2554">
        <v>0.195034179882321</v>
      </c>
      <c r="L2554">
        <v>882.20105375681896</v>
      </c>
      <c r="M2554">
        <v>16.7273109462534</v>
      </c>
      <c r="N2554">
        <v>53.741941388661601</v>
      </c>
      <c r="O2554">
        <v>52.003706411804501</v>
      </c>
      <c r="P2554">
        <v>-6.9648169747981006E-2</v>
      </c>
      <c r="Q2554">
        <v>0.133937819127385</v>
      </c>
      <c r="R2554">
        <v>0.97141849279714498</v>
      </c>
      <c r="S2554" t="s">
        <v>9006</v>
      </c>
      <c r="T2554" t="s">
        <v>12902</v>
      </c>
      <c r="U2554" t="s">
        <v>12902</v>
      </c>
      <c r="V2554" t="s">
        <v>12902</v>
      </c>
      <c r="W2554" t="s">
        <v>15417</v>
      </c>
      <c r="X2554">
        <v>12</v>
      </c>
      <c r="Y2554" t="s">
        <v>21764</v>
      </c>
      <c r="Z2554" t="s">
        <v>28129</v>
      </c>
      <c r="AA2554">
        <v>0.51774139072617065</v>
      </c>
      <c r="AB2554" t="str">
        <f>HYPERLINK("Melting_Curves/meltCurve_P46783_RPS10.pdf", "Melting_Curves/meltCurve_P46783_RPS10.pdf")</f>
        <v>Melting_Curves/meltCurve_P46783_RPS10.pdf</v>
      </c>
    </row>
    <row r="2555" spans="1:28" x14ac:dyDescent="0.25">
      <c r="A2555" t="s">
        <v>2559</v>
      </c>
      <c r="B2555">
        <v>0.99673306730245903</v>
      </c>
      <c r="C2555">
        <v>0.97532636379696402</v>
      </c>
      <c r="D2555">
        <v>1.0081732525326801</v>
      </c>
      <c r="E2555">
        <v>0.974534782698673</v>
      </c>
      <c r="F2555">
        <v>0.83091418473841105</v>
      </c>
      <c r="G2555">
        <v>0.73200858635677502</v>
      </c>
      <c r="H2555">
        <v>0.68029433547385099</v>
      </c>
      <c r="I2555">
        <v>0.94020670657764505</v>
      </c>
      <c r="J2555">
        <v>1.2236272542973501</v>
      </c>
      <c r="K2555">
        <v>0.60887406997013904</v>
      </c>
      <c r="L2555">
        <v>12484.017324710299</v>
      </c>
      <c r="M2555">
        <v>250</v>
      </c>
      <c r="O2555">
        <v>49.932897658189503</v>
      </c>
      <c r="P2555">
        <v>-0.20529121154257901</v>
      </c>
      <c r="Q2555">
        <v>0.83598751732989596</v>
      </c>
      <c r="R2555">
        <v>0.184198129704991</v>
      </c>
      <c r="S2555" t="s">
        <v>9007</v>
      </c>
      <c r="T2555" t="s">
        <v>12902</v>
      </c>
      <c r="U2555" t="s">
        <v>12902</v>
      </c>
      <c r="V2555" t="s">
        <v>12902</v>
      </c>
      <c r="W2555" t="s">
        <v>15418</v>
      </c>
      <c r="X2555">
        <v>18</v>
      </c>
      <c r="Y2555" t="s">
        <v>21765</v>
      </c>
      <c r="Z2555" t="s">
        <v>28130</v>
      </c>
      <c r="AA2555">
        <v>0.8903232040186867</v>
      </c>
      <c r="AB2555" t="str">
        <f>HYPERLINK("Melting_Curves/meltCurve_P46926_GNPDA1.pdf", "Melting_Curves/meltCurve_P46926_GNPDA1.pdf")</f>
        <v>Melting_Curves/meltCurve_P46926_GNPDA1.pdf</v>
      </c>
    </row>
    <row r="2556" spans="1:28" x14ac:dyDescent="0.25">
      <c r="A2556" t="s">
        <v>2560</v>
      </c>
      <c r="B2556">
        <v>0.99673306730245903</v>
      </c>
      <c r="C2556">
        <v>0.96670688069328903</v>
      </c>
      <c r="D2556">
        <v>0.95174236010864699</v>
      </c>
      <c r="E2556">
        <v>0.83720303455022405</v>
      </c>
      <c r="F2556">
        <v>0.73697130282589696</v>
      </c>
      <c r="G2556">
        <v>0.60047812478277096</v>
      </c>
      <c r="H2556">
        <v>0.51150094477163</v>
      </c>
      <c r="I2556">
        <v>0.75155473327709899</v>
      </c>
      <c r="J2556">
        <v>1.2232908063574599</v>
      </c>
      <c r="K2556">
        <v>1.1724031780648201</v>
      </c>
      <c r="L2556">
        <v>2708.0348002924402</v>
      </c>
      <c r="M2556">
        <v>58.008308277487203</v>
      </c>
      <c r="O2556">
        <v>46.628193990685602</v>
      </c>
      <c r="P2556">
        <v>-5.20614832258973E-2</v>
      </c>
      <c r="Q2556">
        <v>0.83260802820567803</v>
      </c>
      <c r="R2556">
        <v>8.3382306249259602E-2</v>
      </c>
      <c r="S2556" t="s">
        <v>9008</v>
      </c>
      <c r="T2556" t="s">
        <v>12902</v>
      </c>
      <c r="U2556" t="s">
        <v>12902</v>
      </c>
      <c r="V2556" t="s">
        <v>12902</v>
      </c>
      <c r="W2556" t="s">
        <v>15419</v>
      </c>
      <c r="X2556">
        <v>9</v>
      </c>
      <c r="Y2556" t="s">
        <v>21766</v>
      </c>
      <c r="Z2556" t="s">
        <v>28131</v>
      </c>
      <c r="AA2556">
        <v>0.8701564707150633</v>
      </c>
      <c r="AB2556" t="str">
        <f>HYPERLINK("Melting_Curves/meltCurve_P46937_YAP1.pdf", "Melting_Curves/meltCurve_P46937_YAP1.pdf")</f>
        <v>Melting_Curves/meltCurve_P46937_YAP1.pdf</v>
      </c>
    </row>
    <row r="2557" spans="1:28" x14ac:dyDescent="0.25">
      <c r="A2557" t="s">
        <v>2561</v>
      </c>
      <c r="B2557">
        <v>0.99673306730245903</v>
      </c>
      <c r="C2557">
        <v>0.90069721449518103</v>
      </c>
      <c r="D2557">
        <v>0.50840522513753705</v>
      </c>
      <c r="E2557">
        <v>0.27824668953458698</v>
      </c>
      <c r="F2557">
        <v>0.187140296478053</v>
      </c>
      <c r="G2557">
        <v>0.116970763192087</v>
      </c>
      <c r="H2557">
        <v>7.4201655627147797E-2</v>
      </c>
      <c r="I2557">
        <v>7.4748139881518197E-2</v>
      </c>
      <c r="J2557">
        <v>8.8939942745040607E-2</v>
      </c>
      <c r="K2557">
        <v>7.5494692113491399E-2</v>
      </c>
      <c r="L2557">
        <v>1012.18603825118</v>
      </c>
      <c r="M2557">
        <v>21.936783155157801</v>
      </c>
      <c r="N2557">
        <v>46.5700635067614</v>
      </c>
      <c r="O2557">
        <v>45.762736603538301</v>
      </c>
      <c r="P2557">
        <v>-0.108878647707537</v>
      </c>
      <c r="Q2557">
        <v>9.14852489931441E-2</v>
      </c>
      <c r="R2557">
        <v>0.99122461550902397</v>
      </c>
      <c r="S2557" t="s">
        <v>9009</v>
      </c>
      <c r="T2557" t="s">
        <v>12902</v>
      </c>
      <c r="U2557" t="s">
        <v>12902</v>
      </c>
      <c r="V2557" t="s">
        <v>12902</v>
      </c>
      <c r="W2557" t="s">
        <v>15420</v>
      </c>
      <c r="X2557">
        <v>74</v>
      </c>
      <c r="Y2557" t="s">
        <v>21767</v>
      </c>
      <c r="Z2557" t="s">
        <v>28132</v>
      </c>
      <c r="AA2557">
        <v>0.28871519995619882</v>
      </c>
      <c r="AB2557" t="str">
        <f>HYPERLINK("Melting_Curves/meltCurve_P46939_UTRN.pdf", "Melting_Curves/meltCurve_P46939_UTRN.pdf")</f>
        <v>Melting_Curves/meltCurve_P46939_UTRN.pdf</v>
      </c>
    </row>
    <row r="2558" spans="1:28" x14ac:dyDescent="0.25">
      <c r="A2558" t="s">
        <v>2562</v>
      </c>
      <c r="B2558">
        <v>0.99673306730245903</v>
      </c>
      <c r="C2558">
        <v>0.93578933430466404</v>
      </c>
      <c r="D2558">
        <v>0.79712488831706696</v>
      </c>
      <c r="E2558">
        <v>0.89315501300626998</v>
      </c>
      <c r="F2558">
        <v>0.181995723841476</v>
      </c>
      <c r="G2558">
        <v>0.121792680619781</v>
      </c>
      <c r="H2558">
        <v>6.8077275123291897E-2</v>
      </c>
      <c r="I2558">
        <v>6.3740380207754396E-2</v>
      </c>
      <c r="J2558">
        <v>6.34896481057768E-2</v>
      </c>
      <c r="K2558">
        <v>5.2605144758868197E-2</v>
      </c>
      <c r="L2558">
        <v>2853.1152235026898</v>
      </c>
      <c r="M2558">
        <v>55.565228284931798</v>
      </c>
      <c r="N2558">
        <v>51.4909712890164</v>
      </c>
      <c r="O2558">
        <v>51.280759809897198</v>
      </c>
      <c r="P2558">
        <v>-0.251415050238324</v>
      </c>
      <c r="Q2558">
        <v>7.1883859991149698E-2</v>
      </c>
      <c r="R2558">
        <v>0.97079269775806398</v>
      </c>
      <c r="S2558" t="s">
        <v>9010</v>
      </c>
      <c r="T2558" t="s">
        <v>12902</v>
      </c>
      <c r="U2558" t="s">
        <v>12902</v>
      </c>
      <c r="V2558" t="s">
        <v>12902</v>
      </c>
      <c r="W2558" t="s">
        <v>15421</v>
      </c>
      <c r="X2558">
        <v>56</v>
      </c>
      <c r="Y2558" t="s">
        <v>21768</v>
      </c>
      <c r="Z2558" t="s">
        <v>28133</v>
      </c>
      <c r="AA2558">
        <v>0.42463276167471597</v>
      </c>
      <c r="AB2558" t="str">
        <f>HYPERLINK("Melting_Curves/meltCurve_P46940_IQGAP1.pdf", "Melting_Curves/meltCurve_P46940_IQGAP1.pdf")</f>
        <v>Melting_Curves/meltCurve_P46940_IQGAP1.pdf</v>
      </c>
    </row>
    <row r="2559" spans="1:28" x14ac:dyDescent="0.25">
      <c r="A2559" t="s">
        <v>2563</v>
      </c>
      <c r="B2559">
        <v>0.99673306730245903</v>
      </c>
      <c r="C2559">
        <v>0.95881059210292197</v>
      </c>
      <c r="D2559">
        <v>0.95070824206926496</v>
      </c>
      <c r="E2559">
        <v>1.04170089353757</v>
      </c>
      <c r="F2559">
        <v>0.34985328022272699</v>
      </c>
      <c r="G2559">
        <v>0.25919437967852499</v>
      </c>
      <c r="H2559">
        <v>0.19404872379555799</v>
      </c>
      <c r="I2559">
        <v>0.14729511235727999</v>
      </c>
      <c r="J2559">
        <v>0.19630045303319299</v>
      </c>
      <c r="K2559">
        <v>0.17832838457974601</v>
      </c>
      <c r="L2559">
        <v>13223.6614348273</v>
      </c>
      <c r="M2559">
        <v>250</v>
      </c>
      <c r="N2559">
        <v>52.999459250113198</v>
      </c>
      <c r="O2559">
        <v>52.891285815203197</v>
      </c>
      <c r="P2559">
        <v>-0.951204633497434</v>
      </c>
      <c r="Q2559">
        <v>0.195033400128139</v>
      </c>
      <c r="R2559">
        <v>0.99128633729293503</v>
      </c>
      <c r="S2559" t="s">
        <v>9011</v>
      </c>
      <c r="T2559" t="s">
        <v>12902</v>
      </c>
      <c r="U2559" t="s">
        <v>12902</v>
      </c>
      <c r="V2559" t="s">
        <v>12902</v>
      </c>
      <c r="W2559" t="s">
        <v>15422</v>
      </c>
      <c r="X2559">
        <v>11</v>
      </c>
      <c r="Y2559" t="s">
        <v>21769</v>
      </c>
      <c r="Z2559" t="s">
        <v>28134</v>
      </c>
      <c r="AA2559">
        <v>0.5411000958422002</v>
      </c>
      <c r="AB2559" t="str">
        <f>HYPERLINK("Melting_Curves/meltCurve_P46976_2_GYG1.pdf", "Melting_Curves/meltCurve_P46976_2_GYG1.pdf")</f>
        <v>Melting_Curves/meltCurve_P46976_2_GYG1.pdf</v>
      </c>
    </row>
    <row r="2560" spans="1:28" x14ac:dyDescent="0.25">
      <c r="A2560" t="s">
        <v>2564</v>
      </c>
      <c r="B2560">
        <v>0.99673306730245903</v>
      </c>
      <c r="C2560">
        <v>0.97921602821099796</v>
      </c>
      <c r="D2560">
        <v>0.60753031947932801</v>
      </c>
      <c r="E2560">
        <v>0.77416024059103306</v>
      </c>
      <c r="F2560">
        <v>0.28251975371253302</v>
      </c>
      <c r="G2560">
        <v>0.114709398308157</v>
      </c>
      <c r="H2560">
        <v>6.7932855729413294E-2</v>
      </c>
      <c r="I2560">
        <v>7.1015284286103403E-2</v>
      </c>
      <c r="J2560">
        <v>6.9871364151965196E-2</v>
      </c>
      <c r="K2560">
        <v>6.2996818437426605E-2</v>
      </c>
      <c r="L2560">
        <v>734.69324855121397</v>
      </c>
      <c r="M2560">
        <v>14.5447272108568</v>
      </c>
      <c r="N2560">
        <v>50.633859073035701</v>
      </c>
      <c r="O2560">
        <v>49.586636009939397</v>
      </c>
      <c r="P2560">
        <v>-7.2084036955649106E-2</v>
      </c>
      <c r="Q2560">
        <v>1.71016056200867E-2</v>
      </c>
      <c r="R2560">
        <v>0.93394925497181702</v>
      </c>
      <c r="S2560" t="s">
        <v>9012</v>
      </c>
      <c r="T2560" t="s">
        <v>12902</v>
      </c>
      <c r="U2560" t="s">
        <v>12902</v>
      </c>
      <c r="V2560" t="s">
        <v>12902</v>
      </c>
      <c r="W2560" t="s">
        <v>15423</v>
      </c>
      <c r="X2560">
        <v>12</v>
      </c>
      <c r="Y2560" t="s">
        <v>21770</v>
      </c>
      <c r="Z2560" t="s">
        <v>28135</v>
      </c>
      <c r="AA2560">
        <v>0.38583104930911449</v>
      </c>
      <c r="AB2560" t="str">
        <f>HYPERLINK("Melting_Curves/meltCurve_P46977_STT3A.pdf", "Melting_Curves/meltCurve_P46977_STT3A.pdf")</f>
        <v>Melting_Curves/meltCurve_P46977_STT3A.pdf</v>
      </c>
    </row>
    <row r="2561" spans="1:28" x14ac:dyDescent="0.25">
      <c r="A2561" t="s">
        <v>2565</v>
      </c>
      <c r="B2561">
        <v>0.99673306730245903</v>
      </c>
      <c r="C2561">
        <v>0.97251789543517697</v>
      </c>
      <c r="D2561">
        <v>0.91689077237943695</v>
      </c>
      <c r="E2561">
        <v>0.67404374985882798</v>
      </c>
      <c r="F2561">
        <v>0.29775329029317199</v>
      </c>
      <c r="G2561">
        <v>0.19052872790796899</v>
      </c>
      <c r="H2561">
        <v>0.122349567618827</v>
      </c>
      <c r="I2561">
        <v>0.10809831187272299</v>
      </c>
      <c r="J2561">
        <v>0.117272044634395</v>
      </c>
      <c r="K2561">
        <v>9.1023616598184198E-2</v>
      </c>
      <c r="L2561">
        <v>1206.54048188909</v>
      </c>
      <c r="M2561">
        <v>23.8363637613311</v>
      </c>
      <c r="N2561">
        <v>51.125837095111102</v>
      </c>
      <c r="O2561">
        <v>50.265411514043699</v>
      </c>
      <c r="P2561">
        <v>-0.106049518613773</v>
      </c>
      <c r="Q2561">
        <v>0.105478311819531</v>
      </c>
      <c r="R2561">
        <v>0.99867887906321395</v>
      </c>
      <c r="S2561" t="s">
        <v>9013</v>
      </c>
      <c r="T2561" t="s">
        <v>12902</v>
      </c>
      <c r="U2561" t="s">
        <v>12902</v>
      </c>
      <c r="V2561" t="s">
        <v>12902</v>
      </c>
      <c r="W2561" t="s">
        <v>15424</v>
      </c>
      <c r="X2561">
        <v>9</v>
      </c>
      <c r="Y2561" t="s">
        <v>21771</v>
      </c>
      <c r="Z2561" t="s">
        <v>28136</v>
      </c>
      <c r="AA2561">
        <v>0.43091156086150839</v>
      </c>
      <c r="AB2561" t="str">
        <f>HYPERLINK("Melting_Curves/meltCurve_P47712_PLA2G4A.pdf", "Melting_Curves/meltCurve_P47712_PLA2G4A.pdf")</f>
        <v>Melting_Curves/meltCurve_P47712_PLA2G4A.pdf</v>
      </c>
    </row>
    <row r="2562" spans="1:28" x14ac:dyDescent="0.25">
      <c r="A2562" t="s">
        <v>2566</v>
      </c>
      <c r="B2562">
        <v>0.99673306730245903</v>
      </c>
      <c r="C2562">
        <v>0.88517215190380905</v>
      </c>
      <c r="D2562">
        <v>0.79558779147967396</v>
      </c>
      <c r="E2562">
        <v>0.76276520771543499</v>
      </c>
      <c r="F2562">
        <v>0.37091750279475999</v>
      </c>
      <c r="G2562">
        <v>0.205202677208106</v>
      </c>
      <c r="H2562">
        <v>0.101915400104464</v>
      </c>
      <c r="I2562">
        <v>7.7144286458407096E-2</v>
      </c>
      <c r="J2562">
        <v>8.52636273227277E-2</v>
      </c>
      <c r="K2562">
        <v>7.3522816820525305E-2</v>
      </c>
      <c r="L2562">
        <v>783.55526135647096</v>
      </c>
      <c r="M2562">
        <v>15.2035332785383</v>
      </c>
      <c r="N2562">
        <v>51.797340253575399</v>
      </c>
      <c r="O2562">
        <v>50.670735912767498</v>
      </c>
      <c r="P2562">
        <v>-7.2266313407938307E-2</v>
      </c>
      <c r="Q2562">
        <v>3.6687822092245803E-2</v>
      </c>
      <c r="R2562">
        <v>0.98128619475158496</v>
      </c>
      <c r="S2562" t="s">
        <v>9014</v>
      </c>
      <c r="T2562" t="s">
        <v>12902</v>
      </c>
      <c r="U2562" t="s">
        <v>12902</v>
      </c>
      <c r="V2562" t="s">
        <v>12902</v>
      </c>
      <c r="W2562" t="s">
        <v>15425</v>
      </c>
      <c r="X2562">
        <v>16</v>
      </c>
      <c r="Y2562" t="s">
        <v>21772</v>
      </c>
      <c r="Z2562" t="s">
        <v>28137</v>
      </c>
      <c r="AA2562">
        <v>0.42857916347683023</v>
      </c>
      <c r="AB2562" t="str">
        <f>HYPERLINK("Melting_Curves/meltCurve_P47755_CAPZA2.pdf", "Melting_Curves/meltCurve_P47755_CAPZA2.pdf")</f>
        <v>Melting_Curves/meltCurve_P47755_CAPZA2.pdf</v>
      </c>
    </row>
    <row r="2563" spans="1:28" x14ac:dyDescent="0.25">
      <c r="A2563" t="s">
        <v>2567</v>
      </c>
      <c r="B2563">
        <v>0.99673306730245903</v>
      </c>
      <c r="C2563">
        <v>0.87378968053459005</v>
      </c>
      <c r="D2563">
        <v>0.95954676049216403</v>
      </c>
      <c r="E2563">
        <v>0.94244230267201801</v>
      </c>
      <c r="F2563">
        <v>0.48017102787230798</v>
      </c>
      <c r="G2563">
        <v>0.25697933744177498</v>
      </c>
      <c r="H2563">
        <v>0.14643191582451101</v>
      </c>
      <c r="I2563">
        <v>0.11798641332574999</v>
      </c>
      <c r="J2563">
        <v>9.5535985667972403E-2</v>
      </c>
      <c r="K2563">
        <v>8.5690546322487404E-2</v>
      </c>
      <c r="L2563">
        <v>1561.2009541610601</v>
      </c>
      <c r="M2563">
        <v>29.506243132153202</v>
      </c>
      <c r="N2563">
        <v>53.361170550852499</v>
      </c>
      <c r="O2563">
        <v>52.669595812643799</v>
      </c>
      <c r="P2563">
        <v>-0.124619325849063</v>
      </c>
      <c r="Q2563">
        <v>0.110207746481925</v>
      </c>
      <c r="R2563">
        <v>0.983671583901083</v>
      </c>
      <c r="S2563" t="s">
        <v>9015</v>
      </c>
      <c r="T2563" t="s">
        <v>12902</v>
      </c>
      <c r="U2563" t="s">
        <v>12902</v>
      </c>
      <c r="V2563" t="s">
        <v>12902</v>
      </c>
      <c r="W2563" t="s">
        <v>15426</v>
      </c>
      <c r="X2563">
        <v>21</v>
      </c>
      <c r="Y2563" t="s">
        <v>21773</v>
      </c>
      <c r="Z2563" t="s">
        <v>28138</v>
      </c>
      <c r="AA2563">
        <v>0.49909425889116749</v>
      </c>
      <c r="AB2563" t="str">
        <f>HYPERLINK("Melting_Curves/meltCurve_P47756_2_CAPZB.pdf", "Melting_Curves/meltCurve_P47756_2_CAPZB.pdf")</f>
        <v>Melting_Curves/meltCurve_P47756_2_CAPZB.pdf</v>
      </c>
    </row>
    <row r="2564" spans="1:28" x14ac:dyDescent="0.25">
      <c r="A2564" t="s">
        <v>2568</v>
      </c>
      <c r="B2564">
        <v>0.99673306730245903</v>
      </c>
      <c r="C2564">
        <v>1.0667584220634201</v>
      </c>
      <c r="D2564">
        <v>0.74446987317659397</v>
      </c>
      <c r="E2564">
        <v>0.90661369214850995</v>
      </c>
      <c r="F2564">
        <v>0.65250291867252996</v>
      </c>
      <c r="G2564">
        <v>0.39463365768910103</v>
      </c>
      <c r="H2564">
        <v>0.15120009617067801</v>
      </c>
      <c r="I2564">
        <v>0.13454323335912699</v>
      </c>
      <c r="J2564">
        <v>0.13432951366534199</v>
      </c>
      <c r="K2564">
        <v>0.11989415299758199</v>
      </c>
      <c r="L2564">
        <v>905.93152973560802</v>
      </c>
      <c r="M2564">
        <v>16.623017484644901</v>
      </c>
      <c r="N2564">
        <v>55.016169999933197</v>
      </c>
      <c r="O2564">
        <v>53.728233479824297</v>
      </c>
      <c r="P2564">
        <v>-7.1754045114370196E-2</v>
      </c>
      <c r="Q2564">
        <v>7.2380716229934597E-2</v>
      </c>
      <c r="R2564">
        <v>0.95498503228704401</v>
      </c>
      <c r="S2564" t="s">
        <v>9016</v>
      </c>
      <c r="T2564" t="s">
        <v>12902</v>
      </c>
      <c r="U2564" t="s">
        <v>12902</v>
      </c>
      <c r="V2564" t="s">
        <v>12902</v>
      </c>
      <c r="W2564" t="s">
        <v>15427</v>
      </c>
      <c r="X2564">
        <v>11</v>
      </c>
      <c r="Y2564" t="s">
        <v>21774</v>
      </c>
      <c r="Z2564" t="s">
        <v>28139</v>
      </c>
      <c r="AA2564">
        <v>0.53698133432469475</v>
      </c>
      <c r="AB2564" t="str">
        <f>HYPERLINK("Melting_Curves/meltCurve_P47813_EIF1AX.pdf", "Melting_Curves/meltCurve_P47813_EIF1AX.pdf")</f>
        <v>Melting_Curves/meltCurve_P47813_EIF1AX.pdf</v>
      </c>
    </row>
    <row r="2565" spans="1:28" x14ac:dyDescent="0.25">
      <c r="A2565" t="s">
        <v>2569</v>
      </c>
      <c r="B2565">
        <v>0.99673306730245903</v>
      </c>
      <c r="C2565">
        <v>0.92459545284264499</v>
      </c>
      <c r="D2565">
        <v>0.59311916105692297</v>
      </c>
      <c r="E2565">
        <v>0.26866446292420998</v>
      </c>
      <c r="F2565">
        <v>0.16861659093575901</v>
      </c>
      <c r="G2565">
        <v>0.106577645419397</v>
      </c>
      <c r="H2565">
        <v>7.7272760812573907E-2</v>
      </c>
      <c r="I2565">
        <v>6.4196775075727699E-2</v>
      </c>
      <c r="J2565">
        <v>7.6221137939610203E-2</v>
      </c>
      <c r="K2565">
        <v>6.8348294430056494E-2</v>
      </c>
      <c r="L2565">
        <v>1074.59992411243</v>
      </c>
      <c r="M2565">
        <v>23.023504234719201</v>
      </c>
      <c r="N2565">
        <v>47.0299742205302</v>
      </c>
      <c r="O2565">
        <v>46.3262134818494</v>
      </c>
      <c r="P2565">
        <v>-0.114314600383184</v>
      </c>
      <c r="Q2565">
        <v>7.9955418574711598E-2</v>
      </c>
      <c r="R2565">
        <v>0.99681084279907095</v>
      </c>
      <c r="S2565" t="s">
        <v>9017</v>
      </c>
      <c r="T2565" t="s">
        <v>12902</v>
      </c>
      <c r="U2565" t="s">
        <v>12902</v>
      </c>
      <c r="V2565" t="s">
        <v>12902</v>
      </c>
      <c r="W2565" t="s">
        <v>15428</v>
      </c>
      <c r="X2565">
        <v>22</v>
      </c>
      <c r="Y2565" t="s">
        <v>21775</v>
      </c>
      <c r="Z2565" t="s">
        <v>28140</v>
      </c>
      <c r="AA2565">
        <v>0.29459488702759912</v>
      </c>
      <c r="AB2565" t="str">
        <f>HYPERLINK("Melting_Curves/meltCurve_P47897_QARS.pdf", "Melting_Curves/meltCurve_P47897_QARS.pdf")</f>
        <v>Melting_Curves/meltCurve_P47897_QARS.pdf</v>
      </c>
    </row>
    <row r="2566" spans="1:28" x14ac:dyDescent="0.25">
      <c r="A2566" t="s">
        <v>2570</v>
      </c>
      <c r="B2566">
        <v>0.99673306730245903</v>
      </c>
      <c r="C2566">
        <v>0.97132343885696903</v>
      </c>
      <c r="D2566">
        <v>1.09993567982914</v>
      </c>
      <c r="E2566">
        <v>0.97776299155899304</v>
      </c>
      <c r="F2566">
        <v>0.53857193091520095</v>
      </c>
      <c r="G2566">
        <v>0.39689533943241601</v>
      </c>
      <c r="H2566">
        <v>0.30152010573689803</v>
      </c>
      <c r="I2566">
        <v>0.28771494486694899</v>
      </c>
      <c r="J2566">
        <v>0.41060391206075803</v>
      </c>
      <c r="K2566">
        <v>0.37033845854664699</v>
      </c>
      <c r="L2566">
        <v>2892.2630620099299</v>
      </c>
      <c r="M2566">
        <v>55.238515814667601</v>
      </c>
      <c r="N2566">
        <v>53.533388994383401</v>
      </c>
      <c r="O2566">
        <v>52.291046464495103</v>
      </c>
      <c r="P2566">
        <v>-0.17137275314676201</v>
      </c>
      <c r="Q2566">
        <v>0.35108643947902801</v>
      </c>
      <c r="R2566">
        <v>0.97715752042586201</v>
      </c>
      <c r="S2566" t="s">
        <v>9018</v>
      </c>
      <c r="T2566" t="s">
        <v>12902</v>
      </c>
      <c r="U2566" t="s">
        <v>12902</v>
      </c>
      <c r="V2566" t="s">
        <v>12902</v>
      </c>
      <c r="W2566" t="s">
        <v>15429</v>
      </c>
      <c r="X2566">
        <v>6</v>
      </c>
      <c r="Y2566" t="s">
        <v>21776</v>
      </c>
      <c r="Z2566" t="s">
        <v>28141</v>
      </c>
      <c r="AA2566">
        <v>0.61965545781396147</v>
      </c>
      <c r="AB2566" t="str">
        <f>HYPERLINK("Melting_Curves/meltCurve_P47914_RPL29.pdf", "Melting_Curves/meltCurve_P47914_RPL29.pdf")</f>
        <v>Melting_Curves/meltCurve_P47914_RPL29.pdf</v>
      </c>
    </row>
    <row r="2567" spans="1:28" x14ac:dyDescent="0.25">
      <c r="A2567" t="s">
        <v>2571</v>
      </c>
      <c r="B2567">
        <v>0.99673306730245903</v>
      </c>
      <c r="C2567">
        <v>0.95211754954139405</v>
      </c>
      <c r="D2567">
        <v>0.76208404320384304</v>
      </c>
      <c r="E2567">
        <v>0.46105840351645999</v>
      </c>
      <c r="F2567">
        <v>0.31772028998820301</v>
      </c>
      <c r="G2567">
        <v>0.214663608927118</v>
      </c>
      <c r="H2567">
        <v>0.14786787322087599</v>
      </c>
      <c r="I2567">
        <v>0.17242670858966999</v>
      </c>
      <c r="J2567">
        <v>0.21118081096320501</v>
      </c>
      <c r="K2567">
        <v>0.22788419944112401</v>
      </c>
      <c r="L2567">
        <v>990.62334302669603</v>
      </c>
      <c r="M2567">
        <v>20.608317885468299</v>
      </c>
      <c r="N2567">
        <v>49.201152753785003</v>
      </c>
      <c r="O2567">
        <v>47.623334834014798</v>
      </c>
      <c r="P2567">
        <v>-8.7761429984321002E-2</v>
      </c>
      <c r="Q2567">
        <v>0.18879889389770599</v>
      </c>
      <c r="R2567">
        <v>0.99357732417676203</v>
      </c>
      <c r="S2567" t="s">
        <v>9019</v>
      </c>
      <c r="T2567" t="s">
        <v>12902</v>
      </c>
      <c r="U2567" t="s">
        <v>12902</v>
      </c>
      <c r="V2567" t="s">
        <v>12902</v>
      </c>
      <c r="W2567" t="s">
        <v>15430</v>
      </c>
      <c r="X2567">
        <v>9</v>
      </c>
      <c r="Y2567" t="s">
        <v>21777</v>
      </c>
      <c r="Z2567" t="s">
        <v>28142</v>
      </c>
      <c r="AA2567">
        <v>0.41779238040523581</v>
      </c>
      <c r="AB2567" t="str">
        <f>HYPERLINK("Melting_Curves/meltCurve_P47929_LGALS7.pdf", "Melting_Curves/meltCurve_P47929_LGALS7.pdf")</f>
        <v>Melting_Curves/meltCurve_P47929_LGALS7.pdf</v>
      </c>
    </row>
    <row r="2568" spans="1:28" x14ac:dyDescent="0.25">
      <c r="A2568" t="s">
        <v>2572</v>
      </c>
      <c r="B2568">
        <v>0.99673306730245903</v>
      </c>
      <c r="C2568">
        <v>0.933711303360371</v>
      </c>
      <c r="D2568">
        <v>0.85302897237438602</v>
      </c>
      <c r="E2568">
        <v>0.87493370952990202</v>
      </c>
      <c r="F2568">
        <v>0.760488829148246</v>
      </c>
      <c r="G2568">
        <v>0.61724910479712303</v>
      </c>
      <c r="H2568">
        <v>0.50429080607082399</v>
      </c>
      <c r="I2568">
        <v>0.41237713166172502</v>
      </c>
      <c r="J2568">
        <v>0.55665222092149802</v>
      </c>
      <c r="K2568">
        <v>0.38456350225323399</v>
      </c>
      <c r="L2568">
        <v>519.34690361984406</v>
      </c>
      <c r="M2568">
        <v>9.4117137728089393</v>
      </c>
      <c r="N2568">
        <v>62.771581351873202</v>
      </c>
      <c r="O2568">
        <v>52.861792201667299</v>
      </c>
      <c r="P2568">
        <v>-2.94046397570299E-2</v>
      </c>
      <c r="Q2568">
        <v>0.33978902319759202</v>
      </c>
      <c r="R2568">
        <v>0.93940862234066702</v>
      </c>
      <c r="S2568" t="s">
        <v>9020</v>
      </c>
      <c r="T2568" t="s">
        <v>12902</v>
      </c>
      <c r="U2568" t="s">
        <v>12902</v>
      </c>
      <c r="V2568" t="s">
        <v>12902</v>
      </c>
      <c r="W2568" t="s">
        <v>15431</v>
      </c>
      <c r="X2568">
        <v>15</v>
      </c>
      <c r="Y2568" t="s">
        <v>21778</v>
      </c>
      <c r="Z2568" t="s">
        <v>28143</v>
      </c>
      <c r="AA2568">
        <v>0.69068917000174512</v>
      </c>
      <c r="AB2568" t="str">
        <f>HYPERLINK("Melting_Curves/meltCurve_P47985_UQCRFS1.pdf", "Melting_Curves/meltCurve_P47985_UQCRFS1.pdf")</f>
        <v>Melting_Curves/meltCurve_P47985_UQCRFS1.pdf</v>
      </c>
    </row>
    <row r="2569" spans="1:28" x14ac:dyDescent="0.25">
      <c r="A2569" t="s">
        <v>2573</v>
      </c>
      <c r="B2569">
        <v>0.99673306730245903</v>
      </c>
      <c r="C2569">
        <v>0.95733482068936204</v>
      </c>
      <c r="D2569">
        <v>0.85457752472109405</v>
      </c>
      <c r="E2569">
        <v>0.66582671458209697</v>
      </c>
      <c r="F2569">
        <v>0.62534354389845903</v>
      </c>
      <c r="G2569">
        <v>0.555306632079412</v>
      </c>
      <c r="H2569">
        <v>0.46641590356039297</v>
      </c>
      <c r="I2569">
        <v>0.340333312312668</v>
      </c>
      <c r="J2569">
        <v>0.14096900756293301</v>
      </c>
      <c r="K2569">
        <v>0.101246467352514</v>
      </c>
      <c r="L2569">
        <v>453.644931598396</v>
      </c>
      <c r="M2569">
        <v>7.9806328693351896</v>
      </c>
      <c r="N2569">
        <v>56.8432231706498</v>
      </c>
      <c r="O2569">
        <v>53.607005138126702</v>
      </c>
      <c r="P2569">
        <v>-3.72607122561225E-2</v>
      </c>
      <c r="Q2569">
        <v>0</v>
      </c>
      <c r="R2569">
        <v>0.955831095665996</v>
      </c>
      <c r="S2569" t="s">
        <v>9021</v>
      </c>
      <c r="T2569" t="s">
        <v>12902</v>
      </c>
      <c r="U2569" t="s">
        <v>12902</v>
      </c>
      <c r="V2569" t="s">
        <v>12902</v>
      </c>
      <c r="W2569" t="s">
        <v>15432</v>
      </c>
      <c r="X2569">
        <v>2</v>
      </c>
      <c r="Y2569" t="s">
        <v>21779</v>
      </c>
      <c r="Z2569" t="s">
        <v>28144</v>
      </c>
      <c r="AA2569">
        <v>0.57463330760684006</v>
      </c>
      <c r="AB2569" t="str">
        <f>HYPERLINK("Melting_Curves/meltCurve_P48029_SLC6A8.pdf", "Melting_Curves/meltCurve_P48029_SLC6A8.pdf")</f>
        <v>Melting_Curves/meltCurve_P48029_SLC6A8.pdf</v>
      </c>
    </row>
    <row r="2570" spans="1:28" x14ac:dyDescent="0.25">
      <c r="A2570" t="s">
        <v>2574</v>
      </c>
      <c r="B2570">
        <v>0.99673306730245903</v>
      </c>
      <c r="C2570">
        <v>0.97280278132310405</v>
      </c>
      <c r="D2570">
        <v>0.97090199137896604</v>
      </c>
      <c r="E2570">
        <v>0.97211041617737204</v>
      </c>
      <c r="F2570">
        <v>0.80336104733178404</v>
      </c>
      <c r="G2570">
        <v>0.72847512023834804</v>
      </c>
      <c r="H2570">
        <v>0.75961410087768599</v>
      </c>
      <c r="I2570">
        <v>0.22513852818045499</v>
      </c>
      <c r="J2570">
        <v>0.10182718770952801</v>
      </c>
      <c r="K2570">
        <v>7.86064156142528E-2</v>
      </c>
      <c r="L2570">
        <v>1159.3758828857999</v>
      </c>
      <c r="M2570">
        <v>18.870839309711499</v>
      </c>
      <c r="N2570">
        <v>61.437433744319499</v>
      </c>
      <c r="O2570">
        <v>60.759979903493097</v>
      </c>
      <c r="P2570">
        <v>-7.76481992119359E-2</v>
      </c>
      <c r="Q2570">
        <v>0</v>
      </c>
      <c r="R2570">
        <v>0.92978859660820001</v>
      </c>
      <c r="S2570" t="s">
        <v>9022</v>
      </c>
      <c r="T2570" t="s">
        <v>12902</v>
      </c>
      <c r="U2570" t="s">
        <v>12902</v>
      </c>
      <c r="V2570" t="s">
        <v>12902</v>
      </c>
      <c r="W2570" t="s">
        <v>15433</v>
      </c>
      <c r="X2570">
        <v>17</v>
      </c>
      <c r="Y2570" t="s">
        <v>21780</v>
      </c>
      <c r="Z2570" t="s">
        <v>28145</v>
      </c>
      <c r="AA2570">
        <v>0.71889597460555654</v>
      </c>
      <c r="AB2570" t="str">
        <f>HYPERLINK("Melting_Curves/meltCurve_P48047_ATP5O.pdf", "Melting_Curves/meltCurve_P48047_ATP5O.pdf")</f>
        <v>Melting_Curves/meltCurve_P48047_ATP5O.pdf</v>
      </c>
    </row>
    <row r="2571" spans="1:28" x14ac:dyDescent="0.25">
      <c r="A2571" t="s">
        <v>2575</v>
      </c>
      <c r="B2571">
        <v>0.99673306730245903</v>
      </c>
      <c r="C2571">
        <v>0.97387237167157403</v>
      </c>
      <c r="D2571">
        <v>0.97441470273608399</v>
      </c>
      <c r="E2571">
        <v>0.89978828182877502</v>
      </c>
      <c r="F2571">
        <v>0.858545673691263</v>
      </c>
      <c r="G2571">
        <v>0.64162491120807597</v>
      </c>
      <c r="H2571">
        <v>0.27602389324665899</v>
      </c>
      <c r="I2571">
        <v>0.105204604335914</v>
      </c>
      <c r="J2571">
        <v>8.7024969310994293E-2</v>
      </c>
      <c r="K2571">
        <v>7.6037200996158696E-2</v>
      </c>
      <c r="L2571">
        <v>1218.1137690667499</v>
      </c>
      <c r="M2571">
        <v>21.053101033641202</v>
      </c>
      <c r="N2571">
        <v>58.020042187976202</v>
      </c>
      <c r="O2571">
        <v>57.344678815268701</v>
      </c>
      <c r="P2571">
        <v>-8.9182594051051098E-2</v>
      </c>
      <c r="Q2571">
        <v>2.83595164219997E-2</v>
      </c>
      <c r="R2571">
        <v>0.99356781135829098</v>
      </c>
      <c r="S2571" t="s">
        <v>9023</v>
      </c>
      <c r="T2571" t="s">
        <v>12902</v>
      </c>
      <c r="U2571" t="s">
        <v>12902</v>
      </c>
      <c r="V2571" t="s">
        <v>12902</v>
      </c>
      <c r="W2571" t="s">
        <v>15434</v>
      </c>
      <c r="X2571">
        <v>11</v>
      </c>
      <c r="Y2571" t="s">
        <v>21781</v>
      </c>
      <c r="Z2571" t="s">
        <v>28146</v>
      </c>
      <c r="AA2571">
        <v>0.61734895205798246</v>
      </c>
      <c r="AB2571" t="str">
        <f>HYPERLINK("Melting_Curves/meltCurve_P48059_LIMS1.pdf", "Melting_Curves/meltCurve_P48059_LIMS1.pdf")</f>
        <v>Melting_Curves/meltCurve_P48059_LIMS1.pdf</v>
      </c>
    </row>
    <row r="2572" spans="1:28" x14ac:dyDescent="0.25">
      <c r="A2572" t="s">
        <v>2576</v>
      </c>
      <c r="B2572">
        <v>0.99673306730245903</v>
      </c>
      <c r="C2572">
        <v>1.02096858276462</v>
      </c>
      <c r="D2572">
        <v>0.80410380606254495</v>
      </c>
      <c r="E2572">
        <v>0.85677473481286803</v>
      </c>
      <c r="F2572">
        <v>0.683253446131315</v>
      </c>
      <c r="G2572">
        <v>0.53737854084075498</v>
      </c>
      <c r="H2572">
        <v>0.45545104088141602</v>
      </c>
      <c r="I2572">
        <v>0.39735979489744899</v>
      </c>
      <c r="J2572">
        <v>0.19725677408929701</v>
      </c>
      <c r="K2572">
        <v>0.23945718920755399</v>
      </c>
      <c r="L2572">
        <v>464.44375704004898</v>
      </c>
      <c r="M2572">
        <v>7.9099548297444304</v>
      </c>
      <c r="N2572">
        <v>58.716360287027896</v>
      </c>
      <c r="O2572">
        <v>55.319111488910501</v>
      </c>
      <c r="P2572">
        <v>-3.5789109686783102E-2</v>
      </c>
      <c r="Q2572">
        <v>0</v>
      </c>
      <c r="R2572">
        <v>0.96610349424103803</v>
      </c>
      <c r="S2572" t="s">
        <v>9024</v>
      </c>
      <c r="T2572" t="s">
        <v>12902</v>
      </c>
      <c r="U2572" t="s">
        <v>12902</v>
      </c>
      <c r="V2572" t="s">
        <v>12902</v>
      </c>
      <c r="W2572" t="s">
        <v>15435</v>
      </c>
      <c r="X2572">
        <v>1</v>
      </c>
      <c r="Y2572" t="s">
        <v>21782</v>
      </c>
      <c r="Z2572" t="s">
        <v>28147</v>
      </c>
      <c r="AA2572">
        <v>0.62058442397148317</v>
      </c>
      <c r="AB2572" t="str">
        <f>HYPERLINK("Melting_Curves/meltCurve_P48067_2_SLC6A9.pdf", "Melting_Curves/meltCurve_P48067_2_SLC6A9.pdf")</f>
        <v>Melting_Curves/meltCurve_P48067_2_SLC6A9.pdf</v>
      </c>
    </row>
    <row r="2573" spans="1:28" x14ac:dyDescent="0.25">
      <c r="A2573" t="s">
        <v>2577</v>
      </c>
      <c r="B2573">
        <v>0.99673306730245903</v>
      </c>
      <c r="C2573">
        <v>0.93526624844072004</v>
      </c>
      <c r="D2573">
        <v>0.393258244363686</v>
      </c>
      <c r="E2573">
        <v>0.204320343655122</v>
      </c>
      <c r="F2573">
        <v>0.122488925969561</v>
      </c>
      <c r="G2573">
        <v>7.1182331784936201E-2</v>
      </c>
      <c r="H2573">
        <v>4.1730323907919198E-2</v>
      </c>
      <c r="I2573">
        <v>3.7602988647662303E-2</v>
      </c>
      <c r="J2573">
        <v>3.78676806680881E-2</v>
      </c>
      <c r="K2573">
        <v>3.1846108196487102E-2</v>
      </c>
      <c r="L2573">
        <v>1540.8321631584399</v>
      </c>
      <c r="M2573">
        <v>33.924922885763898</v>
      </c>
      <c r="N2573">
        <v>45.610223526684102</v>
      </c>
      <c r="O2573">
        <v>45.261938395392697</v>
      </c>
      <c r="P2573">
        <v>-0.17495330220532901</v>
      </c>
      <c r="Q2573">
        <v>6.6327264402565103E-2</v>
      </c>
      <c r="R2573">
        <v>0.98612544632763999</v>
      </c>
      <c r="S2573" t="s">
        <v>9025</v>
      </c>
      <c r="T2573" t="s">
        <v>12902</v>
      </c>
      <c r="U2573" t="s">
        <v>12902</v>
      </c>
      <c r="V2573" t="s">
        <v>12902</v>
      </c>
      <c r="W2573" t="s">
        <v>15436</v>
      </c>
      <c r="X2573">
        <v>48</v>
      </c>
      <c r="Y2573" t="s">
        <v>20120</v>
      </c>
      <c r="Z2573" t="s">
        <v>28148</v>
      </c>
      <c r="AA2573">
        <v>0.2393747631615061</v>
      </c>
      <c r="AB2573" t="str">
        <f>HYPERLINK("Melting_Curves/meltCurve_P48147_PREP.pdf", "Melting_Curves/meltCurve_P48147_PREP.pdf")</f>
        <v>Melting_Curves/meltCurve_P48147_PREP.pdf</v>
      </c>
    </row>
    <row r="2574" spans="1:28" x14ac:dyDescent="0.25">
      <c r="A2574" t="s">
        <v>2578</v>
      </c>
      <c r="B2574">
        <v>0.99673306730245903</v>
      </c>
      <c r="C2574">
        <v>0.96309032008462803</v>
      </c>
      <c r="D2574">
        <v>1.0418249453036601</v>
      </c>
      <c r="E2574">
        <v>1.1223100930872301</v>
      </c>
      <c r="F2574">
        <v>1.06183918377344</v>
      </c>
      <c r="G2574">
        <v>0.89282860970836597</v>
      </c>
      <c r="H2574">
        <v>0.267661013704658</v>
      </c>
      <c r="I2574">
        <v>0.140137685534069</v>
      </c>
      <c r="J2574">
        <v>9.7994156354041503E-2</v>
      </c>
      <c r="K2574">
        <v>7.6193961959876405E-2</v>
      </c>
      <c r="L2574">
        <v>2982.3168477787099</v>
      </c>
      <c r="M2574">
        <v>50.480986291506397</v>
      </c>
      <c r="N2574">
        <v>59.330795941063002</v>
      </c>
      <c r="O2574">
        <v>58.985532347530203</v>
      </c>
      <c r="P2574">
        <v>-0.19325337732905001</v>
      </c>
      <c r="Q2574">
        <v>9.6757425559170204E-2</v>
      </c>
      <c r="R2574">
        <v>0.98740483686449698</v>
      </c>
      <c r="S2574" t="s">
        <v>9026</v>
      </c>
      <c r="T2574" t="s">
        <v>12902</v>
      </c>
      <c r="U2574" t="s">
        <v>12902</v>
      </c>
      <c r="V2574" t="s">
        <v>12902</v>
      </c>
      <c r="W2574" t="s">
        <v>15437</v>
      </c>
      <c r="X2574">
        <v>28</v>
      </c>
      <c r="Y2574" t="s">
        <v>21783</v>
      </c>
      <c r="Z2574" t="s">
        <v>28149</v>
      </c>
      <c r="AA2574">
        <v>0.67344936760461904</v>
      </c>
      <c r="AB2574" t="str">
        <f>HYPERLINK("Melting_Curves/meltCurve_P48163_ME1.pdf", "Melting_Curves/meltCurve_P48163_ME1.pdf")</f>
        <v>Melting_Curves/meltCurve_P48163_ME1.pdf</v>
      </c>
    </row>
    <row r="2575" spans="1:28" x14ac:dyDescent="0.25">
      <c r="A2575" t="s">
        <v>2579</v>
      </c>
      <c r="B2575">
        <v>0.99673306730245903</v>
      </c>
      <c r="C2575">
        <v>0.98134369562493795</v>
      </c>
      <c r="D2575">
        <v>0.87264411699601196</v>
      </c>
      <c r="E2575">
        <v>0.41681165042093998</v>
      </c>
      <c r="F2575">
        <v>0.24110672314672699</v>
      </c>
      <c r="G2575">
        <v>0.153752565507283</v>
      </c>
      <c r="H2575">
        <v>0.11991144833537799</v>
      </c>
      <c r="I2575">
        <v>9.3258091544200603E-2</v>
      </c>
      <c r="J2575">
        <v>8.9198445356867898E-2</v>
      </c>
      <c r="K2575">
        <v>7.7729788274924994E-2</v>
      </c>
      <c r="L2575">
        <v>1264.7396399606901</v>
      </c>
      <c r="M2575">
        <v>25.941551066597</v>
      </c>
      <c r="N2575">
        <v>49.200187354957897</v>
      </c>
      <c r="O2575">
        <v>48.466497429968904</v>
      </c>
      <c r="P2575">
        <v>-0.11977157470850799</v>
      </c>
      <c r="Q2575">
        <v>0.104935547159278</v>
      </c>
      <c r="R2575">
        <v>0.99540488516819403</v>
      </c>
      <c r="S2575" t="s">
        <v>9027</v>
      </c>
      <c r="T2575" t="s">
        <v>12902</v>
      </c>
      <c r="U2575" t="s">
        <v>12902</v>
      </c>
      <c r="V2575" t="s">
        <v>12902</v>
      </c>
      <c r="W2575" t="s">
        <v>15438</v>
      </c>
      <c r="X2575">
        <v>8</v>
      </c>
      <c r="Y2575" t="s">
        <v>21784</v>
      </c>
      <c r="Z2575" t="s">
        <v>28150</v>
      </c>
      <c r="AA2575">
        <v>0.37343437117233202</v>
      </c>
      <c r="AB2575" t="str">
        <f>HYPERLINK("Melting_Curves/meltCurve_P48200_IREB2.pdf", "Melting_Curves/meltCurve_P48200_IREB2.pdf")</f>
        <v>Melting_Curves/meltCurve_P48200_IREB2.pdf</v>
      </c>
    </row>
    <row r="2576" spans="1:28" x14ac:dyDescent="0.25">
      <c r="A2576" t="s">
        <v>2580</v>
      </c>
      <c r="B2576">
        <v>0.99673306730245903</v>
      </c>
      <c r="C2576">
        <v>0.76250434638587805</v>
      </c>
      <c r="D2576">
        <v>0.468243427327733</v>
      </c>
      <c r="E2576">
        <v>0.32786792620945598</v>
      </c>
      <c r="F2576">
        <v>0.226144215099088</v>
      </c>
      <c r="G2576">
        <v>0.13954199934046899</v>
      </c>
      <c r="H2576">
        <v>7.0396917230884301E-2</v>
      </c>
      <c r="I2576">
        <v>6.6331016276752294E-2</v>
      </c>
      <c r="J2576">
        <v>3.5995318485146498E-2</v>
      </c>
      <c r="K2576">
        <v>2.9781471996954599E-2</v>
      </c>
      <c r="L2576">
        <v>659.97202352941599</v>
      </c>
      <c r="M2576">
        <v>14.2767568636866</v>
      </c>
      <c r="N2576">
        <v>46.559955676219602</v>
      </c>
      <c r="O2576">
        <v>45.348457251120202</v>
      </c>
      <c r="P2576">
        <v>-7.4895925527881005E-2</v>
      </c>
      <c r="Q2576">
        <v>4.85242840864046E-2</v>
      </c>
      <c r="R2576">
        <v>0.98177556772229901</v>
      </c>
      <c r="S2576" t="s">
        <v>9028</v>
      </c>
      <c r="T2576" t="s">
        <v>12902</v>
      </c>
      <c r="U2576" t="s">
        <v>12902</v>
      </c>
      <c r="V2576" t="s">
        <v>12902</v>
      </c>
      <c r="W2576" t="s">
        <v>15439</v>
      </c>
      <c r="X2576">
        <v>4</v>
      </c>
      <c r="Y2576" t="s">
        <v>21785</v>
      </c>
      <c r="Z2576" t="s">
        <v>28151</v>
      </c>
      <c r="AA2576">
        <v>0.27624950631321382</v>
      </c>
      <c r="AB2576" t="str">
        <f>HYPERLINK("Melting_Curves/meltCurve_P48380_2_RFX3.pdf", "Melting_Curves/meltCurve_P48380_2_RFX3.pdf")</f>
        <v>Melting_Curves/meltCurve_P48380_2_RFX3.pdf</v>
      </c>
    </row>
    <row r="2577" spans="1:28" x14ac:dyDescent="0.25">
      <c r="A2577" t="s">
        <v>2581</v>
      </c>
      <c r="B2577">
        <v>0.99673306730245903</v>
      </c>
      <c r="C2577">
        <v>0.94616554186772495</v>
      </c>
      <c r="D2577">
        <v>0.91733117496493699</v>
      </c>
      <c r="E2577">
        <v>0.80614620080007604</v>
      </c>
      <c r="F2577">
        <v>0.55961416755558802</v>
      </c>
      <c r="G2577">
        <v>0.42830211105528598</v>
      </c>
      <c r="H2577">
        <v>0.35127053255255197</v>
      </c>
      <c r="I2577">
        <v>0.490134248688255</v>
      </c>
      <c r="J2577">
        <v>0.78954099297855196</v>
      </c>
      <c r="K2577">
        <v>1.1956311424652799</v>
      </c>
      <c r="L2577">
        <v>1784.2019305331301</v>
      </c>
      <c r="M2577">
        <v>36.681139891220397</v>
      </c>
      <c r="O2577">
        <v>48.496963044719003</v>
      </c>
      <c r="P2577">
        <v>-6.8426254301704598E-2</v>
      </c>
      <c r="Q2577">
        <v>0.63812947789318697</v>
      </c>
      <c r="R2577">
        <v>0.28467068928648098</v>
      </c>
      <c r="S2577" t="s">
        <v>9029</v>
      </c>
      <c r="T2577" t="s">
        <v>12902</v>
      </c>
      <c r="U2577" t="s">
        <v>12902</v>
      </c>
      <c r="V2577" t="s">
        <v>12902</v>
      </c>
      <c r="W2577" t="s">
        <v>15440</v>
      </c>
      <c r="X2577">
        <v>7</v>
      </c>
      <c r="Y2577" t="s">
        <v>21786</v>
      </c>
      <c r="Z2577" t="s">
        <v>28152</v>
      </c>
      <c r="AA2577">
        <v>0.74381140298099846</v>
      </c>
      <c r="AB2577" t="str">
        <f>HYPERLINK("Melting_Curves/meltCurve_P48431_SOX2.pdf", "Melting_Curves/meltCurve_P48431_SOX2.pdf")</f>
        <v>Melting_Curves/meltCurve_P48431_SOX2.pdf</v>
      </c>
    </row>
    <row r="2578" spans="1:28" x14ac:dyDescent="0.25">
      <c r="A2578" t="s">
        <v>2582</v>
      </c>
      <c r="B2578">
        <v>0.99673306730245903</v>
      </c>
      <c r="C2578">
        <v>0.98434334522812195</v>
      </c>
      <c r="D2578">
        <v>0.90458838782005402</v>
      </c>
      <c r="E2578">
        <v>0.78297507905299502</v>
      </c>
      <c r="F2578">
        <v>0.54232726547068599</v>
      </c>
      <c r="G2578">
        <v>0.43964686849412099</v>
      </c>
      <c r="H2578">
        <v>0.31959536572016001</v>
      </c>
      <c r="I2578">
        <v>0.45888199536616597</v>
      </c>
      <c r="J2578">
        <v>0.59047150787582403</v>
      </c>
      <c r="K2578">
        <v>0.656115291232926</v>
      </c>
      <c r="L2578">
        <v>1538.1624636102399</v>
      </c>
      <c r="M2578">
        <v>30.930250289703501</v>
      </c>
      <c r="N2578">
        <v>57.139125018365903</v>
      </c>
      <c r="O2578">
        <v>49.523546255729698</v>
      </c>
      <c r="P2578">
        <v>-7.94847749816327E-2</v>
      </c>
      <c r="Q2578">
        <v>0.49093910767509302</v>
      </c>
      <c r="R2578">
        <v>0.85241688916352598</v>
      </c>
      <c r="S2578" t="s">
        <v>9030</v>
      </c>
      <c r="T2578" t="s">
        <v>12902</v>
      </c>
      <c r="U2578" t="s">
        <v>12902</v>
      </c>
      <c r="V2578" t="s">
        <v>12902</v>
      </c>
      <c r="W2578" t="s">
        <v>15441</v>
      </c>
      <c r="X2578">
        <v>13</v>
      </c>
      <c r="Y2578" t="s">
        <v>21787</v>
      </c>
      <c r="Z2578" t="s">
        <v>28153</v>
      </c>
      <c r="AA2578">
        <v>0.6589917431297202</v>
      </c>
      <c r="AB2578" t="str">
        <f>HYPERLINK("Melting_Curves/meltCurve_P48436_SOX9.pdf", "Melting_Curves/meltCurve_P48436_SOX9.pdf")</f>
        <v>Melting_Curves/meltCurve_P48436_SOX9.pdf</v>
      </c>
    </row>
    <row r="2579" spans="1:28" x14ac:dyDescent="0.25">
      <c r="A2579" t="s">
        <v>2583</v>
      </c>
      <c r="B2579">
        <v>0.99673306730245903</v>
      </c>
      <c r="C2579">
        <v>0.91195752260569696</v>
      </c>
      <c r="D2579">
        <v>1.0479904474278201</v>
      </c>
      <c r="E2579">
        <v>1.19359260353942</v>
      </c>
      <c r="F2579">
        <v>0.67812386975850703</v>
      </c>
      <c r="G2579">
        <v>0.220089551686075</v>
      </c>
      <c r="H2579">
        <v>9.8240277043783603E-2</v>
      </c>
      <c r="I2579">
        <v>7.7386830609783006E-2</v>
      </c>
      <c r="J2579">
        <v>7.2100840791171905E-2</v>
      </c>
      <c r="K2579">
        <v>5.85023998488556E-2</v>
      </c>
      <c r="L2579">
        <v>2426.91666311569</v>
      </c>
      <c r="M2579">
        <v>44.836840524148101</v>
      </c>
      <c r="N2579">
        <v>54.343553165139397</v>
      </c>
      <c r="O2579">
        <v>54.020393276913602</v>
      </c>
      <c r="P2579">
        <v>-0.190575861084092</v>
      </c>
      <c r="Q2579">
        <v>8.1561564091200106E-2</v>
      </c>
      <c r="R2579">
        <v>0.97166289175475395</v>
      </c>
      <c r="S2579" t="s">
        <v>9031</v>
      </c>
      <c r="T2579" t="s">
        <v>12902</v>
      </c>
      <c r="U2579" t="s">
        <v>12902</v>
      </c>
      <c r="V2579" t="s">
        <v>12902</v>
      </c>
      <c r="W2579" t="s">
        <v>15442</v>
      </c>
      <c r="X2579">
        <v>33</v>
      </c>
      <c r="Y2579" t="s">
        <v>21788</v>
      </c>
      <c r="Z2579" t="s">
        <v>28154</v>
      </c>
      <c r="AA2579">
        <v>0.5168049633035473</v>
      </c>
      <c r="AB2579" t="str">
        <f>HYPERLINK("Melting_Curves/meltCurve_P48444_ARCN1.pdf", "Melting_Curves/meltCurve_P48444_ARCN1.pdf")</f>
        <v>Melting_Curves/meltCurve_P48444_ARCN1.pdf</v>
      </c>
    </row>
    <row r="2580" spans="1:28" x14ac:dyDescent="0.25">
      <c r="A2580" t="s">
        <v>2584</v>
      </c>
      <c r="B2580">
        <v>0.99673306730245903</v>
      </c>
      <c r="C2580">
        <v>0.79879034679766503</v>
      </c>
      <c r="D2580">
        <v>1.1679209855828701</v>
      </c>
      <c r="E2580">
        <v>0.88925242050018605</v>
      </c>
      <c r="F2580">
        <v>0.44877816821636202</v>
      </c>
      <c r="G2580">
        <v>0.30701645757454199</v>
      </c>
      <c r="H2580">
        <v>0.160117593244232</v>
      </c>
      <c r="I2580">
        <v>0.110183266258559</v>
      </c>
      <c r="J2580">
        <v>9.5702073448981698E-2</v>
      </c>
      <c r="K2580">
        <v>7.4885148829935605E-2</v>
      </c>
      <c r="L2580">
        <v>1428.50595115949</v>
      </c>
      <c r="M2580">
        <v>27.058852006402699</v>
      </c>
      <c r="N2580">
        <v>53.290665335120799</v>
      </c>
      <c r="O2580">
        <v>52.506745562979098</v>
      </c>
      <c r="P2580">
        <v>-0.114441055628394</v>
      </c>
      <c r="Q2580">
        <v>0.111733493361131</v>
      </c>
      <c r="R2580">
        <v>0.94522164490045801</v>
      </c>
      <c r="S2580" t="s">
        <v>9032</v>
      </c>
      <c r="T2580" t="s">
        <v>12902</v>
      </c>
      <c r="U2580" t="s">
        <v>12902</v>
      </c>
      <c r="V2580" t="s">
        <v>12902</v>
      </c>
      <c r="W2580" t="s">
        <v>15443</v>
      </c>
      <c r="X2580">
        <v>38</v>
      </c>
      <c r="Y2580" t="s">
        <v>21789</v>
      </c>
      <c r="Z2580" t="s">
        <v>28155</v>
      </c>
      <c r="AA2580">
        <v>0.49752810971071931</v>
      </c>
      <c r="AB2580" t="str">
        <f>HYPERLINK("Melting_Curves/meltCurve_P48449_LSS.pdf", "Melting_Curves/meltCurve_P48449_LSS.pdf")</f>
        <v>Melting_Curves/meltCurve_P48449_LSS.pdf</v>
      </c>
    </row>
    <row r="2581" spans="1:28" x14ac:dyDescent="0.25">
      <c r="A2581" t="s">
        <v>2585</v>
      </c>
      <c r="B2581">
        <v>0.99673306730245903</v>
      </c>
      <c r="C2581">
        <v>1.05460957933647</v>
      </c>
      <c r="D2581">
        <v>1.10538001398727</v>
      </c>
      <c r="E2581">
        <v>1.0538521688620099</v>
      </c>
      <c r="F2581">
        <v>1.2074524388442101</v>
      </c>
      <c r="G2581">
        <v>1.06715339390354</v>
      </c>
      <c r="H2581">
        <v>1.1331425379106901</v>
      </c>
      <c r="I2581">
        <v>1.17526894066016</v>
      </c>
      <c r="J2581">
        <v>0.248369096388627</v>
      </c>
      <c r="K2581">
        <v>0.12298766546096999</v>
      </c>
      <c r="L2581">
        <v>15000</v>
      </c>
      <c r="M2581">
        <v>225.335153354765</v>
      </c>
      <c r="N2581">
        <v>66.650910231282595</v>
      </c>
      <c r="O2581">
        <v>66.562266352184395</v>
      </c>
      <c r="P2581">
        <v>-0.74236080622945</v>
      </c>
      <c r="Q2581">
        <v>0.122849375870022</v>
      </c>
      <c r="R2581">
        <v>0.91793958711514101</v>
      </c>
      <c r="S2581" t="s">
        <v>9033</v>
      </c>
      <c r="T2581" t="s">
        <v>12902</v>
      </c>
      <c r="U2581" t="s">
        <v>12902</v>
      </c>
      <c r="V2581" t="s">
        <v>12902</v>
      </c>
      <c r="W2581" t="s">
        <v>15444</v>
      </c>
      <c r="X2581">
        <v>5</v>
      </c>
      <c r="Y2581" t="s">
        <v>21790</v>
      </c>
      <c r="Z2581" t="s">
        <v>28156</v>
      </c>
      <c r="AA2581">
        <v>0.89976561926283616</v>
      </c>
      <c r="AB2581" t="str">
        <f>HYPERLINK("Melting_Curves/meltCurve_P48454_2_PPP3CC.pdf", "Melting_Curves/meltCurve_P48454_2_PPP3CC.pdf")</f>
        <v>Melting_Curves/meltCurve_P48454_2_PPP3CC.pdf</v>
      </c>
    </row>
    <row r="2582" spans="1:28" x14ac:dyDescent="0.25">
      <c r="A2582" t="s">
        <v>2586</v>
      </c>
      <c r="B2582">
        <v>0.99673306730245903</v>
      </c>
      <c r="C2582">
        <v>0.90913441865153799</v>
      </c>
      <c r="D2582">
        <v>1.01441397171444</v>
      </c>
      <c r="E2582">
        <v>0.91455016801235001</v>
      </c>
      <c r="F2582">
        <v>0.293496644318054</v>
      </c>
      <c r="G2582">
        <v>0.14850145554564101</v>
      </c>
      <c r="H2582">
        <v>7.2195423265066602E-2</v>
      </c>
      <c r="I2582">
        <v>6.3202944297346894E-2</v>
      </c>
      <c r="J2582">
        <v>6.9144396760549495E-2</v>
      </c>
      <c r="K2582">
        <v>6.5000914837756094E-2</v>
      </c>
      <c r="L2582">
        <v>2434.3968389878701</v>
      </c>
      <c r="M2582">
        <v>46.896812398406503</v>
      </c>
      <c r="N2582">
        <v>52.100208305531602</v>
      </c>
      <c r="O2582">
        <v>51.815514335403698</v>
      </c>
      <c r="P2582">
        <v>-0.20843546614677499</v>
      </c>
      <c r="Q2582">
        <v>7.8813305697255295E-2</v>
      </c>
      <c r="R2582">
        <v>0.99303541625578295</v>
      </c>
      <c r="S2582" t="s">
        <v>9034</v>
      </c>
      <c r="T2582" t="s">
        <v>12902</v>
      </c>
      <c r="U2582" t="s">
        <v>12902</v>
      </c>
      <c r="V2582" t="s">
        <v>12902</v>
      </c>
      <c r="W2582" t="s">
        <v>15445</v>
      </c>
      <c r="X2582">
        <v>26</v>
      </c>
      <c r="Y2582" t="s">
        <v>21791</v>
      </c>
      <c r="Z2582" t="s">
        <v>28157</v>
      </c>
      <c r="AA2582">
        <v>0.44691268017600549</v>
      </c>
      <c r="AB2582" t="str">
        <f>HYPERLINK("Melting_Curves/meltCurve_P48506_GCLC.pdf", "Melting_Curves/meltCurve_P48506_GCLC.pdf")</f>
        <v>Melting_Curves/meltCurve_P48506_GCLC.pdf</v>
      </c>
    </row>
    <row r="2583" spans="1:28" x14ac:dyDescent="0.25">
      <c r="A2583" t="s">
        <v>2587</v>
      </c>
      <c r="B2583">
        <v>0.99673306730245903</v>
      </c>
      <c r="C2583">
        <v>0.99169158317057904</v>
      </c>
      <c r="D2583">
        <v>0.89603477164008605</v>
      </c>
      <c r="E2583">
        <v>0.65019162811749698</v>
      </c>
      <c r="F2583">
        <v>0.33644070272846599</v>
      </c>
      <c r="G2583">
        <v>0.167109887992025</v>
      </c>
      <c r="H2583">
        <v>7.4333785271154001E-2</v>
      </c>
      <c r="I2583">
        <v>6.6638025725785296E-2</v>
      </c>
      <c r="J2583">
        <v>6.8235766672599396E-2</v>
      </c>
      <c r="K2583">
        <v>5.4205453758663598E-2</v>
      </c>
      <c r="L2583">
        <v>1014.86429669237</v>
      </c>
      <c r="M2583">
        <v>19.919998043655401</v>
      </c>
      <c r="N2583">
        <v>51.226397556082503</v>
      </c>
      <c r="O2583">
        <v>50.441902486200597</v>
      </c>
      <c r="P2583">
        <v>-9.3648520647585304E-2</v>
      </c>
      <c r="Q2583">
        <v>5.1475148658098102E-2</v>
      </c>
      <c r="R2583">
        <v>0.99964949098098699</v>
      </c>
      <c r="S2583" t="s">
        <v>9035</v>
      </c>
      <c r="T2583" t="s">
        <v>12902</v>
      </c>
      <c r="U2583" t="s">
        <v>12902</v>
      </c>
      <c r="V2583" t="s">
        <v>12902</v>
      </c>
      <c r="W2583" t="s">
        <v>15446</v>
      </c>
      <c r="X2583">
        <v>9</v>
      </c>
      <c r="Y2583" t="s">
        <v>21792</v>
      </c>
      <c r="Z2583" t="s">
        <v>28158</v>
      </c>
      <c r="AA2583">
        <v>0.41086015652993407</v>
      </c>
      <c r="AB2583" t="str">
        <f>HYPERLINK("Melting_Curves/meltCurve_P48507_GCLM.pdf", "Melting_Curves/meltCurve_P48507_GCLM.pdf")</f>
        <v>Melting_Curves/meltCurve_P48507_GCLM.pdf</v>
      </c>
    </row>
    <row r="2584" spans="1:28" x14ac:dyDescent="0.25">
      <c r="A2584" t="s">
        <v>2588</v>
      </c>
      <c r="B2584">
        <v>0.99673306730245903</v>
      </c>
      <c r="C2584">
        <v>0.93711300175663204</v>
      </c>
      <c r="D2584">
        <v>0.96860589788258999</v>
      </c>
      <c r="E2584">
        <v>0.91811311595888401</v>
      </c>
      <c r="F2584">
        <v>0.711193613888501</v>
      </c>
      <c r="G2584">
        <v>0.57083575089171101</v>
      </c>
      <c r="H2584">
        <v>0.49369879005279799</v>
      </c>
      <c r="I2584">
        <v>0.61168891292393202</v>
      </c>
      <c r="J2584">
        <v>1.17090187978969</v>
      </c>
      <c r="K2584">
        <v>1.4186358850443599</v>
      </c>
      <c r="L2584">
        <v>15000</v>
      </c>
      <c r="M2584">
        <v>223.17521376130401</v>
      </c>
      <c r="O2584">
        <v>67.206371542585103</v>
      </c>
      <c r="P2584">
        <v>0.34759670606673898</v>
      </c>
      <c r="Q2584">
        <v>1.4186972496684001</v>
      </c>
      <c r="R2584">
        <v>8.0219559117035696E-2</v>
      </c>
      <c r="S2584" t="s">
        <v>9036</v>
      </c>
      <c r="T2584" t="s">
        <v>12902</v>
      </c>
      <c r="U2584" t="s">
        <v>12902</v>
      </c>
      <c r="V2584" t="s">
        <v>12902</v>
      </c>
      <c r="W2584" t="s">
        <v>15447</v>
      </c>
      <c r="X2584">
        <v>49</v>
      </c>
      <c r="Y2584" t="s">
        <v>21793</v>
      </c>
      <c r="Z2584" t="s">
        <v>28159</v>
      </c>
      <c r="AA2584">
        <v>1.038852869371063</v>
      </c>
      <c r="AB2584" t="str">
        <f>HYPERLINK("Melting_Curves/meltCurve_P48634_PRRC2A.pdf", "Melting_Curves/meltCurve_P48634_PRRC2A.pdf")</f>
        <v>Melting_Curves/meltCurve_P48634_PRRC2A.pdf</v>
      </c>
    </row>
    <row r="2585" spans="1:28" x14ac:dyDescent="0.25">
      <c r="A2585" t="s">
        <v>2589</v>
      </c>
      <c r="B2585">
        <v>0.99673306730245903</v>
      </c>
      <c r="C2585">
        <v>0.99779312922822505</v>
      </c>
      <c r="D2585">
        <v>1.0320648741990499</v>
      </c>
      <c r="E2585">
        <v>1.0449728587168801</v>
      </c>
      <c r="F2585">
        <v>0.98709269490117402</v>
      </c>
      <c r="G2585">
        <v>0.88374976367881797</v>
      </c>
      <c r="H2585">
        <v>0.73634430931653805</v>
      </c>
      <c r="I2585">
        <v>0.49306136144635598</v>
      </c>
      <c r="J2585">
        <v>0.10685526908208599</v>
      </c>
      <c r="K2585">
        <v>9.2625428993662995E-2</v>
      </c>
      <c r="L2585">
        <v>1641.4463817051301</v>
      </c>
      <c r="M2585">
        <v>25.932229083193</v>
      </c>
      <c r="N2585">
        <v>63.297543071115904</v>
      </c>
      <c r="O2585">
        <v>62.924754785371299</v>
      </c>
      <c r="P2585">
        <v>-0.103029961565527</v>
      </c>
      <c r="Q2585">
        <v>0</v>
      </c>
      <c r="R2585">
        <v>0.98548266770777004</v>
      </c>
      <c r="S2585" t="s">
        <v>9037</v>
      </c>
      <c r="T2585" t="s">
        <v>12902</v>
      </c>
      <c r="U2585" t="s">
        <v>12902</v>
      </c>
      <c r="V2585" t="s">
        <v>12902</v>
      </c>
      <c r="W2585" t="s">
        <v>15448</v>
      </c>
      <c r="X2585">
        <v>46</v>
      </c>
      <c r="Y2585" t="s">
        <v>21794</v>
      </c>
      <c r="Z2585" t="s">
        <v>28160</v>
      </c>
      <c r="AA2585">
        <v>0.77834635732837398</v>
      </c>
      <c r="AB2585" t="str">
        <f>HYPERLINK("Melting_Curves/meltCurve_P48637_GSS.pdf", "Melting_Curves/meltCurve_P48637_GSS.pdf")</f>
        <v>Melting_Curves/meltCurve_P48637_GSS.pdf</v>
      </c>
    </row>
    <row r="2586" spans="1:28" x14ac:dyDescent="0.25">
      <c r="A2586" t="s">
        <v>2590</v>
      </c>
      <c r="B2586">
        <v>0.99673306730245903</v>
      </c>
      <c r="C2586">
        <v>1.17157373106397</v>
      </c>
      <c r="D2586">
        <v>1.00918964157705</v>
      </c>
      <c r="E2586">
        <v>1.5513762775383699</v>
      </c>
      <c r="F2586">
        <v>1.1721704478303201</v>
      </c>
      <c r="G2586">
        <v>1.4611882353449299</v>
      </c>
      <c r="H2586">
        <v>0.72351597552954605</v>
      </c>
      <c r="I2586">
        <v>0.30630495159728</v>
      </c>
      <c r="J2586">
        <v>0.131765323756556</v>
      </c>
      <c r="K2586">
        <v>0.119920776164801</v>
      </c>
      <c r="L2586">
        <v>3333.5829437874299</v>
      </c>
      <c r="M2586">
        <v>53.8168257431253</v>
      </c>
      <c r="N2586">
        <v>62.299184269240598</v>
      </c>
      <c r="O2586">
        <v>61.857783379809398</v>
      </c>
      <c r="P2586">
        <v>-0.18870844058422501</v>
      </c>
      <c r="Q2586">
        <v>0.132384479082851</v>
      </c>
      <c r="R2586">
        <v>0.76336931369489203</v>
      </c>
      <c r="S2586" t="s">
        <v>9038</v>
      </c>
      <c r="T2586" t="s">
        <v>12902</v>
      </c>
      <c r="U2586" t="s">
        <v>12902</v>
      </c>
      <c r="V2586" t="s">
        <v>12902</v>
      </c>
      <c r="W2586" t="s">
        <v>15449</v>
      </c>
      <c r="X2586">
        <v>46</v>
      </c>
      <c r="Y2586" t="s">
        <v>21795</v>
      </c>
      <c r="Z2586" t="s">
        <v>28161</v>
      </c>
      <c r="AA2586">
        <v>0.76894544925012898</v>
      </c>
      <c r="AB2586" t="str">
        <f>HYPERLINK("Melting_Curves/meltCurve_P48643_CCT5.pdf", "Melting_Curves/meltCurve_P48643_CCT5.pdf")</f>
        <v>Melting_Curves/meltCurve_P48643_CCT5.pdf</v>
      </c>
    </row>
    <row r="2587" spans="1:28" x14ac:dyDescent="0.25">
      <c r="A2587" t="s">
        <v>2591</v>
      </c>
      <c r="B2587">
        <v>0.99673306730245903</v>
      </c>
      <c r="C2587">
        <v>0.54099542065522499</v>
      </c>
      <c r="D2587">
        <v>0.49072319929709202</v>
      </c>
      <c r="E2587">
        <v>0.65660458171597702</v>
      </c>
      <c r="F2587">
        <v>0.215539077957043</v>
      </c>
      <c r="G2587">
        <v>0.10215010136625299</v>
      </c>
      <c r="H2587">
        <v>6.0494043314664098E-2</v>
      </c>
      <c r="I2587">
        <v>5.5400212226920903E-2</v>
      </c>
      <c r="J2587">
        <v>6.1021867793741601E-2</v>
      </c>
      <c r="K2587">
        <v>5.8071103870618999E-2</v>
      </c>
      <c r="L2587">
        <v>448.97071122895301</v>
      </c>
      <c r="M2587">
        <v>9.4786597174208698</v>
      </c>
      <c r="N2587">
        <v>47.366477410613101</v>
      </c>
      <c r="O2587">
        <v>45.401862988963003</v>
      </c>
      <c r="P2587">
        <v>-5.2224231755880098E-2</v>
      </c>
      <c r="Q2587">
        <v>0</v>
      </c>
      <c r="R2587">
        <v>0.85610047490316699</v>
      </c>
      <c r="S2587" t="s">
        <v>9039</v>
      </c>
      <c r="T2587" t="s">
        <v>12902</v>
      </c>
      <c r="U2587" t="s">
        <v>12902</v>
      </c>
      <c r="V2587" t="s">
        <v>12902</v>
      </c>
      <c r="W2587" t="s">
        <v>15450</v>
      </c>
      <c r="X2587">
        <v>2</v>
      </c>
      <c r="Y2587" t="s">
        <v>21796</v>
      </c>
      <c r="Z2587" t="s">
        <v>28162</v>
      </c>
      <c r="AA2587">
        <v>0.30613257930241727</v>
      </c>
      <c r="AB2587" t="str">
        <f>HYPERLINK("Melting_Curves/meltCurve_P48651_PTDSS1.pdf", "Melting_Curves/meltCurve_P48651_PTDSS1.pdf")</f>
        <v>Melting_Curves/meltCurve_P48651_PTDSS1.pdf</v>
      </c>
    </row>
    <row r="2588" spans="1:28" x14ac:dyDescent="0.25">
      <c r="A2588" t="s">
        <v>2592</v>
      </c>
      <c r="B2588">
        <v>0.99673306730245903</v>
      </c>
      <c r="C2588">
        <v>1.13073787533791</v>
      </c>
      <c r="D2588">
        <v>0.41000546987425002</v>
      </c>
      <c r="E2588">
        <v>0.65333154101555002</v>
      </c>
      <c r="F2588">
        <v>0.36177712699005099</v>
      </c>
      <c r="G2588">
        <v>0.18226543041457</v>
      </c>
      <c r="H2588">
        <v>0.14865155399522101</v>
      </c>
      <c r="I2588">
        <v>0.116625161232219</v>
      </c>
      <c r="J2588">
        <v>0.15445258648004201</v>
      </c>
      <c r="K2588">
        <v>0.103848315397942</v>
      </c>
      <c r="L2588">
        <v>652.73079016743498</v>
      </c>
      <c r="M2588">
        <v>13.337671075034599</v>
      </c>
      <c r="N2588">
        <v>49.756407992555303</v>
      </c>
      <c r="O2588">
        <v>47.878040096046398</v>
      </c>
      <c r="P2588">
        <v>-6.2801307155296596E-2</v>
      </c>
      <c r="Q2588">
        <v>9.8396920920174893E-2</v>
      </c>
      <c r="R2588">
        <v>0.85092371725651705</v>
      </c>
      <c r="S2588" t="s">
        <v>9040</v>
      </c>
      <c r="T2588" t="s">
        <v>12902</v>
      </c>
      <c r="U2588" t="s">
        <v>12902</v>
      </c>
      <c r="V2588" t="s">
        <v>12902</v>
      </c>
      <c r="W2588" t="s">
        <v>15451</v>
      </c>
      <c r="X2588">
        <v>9</v>
      </c>
      <c r="Y2588" t="s">
        <v>21797</v>
      </c>
      <c r="Z2588" t="s">
        <v>28163</v>
      </c>
      <c r="AA2588">
        <v>0.39471988858132179</v>
      </c>
      <c r="AB2588" t="str">
        <f>HYPERLINK("Melting_Curves/meltCurve_P48723_HSPA13.pdf", "Melting_Curves/meltCurve_P48723_HSPA13.pdf")</f>
        <v>Melting_Curves/meltCurve_P48723_HSPA13.pdf</v>
      </c>
    </row>
    <row r="2589" spans="1:28" x14ac:dyDescent="0.25">
      <c r="A2589" t="s">
        <v>2593</v>
      </c>
      <c r="B2589">
        <v>0.99673306730245903</v>
      </c>
      <c r="C2589">
        <v>0.68663963556832197</v>
      </c>
      <c r="D2589">
        <v>1.12992016247016</v>
      </c>
      <c r="E2589">
        <v>0.73460526049293595</v>
      </c>
      <c r="F2589">
        <v>0.28383562117835598</v>
      </c>
      <c r="G2589">
        <v>0.113584267933396</v>
      </c>
      <c r="H2589">
        <v>6.1078886292040897E-2</v>
      </c>
      <c r="I2589">
        <v>4.5398927886759699E-2</v>
      </c>
      <c r="J2589">
        <v>4.7424280246513101E-2</v>
      </c>
      <c r="K2589">
        <v>3.9957862741736197E-2</v>
      </c>
      <c r="L2589">
        <v>1654.63998939832</v>
      </c>
      <c r="M2589">
        <v>32.268436750054903</v>
      </c>
      <c r="N2589">
        <v>51.452618441579297</v>
      </c>
      <c r="O2589">
        <v>51.081632847622899</v>
      </c>
      <c r="P2589">
        <v>-0.14970714710263699</v>
      </c>
      <c r="Q2589">
        <v>5.2046250435722301E-2</v>
      </c>
      <c r="R2589">
        <v>0.92701319029267304</v>
      </c>
      <c r="S2589" t="s">
        <v>9041</v>
      </c>
      <c r="T2589" t="s">
        <v>12902</v>
      </c>
      <c r="U2589" t="s">
        <v>12902</v>
      </c>
      <c r="V2589" t="s">
        <v>12902</v>
      </c>
      <c r="W2589" t="s">
        <v>15452</v>
      </c>
      <c r="X2589">
        <v>14</v>
      </c>
      <c r="Y2589" t="s">
        <v>21798</v>
      </c>
      <c r="Z2589" t="s">
        <v>28164</v>
      </c>
      <c r="AA2589">
        <v>0.4135675502227345</v>
      </c>
      <c r="AB2589" t="str">
        <f>HYPERLINK("Melting_Curves/meltCurve_P48728_AMT.pdf", "Melting_Curves/meltCurve_P48728_AMT.pdf")</f>
        <v>Melting_Curves/meltCurve_P48728_AMT.pdf</v>
      </c>
    </row>
    <row r="2590" spans="1:28" x14ac:dyDescent="0.25">
      <c r="A2590" t="s">
        <v>2594</v>
      </c>
      <c r="B2590">
        <v>0.99673306730245903</v>
      </c>
      <c r="C2590">
        <v>0.92733314272530998</v>
      </c>
      <c r="D2590">
        <v>0.94539880270714005</v>
      </c>
      <c r="E2590">
        <v>0.85786013072608303</v>
      </c>
      <c r="F2590">
        <v>0.63512985244580999</v>
      </c>
      <c r="G2590">
        <v>0.208873080228205</v>
      </c>
      <c r="H2590">
        <v>8.3041795118424994E-2</v>
      </c>
      <c r="I2590">
        <v>7.0395406172257896E-2</v>
      </c>
      <c r="J2590">
        <v>7.8176752762663698E-2</v>
      </c>
      <c r="K2590">
        <v>7.7565332429270301E-2</v>
      </c>
      <c r="L2590">
        <v>1407.071695567</v>
      </c>
      <c r="M2590">
        <v>26.1847105926702</v>
      </c>
      <c r="N2590">
        <v>53.9912755195963</v>
      </c>
      <c r="O2590">
        <v>53.425907426418398</v>
      </c>
      <c r="P2590">
        <v>-0.11540556227436199</v>
      </c>
      <c r="Q2590">
        <v>5.8140836784652102E-2</v>
      </c>
      <c r="R2590">
        <v>0.99165918667467501</v>
      </c>
      <c r="S2590" t="s">
        <v>9042</v>
      </c>
      <c r="T2590" t="s">
        <v>12902</v>
      </c>
      <c r="U2590" t="s">
        <v>12902</v>
      </c>
      <c r="V2590" t="s">
        <v>12902</v>
      </c>
      <c r="W2590" t="s">
        <v>15453</v>
      </c>
      <c r="X2590">
        <v>15</v>
      </c>
      <c r="Y2590" t="s">
        <v>21799</v>
      </c>
      <c r="Z2590" t="s">
        <v>28165</v>
      </c>
      <c r="AA2590">
        <v>0.49739086077203948</v>
      </c>
      <c r="AB2590" t="str">
        <f>HYPERLINK("Melting_Curves/meltCurve_P48729_CSNK1A1.pdf", "Melting_Curves/meltCurve_P48729_CSNK1A1.pdf")</f>
        <v>Melting_Curves/meltCurve_P48729_CSNK1A1.pdf</v>
      </c>
    </row>
    <row r="2591" spans="1:28" x14ac:dyDescent="0.25">
      <c r="A2591" t="s">
        <v>2595</v>
      </c>
      <c r="B2591">
        <v>0.99673306730245903</v>
      </c>
      <c r="C2591">
        <v>0.98539079524207196</v>
      </c>
      <c r="D2591">
        <v>0.91777679946231105</v>
      </c>
      <c r="E2591">
        <v>0.91636676391629002</v>
      </c>
      <c r="F2591">
        <v>0.49941879566714797</v>
      </c>
      <c r="G2591">
        <v>0.12828845355938501</v>
      </c>
      <c r="H2591">
        <v>6.8082946485379506E-2</v>
      </c>
      <c r="I2591">
        <v>7.6916988693737004E-2</v>
      </c>
      <c r="J2591">
        <v>9.4079662581865495E-2</v>
      </c>
      <c r="K2591">
        <v>7.0440245486506098E-2</v>
      </c>
      <c r="L2591">
        <v>1896.2478899673399</v>
      </c>
      <c r="M2591">
        <v>35.838470637270099</v>
      </c>
      <c r="N2591">
        <v>53.140375355626198</v>
      </c>
      <c r="O2591">
        <v>52.7470247073366</v>
      </c>
      <c r="P2591">
        <v>-0.15768627061948901</v>
      </c>
      <c r="Q2591">
        <v>7.1672922774745004E-2</v>
      </c>
      <c r="R2591">
        <v>0.99562335116256795</v>
      </c>
      <c r="S2591" t="s">
        <v>9043</v>
      </c>
      <c r="T2591" t="s">
        <v>12902</v>
      </c>
      <c r="U2591" t="s">
        <v>12902</v>
      </c>
      <c r="V2591" t="s">
        <v>12902</v>
      </c>
      <c r="W2591" t="s">
        <v>15454</v>
      </c>
      <c r="X2591">
        <v>9</v>
      </c>
      <c r="Y2591" t="s">
        <v>21800</v>
      </c>
      <c r="Z2591" t="s">
        <v>28166</v>
      </c>
      <c r="AA2591">
        <v>0.47541925519929651</v>
      </c>
      <c r="AB2591" t="str">
        <f>HYPERLINK("Melting_Curves/meltCurve_P48730_2_CSNK1D.pdf", "Melting_Curves/meltCurve_P48730_2_CSNK1D.pdf")</f>
        <v>Melting_Curves/meltCurve_P48730_2_CSNK1D.pdf</v>
      </c>
    </row>
    <row r="2592" spans="1:28" x14ac:dyDescent="0.25">
      <c r="A2592" t="s">
        <v>2596</v>
      </c>
      <c r="B2592">
        <v>0.99673306730245903</v>
      </c>
      <c r="C2592">
        <v>0.91221961227575998</v>
      </c>
      <c r="D2592">
        <v>0.84995672843453696</v>
      </c>
      <c r="E2592">
        <v>0.92605524191299204</v>
      </c>
      <c r="F2592">
        <v>0.44333265219248402</v>
      </c>
      <c r="G2592">
        <v>0.106883086304828</v>
      </c>
      <c r="H2592">
        <v>5.86813606811478E-2</v>
      </c>
      <c r="I2592">
        <v>4.8599970065049E-2</v>
      </c>
      <c r="J2592">
        <v>5.0032544728717002E-2</v>
      </c>
      <c r="K2592">
        <v>4.2964688541800002E-2</v>
      </c>
      <c r="L2592">
        <v>1893.7050366343799</v>
      </c>
      <c r="M2592">
        <v>35.927815359398103</v>
      </c>
      <c r="N2592">
        <v>52.851037944607597</v>
      </c>
      <c r="O2592">
        <v>52.546103890579303</v>
      </c>
      <c r="P2592">
        <v>-0.163047753379744</v>
      </c>
      <c r="Q2592">
        <v>4.6143201665329703E-2</v>
      </c>
      <c r="R2592">
        <v>0.98245266508588502</v>
      </c>
      <c r="S2592" t="s">
        <v>9044</v>
      </c>
      <c r="T2592" t="s">
        <v>12902</v>
      </c>
      <c r="U2592" t="s">
        <v>12902</v>
      </c>
      <c r="V2592" t="s">
        <v>12902</v>
      </c>
      <c r="W2592" t="s">
        <v>15455</v>
      </c>
      <c r="X2592">
        <v>45</v>
      </c>
      <c r="Y2592" t="s">
        <v>21801</v>
      </c>
      <c r="Z2592" t="s">
        <v>28167</v>
      </c>
      <c r="AA2592">
        <v>0.45452218452297122</v>
      </c>
      <c r="AB2592" t="str">
        <f>HYPERLINK("Melting_Curves/meltCurve_P48735_IDH2.pdf", "Melting_Curves/meltCurve_P48735_IDH2.pdf")</f>
        <v>Melting_Curves/meltCurve_P48735_IDH2.pdf</v>
      </c>
    </row>
    <row r="2593" spans="1:28" x14ac:dyDescent="0.25">
      <c r="A2593" t="s">
        <v>2597</v>
      </c>
      <c r="B2593">
        <v>0.99673306730245903</v>
      </c>
      <c r="C2593">
        <v>0.98259491462934601</v>
      </c>
      <c r="D2593">
        <v>0.76369165018749696</v>
      </c>
      <c r="E2593">
        <v>0.94223706796749995</v>
      </c>
      <c r="F2593">
        <v>0.48768080094654098</v>
      </c>
      <c r="G2593">
        <v>0.178974136079809</v>
      </c>
      <c r="H2593">
        <v>7.51030414378277E-2</v>
      </c>
      <c r="I2593">
        <v>7.3233720968404997E-2</v>
      </c>
      <c r="J2593">
        <v>8.3961720479551999E-2</v>
      </c>
      <c r="K2593">
        <v>7.3726659934075206E-2</v>
      </c>
      <c r="L2593">
        <v>1613.6434450307299</v>
      </c>
      <c r="M2593">
        <v>30.487206012843501</v>
      </c>
      <c r="N2593">
        <v>53.194915445268599</v>
      </c>
      <c r="O2593">
        <v>52.702388802530997</v>
      </c>
      <c r="P2593">
        <v>-0.13438277719583899</v>
      </c>
      <c r="Q2593">
        <v>7.0790593033002905E-2</v>
      </c>
      <c r="R2593">
        <v>0.96482243846195603</v>
      </c>
      <c r="S2593" t="s">
        <v>9045</v>
      </c>
      <c r="T2593" t="s">
        <v>12902</v>
      </c>
      <c r="U2593" t="s">
        <v>12902</v>
      </c>
      <c r="V2593" t="s">
        <v>12902</v>
      </c>
      <c r="W2593" t="s">
        <v>15456</v>
      </c>
      <c r="X2593">
        <v>22</v>
      </c>
      <c r="Y2593" t="s">
        <v>21802</v>
      </c>
      <c r="Z2593" t="s">
        <v>28168</v>
      </c>
      <c r="AA2593">
        <v>0.4770672321574837</v>
      </c>
      <c r="AB2593" t="str">
        <f>HYPERLINK("Melting_Curves/meltCurve_P48739_PITPNB.pdf", "Melting_Curves/meltCurve_P48739_PITPNB.pdf")</f>
        <v>Melting_Curves/meltCurve_P48739_PITPNB.pdf</v>
      </c>
    </row>
    <row r="2594" spans="1:28" x14ac:dyDescent="0.25">
      <c r="A2594" t="s">
        <v>2598</v>
      </c>
      <c r="B2594">
        <v>0.99673306730245903</v>
      </c>
      <c r="C2594">
        <v>0.98169310583195801</v>
      </c>
      <c r="D2594">
        <v>0.92700186855606104</v>
      </c>
      <c r="E2594">
        <v>0.81588957243105997</v>
      </c>
      <c r="F2594">
        <v>0.704071493459132</v>
      </c>
      <c r="G2594">
        <v>0.58557313216365903</v>
      </c>
      <c r="H2594">
        <v>0.494399437087363</v>
      </c>
      <c r="I2594">
        <v>0.61548473219218303</v>
      </c>
      <c r="J2594">
        <v>0.92367257758019805</v>
      </c>
      <c r="K2594">
        <v>0.79835174246839802</v>
      </c>
      <c r="L2594">
        <v>1432.8877655185199</v>
      </c>
      <c r="M2594">
        <v>29.530529748759601</v>
      </c>
      <c r="O2594">
        <v>48.301371463629103</v>
      </c>
      <c r="P2594">
        <v>-4.82137737024547E-2</v>
      </c>
      <c r="Q2594">
        <v>0.68456031669278805</v>
      </c>
      <c r="R2594">
        <v>0.56587741105233702</v>
      </c>
      <c r="S2594" t="s">
        <v>9046</v>
      </c>
      <c r="T2594" t="s">
        <v>12902</v>
      </c>
      <c r="U2594" t="s">
        <v>12902</v>
      </c>
      <c r="V2594" t="s">
        <v>12902</v>
      </c>
      <c r="W2594" t="s">
        <v>15457</v>
      </c>
      <c r="X2594">
        <v>13</v>
      </c>
      <c r="Y2594" t="s">
        <v>21803</v>
      </c>
      <c r="Z2594" t="s">
        <v>28169</v>
      </c>
      <c r="AA2594">
        <v>0.77614119879351917</v>
      </c>
      <c r="AB2594" t="str">
        <f>HYPERLINK("Melting_Curves/meltCurve_P48960_2_CD97.pdf", "Melting_Curves/meltCurve_P48960_2_CD97.pdf")</f>
        <v>Melting_Curves/meltCurve_P48960_2_CD97.pdf</v>
      </c>
    </row>
    <row r="2595" spans="1:28" x14ac:dyDescent="0.25">
      <c r="A2595" t="s">
        <v>2599</v>
      </c>
      <c r="B2595">
        <v>0.99673306730245903</v>
      </c>
      <c r="C2595">
        <v>0.94159913013988195</v>
      </c>
      <c r="D2595">
        <v>0.91651166671006201</v>
      </c>
      <c r="E2595">
        <v>0.555608927217077</v>
      </c>
      <c r="F2595">
        <v>0.37704459826583803</v>
      </c>
      <c r="G2595">
        <v>0.26374254810342401</v>
      </c>
      <c r="H2595">
        <v>0.139444095056415</v>
      </c>
      <c r="I2595">
        <v>0.101470176418564</v>
      </c>
      <c r="J2595">
        <v>0.105234078935439</v>
      </c>
      <c r="K2595">
        <v>8.4709395293585094E-2</v>
      </c>
      <c r="L2595">
        <v>827.02780133743602</v>
      </c>
      <c r="M2595">
        <v>16.349820234277399</v>
      </c>
      <c r="N2595">
        <v>51.1871047437755</v>
      </c>
      <c r="O2595">
        <v>49.844745750603003</v>
      </c>
      <c r="P2595">
        <v>-7.4817155981908204E-2</v>
      </c>
      <c r="Q2595">
        <v>8.7702948495778393E-2</v>
      </c>
      <c r="R2595">
        <v>0.99148928326764496</v>
      </c>
      <c r="S2595" t="s">
        <v>9047</v>
      </c>
      <c r="T2595" t="s">
        <v>12902</v>
      </c>
      <c r="U2595" t="s">
        <v>12902</v>
      </c>
      <c r="V2595" t="s">
        <v>12902</v>
      </c>
      <c r="W2595" t="s">
        <v>15458</v>
      </c>
      <c r="X2595">
        <v>8</v>
      </c>
      <c r="Y2595" t="s">
        <v>21804</v>
      </c>
      <c r="Z2595" t="s">
        <v>28170</v>
      </c>
      <c r="AA2595">
        <v>0.42792306113566692</v>
      </c>
      <c r="AB2595" t="str">
        <f>HYPERLINK("Melting_Curves/meltCurve_P49005_POLD2.pdf", "Melting_Curves/meltCurve_P49005_POLD2.pdf")</f>
        <v>Melting_Curves/meltCurve_P49005_POLD2.pdf</v>
      </c>
    </row>
    <row r="2596" spans="1:28" x14ac:dyDescent="0.25">
      <c r="A2596" t="s">
        <v>2600</v>
      </c>
      <c r="B2596">
        <v>0.99673306730245903</v>
      </c>
      <c r="C2596">
        <v>0.99406518041035896</v>
      </c>
      <c r="D2596">
        <v>1.0828955993225</v>
      </c>
      <c r="E2596">
        <v>0.90927201352018605</v>
      </c>
      <c r="F2596">
        <v>0.86826767476186395</v>
      </c>
      <c r="G2596">
        <v>0.82458058672622903</v>
      </c>
      <c r="H2596">
        <v>0.80178335684657798</v>
      </c>
      <c r="I2596">
        <v>1.38539797953553</v>
      </c>
      <c r="J2596">
        <v>1.75902534029865</v>
      </c>
      <c r="K2596">
        <v>2.0079222218138502</v>
      </c>
      <c r="L2596">
        <v>15000</v>
      </c>
      <c r="M2596">
        <v>235.587721390589</v>
      </c>
      <c r="O2596">
        <v>63.665963221419098</v>
      </c>
      <c r="P2596">
        <v>0.46254645311558601</v>
      </c>
      <c r="Q2596">
        <v>1.5</v>
      </c>
      <c r="R2596">
        <v>0.72889942881851</v>
      </c>
      <c r="S2596" t="s">
        <v>9048</v>
      </c>
      <c r="T2596" t="s">
        <v>12902</v>
      </c>
      <c r="U2596" t="s">
        <v>12902</v>
      </c>
      <c r="V2596" t="s">
        <v>12902</v>
      </c>
      <c r="W2596" t="s">
        <v>15459</v>
      </c>
      <c r="X2596">
        <v>8</v>
      </c>
      <c r="Y2596" t="s">
        <v>21805</v>
      </c>
      <c r="Z2596" t="s">
        <v>28171</v>
      </c>
      <c r="AA2596">
        <v>1.1054279016738691</v>
      </c>
      <c r="AB2596" t="str">
        <f>HYPERLINK("Melting_Curves/meltCurve_P49006_MARCKSL1.pdf", "Melting_Curves/meltCurve_P49006_MARCKSL1.pdf")</f>
        <v>Melting_Curves/meltCurve_P49006_MARCKSL1.pdf</v>
      </c>
    </row>
    <row r="2597" spans="1:28" x14ac:dyDescent="0.25">
      <c r="A2597" t="s">
        <v>2601</v>
      </c>
      <c r="B2597">
        <v>0.99673306730245903</v>
      </c>
      <c r="C2597">
        <v>0.95091910485912401</v>
      </c>
      <c r="D2597">
        <v>0.90315037920947605</v>
      </c>
      <c r="E2597">
        <v>0.75038400718398701</v>
      </c>
      <c r="F2597">
        <v>0.65060411171309196</v>
      </c>
      <c r="G2597">
        <v>0.550679049502103</v>
      </c>
      <c r="H2597">
        <v>0.47853167700184901</v>
      </c>
      <c r="I2597">
        <v>0.47967578464125799</v>
      </c>
      <c r="J2597">
        <v>0.43281770317553903</v>
      </c>
      <c r="K2597">
        <v>0.34956557825858098</v>
      </c>
      <c r="L2597">
        <v>562.23922129970197</v>
      </c>
      <c r="M2597">
        <v>10.718022054034201</v>
      </c>
      <c r="N2597">
        <v>59.410183833721597</v>
      </c>
      <c r="O2597">
        <v>50.730164870997903</v>
      </c>
      <c r="P2597">
        <v>-3.3955702114559901E-2</v>
      </c>
      <c r="Q2597">
        <v>0.357367654220965</v>
      </c>
      <c r="R2597">
        <v>0.98811609656381505</v>
      </c>
      <c r="S2597" t="s">
        <v>9049</v>
      </c>
      <c r="T2597" t="s">
        <v>12902</v>
      </c>
      <c r="U2597" t="s">
        <v>12902</v>
      </c>
      <c r="V2597" t="s">
        <v>12902</v>
      </c>
      <c r="W2597" t="s">
        <v>15460</v>
      </c>
      <c r="X2597">
        <v>7</v>
      </c>
      <c r="Y2597" t="s">
        <v>21806</v>
      </c>
      <c r="Z2597" t="s">
        <v>28172</v>
      </c>
      <c r="AA2597">
        <v>0.64590270656370108</v>
      </c>
      <c r="AB2597" t="str">
        <f>HYPERLINK("Melting_Curves/meltCurve_P49069_CAMLG.pdf", "Melting_Curves/meltCurve_P49069_CAMLG.pdf")</f>
        <v>Melting_Curves/meltCurve_P49069_CAMLG.pdf</v>
      </c>
    </row>
    <row r="2598" spans="1:28" x14ac:dyDescent="0.25">
      <c r="A2598" t="s">
        <v>2602</v>
      </c>
      <c r="B2598">
        <v>0.99673306730245903</v>
      </c>
      <c r="C2598">
        <v>0.84585104319056104</v>
      </c>
      <c r="D2598">
        <v>0.76978524686664995</v>
      </c>
      <c r="E2598">
        <v>0.58649918245955401</v>
      </c>
      <c r="F2598">
        <v>0.356987398689668</v>
      </c>
      <c r="G2598">
        <v>0.19885246613251201</v>
      </c>
      <c r="H2598">
        <v>0.143746243789075</v>
      </c>
      <c r="I2598">
        <v>0.128362230908912</v>
      </c>
      <c r="J2598">
        <v>0.190294173203854</v>
      </c>
      <c r="K2598">
        <v>0.148108459416391</v>
      </c>
      <c r="L2598">
        <v>699.65350639851897</v>
      </c>
      <c r="M2598">
        <v>14.164842202171201</v>
      </c>
      <c r="N2598">
        <v>50.348794423928297</v>
      </c>
      <c r="O2598">
        <v>48.440473567401398</v>
      </c>
      <c r="P2598">
        <v>-6.4499555606716594E-2</v>
      </c>
      <c r="Q2598">
        <v>0.117817456361097</v>
      </c>
      <c r="R2598">
        <v>0.98775905046338097</v>
      </c>
      <c r="S2598" t="s">
        <v>9050</v>
      </c>
      <c r="T2598" t="s">
        <v>12902</v>
      </c>
      <c r="U2598" t="s">
        <v>12902</v>
      </c>
      <c r="V2598" t="s">
        <v>12902</v>
      </c>
      <c r="W2598" t="s">
        <v>15461</v>
      </c>
      <c r="X2598">
        <v>4</v>
      </c>
      <c r="Y2598" t="s">
        <v>21807</v>
      </c>
      <c r="Z2598" t="s">
        <v>28173</v>
      </c>
      <c r="AA2598">
        <v>0.41786807352856631</v>
      </c>
      <c r="AB2598" t="str">
        <f>HYPERLINK("Melting_Curves/meltCurve_P49116_NR2C2.pdf", "Melting_Curves/meltCurve_P49116_NR2C2.pdf")</f>
        <v>Melting_Curves/meltCurve_P49116_NR2C2.pdf</v>
      </c>
    </row>
    <row r="2599" spans="1:28" x14ac:dyDescent="0.25">
      <c r="A2599" t="s">
        <v>2603</v>
      </c>
      <c r="B2599">
        <v>0.99673306730245903</v>
      </c>
      <c r="C2599">
        <v>0.98824483434558696</v>
      </c>
      <c r="D2599">
        <v>0.92793932281049896</v>
      </c>
      <c r="E2599">
        <v>0.78764037418411303</v>
      </c>
      <c r="F2599">
        <v>0.37237355806087302</v>
      </c>
      <c r="G2599">
        <v>0.24388642139959699</v>
      </c>
      <c r="H2599">
        <v>0.115720100945768</v>
      </c>
      <c r="I2599">
        <v>0.102479774949516</v>
      </c>
      <c r="J2599">
        <v>8.6282329722316406E-2</v>
      </c>
      <c r="K2599">
        <v>8.6685191969377101E-2</v>
      </c>
      <c r="L2599">
        <v>1171.1411922074701</v>
      </c>
      <c r="M2599">
        <v>22.607842828009101</v>
      </c>
      <c r="N2599">
        <v>52.261443418808</v>
      </c>
      <c r="O2599">
        <v>51.402243610167098</v>
      </c>
      <c r="P2599">
        <v>-0.100056813936862</v>
      </c>
      <c r="Q2599">
        <v>9.0043125779913899E-2</v>
      </c>
      <c r="R2599">
        <v>0.99637096231897404</v>
      </c>
      <c r="S2599" t="s">
        <v>9051</v>
      </c>
      <c r="T2599" t="s">
        <v>12902</v>
      </c>
      <c r="U2599" t="s">
        <v>12902</v>
      </c>
      <c r="V2599" t="s">
        <v>12902</v>
      </c>
      <c r="W2599" t="s">
        <v>15462</v>
      </c>
      <c r="X2599">
        <v>6</v>
      </c>
      <c r="Y2599" t="s">
        <v>21808</v>
      </c>
      <c r="Z2599" t="s">
        <v>28174</v>
      </c>
      <c r="AA2599">
        <v>0.45808055360014499</v>
      </c>
      <c r="AB2599" t="str">
        <f>HYPERLINK("Melting_Curves/meltCurve_P49137_MAPKAPK2.pdf", "Melting_Curves/meltCurve_P49137_MAPKAPK2.pdf")</f>
        <v>Melting_Curves/meltCurve_P49137_MAPKAPK2.pdf</v>
      </c>
    </row>
    <row r="2600" spans="1:28" x14ac:dyDescent="0.25">
      <c r="A2600" t="s">
        <v>2604</v>
      </c>
      <c r="B2600">
        <v>0.99673306730245903</v>
      </c>
      <c r="C2600">
        <v>0.98836558225210203</v>
      </c>
      <c r="D2600">
        <v>1.0527639496080601</v>
      </c>
      <c r="E2600">
        <v>1.1272934038139399</v>
      </c>
      <c r="F2600">
        <v>1.00759559910949</v>
      </c>
      <c r="G2600">
        <v>0.75768130632726605</v>
      </c>
      <c r="H2600">
        <v>0.34460421241642603</v>
      </c>
      <c r="I2600">
        <v>0.134224115307228</v>
      </c>
      <c r="J2600">
        <v>0.12952006606925701</v>
      </c>
      <c r="K2600">
        <v>8.9732534387608906E-2</v>
      </c>
      <c r="L2600">
        <v>1899.23396746413</v>
      </c>
      <c r="M2600">
        <v>32.303794084293003</v>
      </c>
      <c r="N2600">
        <v>59.1746996864781</v>
      </c>
      <c r="O2600">
        <v>58.568975694333702</v>
      </c>
      <c r="P2600">
        <v>-0.124917741879518</v>
      </c>
      <c r="Q2600">
        <v>9.4066946420818601E-2</v>
      </c>
      <c r="R2600">
        <v>0.98664076856880301</v>
      </c>
      <c r="S2600" t="s">
        <v>9052</v>
      </c>
      <c r="T2600" t="s">
        <v>12902</v>
      </c>
      <c r="U2600" t="s">
        <v>12902</v>
      </c>
      <c r="V2600" t="s">
        <v>12902</v>
      </c>
      <c r="W2600" t="s">
        <v>15463</v>
      </c>
      <c r="X2600">
        <v>22</v>
      </c>
      <c r="Y2600" t="s">
        <v>21809</v>
      </c>
      <c r="Z2600" t="s">
        <v>28175</v>
      </c>
      <c r="AA2600">
        <v>0.66676687859592298</v>
      </c>
      <c r="AB2600" t="str">
        <f>HYPERLINK("Melting_Curves/meltCurve_P49189_ALDH9A1.pdf", "Melting_Curves/meltCurve_P49189_ALDH9A1.pdf")</f>
        <v>Melting_Curves/meltCurve_P49189_ALDH9A1.pdf</v>
      </c>
    </row>
    <row r="2601" spans="1:28" x14ac:dyDescent="0.25">
      <c r="A2601" t="s">
        <v>2605</v>
      </c>
      <c r="B2601">
        <v>0.99673306730245903</v>
      </c>
      <c r="C2601">
        <v>0.99020536091872302</v>
      </c>
      <c r="D2601">
        <v>0.90806368674392801</v>
      </c>
      <c r="E2601">
        <v>0.82481384403324898</v>
      </c>
      <c r="F2601">
        <v>0.69046810455369201</v>
      </c>
      <c r="G2601">
        <v>0.56830111978056497</v>
      </c>
      <c r="H2601">
        <v>0.486114490787242</v>
      </c>
      <c r="I2601">
        <v>0.25205038737552499</v>
      </c>
      <c r="J2601">
        <v>0.250801979503124</v>
      </c>
      <c r="K2601">
        <v>0.25699037097937499</v>
      </c>
      <c r="L2601">
        <v>554.36690156600901</v>
      </c>
      <c r="M2601">
        <v>9.6915354216560594</v>
      </c>
      <c r="N2601">
        <v>58.409067305093998</v>
      </c>
      <c r="O2601">
        <v>54.925050856438801</v>
      </c>
      <c r="P2601">
        <v>-4.0128747327729898E-2</v>
      </c>
      <c r="Q2601">
        <v>9.0808657089780295E-2</v>
      </c>
      <c r="R2601">
        <v>0.984066052185114</v>
      </c>
      <c r="S2601" t="s">
        <v>9053</v>
      </c>
      <c r="T2601" t="s">
        <v>12902</v>
      </c>
      <c r="U2601" t="s">
        <v>12902</v>
      </c>
      <c r="V2601" t="s">
        <v>12902</v>
      </c>
      <c r="W2601" t="s">
        <v>15464</v>
      </c>
      <c r="X2601">
        <v>3</v>
      </c>
      <c r="Y2601" t="s">
        <v>21810</v>
      </c>
      <c r="Z2601" t="s">
        <v>28176</v>
      </c>
      <c r="AA2601">
        <v>0.62505949494629065</v>
      </c>
      <c r="AB2601" t="str">
        <f>HYPERLINK("Melting_Curves/meltCurve_P49207_RPL34.pdf", "Melting_Curves/meltCurve_P49207_RPL34.pdf")</f>
        <v>Melting_Curves/meltCurve_P49207_RPL34.pdf</v>
      </c>
    </row>
    <row r="2602" spans="1:28" x14ac:dyDescent="0.25">
      <c r="A2602" t="s">
        <v>2606</v>
      </c>
      <c r="B2602">
        <v>0.99673306730245903</v>
      </c>
      <c r="C2602">
        <v>0.96261740829453302</v>
      </c>
      <c r="D2602">
        <v>1.0438726165874199</v>
      </c>
      <c r="E2602">
        <v>0.92851079956544902</v>
      </c>
      <c r="F2602">
        <v>0.77453639096321203</v>
      </c>
      <c r="G2602">
        <v>0.66562919177066604</v>
      </c>
      <c r="H2602">
        <v>0.59225264188766702</v>
      </c>
      <c r="I2602">
        <v>0.86494852799927402</v>
      </c>
      <c r="J2602">
        <v>1.0158678364784599</v>
      </c>
      <c r="K2602">
        <v>1.03790901840579</v>
      </c>
      <c r="L2602">
        <v>12418.266996230101</v>
      </c>
      <c r="M2602">
        <v>250</v>
      </c>
      <c r="O2602">
        <v>49.669888476219597</v>
      </c>
      <c r="P2602">
        <v>-0.21996399898171601</v>
      </c>
      <c r="Q2602">
        <v>0.82519060075177797</v>
      </c>
      <c r="R2602">
        <v>0.27385980436477902</v>
      </c>
      <c r="S2602" t="s">
        <v>9054</v>
      </c>
      <c r="T2602" t="s">
        <v>12902</v>
      </c>
      <c r="U2602" t="s">
        <v>12902</v>
      </c>
      <c r="V2602" t="s">
        <v>12902</v>
      </c>
      <c r="W2602" t="s">
        <v>15465</v>
      </c>
      <c r="X2602">
        <v>11</v>
      </c>
      <c r="Y2602" t="s">
        <v>21811</v>
      </c>
      <c r="Z2602" t="s">
        <v>28177</v>
      </c>
      <c r="AA2602">
        <v>0.88157061328615849</v>
      </c>
      <c r="AB2602" t="str">
        <f>HYPERLINK("Melting_Curves/meltCurve_P49247_RPIA.pdf", "Melting_Curves/meltCurve_P49247_RPIA.pdf")</f>
        <v>Melting_Curves/meltCurve_P49247_RPIA.pdf</v>
      </c>
    </row>
    <row r="2603" spans="1:28" x14ac:dyDescent="0.25">
      <c r="A2603" t="s">
        <v>2607</v>
      </c>
      <c r="B2603">
        <v>0.99673306730245903</v>
      </c>
      <c r="C2603">
        <v>0.80828693954234898</v>
      </c>
      <c r="D2603">
        <v>0.52422312516017799</v>
      </c>
      <c r="E2603">
        <v>0.48865254965011701</v>
      </c>
      <c r="F2603">
        <v>0.235595393616121</v>
      </c>
      <c r="G2603">
        <v>0.14592346075107099</v>
      </c>
      <c r="H2603">
        <v>9.2375948704151195E-2</v>
      </c>
      <c r="I2603">
        <v>7.6335102546475297E-2</v>
      </c>
      <c r="J2603">
        <v>7.0022782413100906E-2</v>
      </c>
      <c r="K2603">
        <v>5.33469325138555E-2</v>
      </c>
      <c r="L2603">
        <v>590.38148520752998</v>
      </c>
      <c r="M2603">
        <v>12.3922365083538</v>
      </c>
      <c r="N2603">
        <v>47.953167280891698</v>
      </c>
      <c r="O2603">
        <v>46.4516312616569</v>
      </c>
      <c r="P2603">
        <v>-6.4125409110525097E-2</v>
      </c>
      <c r="Q2603">
        <v>3.87219894527603E-2</v>
      </c>
      <c r="R2603">
        <v>0.97728688651554796</v>
      </c>
      <c r="S2603" t="s">
        <v>9055</v>
      </c>
      <c r="T2603" t="s">
        <v>12902</v>
      </c>
      <c r="U2603" t="s">
        <v>12902</v>
      </c>
      <c r="V2603" t="s">
        <v>12902</v>
      </c>
      <c r="W2603" t="s">
        <v>15466</v>
      </c>
      <c r="X2603">
        <v>13</v>
      </c>
      <c r="Y2603" t="s">
        <v>21812</v>
      </c>
      <c r="Z2603" t="s">
        <v>28178</v>
      </c>
      <c r="AA2603">
        <v>0.31992672814239043</v>
      </c>
      <c r="AB2603" t="str">
        <f>HYPERLINK("Melting_Curves/meltCurve_P49257_LMAN1.pdf", "Melting_Curves/meltCurve_P49257_LMAN1.pdf")</f>
        <v>Melting_Curves/meltCurve_P49257_LMAN1.pdf</v>
      </c>
    </row>
    <row r="2604" spans="1:28" x14ac:dyDescent="0.25">
      <c r="A2604" t="s">
        <v>2608</v>
      </c>
      <c r="B2604">
        <v>0.99673306730245903</v>
      </c>
      <c r="C2604">
        <v>0.99836005694504404</v>
      </c>
      <c r="D2604">
        <v>0.91912130651309398</v>
      </c>
      <c r="E2604">
        <v>0.93087302060673305</v>
      </c>
      <c r="F2604">
        <v>0.30837707320768198</v>
      </c>
      <c r="G2604">
        <v>0.16704321746890799</v>
      </c>
      <c r="H2604">
        <v>9.9981290030491402E-2</v>
      </c>
      <c r="I2604">
        <v>0.107211320369911</v>
      </c>
      <c r="J2604">
        <v>0.13089602663704</v>
      </c>
      <c r="K2604">
        <v>0.11931956419590201</v>
      </c>
      <c r="L2604">
        <v>2660.46892487999</v>
      </c>
      <c r="M2604">
        <v>51.286706435348798</v>
      </c>
      <c r="N2604">
        <v>52.1589101221942</v>
      </c>
      <c r="O2604">
        <v>51.795730505352701</v>
      </c>
      <c r="P2604">
        <v>-0.21734258122554201</v>
      </c>
      <c r="Q2604">
        <v>0.12200149671376</v>
      </c>
      <c r="R2604">
        <v>0.99469521458645305</v>
      </c>
      <c r="S2604" t="s">
        <v>9056</v>
      </c>
      <c r="T2604" t="s">
        <v>12902</v>
      </c>
      <c r="U2604" t="s">
        <v>12902</v>
      </c>
      <c r="V2604" t="s">
        <v>12902</v>
      </c>
      <c r="W2604" t="s">
        <v>15467</v>
      </c>
      <c r="X2604">
        <v>22</v>
      </c>
      <c r="Y2604" t="s">
        <v>21813</v>
      </c>
      <c r="Z2604" t="s">
        <v>28179</v>
      </c>
      <c r="AA2604">
        <v>0.47143490928949849</v>
      </c>
      <c r="AB2604" t="str">
        <f>HYPERLINK("Melting_Curves/meltCurve_P49321_3_NASP.pdf", "Melting_Curves/meltCurve_P49321_3_NASP.pdf")</f>
        <v>Melting_Curves/meltCurve_P49321_3_NASP.pdf</v>
      </c>
    </row>
    <row r="2605" spans="1:28" x14ac:dyDescent="0.25">
      <c r="A2605" t="s">
        <v>2609</v>
      </c>
      <c r="B2605">
        <v>0.99673306730245903</v>
      </c>
      <c r="C2605">
        <v>0.82368164379515396</v>
      </c>
      <c r="D2605">
        <v>1.0492878450201699</v>
      </c>
      <c r="E2605">
        <v>1.11524439296078</v>
      </c>
      <c r="F2605">
        <v>0.23199515756014899</v>
      </c>
      <c r="G2605">
        <v>0.154537338525808</v>
      </c>
      <c r="H2605">
        <v>8.3923529404276706E-2</v>
      </c>
      <c r="I2605">
        <v>7.7480088987105802E-2</v>
      </c>
      <c r="J2605">
        <v>8.2647306677586796E-2</v>
      </c>
      <c r="K2605">
        <v>7.0883870061776405E-2</v>
      </c>
      <c r="L2605">
        <v>13208.7188129756</v>
      </c>
      <c r="M2605">
        <v>250</v>
      </c>
      <c r="N2605">
        <v>52.878865211525401</v>
      </c>
      <c r="O2605">
        <v>52.831497278894403</v>
      </c>
      <c r="P2605">
        <v>-1.0719287867654601</v>
      </c>
      <c r="Q2605">
        <v>9.3894409829212405E-2</v>
      </c>
      <c r="R2605">
        <v>0.97321363033034702</v>
      </c>
      <c r="S2605" t="s">
        <v>9057</v>
      </c>
      <c r="T2605" t="s">
        <v>12902</v>
      </c>
      <c r="U2605" t="s">
        <v>12902</v>
      </c>
      <c r="V2605" t="s">
        <v>12902</v>
      </c>
      <c r="W2605" t="s">
        <v>15468</v>
      </c>
      <c r="X2605">
        <v>128</v>
      </c>
      <c r="Y2605" t="s">
        <v>21814</v>
      </c>
      <c r="Z2605" t="s">
        <v>28180</v>
      </c>
      <c r="AA2605">
        <v>0.48163683507481109</v>
      </c>
      <c r="AB2605" t="str">
        <f>HYPERLINK("Melting_Curves/meltCurve_P49327_FASN.pdf", "Melting_Curves/meltCurve_P49327_FASN.pdf")</f>
        <v>Melting_Curves/meltCurve_P49327_FASN.pdf</v>
      </c>
    </row>
    <row r="2606" spans="1:28" x14ac:dyDescent="0.25">
      <c r="A2606" t="s">
        <v>2610</v>
      </c>
      <c r="B2606">
        <v>0.99673306730245903</v>
      </c>
      <c r="C2606">
        <v>0.93825702100864605</v>
      </c>
      <c r="D2606">
        <v>0.91241920882417404</v>
      </c>
      <c r="E2606">
        <v>0.90681720465222304</v>
      </c>
      <c r="F2606">
        <v>0.64769390661197102</v>
      </c>
      <c r="G2606">
        <v>0.145575191920188</v>
      </c>
      <c r="H2606">
        <v>6.2080329207668303E-2</v>
      </c>
      <c r="I2606">
        <v>5.6456107559927998E-2</v>
      </c>
      <c r="J2606">
        <v>6.1069704747144099E-2</v>
      </c>
      <c r="K2606">
        <v>5.9574053742400802E-2</v>
      </c>
      <c r="L2606">
        <v>1983.7964883291099</v>
      </c>
      <c r="M2606">
        <v>36.859923019262702</v>
      </c>
      <c r="N2606">
        <v>53.978888496352603</v>
      </c>
      <c r="O2606">
        <v>53.662184696639599</v>
      </c>
      <c r="P2606">
        <v>-0.162887631006294</v>
      </c>
      <c r="Q2606">
        <v>5.14485532550987E-2</v>
      </c>
      <c r="R2606">
        <v>0.99093620585271103</v>
      </c>
      <c r="S2606" t="s">
        <v>9058</v>
      </c>
      <c r="T2606" t="s">
        <v>12902</v>
      </c>
      <c r="U2606" t="s">
        <v>12902</v>
      </c>
      <c r="V2606" t="s">
        <v>12902</v>
      </c>
      <c r="W2606" t="s">
        <v>15469</v>
      </c>
      <c r="X2606">
        <v>4</v>
      </c>
      <c r="Y2606" t="s">
        <v>21815</v>
      </c>
      <c r="Z2606" t="s">
        <v>28181</v>
      </c>
      <c r="AA2606">
        <v>0.49255736041536702</v>
      </c>
      <c r="AB2606" t="str">
        <f>HYPERLINK("Melting_Curves/meltCurve_P49336_2_CDK8.pdf", "Melting_Curves/meltCurve_P49336_2_CDK8.pdf")</f>
        <v>Melting_Curves/meltCurve_P49336_2_CDK8.pdf</v>
      </c>
    </row>
    <row r="2607" spans="1:28" x14ac:dyDescent="0.25">
      <c r="A2607" t="s">
        <v>2611</v>
      </c>
      <c r="B2607">
        <v>0.99673306730245903</v>
      </c>
      <c r="C2607">
        <v>0.978174883686734</v>
      </c>
      <c r="D2607">
        <v>0.89727978858675606</v>
      </c>
      <c r="E2607">
        <v>0.86628081033840698</v>
      </c>
      <c r="F2607">
        <v>0.42050397048064703</v>
      </c>
      <c r="G2607">
        <v>0.18547160836198701</v>
      </c>
      <c r="H2607">
        <v>0.11438330704873</v>
      </c>
      <c r="I2607">
        <v>8.6755741353183896E-2</v>
      </c>
      <c r="J2607">
        <v>7.6148412677514599E-2</v>
      </c>
      <c r="K2607">
        <v>5.8288458855609501E-2</v>
      </c>
      <c r="L2607">
        <v>1397.3839081663</v>
      </c>
      <c r="M2607">
        <v>26.6916588757394</v>
      </c>
      <c r="N2607">
        <v>52.675937876377901</v>
      </c>
      <c r="O2607">
        <v>52.061617871222502</v>
      </c>
      <c r="P2607">
        <v>-0.118496112236705</v>
      </c>
      <c r="Q2607">
        <v>7.5511118884216993E-2</v>
      </c>
      <c r="R2607">
        <v>0.99400744833557797</v>
      </c>
      <c r="S2607" t="s">
        <v>9059</v>
      </c>
      <c r="T2607" t="s">
        <v>12902</v>
      </c>
      <c r="U2607" t="s">
        <v>12902</v>
      </c>
      <c r="V2607" t="s">
        <v>12902</v>
      </c>
      <c r="W2607" t="s">
        <v>15470</v>
      </c>
      <c r="X2607">
        <v>14</v>
      </c>
      <c r="Y2607" t="s">
        <v>21816</v>
      </c>
      <c r="Z2607" t="s">
        <v>28182</v>
      </c>
      <c r="AA2607">
        <v>0.46364511932353142</v>
      </c>
      <c r="AB2607" t="str">
        <f>HYPERLINK("Melting_Curves/meltCurve_P49354_FNTA.pdf", "Melting_Curves/meltCurve_P49354_FNTA.pdf")</f>
        <v>Melting_Curves/meltCurve_P49354_FNTA.pdf</v>
      </c>
    </row>
    <row r="2608" spans="1:28" x14ac:dyDescent="0.25">
      <c r="A2608" t="s">
        <v>2612</v>
      </c>
      <c r="B2608">
        <v>0.99673306730245903</v>
      </c>
      <c r="C2608">
        <v>0.99655648211680203</v>
      </c>
      <c r="D2608">
        <v>1.02831003944477</v>
      </c>
      <c r="E2608">
        <v>1.13825319845852</v>
      </c>
      <c r="F2608">
        <v>1.0065781617998999</v>
      </c>
      <c r="G2608">
        <v>0.88852710695765702</v>
      </c>
      <c r="H2608">
        <v>0.48858433417317298</v>
      </c>
      <c r="I2608">
        <v>0.24198443187018601</v>
      </c>
      <c r="J2608">
        <v>0.13388009234764101</v>
      </c>
      <c r="K2608">
        <v>8.5767245606501896E-2</v>
      </c>
      <c r="L2608">
        <v>1849.17108943157</v>
      </c>
      <c r="M2608">
        <v>30.6029712310003</v>
      </c>
      <c r="N2608">
        <v>60.800186240342903</v>
      </c>
      <c r="O2608">
        <v>60.168307988545202</v>
      </c>
      <c r="P2608">
        <v>-0.11620428516553501</v>
      </c>
      <c r="Q2608">
        <v>8.6131470094253801E-2</v>
      </c>
      <c r="R2608">
        <v>0.98631912652381604</v>
      </c>
      <c r="S2608" t="s">
        <v>9060</v>
      </c>
      <c r="T2608" t="s">
        <v>12902</v>
      </c>
      <c r="U2608" t="s">
        <v>12902</v>
      </c>
      <c r="V2608" t="s">
        <v>12902</v>
      </c>
      <c r="W2608" t="s">
        <v>15471</v>
      </c>
      <c r="X2608">
        <v>14</v>
      </c>
      <c r="Y2608" t="s">
        <v>21817</v>
      </c>
      <c r="Z2608" t="s">
        <v>28183</v>
      </c>
      <c r="AA2608">
        <v>0.71355184633103697</v>
      </c>
      <c r="AB2608" t="str">
        <f>HYPERLINK("Melting_Curves/meltCurve_P49366_DHPS.pdf", "Melting_Curves/meltCurve_P49366_DHPS.pdf")</f>
        <v>Melting_Curves/meltCurve_P49366_DHPS.pdf</v>
      </c>
    </row>
    <row r="2609" spans="1:28" x14ac:dyDescent="0.25">
      <c r="A2609" t="s">
        <v>2613</v>
      </c>
      <c r="B2609">
        <v>0.99673306730245903</v>
      </c>
      <c r="C2609">
        <v>1.0250953127209199</v>
      </c>
      <c r="D2609">
        <v>1.1328368674751601</v>
      </c>
      <c r="E2609">
        <v>1.03123116471128</v>
      </c>
      <c r="F2609">
        <v>1.36902123991242</v>
      </c>
      <c r="G2609">
        <v>1.17446127575523</v>
      </c>
      <c r="H2609">
        <v>0.39715657511711899</v>
      </c>
      <c r="I2609">
        <v>0.133768231962616</v>
      </c>
      <c r="J2609">
        <v>0.10110667757118399</v>
      </c>
      <c r="K2609">
        <v>8.7001169132232201E-2</v>
      </c>
      <c r="L2609">
        <v>10996.6359956536</v>
      </c>
      <c r="M2609">
        <v>181.597839676386</v>
      </c>
      <c r="N2609">
        <v>60.6355151649826</v>
      </c>
      <c r="O2609">
        <v>60.547539893428699</v>
      </c>
      <c r="P2609">
        <v>-0.66938069066949302</v>
      </c>
      <c r="Q2609">
        <v>0.107272334472218</v>
      </c>
      <c r="R2609">
        <v>0.91833566641804099</v>
      </c>
      <c r="S2609" t="s">
        <v>9061</v>
      </c>
      <c r="T2609" t="s">
        <v>12902</v>
      </c>
      <c r="U2609" t="s">
        <v>12902</v>
      </c>
      <c r="V2609" t="s">
        <v>12902</v>
      </c>
      <c r="W2609" t="s">
        <v>15472</v>
      </c>
      <c r="X2609">
        <v>41</v>
      </c>
      <c r="Y2609" t="s">
        <v>21818</v>
      </c>
      <c r="Z2609" t="s">
        <v>28184</v>
      </c>
      <c r="AA2609">
        <v>0.71911594159910341</v>
      </c>
      <c r="AB2609" t="str">
        <f>HYPERLINK("Melting_Curves/meltCurve_P49368_CCT3.pdf", "Melting_Curves/meltCurve_P49368_CCT3.pdf")</f>
        <v>Melting_Curves/meltCurve_P49368_CCT3.pdf</v>
      </c>
    </row>
    <row r="2610" spans="1:28" x14ac:dyDescent="0.25">
      <c r="A2610" t="s">
        <v>2614</v>
      </c>
      <c r="B2610">
        <v>0.99673306730245903</v>
      </c>
      <c r="C2610">
        <v>0.83118297066232405</v>
      </c>
      <c r="D2610">
        <v>0.46142963502914203</v>
      </c>
      <c r="E2610">
        <v>0.31592583446664402</v>
      </c>
      <c r="F2610">
        <v>0.18189108811517099</v>
      </c>
      <c r="G2610">
        <v>9.2102239475926898E-2</v>
      </c>
      <c r="H2610">
        <v>6.18457618781771E-2</v>
      </c>
      <c r="I2610">
        <v>5.9437715775261399E-2</v>
      </c>
      <c r="J2610">
        <v>6.1348999645924898E-2</v>
      </c>
      <c r="K2610">
        <v>3.7522473668818501E-2</v>
      </c>
      <c r="L2610">
        <v>804.65640183337996</v>
      </c>
      <c r="M2610">
        <v>17.450379079394299</v>
      </c>
      <c r="N2610">
        <v>46.443545624593398</v>
      </c>
      <c r="O2610">
        <v>45.518350423818298</v>
      </c>
      <c r="P2610">
        <v>-9.0220644231251507E-2</v>
      </c>
      <c r="Q2610">
        <v>5.8710209428111101E-2</v>
      </c>
      <c r="R2610">
        <v>0.98659912095354996</v>
      </c>
      <c r="S2610" t="s">
        <v>9062</v>
      </c>
      <c r="T2610" t="s">
        <v>12902</v>
      </c>
      <c r="U2610" t="s">
        <v>12902</v>
      </c>
      <c r="V2610" t="s">
        <v>12902</v>
      </c>
      <c r="W2610" t="s">
        <v>15473</v>
      </c>
      <c r="X2610">
        <v>2</v>
      </c>
      <c r="Y2610" t="s">
        <v>21819</v>
      </c>
      <c r="Z2610" t="s">
        <v>28185</v>
      </c>
      <c r="AA2610">
        <v>0.27009193770351858</v>
      </c>
      <c r="AB2610" t="str">
        <f>HYPERLINK("Melting_Curves/meltCurve_P49406_MRPL19.pdf", "Melting_Curves/meltCurve_P49406_MRPL19.pdf")</f>
        <v>Melting_Curves/meltCurve_P49406_MRPL19.pdf</v>
      </c>
    </row>
    <row r="2611" spans="1:28" x14ac:dyDescent="0.25">
      <c r="A2611" t="s">
        <v>2615</v>
      </c>
      <c r="B2611">
        <v>0.99673306730245903</v>
      </c>
      <c r="C2611">
        <v>1.03788629243959</v>
      </c>
      <c r="D2611">
        <v>1.00956300022523</v>
      </c>
      <c r="E2611">
        <v>0.98612389269795397</v>
      </c>
      <c r="F2611">
        <v>0.73366687933580899</v>
      </c>
      <c r="G2611">
        <v>0.31541092230795098</v>
      </c>
      <c r="H2611">
        <v>0.135084027825395</v>
      </c>
      <c r="I2611">
        <v>0.101911877283291</v>
      </c>
      <c r="J2611">
        <v>9.2564235397595798E-2</v>
      </c>
      <c r="K2611">
        <v>7.1625960518625895E-2</v>
      </c>
      <c r="L2611">
        <v>1697.82088136271</v>
      </c>
      <c r="M2611">
        <v>30.990560938972202</v>
      </c>
      <c r="N2611">
        <v>55.121944283395997</v>
      </c>
      <c r="O2611">
        <v>54.558491010914402</v>
      </c>
      <c r="P2611">
        <v>-0.129756741712621</v>
      </c>
      <c r="Q2611">
        <v>8.6264738245619199E-2</v>
      </c>
      <c r="R2611">
        <v>0.99860746520130295</v>
      </c>
      <c r="S2611" t="s">
        <v>9063</v>
      </c>
      <c r="T2611" t="s">
        <v>12902</v>
      </c>
      <c r="U2611" t="s">
        <v>12902</v>
      </c>
      <c r="V2611" t="s">
        <v>12902</v>
      </c>
      <c r="W2611" t="s">
        <v>15474</v>
      </c>
      <c r="X2611">
        <v>17</v>
      </c>
      <c r="Y2611" t="s">
        <v>21820</v>
      </c>
      <c r="Z2611" t="s">
        <v>28186</v>
      </c>
      <c r="AA2611">
        <v>0.54227390047319191</v>
      </c>
      <c r="AB2611" t="str">
        <f>HYPERLINK("Melting_Curves/meltCurve_P49407_2_ARRB1.pdf", "Melting_Curves/meltCurve_P49407_2_ARRB1.pdf")</f>
        <v>Melting_Curves/meltCurve_P49407_2_ARRB1.pdf</v>
      </c>
    </row>
    <row r="2612" spans="1:28" x14ac:dyDescent="0.25">
      <c r="A2612" t="s">
        <v>2616</v>
      </c>
      <c r="B2612">
        <v>0.99673306730245903</v>
      </c>
      <c r="C2612">
        <v>0.98264455929042505</v>
      </c>
      <c r="D2612">
        <v>0.81872409383742495</v>
      </c>
      <c r="E2612">
        <v>0.74757986477977201</v>
      </c>
      <c r="F2612">
        <v>0.16385999612180399</v>
      </c>
      <c r="G2612">
        <v>9.3542615972523196E-2</v>
      </c>
      <c r="H2612">
        <v>5.6473303246994601E-2</v>
      </c>
      <c r="I2612">
        <v>5.4803451784356798E-2</v>
      </c>
      <c r="J2612">
        <v>5.9100247011972501E-2</v>
      </c>
      <c r="K2612">
        <v>5.5070009263900502E-2</v>
      </c>
      <c r="L2612">
        <v>1813.7230394169201</v>
      </c>
      <c r="M2612">
        <v>35.766935610796601</v>
      </c>
      <c r="N2612">
        <v>50.872457410931197</v>
      </c>
      <c r="O2612">
        <v>50.551753239379799</v>
      </c>
      <c r="P2612">
        <v>-0.16730749155646099</v>
      </c>
      <c r="Q2612">
        <v>5.4136500176750903E-2</v>
      </c>
      <c r="R2612">
        <v>0.98219517800915002</v>
      </c>
      <c r="S2612" t="s">
        <v>9064</v>
      </c>
      <c r="T2612" t="s">
        <v>12902</v>
      </c>
      <c r="U2612" t="s">
        <v>12902</v>
      </c>
      <c r="V2612" t="s">
        <v>12902</v>
      </c>
      <c r="W2612" t="s">
        <v>15475</v>
      </c>
      <c r="X2612">
        <v>32</v>
      </c>
      <c r="Y2612" t="s">
        <v>21821</v>
      </c>
      <c r="Z2612" t="s">
        <v>28187</v>
      </c>
      <c r="AA2612">
        <v>0.39594781330660678</v>
      </c>
      <c r="AB2612" t="str">
        <f>HYPERLINK("Melting_Curves/meltCurve_P49411_TUFM.pdf", "Melting_Curves/meltCurve_P49411_TUFM.pdf")</f>
        <v>Melting_Curves/meltCurve_P49411_TUFM.pdf</v>
      </c>
    </row>
    <row r="2613" spans="1:28" x14ac:dyDescent="0.25">
      <c r="A2613" t="s">
        <v>2617</v>
      </c>
      <c r="B2613">
        <v>0.99673306730245903</v>
      </c>
      <c r="C2613">
        <v>0.97143992580220095</v>
      </c>
      <c r="D2613">
        <v>1.0078180323677099</v>
      </c>
      <c r="E2613">
        <v>1.03874738239917</v>
      </c>
      <c r="F2613">
        <v>0.46662658997504602</v>
      </c>
      <c r="G2613">
        <v>0.13090712108756999</v>
      </c>
      <c r="H2613">
        <v>6.5180737785819398E-2</v>
      </c>
      <c r="I2613">
        <v>5.2843205123092901E-2</v>
      </c>
      <c r="J2613">
        <v>5.8939409905520698E-2</v>
      </c>
      <c r="K2613">
        <v>5.0781227425095402E-2</v>
      </c>
      <c r="L2613">
        <v>3574.0036147083802</v>
      </c>
      <c r="M2613">
        <v>67.4566372075044</v>
      </c>
      <c r="N2613">
        <v>53.0995594659909</v>
      </c>
      <c r="O2613">
        <v>52.935732537189899</v>
      </c>
      <c r="P2613">
        <v>-0.296521777999251</v>
      </c>
      <c r="Q2613">
        <v>6.9233561633541205E-2</v>
      </c>
      <c r="R2613">
        <v>0.99658014116004501</v>
      </c>
      <c r="S2613" t="s">
        <v>9065</v>
      </c>
      <c r="T2613" t="s">
        <v>12902</v>
      </c>
      <c r="U2613" t="s">
        <v>12902</v>
      </c>
      <c r="V2613" t="s">
        <v>12902</v>
      </c>
      <c r="W2613" t="s">
        <v>15476</v>
      </c>
      <c r="X2613">
        <v>31</v>
      </c>
      <c r="Y2613" t="s">
        <v>21822</v>
      </c>
      <c r="Z2613" t="s">
        <v>28188</v>
      </c>
      <c r="AA2613">
        <v>0.47320668750250799</v>
      </c>
      <c r="AB2613" t="str">
        <f>HYPERLINK("Melting_Curves/meltCurve_P49419_2_ALDH7A1.pdf", "Melting_Curves/meltCurve_P49419_2_ALDH7A1.pdf")</f>
        <v>Melting_Curves/meltCurve_P49419_2_ALDH7A1.pdf</v>
      </c>
    </row>
    <row r="2614" spans="1:28" x14ac:dyDescent="0.25">
      <c r="A2614" t="s">
        <v>2618</v>
      </c>
      <c r="B2614">
        <v>0.99673306730245903</v>
      </c>
      <c r="C2614">
        <v>0.93156866212434097</v>
      </c>
      <c r="D2614">
        <v>0.50368575190207598</v>
      </c>
      <c r="E2614">
        <v>0.236150055728755</v>
      </c>
      <c r="F2614">
        <v>0.114874711395254</v>
      </c>
      <c r="G2614">
        <v>7.3780473562074095E-2</v>
      </c>
      <c r="H2614">
        <v>4.4712771540280097E-2</v>
      </c>
      <c r="I2614">
        <v>4.4729465668407999E-2</v>
      </c>
      <c r="J2614">
        <v>4.6529249857399299E-2</v>
      </c>
      <c r="K2614">
        <v>3.8590395235891903E-2</v>
      </c>
      <c r="L2614">
        <v>1155.34252391116</v>
      </c>
      <c r="M2614">
        <v>25.014470447339999</v>
      </c>
      <c r="N2614">
        <v>46.4046638877833</v>
      </c>
      <c r="O2614">
        <v>45.894820151002101</v>
      </c>
      <c r="P2614">
        <v>-0.12871803735439</v>
      </c>
      <c r="Q2614">
        <v>5.53608685548026E-2</v>
      </c>
      <c r="R2614">
        <v>0.99360181994878405</v>
      </c>
      <c r="S2614" t="s">
        <v>9066</v>
      </c>
      <c r="T2614" t="s">
        <v>12902</v>
      </c>
      <c r="U2614" t="s">
        <v>12902</v>
      </c>
      <c r="V2614" t="s">
        <v>12902</v>
      </c>
      <c r="W2614" t="s">
        <v>15477</v>
      </c>
      <c r="X2614">
        <v>6</v>
      </c>
      <c r="Y2614" t="s">
        <v>21823</v>
      </c>
      <c r="Z2614" t="s">
        <v>28189</v>
      </c>
      <c r="AA2614">
        <v>0.25881362493545679</v>
      </c>
      <c r="AB2614" t="str">
        <f>HYPERLINK("Melting_Curves/meltCurve_P49427_CDC34.pdf", "Melting_Curves/meltCurve_P49427_CDC34.pdf")</f>
        <v>Melting_Curves/meltCurve_P49427_CDC34.pdf</v>
      </c>
    </row>
    <row r="2615" spans="1:28" x14ac:dyDescent="0.25">
      <c r="A2615" t="s">
        <v>2619</v>
      </c>
      <c r="B2615">
        <v>0.99673306730245903</v>
      </c>
      <c r="C2615">
        <v>1.0452425597893999</v>
      </c>
      <c r="D2615">
        <v>0.99492934390647303</v>
      </c>
      <c r="E2615">
        <v>0.94096367975351902</v>
      </c>
      <c r="F2615">
        <v>0.70972313303197199</v>
      </c>
      <c r="G2615">
        <v>0.44151026282038802</v>
      </c>
      <c r="H2615">
        <v>0.143724714501235</v>
      </c>
      <c r="I2615">
        <v>9.3660225471773495E-2</v>
      </c>
      <c r="J2615">
        <v>0.10987283182999</v>
      </c>
      <c r="K2615">
        <v>8.5588666410911701E-2</v>
      </c>
      <c r="L2615">
        <v>1242.9496858933701</v>
      </c>
      <c r="M2615">
        <v>22.450879440467599</v>
      </c>
      <c r="N2615">
        <v>55.729325051287503</v>
      </c>
      <c r="O2615">
        <v>54.929440349010001</v>
      </c>
      <c r="P2615">
        <v>-9.5174044924715304E-2</v>
      </c>
      <c r="Q2615">
        <v>6.85888743115593E-2</v>
      </c>
      <c r="R2615">
        <v>0.99613323792326702</v>
      </c>
      <c r="S2615" t="s">
        <v>9067</v>
      </c>
      <c r="T2615" t="s">
        <v>12902</v>
      </c>
      <c r="U2615" t="s">
        <v>12902</v>
      </c>
      <c r="V2615" t="s">
        <v>12902</v>
      </c>
      <c r="W2615" t="s">
        <v>15478</v>
      </c>
      <c r="X2615">
        <v>7</v>
      </c>
      <c r="Y2615" t="s">
        <v>21824</v>
      </c>
      <c r="Z2615" t="s">
        <v>28190</v>
      </c>
      <c r="AA2615">
        <v>0.55585343332378179</v>
      </c>
      <c r="AB2615" t="str">
        <f>HYPERLINK("Melting_Curves/meltCurve_P49441_INPP1.pdf", "Melting_Curves/meltCurve_P49441_INPP1.pdf")</f>
        <v>Melting_Curves/meltCurve_P49441_INPP1.pdf</v>
      </c>
    </row>
    <row r="2616" spans="1:28" x14ac:dyDescent="0.25">
      <c r="A2616" t="s">
        <v>2620</v>
      </c>
      <c r="B2616">
        <v>0.99673306730245903</v>
      </c>
      <c r="C2616">
        <v>0.80625130263709499</v>
      </c>
      <c r="D2616">
        <v>0.521294004073106</v>
      </c>
      <c r="E2616">
        <v>0.41564073259348999</v>
      </c>
      <c r="F2616">
        <v>0.32046072344243198</v>
      </c>
      <c r="G2616">
        <v>0.21781934912477999</v>
      </c>
      <c r="H2616">
        <v>0.16602475760378399</v>
      </c>
      <c r="I2616">
        <v>0.188645776894691</v>
      </c>
      <c r="J2616">
        <v>0.25206900321281001</v>
      </c>
      <c r="K2616">
        <v>0.21923628809728299</v>
      </c>
      <c r="L2616">
        <v>786.35664601297299</v>
      </c>
      <c r="M2616">
        <v>17.2256721277281</v>
      </c>
      <c r="N2616">
        <v>47.144827873747403</v>
      </c>
      <c r="O2616">
        <v>45.048360906948801</v>
      </c>
      <c r="P2616">
        <v>-7.5487440089353597E-2</v>
      </c>
      <c r="Q2616">
        <v>0.210391116792913</v>
      </c>
      <c r="R2616">
        <v>0.97671707196959301</v>
      </c>
      <c r="S2616" t="s">
        <v>9068</v>
      </c>
      <c r="T2616" t="s">
        <v>12902</v>
      </c>
      <c r="U2616" t="s">
        <v>12902</v>
      </c>
      <c r="V2616" t="s">
        <v>12902</v>
      </c>
      <c r="W2616" t="s">
        <v>15479</v>
      </c>
      <c r="X2616">
        <v>14</v>
      </c>
      <c r="Y2616" t="s">
        <v>21825</v>
      </c>
      <c r="Z2616" t="s">
        <v>28191</v>
      </c>
      <c r="AA2616">
        <v>0.37671560506972579</v>
      </c>
      <c r="AB2616" t="str">
        <f>HYPERLINK("Melting_Curves/meltCurve_P49454_CENPF.pdf", "Melting_Curves/meltCurve_P49454_CENPF.pdf")</f>
        <v>Melting_Curves/meltCurve_P49454_CENPF.pdf</v>
      </c>
    </row>
    <row r="2617" spans="1:28" x14ac:dyDescent="0.25">
      <c r="A2617" t="s">
        <v>2621</v>
      </c>
      <c r="B2617">
        <v>0.99673306730245903</v>
      </c>
      <c r="C2617">
        <v>0.88121618495726795</v>
      </c>
      <c r="D2617">
        <v>0.88872371308986597</v>
      </c>
      <c r="E2617">
        <v>0.84373809207343098</v>
      </c>
      <c r="F2617">
        <v>0.761219863882582</v>
      </c>
      <c r="G2617">
        <v>0.65387891302776802</v>
      </c>
      <c r="H2617">
        <v>0.44966138511180498</v>
      </c>
      <c r="I2617">
        <v>0.38230317409070202</v>
      </c>
      <c r="J2617">
        <v>0.28119950190037901</v>
      </c>
      <c r="K2617">
        <v>0.219593689644805</v>
      </c>
      <c r="L2617">
        <v>489.00527982557099</v>
      </c>
      <c r="M2617">
        <v>8.1575898178938893</v>
      </c>
      <c r="N2617">
        <v>59.944823061360303</v>
      </c>
      <c r="O2617">
        <v>56.665497282819601</v>
      </c>
      <c r="P2617">
        <v>-3.6027950427716601E-2</v>
      </c>
      <c r="Q2617">
        <v>0</v>
      </c>
      <c r="R2617">
        <v>0.98410445409472203</v>
      </c>
      <c r="S2617" t="s">
        <v>9069</v>
      </c>
      <c r="T2617" t="s">
        <v>12902</v>
      </c>
      <c r="U2617" t="s">
        <v>12902</v>
      </c>
      <c r="V2617" t="s">
        <v>12902</v>
      </c>
      <c r="W2617" t="s">
        <v>15480</v>
      </c>
      <c r="X2617">
        <v>10</v>
      </c>
      <c r="Y2617" t="s">
        <v>21826</v>
      </c>
      <c r="Z2617" t="s">
        <v>28192</v>
      </c>
      <c r="AA2617">
        <v>0.65136134732055118</v>
      </c>
      <c r="AB2617" t="str">
        <f>HYPERLINK("Melting_Curves/meltCurve_P49458_SRP9.pdf", "Melting_Curves/meltCurve_P49458_SRP9.pdf")</f>
        <v>Melting_Curves/meltCurve_P49458_SRP9.pdf</v>
      </c>
    </row>
    <row r="2618" spans="1:28" x14ac:dyDescent="0.25">
      <c r="A2618" t="s">
        <v>2622</v>
      </c>
      <c r="B2618">
        <v>0.99673306730245903</v>
      </c>
      <c r="C2618">
        <v>1.0292827990392801</v>
      </c>
      <c r="D2618">
        <v>1.09665405846523</v>
      </c>
      <c r="E2618">
        <v>1.17290243581554</v>
      </c>
      <c r="F2618">
        <v>0.57609399444776499</v>
      </c>
      <c r="G2618">
        <v>0.26949310723243902</v>
      </c>
      <c r="H2618">
        <v>0.13404903275078001</v>
      </c>
      <c r="I2618">
        <v>0.12958838900963399</v>
      </c>
      <c r="J2618">
        <v>0.1236701913079</v>
      </c>
      <c r="K2618">
        <v>0.11157796460717</v>
      </c>
      <c r="L2618">
        <v>3296.8801266853302</v>
      </c>
      <c r="M2618">
        <v>61.888512595118399</v>
      </c>
      <c r="N2618">
        <v>53.576225070542698</v>
      </c>
      <c r="O2618">
        <v>53.215748612281097</v>
      </c>
      <c r="P2618">
        <v>-0.24758268674337</v>
      </c>
      <c r="Q2618">
        <v>0.148449958551024</v>
      </c>
      <c r="R2618">
        <v>0.97046476733359999</v>
      </c>
      <c r="S2618" t="s">
        <v>9070</v>
      </c>
      <c r="T2618" t="s">
        <v>12902</v>
      </c>
      <c r="U2618" t="s">
        <v>12902</v>
      </c>
      <c r="V2618" t="s">
        <v>12902</v>
      </c>
      <c r="W2618" t="s">
        <v>15481</v>
      </c>
      <c r="X2618">
        <v>5</v>
      </c>
      <c r="Y2618" t="s">
        <v>21827</v>
      </c>
      <c r="Z2618" t="s">
        <v>28193</v>
      </c>
      <c r="AA2618">
        <v>0.5264586899177558</v>
      </c>
      <c r="AB2618" t="str">
        <f>HYPERLINK("Melting_Curves/meltCurve_P49459_UBE2A.pdf", "Melting_Curves/meltCurve_P49459_UBE2A.pdf")</f>
        <v>Melting_Curves/meltCurve_P49459_UBE2A.pdf</v>
      </c>
    </row>
    <row r="2619" spans="1:28" x14ac:dyDescent="0.25">
      <c r="A2619" t="s">
        <v>2623</v>
      </c>
      <c r="B2619">
        <v>0.99673306730245903</v>
      </c>
      <c r="C2619">
        <v>0.90346843945000999</v>
      </c>
      <c r="D2619">
        <v>0.81250254337983097</v>
      </c>
      <c r="E2619">
        <v>0.68876702402601597</v>
      </c>
      <c r="F2619">
        <v>0.36077220752842198</v>
      </c>
      <c r="G2619">
        <v>0.19175576896795399</v>
      </c>
      <c r="H2619">
        <v>0.133342900302236</v>
      </c>
      <c r="I2619">
        <v>0.108437177472227</v>
      </c>
      <c r="J2619">
        <v>0.10869204851299701</v>
      </c>
      <c r="K2619">
        <v>8.2752739887463803E-2</v>
      </c>
      <c r="L2619">
        <v>789.152546394551</v>
      </c>
      <c r="M2619">
        <v>15.515587279434699</v>
      </c>
      <c r="N2619">
        <v>51.345696929174899</v>
      </c>
      <c r="O2619">
        <v>50.039486713145898</v>
      </c>
      <c r="P2619">
        <v>-7.22518135307951E-2</v>
      </c>
      <c r="Q2619">
        <v>6.8002113751759602E-2</v>
      </c>
      <c r="R2619">
        <v>0.99237771042072398</v>
      </c>
      <c r="S2619" t="s">
        <v>9071</v>
      </c>
      <c r="T2619" t="s">
        <v>12902</v>
      </c>
      <c r="U2619" t="s">
        <v>12902</v>
      </c>
      <c r="V2619" t="s">
        <v>12902</v>
      </c>
      <c r="W2619" t="s">
        <v>15482</v>
      </c>
      <c r="X2619">
        <v>26</v>
      </c>
      <c r="Y2619" t="s">
        <v>21828</v>
      </c>
      <c r="Z2619" t="s">
        <v>28194</v>
      </c>
      <c r="AA2619">
        <v>0.42587509448400229</v>
      </c>
      <c r="AB2619" t="str">
        <f>HYPERLINK("Melting_Curves/meltCurve_P49585_PCYT1A.pdf", "Melting_Curves/meltCurve_P49585_PCYT1A.pdf")</f>
        <v>Melting_Curves/meltCurve_P49585_PCYT1A.pdf</v>
      </c>
    </row>
    <row r="2620" spans="1:28" x14ac:dyDescent="0.25">
      <c r="A2620" t="s">
        <v>2624</v>
      </c>
      <c r="B2620">
        <v>0.99673306730245903</v>
      </c>
      <c r="C2620">
        <v>0.99189779784769505</v>
      </c>
      <c r="D2620">
        <v>0.86828940427797396</v>
      </c>
      <c r="E2620">
        <v>0.94836990163491297</v>
      </c>
      <c r="F2620">
        <v>0.43869810257333097</v>
      </c>
      <c r="G2620">
        <v>0.15411308310154501</v>
      </c>
      <c r="H2620">
        <v>8.6507112053108307E-2</v>
      </c>
      <c r="I2620">
        <v>7.4764064617290404E-2</v>
      </c>
      <c r="J2620">
        <v>7.9123506814626099E-2</v>
      </c>
      <c r="K2620">
        <v>6.9142629738816602E-2</v>
      </c>
      <c r="L2620">
        <v>2029.84687695915</v>
      </c>
      <c r="M2620">
        <v>38.549397244211299</v>
      </c>
      <c r="N2620">
        <v>52.894058043976798</v>
      </c>
      <c r="O2620">
        <v>52.514635502594203</v>
      </c>
      <c r="P2620">
        <v>-0.16888754706290399</v>
      </c>
      <c r="Q2620">
        <v>7.9721361906607405E-2</v>
      </c>
      <c r="R2620">
        <v>0.98911384505026101</v>
      </c>
      <c r="S2620" t="s">
        <v>9072</v>
      </c>
      <c r="T2620" t="s">
        <v>12902</v>
      </c>
      <c r="U2620" t="s">
        <v>12902</v>
      </c>
      <c r="V2620" t="s">
        <v>12902</v>
      </c>
      <c r="W2620" t="s">
        <v>15483</v>
      </c>
      <c r="X2620">
        <v>62</v>
      </c>
      <c r="Y2620" t="s">
        <v>21829</v>
      </c>
      <c r="Z2620" t="s">
        <v>28195</v>
      </c>
      <c r="AA2620">
        <v>0.47155247576005921</v>
      </c>
      <c r="AB2620" t="str">
        <f>HYPERLINK("Melting_Curves/meltCurve_P49588_AARS.pdf", "Melting_Curves/meltCurve_P49588_AARS.pdf")</f>
        <v>Melting_Curves/meltCurve_P49588_AARS.pdf</v>
      </c>
    </row>
    <row r="2621" spans="1:28" x14ac:dyDescent="0.25">
      <c r="A2621" t="s">
        <v>2625</v>
      </c>
      <c r="B2621">
        <v>0.99673306730245903</v>
      </c>
      <c r="C2621">
        <v>0.83637175523114804</v>
      </c>
      <c r="D2621">
        <v>0.97262346381075504</v>
      </c>
      <c r="E2621">
        <v>1.02006935206831</v>
      </c>
      <c r="F2621">
        <v>0.61048038044787301</v>
      </c>
      <c r="G2621">
        <v>0.17806972645163799</v>
      </c>
      <c r="H2621">
        <v>0.105821898765307</v>
      </c>
      <c r="I2621">
        <v>8.9866639259066294E-2</v>
      </c>
      <c r="J2621">
        <v>8.3631119519402206E-2</v>
      </c>
      <c r="K2621">
        <v>7.0483757813691705E-2</v>
      </c>
      <c r="L2621">
        <v>2348.7682848654499</v>
      </c>
      <c r="M2621">
        <v>43.811236994607199</v>
      </c>
      <c r="N2621">
        <v>53.852422959850401</v>
      </c>
      <c r="O2621">
        <v>53.499775484839397</v>
      </c>
      <c r="P2621">
        <v>-0.18647957524655701</v>
      </c>
      <c r="Q2621">
        <v>8.9128902610502506E-2</v>
      </c>
      <c r="R2621">
        <v>0.98152419416470804</v>
      </c>
      <c r="S2621" t="s">
        <v>9073</v>
      </c>
      <c r="T2621" t="s">
        <v>12902</v>
      </c>
      <c r="U2621" t="s">
        <v>12902</v>
      </c>
      <c r="V2621" t="s">
        <v>12902</v>
      </c>
      <c r="W2621" t="s">
        <v>15484</v>
      </c>
      <c r="X2621">
        <v>36</v>
      </c>
      <c r="Y2621" t="s">
        <v>21830</v>
      </c>
      <c r="Z2621" t="s">
        <v>28196</v>
      </c>
      <c r="AA2621">
        <v>0.50520194944214303</v>
      </c>
      <c r="AB2621" t="str">
        <f>HYPERLINK("Melting_Curves/meltCurve_P49589_3_CARS.pdf", "Melting_Curves/meltCurve_P49589_3_CARS.pdf")</f>
        <v>Melting_Curves/meltCurve_P49589_3_CARS.pdf</v>
      </c>
    </row>
    <row r="2622" spans="1:28" x14ac:dyDescent="0.25">
      <c r="A2622" t="s">
        <v>2626</v>
      </c>
      <c r="B2622">
        <v>0.99673306730245903</v>
      </c>
      <c r="C2622">
        <v>1.00193891304173</v>
      </c>
      <c r="D2622">
        <v>1.02837751354437</v>
      </c>
      <c r="E2622">
        <v>1.02874520408472</v>
      </c>
      <c r="F2622">
        <v>0.75657554176773101</v>
      </c>
      <c r="G2622">
        <v>0.21443853821455</v>
      </c>
      <c r="H2622">
        <v>7.9541036842802296E-2</v>
      </c>
      <c r="I2622">
        <v>6.3665299135209893E-2</v>
      </c>
      <c r="J2622">
        <v>6.9606593043696902E-2</v>
      </c>
      <c r="K2622">
        <v>6.3527443609117495E-2</v>
      </c>
      <c r="L2622">
        <v>2341.31659396854</v>
      </c>
      <c r="M2622">
        <v>42.931299824311601</v>
      </c>
      <c r="N2622">
        <v>54.7185547456248</v>
      </c>
      <c r="O2622">
        <v>54.418423647825101</v>
      </c>
      <c r="P2622">
        <v>-0.184092430722123</v>
      </c>
      <c r="Q2622">
        <v>6.6601370776552093E-2</v>
      </c>
      <c r="R2622">
        <v>0.99861945848224398</v>
      </c>
      <c r="S2622" t="s">
        <v>9074</v>
      </c>
      <c r="T2622" t="s">
        <v>12902</v>
      </c>
      <c r="U2622" t="s">
        <v>12902</v>
      </c>
      <c r="V2622" t="s">
        <v>12902</v>
      </c>
      <c r="W2622" t="s">
        <v>15485</v>
      </c>
      <c r="X2622">
        <v>27</v>
      </c>
      <c r="Y2622" t="s">
        <v>21831</v>
      </c>
      <c r="Z2622" t="s">
        <v>28197</v>
      </c>
      <c r="AA2622">
        <v>0.52192172539393922</v>
      </c>
      <c r="AB2622" t="str">
        <f>HYPERLINK("Melting_Curves/meltCurve_P49591_SARS.pdf", "Melting_Curves/meltCurve_P49591_SARS.pdf")</f>
        <v>Melting_Curves/meltCurve_P49591_SARS.pdf</v>
      </c>
    </row>
    <row r="2623" spans="1:28" x14ac:dyDescent="0.25">
      <c r="A2623" t="s">
        <v>2627</v>
      </c>
      <c r="B2623">
        <v>0.99673306730245903</v>
      </c>
      <c r="C2623">
        <v>0.88263822439683803</v>
      </c>
      <c r="D2623">
        <v>0.62877928010952799</v>
      </c>
      <c r="E2623">
        <v>0.336182221791063</v>
      </c>
      <c r="F2623">
        <v>0.25208400344808601</v>
      </c>
      <c r="G2623">
        <v>0.117720620771951</v>
      </c>
      <c r="H2623">
        <v>6.90950143033328E-2</v>
      </c>
      <c r="I2623">
        <v>7.0248287142283206E-2</v>
      </c>
      <c r="J2623">
        <v>7.1487633751606994E-2</v>
      </c>
      <c r="K2623">
        <v>6.8561623901642693E-2</v>
      </c>
      <c r="L2623">
        <v>805.34441578337396</v>
      </c>
      <c r="M2623">
        <v>17.006194631707899</v>
      </c>
      <c r="N2623">
        <v>47.759606799946603</v>
      </c>
      <c r="O2623">
        <v>46.715668419852499</v>
      </c>
      <c r="P2623">
        <v>-8.4921979911095E-2</v>
      </c>
      <c r="Q2623">
        <v>6.6941495772126297E-2</v>
      </c>
      <c r="R2623">
        <v>0.99414681984745601</v>
      </c>
      <c r="S2623" t="s">
        <v>9075</v>
      </c>
      <c r="T2623" t="s">
        <v>12902</v>
      </c>
      <c r="U2623" t="s">
        <v>12902</v>
      </c>
      <c r="V2623" t="s">
        <v>12902</v>
      </c>
      <c r="W2623" t="s">
        <v>15486</v>
      </c>
      <c r="X2623">
        <v>9</v>
      </c>
      <c r="Y2623" t="s">
        <v>21832</v>
      </c>
      <c r="Z2623" t="s">
        <v>28198</v>
      </c>
      <c r="AA2623">
        <v>0.31484693202113478</v>
      </c>
      <c r="AB2623" t="str">
        <f>HYPERLINK("Melting_Curves/meltCurve_P49642_PRIM1.pdf", "Melting_Curves/meltCurve_P49642_PRIM1.pdf")</f>
        <v>Melting_Curves/meltCurve_P49642_PRIM1.pdf</v>
      </c>
    </row>
    <row r="2624" spans="1:28" x14ac:dyDescent="0.25">
      <c r="A2624" t="s">
        <v>2628</v>
      </c>
      <c r="B2624">
        <v>0.99673306730245903</v>
      </c>
      <c r="C2624">
        <v>0.83745375926133103</v>
      </c>
      <c r="D2624">
        <v>0.63027675543787098</v>
      </c>
      <c r="E2624">
        <v>0.26311655928844202</v>
      </c>
      <c r="F2624">
        <v>0.125255444035442</v>
      </c>
      <c r="G2624">
        <v>9.3090167506753793E-2</v>
      </c>
      <c r="H2624">
        <v>5.63182758428745E-2</v>
      </c>
      <c r="I2624">
        <v>5.9949028467259698E-2</v>
      </c>
      <c r="J2624">
        <v>5.2970359491798201E-2</v>
      </c>
      <c r="K2624">
        <v>3.9571164354728898E-2</v>
      </c>
      <c r="L2624">
        <v>946.18138999042503</v>
      </c>
      <c r="M2624">
        <v>20.2210775564897</v>
      </c>
      <c r="N2624">
        <v>47.038265683163701</v>
      </c>
      <c r="O2624">
        <v>46.3414210874639</v>
      </c>
      <c r="P2624">
        <v>-0.10360812155601599</v>
      </c>
      <c r="Q2624">
        <v>5.0258731766451098E-2</v>
      </c>
      <c r="R2624">
        <v>0.99751950648288701</v>
      </c>
      <c r="S2624" t="s">
        <v>9076</v>
      </c>
      <c r="T2624" t="s">
        <v>12902</v>
      </c>
      <c r="U2624" t="s">
        <v>12902</v>
      </c>
      <c r="V2624" t="s">
        <v>12902</v>
      </c>
      <c r="W2624" t="s">
        <v>15487</v>
      </c>
      <c r="X2624">
        <v>6</v>
      </c>
      <c r="Y2624" t="s">
        <v>21833</v>
      </c>
      <c r="Z2624" t="s">
        <v>28199</v>
      </c>
      <c r="AA2624">
        <v>0.2789637342026996</v>
      </c>
      <c r="AB2624" t="str">
        <f>HYPERLINK("Melting_Curves/meltCurve_P49643_PRIM2.pdf", "Melting_Curves/meltCurve_P49643_PRIM2.pdf")</f>
        <v>Melting_Curves/meltCurve_P49643_PRIM2.pdf</v>
      </c>
    </row>
    <row r="2625" spans="1:28" x14ac:dyDescent="0.25">
      <c r="A2625" t="s">
        <v>2629</v>
      </c>
      <c r="B2625">
        <v>0.99673306730245903</v>
      </c>
      <c r="C2625">
        <v>0.965770565124213</v>
      </c>
      <c r="D2625">
        <v>0.90387893666785801</v>
      </c>
      <c r="E2625">
        <v>0.54861712103498905</v>
      </c>
      <c r="F2625">
        <v>0.29271478916225702</v>
      </c>
      <c r="G2625">
        <v>0.18785130430400701</v>
      </c>
      <c r="H2625">
        <v>0.13073761317041299</v>
      </c>
      <c r="I2625">
        <v>0.14100825294204999</v>
      </c>
      <c r="J2625">
        <v>0.162956876269572</v>
      </c>
      <c r="K2625">
        <v>0.16437654920009201</v>
      </c>
      <c r="L2625">
        <v>1224.4018650006799</v>
      </c>
      <c r="M2625">
        <v>24.743505559500701</v>
      </c>
      <c r="N2625">
        <v>50.204490822552799</v>
      </c>
      <c r="O2625">
        <v>49.1639479326466</v>
      </c>
      <c r="P2625">
        <v>-0.107013823885048</v>
      </c>
      <c r="Q2625">
        <v>0.14949022169484499</v>
      </c>
      <c r="R2625">
        <v>0.99822271852845301</v>
      </c>
      <c r="S2625" t="s">
        <v>9077</v>
      </c>
      <c r="T2625" t="s">
        <v>12902</v>
      </c>
      <c r="U2625" t="s">
        <v>12902</v>
      </c>
      <c r="V2625" t="s">
        <v>12902</v>
      </c>
      <c r="W2625" t="s">
        <v>15488</v>
      </c>
      <c r="X2625">
        <v>11</v>
      </c>
      <c r="Y2625" t="s">
        <v>21834</v>
      </c>
      <c r="Z2625" t="s">
        <v>28200</v>
      </c>
      <c r="AA2625">
        <v>0.42608309272893857</v>
      </c>
      <c r="AB2625" t="str">
        <f>HYPERLINK("Melting_Curves/meltCurve_P49662_CASP4.pdf", "Melting_Curves/meltCurve_P49662_CASP4.pdf")</f>
        <v>Melting_Curves/meltCurve_P49662_CASP4.pdf</v>
      </c>
    </row>
    <row r="2626" spans="1:28" x14ac:dyDescent="0.25">
      <c r="A2626" t="s">
        <v>2630</v>
      </c>
      <c r="B2626">
        <v>0.99673306730245903</v>
      </c>
      <c r="C2626">
        <v>0.97003702255936797</v>
      </c>
      <c r="D2626">
        <v>0.88224074072677905</v>
      </c>
      <c r="E2626">
        <v>0.64427011267700096</v>
      </c>
      <c r="F2626">
        <v>0.30812472044996903</v>
      </c>
      <c r="G2626">
        <v>0.16669821870874801</v>
      </c>
      <c r="H2626">
        <v>8.9474237014383798E-2</v>
      </c>
      <c r="I2626">
        <v>8.70040611952244E-2</v>
      </c>
      <c r="J2626">
        <v>8.7712407316065097E-2</v>
      </c>
      <c r="K2626">
        <v>7.7219615522882798E-2</v>
      </c>
      <c r="L2626">
        <v>1046.14861226473</v>
      </c>
      <c r="M2626">
        <v>20.683716187216</v>
      </c>
      <c r="N2626">
        <v>50.971057704213301</v>
      </c>
      <c r="O2626">
        <v>50.112709684463198</v>
      </c>
      <c r="P2626">
        <v>-9.5588914563651803E-2</v>
      </c>
      <c r="Q2626">
        <v>7.3651381768089094E-2</v>
      </c>
      <c r="R2626">
        <v>0.99943455122615199</v>
      </c>
      <c r="S2626" t="s">
        <v>9078</v>
      </c>
      <c r="T2626" t="s">
        <v>12902</v>
      </c>
      <c r="U2626" t="s">
        <v>12902</v>
      </c>
      <c r="V2626" t="s">
        <v>12902</v>
      </c>
      <c r="W2626" t="s">
        <v>15489</v>
      </c>
      <c r="X2626">
        <v>9</v>
      </c>
      <c r="Y2626" t="s">
        <v>21835</v>
      </c>
      <c r="Z2626" t="s">
        <v>28201</v>
      </c>
      <c r="AA2626">
        <v>0.41236416658586428</v>
      </c>
      <c r="AB2626" t="str">
        <f>HYPERLINK("Melting_Curves/meltCurve_P49674_CSNK1E.pdf", "Melting_Curves/meltCurve_P49674_CSNK1E.pdf")</f>
        <v>Melting_Curves/meltCurve_P49674_CSNK1E.pdf</v>
      </c>
    </row>
    <row r="2627" spans="1:28" x14ac:dyDescent="0.25">
      <c r="A2627" t="s">
        <v>2631</v>
      </c>
      <c r="B2627">
        <v>0.99673306730245903</v>
      </c>
      <c r="C2627">
        <v>0.95325151249038298</v>
      </c>
      <c r="D2627">
        <v>0.90819833288072305</v>
      </c>
      <c r="E2627">
        <v>0.79752524261028002</v>
      </c>
      <c r="F2627">
        <v>0.63856433385567901</v>
      </c>
      <c r="G2627">
        <v>0.50820924549144997</v>
      </c>
      <c r="H2627">
        <v>0.40750882686101803</v>
      </c>
      <c r="I2627">
        <v>0.43570197383619702</v>
      </c>
      <c r="J2627">
        <v>0.36082621795990699</v>
      </c>
      <c r="K2627">
        <v>0.34726116890445102</v>
      </c>
      <c r="L2627">
        <v>689.37340888425501</v>
      </c>
      <c r="M2627">
        <v>13.130885962679599</v>
      </c>
      <c r="N2627">
        <v>57.316527322009001</v>
      </c>
      <c r="O2627">
        <v>51.327268114912101</v>
      </c>
      <c r="P2627">
        <v>-4.2594042394598602E-2</v>
      </c>
      <c r="Q2627">
        <v>0.334130297657667</v>
      </c>
      <c r="R2627">
        <v>0.99504370797547104</v>
      </c>
      <c r="S2627" t="s">
        <v>9079</v>
      </c>
      <c r="T2627" t="s">
        <v>12902</v>
      </c>
      <c r="U2627" t="s">
        <v>12902</v>
      </c>
      <c r="V2627" t="s">
        <v>12902</v>
      </c>
      <c r="W2627" t="s">
        <v>15490</v>
      </c>
      <c r="X2627">
        <v>8</v>
      </c>
      <c r="Y2627" t="s">
        <v>21836</v>
      </c>
      <c r="Z2627" t="s">
        <v>28202</v>
      </c>
      <c r="AA2627">
        <v>0.62915695819155315</v>
      </c>
      <c r="AB2627" t="str">
        <f>HYPERLINK("Melting_Curves/meltCurve_P49711_2_CTCF.pdf", "Melting_Curves/meltCurve_P49711_2_CTCF.pdf")</f>
        <v>Melting_Curves/meltCurve_P49711_2_CTCF.pdf</v>
      </c>
    </row>
    <row r="2628" spans="1:28" x14ac:dyDescent="0.25">
      <c r="A2628" t="s">
        <v>2632</v>
      </c>
      <c r="B2628">
        <v>0.99673306730245903</v>
      </c>
      <c r="C2628">
        <v>0.95580644227099099</v>
      </c>
      <c r="D2628">
        <v>1.1112749153986901</v>
      </c>
      <c r="E2628">
        <v>1.3630215768660101</v>
      </c>
      <c r="F2628">
        <v>1.29153161219081</v>
      </c>
      <c r="G2628">
        <v>1.6210828647842399</v>
      </c>
      <c r="H2628">
        <v>1.9560647897904999</v>
      </c>
      <c r="I2628">
        <v>2.1282456703058599</v>
      </c>
      <c r="J2628">
        <v>1.60375166088188</v>
      </c>
      <c r="K2628">
        <v>0.58080484986286596</v>
      </c>
      <c r="L2628">
        <v>1323.79978446887</v>
      </c>
      <c r="M2628">
        <v>27.361887000062701</v>
      </c>
      <c r="O2628">
        <v>48.124946331607497</v>
      </c>
      <c r="P2628">
        <v>7.1070583201659501E-2</v>
      </c>
      <c r="Q2628">
        <v>1.5</v>
      </c>
      <c r="R2628">
        <v>0.26005745465364</v>
      </c>
      <c r="S2628" t="s">
        <v>9080</v>
      </c>
      <c r="T2628" t="s">
        <v>12902</v>
      </c>
      <c r="U2628" t="s">
        <v>12902</v>
      </c>
      <c r="V2628" t="s">
        <v>12902</v>
      </c>
      <c r="W2628" t="s">
        <v>15491</v>
      </c>
      <c r="X2628">
        <v>12</v>
      </c>
      <c r="Y2628" t="s">
        <v>21837</v>
      </c>
      <c r="Z2628" t="s">
        <v>28203</v>
      </c>
      <c r="AA2628">
        <v>1.356655728655475</v>
      </c>
      <c r="AB2628" t="str">
        <f>HYPERLINK("Melting_Curves/meltCurve_P49720_PSMB3.pdf", "Melting_Curves/meltCurve_P49720_PSMB3.pdf")</f>
        <v>Melting_Curves/meltCurve_P49720_PSMB3.pdf</v>
      </c>
    </row>
    <row r="2629" spans="1:28" x14ac:dyDescent="0.25">
      <c r="A2629" t="s">
        <v>2633</v>
      </c>
      <c r="B2629">
        <v>0.99673306730245903</v>
      </c>
      <c r="C2629">
        <v>0.88682656186571895</v>
      </c>
      <c r="D2629">
        <v>0.94536702033262798</v>
      </c>
      <c r="E2629">
        <v>1.12226694947546</v>
      </c>
      <c r="F2629">
        <v>1.28211366810529</v>
      </c>
      <c r="G2629">
        <v>1.32023571759956</v>
      </c>
      <c r="H2629">
        <v>1.68283731748358</v>
      </c>
      <c r="I2629">
        <v>1.76501797802126</v>
      </c>
      <c r="J2629">
        <v>1.1130410469818599</v>
      </c>
      <c r="K2629">
        <v>0.46897530978538299</v>
      </c>
      <c r="L2629">
        <v>12410.063506697101</v>
      </c>
      <c r="M2629">
        <v>250</v>
      </c>
      <c r="O2629">
        <v>49.6370773788286</v>
      </c>
      <c r="P2629">
        <v>0.34253230725209899</v>
      </c>
      <c r="Q2629">
        <v>1.2720368419235299</v>
      </c>
      <c r="R2629">
        <v>0.15915948629791599</v>
      </c>
      <c r="S2629" t="s">
        <v>9081</v>
      </c>
      <c r="T2629" t="s">
        <v>12902</v>
      </c>
      <c r="U2629" t="s">
        <v>12902</v>
      </c>
      <c r="V2629" t="s">
        <v>12902</v>
      </c>
      <c r="W2629" t="s">
        <v>15492</v>
      </c>
      <c r="X2629">
        <v>9</v>
      </c>
      <c r="Y2629" t="s">
        <v>21838</v>
      </c>
      <c r="Z2629" t="s">
        <v>28204</v>
      </c>
      <c r="AA2629">
        <v>1.1845963339594809</v>
      </c>
      <c r="AB2629" t="str">
        <f>HYPERLINK("Melting_Curves/meltCurve_P49721_PSMB2.pdf", "Melting_Curves/meltCurve_P49721_PSMB2.pdf")</f>
        <v>Melting_Curves/meltCurve_P49721_PSMB2.pdf</v>
      </c>
    </row>
    <row r="2630" spans="1:28" x14ac:dyDescent="0.25">
      <c r="A2630" t="s">
        <v>2634</v>
      </c>
      <c r="B2630">
        <v>0.99673306730245903</v>
      </c>
      <c r="C2630">
        <v>0.90679033161150302</v>
      </c>
      <c r="D2630">
        <v>0.93241592655270999</v>
      </c>
      <c r="E2630">
        <v>0.85325049941028797</v>
      </c>
      <c r="F2630">
        <v>0.20224809386827</v>
      </c>
      <c r="G2630">
        <v>0.13302972576484801</v>
      </c>
      <c r="H2630">
        <v>7.2447836310865099E-2</v>
      </c>
      <c r="I2630">
        <v>6.6485737068706099E-2</v>
      </c>
      <c r="J2630">
        <v>6.9555430536903107E-2</v>
      </c>
      <c r="K2630">
        <v>4.9768249112439697E-2</v>
      </c>
      <c r="L2630">
        <v>2468.9525109331698</v>
      </c>
      <c r="M2630">
        <v>48.164222565657802</v>
      </c>
      <c r="N2630">
        <v>51.434724742280103</v>
      </c>
      <c r="O2630">
        <v>51.172994772121598</v>
      </c>
      <c r="P2630">
        <v>-0.21765074937537601</v>
      </c>
      <c r="Q2630">
        <v>7.5012191831725306E-2</v>
      </c>
      <c r="R2630">
        <v>0.99026470915172005</v>
      </c>
      <c r="S2630" t="s">
        <v>9082</v>
      </c>
      <c r="T2630" t="s">
        <v>12902</v>
      </c>
      <c r="U2630" t="s">
        <v>12902</v>
      </c>
      <c r="V2630" t="s">
        <v>12902</v>
      </c>
      <c r="W2630" t="s">
        <v>15493</v>
      </c>
      <c r="X2630">
        <v>28</v>
      </c>
      <c r="Y2630" t="s">
        <v>21839</v>
      </c>
      <c r="Z2630" t="s">
        <v>28205</v>
      </c>
      <c r="AA2630">
        <v>0.42448067740642859</v>
      </c>
      <c r="AB2630" t="str">
        <f>HYPERLINK("Melting_Curves/meltCurve_P49736_MCM2.pdf", "Melting_Curves/meltCurve_P49736_MCM2.pdf")</f>
        <v>Melting_Curves/meltCurve_P49736_MCM2.pdf</v>
      </c>
    </row>
    <row r="2631" spans="1:28" x14ac:dyDescent="0.25">
      <c r="A2631" t="s">
        <v>2635</v>
      </c>
      <c r="B2631">
        <v>0.99673306730245903</v>
      </c>
      <c r="C2631">
        <v>0.92237225808707302</v>
      </c>
      <c r="D2631">
        <v>0.91018324338402001</v>
      </c>
      <c r="E2631">
        <v>0.86186235757081298</v>
      </c>
      <c r="F2631">
        <v>0.97313470370149602</v>
      </c>
      <c r="G2631">
        <v>0.60034516916818303</v>
      </c>
      <c r="H2631">
        <v>0.27410755043934398</v>
      </c>
      <c r="I2631">
        <v>0.115619212369946</v>
      </c>
      <c r="J2631">
        <v>8.4577459983116193E-2</v>
      </c>
      <c r="K2631">
        <v>7.28563319415889E-2</v>
      </c>
      <c r="L2631">
        <v>1516.61423024285</v>
      </c>
      <c r="M2631">
        <v>26.288007861783498</v>
      </c>
      <c r="N2631">
        <v>57.982611747472298</v>
      </c>
      <c r="O2631">
        <v>57.361497221822397</v>
      </c>
      <c r="P2631">
        <v>-0.10750662840389499</v>
      </c>
      <c r="Q2631">
        <v>6.1675071613560201E-2</v>
      </c>
      <c r="R2631">
        <v>0.97580202284707396</v>
      </c>
      <c r="S2631" t="s">
        <v>9083</v>
      </c>
      <c r="T2631" t="s">
        <v>12902</v>
      </c>
      <c r="U2631" t="s">
        <v>12902</v>
      </c>
      <c r="V2631" t="s">
        <v>12902</v>
      </c>
      <c r="W2631" t="s">
        <v>15494</v>
      </c>
      <c r="X2631">
        <v>30</v>
      </c>
      <c r="Y2631" t="s">
        <v>21840</v>
      </c>
      <c r="Z2631" t="s">
        <v>28206</v>
      </c>
      <c r="AA2631">
        <v>0.62271917103653907</v>
      </c>
      <c r="AB2631" t="str">
        <f>HYPERLINK("Melting_Curves/meltCurve_P49748_2_ACADVL.pdf", "Melting_Curves/meltCurve_P49748_2_ACADVL.pdf")</f>
        <v>Melting_Curves/meltCurve_P49748_2_ACADVL.pdf</v>
      </c>
    </row>
    <row r="2632" spans="1:28" x14ac:dyDescent="0.25">
      <c r="A2632" t="s">
        <v>2636</v>
      </c>
      <c r="B2632">
        <v>0.99673306730245903</v>
      </c>
      <c r="C2632">
        <v>0.89933974843780295</v>
      </c>
      <c r="D2632">
        <v>0.92010942892521896</v>
      </c>
      <c r="E2632">
        <v>0.61704593887430703</v>
      </c>
      <c r="F2632">
        <v>0.319736780869184</v>
      </c>
      <c r="G2632">
        <v>0.21250501829526799</v>
      </c>
      <c r="H2632">
        <v>0.14780317181052499</v>
      </c>
      <c r="I2632">
        <v>0.192442308577848</v>
      </c>
      <c r="J2632">
        <v>0.28487887766590703</v>
      </c>
      <c r="K2632">
        <v>0.31635871299791501</v>
      </c>
      <c r="L2632">
        <v>1418.1462792672</v>
      </c>
      <c r="M2632">
        <v>28.628265351598198</v>
      </c>
      <c r="N2632">
        <v>50.603783349243599</v>
      </c>
      <c r="O2632">
        <v>49.296746244403003</v>
      </c>
      <c r="P2632">
        <v>-0.11228238482760999</v>
      </c>
      <c r="Q2632">
        <v>0.226622474582275</v>
      </c>
      <c r="R2632">
        <v>0.97118704888834795</v>
      </c>
      <c r="S2632" t="s">
        <v>9084</v>
      </c>
      <c r="T2632" t="s">
        <v>12902</v>
      </c>
      <c r="U2632" t="s">
        <v>12902</v>
      </c>
      <c r="V2632" t="s">
        <v>12902</v>
      </c>
      <c r="W2632" t="s">
        <v>15495</v>
      </c>
      <c r="X2632">
        <v>20</v>
      </c>
      <c r="Y2632" t="s">
        <v>21841</v>
      </c>
      <c r="Z2632" t="s">
        <v>28207</v>
      </c>
      <c r="AA2632">
        <v>0.47769117594002869</v>
      </c>
      <c r="AB2632" t="str">
        <f>HYPERLINK("Melting_Curves/meltCurve_P49750_4_YLPM1.pdf", "Melting_Curves/meltCurve_P49750_4_YLPM1.pdf")</f>
        <v>Melting_Curves/meltCurve_P49750_4_YLPM1.pdf</v>
      </c>
    </row>
    <row r="2633" spans="1:28" x14ac:dyDescent="0.25">
      <c r="A2633" t="s">
        <v>2637</v>
      </c>
      <c r="B2633">
        <v>0.99673306730245903</v>
      </c>
      <c r="C2633">
        <v>1.11181441274115</v>
      </c>
      <c r="D2633">
        <v>0.98252840556744103</v>
      </c>
      <c r="E2633">
        <v>0.82021496918340397</v>
      </c>
      <c r="F2633">
        <v>0.50395071747345299</v>
      </c>
      <c r="G2633">
        <v>0.30654235561591903</v>
      </c>
      <c r="H2633">
        <v>0.137920054647586</v>
      </c>
      <c r="I2633">
        <v>0.125363110340382</v>
      </c>
      <c r="J2633">
        <v>5.9285958072979102E-2</v>
      </c>
      <c r="K2633">
        <v>2.6852856961704301E-2</v>
      </c>
      <c r="L2633">
        <v>1017.22582656974</v>
      </c>
      <c r="M2633">
        <v>19.065445315831901</v>
      </c>
      <c r="N2633">
        <v>53.658372675149302</v>
      </c>
      <c r="O2633">
        <v>52.777818635417901</v>
      </c>
      <c r="P2633">
        <v>-8.5690845610455701E-2</v>
      </c>
      <c r="Q2633">
        <v>5.1184080390146901E-2</v>
      </c>
      <c r="R2633">
        <v>0.98819477173037096</v>
      </c>
      <c r="S2633" t="s">
        <v>9085</v>
      </c>
      <c r="T2633" t="s">
        <v>12902</v>
      </c>
      <c r="U2633" t="s">
        <v>12902</v>
      </c>
      <c r="V2633" t="s">
        <v>12902</v>
      </c>
      <c r="W2633" t="s">
        <v>15496</v>
      </c>
      <c r="X2633">
        <v>23</v>
      </c>
      <c r="Y2633" t="s">
        <v>21842</v>
      </c>
      <c r="Z2633" t="s">
        <v>28208</v>
      </c>
      <c r="AA2633">
        <v>0.48762066822676892</v>
      </c>
      <c r="AB2633" t="str">
        <f>HYPERLINK("Melting_Curves/meltCurve_P49753_ACOT2.pdf", "Melting_Curves/meltCurve_P49753_ACOT2.pdf")</f>
        <v>Melting_Curves/meltCurve_P49753_ACOT2.pdf</v>
      </c>
    </row>
    <row r="2634" spans="1:28" x14ac:dyDescent="0.25">
      <c r="A2634" t="s">
        <v>2638</v>
      </c>
      <c r="B2634">
        <v>0.99673306730245903</v>
      </c>
      <c r="C2634">
        <v>0.78151509522111196</v>
      </c>
      <c r="D2634">
        <v>0.75885613596339596</v>
      </c>
      <c r="E2634">
        <v>0.65414692449200496</v>
      </c>
      <c r="F2634">
        <v>0.41150578049780401</v>
      </c>
      <c r="G2634">
        <v>0.229658787651114</v>
      </c>
      <c r="H2634">
        <v>8.3031401662044202E-2</v>
      </c>
      <c r="I2634">
        <v>7.31701519174979E-2</v>
      </c>
      <c r="J2634">
        <v>8.0329447322846595E-2</v>
      </c>
      <c r="K2634">
        <v>6.7165238940857602E-2</v>
      </c>
      <c r="L2634">
        <v>566.82464325993999</v>
      </c>
      <c r="M2634">
        <v>11.0971227092041</v>
      </c>
      <c r="N2634">
        <v>51.078523544648903</v>
      </c>
      <c r="O2634">
        <v>49.503976866414298</v>
      </c>
      <c r="P2634">
        <v>-5.6059856725591599E-2</v>
      </c>
      <c r="Q2634">
        <v>0</v>
      </c>
      <c r="R2634">
        <v>0.97808070034498995</v>
      </c>
      <c r="S2634" t="s">
        <v>9086</v>
      </c>
      <c r="T2634" t="s">
        <v>12902</v>
      </c>
      <c r="U2634" t="s">
        <v>12902</v>
      </c>
      <c r="V2634" t="s">
        <v>12902</v>
      </c>
      <c r="W2634" t="s">
        <v>15497</v>
      </c>
      <c r="X2634">
        <v>15</v>
      </c>
      <c r="Y2634" t="s">
        <v>21843</v>
      </c>
      <c r="Z2634" t="s">
        <v>28209</v>
      </c>
      <c r="AA2634">
        <v>0.40543762645743392</v>
      </c>
      <c r="AB2634" t="str">
        <f>HYPERLINK("Melting_Curves/meltCurve_P49755_TMED10.pdf", "Melting_Curves/meltCurve_P49755_TMED10.pdf")</f>
        <v>Melting_Curves/meltCurve_P49755_TMED10.pdf</v>
      </c>
    </row>
    <row r="2635" spans="1:28" x14ac:dyDescent="0.25">
      <c r="A2635" t="s">
        <v>2639</v>
      </c>
      <c r="B2635">
        <v>0.99673306730245903</v>
      </c>
      <c r="C2635">
        <v>0.78314693660400303</v>
      </c>
      <c r="D2635">
        <v>0.61765227826919999</v>
      </c>
      <c r="E2635">
        <v>0.39562072516376801</v>
      </c>
      <c r="F2635">
        <v>0.18622639912434499</v>
      </c>
      <c r="G2635">
        <v>0.115940145745213</v>
      </c>
      <c r="H2635">
        <v>9.1649677754359796E-2</v>
      </c>
      <c r="I2635">
        <v>8.1392344134770603E-2</v>
      </c>
      <c r="J2635">
        <v>9.6442609865257004E-2</v>
      </c>
      <c r="K2635">
        <v>8.2747858334169505E-2</v>
      </c>
      <c r="L2635">
        <v>719.803968851229</v>
      </c>
      <c r="M2635">
        <v>15.288497056421299</v>
      </c>
      <c r="N2635">
        <v>47.545064681042398</v>
      </c>
      <c r="O2635">
        <v>46.297955570003403</v>
      </c>
      <c r="P2635">
        <v>-7.6844781852709904E-2</v>
      </c>
      <c r="Q2635">
        <v>6.9255249083172807E-2</v>
      </c>
      <c r="R2635">
        <v>0.99295585256431995</v>
      </c>
      <c r="S2635" t="s">
        <v>9087</v>
      </c>
      <c r="T2635" t="s">
        <v>12902</v>
      </c>
      <c r="U2635" t="s">
        <v>12902</v>
      </c>
      <c r="V2635" t="s">
        <v>12902</v>
      </c>
      <c r="W2635" t="s">
        <v>15498</v>
      </c>
      <c r="X2635">
        <v>26</v>
      </c>
      <c r="Y2635" t="s">
        <v>21844</v>
      </c>
      <c r="Z2635" t="s">
        <v>28210</v>
      </c>
      <c r="AA2635">
        <v>0.31314762559101261</v>
      </c>
      <c r="AB2635" t="str">
        <f>HYPERLINK("Melting_Curves/meltCurve_P49756_RBM25.pdf", "Melting_Curves/meltCurve_P49756_RBM25.pdf")</f>
        <v>Melting_Curves/meltCurve_P49756_RBM25.pdf</v>
      </c>
    </row>
    <row r="2636" spans="1:28" x14ac:dyDescent="0.25">
      <c r="A2636" t="s">
        <v>2640</v>
      </c>
      <c r="B2636">
        <v>0.99673306730245903</v>
      </c>
      <c r="C2636">
        <v>0.96961160699083404</v>
      </c>
      <c r="D2636">
        <v>0.95393186678110897</v>
      </c>
      <c r="E2636">
        <v>0.88019377148451305</v>
      </c>
      <c r="F2636">
        <v>0.40949237090907697</v>
      </c>
      <c r="G2636">
        <v>0.20971339096054001</v>
      </c>
      <c r="H2636">
        <v>0.15105163407668801</v>
      </c>
      <c r="I2636">
        <v>0.133122722573215</v>
      </c>
      <c r="J2636">
        <v>0.13127245972902901</v>
      </c>
      <c r="K2636">
        <v>0.113567282918679</v>
      </c>
      <c r="L2636">
        <v>1725.94905080328</v>
      </c>
      <c r="M2636">
        <v>33.125790716163102</v>
      </c>
      <c r="N2636">
        <v>52.595671017875603</v>
      </c>
      <c r="O2636">
        <v>51.914095352700997</v>
      </c>
      <c r="P2636">
        <v>-0.138240465698416</v>
      </c>
      <c r="Q2636">
        <v>0.13341270492288801</v>
      </c>
      <c r="R2636">
        <v>0.99742050443428698</v>
      </c>
      <c r="S2636" t="s">
        <v>9088</v>
      </c>
      <c r="T2636" t="s">
        <v>12902</v>
      </c>
      <c r="U2636" t="s">
        <v>12902</v>
      </c>
      <c r="V2636" t="s">
        <v>12902</v>
      </c>
      <c r="W2636" t="s">
        <v>15499</v>
      </c>
      <c r="X2636">
        <v>12</v>
      </c>
      <c r="Y2636" t="s">
        <v>21845</v>
      </c>
      <c r="Z2636" t="s">
        <v>28211</v>
      </c>
      <c r="AA2636">
        <v>0.48757256610001148</v>
      </c>
      <c r="AB2636" t="str">
        <f>HYPERLINK("Melting_Curves/meltCurve_P49757_4_NUMB.pdf", "Melting_Curves/meltCurve_P49757_4_NUMB.pdf")</f>
        <v>Melting_Curves/meltCurve_P49757_4_NUMB.pdf</v>
      </c>
    </row>
    <row r="2637" spans="1:28" x14ac:dyDescent="0.25">
      <c r="A2637" t="s">
        <v>2641</v>
      </c>
      <c r="B2637">
        <v>0.99673306730245903</v>
      </c>
      <c r="C2637">
        <v>0.93320192647669198</v>
      </c>
      <c r="D2637">
        <v>0.93688421972832303</v>
      </c>
      <c r="E2637">
        <v>0.97300339808817904</v>
      </c>
      <c r="F2637">
        <v>0.90352213901216905</v>
      </c>
      <c r="G2637">
        <v>0.51579075072618696</v>
      </c>
      <c r="H2637">
        <v>0.14004452489101099</v>
      </c>
      <c r="I2637">
        <v>0.117280377026361</v>
      </c>
      <c r="J2637">
        <v>0.113232695310218</v>
      </c>
      <c r="K2637">
        <v>9.8723161262371698E-2</v>
      </c>
      <c r="L2637">
        <v>2049.31511084974</v>
      </c>
      <c r="M2637">
        <v>36.272520918855797</v>
      </c>
      <c r="N2637">
        <v>56.841911188731601</v>
      </c>
      <c r="O2637">
        <v>56.326834367431502</v>
      </c>
      <c r="P2637">
        <v>-0.14511915299433301</v>
      </c>
      <c r="Q2637">
        <v>9.8592905482729407E-2</v>
      </c>
      <c r="R2637">
        <v>0.99367411390069604</v>
      </c>
      <c r="S2637" t="s">
        <v>9089</v>
      </c>
      <c r="T2637" t="s">
        <v>12902</v>
      </c>
      <c r="U2637" t="s">
        <v>12902</v>
      </c>
      <c r="V2637" t="s">
        <v>12902</v>
      </c>
      <c r="W2637" t="s">
        <v>15500</v>
      </c>
      <c r="X2637">
        <v>16</v>
      </c>
      <c r="Y2637" t="s">
        <v>21846</v>
      </c>
      <c r="Z2637" t="s">
        <v>28212</v>
      </c>
      <c r="AA2637">
        <v>0.5985183409885082</v>
      </c>
      <c r="AB2637" t="str">
        <f>HYPERLINK("Melting_Curves/meltCurve_P49770_EIF2B2.pdf", "Melting_Curves/meltCurve_P49770_EIF2B2.pdf")</f>
        <v>Melting_Curves/meltCurve_P49770_EIF2B2.pdf</v>
      </c>
    </row>
    <row r="2638" spans="1:28" x14ac:dyDescent="0.25">
      <c r="A2638" t="s">
        <v>2642</v>
      </c>
      <c r="B2638">
        <v>0.99673306730245903</v>
      </c>
      <c r="C2638">
        <v>1.0099562053442299</v>
      </c>
      <c r="D2638">
        <v>1.09603677645933</v>
      </c>
      <c r="E2638">
        <v>0.93586605011852297</v>
      </c>
      <c r="F2638">
        <v>0.77856060312523701</v>
      </c>
      <c r="G2638">
        <v>0.572840662219953</v>
      </c>
      <c r="H2638">
        <v>0.34377073899703298</v>
      </c>
      <c r="I2638">
        <v>0.213222937629028</v>
      </c>
      <c r="J2638">
        <v>0.28763310458432401</v>
      </c>
      <c r="K2638">
        <v>0.27617948038324203</v>
      </c>
      <c r="L2638">
        <v>1237.6964208586801</v>
      </c>
      <c r="M2638">
        <v>22.216601055255602</v>
      </c>
      <c r="N2638">
        <v>57.421661591467803</v>
      </c>
      <c r="O2638">
        <v>55.2649593684203</v>
      </c>
      <c r="P2638">
        <v>-7.6169869742600302E-2</v>
      </c>
      <c r="Q2638">
        <v>0.242110192779872</v>
      </c>
      <c r="R2638">
        <v>0.98292360166196202</v>
      </c>
      <c r="S2638" t="s">
        <v>9090</v>
      </c>
      <c r="T2638" t="s">
        <v>12902</v>
      </c>
      <c r="U2638" t="s">
        <v>12902</v>
      </c>
      <c r="V2638" t="s">
        <v>12902</v>
      </c>
      <c r="W2638" t="s">
        <v>15501</v>
      </c>
      <c r="X2638">
        <v>10</v>
      </c>
      <c r="Y2638" t="s">
        <v>21847</v>
      </c>
      <c r="Z2638" t="s">
        <v>28213</v>
      </c>
      <c r="AA2638">
        <v>0.64745499123843786</v>
      </c>
      <c r="AB2638" t="str">
        <f>HYPERLINK("Melting_Curves/meltCurve_P49773_HINT1.pdf", "Melting_Curves/meltCurve_P49773_HINT1.pdf")</f>
        <v>Melting_Curves/meltCurve_P49773_HINT1.pdf</v>
      </c>
    </row>
    <row r="2639" spans="1:28" x14ac:dyDescent="0.25">
      <c r="A2639" t="s">
        <v>2643</v>
      </c>
      <c r="B2639">
        <v>0.99673306730245903</v>
      </c>
      <c r="C2639">
        <v>1.12630650383385</v>
      </c>
      <c r="D2639">
        <v>1.0534863210501899</v>
      </c>
      <c r="E2639">
        <v>1.14117870296146</v>
      </c>
      <c r="F2639">
        <v>0.99024775589574998</v>
      </c>
      <c r="G2639">
        <v>0.908415577335279</v>
      </c>
      <c r="H2639">
        <v>0.56857150055016403</v>
      </c>
      <c r="I2639">
        <v>1.31239078578601</v>
      </c>
      <c r="J2639">
        <v>1.51585885718868</v>
      </c>
      <c r="K2639">
        <v>0.92452828606111903</v>
      </c>
      <c r="L2639">
        <v>1590.8676650708201</v>
      </c>
      <c r="M2639">
        <v>24.820069734472899</v>
      </c>
      <c r="O2639">
        <v>63.684283955714498</v>
      </c>
      <c r="P2639">
        <v>2.2423348818237699E-2</v>
      </c>
      <c r="Q2639">
        <v>1.23013555854998</v>
      </c>
      <c r="R2639">
        <v>0.103894061897608</v>
      </c>
      <c r="S2639" t="s">
        <v>9091</v>
      </c>
      <c r="T2639" t="s">
        <v>12902</v>
      </c>
      <c r="U2639" t="s">
        <v>12902</v>
      </c>
      <c r="V2639" t="s">
        <v>12902</v>
      </c>
      <c r="W2639" t="s">
        <v>15502</v>
      </c>
      <c r="X2639">
        <v>3</v>
      </c>
      <c r="Y2639" t="s">
        <v>21848</v>
      </c>
      <c r="Z2639" t="s">
        <v>28214</v>
      </c>
      <c r="AA2639">
        <v>1.0456389493860041</v>
      </c>
      <c r="AB2639" t="str">
        <f>HYPERLINK("Melting_Curves/meltCurve_P49789_FHIT.pdf", "Melting_Curves/meltCurve_P49789_FHIT.pdf")</f>
        <v>Melting_Curves/meltCurve_P49789_FHIT.pdf</v>
      </c>
    </row>
    <row r="2640" spans="1:28" x14ac:dyDescent="0.25">
      <c r="A2640" t="s">
        <v>2644</v>
      </c>
      <c r="B2640">
        <v>0.99673306730245903</v>
      </c>
      <c r="C2640">
        <v>0.92465848886204305</v>
      </c>
      <c r="D2640">
        <v>1.02823854248335</v>
      </c>
      <c r="E2640">
        <v>1.02903908084642</v>
      </c>
      <c r="F2640">
        <v>0.65848647107011704</v>
      </c>
      <c r="G2640">
        <v>0.57175380000027398</v>
      </c>
      <c r="H2640">
        <v>0.34682742337101102</v>
      </c>
      <c r="I2640">
        <v>0.35843062317269397</v>
      </c>
      <c r="J2640">
        <v>0.53185824573513296</v>
      </c>
      <c r="K2640">
        <v>0.75240998363072198</v>
      </c>
      <c r="L2640">
        <v>6488.2786063182702</v>
      </c>
      <c r="M2640">
        <v>122.807128734846</v>
      </c>
      <c r="O2640">
        <v>52.819070965088898</v>
      </c>
      <c r="P2640">
        <v>-0.28352661805991802</v>
      </c>
      <c r="Q2640">
        <v>0.51222335287355802</v>
      </c>
      <c r="R2640">
        <v>0.812918161061436</v>
      </c>
      <c r="S2640" t="s">
        <v>9092</v>
      </c>
      <c r="T2640" t="s">
        <v>12902</v>
      </c>
      <c r="U2640" t="s">
        <v>12902</v>
      </c>
      <c r="V2640" t="s">
        <v>12902</v>
      </c>
      <c r="W2640" t="s">
        <v>15503</v>
      </c>
      <c r="X2640">
        <v>42</v>
      </c>
      <c r="Y2640" t="s">
        <v>21849</v>
      </c>
      <c r="Z2640" t="s">
        <v>28215</v>
      </c>
      <c r="AA2640">
        <v>0.72106676881276</v>
      </c>
      <c r="AB2640" t="str">
        <f>HYPERLINK("Melting_Curves/meltCurve_P49790_NUP153.pdf", "Melting_Curves/meltCurve_P49790_NUP153.pdf")</f>
        <v>Melting_Curves/meltCurve_P49790_NUP153.pdf</v>
      </c>
    </row>
    <row r="2641" spans="1:28" x14ac:dyDescent="0.25">
      <c r="A2641" t="s">
        <v>2645</v>
      </c>
      <c r="B2641">
        <v>0.99673306730245903</v>
      </c>
      <c r="C2641">
        <v>0.83758232724383497</v>
      </c>
      <c r="D2641">
        <v>0.51777233101803799</v>
      </c>
      <c r="E2641">
        <v>0.34953934866971997</v>
      </c>
      <c r="F2641">
        <v>0.23596381192009599</v>
      </c>
      <c r="G2641">
        <v>0.17067921865946001</v>
      </c>
      <c r="H2641">
        <v>0.117604558186666</v>
      </c>
      <c r="I2641">
        <v>0.13374195883409701</v>
      </c>
      <c r="J2641">
        <v>0.174733860249835</v>
      </c>
      <c r="K2641">
        <v>0.168290430014919</v>
      </c>
      <c r="L2641">
        <v>887.15488179460397</v>
      </c>
      <c r="M2641">
        <v>19.348705056309999</v>
      </c>
      <c r="N2641">
        <v>46.739176403688703</v>
      </c>
      <c r="O2641">
        <v>45.369519075676799</v>
      </c>
      <c r="P2641">
        <v>-9.0217601603261602E-2</v>
      </c>
      <c r="Q2641">
        <v>0.153849869480608</v>
      </c>
      <c r="R2641">
        <v>0.98952042085366798</v>
      </c>
      <c r="S2641" t="s">
        <v>9093</v>
      </c>
      <c r="T2641" t="s">
        <v>12902</v>
      </c>
      <c r="U2641" t="s">
        <v>12902</v>
      </c>
      <c r="V2641" t="s">
        <v>12902</v>
      </c>
      <c r="W2641" t="s">
        <v>15504</v>
      </c>
      <c r="X2641">
        <v>31</v>
      </c>
      <c r="Y2641" t="s">
        <v>21850</v>
      </c>
      <c r="Z2641" t="s">
        <v>28216</v>
      </c>
      <c r="AA2641">
        <v>0.33314107535071302</v>
      </c>
      <c r="AB2641" t="str">
        <f>HYPERLINK("Melting_Curves/meltCurve_P49792_RANBP2.pdf", "Melting_Curves/meltCurve_P49792_RANBP2.pdf")</f>
        <v>Melting_Curves/meltCurve_P49792_RANBP2.pdf</v>
      </c>
    </row>
    <row r="2642" spans="1:28" x14ac:dyDescent="0.25">
      <c r="A2642" t="s">
        <v>2646</v>
      </c>
      <c r="B2642">
        <v>0.99673306730245903</v>
      </c>
      <c r="C2642">
        <v>0.996460010926837</v>
      </c>
      <c r="D2642">
        <v>0.93421349899451001</v>
      </c>
      <c r="E2642">
        <v>0.86384736287034902</v>
      </c>
      <c r="F2642">
        <v>0.62534109140643102</v>
      </c>
      <c r="G2642">
        <v>0.205714260106411</v>
      </c>
      <c r="H2642">
        <v>9.1210919096844104E-2</v>
      </c>
      <c r="I2642">
        <v>7.7449419186642998E-2</v>
      </c>
      <c r="J2642">
        <v>7.0958327751205502E-2</v>
      </c>
      <c r="K2642">
        <v>6.7800057125773097E-2</v>
      </c>
      <c r="L2642">
        <v>1396.68957400719</v>
      </c>
      <c r="M2642">
        <v>26.0112567088795</v>
      </c>
      <c r="N2642">
        <v>53.946798244706301</v>
      </c>
      <c r="O2642">
        <v>53.381242033282902</v>
      </c>
      <c r="P2642">
        <v>-0.114871229224977</v>
      </c>
      <c r="Q2642">
        <v>5.7039568555480299E-2</v>
      </c>
      <c r="R2642">
        <v>0.99547517335124902</v>
      </c>
      <c r="S2642" t="s">
        <v>9094</v>
      </c>
      <c r="T2642" t="s">
        <v>12902</v>
      </c>
      <c r="U2642" t="s">
        <v>12902</v>
      </c>
      <c r="V2642" t="s">
        <v>12902</v>
      </c>
      <c r="W2642" t="s">
        <v>15505</v>
      </c>
      <c r="X2642">
        <v>9</v>
      </c>
      <c r="Y2642" t="s">
        <v>21851</v>
      </c>
      <c r="Z2642" t="s">
        <v>28217</v>
      </c>
      <c r="AA2642">
        <v>0.49561840998188261</v>
      </c>
      <c r="AB2642" t="str">
        <f>HYPERLINK("Melting_Curves/meltCurve_P49840_GSK3A.pdf", "Melting_Curves/meltCurve_P49840_GSK3A.pdf")</f>
        <v>Melting_Curves/meltCurve_P49840_GSK3A.pdf</v>
      </c>
    </row>
    <row r="2643" spans="1:28" x14ac:dyDescent="0.25">
      <c r="A2643" t="s">
        <v>2647</v>
      </c>
      <c r="B2643">
        <v>0.99673306730245903</v>
      </c>
      <c r="C2643">
        <v>0.99441121280230604</v>
      </c>
      <c r="D2643">
        <v>0.62987834341189097</v>
      </c>
      <c r="E2643">
        <v>0.91494794112237599</v>
      </c>
      <c r="F2643">
        <v>0.60717113311929305</v>
      </c>
      <c r="G2643">
        <v>0.30965192475067199</v>
      </c>
      <c r="H2643">
        <v>6.17208842266838E-2</v>
      </c>
      <c r="I2643">
        <v>4.8963917470134198E-2</v>
      </c>
      <c r="J2643">
        <v>4.6204471998459201E-2</v>
      </c>
      <c r="K2643">
        <v>4.1144907667484701E-2</v>
      </c>
      <c r="L2643">
        <v>874.17422333055197</v>
      </c>
      <c r="M2643">
        <v>16.183735113704898</v>
      </c>
      <c r="N2643">
        <v>54.015604132752102</v>
      </c>
      <c r="O2643">
        <v>53.211065074744099</v>
      </c>
      <c r="P2643">
        <v>-7.6041273286285793E-2</v>
      </c>
      <c r="Q2643">
        <v>0</v>
      </c>
      <c r="R2643">
        <v>0.92194920480119302</v>
      </c>
      <c r="S2643" t="s">
        <v>9095</v>
      </c>
      <c r="T2643" t="s">
        <v>12902</v>
      </c>
      <c r="U2643" t="s">
        <v>12902</v>
      </c>
      <c r="V2643" t="s">
        <v>12902</v>
      </c>
      <c r="W2643" t="s">
        <v>15506</v>
      </c>
      <c r="X2643">
        <v>12</v>
      </c>
      <c r="Y2643" t="s">
        <v>21852</v>
      </c>
      <c r="Z2643" t="s">
        <v>28218</v>
      </c>
      <c r="AA2643">
        <v>0.48577371910228112</v>
      </c>
      <c r="AB2643" t="str">
        <f>HYPERLINK("Melting_Curves/meltCurve_P49841_GSK3B.pdf", "Melting_Curves/meltCurve_P49841_GSK3B.pdf")</f>
        <v>Melting_Curves/meltCurve_P49841_GSK3B.pdf</v>
      </c>
    </row>
    <row r="2644" spans="1:28" x14ac:dyDescent="0.25">
      <c r="A2644" t="s">
        <v>2648</v>
      </c>
      <c r="B2644">
        <v>0.99673306730245903</v>
      </c>
      <c r="C2644">
        <v>0.96948241472636498</v>
      </c>
      <c r="D2644">
        <v>1.0595603431598699</v>
      </c>
      <c r="E2644">
        <v>1.1490247813143499</v>
      </c>
      <c r="F2644">
        <v>1.06677712338512</v>
      </c>
      <c r="G2644">
        <v>1.0298445202783599</v>
      </c>
      <c r="H2644">
        <v>0.67570073848631496</v>
      </c>
      <c r="I2644">
        <v>0.25300733279266102</v>
      </c>
      <c r="J2644">
        <v>0.16235875805070901</v>
      </c>
      <c r="K2644">
        <v>0.13127463100110801</v>
      </c>
      <c r="L2644">
        <v>3092.2417604219499</v>
      </c>
      <c r="M2644">
        <v>50.325538251786298</v>
      </c>
      <c r="N2644">
        <v>61.857884954121999</v>
      </c>
      <c r="O2644">
        <v>61.347993531211301</v>
      </c>
      <c r="P2644">
        <v>-0.175813215663502</v>
      </c>
      <c r="Q2644">
        <v>0.142719228010526</v>
      </c>
      <c r="R2644">
        <v>0.97802704816326702</v>
      </c>
      <c r="S2644" t="s">
        <v>9096</v>
      </c>
      <c r="T2644" t="s">
        <v>12902</v>
      </c>
      <c r="U2644" t="s">
        <v>12902</v>
      </c>
      <c r="V2644" t="s">
        <v>12902</v>
      </c>
      <c r="W2644" t="s">
        <v>15507</v>
      </c>
      <c r="X2644">
        <v>10</v>
      </c>
      <c r="Y2644" t="s">
        <v>21853</v>
      </c>
      <c r="Z2644" t="s">
        <v>28219</v>
      </c>
      <c r="AA2644">
        <v>0.75771815851781332</v>
      </c>
      <c r="AB2644" t="str">
        <f>HYPERLINK("Melting_Curves/meltCurve_P49902_NT5C2.pdf", "Melting_Curves/meltCurve_P49902_NT5C2.pdf")</f>
        <v>Melting_Curves/meltCurve_P49902_NT5C2.pdf</v>
      </c>
    </row>
    <row r="2645" spans="1:28" x14ac:dyDescent="0.25">
      <c r="A2645" t="s">
        <v>2649</v>
      </c>
      <c r="B2645">
        <v>0.99673306730245903</v>
      </c>
      <c r="C2645">
        <v>1.02018855024343</v>
      </c>
      <c r="D2645">
        <v>1.02717611705442</v>
      </c>
      <c r="E2645">
        <v>1.0300224144277601</v>
      </c>
      <c r="F2645">
        <v>0.94375840985972603</v>
      </c>
      <c r="G2645">
        <v>0.84727708862078499</v>
      </c>
      <c r="H2645">
        <v>0.69102226063235594</v>
      </c>
      <c r="I2645">
        <v>0.82920815118747204</v>
      </c>
      <c r="J2645">
        <v>0.96572961997881301</v>
      </c>
      <c r="K2645">
        <v>0.75971551609681298</v>
      </c>
      <c r="L2645">
        <v>2742.62478916502</v>
      </c>
      <c r="M2645">
        <v>50.578400344587699</v>
      </c>
      <c r="O2645">
        <v>54.140651079878403</v>
      </c>
      <c r="P2645">
        <v>-4.3303558163630303E-2</v>
      </c>
      <c r="Q2645">
        <v>0.81458639173523095</v>
      </c>
      <c r="R2645">
        <v>0.66954701130245597</v>
      </c>
      <c r="S2645" t="s">
        <v>9097</v>
      </c>
      <c r="T2645" t="s">
        <v>12902</v>
      </c>
      <c r="U2645" t="s">
        <v>12902</v>
      </c>
      <c r="V2645" t="s">
        <v>12902</v>
      </c>
      <c r="W2645" t="s">
        <v>15508</v>
      </c>
      <c r="X2645">
        <v>15</v>
      </c>
      <c r="Y2645" t="s">
        <v>21854</v>
      </c>
      <c r="Z2645" t="s">
        <v>28220</v>
      </c>
      <c r="AA2645">
        <v>0.90293791125842349</v>
      </c>
      <c r="AB2645" t="str">
        <f>HYPERLINK("Melting_Curves/meltCurve_P49903_SEPHS1.pdf", "Melting_Curves/meltCurve_P49903_SEPHS1.pdf")</f>
        <v>Melting_Curves/meltCurve_P49903_SEPHS1.pdf</v>
      </c>
    </row>
    <row r="2646" spans="1:28" x14ac:dyDescent="0.25">
      <c r="A2646" t="s">
        <v>2650</v>
      </c>
      <c r="B2646">
        <v>0.99673306730245903</v>
      </c>
      <c r="C2646">
        <v>0.950012932706775</v>
      </c>
      <c r="D2646">
        <v>0.90113112643948301</v>
      </c>
      <c r="E2646">
        <v>0.85135260027035098</v>
      </c>
      <c r="F2646">
        <v>0.30709942399093798</v>
      </c>
      <c r="G2646">
        <v>0.137007740130345</v>
      </c>
      <c r="H2646">
        <v>8.7401439918319002E-2</v>
      </c>
      <c r="I2646">
        <v>7.4824529040231999E-2</v>
      </c>
      <c r="J2646">
        <v>9.1921785292107497E-2</v>
      </c>
      <c r="K2646">
        <v>6.0997982179215697E-2</v>
      </c>
      <c r="L2646">
        <v>1852.6698183653</v>
      </c>
      <c r="M2646">
        <v>35.861090079146202</v>
      </c>
      <c r="N2646">
        <v>51.917216573989499</v>
      </c>
      <c r="O2646">
        <v>51.502533566296201</v>
      </c>
      <c r="P2646">
        <v>-0.16002763843225701</v>
      </c>
      <c r="Q2646">
        <v>8.0696934175322199E-2</v>
      </c>
      <c r="R2646">
        <v>0.992532018949013</v>
      </c>
      <c r="S2646" t="s">
        <v>9098</v>
      </c>
      <c r="T2646" t="s">
        <v>12902</v>
      </c>
      <c r="U2646" t="s">
        <v>12902</v>
      </c>
      <c r="V2646" t="s">
        <v>12902</v>
      </c>
      <c r="W2646" t="s">
        <v>15509</v>
      </c>
      <c r="X2646">
        <v>7</v>
      </c>
      <c r="Y2646" t="s">
        <v>21855</v>
      </c>
      <c r="Z2646" t="s">
        <v>28221</v>
      </c>
      <c r="AA2646">
        <v>0.44216072182446831</v>
      </c>
      <c r="AB2646" t="str">
        <f>HYPERLINK("Melting_Curves/meltCurve_P49914_MTHFS.pdf", "Melting_Curves/meltCurve_P49914_MTHFS.pdf")</f>
        <v>Melting_Curves/meltCurve_P49914_MTHFS.pdf</v>
      </c>
    </row>
    <row r="2647" spans="1:28" x14ac:dyDescent="0.25">
      <c r="A2647" t="s">
        <v>2651</v>
      </c>
      <c r="B2647">
        <v>0.99673306730245903</v>
      </c>
      <c r="C2647">
        <v>0.98896409468375002</v>
      </c>
      <c r="D2647">
        <v>0.84100571987439698</v>
      </c>
      <c r="E2647">
        <v>0.84930529794191401</v>
      </c>
      <c r="F2647">
        <v>0.20592134208204901</v>
      </c>
      <c r="G2647">
        <v>0.102608553326218</v>
      </c>
      <c r="H2647">
        <v>5.8581433573163103E-2</v>
      </c>
      <c r="I2647">
        <v>4.9823358319644698E-2</v>
      </c>
      <c r="J2647">
        <v>5.2871986170219799E-2</v>
      </c>
      <c r="K2647">
        <v>4.5555846347762899E-2</v>
      </c>
      <c r="L2647">
        <v>2283.6395867350302</v>
      </c>
      <c r="M2647">
        <v>44.5014094880569</v>
      </c>
      <c r="N2647">
        <v>51.4568229223106</v>
      </c>
      <c r="O2647">
        <v>51.212824368716497</v>
      </c>
      <c r="P2647">
        <v>-0.204793144566533</v>
      </c>
      <c r="Q2647">
        <v>5.7286531049713402E-2</v>
      </c>
      <c r="R2647">
        <v>0.98512363127865099</v>
      </c>
      <c r="S2647" t="s">
        <v>9099</v>
      </c>
      <c r="T2647" t="s">
        <v>12902</v>
      </c>
      <c r="U2647" t="s">
        <v>12902</v>
      </c>
      <c r="V2647" t="s">
        <v>12902</v>
      </c>
      <c r="W2647" t="s">
        <v>15510</v>
      </c>
      <c r="X2647">
        <v>40</v>
      </c>
      <c r="Y2647" t="s">
        <v>21856</v>
      </c>
      <c r="Z2647" t="s">
        <v>28222</v>
      </c>
      <c r="AA2647">
        <v>0.41557914885625941</v>
      </c>
      <c r="AB2647" t="str">
        <f>HYPERLINK("Melting_Curves/meltCurve_P49915_GMPS.pdf", "Melting_Curves/meltCurve_P49915_GMPS.pdf")</f>
        <v>Melting_Curves/meltCurve_P49915_GMPS.pdf</v>
      </c>
    </row>
    <row r="2648" spans="1:28" x14ac:dyDescent="0.25">
      <c r="A2648" t="s">
        <v>2652</v>
      </c>
      <c r="B2648">
        <v>0.99673306730245903</v>
      </c>
      <c r="C2648">
        <v>0.83922694913580298</v>
      </c>
      <c r="D2648">
        <v>0.51500639414551896</v>
      </c>
      <c r="E2648">
        <v>0.210358204205985</v>
      </c>
      <c r="F2648">
        <v>0.150169507898261</v>
      </c>
      <c r="G2648">
        <v>0.10883848542310701</v>
      </c>
      <c r="H2648">
        <v>7.7800913763022297E-2</v>
      </c>
      <c r="I2648">
        <v>5.4223445938750899E-2</v>
      </c>
      <c r="J2648">
        <v>4.5310283468209402E-2</v>
      </c>
      <c r="K2648">
        <v>3.6265306698980898E-2</v>
      </c>
      <c r="L2648">
        <v>1001.5959414151901</v>
      </c>
      <c r="M2648">
        <v>21.805117759210599</v>
      </c>
      <c r="N2648">
        <v>46.230012324572002</v>
      </c>
      <c r="O2648">
        <v>45.552877455019697</v>
      </c>
      <c r="P2648">
        <v>-0.111874731462297</v>
      </c>
      <c r="Q2648">
        <v>6.5155518532489007E-2</v>
      </c>
      <c r="R2648">
        <v>0.99537726540117999</v>
      </c>
      <c r="S2648" t="s">
        <v>9100</v>
      </c>
      <c r="T2648" t="s">
        <v>12902</v>
      </c>
      <c r="U2648" t="s">
        <v>12902</v>
      </c>
      <c r="V2648" t="s">
        <v>12902</v>
      </c>
      <c r="W2648" t="s">
        <v>15511</v>
      </c>
      <c r="X2648">
        <v>7</v>
      </c>
      <c r="Y2648" t="s">
        <v>21857</v>
      </c>
      <c r="Z2648" t="s">
        <v>28223</v>
      </c>
      <c r="AA2648">
        <v>0.26196419782872232</v>
      </c>
      <c r="AB2648" t="str">
        <f>HYPERLINK("Melting_Curves/meltCurve_P49916_LIG3.pdf", "Melting_Curves/meltCurve_P49916_LIG3.pdf")</f>
        <v>Melting_Curves/meltCurve_P49916_LIG3.pdf</v>
      </c>
    </row>
    <row r="2649" spans="1:28" x14ac:dyDescent="0.25">
      <c r="A2649" t="s">
        <v>2653</v>
      </c>
      <c r="B2649">
        <v>0.99673306730245903</v>
      </c>
      <c r="C2649">
        <v>0.95235644789785801</v>
      </c>
      <c r="D2649">
        <v>0.68358787696222401</v>
      </c>
      <c r="E2649">
        <v>0.64215024150674704</v>
      </c>
      <c r="F2649">
        <v>0.41659810683953502</v>
      </c>
      <c r="G2649">
        <v>0.25138633670073701</v>
      </c>
      <c r="H2649">
        <v>0.13004217017109801</v>
      </c>
      <c r="I2649">
        <v>7.5021321668004098E-2</v>
      </c>
      <c r="J2649">
        <v>5.1969442156233302E-2</v>
      </c>
      <c r="K2649">
        <v>4.3412774908232102E-2</v>
      </c>
      <c r="L2649">
        <v>588.50573617502505</v>
      </c>
      <c r="M2649">
        <v>11.4728644508405</v>
      </c>
      <c r="N2649">
        <v>51.295449274682099</v>
      </c>
      <c r="O2649">
        <v>49.811248314361599</v>
      </c>
      <c r="P2649">
        <v>-5.7598212260163498E-2</v>
      </c>
      <c r="Q2649">
        <v>0</v>
      </c>
      <c r="R2649">
        <v>0.98579074796552801</v>
      </c>
      <c r="S2649" t="s">
        <v>9101</v>
      </c>
      <c r="T2649" t="s">
        <v>12902</v>
      </c>
      <c r="U2649" t="s">
        <v>12902</v>
      </c>
      <c r="V2649" t="s">
        <v>12902</v>
      </c>
      <c r="W2649" t="s">
        <v>15512</v>
      </c>
      <c r="X2649">
        <v>32</v>
      </c>
      <c r="Y2649" t="s">
        <v>21858</v>
      </c>
      <c r="Z2649" t="s">
        <v>28224</v>
      </c>
      <c r="AA2649">
        <v>0.4105671045497602</v>
      </c>
      <c r="AB2649" t="str">
        <f>HYPERLINK("Melting_Curves/meltCurve_P49959_MRE11A.pdf", "Melting_Curves/meltCurve_P49959_MRE11A.pdf")</f>
        <v>Melting_Curves/meltCurve_P49959_MRE11A.pdf</v>
      </c>
    </row>
    <row r="2650" spans="1:28" x14ac:dyDescent="0.25">
      <c r="A2650" t="s">
        <v>2654</v>
      </c>
      <c r="B2650">
        <v>0.99673306730245903</v>
      </c>
      <c r="C2650">
        <v>0.99773598932792096</v>
      </c>
      <c r="D2650">
        <v>0.972782652666767</v>
      </c>
      <c r="E2650">
        <v>0.88410328701435803</v>
      </c>
      <c r="F2650">
        <v>0.86295626713803897</v>
      </c>
      <c r="G2650">
        <v>0.70123145738507497</v>
      </c>
      <c r="H2650">
        <v>0.41967217822034297</v>
      </c>
      <c r="I2650">
        <v>0.18760283250002799</v>
      </c>
      <c r="J2650">
        <v>0.13139647881894501</v>
      </c>
      <c r="K2650">
        <v>9.2170282927797206E-2</v>
      </c>
      <c r="L2650">
        <v>960.13157747864602</v>
      </c>
      <c r="M2650">
        <v>16.1882614784653</v>
      </c>
      <c r="N2650">
        <v>59.310357986853298</v>
      </c>
      <c r="O2650">
        <v>58.427438370817498</v>
      </c>
      <c r="P2650">
        <v>-6.9271709407286802E-2</v>
      </c>
      <c r="Q2650">
        <v>0</v>
      </c>
      <c r="R2650">
        <v>0.99256017022147103</v>
      </c>
      <c r="S2650" t="s">
        <v>9102</v>
      </c>
      <c r="T2650" t="s">
        <v>12902</v>
      </c>
      <c r="U2650" t="s">
        <v>12902</v>
      </c>
      <c r="V2650" t="s">
        <v>12902</v>
      </c>
      <c r="W2650" t="s">
        <v>15513</v>
      </c>
      <c r="X2650">
        <v>5</v>
      </c>
      <c r="Y2650" t="s">
        <v>21859</v>
      </c>
      <c r="Z2650" t="s">
        <v>28225</v>
      </c>
      <c r="AA2650">
        <v>0.65351694988290243</v>
      </c>
      <c r="AB2650" t="str">
        <f>HYPERLINK("Melting_Curves/meltCurve_P49961_ENTPD1.pdf", "Melting_Curves/meltCurve_P49961_ENTPD1.pdf")</f>
        <v>Melting_Curves/meltCurve_P49961_ENTPD1.pdf</v>
      </c>
    </row>
    <row r="2651" spans="1:28" x14ac:dyDescent="0.25">
      <c r="A2651" t="s">
        <v>2655</v>
      </c>
      <c r="B2651">
        <v>0.99673306730245903</v>
      </c>
      <c r="C2651">
        <v>1.0262270359446299</v>
      </c>
      <c r="D2651">
        <v>1.0357411129824301</v>
      </c>
      <c r="E2651">
        <v>0.95537904333378498</v>
      </c>
      <c r="F2651">
        <v>0.88158206297768804</v>
      </c>
      <c r="G2651">
        <v>0.76067060703035005</v>
      </c>
      <c r="H2651">
        <v>0.61699326341306004</v>
      </c>
      <c r="I2651">
        <v>0.72712699581778595</v>
      </c>
      <c r="J2651">
        <v>0.50165495399442295</v>
      </c>
      <c r="K2651">
        <v>0.16496128430402801</v>
      </c>
      <c r="L2651">
        <v>684.03045010235098</v>
      </c>
      <c r="M2651">
        <v>10.485854097816301</v>
      </c>
      <c r="N2651">
        <v>65.233630115252097</v>
      </c>
      <c r="O2651">
        <v>62.995032475361299</v>
      </c>
      <c r="P2651">
        <v>-4.1630690086133897E-2</v>
      </c>
      <c r="Q2651">
        <v>0</v>
      </c>
      <c r="R2651">
        <v>0.89037351099434503</v>
      </c>
      <c r="S2651" t="s">
        <v>9103</v>
      </c>
      <c r="T2651" t="s">
        <v>12902</v>
      </c>
      <c r="U2651" t="s">
        <v>12902</v>
      </c>
      <c r="V2651" t="s">
        <v>12902</v>
      </c>
      <c r="W2651" t="s">
        <v>15514</v>
      </c>
      <c r="X2651">
        <v>12</v>
      </c>
      <c r="Y2651" t="s">
        <v>21860</v>
      </c>
      <c r="Z2651" t="s">
        <v>28226</v>
      </c>
      <c r="AA2651">
        <v>0.78783202026882648</v>
      </c>
      <c r="AB2651" t="str">
        <f>HYPERLINK("Melting_Curves/meltCurve_P50053_KHK.pdf", "Melting_Curves/meltCurve_P50053_KHK.pdf")</f>
        <v>Melting_Curves/meltCurve_P50053_KHK.pdf</v>
      </c>
    </row>
    <row r="2652" spans="1:28" x14ac:dyDescent="0.25">
      <c r="A2652" t="s">
        <v>2656</v>
      </c>
      <c r="B2652">
        <v>0.99673306730245903</v>
      </c>
      <c r="C2652">
        <v>1.0061945137503401</v>
      </c>
      <c r="D2652">
        <v>0.98943168090859301</v>
      </c>
      <c r="E2652">
        <v>0.85736515899112298</v>
      </c>
      <c r="F2652">
        <v>0.67582640475462497</v>
      </c>
      <c r="G2652">
        <v>0.386164358352934</v>
      </c>
      <c r="H2652">
        <v>0.158104502586631</v>
      </c>
      <c r="I2652">
        <v>0.16452644801592001</v>
      </c>
      <c r="J2652">
        <v>0.12363288993801699</v>
      </c>
      <c r="K2652">
        <v>9.3600042836384303E-2</v>
      </c>
      <c r="L2652">
        <v>1066.6090214788001</v>
      </c>
      <c r="M2652">
        <v>19.540847671839401</v>
      </c>
      <c r="N2652">
        <v>55.140945238313897</v>
      </c>
      <c r="O2652">
        <v>54.021557868383098</v>
      </c>
      <c r="P2652">
        <v>-8.2329428812901395E-2</v>
      </c>
      <c r="Q2652">
        <v>8.9618753443043597E-2</v>
      </c>
      <c r="R2652">
        <v>0.99715364783834104</v>
      </c>
      <c r="S2652" t="s">
        <v>9104</v>
      </c>
      <c r="T2652" t="s">
        <v>12902</v>
      </c>
      <c r="U2652" t="s">
        <v>12902</v>
      </c>
      <c r="V2652" t="s">
        <v>12902</v>
      </c>
      <c r="W2652" t="s">
        <v>15515</v>
      </c>
      <c r="X2652">
        <v>7</v>
      </c>
      <c r="Y2652" t="s">
        <v>21861</v>
      </c>
      <c r="Z2652" t="s">
        <v>28227</v>
      </c>
      <c r="AA2652">
        <v>0.54485673695789572</v>
      </c>
      <c r="AB2652" t="str">
        <f>HYPERLINK("Melting_Curves/meltCurve_P50148_GNAQ.pdf", "Melting_Curves/meltCurve_P50148_GNAQ.pdf")</f>
        <v>Melting_Curves/meltCurve_P50148_GNAQ.pdf</v>
      </c>
    </row>
    <row r="2653" spans="1:28" x14ac:dyDescent="0.25">
      <c r="A2653" t="s">
        <v>2657</v>
      </c>
      <c r="B2653">
        <v>0.99673306730245903</v>
      </c>
      <c r="C2653">
        <v>0.99943678648782097</v>
      </c>
      <c r="D2653">
        <v>0.93905474022647795</v>
      </c>
      <c r="E2653">
        <v>0.82982307984609405</v>
      </c>
      <c r="F2653">
        <v>0.73519264234514803</v>
      </c>
      <c r="G2653">
        <v>0.62751340572840097</v>
      </c>
      <c r="H2653">
        <v>0.43405938371159702</v>
      </c>
      <c r="I2653">
        <v>0.55963275221473496</v>
      </c>
      <c r="J2653">
        <v>0.64887793980706998</v>
      </c>
      <c r="K2653">
        <v>0.71192851556005199</v>
      </c>
      <c r="L2653">
        <v>1117.3278899935799</v>
      </c>
      <c r="M2653">
        <v>22.092776917033099</v>
      </c>
      <c r="O2653">
        <v>50.165459589984103</v>
      </c>
      <c r="P2653">
        <v>-4.4906288472898098E-2</v>
      </c>
      <c r="Q2653">
        <v>0.59213907095519702</v>
      </c>
      <c r="R2653">
        <v>0.85117718158578204</v>
      </c>
      <c r="S2653" t="s">
        <v>9105</v>
      </c>
      <c r="T2653" t="s">
        <v>12902</v>
      </c>
      <c r="U2653" t="s">
        <v>12902</v>
      </c>
      <c r="V2653" t="s">
        <v>12902</v>
      </c>
      <c r="W2653" t="s">
        <v>15516</v>
      </c>
      <c r="X2653">
        <v>5</v>
      </c>
      <c r="Y2653" t="s">
        <v>21862</v>
      </c>
      <c r="Z2653" t="s">
        <v>28228</v>
      </c>
      <c r="AA2653">
        <v>0.74057940757190133</v>
      </c>
      <c r="AB2653" t="str">
        <f>HYPERLINK("Melting_Curves/meltCurve_P50151_GNG10.pdf", "Melting_Curves/meltCurve_P50151_GNG10.pdf")</f>
        <v>Melting_Curves/meltCurve_P50151_GNG10.pdf</v>
      </c>
    </row>
    <row r="2654" spans="1:28" x14ac:dyDescent="0.25">
      <c r="A2654" t="s">
        <v>2658</v>
      </c>
      <c r="B2654">
        <v>0.99673306730245903</v>
      </c>
      <c r="C2654">
        <v>0.99466350789789304</v>
      </c>
      <c r="D2654">
        <v>1.01553980732542</v>
      </c>
      <c r="E2654">
        <v>1.00425501281957</v>
      </c>
      <c r="F2654">
        <v>0.72432923675201899</v>
      </c>
      <c r="G2654">
        <v>0.38822501715784902</v>
      </c>
      <c r="H2654">
        <v>0.14459367851037999</v>
      </c>
      <c r="I2654">
        <v>8.3775177808503506E-2</v>
      </c>
      <c r="J2654">
        <v>9.47687224581613E-2</v>
      </c>
      <c r="K2654">
        <v>8.4096451476660894E-2</v>
      </c>
      <c r="L2654">
        <v>1483.4996721324001</v>
      </c>
      <c r="M2654">
        <v>26.8844452070242</v>
      </c>
      <c r="N2654">
        <v>55.529632075617101</v>
      </c>
      <c r="O2654">
        <v>54.878019890510998</v>
      </c>
      <c r="P2654">
        <v>-0.112953831639568</v>
      </c>
      <c r="Q2654">
        <v>7.7739148393655005E-2</v>
      </c>
      <c r="R2654">
        <v>0.99756279495505795</v>
      </c>
      <c r="S2654" t="s">
        <v>9106</v>
      </c>
      <c r="T2654" t="s">
        <v>12902</v>
      </c>
      <c r="U2654" t="s">
        <v>12902</v>
      </c>
      <c r="V2654" t="s">
        <v>12902</v>
      </c>
      <c r="W2654" t="s">
        <v>15517</v>
      </c>
      <c r="X2654">
        <v>17</v>
      </c>
      <c r="Y2654" t="s">
        <v>21863</v>
      </c>
      <c r="Z2654" t="s">
        <v>28229</v>
      </c>
      <c r="AA2654">
        <v>0.55191845326968125</v>
      </c>
      <c r="AB2654" t="str">
        <f>HYPERLINK("Melting_Curves/meltCurve_P50213_IDH3A.pdf", "Melting_Curves/meltCurve_P50213_IDH3A.pdf")</f>
        <v>Melting_Curves/meltCurve_P50213_IDH3A.pdf</v>
      </c>
    </row>
    <row r="2655" spans="1:28" x14ac:dyDescent="0.25">
      <c r="A2655" t="s">
        <v>2659</v>
      </c>
      <c r="B2655">
        <v>0.99673306730245903</v>
      </c>
      <c r="C2655">
        <v>1.0682671606913801</v>
      </c>
      <c r="D2655">
        <v>1.1177544950622</v>
      </c>
      <c r="E2655">
        <v>1.0564399485887199</v>
      </c>
      <c r="F2655">
        <v>0.92067901042401601</v>
      </c>
      <c r="G2655">
        <v>0.81722157483009505</v>
      </c>
      <c r="H2655">
        <v>0.668857160470543</v>
      </c>
      <c r="I2655">
        <v>0.91092454091660202</v>
      </c>
      <c r="J2655">
        <v>1.1368912207691</v>
      </c>
      <c r="K2655">
        <v>0.96199393142691503</v>
      </c>
      <c r="L2655">
        <v>13230.5533506266</v>
      </c>
      <c r="M2655">
        <v>250</v>
      </c>
      <c r="O2655">
        <v>52.918847339114201</v>
      </c>
      <c r="P2655">
        <v>-0.11907661248889601</v>
      </c>
      <c r="Q2655">
        <v>0.89917768589360103</v>
      </c>
      <c r="R2655">
        <v>0.24162514455161599</v>
      </c>
      <c r="S2655" t="s">
        <v>9107</v>
      </c>
      <c r="T2655" t="s">
        <v>12902</v>
      </c>
      <c r="U2655" t="s">
        <v>12902</v>
      </c>
      <c r="V2655" t="s">
        <v>12902</v>
      </c>
      <c r="W2655" t="s">
        <v>15518</v>
      </c>
      <c r="X2655">
        <v>8</v>
      </c>
      <c r="Y2655" t="s">
        <v>21864</v>
      </c>
      <c r="Z2655" t="s">
        <v>28230</v>
      </c>
      <c r="AA2655">
        <v>0.94261529865487959</v>
      </c>
      <c r="AB2655" t="str">
        <f>HYPERLINK("Melting_Curves/meltCurve_P50238_CRIP1.pdf", "Melting_Curves/meltCurve_P50238_CRIP1.pdf")</f>
        <v>Melting_Curves/meltCurve_P50238_CRIP1.pdf</v>
      </c>
    </row>
    <row r="2656" spans="1:28" x14ac:dyDescent="0.25">
      <c r="A2656" t="s">
        <v>2660</v>
      </c>
      <c r="B2656">
        <v>0.99673306730245903</v>
      </c>
      <c r="C2656">
        <v>0.96245080528988303</v>
      </c>
      <c r="D2656">
        <v>0.86635227828672701</v>
      </c>
      <c r="E2656">
        <v>0.66920286321243905</v>
      </c>
      <c r="F2656">
        <v>0.36836941134450601</v>
      </c>
      <c r="G2656">
        <v>0.25311150203619198</v>
      </c>
      <c r="H2656">
        <v>0.21409040390130901</v>
      </c>
      <c r="I2656">
        <v>0.205403178377211</v>
      </c>
      <c r="J2656">
        <v>0.14171276115171699</v>
      </c>
      <c r="K2656">
        <v>0.122505992662689</v>
      </c>
      <c r="L2656">
        <v>904.68821686566298</v>
      </c>
      <c r="M2656">
        <v>17.897587710371301</v>
      </c>
      <c r="N2656">
        <v>51.566035352681602</v>
      </c>
      <c r="O2656">
        <v>49.929671346277303</v>
      </c>
      <c r="P2656">
        <v>-7.6281228222300199E-2</v>
      </c>
      <c r="Q2656">
        <v>0.14882284903034601</v>
      </c>
      <c r="R2656">
        <v>0.99578393570971102</v>
      </c>
      <c r="S2656" t="s">
        <v>9108</v>
      </c>
      <c r="T2656" t="s">
        <v>12902</v>
      </c>
      <c r="U2656" t="s">
        <v>12902</v>
      </c>
      <c r="V2656" t="s">
        <v>12902</v>
      </c>
      <c r="W2656" t="s">
        <v>15519</v>
      </c>
      <c r="X2656">
        <v>3</v>
      </c>
      <c r="Y2656" t="s">
        <v>21865</v>
      </c>
      <c r="Z2656" t="s">
        <v>28231</v>
      </c>
      <c r="AA2656">
        <v>0.46266852895506633</v>
      </c>
      <c r="AB2656" t="str">
        <f>HYPERLINK("Melting_Curves/meltCurve_P50336_PPOX.pdf", "Melting_Curves/meltCurve_P50336_PPOX.pdf")</f>
        <v>Melting_Curves/meltCurve_P50336_PPOX.pdf</v>
      </c>
    </row>
    <row r="2657" spans="1:28" x14ac:dyDescent="0.25">
      <c r="A2657" t="s">
        <v>2661</v>
      </c>
      <c r="B2657">
        <v>0.99673306730245903</v>
      </c>
      <c r="C2657">
        <v>0.99915629010273499</v>
      </c>
      <c r="D2657">
        <v>0.99702398768291101</v>
      </c>
      <c r="E2657">
        <v>0.76456394480102596</v>
      </c>
      <c r="F2657">
        <v>0.42192551602238798</v>
      </c>
      <c r="G2657">
        <v>0.24257633706929699</v>
      </c>
      <c r="H2657">
        <v>0.185461934315513</v>
      </c>
      <c r="I2657">
        <v>0.21019245070505899</v>
      </c>
      <c r="J2657">
        <v>0.33800181004144902</v>
      </c>
      <c r="K2657">
        <v>0.47176864825402698</v>
      </c>
      <c r="L2657">
        <v>1842.81881050111</v>
      </c>
      <c r="M2657">
        <v>36.387737097082798</v>
      </c>
      <c r="N2657">
        <v>51.8852583679761</v>
      </c>
      <c r="O2657">
        <v>50.491729466717402</v>
      </c>
      <c r="P2657">
        <v>-0.12780392956282399</v>
      </c>
      <c r="Q2657">
        <v>0.29063782381756398</v>
      </c>
      <c r="R2657">
        <v>0.94529185665170401</v>
      </c>
      <c r="S2657" t="s">
        <v>9109</v>
      </c>
      <c r="T2657" t="s">
        <v>12902</v>
      </c>
      <c r="U2657" t="s">
        <v>12902</v>
      </c>
      <c r="V2657" t="s">
        <v>12902</v>
      </c>
      <c r="W2657" t="s">
        <v>15520</v>
      </c>
      <c r="X2657">
        <v>9</v>
      </c>
      <c r="Y2657" t="s">
        <v>21866</v>
      </c>
      <c r="Z2657" t="s">
        <v>28232</v>
      </c>
      <c r="AA2657">
        <v>0.54532389941908022</v>
      </c>
      <c r="AB2657" t="str">
        <f>HYPERLINK("Melting_Curves/meltCurve_P50402_EMD.pdf", "Melting_Curves/meltCurve_P50402_EMD.pdf")</f>
        <v>Melting_Curves/meltCurve_P50402_EMD.pdf</v>
      </c>
    </row>
    <row r="2658" spans="1:28" x14ac:dyDescent="0.25">
      <c r="A2658" t="s">
        <v>2662</v>
      </c>
      <c r="B2658">
        <v>0.99673306730245903</v>
      </c>
      <c r="C2658">
        <v>0.87969427350181295</v>
      </c>
      <c r="D2658">
        <v>0.77518364061704004</v>
      </c>
      <c r="E2658">
        <v>0.39584075195419299</v>
      </c>
      <c r="F2658">
        <v>0.168504891892928</v>
      </c>
      <c r="G2658">
        <v>0.14144694461774199</v>
      </c>
      <c r="H2658">
        <v>7.2099394584045406E-2</v>
      </c>
      <c r="I2658">
        <v>5.9775164229881501E-2</v>
      </c>
      <c r="J2658">
        <v>3.6696662526509903E-2</v>
      </c>
      <c r="K2658">
        <v>3.2319446950978901E-2</v>
      </c>
      <c r="L2658">
        <v>923.61502313579297</v>
      </c>
      <c r="M2658">
        <v>19.098153838829599</v>
      </c>
      <c r="N2658">
        <v>48.6088238107981</v>
      </c>
      <c r="O2658">
        <v>47.840611425187603</v>
      </c>
      <c r="P2658">
        <v>-9.5183553868749493E-2</v>
      </c>
      <c r="Q2658">
        <v>4.6303352460623497E-2</v>
      </c>
      <c r="R2658">
        <v>0.99520087769360599</v>
      </c>
      <c r="S2658" t="s">
        <v>9110</v>
      </c>
      <c r="T2658" t="s">
        <v>12902</v>
      </c>
      <c r="U2658" t="s">
        <v>12902</v>
      </c>
      <c r="V2658" t="s">
        <v>12902</v>
      </c>
      <c r="W2658" t="s">
        <v>15521</v>
      </c>
      <c r="X2658">
        <v>2</v>
      </c>
      <c r="Y2658" t="s">
        <v>21867</v>
      </c>
      <c r="Z2658" t="s">
        <v>28233</v>
      </c>
      <c r="AA2658">
        <v>0.32693664564480868</v>
      </c>
      <c r="AB2658" t="str">
        <f>HYPERLINK("Melting_Curves/meltCurve_P50416_2_CPT1A.pdf", "Melting_Curves/meltCurve_P50416_2_CPT1A.pdf")</f>
        <v>Melting_Curves/meltCurve_P50416_2_CPT1A.pdf</v>
      </c>
    </row>
    <row r="2659" spans="1:28" x14ac:dyDescent="0.25">
      <c r="A2659" t="s">
        <v>2663</v>
      </c>
      <c r="B2659">
        <v>0.99673306730245903</v>
      </c>
      <c r="C2659">
        <v>0.98018198752194696</v>
      </c>
      <c r="D2659">
        <v>1.03945522602392</v>
      </c>
      <c r="E2659">
        <v>0.97526235339458101</v>
      </c>
      <c r="F2659">
        <v>0.97272058583865695</v>
      </c>
      <c r="G2659">
        <v>1.4878266498481001</v>
      </c>
      <c r="H2659">
        <v>1.11950634733834</v>
      </c>
      <c r="I2659">
        <v>0.26409099008574999</v>
      </c>
      <c r="J2659">
        <v>0.20294350930615601</v>
      </c>
      <c r="K2659">
        <v>0.15996002643277199</v>
      </c>
      <c r="L2659">
        <v>15000</v>
      </c>
      <c r="M2659">
        <v>236.560657717971</v>
      </c>
      <c r="N2659">
        <v>63.529760900803403</v>
      </c>
      <c r="O2659">
        <v>63.404136580152702</v>
      </c>
      <c r="P2659">
        <v>-0.76352057505438498</v>
      </c>
      <c r="Q2659">
        <v>0.18142982539526101</v>
      </c>
      <c r="R2659">
        <v>0.85856829192835704</v>
      </c>
      <c r="S2659" t="s">
        <v>9111</v>
      </c>
      <c r="T2659" t="s">
        <v>12902</v>
      </c>
      <c r="U2659" t="s">
        <v>12902</v>
      </c>
      <c r="V2659" t="s">
        <v>12902</v>
      </c>
      <c r="W2659" t="s">
        <v>15522</v>
      </c>
      <c r="X2659">
        <v>5</v>
      </c>
      <c r="Y2659" t="s">
        <v>21868</v>
      </c>
      <c r="Z2659" t="s">
        <v>28234</v>
      </c>
      <c r="AA2659">
        <v>0.82025324949923628</v>
      </c>
      <c r="AB2659" t="str">
        <f>HYPERLINK("Melting_Curves/meltCurve_P50452_SERPINB8.pdf", "Melting_Curves/meltCurve_P50452_SERPINB8.pdf")</f>
        <v>Melting_Curves/meltCurve_P50452_SERPINB8.pdf</v>
      </c>
    </row>
    <row r="2660" spans="1:28" x14ac:dyDescent="0.25">
      <c r="A2660" t="s">
        <v>2664</v>
      </c>
      <c r="B2660">
        <v>0.99673306730245903</v>
      </c>
      <c r="C2660">
        <v>1.0435753839253099</v>
      </c>
      <c r="D2660">
        <v>1.0161690554006599</v>
      </c>
      <c r="E2660">
        <v>0.95910264915426202</v>
      </c>
      <c r="F2660">
        <v>0.88209433535330095</v>
      </c>
      <c r="G2660">
        <v>0.69406851371382305</v>
      </c>
      <c r="H2660">
        <v>0.205517374353862</v>
      </c>
      <c r="I2660">
        <v>0.136226875628292</v>
      </c>
      <c r="J2660">
        <v>0.104622917678671</v>
      </c>
      <c r="K2660">
        <v>6.9327861090807699E-2</v>
      </c>
      <c r="L2660">
        <v>1748.69793326323</v>
      </c>
      <c r="M2660">
        <v>30.254164714803899</v>
      </c>
      <c r="N2660">
        <v>58.107843553822299</v>
      </c>
      <c r="O2660">
        <v>57.549473314755602</v>
      </c>
      <c r="P2660">
        <v>-0.12170228587564</v>
      </c>
      <c r="Q2660">
        <v>7.3997498398918601E-2</v>
      </c>
      <c r="R2660">
        <v>0.99401793572870401</v>
      </c>
      <c r="S2660" t="s">
        <v>9112</v>
      </c>
      <c r="T2660" t="s">
        <v>12902</v>
      </c>
      <c r="U2660" t="s">
        <v>12902</v>
      </c>
      <c r="V2660" t="s">
        <v>12902</v>
      </c>
      <c r="W2660" t="s">
        <v>15523</v>
      </c>
      <c r="X2660">
        <v>6</v>
      </c>
      <c r="Y2660" t="s">
        <v>21869</v>
      </c>
      <c r="Z2660" t="s">
        <v>28235</v>
      </c>
      <c r="AA2660">
        <v>0.62946278175977255</v>
      </c>
      <c r="AB2660" t="str">
        <f>HYPERLINK("Melting_Curves/meltCurve_P50453_SERPINB9.pdf", "Melting_Curves/meltCurve_P50453_SERPINB9.pdf")</f>
        <v>Melting_Curves/meltCurve_P50453_SERPINB9.pdf</v>
      </c>
    </row>
    <row r="2661" spans="1:28" x14ac:dyDescent="0.25">
      <c r="A2661" t="s">
        <v>2665</v>
      </c>
      <c r="B2661">
        <v>0.99673306730245903</v>
      </c>
      <c r="C2661">
        <v>0.967800263744934</v>
      </c>
      <c r="D2661">
        <v>0.94327574387226698</v>
      </c>
      <c r="E2661">
        <v>1.00710302969652</v>
      </c>
      <c r="F2661">
        <v>0.59247740629846302</v>
      </c>
      <c r="G2661">
        <v>0.19591553634709899</v>
      </c>
      <c r="H2661">
        <v>0.120979604380736</v>
      </c>
      <c r="I2661">
        <v>0.10655160384672099</v>
      </c>
      <c r="J2661">
        <v>9.9057999447916295E-2</v>
      </c>
      <c r="K2661">
        <v>7.6123897215995301E-2</v>
      </c>
      <c r="L2661">
        <v>2192.5201094436202</v>
      </c>
      <c r="M2661">
        <v>40.973945362212099</v>
      </c>
      <c r="N2661">
        <v>53.808963352049197</v>
      </c>
      <c r="O2661">
        <v>53.383126703392897</v>
      </c>
      <c r="P2661">
        <v>-0.17235804656941001</v>
      </c>
      <c r="Q2661">
        <v>0.101771385263175</v>
      </c>
      <c r="R2661">
        <v>0.995698024063146</v>
      </c>
      <c r="S2661" t="s">
        <v>9113</v>
      </c>
      <c r="T2661" t="s">
        <v>12902</v>
      </c>
      <c r="U2661" t="s">
        <v>12902</v>
      </c>
      <c r="V2661" t="s">
        <v>12902</v>
      </c>
      <c r="W2661" t="s">
        <v>15524</v>
      </c>
      <c r="X2661">
        <v>18</v>
      </c>
      <c r="Y2661" t="s">
        <v>21870</v>
      </c>
      <c r="Z2661" t="s">
        <v>28236</v>
      </c>
      <c r="AA2661">
        <v>0.50943808757938014</v>
      </c>
      <c r="AB2661" t="str">
        <f>HYPERLINK("Melting_Curves/meltCurve_P50454_SERPINH1.pdf", "Melting_Curves/meltCurve_P50454_SERPINH1.pdf")</f>
        <v>Melting_Curves/meltCurve_P50454_SERPINH1.pdf</v>
      </c>
    </row>
    <row r="2662" spans="1:28" x14ac:dyDescent="0.25">
      <c r="A2662" t="s">
        <v>2666</v>
      </c>
      <c r="B2662">
        <v>0.99673306730245903</v>
      </c>
      <c r="C2662">
        <v>0.98060961743667097</v>
      </c>
      <c r="D2662">
        <v>0.75978386134880105</v>
      </c>
      <c r="E2662">
        <v>0.58661143987466502</v>
      </c>
      <c r="F2662">
        <v>0.19466217712576001</v>
      </c>
      <c r="G2662">
        <v>0.13257189880588199</v>
      </c>
      <c r="H2662">
        <v>8.6024598296784299E-2</v>
      </c>
      <c r="I2662">
        <v>0.103728218190173</v>
      </c>
      <c r="J2662">
        <v>0.11768836485428399</v>
      </c>
      <c r="K2662">
        <v>0.107672611589787</v>
      </c>
      <c r="L2662">
        <v>1015.29798396416</v>
      </c>
      <c r="M2662">
        <v>20.612838336759499</v>
      </c>
      <c r="N2662">
        <v>49.726761052142699</v>
      </c>
      <c r="O2662">
        <v>48.7990561794185</v>
      </c>
      <c r="P2662">
        <v>-9.6235931407748707E-2</v>
      </c>
      <c r="Q2662">
        <v>8.8706390385562606E-2</v>
      </c>
      <c r="R2662">
        <v>0.98830104083109604</v>
      </c>
      <c r="S2662" t="s">
        <v>9114</v>
      </c>
      <c r="T2662" t="s">
        <v>12902</v>
      </c>
      <c r="U2662" t="s">
        <v>12902</v>
      </c>
      <c r="V2662" t="s">
        <v>12902</v>
      </c>
      <c r="W2662" t="s">
        <v>15525</v>
      </c>
      <c r="X2662">
        <v>22</v>
      </c>
      <c r="Y2662" t="s">
        <v>21871</v>
      </c>
      <c r="Z2662" t="s">
        <v>28237</v>
      </c>
      <c r="AA2662">
        <v>0.38184505124948848</v>
      </c>
      <c r="AB2662" t="str">
        <f>HYPERLINK("Melting_Curves/meltCurve_P50502_ST13.pdf", "Melting_Curves/meltCurve_P50502_ST13.pdf")</f>
        <v>Melting_Curves/meltCurve_P50502_ST13.pdf</v>
      </c>
    </row>
    <row r="2663" spans="1:28" x14ac:dyDescent="0.25">
      <c r="A2663" t="s">
        <v>2667</v>
      </c>
      <c r="B2663">
        <v>0.99673306730245903</v>
      </c>
      <c r="C2663">
        <v>0.92808749948682201</v>
      </c>
      <c r="D2663">
        <v>0.91569956731039803</v>
      </c>
      <c r="E2663">
        <v>0.48455483719044801</v>
      </c>
      <c r="F2663">
        <v>0.186214329372971</v>
      </c>
      <c r="G2663">
        <v>0.11847139600455101</v>
      </c>
      <c r="H2663">
        <v>8.0561189527845106E-2</v>
      </c>
      <c r="I2663">
        <v>9.0588452970048805E-2</v>
      </c>
      <c r="J2663">
        <v>0.10997884314676699</v>
      </c>
      <c r="K2663">
        <v>0.103100496664831</v>
      </c>
      <c r="L2663">
        <v>1467.16196888269</v>
      </c>
      <c r="M2663">
        <v>29.837980436921899</v>
      </c>
      <c r="N2663">
        <v>49.528040476596601</v>
      </c>
      <c r="O2663">
        <v>48.951676984495698</v>
      </c>
      <c r="P2663">
        <v>-0.137638658280473</v>
      </c>
      <c r="Q2663">
        <v>9.6775560783026002E-2</v>
      </c>
      <c r="R2663">
        <v>0.996648136878727</v>
      </c>
      <c r="S2663" t="s">
        <v>9115</v>
      </c>
      <c r="T2663" t="s">
        <v>12902</v>
      </c>
      <c r="U2663" t="s">
        <v>12902</v>
      </c>
      <c r="V2663" t="s">
        <v>12902</v>
      </c>
      <c r="W2663" t="s">
        <v>15526</v>
      </c>
      <c r="X2663">
        <v>19</v>
      </c>
      <c r="Y2663" t="s">
        <v>21872</v>
      </c>
      <c r="Z2663" t="s">
        <v>28238</v>
      </c>
      <c r="AA2663">
        <v>0.37846614660320171</v>
      </c>
      <c r="AB2663" t="str">
        <f>HYPERLINK("Melting_Curves/meltCurve_P50552_VASP.pdf", "Melting_Curves/meltCurve_P50552_VASP.pdf")</f>
        <v>Melting_Curves/meltCurve_P50552_VASP.pdf</v>
      </c>
    </row>
    <row r="2664" spans="1:28" x14ac:dyDescent="0.25">
      <c r="A2664" t="s">
        <v>2668</v>
      </c>
      <c r="B2664">
        <v>0.99673306730245903</v>
      </c>
      <c r="C2664">
        <v>0.92563426914304803</v>
      </c>
      <c r="D2664">
        <v>0.85215756890211503</v>
      </c>
      <c r="E2664">
        <v>0.94243652345628004</v>
      </c>
      <c r="F2664">
        <v>0.17515477107836899</v>
      </c>
      <c r="G2664">
        <v>0.11814549645879199</v>
      </c>
      <c r="H2664">
        <v>6.7652297611098297E-2</v>
      </c>
      <c r="I2664">
        <v>6.0963663454038197E-2</v>
      </c>
      <c r="J2664">
        <v>5.39123444244832E-2</v>
      </c>
      <c r="K2664">
        <v>4.8529762987899301E-2</v>
      </c>
      <c r="L2664">
        <v>3436.97782977111</v>
      </c>
      <c r="M2664">
        <v>66.630158982124698</v>
      </c>
      <c r="N2664">
        <v>51.698168058950799</v>
      </c>
      <c r="O2664">
        <v>51.536509540644097</v>
      </c>
      <c r="P2664">
        <v>-0.30091195647614599</v>
      </c>
      <c r="Q2664">
        <v>6.9013319978121407E-2</v>
      </c>
      <c r="R2664">
        <v>0.98244688912992195</v>
      </c>
      <c r="S2664" t="s">
        <v>9116</v>
      </c>
      <c r="T2664" t="s">
        <v>12902</v>
      </c>
      <c r="U2664" t="s">
        <v>12902</v>
      </c>
      <c r="V2664" t="s">
        <v>12902</v>
      </c>
      <c r="W2664" t="s">
        <v>15527</v>
      </c>
      <c r="X2664">
        <v>41</v>
      </c>
      <c r="Y2664" t="s">
        <v>20463</v>
      </c>
      <c r="Z2664" t="s">
        <v>28239</v>
      </c>
      <c r="AA2664">
        <v>0.42965457670104729</v>
      </c>
      <c r="AB2664" t="str">
        <f>HYPERLINK("Melting_Curves/meltCurve_P50570_4_DNM2.pdf", "Melting_Curves/meltCurve_P50570_4_DNM2.pdf")</f>
        <v>Melting_Curves/meltCurve_P50570_4_DNM2.pdf</v>
      </c>
    </row>
    <row r="2665" spans="1:28" x14ac:dyDescent="0.25">
      <c r="A2665" t="s">
        <v>2669</v>
      </c>
      <c r="B2665">
        <v>0.99673306730245903</v>
      </c>
      <c r="C2665">
        <v>0.98448876064031099</v>
      </c>
      <c r="D2665">
        <v>0.97154385299285995</v>
      </c>
      <c r="E2665">
        <v>0.91445586823210301</v>
      </c>
      <c r="F2665">
        <v>0.75394335720995997</v>
      </c>
      <c r="G2665">
        <v>0.54566056164452903</v>
      </c>
      <c r="H2665">
        <v>0.337824615815213</v>
      </c>
      <c r="I2665">
        <v>0.38211790870011197</v>
      </c>
      <c r="J2665">
        <v>0.32505533269085801</v>
      </c>
      <c r="K2665">
        <v>0.16998383836459599</v>
      </c>
      <c r="L2665">
        <v>861.26984231348399</v>
      </c>
      <c r="M2665">
        <v>15.434010394102099</v>
      </c>
      <c r="N2665">
        <v>57.911038746012103</v>
      </c>
      <c r="O2665">
        <v>54.891730552435398</v>
      </c>
      <c r="P2665">
        <v>-5.5192978046663399E-2</v>
      </c>
      <c r="Q2665">
        <v>0.21488600175011899</v>
      </c>
      <c r="R2665">
        <v>0.98161686181000096</v>
      </c>
      <c r="S2665" t="s">
        <v>9117</v>
      </c>
      <c r="T2665" t="s">
        <v>12902</v>
      </c>
      <c r="U2665" t="s">
        <v>12902</v>
      </c>
      <c r="V2665" t="s">
        <v>12902</v>
      </c>
      <c r="W2665" t="s">
        <v>15528</v>
      </c>
      <c r="X2665">
        <v>24</v>
      </c>
      <c r="Y2665" t="s">
        <v>19980</v>
      </c>
      <c r="Z2665" t="s">
        <v>28240</v>
      </c>
      <c r="AA2665">
        <v>0.64228890050781451</v>
      </c>
      <c r="AB2665" t="str">
        <f>HYPERLINK("Melting_Curves/meltCurve_P50579_METAP2.pdf", "Melting_Curves/meltCurve_P50579_METAP2.pdf")</f>
        <v>Melting_Curves/meltCurve_P50579_METAP2.pdf</v>
      </c>
    </row>
    <row r="2666" spans="1:28" x14ac:dyDescent="0.25">
      <c r="A2666" t="s">
        <v>2670</v>
      </c>
      <c r="B2666">
        <v>0.99673306730245903</v>
      </c>
      <c r="C2666">
        <v>1.06329093542141</v>
      </c>
      <c r="D2666">
        <v>0.99372809400610795</v>
      </c>
      <c r="E2666">
        <v>0.94274770588655799</v>
      </c>
      <c r="F2666">
        <v>0.81457918146532005</v>
      </c>
      <c r="G2666">
        <v>0.60263361526242598</v>
      </c>
      <c r="H2666">
        <v>0.24841931458893399</v>
      </c>
      <c r="I2666">
        <v>0.12401971976385801</v>
      </c>
      <c r="J2666">
        <v>9.9838072446127094E-2</v>
      </c>
      <c r="K2666">
        <v>8.8532048776290506E-2</v>
      </c>
      <c r="L2666">
        <v>1196.0234707489001</v>
      </c>
      <c r="M2666">
        <v>20.884847764987502</v>
      </c>
      <c r="N2666">
        <v>57.562156828945902</v>
      </c>
      <c r="O2666">
        <v>56.750234120053904</v>
      </c>
      <c r="P2666">
        <v>-8.7341866613885599E-2</v>
      </c>
      <c r="Q2666">
        <v>5.0692565805243797E-2</v>
      </c>
      <c r="R2666">
        <v>0.99500509891480504</v>
      </c>
      <c r="S2666" t="s">
        <v>9118</v>
      </c>
      <c r="T2666" t="s">
        <v>12902</v>
      </c>
      <c r="U2666" t="s">
        <v>12902</v>
      </c>
      <c r="V2666" t="s">
        <v>12902</v>
      </c>
      <c r="W2666" t="s">
        <v>15529</v>
      </c>
      <c r="X2666">
        <v>8</v>
      </c>
      <c r="Y2666" t="s">
        <v>21873</v>
      </c>
      <c r="Z2666" t="s">
        <v>28241</v>
      </c>
      <c r="AA2666">
        <v>0.60795120253278012</v>
      </c>
      <c r="AB2666" t="str">
        <f>HYPERLINK("Melting_Curves/meltCurve_P50583_NUDT2.pdf", "Melting_Curves/meltCurve_P50583_NUDT2.pdf")</f>
        <v>Melting_Curves/meltCurve_P50583_NUDT2.pdf</v>
      </c>
    </row>
    <row r="2667" spans="1:28" x14ac:dyDescent="0.25">
      <c r="A2667" t="s">
        <v>2671</v>
      </c>
      <c r="B2667">
        <v>0.99673306730245903</v>
      </c>
      <c r="C2667">
        <v>0.98025548749670299</v>
      </c>
      <c r="D2667">
        <v>1.0035848567447301</v>
      </c>
      <c r="E2667">
        <v>1.0270791763198801</v>
      </c>
      <c r="F2667">
        <v>0.74871794963808302</v>
      </c>
      <c r="G2667">
        <v>0.43904140090023602</v>
      </c>
      <c r="H2667">
        <v>0.19895844774383001</v>
      </c>
      <c r="I2667">
        <v>0.14825724174966301</v>
      </c>
      <c r="J2667">
        <v>0.16373071468756001</v>
      </c>
      <c r="K2667">
        <v>0.13022400244134</v>
      </c>
      <c r="L2667">
        <v>1505.8040217391499</v>
      </c>
      <c r="M2667">
        <v>27.228057388170999</v>
      </c>
      <c r="N2667">
        <v>55.964758960428902</v>
      </c>
      <c r="O2667">
        <v>55.007664984153202</v>
      </c>
      <c r="P2667">
        <v>-0.10672425806596</v>
      </c>
      <c r="Q2667">
        <v>0.13756667741026099</v>
      </c>
      <c r="R2667">
        <v>0.99563264793378403</v>
      </c>
      <c r="S2667" t="s">
        <v>9119</v>
      </c>
      <c r="T2667" t="s">
        <v>12902</v>
      </c>
      <c r="U2667" t="s">
        <v>12902</v>
      </c>
      <c r="V2667" t="s">
        <v>12902</v>
      </c>
      <c r="W2667" t="s">
        <v>15530</v>
      </c>
      <c r="X2667">
        <v>5</v>
      </c>
      <c r="Y2667" t="s">
        <v>21874</v>
      </c>
      <c r="Z2667" t="s">
        <v>28242</v>
      </c>
      <c r="AA2667">
        <v>0.58435779698264212</v>
      </c>
      <c r="AB2667" t="str">
        <f>HYPERLINK("Melting_Curves/meltCurve_P50613_CDK7.pdf", "Melting_Curves/meltCurve_P50613_CDK7.pdf")</f>
        <v>Melting_Curves/meltCurve_P50613_CDK7.pdf</v>
      </c>
    </row>
    <row r="2668" spans="1:28" x14ac:dyDescent="0.25">
      <c r="A2668" t="s">
        <v>2672</v>
      </c>
      <c r="B2668">
        <v>0.99673306730245903</v>
      </c>
      <c r="C2668">
        <v>1.0178449119353701</v>
      </c>
      <c r="D2668">
        <v>0.89911880499865604</v>
      </c>
      <c r="E2668">
        <v>0.61873832714645904</v>
      </c>
      <c r="F2668">
        <v>0.27164148524957799</v>
      </c>
      <c r="G2668">
        <v>0.177341800256125</v>
      </c>
      <c r="H2668">
        <v>0.101455432842796</v>
      </c>
      <c r="I2668">
        <v>8.1173327074083895E-2</v>
      </c>
      <c r="J2668">
        <v>7.1033042618396894E-2</v>
      </c>
      <c r="K2668">
        <v>5.1743417458149199E-2</v>
      </c>
      <c r="L2668">
        <v>1124.28816112398</v>
      </c>
      <c r="M2668">
        <v>22.314371428591301</v>
      </c>
      <c r="N2668">
        <v>50.742269933026897</v>
      </c>
      <c r="O2668">
        <v>49.984629323272401</v>
      </c>
      <c r="P2668">
        <v>-0.103474873413406</v>
      </c>
      <c r="Q2668">
        <v>7.287659711984E-2</v>
      </c>
      <c r="R2668">
        <v>0.99763549001958496</v>
      </c>
      <c r="S2668" t="s">
        <v>9120</v>
      </c>
      <c r="T2668" t="s">
        <v>12902</v>
      </c>
      <c r="U2668" t="s">
        <v>12902</v>
      </c>
      <c r="V2668" t="s">
        <v>12902</v>
      </c>
      <c r="W2668" t="s">
        <v>15531</v>
      </c>
      <c r="X2668">
        <v>8</v>
      </c>
      <c r="Y2668" t="s">
        <v>21875</v>
      </c>
      <c r="Z2668" t="s">
        <v>28243</v>
      </c>
      <c r="AA2668">
        <v>0.4042054766447058</v>
      </c>
      <c r="AB2668" t="str">
        <f>HYPERLINK("Melting_Curves/meltCurve_P50747_HLCS.pdf", "Melting_Curves/meltCurve_P50747_HLCS.pdf")</f>
        <v>Melting_Curves/meltCurve_P50747_HLCS.pdf</v>
      </c>
    </row>
    <row r="2669" spans="1:28" x14ac:dyDescent="0.25">
      <c r="A2669" t="s">
        <v>2673</v>
      </c>
      <c r="B2669">
        <v>0.99673306730245903</v>
      </c>
      <c r="C2669">
        <v>0.92424147489160102</v>
      </c>
      <c r="D2669">
        <v>0.88869764389901695</v>
      </c>
      <c r="E2669">
        <v>0.42893672052888099</v>
      </c>
      <c r="F2669">
        <v>0.19923931905932801</v>
      </c>
      <c r="G2669">
        <v>0.132042838341243</v>
      </c>
      <c r="H2669">
        <v>7.8747310024326903E-2</v>
      </c>
      <c r="I2669">
        <v>7.7184919146398898E-2</v>
      </c>
      <c r="J2669">
        <v>7.4588657190165594E-2</v>
      </c>
      <c r="K2669">
        <v>6.3113517578972697E-2</v>
      </c>
      <c r="L2669">
        <v>1272.2808418743</v>
      </c>
      <c r="M2669">
        <v>26.020474201520202</v>
      </c>
      <c r="N2669">
        <v>49.224111653206599</v>
      </c>
      <c r="O2669">
        <v>48.609335463863403</v>
      </c>
      <c r="P2669">
        <v>-0.123152579456404</v>
      </c>
      <c r="Q2669">
        <v>7.9756269432062502E-2</v>
      </c>
      <c r="R2669">
        <v>0.99538672769005099</v>
      </c>
      <c r="S2669" t="s">
        <v>9121</v>
      </c>
      <c r="T2669" t="s">
        <v>12902</v>
      </c>
      <c r="U2669" t="s">
        <v>12902</v>
      </c>
      <c r="V2669" t="s">
        <v>12902</v>
      </c>
      <c r="W2669" t="s">
        <v>15532</v>
      </c>
      <c r="X2669">
        <v>10</v>
      </c>
      <c r="Y2669" t="s">
        <v>21876</v>
      </c>
      <c r="Z2669" t="s">
        <v>28244</v>
      </c>
      <c r="AA2669">
        <v>0.3601230287379113</v>
      </c>
      <c r="AB2669" t="str">
        <f>HYPERLINK("Melting_Curves/meltCurve_P50748_KNTC1.pdf", "Melting_Curves/meltCurve_P50748_KNTC1.pdf")</f>
        <v>Melting_Curves/meltCurve_P50748_KNTC1.pdf</v>
      </c>
    </row>
    <row r="2670" spans="1:28" x14ac:dyDescent="0.25">
      <c r="A2670" t="s">
        <v>2674</v>
      </c>
      <c r="B2670">
        <v>0.99673306730245903</v>
      </c>
      <c r="C2670">
        <v>0.92116356301786895</v>
      </c>
      <c r="D2670">
        <v>0.93809471136392197</v>
      </c>
      <c r="E2670">
        <v>0.90155205221279999</v>
      </c>
      <c r="F2670">
        <v>0.45382404030691798</v>
      </c>
      <c r="G2670">
        <v>0.141379860037702</v>
      </c>
      <c r="H2670">
        <v>7.3111558777099295E-2</v>
      </c>
      <c r="I2670">
        <v>6.7105334276119102E-2</v>
      </c>
      <c r="J2670">
        <v>6.9935090156825905E-2</v>
      </c>
      <c r="K2670">
        <v>6.21135983431177E-2</v>
      </c>
      <c r="L2670">
        <v>1731.17441515985</v>
      </c>
      <c r="M2670">
        <v>32.8702723606511</v>
      </c>
      <c r="N2670">
        <v>52.887042934457703</v>
      </c>
      <c r="O2670">
        <v>52.473085665451102</v>
      </c>
      <c r="P2670">
        <v>-0.14659186407197899</v>
      </c>
      <c r="Q2670">
        <v>6.3945372733502995E-2</v>
      </c>
      <c r="R2670">
        <v>0.99439261647344002</v>
      </c>
      <c r="S2670" t="s">
        <v>9122</v>
      </c>
      <c r="T2670" t="s">
        <v>12902</v>
      </c>
      <c r="U2670" t="s">
        <v>12902</v>
      </c>
      <c r="V2670" t="s">
        <v>12902</v>
      </c>
      <c r="W2670" t="s">
        <v>15533</v>
      </c>
      <c r="X2670">
        <v>9</v>
      </c>
      <c r="Y2670" t="s">
        <v>21877</v>
      </c>
      <c r="Z2670" t="s">
        <v>28245</v>
      </c>
      <c r="AA2670">
        <v>0.46421712611140481</v>
      </c>
      <c r="AB2670" t="str">
        <f>HYPERLINK("Melting_Curves/meltCurve_P50750_CDK9.pdf", "Melting_Curves/meltCurve_P50750_CDK9.pdf")</f>
        <v>Melting_Curves/meltCurve_P50750_CDK9.pdf</v>
      </c>
    </row>
    <row r="2671" spans="1:28" x14ac:dyDescent="0.25">
      <c r="A2671" t="s">
        <v>2675</v>
      </c>
      <c r="B2671">
        <v>0.99673306730245903</v>
      </c>
      <c r="C2671">
        <v>0.96604794891697499</v>
      </c>
      <c r="D2671">
        <v>0.919019200083941</v>
      </c>
      <c r="E2671">
        <v>0.82217738866263901</v>
      </c>
      <c r="F2671">
        <v>0.72590227805619401</v>
      </c>
      <c r="G2671">
        <v>0.53175921370997004</v>
      </c>
      <c r="H2671">
        <v>0.35157948520773202</v>
      </c>
      <c r="I2671">
        <v>0.34561201751861798</v>
      </c>
      <c r="J2671">
        <v>0.29416887239730899</v>
      </c>
      <c r="K2671">
        <v>0.22529970158221799</v>
      </c>
      <c r="L2671">
        <v>641.63860560665898</v>
      </c>
      <c r="M2671">
        <v>11.5393015048822</v>
      </c>
      <c r="N2671">
        <v>57.695689988632097</v>
      </c>
      <c r="O2671">
        <v>54.013349834576097</v>
      </c>
      <c r="P2671">
        <v>-4.42947241551171E-2</v>
      </c>
      <c r="Q2671">
        <v>0.17089070020133301</v>
      </c>
      <c r="R2671">
        <v>0.99385832585381195</v>
      </c>
      <c r="S2671" t="s">
        <v>9123</v>
      </c>
      <c r="T2671" t="s">
        <v>12902</v>
      </c>
      <c r="U2671" t="s">
        <v>12902</v>
      </c>
      <c r="V2671" t="s">
        <v>12902</v>
      </c>
      <c r="W2671" t="s">
        <v>15534</v>
      </c>
      <c r="X2671">
        <v>13</v>
      </c>
      <c r="Y2671" t="s">
        <v>21878</v>
      </c>
      <c r="Z2671" t="s">
        <v>28246</v>
      </c>
      <c r="AA2671">
        <v>0.62044726004979256</v>
      </c>
      <c r="AB2671" t="str">
        <f>HYPERLINK("Melting_Curves/meltCurve_P50895_BCAM.pdf", "Melting_Curves/meltCurve_P50895_BCAM.pdf")</f>
        <v>Melting_Curves/meltCurve_P50895_BCAM.pdf</v>
      </c>
    </row>
    <row r="2672" spans="1:28" x14ac:dyDescent="0.25">
      <c r="A2672" t="s">
        <v>2676</v>
      </c>
      <c r="B2672">
        <v>0.99673306730245903</v>
      </c>
      <c r="C2672">
        <v>0.99056576422919196</v>
      </c>
      <c r="D2672">
        <v>0.92201468941336295</v>
      </c>
      <c r="E2672">
        <v>0.76176068213369097</v>
      </c>
      <c r="F2672">
        <v>0.625901275640108</v>
      </c>
      <c r="G2672">
        <v>0.50065945722789396</v>
      </c>
      <c r="H2672">
        <v>0.172003971989097</v>
      </c>
      <c r="I2672">
        <v>0.14992884349257099</v>
      </c>
      <c r="J2672">
        <v>0.18374700882228401</v>
      </c>
      <c r="K2672">
        <v>0.14358733306127899</v>
      </c>
      <c r="L2672">
        <v>721.79000267812103</v>
      </c>
      <c r="M2672">
        <v>13.2285178428849</v>
      </c>
      <c r="N2672">
        <v>55.218972328031697</v>
      </c>
      <c r="O2672">
        <v>53.361502638922097</v>
      </c>
      <c r="P2672">
        <v>-5.7480251622922501E-2</v>
      </c>
      <c r="Q2672">
        <v>7.2692442411291497E-2</v>
      </c>
      <c r="R2672">
        <v>0.98248172666812505</v>
      </c>
      <c r="S2672" t="s">
        <v>9124</v>
      </c>
      <c r="T2672" t="s">
        <v>12902</v>
      </c>
      <c r="U2672" t="s">
        <v>12902</v>
      </c>
      <c r="V2672" t="s">
        <v>12902</v>
      </c>
      <c r="W2672" t="s">
        <v>15535</v>
      </c>
      <c r="X2672">
        <v>9</v>
      </c>
      <c r="Y2672" t="s">
        <v>21879</v>
      </c>
      <c r="Z2672" t="s">
        <v>28247</v>
      </c>
      <c r="AA2672">
        <v>0.5438450078185133</v>
      </c>
      <c r="AB2672" t="str">
        <f>HYPERLINK("Melting_Curves/meltCurve_P50897_PPT1.pdf", "Melting_Curves/meltCurve_P50897_PPT1.pdf")</f>
        <v>Melting_Curves/meltCurve_P50897_PPT1.pdf</v>
      </c>
    </row>
    <row r="2673" spans="1:28" x14ac:dyDescent="0.25">
      <c r="A2673" t="s">
        <v>2677</v>
      </c>
      <c r="B2673">
        <v>0.99673306730245903</v>
      </c>
      <c r="C2673">
        <v>1.0649776418268599</v>
      </c>
      <c r="D2673">
        <v>1.1910242699049001</v>
      </c>
      <c r="E2673">
        <v>1.38086864730674</v>
      </c>
      <c r="F2673">
        <v>1.57290573073484</v>
      </c>
      <c r="G2673">
        <v>1.55096256704897</v>
      </c>
      <c r="H2673">
        <v>0.91696711258732</v>
      </c>
      <c r="I2673">
        <v>0.25134453420984898</v>
      </c>
      <c r="J2673">
        <v>0.13640691108890801</v>
      </c>
      <c r="K2673">
        <v>0.115169540217209</v>
      </c>
      <c r="L2673">
        <v>4991.1995674261298</v>
      </c>
      <c r="M2673">
        <v>79.773044097086895</v>
      </c>
      <c r="N2673">
        <v>62.792191960909797</v>
      </c>
      <c r="O2673">
        <v>62.528226523702799</v>
      </c>
      <c r="P2673">
        <v>-0.27934685726215303</v>
      </c>
      <c r="Q2673">
        <v>0.124162474609085</v>
      </c>
      <c r="R2673">
        <v>0.71256598813181404</v>
      </c>
      <c r="S2673" t="s">
        <v>9125</v>
      </c>
      <c r="T2673" t="s">
        <v>12902</v>
      </c>
      <c r="U2673" t="s">
        <v>12902</v>
      </c>
      <c r="V2673" t="s">
        <v>12902</v>
      </c>
      <c r="W2673" t="s">
        <v>15536</v>
      </c>
      <c r="X2673">
        <v>47</v>
      </c>
      <c r="Y2673" t="s">
        <v>21880</v>
      </c>
      <c r="Z2673" t="s">
        <v>28248</v>
      </c>
      <c r="AA2673">
        <v>0.7839513107751368</v>
      </c>
      <c r="AB2673" t="str">
        <f>HYPERLINK("Melting_Curves/meltCurve_P50990_CCT8.pdf", "Melting_Curves/meltCurve_P50990_CCT8.pdf")</f>
        <v>Melting_Curves/meltCurve_P50990_CCT8.pdf</v>
      </c>
    </row>
    <row r="2674" spans="1:28" x14ac:dyDescent="0.25">
      <c r="A2674" t="s">
        <v>2678</v>
      </c>
      <c r="B2674">
        <v>0.99673306730245903</v>
      </c>
      <c r="C2674">
        <v>1.0144590273743599</v>
      </c>
      <c r="D2674">
        <v>1.02100357234127</v>
      </c>
      <c r="E2674">
        <v>0.98948370506723704</v>
      </c>
      <c r="F2674">
        <v>0.83807558683666505</v>
      </c>
      <c r="G2674">
        <v>0.56908121506292397</v>
      </c>
      <c r="H2674">
        <v>0.17489108051080399</v>
      </c>
      <c r="I2674">
        <v>8.7973937532098895E-2</v>
      </c>
      <c r="J2674">
        <v>8.3502667448274004E-2</v>
      </c>
      <c r="K2674">
        <v>6.2217845615549099E-2</v>
      </c>
      <c r="L2674">
        <v>1499.8198645300999</v>
      </c>
      <c r="M2674">
        <v>26.340346132707499</v>
      </c>
      <c r="N2674">
        <v>57.167084651594202</v>
      </c>
      <c r="O2674">
        <v>56.614868381754398</v>
      </c>
      <c r="P2674">
        <v>-0.110537851027716</v>
      </c>
      <c r="Q2674">
        <v>4.96681472754558E-2</v>
      </c>
      <c r="R2674">
        <v>0.99778722975683398</v>
      </c>
      <c r="S2674" t="s">
        <v>9126</v>
      </c>
      <c r="T2674" t="s">
        <v>12902</v>
      </c>
      <c r="U2674" t="s">
        <v>12902</v>
      </c>
      <c r="V2674" t="s">
        <v>12902</v>
      </c>
      <c r="W2674" t="s">
        <v>15537</v>
      </c>
      <c r="X2674">
        <v>37</v>
      </c>
      <c r="Y2674" t="s">
        <v>21881</v>
      </c>
      <c r="Z2674" t="s">
        <v>28249</v>
      </c>
      <c r="AA2674">
        <v>0.59418140326576119</v>
      </c>
      <c r="AB2674" t="str">
        <f>HYPERLINK("Melting_Curves/meltCurve_P50991_CCT4.pdf", "Melting_Curves/meltCurve_P50991_CCT4.pdf")</f>
        <v>Melting_Curves/meltCurve_P50991_CCT4.pdf</v>
      </c>
    </row>
    <row r="2675" spans="1:28" x14ac:dyDescent="0.25">
      <c r="A2675" t="s">
        <v>2679</v>
      </c>
      <c r="B2675">
        <v>0.99673306730245903</v>
      </c>
      <c r="C2675">
        <v>0.90908656378719199</v>
      </c>
      <c r="D2675">
        <v>0.68550595818740001</v>
      </c>
      <c r="E2675">
        <v>0.38630434985991502</v>
      </c>
      <c r="F2675">
        <v>0.26260479705161499</v>
      </c>
      <c r="G2675">
        <v>0.167122402633264</v>
      </c>
      <c r="H2675">
        <v>7.0472210599677496E-2</v>
      </c>
      <c r="I2675">
        <v>4.1793940686735698E-2</v>
      </c>
      <c r="J2675">
        <v>3.7764595158796301E-2</v>
      </c>
      <c r="K2675">
        <v>3.11466555857032E-2</v>
      </c>
      <c r="L2675">
        <v>734.385926368946</v>
      </c>
      <c r="M2675">
        <v>15.1767141793381</v>
      </c>
      <c r="N2675">
        <v>48.612313292648103</v>
      </c>
      <c r="O2675">
        <v>47.572199429538401</v>
      </c>
      <c r="P2675">
        <v>-7.7078227370327004E-2</v>
      </c>
      <c r="Q2675">
        <v>3.3670385556977399E-2</v>
      </c>
      <c r="R2675">
        <v>0.99413866610758805</v>
      </c>
      <c r="S2675" t="s">
        <v>9127</v>
      </c>
      <c r="T2675" t="s">
        <v>12902</v>
      </c>
      <c r="U2675" t="s">
        <v>12902</v>
      </c>
      <c r="V2675" t="s">
        <v>12902</v>
      </c>
      <c r="W2675" t="s">
        <v>15538</v>
      </c>
      <c r="X2675">
        <v>8</v>
      </c>
      <c r="Y2675" t="s">
        <v>21882</v>
      </c>
      <c r="Z2675" t="s">
        <v>28250</v>
      </c>
      <c r="AA2675">
        <v>0.32777404743195399</v>
      </c>
      <c r="AB2675" t="str">
        <f>HYPERLINK("Melting_Curves/meltCurve_P51116_FXR2.pdf", "Melting_Curves/meltCurve_P51116_FXR2.pdf")</f>
        <v>Melting_Curves/meltCurve_P51116_FXR2.pdf</v>
      </c>
    </row>
    <row r="2676" spans="1:28" x14ac:dyDescent="0.25">
      <c r="A2676" t="s">
        <v>2680</v>
      </c>
      <c r="B2676">
        <v>0.99673306730245903</v>
      </c>
      <c r="C2676">
        <v>1.0031526278284399</v>
      </c>
      <c r="D2676">
        <v>0.94590264634510501</v>
      </c>
      <c r="E2676">
        <v>0.89464852883094803</v>
      </c>
      <c r="F2676">
        <v>0.816271669698168</v>
      </c>
      <c r="G2676">
        <v>0.72095662498566504</v>
      </c>
      <c r="H2676">
        <v>0.54114809266158703</v>
      </c>
      <c r="I2676">
        <v>0.58162223990026496</v>
      </c>
      <c r="J2676">
        <v>0.21678352034843701</v>
      </c>
      <c r="K2676">
        <v>0.123582848803634</v>
      </c>
      <c r="L2676">
        <v>679.75411628900804</v>
      </c>
      <c r="M2676">
        <v>10.99741879336</v>
      </c>
      <c r="N2676">
        <v>61.810332886759703</v>
      </c>
      <c r="O2676">
        <v>59.872042369395601</v>
      </c>
      <c r="P2676">
        <v>-4.5936018180160403E-2</v>
      </c>
      <c r="Q2676">
        <v>0</v>
      </c>
      <c r="R2676">
        <v>0.94421530533095999</v>
      </c>
      <c r="S2676" t="s">
        <v>9128</v>
      </c>
      <c r="T2676" t="s">
        <v>12902</v>
      </c>
      <c r="U2676" t="s">
        <v>12902</v>
      </c>
      <c r="V2676" t="s">
        <v>12902</v>
      </c>
      <c r="W2676" t="s">
        <v>15539</v>
      </c>
      <c r="X2676">
        <v>13</v>
      </c>
      <c r="Y2676" t="s">
        <v>21883</v>
      </c>
      <c r="Z2676" t="s">
        <v>28251</v>
      </c>
      <c r="AA2676">
        <v>0.71289549230932281</v>
      </c>
      <c r="AB2676" t="str">
        <f>HYPERLINK("Melting_Curves/meltCurve_P51148_RAB5C.pdf", "Melting_Curves/meltCurve_P51148_RAB5C.pdf")</f>
        <v>Melting_Curves/meltCurve_P51148_RAB5C.pdf</v>
      </c>
    </row>
    <row r="2677" spans="1:28" x14ac:dyDescent="0.25">
      <c r="A2677" t="s">
        <v>2681</v>
      </c>
      <c r="B2677">
        <v>0.99673306730245903</v>
      </c>
      <c r="C2677">
        <v>1.00764902174777</v>
      </c>
      <c r="D2677">
        <v>0.77674908977443602</v>
      </c>
      <c r="E2677">
        <v>0.79015912028073099</v>
      </c>
      <c r="F2677">
        <v>0.69973824578921495</v>
      </c>
      <c r="G2677">
        <v>0.68098295198131198</v>
      </c>
      <c r="H2677">
        <v>0.53808703687343595</v>
      </c>
      <c r="I2677">
        <v>0.45920253681849998</v>
      </c>
      <c r="J2677">
        <v>0.224486325153259</v>
      </c>
      <c r="K2677">
        <v>0.14614925579559501</v>
      </c>
      <c r="L2677">
        <v>461.96930620219899</v>
      </c>
      <c r="M2677">
        <v>7.7153050018011697</v>
      </c>
      <c r="N2677">
        <v>59.876998514535799</v>
      </c>
      <c r="O2677">
        <v>56.252905440574303</v>
      </c>
      <c r="P2677">
        <v>-3.43328553877719E-2</v>
      </c>
      <c r="Q2677">
        <v>0</v>
      </c>
      <c r="R2677">
        <v>0.92567567241227799</v>
      </c>
      <c r="S2677" t="s">
        <v>9129</v>
      </c>
      <c r="T2677" t="s">
        <v>12902</v>
      </c>
      <c r="U2677" t="s">
        <v>12902</v>
      </c>
      <c r="V2677" t="s">
        <v>12902</v>
      </c>
      <c r="W2677" t="s">
        <v>15540</v>
      </c>
      <c r="X2677">
        <v>20</v>
      </c>
      <c r="Y2677" t="s">
        <v>21884</v>
      </c>
      <c r="Z2677" t="s">
        <v>28252</v>
      </c>
      <c r="AA2677">
        <v>0.64660209595739515</v>
      </c>
      <c r="AB2677" t="str">
        <f>HYPERLINK("Melting_Curves/meltCurve_P51149_RAB7A.pdf", "Melting_Curves/meltCurve_P51149_RAB7A.pdf")</f>
        <v>Melting_Curves/meltCurve_P51149_RAB7A.pdf</v>
      </c>
    </row>
    <row r="2678" spans="1:28" x14ac:dyDescent="0.25">
      <c r="A2678" t="s">
        <v>2682</v>
      </c>
      <c r="B2678">
        <v>0.99673306730245903</v>
      </c>
      <c r="C2678">
        <v>0.97879392065543702</v>
      </c>
      <c r="D2678">
        <v>0.91008575210762699</v>
      </c>
      <c r="E2678">
        <v>0.78541765293083299</v>
      </c>
      <c r="F2678">
        <v>0.62830775145964801</v>
      </c>
      <c r="G2678">
        <v>0.38273035126375698</v>
      </c>
      <c r="H2678">
        <v>0.14537310824837099</v>
      </c>
      <c r="I2678">
        <v>8.2044641814198502E-2</v>
      </c>
      <c r="J2678">
        <v>8.5031692782398305E-2</v>
      </c>
      <c r="K2678">
        <v>6.9620145910342796E-2</v>
      </c>
      <c r="L2678">
        <v>790.94768547997705</v>
      </c>
      <c r="M2678">
        <v>14.4977136869907</v>
      </c>
      <c r="N2678">
        <v>54.597324622036801</v>
      </c>
      <c r="O2678">
        <v>53.550225106526703</v>
      </c>
      <c r="P2678">
        <v>-6.7327623566468597E-2</v>
      </c>
      <c r="Q2678">
        <v>5.3622745942137904E-3</v>
      </c>
      <c r="R2678">
        <v>0.99537333496816105</v>
      </c>
      <c r="S2678" t="s">
        <v>9130</v>
      </c>
      <c r="T2678" t="s">
        <v>12902</v>
      </c>
      <c r="U2678" t="s">
        <v>12902</v>
      </c>
      <c r="V2678" t="s">
        <v>12902</v>
      </c>
      <c r="W2678" t="s">
        <v>15541</v>
      </c>
      <c r="X2678">
        <v>5</v>
      </c>
      <c r="Y2678" t="s">
        <v>21885</v>
      </c>
      <c r="Z2678" t="s">
        <v>28253</v>
      </c>
      <c r="AA2678">
        <v>0.50850863516691658</v>
      </c>
      <c r="AB2678" t="str">
        <f>HYPERLINK("Melting_Curves/meltCurve_P51151_RAB9A.pdf", "Melting_Curves/meltCurve_P51151_RAB9A.pdf")</f>
        <v>Melting_Curves/meltCurve_P51151_RAB9A.pdf</v>
      </c>
    </row>
    <row r="2679" spans="1:28" x14ac:dyDescent="0.25">
      <c r="A2679" t="s">
        <v>2683</v>
      </c>
      <c r="B2679">
        <v>0.99673306730245903</v>
      </c>
      <c r="C2679">
        <v>0.98017636426858401</v>
      </c>
      <c r="D2679">
        <v>0.95650548547200398</v>
      </c>
      <c r="E2679">
        <v>0.83992245318589798</v>
      </c>
      <c r="F2679">
        <v>0.60029890191204005</v>
      </c>
      <c r="G2679">
        <v>0.30845001044812398</v>
      </c>
      <c r="H2679">
        <v>0.155571731492571</v>
      </c>
      <c r="I2679">
        <v>0.107949145041932</v>
      </c>
      <c r="J2679">
        <v>9.2588098169525193E-2</v>
      </c>
      <c r="K2679">
        <v>7.9074374900081706E-2</v>
      </c>
      <c r="L2679">
        <v>1028.7412430367999</v>
      </c>
      <c r="M2679">
        <v>19.109741072536899</v>
      </c>
      <c r="N2679">
        <v>54.236260800328701</v>
      </c>
      <c r="O2679">
        <v>53.2542267508354</v>
      </c>
      <c r="P2679">
        <v>-8.3776984809110097E-2</v>
      </c>
      <c r="Q2679">
        <v>6.6171618849342403E-2</v>
      </c>
      <c r="R2679">
        <v>0.99956143875310699</v>
      </c>
      <c r="S2679" t="s">
        <v>9131</v>
      </c>
      <c r="T2679" t="s">
        <v>12902</v>
      </c>
      <c r="U2679" t="s">
        <v>12902</v>
      </c>
      <c r="V2679" t="s">
        <v>12902</v>
      </c>
      <c r="W2679" t="s">
        <v>15542</v>
      </c>
      <c r="X2679">
        <v>9</v>
      </c>
      <c r="Y2679" t="s">
        <v>21886</v>
      </c>
      <c r="Z2679" t="s">
        <v>28254</v>
      </c>
      <c r="AA2679">
        <v>0.51045711815394224</v>
      </c>
      <c r="AB2679" t="str">
        <f>HYPERLINK("Melting_Curves/meltCurve_P51153_RAB13.pdf", "Melting_Curves/meltCurve_P51153_RAB13.pdf")</f>
        <v>Melting_Curves/meltCurve_P51153_RAB13.pdf</v>
      </c>
    </row>
    <row r="2680" spans="1:28" x14ac:dyDescent="0.25">
      <c r="A2680" t="s">
        <v>2684</v>
      </c>
      <c r="B2680">
        <v>0.99673306730245903</v>
      </c>
      <c r="C2680">
        <v>0.95849652943209296</v>
      </c>
      <c r="D2680">
        <v>0.85882727198041797</v>
      </c>
      <c r="E2680">
        <v>0.862544285813862</v>
      </c>
      <c r="F2680">
        <v>0.34722789338180499</v>
      </c>
      <c r="G2680">
        <v>0.26564591398566201</v>
      </c>
      <c r="H2680">
        <v>0.187659989252276</v>
      </c>
      <c r="I2680">
        <v>0.169578573951086</v>
      </c>
      <c r="J2680">
        <v>7.9672759031021598E-2</v>
      </c>
      <c r="K2680">
        <v>6.0569985799770097E-2</v>
      </c>
      <c r="L2680">
        <v>1190.14793414269</v>
      </c>
      <c r="M2680">
        <v>22.9493279606403</v>
      </c>
      <c r="N2680">
        <v>52.447470504966397</v>
      </c>
      <c r="O2680">
        <v>51.470861568850701</v>
      </c>
      <c r="P2680">
        <v>-9.8832417960820901E-2</v>
      </c>
      <c r="Q2680">
        <v>0.113369469822694</v>
      </c>
      <c r="R2680">
        <v>0.97298759029148696</v>
      </c>
      <c r="S2680" t="s">
        <v>9132</v>
      </c>
      <c r="T2680" t="s">
        <v>12902</v>
      </c>
      <c r="U2680" t="s">
        <v>12902</v>
      </c>
      <c r="V2680" t="s">
        <v>12902</v>
      </c>
      <c r="W2680" t="s">
        <v>15543</v>
      </c>
      <c r="X2680">
        <v>5</v>
      </c>
      <c r="Y2680" t="s">
        <v>21887</v>
      </c>
      <c r="Z2680" t="s">
        <v>28255</v>
      </c>
      <c r="AA2680">
        <v>0.4733981496662068</v>
      </c>
      <c r="AB2680" t="str">
        <f>HYPERLINK("Melting_Curves/meltCurve_P51157_RAB28.pdf", "Melting_Curves/meltCurve_P51157_RAB28.pdf")</f>
        <v>Melting_Curves/meltCurve_P51157_RAB28.pdf</v>
      </c>
    </row>
    <row r="2681" spans="1:28" x14ac:dyDescent="0.25">
      <c r="A2681" t="s">
        <v>2685</v>
      </c>
      <c r="B2681">
        <v>0.99673306730245903</v>
      </c>
      <c r="C2681">
        <v>0.97693729713465105</v>
      </c>
      <c r="D2681">
        <v>0.85972047276292995</v>
      </c>
      <c r="E2681">
        <v>0.65620065907660896</v>
      </c>
      <c r="F2681">
        <v>0.26552502315035498</v>
      </c>
      <c r="G2681">
        <v>0.18050464568046101</v>
      </c>
      <c r="H2681">
        <v>0.130205339250309</v>
      </c>
      <c r="I2681">
        <v>0.16423392925229999</v>
      </c>
      <c r="J2681">
        <v>0.19799346006208501</v>
      </c>
      <c r="K2681">
        <v>0.221604811430898</v>
      </c>
      <c r="L2681">
        <v>1332.7032429414401</v>
      </c>
      <c r="M2681">
        <v>26.730464555179701</v>
      </c>
      <c r="N2681">
        <v>50.6337291594145</v>
      </c>
      <c r="O2681">
        <v>49.580565179159898</v>
      </c>
      <c r="P2681">
        <v>-0.112117010687312</v>
      </c>
      <c r="Q2681">
        <v>0.16817504549062601</v>
      </c>
      <c r="R2681">
        <v>0.98924551591222598</v>
      </c>
      <c r="S2681" t="s">
        <v>9133</v>
      </c>
      <c r="T2681" t="s">
        <v>12902</v>
      </c>
      <c r="U2681" t="s">
        <v>12902</v>
      </c>
      <c r="V2681" t="s">
        <v>12902</v>
      </c>
      <c r="W2681" t="s">
        <v>15544</v>
      </c>
      <c r="X2681">
        <v>3</v>
      </c>
      <c r="Y2681" t="s">
        <v>21888</v>
      </c>
      <c r="Z2681" t="s">
        <v>28256</v>
      </c>
      <c r="AA2681">
        <v>0.44797248376668408</v>
      </c>
      <c r="AB2681" t="str">
        <f>HYPERLINK("Melting_Curves/meltCurve_P51161_FABP6.pdf", "Melting_Curves/meltCurve_P51161_FABP6.pdf")</f>
        <v>Melting_Curves/meltCurve_P51161_FABP6.pdf</v>
      </c>
    </row>
    <row r="2682" spans="1:28" x14ac:dyDescent="0.25">
      <c r="A2682" t="s">
        <v>2686</v>
      </c>
      <c r="B2682">
        <v>0.99673306730245903</v>
      </c>
      <c r="C2682">
        <v>1.05805891793712</v>
      </c>
      <c r="D2682">
        <v>1.0558970617926999</v>
      </c>
      <c r="E2682">
        <v>0.78165275745829899</v>
      </c>
      <c r="F2682">
        <v>0.79804286997842699</v>
      </c>
      <c r="G2682">
        <v>0.73150951223539995</v>
      </c>
      <c r="H2682">
        <v>0.70445784577788695</v>
      </c>
      <c r="I2682">
        <v>0.95574653472093096</v>
      </c>
      <c r="J2682">
        <v>1.6997722313646</v>
      </c>
      <c r="K2682">
        <v>1.81165470573678</v>
      </c>
      <c r="L2682">
        <v>15000</v>
      </c>
      <c r="M2682">
        <v>229.67572121654899</v>
      </c>
      <c r="O2682">
        <v>65.304528575589799</v>
      </c>
      <c r="P2682">
        <v>0.43962447335973598</v>
      </c>
      <c r="Q2682">
        <v>1.5</v>
      </c>
      <c r="R2682">
        <v>0.71214023453769604</v>
      </c>
      <c r="S2682" t="s">
        <v>9134</v>
      </c>
      <c r="T2682" t="s">
        <v>12902</v>
      </c>
      <c r="U2682" t="s">
        <v>12902</v>
      </c>
      <c r="V2682" t="s">
        <v>12902</v>
      </c>
      <c r="W2682" t="s">
        <v>15545</v>
      </c>
      <c r="X2682">
        <v>3</v>
      </c>
      <c r="Y2682" t="s">
        <v>21889</v>
      </c>
      <c r="Z2682" t="s">
        <v>28257</v>
      </c>
      <c r="AA2682">
        <v>1.0781075711912069</v>
      </c>
      <c r="AB2682" t="str">
        <f>HYPERLINK("Melting_Curves/meltCurve_P51397_DAP.pdf", "Melting_Curves/meltCurve_P51397_DAP.pdf")</f>
        <v>Melting_Curves/meltCurve_P51397_DAP.pdf</v>
      </c>
    </row>
    <row r="2683" spans="1:28" x14ac:dyDescent="0.25">
      <c r="A2683" t="s">
        <v>2687</v>
      </c>
      <c r="B2683">
        <v>0.99673306730245903</v>
      </c>
      <c r="C2683">
        <v>1.0372109231301101</v>
      </c>
      <c r="D2683">
        <v>0.92708410641379002</v>
      </c>
      <c r="E2683">
        <v>0.69868540369681698</v>
      </c>
      <c r="F2683">
        <v>0.36610397009006301</v>
      </c>
      <c r="G2683">
        <v>0.25424169535375102</v>
      </c>
      <c r="H2683">
        <v>0.135811415162197</v>
      </c>
      <c r="I2683">
        <v>0.102795332705413</v>
      </c>
      <c r="J2683">
        <v>9.9179189507800303E-2</v>
      </c>
      <c r="K2683">
        <v>7.7375943712294698E-2</v>
      </c>
      <c r="L2683">
        <v>1029.25680038878</v>
      </c>
      <c r="M2683">
        <v>20.042534498409601</v>
      </c>
      <c r="N2683">
        <v>51.882238138275802</v>
      </c>
      <c r="O2683">
        <v>50.850591065198302</v>
      </c>
      <c r="P2683">
        <v>-8.9438745632545197E-2</v>
      </c>
      <c r="Q2683">
        <v>9.2357005699699901E-2</v>
      </c>
      <c r="R2683">
        <v>0.99562242945637403</v>
      </c>
      <c r="S2683" t="s">
        <v>9135</v>
      </c>
      <c r="T2683" t="s">
        <v>12902</v>
      </c>
      <c r="U2683" t="s">
        <v>12902</v>
      </c>
      <c r="V2683" t="s">
        <v>12902</v>
      </c>
      <c r="W2683" t="s">
        <v>15546</v>
      </c>
      <c r="X2683">
        <v>5</v>
      </c>
      <c r="Y2683" t="s">
        <v>21890</v>
      </c>
      <c r="Z2683" t="s">
        <v>28258</v>
      </c>
      <c r="AA2683">
        <v>0.44839707459800687</v>
      </c>
      <c r="AB2683" t="str">
        <f>HYPERLINK("Melting_Curves/meltCurve_P51398_2_DAP3.pdf", "Melting_Curves/meltCurve_P51398_2_DAP3.pdf")</f>
        <v>Melting_Curves/meltCurve_P51398_2_DAP3.pdf</v>
      </c>
    </row>
    <row r="2684" spans="1:28" x14ac:dyDescent="0.25">
      <c r="A2684" t="s">
        <v>2688</v>
      </c>
      <c r="B2684">
        <v>0.99673306730245903</v>
      </c>
      <c r="C2684">
        <v>1.05702717820565</v>
      </c>
      <c r="D2684">
        <v>0.95628768319854096</v>
      </c>
      <c r="E2684">
        <v>0.86865790958120004</v>
      </c>
      <c r="F2684">
        <v>0.25072533313472201</v>
      </c>
      <c r="G2684">
        <v>0.130347525949918</v>
      </c>
      <c r="H2684">
        <v>6.3071703327529399E-2</v>
      </c>
      <c r="I2684">
        <v>5.6432632332608E-2</v>
      </c>
      <c r="J2684">
        <v>5.38572382197052E-2</v>
      </c>
      <c r="K2684">
        <v>4.3480305916184202E-2</v>
      </c>
      <c r="L2684">
        <v>2236.2220740774401</v>
      </c>
      <c r="M2684">
        <v>43.350988661594997</v>
      </c>
      <c r="N2684">
        <v>51.747595189981801</v>
      </c>
      <c r="O2684">
        <v>51.474701935023603</v>
      </c>
      <c r="P2684">
        <v>-0.19707108213136701</v>
      </c>
      <c r="Q2684">
        <v>6.3997359088956804E-2</v>
      </c>
      <c r="R2684">
        <v>0.99571190419655498</v>
      </c>
      <c r="S2684" t="s">
        <v>9136</v>
      </c>
      <c r="T2684" t="s">
        <v>12902</v>
      </c>
      <c r="U2684" t="s">
        <v>12902</v>
      </c>
      <c r="V2684" t="s">
        <v>12902</v>
      </c>
      <c r="W2684" t="s">
        <v>15547</v>
      </c>
      <c r="X2684">
        <v>6</v>
      </c>
      <c r="Y2684" t="s">
        <v>21891</v>
      </c>
      <c r="Z2684" t="s">
        <v>28259</v>
      </c>
      <c r="AA2684">
        <v>0.42826029907710228</v>
      </c>
      <c r="AB2684" t="str">
        <f>HYPERLINK("Melting_Curves/meltCurve_P51452_DUSP3.pdf", "Melting_Curves/meltCurve_P51452_DUSP3.pdf")</f>
        <v>Melting_Curves/meltCurve_P51452_DUSP3.pdf</v>
      </c>
    </row>
    <row r="2685" spans="1:28" x14ac:dyDescent="0.25">
      <c r="A2685" t="s">
        <v>2689</v>
      </c>
      <c r="B2685">
        <v>0.99673306730245903</v>
      </c>
      <c r="C2685">
        <v>0.98589282835715497</v>
      </c>
      <c r="D2685">
        <v>0.75868966708210095</v>
      </c>
      <c r="E2685">
        <v>0.73779809354127501</v>
      </c>
      <c r="F2685">
        <v>0.69239006213822096</v>
      </c>
      <c r="G2685">
        <v>0.57605819654406698</v>
      </c>
      <c r="H2685">
        <v>0.40191038331513401</v>
      </c>
      <c r="I2685">
        <v>0.55348929287436599</v>
      </c>
      <c r="J2685">
        <v>0.68691524389005598</v>
      </c>
      <c r="K2685">
        <v>0.59321852242061202</v>
      </c>
      <c r="L2685">
        <v>775.13302781050402</v>
      </c>
      <c r="M2685">
        <v>16.356691578516202</v>
      </c>
      <c r="O2685">
        <v>46.697975828357798</v>
      </c>
      <c r="P2685">
        <v>-3.81310823013494E-2</v>
      </c>
      <c r="Q2685">
        <v>0.56457766489590699</v>
      </c>
      <c r="R2685">
        <v>0.80824950012462904</v>
      </c>
      <c r="S2685" t="s">
        <v>9137</v>
      </c>
      <c r="T2685" t="s">
        <v>12902</v>
      </c>
      <c r="U2685" t="s">
        <v>12902</v>
      </c>
      <c r="V2685" t="s">
        <v>12902</v>
      </c>
      <c r="W2685" t="s">
        <v>15548</v>
      </c>
      <c r="X2685">
        <v>13</v>
      </c>
      <c r="Y2685" t="s">
        <v>21892</v>
      </c>
      <c r="Z2685" t="s">
        <v>28260</v>
      </c>
      <c r="AA2685">
        <v>0.68149767619921819</v>
      </c>
      <c r="AB2685" t="str">
        <f>HYPERLINK("Melting_Curves/meltCurve_P51531_2_SMARCA2.pdf", "Melting_Curves/meltCurve_P51531_2_SMARCA2.pdf")</f>
        <v>Melting_Curves/meltCurve_P51531_2_SMARCA2.pdf</v>
      </c>
    </row>
    <row r="2686" spans="1:28" x14ac:dyDescent="0.25">
      <c r="A2686" t="s">
        <v>2690</v>
      </c>
      <c r="B2686">
        <v>0.99673306730245903</v>
      </c>
      <c r="C2686">
        <v>1.01147897613194</v>
      </c>
      <c r="D2686">
        <v>0.95968472593992105</v>
      </c>
      <c r="E2686">
        <v>1.00610172239464</v>
      </c>
      <c r="F2686">
        <v>0.75310949193338095</v>
      </c>
      <c r="G2686">
        <v>0.39377074712062698</v>
      </c>
      <c r="H2686">
        <v>0.12900037874435799</v>
      </c>
      <c r="I2686">
        <v>6.7162088562802494E-2</v>
      </c>
      <c r="J2686">
        <v>6.4436712866747195E-2</v>
      </c>
      <c r="K2686">
        <v>5.3809185421946203E-2</v>
      </c>
      <c r="L2686">
        <v>1489.0923693478201</v>
      </c>
      <c r="M2686">
        <v>26.831723845650899</v>
      </c>
      <c r="N2686">
        <v>55.712144511549603</v>
      </c>
      <c r="O2686">
        <v>55.191935205984201</v>
      </c>
      <c r="P2686">
        <v>-0.11556994169046</v>
      </c>
      <c r="Q2686">
        <v>4.9116038307467698E-2</v>
      </c>
      <c r="R2686">
        <v>0.99769234047670796</v>
      </c>
      <c r="S2686" t="s">
        <v>9138</v>
      </c>
      <c r="T2686" t="s">
        <v>12902</v>
      </c>
      <c r="U2686" t="s">
        <v>12902</v>
      </c>
      <c r="V2686" t="s">
        <v>12902</v>
      </c>
      <c r="W2686" t="s">
        <v>15549</v>
      </c>
      <c r="X2686">
        <v>11</v>
      </c>
      <c r="Y2686" t="s">
        <v>21893</v>
      </c>
      <c r="Z2686" t="s">
        <v>28261</v>
      </c>
      <c r="AA2686">
        <v>0.54808072172336186</v>
      </c>
      <c r="AB2686" t="str">
        <f>HYPERLINK("Melting_Curves/meltCurve_P51553_IDH3G.pdf", "Melting_Curves/meltCurve_P51553_IDH3G.pdf")</f>
        <v>Melting_Curves/meltCurve_P51553_IDH3G.pdf</v>
      </c>
    </row>
    <row r="2687" spans="1:28" x14ac:dyDescent="0.25">
      <c r="A2687" t="s">
        <v>2691</v>
      </c>
      <c r="B2687">
        <v>0.99673306730245903</v>
      </c>
      <c r="C2687">
        <v>1.02694538502984</v>
      </c>
      <c r="D2687">
        <v>0.95397344837952502</v>
      </c>
      <c r="E2687">
        <v>0.90515001346426405</v>
      </c>
      <c r="F2687">
        <v>0.50943923639277999</v>
      </c>
      <c r="G2687">
        <v>0.210374657226472</v>
      </c>
      <c r="H2687">
        <v>0.122137456308822</v>
      </c>
      <c r="I2687">
        <v>0.107752101108672</v>
      </c>
      <c r="J2687">
        <v>0.118603044562073</v>
      </c>
      <c r="K2687">
        <v>0.10518507025523</v>
      </c>
      <c r="L2687">
        <v>1610.90422109368</v>
      </c>
      <c r="M2687">
        <v>30.461897115164099</v>
      </c>
      <c r="N2687">
        <v>53.310153784717201</v>
      </c>
      <c r="O2687">
        <v>52.656261985625299</v>
      </c>
      <c r="P2687">
        <v>-0.12895284641802399</v>
      </c>
      <c r="Q2687">
        <v>0.108376857837228</v>
      </c>
      <c r="R2687">
        <v>0.99848014598099899</v>
      </c>
      <c r="S2687" t="s">
        <v>9139</v>
      </c>
      <c r="T2687" t="s">
        <v>12902</v>
      </c>
      <c r="U2687" t="s">
        <v>12902</v>
      </c>
      <c r="V2687" t="s">
        <v>12902</v>
      </c>
      <c r="W2687" t="s">
        <v>15550</v>
      </c>
      <c r="X2687">
        <v>22</v>
      </c>
      <c r="Y2687" t="s">
        <v>21894</v>
      </c>
      <c r="Z2687" t="s">
        <v>28262</v>
      </c>
      <c r="AA2687">
        <v>0.49685950438961313</v>
      </c>
      <c r="AB2687" t="str">
        <f>HYPERLINK("Melting_Curves/meltCurve_P51570_GALK1.pdf", "Melting_Curves/meltCurve_P51570_GALK1.pdf")</f>
        <v>Melting_Curves/meltCurve_P51570_GALK1.pdf</v>
      </c>
    </row>
    <row r="2688" spans="1:28" x14ac:dyDescent="0.25">
      <c r="A2688" t="s">
        <v>2692</v>
      </c>
      <c r="B2688">
        <v>0.99673306730245903</v>
      </c>
      <c r="C2688">
        <v>0.98618053279444395</v>
      </c>
      <c r="D2688">
        <v>0.68976772449595203</v>
      </c>
      <c r="E2688">
        <v>0.75271224404954595</v>
      </c>
      <c r="F2688">
        <v>0.54832583029941695</v>
      </c>
      <c r="G2688">
        <v>0.47504899560022801</v>
      </c>
      <c r="H2688">
        <v>0.231019660017588</v>
      </c>
      <c r="I2688">
        <v>0.116623214514971</v>
      </c>
      <c r="J2688">
        <v>0.10397309336072399</v>
      </c>
      <c r="K2688">
        <v>7.8795030702083504E-2</v>
      </c>
      <c r="L2688">
        <v>536.28938535345799</v>
      </c>
      <c r="M2688">
        <v>9.9172486088441794</v>
      </c>
      <c r="N2688">
        <v>54.076428305038199</v>
      </c>
      <c r="O2688">
        <v>52.0154536589462</v>
      </c>
      <c r="P2688">
        <v>-4.7688845939308902E-2</v>
      </c>
      <c r="Q2688">
        <v>0</v>
      </c>
      <c r="R2688">
        <v>0.96057300161005199</v>
      </c>
      <c r="S2688" t="s">
        <v>9140</v>
      </c>
      <c r="T2688" t="s">
        <v>12902</v>
      </c>
      <c r="U2688" t="s">
        <v>12902</v>
      </c>
      <c r="V2688" t="s">
        <v>12902</v>
      </c>
      <c r="W2688" t="s">
        <v>15551</v>
      </c>
      <c r="X2688">
        <v>8</v>
      </c>
      <c r="Y2688" t="s">
        <v>21895</v>
      </c>
      <c r="Z2688" t="s">
        <v>28263</v>
      </c>
      <c r="AA2688">
        <v>0.49926940980858731</v>
      </c>
      <c r="AB2688" t="str">
        <f>HYPERLINK("Melting_Curves/meltCurve_P51571_SSR4.pdf", "Melting_Curves/meltCurve_P51571_SSR4.pdf")</f>
        <v>Melting_Curves/meltCurve_P51571_SSR4.pdf</v>
      </c>
    </row>
    <row r="2689" spans="1:28" x14ac:dyDescent="0.25">
      <c r="A2689" t="s">
        <v>2693</v>
      </c>
      <c r="B2689">
        <v>0.99673306730245903</v>
      </c>
      <c r="C2689">
        <v>0.94343372958042604</v>
      </c>
      <c r="D2689">
        <v>1.0259916287520101</v>
      </c>
      <c r="E2689">
        <v>0.97763107181906905</v>
      </c>
      <c r="F2689">
        <v>0.76475592816377103</v>
      </c>
      <c r="G2689">
        <v>0.60755615513823202</v>
      </c>
      <c r="H2689">
        <v>0.68964310754422697</v>
      </c>
      <c r="I2689">
        <v>0.83966843240474498</v>
      </c>
      <c r="J2689">
        <v>0.67098871181624797</v>
      </c>
      <c r="K2689">
        <v>0.416959840075112</v>
      </c>
      <c r="L2689">
        <v>3327.85747661808</v>
      </c>
      <c r="M2689">
        <v>63.2644789059229</v>
      </c>
      <c r="O2689">
        <v>52.549822481397598</v>
      </c>
      <c r="P2689">
        <v>-0.10693447939390401</v>
      </c>
      <c r="Q2689">
        <v>0.64470513972468502</v>
      </c>
      <c r="R2689">
        <v>0.72444509023711201</v>
      </c>
      <c r="S2689" t="s">
        <v>9141</v>
      </c>
      <c r="T2689" t="s">
        <v>12902</v>
      </c>
      <c r="U2689" t="s">
        <v>12902</v>
      </c>
      <c r="V2689" t="s">
        <v>12902</v>
      </c>
      <c r="W2689" t="s">
        <v>15552</v>
      </c>
      <c r="X2689">
        <v>25</v>
      </c>
      <c r="Y2689" t="s">
        <v>21896</v>
      </c>
      <c r="Z2689" t="s">
        <v>28264</v>
      </c>
      <c r="AA2689">
        <v>0.79447014222379997</v>
      </c>
      <c r="AB2689" t="str">
        <f>HYPERLINK("Melting_Curves/meltCurve_P51572_BCAP31.pdf", "Melting_Curves/meltCurve_P51572_BCAP31.pdf")</f>
        <v>Melting_Curves/meltCurve_P51572_BCAP31.pdf</v>
      </c>
    </row>
    <row r="2690" spans="1:28" x14ac:dyDescent="0.25">
      <c r="A2690" t="s">
        <v>2694</v>
      </c>
      <c r="B2690">
        <v>0.99673306730245903</v>
      </c>
      <c r="C2690">
        <v>1.0345113737431</v>
      </c>
      <c r="D2690">
        <v>1.0175765207082299</v>
      </c>
      <c r="E2690">
        <v>0.94396389124971303</v>
      </c>
      <c r="F2690">
        <v>0.59610474850256401</v>
      </c>
      <c r="G2690">
        <v>0.249962831168802</v>
      </c>
      <c r="H2690">
        <v>8.5197010765156997E-2</v>
      </c>
      <c r="I2690">
        <v>7.2134534819084703E-2</v>
      </c>
      <c r="J2690">
        <v>7.2234889613747202E-2</v>
      </c>
      <c r="K2690">
        <v>6.8388590967012497E-2</v>
      </c>
      <c r="L2690">
        <v>1569.8303931576099</v>
      </c>
      <c r="M2690">
        <v>29.171637137690698</v>
      </c>
      <c r="N2690">
        <v>54.076195508881902</v>
      </c>
      <c r="O2690">
        <v>53.562605636218898</v>
      </c>
      <c r="P2690">
        <v>-0.127165239773496</v>
      </c>
      <c r="Q2690">
        <v>6.6044665220451104E-2</v>
      </c>
      <c r="R2690">
        <v>0.99843191931716302</v>
      </c>
      <c r="S2690" t="s">
        <v>9142</v>
      </c>
      <c r="T2690" t="s">
        <v>12902</v>
      </c>
      <c r="U2690" t="s">
        <v>12902</v>
      </c>
      <c r="V2690" t="s">
        <v>12902</v>
      </c>
      <c r="W2690" t="s">
        <v>15553</v>
      </c>
      <c r="X2690">
        <v>15</v>
      </c>
      <c r="Y2690" t="s">
        <v>21897</v>
      </c>
      <c r="Z2690" t="s">
        <v>28265</v>
      </c>
      <c r="AA2690">
        <v>0.50254824892109218</v>
      </c>
      <c r="AB2690" t="str">
        <f>HYPERLINK("Melting_Curves/meltCurve_P51580_TPMT.pdf", "Melting_Curves/meltCurve_P51580_TPMT.pdf")</f>
        <v>Melting_Curves/meltCurve_P51580_TPMT.pdf</v>
      </c>
    </row>
    <row r="2691" spans="1:28" x14ac:dyDescent="0.25">
      <c r="A2691" t="s">
        <v>2695</v>
      </c>
      <c r="B2691">
        <v>0.99673306730245903</v>
      </c>
      <c r="C2691">
        <v>1.0219717258169501</v>
      </c>
      <c r="D2691">
        <v>0.885196809183455</v>
      </c>
      <c r="E2691">
        <v>0.95210202607140304</v>
      </c>
      <c r="F2691">
        <v>0.65761477888426301</v>
      </c>
      <c r="G2691">
        <v>0.53489002850668499</v>
      </c>
      <c r="H2691">
        <v>0.35320600409733199</v>
      </c>
      <c r="I2691">
        <v>0.57143403398057901</v>
      </c>
      <c r="J2691">
        <v>0.75171671939534301</v>
      </c>
      <c r="K2691">
        <v>0.82425763585911804</v>
      </c>
      <c r="L2691">
        <v>2932.2927449732802</v>
      </c>
      <c r="M2691">
        <v>57.150189900365902</v>
      </c>
      <c r="O2691">
        <v>51.245830114689802</v>
      </c>
      <c r="P2691">
        <v>-0.10939808499001701</v>
      </c>
      <c r="Q2691">
        <v>0.60761685026220402</v>
      </c>
      <c r="R2691">
        <v>0.65526869034693502</v>
      </c>
      <c r="S2691" t="s">
        <v>9143</v>
      </c>
      <c r="T2691" t="s">
        <v>12902</v>
      </c>
      <c r="U2691" t="s">
        <v>12902</v>
      </c>
      <c r="V2691" t="s">
        <v>12902</v>
      </c>
      <c r="W2691" t="s">
        <v>15554</v>
      </c>
      <c r="X2691">
        <v>5</v>
      </c>
      <c r="Y2691" t="s">
        <v>21898</v>
      </c>
      <c r="Z2691" t="s">
        <v>28266</v>
      </c>
      <c r="AA2691">
        <v>0.75620503220802904</v>
      </c>
      <c r="AB2691" t="str">
        <f>HYPERLINK("Melting_Curves/meltCurve_P51608_MECP2.pdf", "Melting_Curves/meltCurve_P51608_MECP2.pdf")</f>
        <v>Melting_Curves/meltCurve_P51608_MECP2.pdf</v>
      </c>
    </row>
    <row r="2692" spans="1:28" x14ac:dyDescent="0.25">
      <c r="A2692" t="s">
        <v>2696</v>
      </c>
      <c r="B2692">
        <v>0.99673306730245903</v>
      </c>
      <c r="C2692">
        <v>0.90421872079282395</v>
      </c>
      <c r="D2692">
        <v>0.80823137702458403</v>
      </c>
      <c r="E2692">
        <v>0.62108982471319396</v>
      </c>
      <c r="F2692">
        <v>0.44197831066812499</v>
      </c>
      <c r="G2692">
        <v>0.29012136811448702</v>
      </c>
      <c r="H2692">
        <v>0.14418176977434899</v>
      </c>
      <c r="I2692">
        <v>0.16337992900199499</v>
      </c>
      <c r="J2692">
        <v>0.187669789671355</v>
      </c>
      <c r="K2692">
        <v>0.145053844794443</v>
      </c>
      <c r="L2692">
        <v>673.26755383381101</v>
      </c>
      <c r="M2692">
        <v>13.303816320094301</v>
      </c>
      <c r="N2692">
        <v>51.648343591699998</v>
      </c>
      <c r="O2692">
        <v>49.504674166103598</v>
      </c>
      <c r="P2692">
        <v>-5.92915771397476E-2</v>
      </c>
      <c r="Q2692">
        <v>0.117625708862425</v>
      </c>
      <c r="R2692">
        <v>0.99365783560057297</v>
      </c>
      <c r="S2692" t="s">
        <v>9144</v>
      </c>
      <c r="T2692" t="s">
        <v>12902</v>
      </c>
      <c r="U2692" t="s">
        <v>12902</v>
      </c>
      <c r="V2692" t="s">
        <v>12902</v>
      </c>
      <c r="W2692" t="s">
        <v>15555</v>
      </c>
      <c r="X2692">
        <v>41</v>
      </c>
      <c r="Y2692" t="s">
        <v>19328</v>
      </c>
      <c r="Z2692" t="s">
        <v>28267</v>
      </c>
      <c r="AA2692">
        <v>0.45475408711817</v>
      </c>
      <c r="AB2692" t="str">
        <f>HYPERLINK("Melting_Curves/meltCurve_P51610_2_HCFC1.pdf", "Melting_Curves/meltCurve_P51610_2_HCFC1.pdf")</f>
        <v>Melting_Curves/meltCurve_P51610_2_HCFC1.pdf</v>
      </c>
    </row>
    <row r="2693" spans="1:28" x14ac:dyDescent="0.25">
      <c r="A2693" t="s">
        <v>2697</v>
      </c>
      <c r="B2693">
        <v>0.99673306730245903</v>
      </c>
      <c r="C2693">
        <v>0.90156465704939803</v>
      </c>
      <c r="D2693">
        <v>0.71736409565605397</v>
      </c>
      <c r="E2693">
        <v>0.34401559126425502</v>
      </c>
      <c r="F2693">
        <v>0.164262353451985</v>
      </c>
      <c r="G2693">
        <v>9.8157048856501505E-2</v>
      </c>
      <c r="H2693">
        <v>7.1880176374636701E-2</v>
      </c>
      <c r="I2693">
        <v>5.3902970335601902E-2</v>
      </c>
      <c r="J2693">
        <v>6.3894599144993694E-2</v>
      </c>
      <c r="K2693">
        <v>5.4139103919578498E-2</v>
      </c>
      <c r="L2693">
        <v>989.51401744377301</v>
      </c>
      <c r="M2693">
        <v>20.724676885845401</v>
      </c>
      <c r="N2693">
        <v>48.030699069433602</v>
      </c>
      <c r="O2693">
        <v>47.307820245528703</v>
      </c>
      <c r="P2693">
        <v>-0.103186599207408</v>
      </c>
      <c r="Q2693">
        <v>5.7858383319354903E-2</v>
      </c>
      <c r="R2693">
        <v>0.99929705154369597</v>
      </c>
      <c r="S2693" t="s">
        <v>9145</v>
      </c>
      <c r="T2693" t="s">
        <v>12902</v>
      </c>
      <c r="U2693" t="s">
        <v>12902</v>
      </c>
      <c r="V2693" t="s">
        <v>12902</v>
      </c>
      <c r="W2693" t="s">
        <v>15556</v>
      </c>
      <c r="X2693">
        <v>12</v>
      </c>
      <c r="Y2693" t="s">
        <v>21899</v>
      </c>
      <c r="Z2693" t="s">
        <v>28268</v>
      </c>
      <c r="AA2693">
        <v>0.31358572766161508</v>
      </c>
      <c r="AB2693" t="str">
        <f>HYPERLINK("Melting_Curves/meltCurve_P51648_ALDH3A2.pdf", "Melting_Curves/meltCurve_P51648_ALDH3A2.pdf")</f>
        <v>Melting_Curves/meltCurve_P51648_ALDH3A2.pdf</v>
      </c>
    </row>
    <row r="2694" spans="1:28" x14ac:dyDescent="0.25">
      <c r="A2694" t="s">
        <v>2698</v>
      </c>
      <c r="B2694">
        <v>0.99673306730245903</v>
      </c>
      <c r="C2694">
        <v>0.97194900906171</v>
      </c>
      <c r="D2694">
        <v>1.01712316702201</v>
      </c>
      <c r="E2694">
        <v>1.0238948114811799</v>
      </c>
      <c r="F2694">
        <v>0.62421585562821902</v>
      </c>
      <c r="G2694">
        <v>0.22252977048425299</v>
      </c>
      <c r="H2694">
        <v>0.10180938501004499</v>
      </c>
      <c r="I2694">
        <v>9.44199154644004E-2</v>
      </c>
      <c r="J2694">
        <v>9.3086327964647206E-2</v>
      </c>
      <c r="K2694">
        <v>8.1926955949304298E-2</v>
      </c>
      <c r="L2694">
        <v>2071.1479142869598</v>
      </c>
      <c r="M2694">
        <v>38.499458533455098</v>
      </c>
      <c r="N2694">
        <v>54.087881770782801</v>
      </c>
      <c r="O2694">
        <v>53.652285398100403</v>
      </c>
      <c r="P2694">
        <v>-0.16260784674545101</v>
      </c>
      <c r="Q2694">
        <v>9.3570628762685806E-2</v>
      </c>
      <c r="R2694">
        <v>0.99686001116244904</v>
      </c>
      <c r="S2694" t="s">
        <v>9146</v>
      </c>
      <c r="T2694" t="s">
        <v>12902</v>
      </c>
      <c r="U2694" t="s">
        <v>12902</v>
      </c>
      <c r="V2694" t="s">
        <v>12902</v>
      </c>
      <c r="W2694" t="s">
        <v>15557</v>
      </c>
      <c r="X2694">
        <v>37</v>
      </c>
      <c r="Y2694" t="s">
        <v>21900</v>
      </c>
      <c r="Z2694" t="s">
        <v>28269</v>
      </c>
      <c r="AA2694">
        <v>0.51406345539865839</v>
      </c>
      <c r="AB2694" t="str">
        <f>HYPERLINK("Melting_Curves/meltCurve_P51659_HSD17B4.pdf", "Melting_Curves/meltCurve_P51659_HSD17B4.pdf")</f>
        <v>Melting_Curves/meltCurve_P51659_HSD17B4.pdf</v>
      </c>
    </row>
    <row r="2695" spans="1:28" x14ac:dyDescent="0.25">
      <c r="A2695" t="s">
        <v>2699</v>
      </c>
      <c r="B2695">
        <v>0.99673306730245903</v>
      </c>
      <c r="C2695">
        <v>0.97902890472799198</v>
      </c>
      <c r="D2695">
        <v>1.0593948755803599</v>
      </c>
      <c r="E2695">
        <v>0.92136152388191095</v>
      </c>
      <c r="F2695">
        <v>0.66287330915466003</v>
      </c>
      <c r="G2695">
        <v>0.30586869817793699</v>
      </c>
      <c r="H2695">
        <v>0.111735195822283</v>
      </c>
      <c r="I2695">
        <v>8.5296160507715796E-2</v>
      </c>
      <c r="J2695">
        <v>8.2993198688298006E-2</v>
      </c>
      <c r="K2695">
        <v>6.9407551859867203E-2</v>
      </c>
      <c r="L2695">
        <v>1431.29704982626</v>
      </c>
      <c r="M2695">
        <v>26.320539319010798</v>
      </c>
      <c r="N2695">
        <v>54.685712024987701</v>
      </c>
      <c r="O2695">
        <v>54.068484919700502</v>
      </c>
      <c r="P2695">
        <v>-0.113361366703755</v>
      </c>
      <c r="Q2695">
        <v>6.8528288049445704E-2</v>
      </c>
      <c r="R2695">
        <v>0.99689347928130301</v>
      </c>
      <c r="S2695" t="s">
        <v>9147</v>
      </c>
      <c r="T2695" t="s">
        <v>12902</v>
      </c>
      <c r="U2695" t="s">
        <v>12902</v>
      </c>
      <c r="V2695" t="s">
        <v>12902</v>
      </c>
      <c r="W2695" t="s">
        <v>15558</v>
      </c>
      <c r="X2695">
        <v>13</v>
      </c>
      <c r="Y2695" t="s">
        <v>21901</v>
      </c>
      <c r="Z2695" t="s">
        <v>28270</v>
      </c>
      <c r="AA2695">
        <v>0.5228525802878774</v>
      </c>
      <c r="AB2695" t="str">
        <f>HYPERLINK("Melting_Curves/meltCurve_P51665_PSMD7.pdf", "Melting_Curves/meltCurve_P51665_PSMD7.pdf")</f>
        <v>Melting_Curves/meltCurve_P51665_PSMD7.pdf</v>
      </c>
    </row>
    <row r="2696" spans="1:28" x14ac:dyDescent="0.25">
      <c r="A2696" t="s">
        <v>2700</v>
      </c>
      <c r="B2696">
        <v>0.99673306730245903</v>
      </c>
      <c r="C2696">
        <v>0.99934913040748197</v>
      </c>
      <c r="D2696">
        <v>0.95285028840014296</v>
      </c>
      <c r="E2696">
        <v>0.94455159076231099</v>
      </c>
      <c r="F2696">
        <v>0.80915078551751896</v>
      </c>
      <c r="G2696">
        <v>0.63690040547144999</v>
      </c>
      <c r="H2696">
        <v>0.40887103395395202</v>
      </c>
      <c r="I2696">
        <v>0.19634799151487001</v>
      </c>
      <c r="J2696">
        <v>0.13487677930629899</v>
      </c>
      <c r="K2696">
        <v>0.103499752080223</v>
      </c>
      <c r="L2696">
        <v>862.257337300259</v>
      </c>
      <c r="M2696">
        <v>14.6603771497214</v>
      </c>
      <c r="N2696">
        <v>58.815495153035599</v>
      </c>
      <c r="O2696">
        <v>57.753666248688702</v>
      </c>
      <c r="P2696">
        <v>-6.3467822524849796E-2</v>
      </c>
      <c r="Q2696">
        <v>0</v>
      </c>
      <c r="R2696">
        <v>0.99708000876717595</v>
      </c>
      <c r="S2696" t="s">
        <v>9148</v>
      </c>
      <c r="T2696" t="s">
        <v>12902</v>
      </c>
      <c r="U2696" t="s">
        <v>12902</v>
      </c>
      <c r="V2696" t="s">
        <v>12902</v>
      </c>
      <c r="W2696" t="s">
        <v>15559</v>
      </c>
      <c r="X2696">
        <v>12</v>
      </c>
      <c r="Y2696" t="s">
        <v>21902</v>
      </c>
      <c r="Z2696" t="s">
        <v>28271</v>
      </c>
      <c r="AA2696">
        <v>0.63816299484326344</v>
      </c>
      <c r="AB2696" t="str">
        <f>HYPERLINK("Melting_Curves/meltCurve_P51687_SUOX.pdf", "Melting_Curves/meltCurve_P51687_SUOX.pdf")</f>
        <v>Melting_Curves/meltCurve_P51687_SUOX.pdf</v>
      </c>
    </row>
    <row r="2697" spans="1:28" x14ac:dyDescent="0.25">
      <c r="A2697" t="s">
        <v>2701</v>
      </c>
      <c r="B2697">
        <v>0.99673306730245903</v>
      </c>
      <c r="C2697">
        <v>0.96375245418376498</v>
      </c>
      <c r="D2697">
        <v>1.7941568121134099</v>
      </c>
      <c r="E2697">
        <v>0.93082219708632097</v>
      </c>
      <c r="F2697">
        <v>0.99278218141343899</v>
      </c>
      <c r="G2697">
        <v>1.03194736612924</v>
      </c>
      <c r="H2697">
        <v>1.0258254060271299</v>
      </c>
      <c r="I2697">
        <v>1.50701807038528</v>
      </c>
      <c r="J2697">
        <v>4.5353358230159202</v>
      </c>
      <c r="K2697">
        <v>1.61431838816728</v>
      </c>
      <c r="L2697">
        <v>15000</v>
      </c>
      <c r="M2697">
        <v>243.80078745934901</v>
      </c>
      <c r="O2697">
        <v>61.521484692341701</v>
      </c>
      <c r="P2697">
        <v>0.49535686504059701</v>
      </c>
      <c r="Q2697">
        <v>1.5</v>
      </c>
      <c r="R2697">
        <v>9.1980338086641703E-2</v>
      </c>
      <c r="S2697" t="s">
        <v>9149</v>
      </c>
      <c r="T2697" t="s">
        <v>12902</v>
      </c>
      <c r="U2697" t="s">
        <v>12902</v>
      </c>
      <c r="V2697" t="s">
        <v>12902</v>
      </c>
      <c r="W2697" t="s">
        <v>15560</v>
      </c>
      <c r="X2697">
        <v>6</v>
      </c>
      <c r="Y2697" t="s">
        <v>21903</v>
      </c>
      <c r="Z2697" t="s">
        <v>28272</v>
      </c>
      <c r="AA2697">
        <v>1.1411825284648081</v>
      </c>
      <c r="AB2697" t="str">
        <f>HYPERLINK("Melting_Curves/meltCurve_P51688_SGSH.pdf", "Melting_Curves/meltCurve_P51688_SGSH.pdf")</f>
        <v>Melting_Curves/meltCurve_P51688_SGSH.pdf</v>
      </c>
    </row>
    <row r="2698" spans="1:28" x14ac:dyDescent="0.25">
      <c r="A2698" t="s">
        <v>2702</v>
      </c>
      <c r="B2698">
        <v>0.99673306730245903</v>
      </c>
      <c r="C2698">
        <v>0.99890390945586405</v>
      </c>
      <c r="D2698">
        <v>0.79103283846913397</v>
      </c>
      <c r="E2698">
        <v>0.77425369006409495</v>
      </c>
      <c r="F2698">
        <v>0.60987958169355505</v>
      </c>
      <c r="G2698">
        <v>0.43940435388570898</v>
      </c>
      <c r="H2698">
        <v>0.35990289501094702</v>
      </c>
      <c r="I2698">
        <v>0.25338759944249201</v>
      </c>
      <c r="J2698">
        <v>0.19173962696352601</v>
      </c>
      <c r="K2698">
        <v>0.14848883314276701</v>
      </c>
      <c r="L2698">
        <v>496.80347278820398</v>
      </c>
      <c r="M2698">
        <v>8.9423790542982005</v>
      </c>
      <c r="N2698">
        <v>55.841319685378998</v>
      </c>
      <c r="O2698">
        <v>52.988600981331899</v>
      </c>
      <c r="P2698">
        <v>-4.1278886069794803E-2</v>
      </c>
      <c r="Q2698">
        <v>2.23257031481379E-2</v>
      </c>
      <c r="R2698">
        <v>0.98644382754430104</v>
      </c>
      <c r="S2698" t="s">
        <v>9150</v>
      </c>
      <c r="T2698" t="s">
        <v>12902</v>
      </c>
      <c r="U2698" t="s">
        <v>12902</v>
      </c>
      <c r="V2698" t="s">
        <v>12902</v>
      </c>
      <c r="W2698" t="s">
        <v>15561</v>
      </c>
      <c r="X2698">
        <v>3</v>
      </c>
      <c r="Y2698" t="s">
        <v>21904</v>
      </c>
      <c r="Z2698" t="s">
        <v>28273</v>
      </c>
      <c r="AA2698">
        <v>0.55224082000455577</v>
      </c>
      <c r="AB2698" t="str">
        <f>HYPERLINK("Melting_Curves/meltCurve_P51787_2_KCNQ1.pdf", "Melting_Curves/meltCurve_P51787_2_KCNQ1.pdf")</f>
        <v>Melting_Curves/meltCurve_P51787_2_KCNQ1.pdf</v>
      </c>
    </row>
    <row r="2699" spans="1:28" x14ac:dyDescent="0.25">
      <c r="A2699" t="s">
        <v>2703</v>
      </c>
      <c r="B2699">
        <v>0.99673306730245903</v>
      </c>
      <c r="C2699">
        <v>0.93137139051302797</v>
      </c>
      <c r="D2699">
        <v>0.91010560312516098</v>
      </c>
      <c r="E2699">
        <v>0.79498993079258895</v>
      </c>
      <c r="F2699">
        <v>0.524083319727635</v>
      </c>
      <c r="G2699">
        <v>0.32626502202386598</v>
      </c>
      <c r="H2699">
        <v>0.22171410777332201</v>
      </c>
      <c r="I2699">
        <v>0.13985294776218099</v>
      </c>
      <c r="J2699">
        <v>0.114362546867165</v>
      </c>
      <c r="K2699">
        <v>9.3357218437556899E-2</v>
      </c>
      <c r="L2699">
        <v>776.79161309577796</v>
      </c>
      <c r="M2699">
        <v>14.5809372871958</v>
      </c>
      <c r="N2699">
        <v>53.830612915247102</v>
      </c>
      <c r="O2699">
        <v>52.302462373005802</v>
      </c>
      <c r="P2699">
        <v>-6.4829309402435698E-2</v>
      </c>
      <c r="Q2699">
        <v>6.9922421286998798E-2</v>
      </c>
      <c r="R2699">
        <v>0.99710316735875504</v>
      </c>
      <c r="S2699" t="s">
        <v>9151</v>
      </c>
      <c r="T2699" t="s">
        <v>12902</v>
      </c>
      <c r="U2699" t="s">
        <v>12902</v>
      </c>
      <c r="V2699" t="s">
        <v>12902</v>
      </c>
      <c r="W2699" t="s">
        <v>15562</v>
      </c>
      <c r="X2699">
        <v>3</v>
      </c>
      <c r="Y2699" t="s">
        <v>21905</v>
      </c>
      <c r="Z2699" t="s">
        <v>28274</v>
      </c>
      <c r="AA2699">
        <v>0.5020034061172246</v>
      </c>
      <c r="AB2699" t="str">
        <f>HYPERLINK("Melting_Curves/meltCurve_P51790_4_CLCN3.pdf", "Melting_Curves/meltCurve_P51790_4_CLCN3.pdf")</f>
        <v>Melting_Curves/meltCurve_P51790_4_CLCN3.pdf</v>
      </c>
    </row>
    <row r="2700" spans="1:28" x14ac:dyDescent="0.25">
      <c r="A2700" t="s">
        <v>2704</v>
      </c>
      <c r="B2700">
        <v>0.99673306730245903</v>
      </c>
      <c r="C2700">
        <v>0.88319370681409504</v>
      </c>
      <c r="D2700">
        <v>0.87824637367687797</v>
      </c>
      <c r="E2700">
        <v>0.66465260551157401</v>
      </c>
      <c r="F2700">
        <v>0.298246416869835</v>
      </c>
      <c r="G2700">
        <v>0.23593971262116301</v>
      </c>
      <c r="H2700">
        <v>0.139054374693519</v>
      </c>
      <c r="I2700">
        <v>8.3378996534023503E-2</v>
      </c>
      <c r="J2700">
        <v>6.4541647104071398E-2</v>
      </c>
      <c r="K2700">
        <v>4.4390713516874701E-2</v>
      </c>
      <c r="L2700">
        <v>818.24673164445403</v>
      </c>
      <c r="M2700">
        <v>16.07131287176</v>
      </c>
      <c r="N2700">
        <v>51.248596776812498</v>
      </c>
      <c r="O2700">
        <v>50.144782503799597</v>
      </c>
      <c r="P2700">
        <v>-7.6134097406459197E-2</v>
      </c>
      <c r="Q2700">
        <v>4.9876373663875297E-2</v>
      </c>
      <c r="R2700">
        <v>0.98925005029711099</v>
      </c>
      <c r="S2700" t="s">
        <v>9152</v>
      </c>
      <c r="T2700" t="s">
        <v>12902</v>
      </c>
      <c r="U2700" t="s">
        <v>12902</v>
      </c>
      <c r="V2700" t="s">
        <v>12902</v>
      </c>
      <c r="W2700" t="s">
        <v>15563</v>
      </c>
      <c r="X2700">
        <v>1</v>
      </c>
      <c r="Y2700" t="s">
        <v>21906</v>
      </c>
      <c r="Z2700" t="s">
        <v>28275</v>
      </c>
      <c r="AA2700">
        <v>0.41509913193949338</v>
      </c>
      <c r="AB2700" t="str">
        <f>HYPERLINK("Melting_Curves/meltCurve_P51797_CLCN6.pdf", "Melting_Curves/meltCurve_P51797_CLCN6.pdf")</f>
        <v>Melting_Curves/meltCurve_P51797_CLCN6.pdf</v>
      </c>
    </row>
    <row r="2701" spans="1:28" x14ac:dyDescent="0.25">
      <c r="A2701" t="s">
        <v>2705</v>
      </c>
      <c r="B2701">
        <v>0.99673306730245903</v>
      </c>
      <c r="C2701">
        <v>0.92465446975311005</v>
      </c>
      <c r="D2701">
        <v>0.81735128915139699</v>
      </c>
      <c r="E2701">
        <v>0.71936996221437499</v>
      </c>
      <c r="F2701">
        <v>0.36666164740109403</v>
      </c>
      <c r="G2701">
        <v>0.17698198972113</v>
      </c>
      <c r="H2701">
        <v>0.16647830457357199</v>
      </c>
      <c r="I2701">
        <v>0.14841946095435399</v>
      </c>
      <c r="J2701">
        <v>0.13239219399226301</v>
      </c>
      <c r="K2701">
        <v>0.108745071652319</v>
      </c>
      <c r="L2701">
        <v>889.56783077587704</v>
      </c>
      <c r="M2701">
        <v>17.509544523539901</v>
      </c>
      <c r="N2701">
        <v>51.5086794246658</v>
      </c>
      <c r="O2701">
        <v>50.155934906163402</v>
      </c>
      <c r="P2701">
        <v>-7.7993000790475303E-2</v>
      </c>
      <c r="Q2701">
        <v>0.10640782905893301</v>
      </c>
      <c r="R2701">
        <v>0.98823517652621196</v>
      </c>
      <c r="S2701" t="s">
        <v>9153</v>
      </c>
      <c r="T2701" t="s">
        <v>12902</v>
      </c>
      <c r="U2701" t="s">
        <v>12902</v>
      </c>
      <c r="V2701" t="s">
        <v>12902</v>
      </c>
      <c r="W2701" t="s">
        <v>15564</v>
      </c>
      <c r="X2701">
        <v>2</v>
      </c>
      <c r="Y2701" t="s">
        <v>21907</v>
      </c>
      <c r="Z2701" t="s">
        <v>28276</v>
      </c>
      <c r="AA2701">
        <v>0.44410780630931979</v>
      </c>
      <c r="AB2701" t="str">
        <f>HYPERLINK("Melting_Curves/meltCurve_P51798_2_CLCN7.pdf", "Melting_Curves/meltCurve_P51798_2_CLCN7.pdf")</f>
        <v>Melting_Curves/meltCurve_P51798_2_CLCN7.pdf</v>
      </c>
    </row>
    <row r="2702" spans="1:28" x14ac:dyDescent="0.25">
      <c r="A2702" t="s">
        <v>2706</v>
      </c>
      <c r="B2702">
        <v>0.99673306730245903</v>
      </c>
      <c r="C2702">
        <v>0.95023629274162902</v>
      </c>
      <c r="D2702">
        <v>0.91274769668613498</v>
      </c>
      <c r="E2702">
        <v>0.72932671203796196</v>
      </c>
      <c r="F2702">
        <v>0.56625176848811198</v>
      </c>
      <c r="G2702">
        <v>0.34359468918223002</v>
      </c>
      <c r="H2702">
        <v>0.19960257354980099</v>
      </c>
      <c r="I2702">
        <v>0.12894132907056999</v>
      </c>
      <c r="J2702">
        <v>0.117664568160731</v>
      </c>
      <c r="K2702">
        <v>0.11607964536376</v>
      </c>
      <c r="L2702">
        <v>725.55111059703495</v>
      </c>
      <c r="M2702">
        <v>13.603599939958301</v>
      </c>
      <c r="N2702">
        <v>53.851324094261102</v>
      </c>
      <c r="O2702">
        <v>52.222253484915399</v>
      </c>
      <c r="P2702">
        <v>-6.11524237707637E-2</v>
      </c>
      <c r="Q2702">
        <v>6.1117334068794903E-2</v>
      </c>
      <c r="R2702">
        <v>0.99788161742176895</v>
      </c>
      <c r="S2702" t="s">
        <v>9154</v>
      </c>
      <c r="T2702" t="s">
        <v>12902</v>
      </c>
      <c r="U2702" t="s">
        <v>12902</v>
      </c>
      <c r="V2702" t="s">
        <v>12902</v>
      </c>
      <c r="W2702" t="s">
        <v>15565</v>
      </c>
      <c r="X2702">
        <v>3</v>
      </c>
      <c r="Y2702" t="s">
        <v>21908</v>
      </c>
      <c r="Z2702" t="s">
        <v>28277</v>
      </c>
      <c r="AA2702">
        <v>0.50101989416344117</v>
      </c>
      <c r="AB2702" t="str">
        <f>HYPERLINK("Melting_Curves/meltCurve_P51805_PLXNA3.pdf", "Melting_Curves/meltCurve_P51805_PLXNA3.pdf")</f>
        <v>Melting_Curves/meltCurve_P51805_PLXNA3.pdf</v>
      </c>
    </row>
    <row r="2703" spans="1:28" x14ac:dyDescent="0.25">
      <c r="A2703" t="s">
        <v>2707</v>
      </c>
      <c r="B2703">
        <v>0.99673306730245903</v>
      </c>
      <c r="C2703">
        <v>0.98121502669141003</v>
      </c>
      <c r="D2703">
        <v>0.90160240170383199</v>
      </c>
      <c r="E2703">
        <v>0.73810679758794795</v>
      </c>
      <c r="F2703">
        <v>0.58113795125384904</v>
      </c>
      <c r="G2703">
        <v>0.24322310778391201</v>
      </c>
      <c r="H2703">
        <v>0.111883212429898</v>
      </c>
      <c r="I2703">
        <v>0.10133352942084201</v>
      </c>
      <c r="J2703">
        <v>9.5870545238506397E-2</v>
      </c>
      <c r="K2703">
        <v>7.7132163687171504E-2</v>
      </c>
      <c r="L2703">
        <v>878.89733202698801</v>
      </c>
      <c r="M2703">
        <v>16.576687114870001</v>
      </c>
      <c r="N2703">
        <v>53.333487363051098</v>
      </c>
      <c r="O2703">
        <v>52.266503924022899</v>
      </c>
      <c r="P2703">
        <v>-7.5614637272184898E-2</v>
      </c>
      <c r="Q2703">
        <v>4.64095263314179E-2</v>
      </c>
      <c r="R2703">
        <v>0.992597977492928</v>
      </c>
      <c r="S2703" t="s">
        <v>9155</v>
      </c>
      <c r="T2703" t="s">
        <v>12902</v>
      </c>
      <c r="U2703" t="s">
        <v>12902</v>
      </c>
      <c r="V2703" t="s">
        <v>12902</v>
      </c>
      <c r="W2703" t="s">
        <v>15566</v>
      </c>
      <c r="X2703">
        <v>7</v>
      </c>
      <c r="Y2703" t="s">
        <v>21909</v>
      </c>
      <c r="Z2703" t="s">
        <v>28278</v>
      </c>
      <c r="AA2703">
        <v>0.47800938785791541</v>
      </c>
      <c r="AB2703" t="str">
        <f>HYPERLINK("Melting_Curves/meltCurve_P51809_VAMP7.pdf", "Melting_Curves/meltCurve_P51809_VAMP7.pdf")</f>
        <v>Melting_Curves/meltCurve_P51809_VAMP7.pdf</v>
      </c>
    </row>
    <row r="2704" spans="1:28" x14ac:dyDescent="0.25">
      <c r="A2704" t="s">
        <v>2708</v>
      </c>
      <c r="B2704">
        <v>0.99673306730245903</v>
      </c>
      <c r="C2704">
        <v>0.93576192276395598</v>
      </c>
      <c r="D2704">
        <v>0.81963417437362696</v>
      </c>
      <c r="E2704">
        <v>0.453088898405693</v>
      </c>
      <c r="F2704">
        <v>0.19216384755831101</v>
      </c>
      <c r="G2704">
        <v>0.139402431084164</v>
      </c>
      <c r="H2704">
        <v>8.7457455115314303E-2</v>
      </c>
      <c r="I2704">
        <v>6.4715757371109794E-2</v>
      </c>
      <c r="J2704">
        <v>5.4328247548938197E-2</v>
      </c>
      <c r="K2704">
        <v>5.3732476319248802E-2</v>
      </c>
      <c r="L2704">
        <v>1038.80952206289</v>
      </c>
      <c r="M2704">
        <v>21.252140767385601</v>
      </c>
      <c r="N2704">
        <v>49.192036981351997</v>
      </c>
      <c r="O2704">
        <v>48.453621056227803</v>
      </c>
      <c r="P2704">
        <v>-0.10274495759463299</v>
      </c>
      <c r="Q2704">
        <v>6.3014502272838405E-2</v>
      </c>
      <c r="R2704">
        <v>0.99848108051807205</v>
      </c>
      <c r="S2704" t="s">
        <v>9156</v>
      </c>
      <c r="T2704" t="s">
        <v>12902</v>
      </c>
      <c r="U2704" t="s">
        <v>12902</v>
      </c>
      <c r="V2704" t="s">
        <v>12902</v>
      </c>
      <c r="W2704" t="s">
        <v>15567</v>
      </c>
      <c r="X2704">
        <v>22</v>
      </c>
      <c r="Y2704" t="s">
        <v>21910</v>
      </c>
      <c r="Z2704" t="s">
        <v>28279</v>
      </c>
      <c r="AA2704">
        <v>0.35197163627793371</v>
      </c>
      <c r="AB2704" t="str">
        <f>HYPERLINK("Melting_Curves/meltCurve_P51812_RPS6KA3.pdf", "Melting_Curves/meltCurve_P51812_RPS6KA3.pdf")</f>
        <v>Melting_Curves/meltCurve_P51812_RPS6KA3.pdf</v>
      </c>
    </row>
    <row r="2705" spans="1:28" x14ac:dyDescent="0.25">
      <c r="A2705" t="s">
        <v>2709</v>
      </c>
      <c r="B2705">
        <v>0.99673306730245903</v>
      </c>
      <c r="C2705">
        <v>0.97572812923422902</v>
      </c>
      <c r="D2705">
        <v>0.84914332197629705</v>
      </c>
      <c r="E2705">
        <v>0.46228181232603299</v>
      </c>
      <c r="F2705">
        <v>0.236228940525467</v>
      </c>
      <c r="G2705">
        <v>0.16564231445806199</v>
      </c>
      <c r="H2705">
        <v>0.144329374430578</v>
      </c>
      <c r="I2705">
        <v>0.17064177350398099</v>
      </c>
      <c r="J2705">
        <v>0.25482589880433199</v>
      </c>
      <c r="K2705">
        <v>0.200087196322076</v>
      </c>
      <c r="L2705">
        <v>1411.3922906178</v>
      </c>
      <c r="M2705">
        <v>29.155852939893901</v>
      </c>
      <c r="N2705">
        <v>49.185501014342698</v>
      </c>
      <c r="O2705">
        <v>48.1825236591352</v>
      </c>
      <c r="P2705">
        <v>-0.123362891208389</v>
      </c>
      <c r="Q2705">
        <v>0.184535330900682</v>
      </c>
      <c r="R2705">
        <v>0.99280109579896503</v>
      </c>
      <c r="S2705" t="s">
        <v>9157</v>
      </c>
      <c r="T2705" t="s">
        <v>12902</v>
      </c>
      <c r="U2705" t="s">
        <v>12902</v>
      </c>
      <c r="V2705" t="s">
        <v>12902</v>
      </c>
      <c r="W2705" t="s">
        <v>15568</v>
      </c>
      <c r="X2705">
        <v>3</v>
      </c>
      <c r="Y2705" t="s">
        <v>21911</v>
      </c>
      <c r="Z2705" t="s">
        <v>28280</v>
      </c>
      <c r="AA2705">
        <v>0.41832660298432628</v>
      </c>
      <c r="AB2705" t="str">
        <f>HYPERLINK("Melting_Curves/meltCurve_P51817_PRKX.pdf", "Melting_Curves/meltCurve_P51817_PRKX.pdf")</f>
        <v>Melting_Curves/meltCurve_P51817_PRKX.pdf</v>
      </c>
    </row>
    <row r="2706" spans="1:28" x14ac:dyDescent="0.25">
      <c r="A2706" t="s">
        <v>2710</v>
      </c>
      <c r="B2706">
        <v>0.99673306730245903</v>
      </c>
      <c r="C2706">
        <v>0.98914605597583505</v>
      </c>
      <c r="D2706">
        <v>0.725297784453102</v>
      </c>
      <c r="E2706">
        <v>0.304784917346761</v>
      </c>
      <c r="F2706">
        <v>0.13859624157879599</v>
      </c>
      <c r="G2706">
        <v>9.2569089934434107E-2</v>
      </c>
      <c r="H2706">
        <v>6.0815258880825E-2</v>
      </c>
      <c r="I2706">
        <v>5.5682818730148603E-2</v>
      </c>
      <c r="J2706">
        <v>7.2048599077024003E-2</v>
      </c>
      <c r="K2706">
        <v>6.3281452310843506E-2</v>
      </c>
      <c r="L2706">
        <v>1273.20313833874</v>
      </c>
      <c r="M2706">
        <v>26.7406106317402</v>
      </c>
      <c r="N2706">
        <v>47.875999447485199</v>
      </c>
      <c r="O2706">
        <v>47.349203944781898</v>
      </c>
      <c r="P2706">
        <v>-0.13154845532179599</v>
      </c>
      <c r="Q2706">
        <v>6.8285973034902803E-2</v>
      </c>
      <c r="R2706">
        <v>0.99841293210807203</v>
      </c>
      <c r="S2706" t="s">
        <v>9158</v>
      </c>
      <c r="T2706" t="s">
        <v>12902</v>
      </c>
      <c r="U2706" t="s">
        <v>12902</v>
      </c>
      <c r="V2706" t="s">
        <v>12902</v>
      </c>
      <c r="W2706" t="s">
        <v>15569</v>
      </c>
      <c r="X2706">
        <v>2</v>
      </c>
      <c r="Y2706" t="s">
        <v>21912</v>
      </c>
      <c r="Z2706" t="s">
        <v>28281</v>
      </c>
      <c r="AA2706">
        <v>0.31186760491519572</v>
      </c>
      <c r="AB2706" t="str">
        <f>HYPERLINK("Melting_Curves/meltCurve_P51857_2_AKR1D1.pdf", "Melting_Curves/meltCurve_P51857_2_AKR1D1.pdf")</f>
        <v>Melting_Curves/meltCurve_P51857_2_AKR1D1.pdf</v>
      </c>
    </row>
    <row r="2707" spans="1:28" x14ac:dyDescent="0.25">
      <c r="A2707" t="s">
        <v>2711</v>
      </c>
      <c r="B2707">
        <v>0.99673306730245903</v>
      </c>
      <c r="C2707">
        <v>1.0270494114567501</v>
      </c>
      <c r="D2707">
        <v>0.97086468633825196</v>
      </c>
      <c r="E2707">
        <v>0.85608500871576299</v>
      </c>
      <c r="F2707">
        <v>0.53169704720606004</v>
      </c>
      <c r="G2707">
        <v>0.38597716062548998</v>
      </c>
      <c r="H2707">
        <v>0.25195510640646601</v>
      </c>
      <c r="I2707">
        <v>0.33992440526276901</v>
      </c>
      <c r="J2707">
        <v>0.512165601082466</v>
      </c>
      <c r="K2707">
        <v>0.52300631599313296</v>
      </c>
      <c r="L2707">
        <v>1913.6100524374999</v>
      </c>
      <c r="M2707">
        <v>37.3912380900058</v>
      </c>
      <c r="N2707">
        <v>53.502688172909302</v>
      </c>
      <c r="O2707">
        <v>51.032308981808598</v>
      </c>
      <c r="P2707">
        <v>-0.109629078336034</v>
      </c>
      <c r="Q2707">
        <v>0.40150581545425601</v>
      </c>
      <c r="R2707">
        <v>0.92827903016475999</v>
      </c>
      <c r="S2707" t="s">
        <v>9159</v>
      </c>
      <c r="T2707" t="s">
        <v>12902</v>
      </c>
      <c r="U2707" t="s">
        <v>12902</v>
      </c>
      <c r="V2707" t="s">
        <v>12902</v>
      </c>
      <c r="W2707" t="s">
        <v>15570</v>
      </c>
      <c r="X2707">
        <v>22</v>
      </c>
      <c r="Y2707" t="s">
        <v>21913</v>
      </c>
      <c r="Z2707" t="s">
        <v>28282</v>
      </c>
      <c r="AA2707">
        <v>0.62693029542622847</v>
      </c>
      <c r="AB2707" t="str">
        <f>HYPERLINK("Melting_Curves/meltCurve_P51858_HDGF.pdf", "Melting_Curves/meltCurve_P51858_HDGF.pdf")</f>
        <v>Melting_Curves/meltCurve_P51858_HDGF.pdf</v>
      </c>
    </row>
    <row r="2708" spans="1:28" x14ac:dyDescent="0.25">
      <c r="A2708" t="s">
        <v>2712</v>
      </c>
      <c r="B2708">
        <v>0.99673306730245903</v>
      </c>
      <c r="C2708">
        <v>0.96545084506628398</v>
      </c>
      <c r="D2708">
        <v>0.99243701896716896</v>
      </c>
      <c r="E2708">
        <v>0.911652604785815</v>
      </c>
      <c r="F2708">
        <v>0.60264989773861999</v>
      </c>
      <c r="G2708">
        <v>0.35825191851942301</v>
      </c>
      <c r="H2708">
        <v>0.164335223434938</v>
      </c>
      <c r="I2708">
        <v>0.142033597608064</v>
      </c>
      <c r="J2708">
        <v>0.15373261188114701</v>
      </c>
      <c r="K2708">
        <v>0.113768642034267</v>
      </c>
      <c r="L2708">
        <v>1221.35220408382</v>
      </c>
      <c r="M2708">
        <v>22.657557724378801</v>
      </c>
      <c r="N2708">
        <v>54.575869705791</v>
      </c>
      <c r="O2708">
        <v>53.490207897419602</v>
      </c>
      <c r="P2708">
        <v>-9.3023898352793497E-2</v>
      </c>
      <c r="Q2708">
        <v>0.121570103747922</v>
      </c>
      <c r="R2708">
        <v>0.99728769624453095</v>
      </c>
      <c r="S2708" t="s">
        <v>9160</v>
      </c>
      <c r="T2708" t="s">
        <v>12902</v>
      </c>
      <c r="U2708" t="s">
        <v>12902</v>
      </c>
      <c r="V2708" t="s">
        <v>12902</v>
      </c>
      <c r="W2708" t="s">
        <v>15571</v>
      </c>
      <c r="X2708">
        <v>7</v>
      </c>
      <c r="Y2708" t="s">
        <v>21914</v>
      </c>
      <c r="Z2708" t="s">
        <v>28283</v>
      </c>
      <c r="AA2708">
        <v>0.53840725835369052</v>
      </c>
      <c r="AB2708" t="str">
        <f>HYPERLINK("Melting_Curves/meltCurve_P51946_CCNH.pdf", "Melting_Curves/meltCurve_P51946_CCNH.pdf")</f>
        <v>Melting_Curves/meltCurve_P51946_CCNH.pdf</v>
      </c>
    </row>
    <row r="2709" spans="1:28" x14ac:dyDescent="0.25">
      <c r="A2709" t="s">
        <v>2713</v>
      </c>
      <c r="B2709">
        <v>0.99673306730245903</v>
      </c>
      <c r="C2709">
        <v>0.92064730295584996</v>
      </c>
      <c r="D2709">
        <v>1.027194871529</v>
      </c>
      <c r="E2709">
        <v>0.94876656009614901</v>
      </c>
      <c r="F2709">
        <v>0.66916458080545305</v>
      </c>
      <c r="G2709">
        <v>0.321756219473746</v>
      </c>
      <c r="H2709">
        <v>0.12855101487096299</v>
      </c>
      <c r="I2709">
        <v>0.133549500955815</v>
      </c>
      <c r="J2709">
        <v>0.14753742755755</v>
      </c>
      <c r="K2709">
        <v>0.18166032397715801</v>
      </c>
      <c r="L2709">
        <v>1656.9658942779899</v>
      </c>
      <c r="M2709">
        <v>30.644262060998098</v>
      </c>
      <c r="N2709">
        <v>54.666746337756301</v>
      </c>
      <c r="O2709">
        <v>53.8423069172525</v>
      </c>
      <c r="P2709">
        <v>-0.12208920690682699</v>
      </c>
      <c r="Q2709">
        <v>0.14195683042865601</v>
      </c>
      <c r="R2709">
        <v>0.99224759780277605</v>
      </c>
      <c r="S2709" t="s">
        <v>9161</v>
      </c>
      <c r="T2709" t="s">
        <v>12902</v>
      </c>
      <c r="U2709" t="s">
        <v>12902</v>
      </c>
      <c r="V2709" t="s">
        <v>12902</v>
      </c>
      <c r="W2709" t="s">
        <v>15572</v>
      </c>
      <c r="X2709">
        <v>6</v>
      </c>
      <c r="Y2709" t="s">
        <v>21915</v>
      </c>
      <c r="Z2709" t="s">
        <v>28284</v>
      </c>
      <c r="AA2709">
        <v>0.5498217929735133</v>
      </c>
      <c r="AB2709" t="str">
        <f>HYPERLINK("Melting_Curves/meltCurve_P51948_2_MNAT1.pdf", "Melting_Curves/meltCurve_P51948_2_MNAT1.pdf")</f>
        <v>Melting_Curves/meltCurve_P51948_2_MNAT1.pdf</v>
      </c>
    </row>
    <row r="2710" spans="1:28" x14ac:dyDescent="0.25">
      <c r="A2710" t="s">
        <v>2714</v>
      </c>
      <c r="B2710">
        <v>0.99673306730245903</v>
      </c>
      <c r="C2710">
        <v>1.0362473556428</v>
      </c>
      <c r="D2710">
        <v>1.01844311130985</v>
      </c>
      <c r="E2710">
        <v>0.81692969486321798</v>
      </c>
      <c r="F2710">
        <v>0.55575071043190205</v>
      </c>
      <c r="G2710">
        <v>0.424775443290966</v>
      </c>
      <c r="H2710">
        <v>0.40405670768406199</v>
      </c>
      <c r="I2710">
        <v>0.51603470275402796</v>
      </c>
      <c r="J2710">
        <v>0.62230323971170198</v>
      </c>
      <c r="K2710">
        <v>0.55403072748001703</v>
      </c>
      <c r="L2710">
        <v>2397.5404357718799</v>
      </c>
      <c r="M2710">
        <v>47.772177887960702</v>
      </c>
      <c r="O2710">
        <v>50.099230897385901</v>
      </c>
      <c r="P2710">
        <v>-0.11752581707867001</v>
      </c>
      <c r="Q2710">
        <v>0.50699758488236202</v>
      </c>
      <c r="R2710">
        <v>0.93662045545706096</v>
      </c>
      <c r="S2710" t="s">
        <v>9162</v>
      </c>
      <c r="T2710" t="s">
        <v>12902</v>
      </c>
      <c r="U2710" t="s">
        <v>12902</v>
      </c>
      <c r="V2710" t="s">
        <v>12902</v>
      </c>
      <c r="W2710" t="s">
        <v>15573</v>
      </c>
      <c r="X2710">
        <v>11</v>
      </c>
      <c r="Y2710" t="s">
        <v>21916</v>
      </c>
      <c r="Z2710" t="s">
        <v>28285</v>
      </c>
      <c r="AA2710">
        <v>0.67560034459954499</v>
      </c>
      <c r="AB2710" t="str">
        <f>HYPERLINK("Melting_Curves/meltCurve_P51970_NDUFA8.pdf", "Melting_Curves/meltCurve_P51970_NDUFA8.pdf")</f>
        <v>Melting_Curves/meltCurve_P51970_NDUFA8.pdf</v>
      </c>
    </row>
    <row r="2711" spans="1:28" x14ac:dyDescent="0.25">
      <c r="A2711" t="s">
        <v>2715</v>
      </c>
      <c r="B2711">
        <v>0.99673306730245903</v>
      </c>
      <c r="C2711">
        <v>0.93651664291100201</v>
      </c>
      <c r="D2711">
        <v>0.86877186430940501</v>
      </c>
      <c r="E2711">
        <v>0.693685401341531</v>
      </c>
      <c r="F2711">
        <v>0.38747172925462398</v>
      </c>
      <c r="G2711">
        <v>0.28480664875588102</v>
      </c>
      <c r="H2711">
        <v>0.21441934009359101</v>
      </c>
      <c r="I2711">
        <v>0.27569537508536401</v>
      </c>
      <c r="J2711">
        <v>0.28668326593812199</v>
      </c>
      <c r="K2711">
        <v>0.37931740694593502</v>
      </c>
      <c r="L2711">
        <v>1179.6790312621199</v>
      </c>
      <c r="M2711">
        <v>23.711620882229099</v>
      </c>
      <c r="N2711">
        <v>51.515878230411303</v>
      </c>
      <c r="O2711">
        <v>49.40128442484</v>
      </c>
      <c r="P2711">
        <v>-8.6628178812200404E-2</v>
      </c>
      <c r="Q2711">
        <v>0.27808018177695998</v>
      </c>
      <c r="R2711">
        <v>0.97375799054812195</v>
      </c>
      <c r="S2711" t="s">
        <v>9163</v>
      </c>
      <c r="T2711" t="s">
        <v>12902</v>
      </c>
      <c r="U2711" t="s">
        <v>12902</v>
      </c>
      <c r="V2711" t="s">
        <v>12902</v>
      </c>
      <c r="W2711" t="s">
        <v>15574</v>
      </c>
      <c r="X2711">
        <v>13</v>
      </c>
      <c r="Y2711" t="s">
        <v>21917</v>
      </c>
      <c r="Z2711" t="s">
        <v>28286</v>
      </c>
      <c r="AA2711">
        <v>0.51989265003696761</v>
      </c>
      <c r="AB2711" t="str">
        <f>HYPERLINK("Melting_Curves/meltCurve_P51991_HNRNPA3.pdf", "Melting_Curves/meltCurve_P51991_HNRNPA3.pdf")</f>
        <v>Melting_Curves/meltCurve_P51991_HNRNPA3.pdf</v>
      </c>
    </row>
    <row r="2712" spans="1:28" x14ac:dyDescent="0.25">
      <c r="A2712" t="s">
        <v>2716</v>
      </c>
      <c r="B2712">
        <v>0.99673306730245903</v>
      </c>
      <c r="C2712">
        <v>0.76333229824783899</v>
      </c>
      <c r="D2712">
        <v>0.48555082890291901</v>
      </c>
      <c r="E2712">
        <v>0.22976308014606001</v>
      </c>
      <c r="F2712">
        <v>0.13167394889806699</v>
      </c>
      <c r="G2712">
        <v>8.5285203661499304E-2</v>
      </c>
      <c r="H2712">
        <v>5.84806624890594E-2</v>
      </c>
      <c r="I2712">
        <v>5.7227544671492901E-2</v>
      </c>
      <c r="J2712">
        <v>7.2419932070407506E-2</v>
      </c>
      <c r="K2712">
        <v>8.0952569316877096E-2</v>
      </c>
      <c r="L2712">
        <v>904.53771394147202</v>
      </c>
      <c r="M2712">
        <v>19.865443617754199</v>
      </c>
      <c r="N2712">
        <v>45.872192484122102</v>
      </c>
      <c r="O2712">
        <v>45.079352237250703</v>
      </c>
      <c r="P2712">
        <v>-0.102652596839441</v>
      </c>
      <c r="Q2712">
        <v>6.8259861252202195E-2</v>
      </c>
      <c r="R2712">
        <v>0.995898748976076</v>
      </c>
      <c r="S2712" t="s">
        <v>9164</v>
      </c>
      <c r="T2712" t="s">
        <v>12902</v>
      </c>
      <c r="U2712" t="s">
        <v>12902</v>
      </c>
      <c r="V2712" t="s">
        <v>12902</v>
      </c>
      <c r="W2712" t="s">
        <v>15575</v>
      </c>
      <c r="X2712">
        <v>34</v>
      </c>
      <c r="Y2712" t="s">
        <v>20476</v>
      </c>
      <c r="Z2712" t="s">
        <v>28287</v>
      </c>
      <c r="AA2712">
        <v>0.25529485092348059</v>
      </c>
      <c r="AB2712" t="str">
        <f>HYPERLINK("Melting_Curves/meltCurve_P52272_2_HNRNPM.pdf", "Melting_Curves/meltCurve_P52272_2_HNRNPM.pdf")</f>
        <v>Melting_Curves/meltCurve_P52272_2_HNRNPM.pdf</v>
      </c>
    </row>
    <row r="2713" spans="1:28" x14ac:dyDescent="0.25">
      <c r="A2713" t="s">
        <v>2717</v>
      </c>
      <c r="B2713">
        <v>0.99673306730245903</v>
      </c>
      <c r="C2713">
        <v>0.87585493720679797</v>
      </c>
      <c r="D2713">
        <v>0.34850714673396699</v>
      </c>
      <c r="E2713">
        <v>0.160144446819078</v>
      </c>
      <c r="F2713">
        <v>7.8127654460126997E-2</v>
      </c>
      <c r="G2713">
        <v>5.2620492050041399E-2</v>
      </c>
      <c r="H2713">
        <v>3.4459609774108703E-2</v>
      </c>
      <c r="I2713">
        <v>3.6025110587366301E-2</v>
      </c>
      <c r="J2713">
        <v>4.0142255226897398E-2</v>
      </c>
      <c r="K2713">
        <v>3.1231929233937101E-2</v>
      </c>
      <c r="L2713">
        <v>1510.4357694906901</v>
      </c>
      <c r="M2713">
        <v>33.499505960131302</v>
      </c>
      <c r="N2713">
        <v>45.2375003147976</v>
      </c>
      <c r="O2713">
        <v>44.928539271683803</v>
      </c>
      <c r="P2713">
        <v>-0.176654976610502</v>
      </c>
      <c r="Q2713">
        <v>5.2306471977083401E-2</v>
      </c>
      <c r="R2713">
        <v>0.99423941723365405</v>
      </c>
      <c r="S2713" t="s">
        <v>9165</v>
      </c>
      <c r="T2713" t="s">
        <v>12902</v>
      </c>
      <c r="U2713" t="s">
        <v>12902</v>
      </c>
      <c r="V2713" t="s">
        <v>12902</v>
      </c>
      <c r="W2713" t="s">
        <v>15576</v>
      </c>
      <c r="X2713">
        <v>14</v>
      </c>
      <c r="Y2713" t="s">
        <v>21918</v>
      </c>
      <c r="Z2713" t="s">
        <v>28288</v>
      </c>
      <c r="AA2713">
        <v>0.2177179787014582</v>
      </c>
      <c r="AB2713" t="str">
        <f>HYPERLINK("Melting_Curves/meltCurve_P52292_KPNA2.pdf", "Melting_Curves/meltCurve_P52292_KPNA2.pdf")</f>
        <v>Melting_Curves/meltCurve_P52292_KPNA2.pdf</v>
      </c>
    </row>
    <row r="2714" spans="1:28" x14ac:dyDescent="0.25">
      <c r="A2714" t="s">
        <v>2718</v>
      </c>
      <c r="B2714">
        <v>0.99673306730245903</v>
      </c>
      <c r="C2714">
        <v>0.91650347716306302</v>
      </c>
      <c r="D2714">
        <v>0.72124198448725396</v>
      </c>
      <c r="E2714">
        <v>0.395682364170308</v>
      </c>
      <c r="F2714">
        <v>0.18033556624527</v>
      </c>
      <c r="G2714">
        <v>0.12550944467140401</v>
      </c>
      <c r="H2714">
        <v>7.9278263456967396E-2</v>
      </c>
      <c r="I2714">
        <v>7.6147718821744106E-2</v>
      </c>
      <c r="J2714">
        <v>9.4168324213489904E-2</v>
      </c>
      <c r="K2714">
        <v>9.1462702096495499E-2</v>
      </c>
      <c r="L2714">
        <v>971.84048423124602</v>
      </c>
      <c r="M2714">
        <v>20.279655460868302</v>
      </c>
      <c r="N2714">
        <v>48.341042297276303</v>
      </c>
      <c r="O2714">
        <v>47.463266085671897</v>
      </c>
      <c r="P2714">
        <v>-9.8209545795479206E-2</v>
      </c>
      <c r="Q2714">
        <v>8.0615116094297903E-2</v>
      </c>
      <c r="R2714">
        <v>0.999283703572729</v>
      </c>
      <c r="S2714" t="s">
        <v>9166</v>
      </c>
      <c r="T2714" t="s">
        <v>12902</v>
      </c>
      <c r="U2714" t="s">
        <v>12902</v>
      </c>
      <c r="V2714" t="s">
        <v>12902</v>
      </c>
      <c r="W2714" t="s">
        <v>15577</v>
      </c>
      <c r="X2714">
        <v>9</v>
      </c>
      <c r="Y2714" t="s">
        <v>21919</v>
      </c>
      <c r="Z2714" t="s">
        <v>28289</v>
      </c>
      <c r="AA2714">
        <v>0.33609847642689261</v>
      </c>
      <c r="AB2714" t="str">
        <f>HYPERLINK("Melting_Curves/meltCurve_P52294_KPNA1.pdf", "Melting_Curves/meltCurve_P52294_KPNA1.pdf")</f>
        <v>Melting_Curves/meltCurve_P52294_KPNA1.pdf</v>
      </c>
    </row>
    <row r="2715" spans="1:28" x14ac:dyDescent="0.25">
      <c r="A2715" t="s">
        <v>2719</v>
      </c>
      <c r="B2715">
        <v>0.99673306730245903</v>
      </c>
      <c r="C2715">
        <v>0.98760743250641303</v>
      </c>
      <c r="D2715">
        <v>1.06049154265297</v>
      </c>
      <c r="E2715">
        <v>1.1075955590128199</v>
      </c>
      <c r="F2715">
        <v>0.47099487141832802</v>
      </c>
      <c r="G2715">
        <v>0.195940799948714</v>
      </c>
      <c r="H2715">
        <v>0.110477589481667</v>
      </c>
      <c r="I2715">
        <v>0.103452090744657</v>
      </c>
      <c r="J2715">
        <v>9.5552045373641495E-2</v>
      </c>
      <c r="K2715">
        <v>7.5768159008472405E-2</v>
      </c>
      <c r="L2715">
        <v>7145.5054070938504</v>
      </c>
      <c r="M2715">
        <v>134.71308713738401</v>
      </c>
      <c r="N2715">
        <v>53.146748736982602</v>
      </c>
      <c r="O2715">
        <v>53.030712813232597</v>
      </c>
      <c r="P2715">
        <v>-0.56127327004963601</v>
      </c>
      <c r="Q2715">
        <v>0.11620402614922599</v>
      </c>
      <c r="R2715">
        <v>0.98742432920226597</v>
      </c>
      <c r="S2715" t="s">
        <v>9167</v>
      </c>
      <c r="T2715" t="s">
        <v>12902</v>
      </c>
      <c r="U2715" t="s">
        <v>12902</v>
      </c>
      <c r="V2715" t="s">
        <v>12902</v>
      </c>
      <c r="W2715" t="s">
        <v>15578</v>
      </c>
      <c r="X2715">
        <v>14</v>
      </c>
      <c r="Y2715" t="s">
        <v>21920</v>
      </c>
      <c r="Z2715" t="s">
        <v>28290</v>
      </c>
      <c r="AA2715">
        <v>0.50071486377011742</v>
      </c>
      <c r="AB2715" t="str">
        <f>HYPERLINK("Melting_Curves/meltCurve_P52298_NCBP2.pdf", "Melting_Curves/meltCurve_P52298_NCBP2.pdf")</f>
        <v>Melting_Curves/meltCurve_P52298_NCBP2.pdf</v>
      </c>
    </row>
    <row r="2716" spans="1:28" x14ac:dyDescent="0.25">
      <c r="A2716" t="s">
        <v>2720</v>
      </c>
      <c r="B2716">
        <v>0.99673306730245903</v>
      </c>
      <c r="C2716">
        <v>1.0518281665482101</v>
      </c>
      <c r="D2716">
        <v>0.74330459819958505</v>
      </c>
      <c r="E2716">
        <v>0.45454874424828701</v>
      </c>
      <c r="F2716">
        <v>0.162757785525035</v>
      </c>
      <c r="G2716">
        <v>9.3480197076968696E-2</v>
      </c>
      <c r="H2716">
        <v>5.2476141676435099E-2</v>
      </c>
      <c r="I2716">
        <v>4.4041780364213003E-2</v>
      </c>
      <c r="J2716">
        <v>4.7732295120758397E-2</v>
      </c>
      <c r="K2716">
        <v>4.1047983113483698E-2</v>
      </c>
      <c r="L2716">
        <v>1079.36365066295</v>
      </c>
      <c r="M2716">
        <v>22.144424009740799</v>
      </c>
      <c r="N2716">
        <v>48.942719989296897</v>
      </c>
      <c r="O2716">
        <v>48.349744932165997</v>
      </c>
      <c r="P2716">
        <v>-0.10953356893499699</v>
      </c>
      <c r="Q2716">
        <v>4.3406276020931001E-2</v>
      </c>
      <c r="R2716">
        <v>0.991470165761414</v>
      </c>
      <c r="S2716" t="s">
        <v>9168</v>
      </c>
      <c r="T2716" t="s">
        <v>12902</v>
      </c>
      <c r="U2716" t="s">
        <v>12902</v>
      </c>
      <c r="V2716" t="s">
        <v>12902</v>
      </c>
      <c r="W2716" t="s">
        <v>15579</v>
      </c>
      <c r="X2716">
        <v>21</v>
      </c>
      <c r="Y2716" t="s">
        <v>21921</v>
      </c>
      <c r="Z2716" t="s">
        <v>28291</v>
      </c>
      <c r="AA2716">
        <v>0.33304515296239778</v>
      </c>
      <c r="AB2716" t="str">
        <f>HYPERLINK("Melting_Curves/meltCurve_P52306_RAP1GDS1.pdf", "Melting_Curves/meltCurve_P52306_RAP1GDS1.pdf")</f>
        <v>Melting_Curves/meltCurve_P52306_RAP1GDS1.pdf</v>
      </c>
    </row>
    <row r="2717" spans="1:28" x14ac:dyDescent="0.25">
      <c r="A2717" t="s">
        <v>2721</v>
      </c>
      <c r="B2717">
        <v>0.99673306730245903</v>
      </c>
      <c r="C2717">
        <v>1.0228794902617899</v>
      </c>
      <c r="D2717">
        <v>1.00132197276471</v>
      </c>
      <c r="E2717">
        <v>0.94791598935711696</v>
      </c>
      <c r="F2717">
        <v>0.51542067064036501</v>
      </c>
      <c r="G2717">
        <v>0.10677323719430699</v>
      </c>
      <c r="H2717">
        <v>4.8717402276583797E-2</v>
      </c>
      <c r="I2717">
        <v>4.3486177819877403E-2</v>
      </c>
      <c r="J2717">
        <v>5.9628500210808302E-2</v>
      </c>
      <c r="K2717">
        <v>5.3422412683450098E-2</v>
      </c>
      <c r="L2717">
        <v>2208.2064301997598</v>
      </c>
      <c r="M2717">
        <v>41.554537725322</v>
      </c>
      <c r="N2717">
        <v>53.272642873967101</v>
      </c>
      <c r="O2717">
        <v>53.017338832100499</v>
      </c>
      <c r="P2717">
        <v>-0.18631434537922001</v>
      </c>
      <c r="Q2717">
        <v>4.9165436579288103E-2</v>
      </c>
      <c r="R2717">
        <v>0.99959185311639598</v>
      </c>
      <c r="S2717" t="s">
        <v>9169</v>
      </c>
      <c r="T2717" t="s">
        <v>12902</v>
      </c>
      <c r="U2717" t="s">
        <v>12902</v>
      </c>
      <c r="V2717" t="s">
        <v>12902</v>
      </c>
      <c r="W2717" t="s">
        <v>15580</v>
      </c>
      <c r="X2717">
        <v>11</v>
      </c>
      <c r="Y2717" t="s">
        <v>21922</v>
      </c>
      <c r="Z2717" t="s">
        <v>28292</v>
      </c>
      <c r="AA2717">
        <v>0.4688612989970366</v>
      </c>
      <c r="AB2717" t="str">
        <f>HYPERLINK("Melting_Curves/meltCurve_P52564_MAP2K6.pdf", "Melting_Curves/meltCurve_P52564_MAP2K6.pdf")</f>
        <v>Melting_Curves/meltCurve_P52564_MAP2K6.pdf</v>
      </c>
    </row>
    <row r="2718" spans="1:28" x14ac:dyDescent="0.25">
      <c r="A2718" t="s">
        <v>2722</v>
      </c>
      <c r="B2718">
        <v>0.99673306730245903</v>
      </c>
      <c r="C2718">
        <v>1.0584887045246101</v>
      </c>
      <c r="D2718">
        <v>0.74828867845916003</v>
      </c>
      <c r="E2718">
        <v>0.88507399447421298</v>
      </c>
      <c r="F2718">
        <v>0.47824546809951202</v>
      </c>
      <c r="G2718">
        <v>0.178328289205959</v>
      </c>
      <c r="H2718">
        <v>7.0602137341465296E-2</v>
      </c>
      <c r="I2718">
        <v>5.8601189649852101E-2</v>
      </c>
      <c r="J2718">
        <v>6.16975621184878E-2</v>
      </c>
      <c r="K2718">
        <v>5.2206770983640197E-2</v>
      </c>
      <c r="L2718">
        <v>1164.6673356665401</v>
      </c>
      <c r="M2718">
        <v>22.062217744617499</v>
      </c>
      <c r="N2718">
        <v>52.972949165286003</v>
      </c>
      <c r="O2718">
        <v>52.362154522502998</v>
      </c>
      <c r="P2718">
        <v>-0.101475718307348</v>
      </c>
      <c r="Q2718">
        <v>3.6657146247893603E-2</v>
      </c>
      <c r="R2718">
        <v>0.96471279764683304</v>
      </c>
      <c r="S2718" t="s">
        <v>9170</v>
      </c>
      <c r="T2718" t="s">
        <v>12902</v>
      </c>
      <c r="U2718" t="s">
        <v>12902</v>
      </c>
      <c r="V2718" t="s">
        <v>12902</v>
      </c>
      <c r="W2718" t="s">
        <v>15581</v>
      </c>
      <c r="X2718">
        <v>18</v>
      </c>
      <c r="Y2718" t="s">
        <v>21923</v>
      </c>
      <c r="Z2718" t="s">
        <v>28293</v>
      </c>
      <c r="AA2718">
        <v>0.45852550311731488</v>
      </c>
      <c r="AB2718" t="str">
        <f>HYPERLINK("Melting_Curves/meltCurve_P52565_ARHGDIA.pdf", "Melting_Curves/meltCurve_P52565_ARHGDIA.pdf")</f>
        <v>Melting_Curves/meltCurve_P52565_ARHGDIA.pdf</v>
      </c>
    </row>
    <row r="2719" spans="1:28" x14ac:dyDescent="0.25">
      <c r="A2719" t="s">
        <v>2723</v>
      </c>
      <c r="B2719">
        <v>0.99673306730245903</v>
      </c>
      <c r="C2719">
        <v>0.99603828643567205</v>
      </c>
      <c r="D2719">
        <v>0.37528714509127598</v>
      </c>
      <c r="E2719">
        <v>0.24509265076054301</v>
      </c>
      <c r="F2719">
        <v>0.13991755621562199</v>
      </c>
      <c r="G2719">
        <v>8.0090535841382496E-2</v>
      </c>
      <c r="H2719">
        <v>4.4785058871382899E-2</v>
      </c>
      <c r="I2719">
        <v>3.8397022971587501E-2</v>
      </c>
      <c r="J2719">
        <v>4.6221465402091599E-2</v>
      </c>
      <c r="K2719">
        <v>3.9319506803042699E-2</v>
      </c>
      <c r="L2719">
        <v>2335.4635704775001</v>
      </c>
      <c r="M2719">
        <v>51.462630036673197</v>
      </c>
      <c r="N2719">
        <v>45.551577617416598</v>
      </c>
      <c r="O2719">
        <v>45.3133746329516</v>
      </c>
      <c r="P2719">
        <v>-0.25914078513914501</v>
      </c>
      <c r="Q2719">
        <v>8.7296336290154097E-2</v>
      </c>
      <c r="R2719">
        <v>0.97397517295535796</v>
      </c>
      <c r="S2719" t="s">
        <v>9171</v>
      </c>
      <c r="T2719" t="s">
        <v>12902</v>
      </c>
      <c r="U2719" t="s">
        <v>12902</v>
      </c>
      <c r="V2719" t="s">
        <v>12902</v>
      </c>
      <c r="W2719" t="s">
        <v>15582</v>
      </c>
      <c r="X2719">
        <v>19</v>
      </c>
      <c r="Y2719" t="s">
        <v>21924</v>
      </c>
      <c r="Z2719" t="s">
        <v>28294</v>
      </c>
      <c r="AA2719">
        <v>0.25277135258632388</v>
      </c>
      <c r="AB2719" t="str">
        <f>HYPERLINK("Melting_Curves/meltCurve_P52597_HNRNPF.pdf", "Melting_Curves/meltCurve_P52597_HNRNPF.pdf")</f>
        <v>Melting_Curves/meltCurve_P52597_HNRNPF.pdf</v>
      </c>
    </row>
    <row r="2720" spans="1:28" x14ac:dyDescent="0.25">
      <c r="A2720" t="s">
        <v>2724</v>
      </c>
      <c r="B2720">
        <v>0.99673306730245903</v>
      </c>
      <c r="C2720">
        <v>0.88275011347902999</v>
      </c>
      <c r="D2720">
        <v>0.42972662501650999</v>
      </c>
      <c r="E2720">
        <v>0.20021088346086299</v>
      </c>
      <c r="F2720">
        <v>0.13303176331825201</v>
      </c>
      <c r="G2720">
        <v>8.4017251432264697E-2</v>
      </c>
      <c r="H2720">
        <v>5.4748104912311503E-2</v>
      </c>
      <c r="I2720">
        <v>4.6136908404811799E-2</v>
      </c>
      <c r="J2720">
        <v>4.44534251594568E-2</v>
      </c>
      <c r="K2720">
        <v>2.8783619724967801E-2</v>
      </c>
      <c r="L2720">
        <v>1209.64415923465</v>
      </c>
      <c r="M2720">
        <v>26.559394566925199</v>
      </c>
      <c r="N2720">
        <v>45.780132839506003</v>
      </c>
      <c r="O2720">
        <v>45.289020703763399</v>
      </c>
      <c r="P2720">
        <v>-0.13725947253659501</v>
      </c>
      <c r="Q2720">
        <v>6.3791711678095706E-2</v>
      </c>
      <c r="R2720">
        <v>0.99187524974657704</v>
      </c>
      <c r="S2720" t="s">
        <v>9172</v>
      </c>
      <c r="T2720" t="s">
        <v>12902</v>
      </c>
      <c r="U2720" t="s">
        <v>12902</v>
      </c>
      <c r="V2720" t="s">
        <v>12902</v>
      </c>
      <c r="W2720" t="s">
        <v>15583</v>
      </c>
      <c r="X2720">
        <v>3</v>
      </c>
      <c r="Y2720" t="s">
        <v>21925</v>
      </c>
      <c r="Z2720" t="s">
        <v>28295</v>
      </c>
      <c r="AA2720">
        <v>0.24454574915299479</v>
      </c>
      <c r="AB2720" t="str">
        <f>HYPERLINK("Melting_Curves/meltCurve_P52630_4_STAT2.pdf", "Melting_Curves/meltCurve_P52630_4_STAT2.pdf")</f>
        <v>Melting_Curves/meltCurve_P52630_4_STAT2.pdf</v>
      </c>
    </row>
    <row r="2721" spans="1:28" x14ac:dyDescent="0.25">
      <c r="A2721" t="s">
        <v>2725</v>
      </c>
      <c r="B2721">
        <v>0.99673306730245903</v>
      </c>
      <c r="C2721">
        <v>0.98866963089664095</v>
      </c>
      <c r="D2721">
        <v>0.97157567323763105</v>
      </c>
      <c r="E2721">
        <v>0.90090990144153704</v>
      </c>
      <c r="F2721">
        <v>0.80633120722281904</v>
      </c>
      <c r="G2721">
        <v>0.68568581737577805</v>
      </c>
      <c r="H2721">
        <v>0.58437531866526105</v>
      </c>
      <c r="I2721">
        <v>0.740212478032509</v>
      </c>
      <c r="J2721">
        <v>0.93670211598569098</v>
      </c>
      <c r="K2721">
        <v>0.79326863264862002</v>
      </c>
      <c r="L2721">
        <v>1711.2456911987899</v>
      </c>
      <c r="M2721">
        <v>34.078324730550499</v>
      </c>
      <c r="O2721">
        <v>50.0431066553707</v>
      </c>
      <c r="P2721">
        <v>-4.2371442603664301E-2</v>
      </c>
      <c r="Q2721">
        <v>0.75111566595939405</v>
      </c>
      <c r="R2721">
        <v>0.60860544580009501</v>
      </c>
      <c r="S2721" t="s">
        <v>9173</v>
      </c>
      <c r="T2721" t="s">
        <v>12902</v>
      </c>
      <c r="U2721" t="s">
        <v>12902</v>
      </c>
      <c r="V2721" t="s">
        <v>12902</v>
      </c>
      <c r="W2721" t="s">
        <v>15584</v>
      </c>
      <c r="X2721">
        <v>5</v>
      </c>
      <c r="Y2721" t="s">
        <v>21926</v>
      </c>
      <c r="Z2721" t="s">
        <v>28296</v>
      </c>
      <c r="AA2721">
        <v>0.83705552143077722</v>
      </c>
      <c r="AB2721" t="str">
        <f>HYPERLINK("Melting_Curves/meltCurve_P52655_GTF2A1.pdf", "Melting_Curves/meltCurve_P52655_GTF2A1.pdf")</f>
        <v>Melting_Curves/meltCurve_P52655_GTF2A1.pdf</v>
      </c>
    </row>
    <row r="2722" spans="1:28" x14ac:dyDescent="0.25">
      <c r="A2722" t="s">
        <v>2726</v>
      </c>
      <c r="B2722">
        <v>0.99673306730245903</v>
      </c>
      <c r="C2722">
        <v>0.999983792708664</v>
      </c>
      <c r="D2722">
        <v>1.0216446191120601</v>
      </c>
      <c r="E2722">
        <v>0.87570643190626396</v>
      </c>
      <c r="F2722">
        <v>0.90383133381464698</v>
      </c>
      <c r="G2722">
        <v>0.80325938336936598</v>
      </c>
      <c r="H2722">
        <v>0.84539295504007095</v>
      </c>
      <c r="I2722">
        <v>1.0635080380452999</v>
      </c>
      <c r="J2722">
        <v>1.25244516608745</v>
      </c>
      <c r="K2722">
        <v>0.76127716201917905</v>
      </c>
      <c r="L2722">
        <v>15000</v>
      </c>
      <c r="M2722">
        <v>213.12579219363599</v>
      </c>
      <c r="Q2722">
        <v>0</v>
      </c>
      <c r="R2722">
        <v>0.180635270903858</v>
      </c>
      <c r="S2722" t="s">
        <v>9174</v>
      </c>
      <c r="T2722" t="s">
        <v>12902</v>
      </c>
      <c r="U2722" t="s">
        <v>12902</v>
      </c>
      <c r="V2722" t="s">
        <v>12902</v>
      </c>
      <c r="W2722" t="s">
        <v>15585</v>
      </c>
      <c r="X2722">
        <v>4</v>
      </c>
      <c r="Y2722" t="s">
        <v>21927</v>
      </c>
      <c r="Z2722" t="s">
        <v>28297</v>
      </c>
      <c r="AA2722">
        <v>0.99705980232768499</v>
      </c>
      <c r="AB2722" t="str">
        <f>HYPERLINK("Melting_Curves/meltCurve_P52657_GTF2A2.pdf", "Melting_Curves/meltCurve_P52657_GTF2A2.pdf")</f>
        <v>Melting_Curves/meltCurve_P52657_GTF2A2.pdf</v>
      </c>
    </row>
    <row r="2723" spans="1:28" x14ac:dyDescent="0.25">
      <c r="A2723" t="s">
        <v>2727</v>
      </c>
      <c r="B2723">
        <v>0.99673306730245903</v>
      </c>
      <c r="C2723">
        <v>0.84079241649886804</v>
      </c>
      <c r="D2723">
        <v>0.48958339039118998</v>
      </c>
      <c r="E2723">
        <v>0.16881202141051899</v>
      </c>
      <c r="F2723">
        <v>0.12814184969784601</v>
      </c>
      <c r="G2723">
        <v>7.5632212088992901E-2</v>
      </c>
      <c r="H2723">
        <v>5.20676225327798E-2</v>
      </c>
      <c r="I2723">
        <v>4.7442441796033498E-2</v>
      </c>
      <c r="J2723">
        <v>4.8874735543132403E-2</v>
      </c>
      <c r="K2723">
        <v>4.2504213845761897E-2</v>
      </c>
      <c r="L2723">
        <v>1115.1588438505601</v>
      </c>
      <c r="M2723">
        <v>24.3941638730387</v>
      </c>
      <c r="N2723">
        <v>45.9424136432323</v>
      </c>
      <c r="O2723">
        <v>45.410265065920399</v>
      </c>
      <c r="P2723">
        <v>-0.12663589376006601</v>
      </c>
      <c r="Q2723">
        <v>5.70717971876121E-2</v>
      </c>
      <c r="R2723">
        <v>0.997411050651554</v>
      </c>
      <c r="S2723" t="s">
        <v>9175</v>
      </c>
      <c r="T2723" t="s">
        <v>12902</v>
      </c>
      <c r="U2723" t="s">
        <v>12902</v>
      </c>
      <c r="V2723" t="s">
        <v>12902</v>
      </c>
      <c r="W2723" t="s">
        <v>15586</v>
      </c>
      <c r="X2723">
        <v>36</v>
      </c>
      <c r="Y2723" t="s">
        <v>21928</v>
      </c>
      <c r="Z2723" t="s">
        <v>28298</v>
      </c>
      <c r="AA2723">
        <v>0.2460511677593184</v>
      </c>
      <c r="AB2723" t="str">
        <f>HYPERLINK("Melting_Curves/meltCurve_P52701_MSH6.pdf", "Melting_Curves/meltCurve_P52701_MSH6.pdf")</f>
        <v>Melting_Curves/meltCurve_P52701_MSH6.pdf</v>
      </c>
    </row>
    <row r="2724" spans="1:28" x14ac:dyDescent="0.25">
      <c r="A2724" t="s">
        <v>2728</v>
      </c>
      <c r="B2724">
        <v>0.99673306730245903</v>
      </c>
      <c r="C2724">
        <v>0.890432384151434</v>
      </c>
      <c r="D2724">
        <v>0.53228285099338102</v>
      </c>
      <c r="E2724">
        <v>0.195498837915181</v>
      </c>
      <c r="F2724">
        <v>0.13574539684022699</v>
      </c>
      <c r="G2724">
        <v>8.7878815968397098E-2</v>
      </c>
      <c r="H2724">
        <v>6.6218225947937498E-2</v>
      </c>
      <c r="I2724">
        <v>6.1353627853498599E-2</v>
      </c>
      <c r="J2724">
        <v>4.25536355275144E-2</v>
      </c>
      <c r="K2724">
        <v>3.7383023992755698E-2</v>
      </c>
      <c r="L2724">
        <v>1160.99835853065</v>
      </c>
      <c r="M2724">
        <v>25.184280680700901</v>
      </c>
      <c r="N2724">
        <v>46.349490349650999</v>
      </c>
      <c r="O2724">
        <v>45.812400680140499</v>
      </c>
      <c r="P2724">
        <v>-0.12872616565405401</v>
      </c>
      <c r="Q2724">
        <v>6.3355793697094501E-2</v>
      </c>
      <c r="R2724">
        <v>0.99693440267227496</v>
      </c>
      <c r="S2724" t="s">
        <v>9176</v>
      </c>
      <c r="T2724" t="s">
        <v>12902</v>
      </c>
      <c r="U2724" t="s">
        <v>12902</v>
      </c>
      <c r="V2724" t="s">
        <v>12902</v>
      </c>
      <c r="W2724" t="s">
        <v>15587</v>
      </c>
      <c r="X2724">
        <v>7</v>
      </c>
      <c r="Y2724" t="s">
        <v>21929</v>
      </c>
      <c r="Z2724" t="s">
        <v>28299</v>
      </c>
      <c r="AA2724">
        <v>0.26227669520288188</v>
      </c>
      <c r="AB2724" t="str">
        <f>HYPERLINK("Melting_Curves/meltCurve_P52732_KIF11.pdf", "Melting_Curves/meltCurve_P52732_KIF11.pdf")</f>
        <v>Melting_Curves/meltCurve_P52732_KIF11.pdf</v>
      </c>
    </row>
    <row r="2725" spans="1:28" x14ac:dyDescent="0.25">
      <c r="A2725" t="s">
        <v>2729</v>
      </c>
      <c r="B2725">
        <v>0.99673306730245903</v>
      </c>
      <c r="C2725">
        <v>0.75892399473674499</v>
      </c>
      <c r="D2725">
        <v>0.72583749194681102</v>
      </c>
      <c r="E2725">
        <v>0.67779016915989698</v>
      </c>
      <c r="F2725">
        <v>0.58859913286266896</v>
      </c>
      <c r="G2725">
        <v>0.56467964485662503</v>
      </c>
      <c r="H2725">
        <v>0.351279354903965</v>
      </c>
      <c r="I2725">
        <v>0.47763920444609798</v>
      </c>
      <c r="J2725">
        <v>0.39552262292548002</v>
      </c>
      <c r="K2725">
        <v>0.370015146549728</v>
      </c>
      <c r="L2725">
        <v>361.78883397544797</v>
      </c>
      <c r="M2725">
        <v>7.2423676810710704</v>
      </c>
      <c r="N2725">
        <v>57.281644483033901</v>
      </c>
      <c r="O2725">
        <v>46.567795750180601</v>
      </c>
      <c r="P2725">
        <v>-2.7182682697237798E-2</v>
      </c>
      <c r="Q2725">
        <v>0.30201267818020999</v>
      </c>
      <c r="R2725">
        <v>0.910865097169689</v>
      </c>
      <c r="S2725" t="s">
        <v>9177</v>
      </c>
      <c r="T2725" t="s">
        <v>12902</v>
      </c>
      <c r="U2725" t="s">
        <v>12902</v>
      </c>
      <c r="V2725" t="s">
        <v>12902</v>
      </c>
      <c r="W2725" t="s">
        <v>15588</v>
      </c>
      <c r="X2725">
        <v>8</v>
      </c>
      <c r="Y2725" t="s">
        <v>21930</v>
      </c>
      <c r="Z2725" t="s">
        <v>28300</v>
      </c>
      <c r="AA2725">
        <v>0.58015471717697231</v>
      </c>
      <c r="AB2725" t="str">
        <f>HYPERLINK("Melting_Curves/meltCurve_P52756_RBM5.pdf", "Melting_Curves/meltCurve_P52756_RBM5.pdf")</f>
        <v>Melting_Curves/meltCurve_P52756_RBM5.pdf</v>
      </c>
    </row>
    <row r="2726" spans="1:28" x14ac:dyDescent="0.25">
      <c r="A2726" t="s">
        <v>2730</v>
      </c>
      <c r="B2726">
        <v>0.99673306730245903</v>
      </c>
      <c r="C2726">
        <v>1.0047765740829</v>
      </c>
      <c r="D2726">
        <v>0.95853040085402397</v>
      </c>
      <c r="E2726">
        <v>0.93983410774737197</v>
      </c>
      <c r="F2726">
        <v>0.87153324975322399</v>
      </c>
      <c r="G2726">
        <v>0.79024019155343705</v>
      </c>
      <c r="H2726">
        <v>0.71401967743582995</v>
      </c>
      <c r="I2726">
        <v>1.0413634290746201</v>
      </c>
      <c r="J2726">
        <v>1.5399784314081599</v>
      </c>
      <c r="K2726">
        <v>1.4225822941659301</v>
      </c>
      <c r="L2726">
        <v>15000</v>
      </c>
      <c r="M2726">
        <v>232.01481988750999</v>
      </c>
      <c r="O2726">
        <v>64.646239254817601</v>
      </c>
      <c r="P2726">
        <v>0.43186158872994701</v>
      </c>
      <c r="Q2726">
        <v>1.48131800396194</v>
      </c>
      <c r="R2726">
        <v>0.74732396704531201</v>
      </c>
      <c r="S2726" t="s">
        <v>9178</v>
      </c>
      <c r="T2726" t="s">
        <v>12902</v>
      </c>
      <c r="U2726" t="s">
        <v>12902</v>
      </c>
      <c r="V2726" t="s">
        <v>12902</v>
      </c>
      <c r="W2726" t="s">
        <v>15589</v>
      </c>
      <c r="X2726">
        <v>8</v>
      </c>
      <c r="Y2726" t="s">
        <v>21931</v>
      </c>
      <c r="Z2726" t="s">
        <v>28301</v>
      </c>
      <c r="AA2726">
        <v>1.0857549089126799</v>
      </c>
      <c r="AB2726" t="str">
        <f>HYPERLINK("Melting_Curves/meltCurve_P52758_HRSP12.pdf", "Melting_Curves/meltCurve_P52758_HRSP12.pdf")</f>
        <v>Melting_Curves/meltCurve_P52758_HRSP12.pdf</v>
      </c>
    </row>
    <row r="2727" spans="1:28" x14ac:dyDescent="0.25">
      <c r="A2727" t="s">
        <v>2731</v>
      </c>
      <c r="B2727">
        <v>0.99673306730245903</v>
      </c>
      <c r="C2727">
        <v>0.997889362490335</v>
      </c>
      <c r="D2727">
        <v>1.02467500587944</v>
      </c>
      <c r="E2727">
        <v>1.0313396355973501</v>
      </c>
      <c r="F2727">
        <v>0.85670376262635395</v>
      </c>
      <c r="G2727">
        <v>0.59395099921408601</v>
      </c>
      <c r="H2727">
        <v>0.224872892833618</v>
      </c>
      <c r="I2727">
        <v>0.109764312704551</v>
      </c>
      <c r="J2727">
        <v>7.3792262558417004E-2</v>
      </c>
      <c r="K2727">
        <v>5.7047395065101703E-2</v>
      </c>
      <c r="L2727">
        <v>1452.5873282877401</v>
      </c>
      <c r="M2727">
        <v>25.326041982549899</v>
      </c>
      <c r="N2727">
        <v>57.5808320908653</v>
      </c>
      <c r="O2727">
        <v>57.001488745235797</v>
      </c>
      <c r="P2727">
        <v>-0.105836799590815</v>
      </c>
      <c r="Q2727">
        <v>4.7182160302551603E-2</v>
      </c>
      <c r="R2727">
        <v>0.99760645537437098</v>
      </c>
      <c r="S2727" t="s">
        <v>9179</v>
      </c>
      <c r="T2727" t="s">
        <v>12902</v>
      </c>
      <c r="U2727" t="s">
        <v>12902</v>
      </c>
      <c r="V2727" t="s">
        <v>12902</v>
      </c>
      <c r="W2727" t="s">
        <v>15590</v>
      </c>
      <c r="X2727">
        <v>20</v>
      </c>
      <c r="Y2727" t="s">
        <v>21932</v>
      </c>
      <c r="Z2727" t="s">
        <v>28302</v>
      </c>
      <c r="AA2727">
        <v>0.60673436885542309</v>
      </c>
      <c r="AB2727" t="str">
        <f>HYPERLINK("Melting_Curves/meltCurve_P52788_SMS.pdf", "Melting_Curves/meltCurve_P52788_SMS.pdf")</f>
        <v>Melting_Curves/meltCurve_P52788_SMS.pdf</v>
      </c>
    </row>
    <row r="2728" spans="1:28" x14ac:dyDescent="0.25">
      <c r="A2728" t="s">
        <v>2732</v>
      </c>
      <c r="B2728">
        <v>0.99673306730245903</v>
      </c>
      <c r="C2728">
        <v>1.0052749321930099</v>
      </c>
      <c r="D2728">
        <v>0.47210098426942998</v>
      </c>
      <c r="E2728">
        <v>0.23061605478373201</v>
      </c>
      <c r="F2728">
        <v>0.116739478573268</v>
      </c>
      <c r="G2728">
        <v>7.0893305550411997E-2</v>
      </c>
      <c r="H2728">
        <v>4.6908607744426498E-2</v>
      </c>
      <c r="I2728">
        <v>4.3521585884997799E-2</v>
      </c>
      <c r="J2728">
        <v>4.67885042084192E-2</v>
      </c>
      <c r="K2728">
        <v>4.2721594087290399E-2</v>
      </c>
      <c r="L2728">
        <v>1490.82101378219</v>
      </c>
      <c r="M2728">
        <v>32.431805269394097</v>
      </c>
      <c r="N2728">
        <v>46.1765066317341</v>
      </c>
      <c r="O2728">
        <v>45.794159058711998</v>
      </c>
      <c r="P2728">
        <v>-0.16498641137754899</v>
      </c>
      <c r="Q2728">
        <v>6.8152068879762107E-2</v>
      </c>
      <c r="R2728">
        <v>0.98415419006617699</v>
      </c>
      <c r="S2728" t="s">
        <v>9180</v>
      </c>
      <c r="T2728" t="s">
        <v>12902</v>
      </c>
      <c r="U2728" t="s">
        <v>12902</v>
      </c>
      <c r="V2728" t="s">
        <v>12902</v>
      </c>
      <c r="W2728" t="s">
        <v>15591</v>
      </c>
      <c r="X2728">
        <v>50</v>
      </c>
      <c r="Y2728" t="s">
        <v>21933</v>
      </c>
      <c r="Z2728" t="s">
        <v>28303</v>
      </c>
      <c r="AA2728">
        <v>0.25829825010664392</v>
      </c>
      <c r="AB2728" t="str">
        <f>HYPERLINK("Melting_Curves/meltCurve_P52789_HK2.pdf", "Melting_Curves/meltCurve_P52789_HK2.pdf")</f>
        <v>Melting_Curves/meltCurve_P52789_HK2.pdf</v>
      </c>
    </row>
    <row r="2729" spans="1:28" x14ac:dyDescent="0.25">
      <c r="A2729" t="s">
        <v>2733</v>
      </c>
      <c r="B2729">
        <v>0.99673306730245903</v>
      </c>
      <c r="C2729">
        <v>1.0078062602537301</v>
      </c>
      <c r="D2729">
        <v>0.92430394284912598</v>
      </c>
      <c r="E2729">
        <v>0.809026051832618</v>
      </c>
      <c r="F2729">
        <v>0.64386728534427096</v>
      </c>
      <c r="G2729">
        <v>0.41071330689359797</v>
      </c>
      <c r="H2729">
        <v>0.289240318608249</v>
      </c>
      <c r="I2729">
        <v>0.271232950950342</v>
      </c>
      <c r="J2729">
        <v>0.23112093566790401</v>
      </c>
      <c r="K2729">
        <v>0.15762135068171801</v>
      </c>
      <c r="L2729">
        <v>785.92218222336703</v>
      </c>
      <c r="M2729">
        <v>14.5772802073342</v>
      </c>
      <c r="N2729">
        <v>55.423763695445899</v>
      </c>
      <c r="O2729">
        <v>52.930048377434098</v>
      </c>
      <c r="P2729">
        <v>-5.7577010842739099E-2</v>
      </c>
      <c r="Q2729">
        <v>0.16384687561768699</v>
      </c>
      <c r="R2729">
        <v>0.995507776426794</v>
      </c>
      <c r="S2729" t="s">
        <v>9181</v>
      </c>
      <c r="T2729" t="s">
        <v>12902</v>
      </c>
      <c r="U2729" t="s">
        <v>12902</v>
      </c>
      <c r="V2729" t="s">
        <v>12902</v>
      </c>
      <c r="W2729" t="s">
        <v>15592</v>
      </c>
      <c r="X2729">
        <v>1</v>
      </c>
      <c r="Y2729" t="s">
        <v>21934</v>
      </c>
      <c r="Z2729" t="s">
        <v>28304</v>
      </c>
      <c r="AA2729">
        <v>0.56951294650310968</v>
      </c>
      <c r="AB2729" t="str">
        <f>HYPERLINK("Melting_Curves/meltCurve_P52798_2_EFNA4.pdf", "Melting_Curves/meltCurve_P52798_2_EFNA4.pdf")</f>
        <v>Melting_Curves/meltCurve_P52798_2_EFNA4.pdf</v>
      </c>
    </row>
    <row r="2730" spans="1:28" x14ac:dyDescent="0.25">
      <c r="A2730" t="s">
        <v>2734</v>
      </c>
      <c r="B2730">
        <v>0.99673306730245903</v>
      </c>
      <c r="C2730">
        <v>0.96390376294271896</v>
      </c>
      <c r="D2730">
        <v>0.93163414675975098</v>
      </c>
      <c r="E2730">
        <v>0.77971837491251295</v>
      </c>
      <c r="F2730">
        <v>0.53217611940459397</v>
      </c>
      <c r="G2730">
        <v>0.485475443255106</v>
      </c>
      <c r="H2730">
        <v>0.36473950279232498</v>
      </c>
      <c r="I2730">
        <v>0.35167494788877302</v>
      </c>
      <c r="J2730">
        <v>0.34969885821936703</v>
      </c>
      <c r="K2730">
        <v>0.32669546180310099</v>
      </c>
      <c r="L2730">
        <v>881.10267362797595</v>
      </c>
      <c r="M2730">
        <v>17.142483018700901</v>
      </c>
      <c r="N2730">
        <v>54.881003871158903</v>
      </c>
      <c r="O2730">
        <v>50.714598918198597</v>
      </c>
      <c r="P2730">
        <v>-5.6494334561811597E-2</v>
      </c>
      <c r="Q2730">
        <v>0.331504676042084</v>
      </c>
      <c r="R2730">
        <v>0.99387111112610105</v>
      </c>
      <c r="S2730" t="s">
        <v>9182</v>
      </c>
      <c r="T2730" t="s">
        <v>12902</v>
      </c>
      <c r="U2730" t="s">
        <v>12902</v>
      </c>
      <c r="V2730" t="s">
        <v>12902</v>
      </c>
      <c r="W2730" t="s">
        <v>15593</v>
      </c>
      <c r="X2730">
        <v>3</v>
      </c>
      <c r="Y2730" t="s">
        <v>21935</v>
      </c>
      <c r="Z2730" t="s">
        <v>28305</v>
      </c>
      <c r="AA2730">
        <v>0.59771338819507691</v>
      </c>
      <c r="AB2730" t="str">
        <f>HYPERLINK("Melting_Curves/meltCurve_P52799_EFNB2.pdf", "Melting_Curves/meltCurve_P52799_EFNB2.pdf")</f>
        <v>Melting_Curves/meltCurve_P52799_EFNB2.pdf</v>
      </c>
    </row>
    <row r="2731" spans="1:28" x14ac:dyDescent="0.25">
      <c r="A2731" t="s">
        <v>2735</v>
      </c>
      <c r="B2731">
        <v>0.99673306730245903</v>
      </c>
      <c r="C2731">
        <v>0.99504660487903696</v>
      </c>
      <c r="D2731">
        <v>1.00950141517217</v>
      </c>
      <c r="E2731">
        <v>1.00706558060632</v>
      </c>
      <c r="F2731">
        <v>0.84821584527791305</v>
      </c>
      <c r="G2731">
        <v>0.678211731036931</v>
      </c>
      <c r="H2731">
        <v>0.45515131837146799</v>
      </c>
      <c r="I2731">
        <v>0.21395266056054699</v>
      </c>
      <c r="J2731">
        <v>0.10502600978547499</v>
      </c>
      <c r="K2731">
        <v>8.6276360037081404E-2</v>
      </c>
      <c r="L2731">
        <v>1001.62107727953</v>
      </c>
      <c r="M2731">
        <v>16.829992576015002</v>
      </c>
      <c r="N2731">
        <v>59.514053659620103</v>
      </c>
      <c r="O2731">
        <v>58.6928623597545</v>
      </c>
      <c r="P2731">
        <v>-7.1691316185878706E-2</v>
      </c>
      <c r="Q2731">
        <v>0</v>
      </c>
      <c r="R2731">
        <v>0.99549214323073398</v>
      </c>
      <c r="S2731" t="s">
        <v>9183</v>
      </c>
      <c r="T2731" t="s">
        <v>12902</v>
      </c>
      <c r="U2731" t="s">
        <v>12902</v>
      </c>
      <c r="V2731" t="s">
        <v>12902</v>
      </c>
      <c r="W2731" t="s">
        <v>15594</v>
      </c>
      <c r="X2731">
        <v>45</v>
      </c>
      <c r="Y2731" t="s">
        <v>21936</v>
      </c>
      <c r="Z2731" t="s">
        <v>28306</v>
      </c>
      <c r="AA2731">
        <v>0.65984823442079288</v>
      </c>
      <c r="AB2731" t="str">
        <f>HYPERLINK("Melting_Curves/meltCurve_P52888_THOP1.pdf", "Melting_Curves/meltCurve_P52888_THOP1.pdf")</f>
        <v>Melting_Curves/meltCurve_P52888_THOP1.pdf</v>
      </c>
    </row>
    <row r="2732" spans="1:28" x14ac:dyDescent="0.25">
      <c r="A2732" t="s">
        <v>2736</v>
      </c>
      <c r="B2732">
        <v>0.99673306730245903</v>
      </c>
      <c r="C2732">
        <v>0.96397375563334597</v>
      </c>
      <c r="D2732">
        <v>1.0363106648006499</v>
      </c>
      <c r="E2732">
        <v>0.92559335838578405</v>
      </c>
      <c r="F2732">
        <v>0.52918215577206795</v>
      </c>
      <c r="G2732">
        <v>0.31262515088315801</v>
      </c>
      <c r="H2732">
        <v>0.18957432612973299</v>
      </c>
      <c r="I2732">
        <v>0.17919902686488101</v>
      </c>
      <c r="J2732">
        <v>0.16597946072518399</v>
      </c>
      <c r="K2732">
        <v>0.15337295972235501</v>
      </c>
      <c r="L2732">
        <v>1550.9125884930099</v>
      </c>
      <c r="M2732">
        <v>29.2797912664603</v>
      </c>
      <c r="N2732">
        <v>53.738070457202802</v>
      </c>
      <c r="O2732">
        <v>52.723476077616802</v>
      </c>
      <c r="P2732">
        <v>-0.115066789422083</v>
      </c>
      <c r="Q2732">
        <v>0.171213123083166</v>
      </c>
      <c r="R2732">
        <v>0.99495662028825105</v>
      </c>
      <c r="S2732" t="s">
        <v>9184</v>
      </c>
      <c r="T2732" t="s">
        <v>12902</v>
      </c>
      <c r="U2732" t="s">
        <v>12902</v>
      </c>
      <c r="V2732" t="s">
        <v>12902</v>
      </c>
      <c r="W2732" t="s">
        <v>15595</v>
      </c>
      <c r="X2732">
        <v>20</v>
      </c>
      <c r="Y2732" t="s">
        <v>21937</v>
      </c>
      <c r="Z2732" t="s">
        <v>28307</v>
      </c>
      <c r="AA2732">
        <v>0.53512333370979481</v>
      </c>
      <c r="AB2732" t="str">
        <f>HYPERLINK("Melting_Curves/meltCurve_P52907_CAPZA1.pdf", "Melting_Curves/meltCurve_P52907_CAPZA1.pdf")</f>
        <v>Melting_Curves/meltCurve_P52907_CAPZA1.pdf</v>
      </c>
    </row>
    <row r="2733" spans="1:28" x14ac:dyDescent="0.25">
      <c r="A2733" t="s">
        <v>2737</v>
      </c>
      <c r="B2733">
        <v>0.99673306730245903</v>
      </c>
      <c r="C2733">
        <v>1.0371759718092901</v>
      </c>
      <c r="D2733">
        <v>1.0176946319469</v>
      </c>
      <c r="E2733">
        <v>0.96740925434897096</v>
      </c>
      <c r="F2733">
        <v>0.788634240380228</v>
      </c>
      <c r="G2733">
        <v>0.71674137547428196</v>
      </c>
      <c r="H2733">
        <v>0.54775821071353803</v>
      </c>
      <c r="I2733">
        <v>0.67126639657877496</v>
      </c>
      <c r="J2733">
        <v>0.63517831104380795</v>
      </c>
      <c r="K2733">
        <v>0.55756507746744099</v>
      </c>
      <c r="L2733">
        <v>1381.9090996894299</v>
      </c>
      <c r="M2733">
        <v>25.8588929685632</v>
      </c>
      <c r="O2733">
        <v>53.123860585561303</v>
      </c>
      <c r="P2733">
        <v>-4.82395312689472E-2</v>
      </c>
      <c r="Q2733">
        <v>0.60359636336721101</v>
      </c>
      <c r="R2733">
        <v>0.95096889444795596</v>
      </c>
      <c r="S2733" t="s">
        <v>9185</v>
      </c>
      <c r="T2733" t="s">
        <v>12902</v>
      </c>
      <c r="U2733" t="s">
        <v>12902</v>
      </c>
      <c r="V2733" t="s">
        <v>12902</v>
      </c>
      <c r="W2733" t="s">
        <v>15596</v>
      </c>
      <c r="X2733">
        <v>6</v>
      </c>
      <c r="Y2733" t="s">
        <v>21938</v>
      </c>
      <c r="Z2733" t="s">
        <v>28308</v>
      </c>
      <c r="AA2733">
        <v>0.78462660493937164</v>
      </c>
      <c r="AB2733" t="str">
        <f>HYPERLINK("Melting_Curves/meltCurve_P52943_CRIP2.pdf", "Melting_Curves/meltCurve_P52943_CRIP2.pdf")</f>
        <v>Melting_Curves/meltCurve_P52943_CRIP2.pdf</v>
      </c>
    </row>
    <row r="2734" spans="1:28" x14ac:dyDescent="0.25">
      <c r="A2734" t="s">
        <v>2738</v>
      </c>
      <c r="B2734">
        <v>0.99673306730245903</v>
      </c>
      <c r="C2734">
        <v>0.89178514241116102</v>
      </c>
      <c r="D2734">
        <v>0.76381705391417598</v>
      </c>
      <c r="E2734">
        <v>0.54681978445784996</v>
      </c>
      <c r="F2734">
        <v>0.29187178732549901</v>
      </c>
      <c r="G2734">
        <v>0.19671652467498599</v>
      </c>
      <c r="H2734">
        <v>0.13713086320380899</v>
      </c>
      <c r="I2734">
        <v>0.15417472869380999</v>
      </c>
      <c r="J2734">
        <v>0.22678959097694101</v>
      </c>
      <c r="K2734">
        <v>0.28768315159678498</v>
      </c>
      <c r="L2734">
        <v>911.71391274243797</v>
      </c>
      <c r="M2734">
        <v>18.8499836469922</v>
      </c>
      <c r="N2734">
        <v>49.597218961419301</v>
      </c>
      <c r="O2734">
        <v>47.832347858912001</v>
      </c>
      <c r="P2734">
        <v>-8.0125051790695206E-2</v>
      </c>
      <c r="Q2734">
        <v>0.186755508444094</v>
      </c>
      <c r="R2734">
        <v>0.97590138688202999</v>
      </c>
      <c r="S2734" t="s">
        <v>9186</v>
      </c>
      <c r="T2734" t="s">
        <v>12902</v>
      </c>
      <c r="U2734" t="s">
        <v>12902</v>
      </c>
      <c r="V2734" t="s">
        <v>12902</v>
      </c>
      <c r="W2734" t="s">
        <v>15597</v>
      </c>
      <c r="X2734">
        <v>14</v>
      </c>
      <c r="Y2734" t="s">
        <v>21939</v>
      </c>
      <c r="Z2734" t="s">
        <v>28309</v>
      </c>
      <c r="AA2734">
        <v>0.42655059709986298</v>
      </c>
      <c r="AB2734" t="str">
        <f>HYPERLINK("Melting_Curves/meltCurve_P52948_6_NUP98.pdf", "Melting_Curves/meltCurve_P52948_6_NUP98.pdf")</f>
        <v>Melting_Curves/meltCurve_P52948_6_NUP98.pdf</v>
      </c>
    </row>
    <row r="2735" spans="1:28" x14ac:dyDescent="0.25">
      <c r="A2735" t="s">
        <v>2739</v>
      </c>
      <c r="B2735">
        <v>0.99673306730245903</v>
      </c>
      <c r="C2735">
        <v>0.89446213687093101</v>
      </c>
      <c r="D2735">
        <v>0.85124932480605797</v>
      </c>
      <c r="E2735">
        <v>0.906224708539066</v>
      </c>
      <c r="F2735">
        <v>0.56232975920226902</v>
      </c>
      <c r="G2735">
        <v>0.187092078185323</v>
      </c>
      <c r="H2735">
        <v>7.7240027452167598E-2</v>
      </c>
      <c r="I2735">
        <v>6.07643254596665E-2</v>
      </c>
      <c r="J2735">
        <v>6.3597684429524404E-2</v>
      </c>
      <c r="K2735">
        <v>5.0564434617071802E-2</v>
      </c>
      <c r="L2735">
        <v>1416.5381650484601</v>
      </c>
      <c r="M2735">
        <v>26.5227553174077</v>
      </c>
      <c r="N2735">
        <v>53.606359638828103</v>
      </c>
      <c r="O2735">
        <v>53.107589298207699</v>
      </c>
      <c r="P2735">
        <v>-0.119030983958411</v>
      </c>
      <c r="Q2735">
        <v>4.6648298297781499E-2</v>
      </c>
      <c r="R2735">
        <v>0.98031920969281605</v>
      </c>
      <c r="S2735" t="s">
        <v>9187</v>
      </c>
      <c r="T2735" t="s">
        <v>12902</v>
      </c>
      <c r="U2735" t="s">
        <v>12902</v>
      </c>
      <c r="V2735" t="s">
        <v>12902</v>
      </c>
      <c r="W2735" t="s">
        <v>15598</v>
      </c>
      <c r="X2735">
        <v>12</v>
      </c>
      <c r="Y2735" t="s">
        <v>21940</v>
      </c>
      <c r="Z2735" t="s">
        <v>28310</v>
      </c>
      <c r="AA2735">
        <v>0.48062316298853258</v>
      </c>
      <c r="AB2735" t="str">
        <f>HYPERLINK("Melting_Curves/meltCurve_P53004_BLVRA.pdf", "Melting_Curves/meltCurve_P53004_BLVRA.pdf")</f>
        <v>Melting_Curves/meltCurve_P53004_BLVRA.pdf</v>
      </c>
    </row>
    <row r="2736" spans="1:28" x14ac:dyDescent="0.25">
      <c r="A2736" t="s">
        <v>2740</v>
      </c>
      <c r="B2736">
        <v>0.99673306730245903</v>
      </c>
      <c r="C2736">
        <v>0.988955825873016</v>
      </c>
      <c r="D2736">
        <v>0.95306354464957399</v>
      </c>
      <c r="E2736">
        <v>0.834423837353231</v>
      </c>
      <c r="F2736">
        <v>0.66209956150717397</v>
      </c>
      <c r="G2736">
        <v>0.58497173025951099</v>
      </c>
      <c r="H2736">
        <v>0.53302548557063301</v>
      </c>
      <c r="I2736">
        <v>0.73810279647138</v>
      </c>
      <c r="J2736">
        <v>0.81534833418098596</v>
      </c>
      <c r="K2736">
        <v>0.82975044433482703</v>
      </c>
      <c r="L2736">
        <v>12391.868890367999</v>
      </c>
      <c r="M2736">
        <v>250</v>
      </c>
      <c r="O2736">
        <v>49.564301168775103</v>
      </c>
      <c r="P2736">
        <v>-0.386009840782294</v>
      </c>
      <c r="Q2736">
        <v>0.69388305746364198</v>
      </c>
      <c r="R2736">
        <v>0.68241510668334404</v>
      </c>
      <c r="S2736" t="s">
        <v>9188</v>
      </c>
      <c r="T2736" t="s">
        <v>12902</v>
      </c>
      <c r="U2736" t="s">
        <v>12902</v>
      </c>
      <c r="V2736" t="s">
        <v>12902</v>
      </c>
      <c r="W2736" t="s">
        <v>15599</v>
      </c>
      <c r="X2736">
        <v>14</v>
      </c>
      <c r="Y2736" t="s">
        <v>21941</v>
      </c>
      <c r="Z2736" t="s">
        <v>28311</v>
      </c>
      <c r="AA2736">
        <v>0.79153523217746724</v>
      </c>
      <c r="AB2736" t="str">
        <f>HYPERLINK("Melting_Curves/meltCurve_P53007_SLC25A1.pdf", "Melting_Curves/meltCurve_P53007_SLC25A1.pdf")</f>
        <v>Melting_Curves/meltCurve_P53007_SLC25A1.pdf</v>
      </c>
    </row>
    <row r="2737" spans="1:28" x14ac:dyDescent="0.25">
      <c r="A2737" t="s">
        <v>2741</v>
      </c>
      <c r="B2737">
        <v>0.99673306730245903</v>
      </c>
      <c r="C2737">
        <v>0.953954838640928</v>
      </c>
      <c r="D2737">
        <v>0.880168716457564</v>
      </c>
      <c r="E2737">
        <v>0.76143084734918798</v>
      </c>
      <c r="F2737">
        <v>0.429010892694692</v>
      </c>
      <c r="G2737">
        <v>0.184190520926518</v>
      </c>
      <c r="H2737">
        <v>0.105866677601618</v>
      </c>
      <c r="I2737">
        <v>8.6000410508045397E-2</v>
      </c>
      <c r="J2737">
        <v>5.8463762970543502E-2</v>
      </c>
      <c r="K2737">
        <v>6.7252189040078098E-2</v>
      </c>
      <c r="L2737">
        <v>988.63929298947301</v>
      </c>
      <c r="M2737">
        <v>19.0071274772823</v>
      </c>
      <c r="N2737">
        <v>52.3032269899767</v>
      </c>
      <c r="O2737">
        <v>51.4486409532308</v>
      </c>
      <c r="P2737">
        <v>-8.7757854803854396E-2</v>
      </c>
      <c r="Q2737">
        <v>4.9863259861211401E-2</v>
      </c>
      <c r="R2737">
        <v>0.996638323739091</v>
      </c>
      <c r="S2737" t="s">
        <v>9189</v>
      </c>
      <c r="T2737" t="s">
        <v>12902</v>
      </c>
      <c r="U2737" t="s">
        <v>12902</v>
      </c>
      <c r="V2737" t="s">
        <v>12902</v>
      </c>
      <c r="W2737" t="s">
        <v>15600</v>
      </c>
      <c r="X2737">
        <v>2</v>
      </c>
      <c r="Y2737" t="s">
        <v>21942</v>
      </c>
      <c r="Z2737" t="s">
        <v>28312</v>
      </c>
      <c r="AA2737">
        <v>0.44475439929118882</v>
      </c>
      <c r="AB2737" t="str">
        <f>HYPERLINK("Melting_Curves/meltCurve_P53350_PLK1.pdf", "Melting_Curves/meltCurve_P53350_PLK1.pdf")</f>
        <v>Melting_Curves/meltCurve_P53350_PLK1.pdf</v>
      </c>
    </row>
    <row r="2738" spans="1:28" x14ac:dyDescent="0.25">
      <c r="A2738" t="s">
        <v>2742</v>
      </c>
      <c r="B2738">
        <v>0.99673306730245903</v>
      </c>
      <c r="C2738">
        <v>0.88444767606923702</v>
      </c>
      <c r="D2738">
        <v>0.71365840419386495</v>
      </c>
      <c r="E2738">
        <v>0.63059013883367598</v>
      </c>
      <c r="F2738">
        <v>0.190956945761177</v>
      </c>
      <c r="G2738">
        <v>0.115362091369739</v>
      </c>
      <c r="H2738">
        <v>6.8273578707659502E-2</v>
      </c>
      <c r="I2738">
        <v>5.9074952271870602E-2</v>
      </c>
      <c r="J2738">
        <v>5.9899971913377301E-2</v>
      </c>
      <c r="K2738">
        <v>5.4763758185775599E-2</v>
      </c>
      <c r="L2738">
        <v>786.26336030828702</v>
      </c>
      <c r="M2738">
        <v>15.8760618510283</v>
      </c>
      <c r="N2738">
        <v>49.697078584549601</v>
      </c>
      <c r="O2738">
        <v>48.759304958889402</v>
      </c>
      <c r="P2738">
        <v>-7.9230688972247595E-2</v>
      </c>
      <c r="Q2738">
        <v>2.6730698433845401E-2</v>
      </c>
      <c r="R2738">
        <v>0.97830699695543499</v>
      </c>
      <c r="S2738" t="s">
        <v>9190</v>
      </c>
      <c r="T2738" t="s">
        <v>12902</v>
      </c>
      <c r="U2738" t="s">
        <v>12902</v>
      </c>
      <c r="V2738" t="s">
        <v>12902</v>
      </c>
      <c r="W2738" t="s">
        <v>15601</v>
      </c>
      <c r="X2738">
        <v>18</v>
      </c>
      <c r="Y2738" t="s">
        <v>21943</v>
      </c>
      <c r="Z2738" t="s">
        <v>28313</v>
      </c>
      <c r="AA2738">
        <v>0.3569773646337302</v>
      </c>
      <c r="AB2738" t="str">
        <f>HYPERLINK("Melting_Curves/meltCurve_P53365_ARFIP2.pdf", "Melting_Curves/meltCurve_P53365_ARFIP2.pdf")</f>
        <v>Melting_Curves/meltCurve_P53365_ARFIP2.pdf</v>
      </c>
    </row>
    <row r="2739" spans="1:28" x14ac:dyDescent="0.25">
      <c r="A2739" t="s">
        <v>2743</v>
      </c>
      <c r="B2739">
        <v>0.99673306730245903</v>
      </c>
      <c r="C2739">
        <v>0.99648118679697595</v>
      </c>
      <c r="D2739">
        <v>0.81113561443542503</v>
      </c>
      <c r="E2739">
        <v>0.53017674039887497</v>
      </c>
      <c r="F2739">
        <v>0.247536090342381</v>
      </c>
      <c r="G2739">
        <v>0.112778525992416</v>
      </c>
      <c r="H2739">
        <v>6.2046348898218598E-2</v>
      </c>
      <c r="I2739">
        <v>4.8556677729014203E-2</v>
      </c>
      <c r="J2739">
        <v>6.4139766582153201E-2</v>
      </c>
      <c r="K2739">
        <v>3.0290902120566999E-2</v>
      </c>
      <c r="L2739">
        <v>974.81979368426596</v>
      </c>
      <c r="M2739">
        <v>19.6314391508696</v>
      </c>
      <c r="N2739">
        <v>49.867535147401099</v>
      </c>
      <c r="O2739">
        <v>49.1494028709579</v>
      </c>
      <c r="P2739">
        <v>-9.5870886404437194E-2</v>
      </c>
      <c r="Q2739">
        <v>3.9941429871700899E-2</v>
      </c>
      <c r="R2739">
        <v>0.99829466657314903</v>
      </c>
      <c r="S2739" t="s">
        <v>9191</v>
      </c>
      <c r="T2739" t="s">
        <v>12902</v>
      </c>
      <c r="U2739" t="s">
        <v>12902</v>
      </c>
      <c r="V2739" t="s">
        <v>12902</v>
      </c>
      <c r="W2739" t="s">
        <v>15602</v>
      </c>
      <c r="X2739">
        <v>12</v>
      </c>
      <c r="Y2739" t="s">
        <v>21944</v>
      </c>
      <c r="Z2739" t="s">
        <v>28314</v>
      </c>
      <c r="AA2739">
        <v>0.36284072332453238</v>
      </c>
      <c r="AB2739" t="str">
        <f>HYPERLINK("Melting_Curves/meltCurve_P53367_ARFIP1.pdf", "Melting_Curves/meltCurve_P53367_ARFIP1.pdf")</f>
        <v>Melting_Curves/meltCurve_P53367_ARFIP1.pdf</v>
      </c>
    </row>
    <row r="2740" spans="1:28" x14ac:dyDescent="0.25">
      <c r="A2740" t="s">
        <v>2744</v>
      </c>
      <c r="B2740">
        <v>0.99673306730245903</v>
      </c>
      <c r="C2740">
        <v>0.89587781665666699</v>
      </c>
      <c r="D2740">
        <v>0.70856697310797301</v>
      </c>
      <c r="E2740">
        <v>0.51693256466447701</v>
      </c>
      <c r="F2740">
        <v>0.213280371233984</v>
      </c>
      <c r="G2740">
        <v>0.14429934937292499</v>
      </c>
      <c r="H2740">
        <v>0.102335011290127</v>
      </c>
      <c r="I2740">
        <v>0.10018041719053999</v>
      </c>
      <c r="J2740">
        <v>9.9852120005710102E-2</v>
      </c>
      <c r="K2740">
        <v>8.3291861786399898E-2</v>
      </c>
      <c r="L2740">
        <v>801.77126328794702</v>
      </c>
      <c r="M2740">
        <v>16.4985194892094</v>
      </c>
      <c r="N2740">
        <v>49.083659169768602</v>
      </c>
      <c r="O2740">
        <v>47.899442243286003</v>
      </c>
      <c r="P2740">
        <v>-7.96131803202456E-2</v>
      </c>
      <c r="Q2740">
        <v>7.5514181543929706E-2</v>
      </c>
      <c r="R2740">
        <v>0.99429554564325995</v>
      </c>
      <c r="S2740" t="s">
        <v>9192</v>
      </c>
      <c r="T2740" t="s">
        <v>12902</v>
      </c>
      <c r="U2740" t="s">
        <v>12902</v>
      </c>
      <c r="V2740" t="s">
        <v>12902</v>
      </c>
      <c r="W2740" t="s">
        <v>15603</v>
      </c>
      <c r="X2740">
        <v>12</v>
      </c>
      <c r="Y2740" t="s">
        <v>21944</v>
      </c>
      <c r="Z2740" t="s">
        <v>28315</v>
      </c>
      <c r="AA2740">
        <v>0.35966582979405032</v>
      </c>
      <c r="AB2740" t="str">
        <f>HYPERLINK("Melting_Curves/meltCurve_P53367_2_ARFIP1.pdf", "Melting_Curves/meltCurve_P53367_2_ARFIP1.pdf")</f>
        <v>Melting_Curves/meltCurve_P53367_2_ARFIP1.pdf</v>
      </c>
    </row>
    <row r="2741" spans="1:28" x14ac:dyDescent="0.25">
      <c r="A2741" t="s">
        <v>2745</v>
      </c>
      <c r="B2741">
        <v>0.99673306730245903</v>
      </c>
      <c r="C2741">
        <v>0.95046745605105598</v>
      </c>
      <c r="D2741">
        <v>0.89060594903375701</v>
      </c>
      <c r="E2741">
        <v>0.84156185285585705</v>
      </c>
      <c r="F2741">
        <v>0.68269562627577696</v>
      </c>
      <c r="G2741">
        <v>0.40955212876150698</v>
      </c>
      <c r="H2741">
        <v>0.109169813844063</v>
      </c>
      <c r="I2741">
        <v>7.5677050719795705E-2</v>
      </c>
      <c r="J2741">
        <v>9.4127044273565594E-2</v>
      </c>
      <c r="K2741">
        <v>8.4183338357868898E-2</v>
      </c>
      <c r="L2741">
        <v>943.11536750384596</v>
      </c>
      <c r="M2741">
        <v>17.1692994669834</v>
      </c>
      <c r="N2741">
        <v>55.098708160782699</v>
      </c>
      <c r="O2741">
        <v>54.201402977122697</v>
      </c>
      <c r="P2741">
        <v>-7.71728027845211E-2</v>
      </c>
      <c r="Q2741">
        <v>2.55570880498216E-2</v>
      </c>
      <c r="R2741">
        <v>0.98705370073741305</v>
      </c>
      <c r="S2741" t="s">
        <v>9193</v>
      </c>
      <c r="T2741" t="s">
        <v>12902</v>
      </c>
      <c r="U2741" t="s">
        <v>12902</v>
      </c>
      <c r="V2741" t="s">
        <v>12902</v>
      </c>
      <c r="W2741" t="s">
        <v>15604</v>
      </c>
      <c r="X2741">
        <v>4</v>
      </c>
      <c r="Y2741" t="s">
        <v>21945</v>
      </c>
      <c r="Z2741" t="s">
        <v>28316</v>
      </c>
      <c r="AA2741">
        <v>0.52660821805654168</v>
      </c>
      <c r="AB2741" t="str">
        <f>HYPERLINK("Melting_Curves/meltCurve_P53370_NUDT6.pdf", "Melting_Curves/meltCurve_P53370_NUDT6.pdf")</f>
        <v>Melting_Curves/meltCurve_P53370_NUDT6.pdf</v>
      </c>
    </row>
    <row r="2742" spans="1:28" x14ac:dyDescent="0.25">
      <c r="A2742" t="s">
        <v>2746</v>
      </c>
      <c r="B2742">
        <v>0.99673306730245903</v>
      </c>
      <c r="C2742">
        <v>1.0102138348149099</v>
      </c>
      <c r="D2742">
        <v>0.99403886395971697</v>
      </c>
      <c r="E2742">
        <v>0.96972276114517197</v>
      </c>
      <c r="F2742">
        <v>0.61307558907950299</v>
      </c>
      <c r="G2742">
        <v>0.30205037576646399</v>
      </c>
      <c r="H2742">
        <v>0.115801256459026</v>
      </c>
      <c r="I2742">
        <v>0.116325618809757</v>
      </c>
      <c r="J2742">
        <v>0.11376681698615999</v>
      </c>
      <c r="K2742">
        <v>0.108795762631839</v>
      </c>
      <c r="L2742">
        <v>1562.1175233644401</v>
      </c>
      <c r="M2742">
        <v>28.976206991653498</v>
      </c>
      <c r="N2742">
        <v>54.359651718802702</v>
      </c>
      <c r="O2742">
        <v>53.655546145642703</v>
      </c>
      <c r="P2742">
        <v>-0.12063418170948299</v>
      </c>
      <c r="Q2742">
        <v>0.10648845529126499</v>
      </c>
      <c r="R2742">
        <v>0.99782783213902804</v>
      </c>
      <c r="S2742" t="s">
        <v>9194</v>
      </c>
      <c r="T2742" t="s">
        <v>12902</v>
      </c>
      <c r="U2742" t="s">
        <v>12902</v>
      </c>
      <c r="V2742" t="s">
        <v>12902</v>
      </c>
      <c r="W2742" t="s">
        <v>15605</v>
      </c>
      <c r="X2742">
        <v>8</v>
      </c>
      <c r="Y2742" t="s">
        <v>21946</v>
      </c>
      <c r="Z2742" t="s">
        <v>28317</v>
      </c>
      <c r="AA2742">
        <v>0.52705866550020686</v>
      </c>
      <c r="AB2742" t="str">
        <f>HYPERLINK("Melting_Curves/meltCurve_P53384_2_NUBP1.pdf", "Melting_Curves/meltCurve_P53384_2_NUBP1.pdf")</f>
        <v>Melting_Curves/meltCurve_P53384_2_NUBP1.pdf</v>
      </c>
    </row>
    <row r="2743" spans="1:28" x14ac:dyDescent="0.25">
      <c r="A2743" t="s">
        <v>2747</v>
      </c>
      <c r="B2743">
        <v>0.99673306730245903</v>
      </c>
      <c r="C2743">
        <v>0.92194798919148002</v>
      </c>
      <c r="D2743">
        <v>1.0644864406080301</v>
      </c>
      <c r="E2743">
        <v>1.00295790680015</v>
      </c>
      <c r="F2743">
        <v>0.40901591122438202</v>
      </c>
      <c r="G2743">
        <v>0.140953639214184</v>
      </c>
      <c r="H2743">
        <v>7.9553250868354394E-2</v>
      </c>
      <c r="I2743">
        <v>6.6229664743542097E-2</v>
      </c>
      <c r="J2743">
        <v>7.1737049156377103E-2</v>
      </c>
      <c r="K2743">
        <v>6.2763433939922494E-2</v>
      </c>
      <c r="L2743">
        <v>3201.5743750236502</v>
      </c>
      <c r="M2743">
        <v>60.747274403675398</v>
      </c>
      <c r="N2743">
        <v>52.857601181979803</v>
      </c>
      <c r="O2743">
        <v>52.646153512975097</v>
      </c>
      <c r="P2743">
        <v>-0.26501781827535498</v>
      </c>
      <c r="Q2743">
        <v>8.1297831545825594E-2</v>
      </c>
      <c r="R2743">
        <v>0.99260210395850501</v>
      </c>
      <c r="S2743" t="s">
        <v>9195</v>
      </c>
      <c r="T2743" t="s">
        <v>12902</v>
      </c>
      <c r="U2743" t="s">
        <v>12902</v>
      </c>
      <c r="V2743" t="s">
        <v>12902</v>
      </c>
      <c r="W2743" t="s">
        <v>15606</v>
      </c>
      <c r="X2743">
        <v>55</v>
      </c>
      <c r="Y2743" t="s">
        <v>21947</v>
      </c>
      <c r="Z2743" t="s">
        <v>28318</v>
      </c>
      <c r="AA2743">
        <v>0.4717566513378551</v>
      </c>
      <c r="AB2743" t="str">
        <f>HYPERLINK("Melting_Curves/meltCurve_P53396_ACLY.pdf", "Melting_Curves/meltCurve_P53396_ACLY.pdf")</f>
        <v>Melting_Curves/meltCurve_P53396_ACLY.pdf</v>
      </c>
    </row>
    <row r="2744" spans="1:28" x14ac:dyDescent="0.25">
      <c r="A2744" t="s">
        <v>2748</v>
      </c>
      <c r="B2744">
        <v>0.99673306730245903</v>
      </c>
      <c r="C2744">
        <v>1.07330322050516</v>
      </c>
      <c r="D2744">
        <v>1.5379362819525899</v>
      </c>
      <c r="E2744">
        <v>0.702123199233604</v>
      </c>
      <c r="F2744">
        <v>0.71482553741274102</v>
      </c>
      <c r="G2744">
        <v>0.41513681467304597</v>
      </c>
      <c r="H2744">
        <v>0.58547207600381601</v>
      </c>
      <c r="I2744">
        <v>0.72596888681240601</v>
      </c>
      <c r="J2744">
        <v>1.01722027660053</v>
      </c>
      <c r="K2744">
        <v>0.97092201567476399</v>
      </c>
      <c r="L2744">
        <v>12002.926900722699</v>
      </c>
      <c r="M2744">
        <v>250</v>
      </c>
      <c r="O2744">
        <v>48.008636101501203</v>
      </c>
      <c r="P2744">
        <v>-0.34748217860327002</v>
      </c>
      <c r="Q2744">
        <v>0.73308567804962299</v>
      </c>
      <c r="R2744">
        <v>0.379205211291609</v>
      </c>
      <c r="S2744" t="s">
        <v>9196</v>
      </c>
      <c r="T2744" t="s">
        <v>12902</v>
      </c>
      <c r="U2744" t="s">
        <v>12902</v>
      </c>
      <c r="V2744" t="s">
        <v>12902</v>
      </c>
      <c r="W2744" t="s">
        <v>15607</v>
      </c>
      <c r="X2744">
        <v>1</v>
      </c>
      <c r="Y2744" t="s">
        <v>21948</v>
      </c>
      <c r="Z2744" t="s">
        <v>28319</v>
      </c>
      <c r="AA2744">
        <v>0.80438948494658136</v>
      </c>
      <c r="AB2744" t="str">
        <f>HYPERLINK("Melting_Curves/meltCurve_P53567_CEBPG.pdf", "Melting_Curves/meltCurve_P53567_CEBPG.pdf")</f>
        <v>Melting_Curves/meltCurve_P53567_CEBPG.pdf</v>
      </c>
    </row>
    <row r="2745" spans="1:28" x14ac:dyDescent="0.25">
      <c r="A2745" t="s">
        <v>2749</v>
      </c>
      <c r="B2745">
        <v>0.99673306730245903</v>
      </c>
      <c r="C2745">
        <v>0.86897590161905702</v>
      </c>
      <c r="D2745">
        <v>0.48222902714712101</v>
      </c>
      <c r="E2745">
        <v>0.29404208722474501</v>
      </c>
      <c r="F2745">
        <v>0.18713004270765601</v>
      </c>
      <c r="G2745">
        <v>0.11397445612905199</v>
      </c>
      <c r="H2745">
        <v>6.8906523633458103E-2</v>
      </c>
      <c r="I2745">
        <v>6.04281704346342E-2</v>
      </c>
      <c r="J2745">
        <v>6.6873750223608502E-2</v>
      </c>
      <c r="K2745">
        <v>6.0824035730670599E-2</v>
      </c>
      <c r="L2745">
        <v>896.460859051086</v>
      </c>
      <c r="M2745">
        <v>19.439037975770301</v>
      </c>
      <c r="N2745">
        <v>46.5082002026247</v>
      </c>
      <c r="O2745">
        <v>45.636799389633097</v>
      </c>
      <c r="P2745">
        <v>-9.8450889672352507E-2</v>
      </c>
      <c r="Q2745">
        <v>7.5505716148147703E-2</v>
      </c>
      <c r="R2745">
        <v>0.98876947660053405</v>
      </c>
      <c r="S2745" t="s">
        <v>9197</v>
      </c>
      <c r="T2745" t="s">
        <v>12902</v>
      </c>
      <c r="U2745" t="s">
        <v>12902</v>
      </c>
      <c r="V2745" t="s">
        <v>12902</v>
      </c>
      <c r="W2745" t="s">
        <v>15608</v>
      </c>
      <c r="X2745">
        <v>13</v>
      </c>
      <c r="Y2745" t="s">
        <v>21949</v>
      </c>
      <c r="Z2745" t="s">
        <v>28320</v>
      </c>
      <c r="AA2745">
        <v>0.27912231618836908</v>
      </c>
      <c r="AB2745" t="str">
        <f>HYPERLINK("Melting_Curves/meltCurve_P53582_METAP1.pdf", "Melting_Curves/meltCurve_P53582_METAP1.pdf")</f>
        <v>Melting_Curves/meltCurve_P53582_METAP1.pdf</v>
      </c>
    </row>
    <row r="2746" spans="1:28" x14ac:dyDescent="0.25">
      <c r="A2746" t="s">
        <v>2750</v>
      </c>
      <c r="B2746">
        <v>0.99673306730245903</v>
      </c>
      <c r="C2746">
        <v>0.97543501785866604</v>
      </c>
      <c r="D2746">
        <v>0.89745078674126999</v>
      </c>
      <c r="E2746">
        <v>0.91089544026193103</v>
      </c>
      <c r="F2746">
        <v>0.159811519905523</v>
      </c>
      <c r="G2746">
        <v>9.3533599412503707E-2</v>
      </c>
      <c r="H2746">
        <v>4.9070738872354497E-2</v>
      </c>
      <c r="I2746">
        <v>5.2229751124197803E-2</v>
      </c>
      <c r="J2746">
        <v>6.0713412980716898E-2</v>
      </c>
      <c r="K2746">
        <v>5.4652059399426398E-2</v>
      </c>
      <c r="L2746">
        <v>3179.4612033779899</v>
      </c>
      <c r="M2746">
        <v>61.878407692497802</v>
      </c>
      <c r="N2746">
        <v>51.490857256720901</v>
      </c>
      <c r="O2746">
        <v>51.328825624135398</v>
      </c>
      <c r="P2746">
        <v>-0.28296851970843601</v>
      </c>
      <c r="Q2746">
        <v>6.1098392917810301E-2</v>
      </c>
      <c r="R2746">
        <v>0.99331438332756805</v>
      </c>
      <c r="S2746" t="s">
        <v>9198</v>
      </c>
      <c r="T2746" t="s">
        <v>12902</v>
      </c>
      <c r="U2746" t="s">
        <v>12902</v>
      </c>
      <c r="V2746" t="s">
        <v>12902</v>
      </c>
      <c r="W2746" t="s">
        <v>15609</v>
      </c>
      <c r="X2746">
        <v>11</v>
      </c>
      <c r="Y2746" t="s">
        <v>21950</v>
      </c>
      <c r="Z2746" t="s">
        <v>28321</v>
      </c>
      <c r="AA2746">
        <v>0.41871695913186452</v>
      </c>
      <c r="AB2746" t="str">
        <f>HYPERLINK("Melting_Curves/meltCurve_P53597_SUCLG1.pdf", "Melting_Curves/meltCurve_P53597_SUCLG1.pdf")</f>
        <v>Melting_Curves/meltCurve_P53597_SUCLG1.pdf</v>
      </c>
    </row>
    <row r="2747" spans="1:28" x14ac:dyDescent="0.25">
      <c r="A2747" t="s">
        <v>2751</v>
      </c>
      <c r="B2747">
        <v>0.99673306730245903</v>
      </c>
      <c r="C2747">
        <v>0.88301012976084603</v>
      </c>
      <c r="D2747">
        <v>0.88600041444879596</v>
      </c>
      <c r="E2747">
        <v>0.96791421854302095</v>
      </c>
      <c r="F2747">
        <v>0.59133092090525896</v>
      </c>
      <c r="G2747">
        <v>0.15834081489239099</v>
      </c>
      <c r="H2747">
        <v>9.3620773803870697E-2</v>
      </c>
      <c r="I2747">
        <v>7.6740714771899102E-2</v>
      </c>
      <c r="J2747">
        <v>6.7921548438986498E-2</v>
      </c>
      <c r="K2747">
        <v>6.5662588462935906E-2</v>
      </c>
      <c r="L2747">
        <v>2078.1928514157298</v>
      </c>
      <c r="M2747">
        <v>38.825417280530203</v>
      </c>
      <c r="N2747">
        <v>53.743369639596501</v>
      </c>
      <c r="O2747">
        <v>53.385196632544599</v>
      </c>
      <c r="P2747">
        <v>-0.16863983055318801</v>
      </c>
      <c r="Q2747">
        <v>7.2478794706757194E-2</v>
      </c>
      <c r="R2747">
        <v>0.98336838906297697</v>
      </c>
      <c r="S2747" t="s">
        <v>9199</v>
      </c>
      <c r="T2747" t="s">
        <v>12902</v>
      </c>
      <c r="U2747" t="s">
        <v>12902</v>
      </c>
      <c r="V2747" t="s">
        <v>12902</v>
      </c>
      <c r="W2747" t="s">
        <v>15610</v>
      </c>
      <c r="X2747">
        <v>16</v>
      </c>
      <c r="Y2747" t="s">
        <v>21951</v>
      </c>
      <c r="Z2747" t="s">
        <v>28322</v>
      </c>
      <c r="AA2747">
        <v>0.49432314212318867</v>
      </c>
      <c r="AB2747" t="str">
        <f>HYPERLINK("Melting_Curves/meltCurve_P53602_MVD.pdf", "Melting_Curves/meltCurve_P53602_MVD.pdf")</f>
        <v>Melting_Curves/meltCurve_P53602_MVD.pdf</v>
      </c>
    </row>
    <row r="2748" spans="1:28" x14ac:dyDescent="0.25">
      <c r="A2748" t="s">
        <v>2752</v>
      </c>
      <c r="B2748">
        <v>0.99673306730245903</v>
      </c>
      <c r="C2748">
        <v>1.00768171366841</v>
      </c>
      <c r="D2748">
        <v>0.999018082904093</v>
      </c>
      <c r="E2748">
        <v>0.96803350803580401</v>
      </c>
      <c r="F2748">
        <v>0.52726446606431598</v>
      </c>
      <c r="G2748">
        <v>0.19713950987481599</v>
      </c>
      <c r="H2748">
        <v>0.12087366302057601</v>
      </c>
      <c r="I2748">
        <v>0.107934294647407</v>
      </c>
      <c r="J2748">
        <v>0.11624845508633599</v>
      </c>
      <c r="K2748">
        <v>8.8873495363559596E-2</v>
      </c>
      <c r="L2748">
        <v>2057.2329843647999</v>
      </c>
      <c r="M2748">
        <v>38.745342057900899</v>
      </c>
      <c r="N2748">
        <v>53.439800002373602</v>
      </c>
      <c r="O2748">
        <v>52.955419326218703</v>
      </c>
      <c r="P2748">
        <v>-0.162751207094394</v>
      </c>
      <c r="Q2748">
        <v>0.11023758003276</v>
      </c>
      <c r="R2748">
        <v>0.99900807780638201</v>
      </c>
      <c r="S2748" t="s">
        <v>9200</v>
      </c>
      <c r="T2748" t="s">
        <v>12902</v>
      </c>
      <c r="U2748" t="s">
        <v>12902</v>
      </c>
      <c r="V2748" t="s">
        <v>12902</v>
      </c>
      <c r="W2748" t="s">
        <v>15611</v>
      </c>
      <c r="X2748">
        <v>8</v>
      </c>
      <c r="Y2748" t="s">
        <v>21952</v>
      </c>
      <c r="Z2748" t="s">
        <v>28323</v>
      </c>
      <c r="AA2748">
        <v>0.50213346252746205</v>
      </c>
      <c r="AB2748" t="str">
        <f>HYPERLINK("Melting_Curves/meltCurve_P53609_PGGT1B.pdf", "Melting_Curves/meltCurve_P53609_PGGT1B.pdf")</f>
        <v>Melting_Curves/meltCurve_P53609_PGGT1B.pdf</v>
      </c>
    </row>
    <row r="2749" spans="1:28" x14ac:dyDescent="0.25">
      <c r="A2749" t="s">
        <v>2753</v>
      </c>
      <c r="B2749">
        <v>0.99673306730245903</v>
      </c>
      <c r="C2749">
        <v>1.0082161872534501</v>
      </c>
      <c r="D2749">
        <v>0.98877431136820704</v>
      </c>
      <c r="E2749">
        <v>0.90637899141739398</v>
      </c>
      <c r="F2749">
        <v>0.51058023778726602</v>
      </c>
      <c r="G2749">
        <v>0.381646813823245</v>
      </c>
      <c r="H2749">
        <v>0.33008214772703798</v>
      </c>
      <c r="I2749">
        <v>0.26807944903402298</v>
      </c>
      <c r="J2749">
        <v>0.10741166663900099</v>
      </c>
      <c r="K2749">
        <v>7.4418684110123604E-2</v>
      </c>
      <c r="L2749">
        <v>875.826656548438</v>
      </c>
      <c r="M2749">
        <v>16.239409830116202</v>
      </c>
      <c r="N2749">
        <v>54.888969343355598</v>
      </c>
      <c r="O2749">
        <v>53.1342413667318</v>
      </c>
      <c r="P2749">
        <v>-6.6993733968508398E-2</v>
      </c>
      <c r="Q2749">
        <v>0.123269153275315</v>
      </c>
      <c r="R2749">
        <v>0.96983553247630705</v>
      </c>
      <c r="S2749" t="s">
        <v>9201</v>
      </c>
      <c r="T2749" t="s">
        <v>12902</v>
      </c>
      <c r="U2749" t="s">
        <v>12902</v>
      </c>
      <c r="V2749" t="s">
        <v>12902</v>
      </c>
      <c r="W2749" t="s">
        <v>15612</v>
      </c>
      <c r="X2749">
        <v>5</v>
      </c>
      <c r="Y2749" t="s">
        <v>21953</v>
      </c>
      <c r="Z2749" t="s">
        <v>28324</v>
      </c>
      <c r="AA2749">
        <v>0.546704708172422</v>
      </c>
      <c r="AB2749" t="str">
        <f>HYPERLINK("Melting_Curves/meltCurve_P53611_RABGGTB.pdf", "Melting_Curves/meltCurve_P53611_RABGGTB.pdf")</f>
        <v>Melting_Curves/meltCurve_P53611_RABGGTB.pdf</v>
      </c>
    </row>
    <row r="2750" spans="1:28" x14ac:dyDescent="0.25">
      <c r="A2750" t="s">
        <v>2754</v>
      </c>
      <c r="B2750">
        <v>0.99673306730245903</v>
      </c>
      <c r="C2750">
        <v>0.90162941587581702</v>
      </c>
      <c r="D2750">
        <v>1.00082508188607</v>
      </c>
      <c r="E2750">
        <v>1.26031434472582</v>
      </c>
      <c r="F2750">
        <v>0.54545883562774999</v>
      </c>
      <c r="G2750">
        <v>0.180066727753807</v>
      </c>
      <c r="H2750">
        <v>9.0585207489619596E-2</v>
      </c>
      <c r="I2750">
        <v>6.7281645593585598E-2</v>
      </c>
      <c r="J2750">
        <v>6.24380265608609E-2</v>
      </c>
      <c r="K2750">
        <v>4.9991183147232901E-2</v>
      </c>
      <c r="L2750">
        <v>6908.5205772146901</v>
      </c>
      <c r="M2750">
        <v>129.85661419370501</v>
      </c>
      <c r="N2750">
        <v>53.282578637408697</v>
      </c>
      <c r="O2750">
        <v>53.188553343536199</v>
      </c>
      <c r="P2750">
        <v>-0.55542436713524201</v>
      </c>
      <c r="Q2750">
        <v>9.00053744662382E-2</v>
      </c>
      <c r="R2750">
        <v>0.95764201560254802</v>
      </c>
      <c r="S2750" t="s">
        <v>9202</v>
      </c>
      <c r="T2750" t="s">
        <v>12902</v>
      </c>
      <c r="U2750" t="s">
        <v>12902</v>
      </c>
      <c r="V2750" t="s">
        <v>12902</v>
      </c>
      <c r="W2750" t="s">
        <v>15279</v>
      </c>
      <c r="X2750">
        <v>37</v>
      </c>
      <c r="Y2750" t="s">
        <v>21954</v>
      </c>
      <c r="Z2750" t="s">
        <v>28325</v>
      </c>
      <c r="AA2750">
        <v>0.49075284269523067</v>
      </c>
      <c r="AB2750" t="str">
        <f>HYPERLINK("Melting_Curves/meltCurve_P53618_COPB1.pdf", "Melting_Curves/meltCurve_P53618_COPB1.pdf")</f>
        <v>Melting_Curves/meltCurve_P53618_COPB1.pdf</v>
      </c>
    </row>
    <row r="2751" spans="1:28" x14ac:dyDescent="0.25">
      <c r="A2751" t="s">
        <v>2755</v>
      </c>
      <c r="B2751">
        <v>0.99673306730245903</v>
      </c>
      <c r="C2751">
        <v>0.82874571126948804</v>
      </c>
      <c r="D2751">
        <v>1.09255486229567</v>
      </c>
      <c r="E2751">
        <v>1.2100975970874299</v>
      </c>
      <c r="F2751">
        <v>0.49796250942813203</v>
      </c>
      <c r="G2751">
        <v>0.15562130826860701</v>
      </c>
      <c r="H2751">
        <v>8.4244934242052302E-2</v>
      </c>
      <c r="I2751">
        <v>6.8223110692665401E-2</v>
      </c>
      <c r="J2751">
        <v>6.6117803145128204E-2</v>
      </c>
      <c r="K2751">
        <v>6.1523235933070103E-2</v>
      </c>
      <c r="L2751">
        <v>9583.7449134045892</v>
      </c>
      <c r="M2751">
        <v>180.34608330639699</v>
      </c>
      <c r="N2751">
        <v>53.197344397242098</v>
      </c>
      <c r="O2751">
        <v>53.134320360711897</v>
      </c>
      <c r="P2751">
        <v>-0.77459363086180899</v>
      </c>
      <c r="Q2751">
        <v>8.7143897066444501E-2</v>
      </c>
      <c r="R2751">
        <v>0.95735410376570995</v>
      </c>
      <c r="S2751" t="s">
        <v>9203</v>
      </c>
      <c r="T2751" t="s">
        <v>12902</v>
      </c>
      <c r="U2751" t="s">
        <v>12902</v>
      </c>
      <c r="V2751" t="s">
        <v>12902</v>
      </c>
      <c r="W2751" t="s">
        <v>15613</v>
      </c>
      <c r="X2751">
        <v>62</v>
      </c>
      <c r="Y2751" t="s">
        <v>21955</v>
      </c>
      <c r="Z2751" t="s">
        <v>28326</v>
      </c>
      <c r="AA2751">
        <v>0.48716448997529888</v>
      </c>
      <c r="AB2751" t="str">
        <f>HYPERLINK("Melting_Curves/meltCurve_P53621_COPA.pdf", "Melting_Curves/meltCurve_P53621_COPA.pdf")</f>
        <v>Melting_Curves/meltCurve_P53621_COPA.pdf</v>
      </c>
    </row>
    <row r="2752" spans="1:28" x14ac:dyDescent="0.25">
      <c r="A2752" t="s">
        <v>2756</v>
      </c>
      <c r="B2752">
        <v>0.99673306730245903</v>
      </c>
      <c r="C2752">
        <v>0.99167855138241301</v>
      </c>
      <c r="D2752">
        <v>1.0385246549766001</v>
      </c>
      <c r="E2752">
        <v>1.1715365675419001</v>
      </c>
      <c r="F2752">
        <v>1.0779626993196101</v>
      </c>
      <c r="G2752">
        <v>0.961239546134392</v>
      </c>
      <c r="H2752">
        <v>0.65274812853674502</v>
      </c>
      <c r="I2752">
        <v>0.39182789140403901</v>
      </c>
      <c r="J2752">
        <v>0.28161661306666402</v>
      </c>
      <c r="K2752">
        <v>0.18919927434055001</v>
      </c>
      <c r="L2752">
        <v>1940.30200607248</v>
      </c>
      <c r="M2752">
        <v>31.548918000240199</v>
      </c>
      <c r="N2752">
        <v>62.517114803833103</v>
      </c>
      <c r="O2752">
        <v>61.255855763841403</v>
      </c>
      <c r="P2752">
        <v>-0.102939543948513</v>
      </c>
      <c r="Q2752">
        <v>0.200528255470732</v>
      </c>
      <c r="R2752">
        <v>0.96622750541326696</v>
      </c>
      <c r="S2752" t="s">
        <v>9204</v>
      </c>
      <c r="T2752" t="s">
        <v>12902</v>
      </c>
      <c r="U2752" t="s">
        <v>12902</v>
      </c>
      <c r="V2752" t="s">
        <v>12902</v>
      </c>
      <c r="W2752" t="s">
        <v>15614</v>
      </c>
      <c r="X2752">
        <v>14</v>
      </c>
      <c r="Y2752" t="s">
        <v>21956</v>
      </c>
      <c r="Z2752" t="s">
        <v>28327</v>
      </c>
      <c r="AA2752">
        <v>0.7774515498075617</v>
      </c>
      <c r="AB2752" t="str">
        <f>HYPERLINK("Melting_Curves/meltCurve_P53634_CTSC.pdf", "Melting_Curves/meltCurve_P53634_CTSC.pdf")</f>
        <v>Melting_Curves/meltCurve_P53634_CTSC.pdf</v>
      </c>
    </row>
    <row r="2753" spans="1:28" x14ac:dyDescent="0.25">
      <c r="A2753" t="s">
        <v>2757</v>
      </c>
      <c r="B2753">
        <v>0.99673306730245903</v>
      </c>
      <c r="C2753">
        <v>0.907690295706988</v>
      </c>
      <c r="D2753">
        <v>0.87350509699174395</v>
      </c>
      <c r="E2753">
        <v>0.72123179014703698</v>
      </c>
      <c r="F2753">
        <v>0.209960855427749</v>
      </c>
      <c r="G2753">
        <v>0.131979295079487</v>
      </c>
      <c r="H2753">
        <v>8.5708796485391606E-2</v>
      </c>
      <c r="I2753">
        <v>8.5694875582896499E-2</v>
      </c>
      <c r="J2753">
        <v>8.7599361359146893E-2</v>
      </c>
      <c r="K2753">
        <v>7.8274358701024296E-2</v>
      </c>
      <c r="L2753">
        <v>1537.6264929679701</v>
      </c>
      <c r="M2753">
        <v>30.380835968089801</v>
      </c>
      <c r="N2753">
        <v>50.907905352871197</v>
      </c>
      <c r="O2753">
        <v>50.393953397972702</v>
      </c>
      <c r="P2753">
        <v>-0.138508349094632</v>
      </c>
      <c r="Q2753">
        <v>8.1007413592685998E-2</v>
      </c>
      <c r="R2753">
        <v>0.98686001603170204</v>
      </c>
      <c r="S2753" t="s">
        <v>9205</v>
      </c>
      <c r="T2753" t="s">
        <v>12902</v>
      </c>
      <c r="U2753" t="s">
        <v>12902</v>
      </c>
      <c r="V2753" t="s">
        <v>12902</v>
      </c>
      <c r="W2753" t="s">
        <v>15615</v>
      </c>
      <c r="X2753">
        <v>8</v>
      </c>
      <c r="Y2753" t="s">
        <v>21957</v>
      </c>
      <c r="Z2753" t="s">
        <v>28328</v>
      </c>
      <c r="AA2753">
        <v>0.41167477581639939</v>
      </c>
      <c r="AB2753" t="str">
        <f>HYPERLINK("Melting_Curves/meltCurve_P53677_AP3M2.pdf", "Melting_Curves/meltCurve_P53677_AP3M2.pdf")</f>
        <v>Melting_Curves/meltCurve_P53677_AP3M2.pdf</v>
      </c>
    </row>
    <row r="2754" spans="1:28" x14ac:dyDescent="0.25">
      <c r="A2754" t="s">
        <v>2758</v>
      </c>
      <c r="B2754">
        <v>0.99673306730245903</v>
      </c>
      <c r="C2754">
        <v>0.921150459201589</v>
      </c>
      <c r="D2754">
        <v>0.90215920360128099</v>
      </c>
      <c r="E2754">
        <v>0.80843167511838698</v>
      </c>
      <c r="F2754">
        <v>0.56049805485581194</v>
      </c>
      <c r="G2754">
        <v>0.33895594471213097</v>
      </c>
      <c r="H2754">
        <v>0.20063934977334599</v>
      </c>
      <c r="I2754">
        <v>0.15452074261097801</v>
      </c>
      <c r="J2754">
        <v>0.14351607521370799</v>
      </c>
      <c r="K2754">
        <v>0.131070192666634</v>
      </c>
      <c r="L2754">
        <v>822.54490497213703</v>
      </c>
      <c r="M2754">
        <v>15.440475557510601</v>
      </c>
      <c r="N2754">
        <v>54.039645386155101</v>
      </c>
      <c r="O2754">
        <v>52.4024246026556</v>
      </c>
      <c r="P2754">
        <v>-6.6415049886738298E-2</v>
      </c>
      <c r="Q2754">
        <v>9.8474646655232506E-2</v>
      </c>
      <c r="R2754">
        <v>0.99553934938328503</v>
      </c>
      <c r="S2754" t="s">
        <v>9206</v>
      </c>
      <c r="T2754" t="s">
        <v>12902</v>
      </c>
      <c r="U2754" t="s">
        <v>12902</v>
      </c>
      <c r="V2754" t="s">
        <v>12902</v>
      </c>
      <c r="W2754" t="s">
        <v>15616</v>
      </c>
      <c r="X2754">
        <v>14</v>
      </c>
      <c r="Y2754" t="s">
        <v>21958</v>
      </c>
      <c r="Z2754" t="s">
        <v>28329</v>
      </c>
      <c r="AA2754">
        <v>0.51573516107922523</v>
      </c>
      <c r="AB2754" t="str">
        <f>HYPERLINK("Melting_Curves/meltCurve_P53701_HCCS.pdf", "Melting_Curves/meltCurve_P53701_HCCS.pdf")</f>
        <v>Melting_Curves/meltCurve_P53701_HCCS.pdf</v>
      </c>
    </row>
    <row r="2755" spans="1:28" x14ac:dyDescent="0.25">
      <c r="A2755" t="s">
        <v>2759</v>
      </c>
      <c r="B2755">
        <v>0.99673306730245903</v>
      </c>
      <c r="C2755">
        <v>0.96650801011977105</v>
      </c>
      <c r="D2755">
        <v>0.88635929995416396</v>
      </c>
      <c r="E2755">
        <v>0.79296091204246399</v>
      </c>
      <c r="F2755">
        <v>0.42788025694718901</v>
      </c>
      <c r="G2755">
        <v>0.111954619434811</v>
      </c>
      <c r="H2755">
        <v>5.0076023749234602E-2</v>
      </c>
      <c r="I2755">
        <v>3.4941895430349097E-2</v>
      </c>
      <c r="J2755">
        <v>4.2647870199313299E-2</v>
      </c>
      <c r="K2755">
        <v>3.4868307031343297E-2</v>
      </c>
      <c r="L2755">
        <v>1208.4320365613301</v>
      </c>
      <c r="M2755">
        <v>23.143442692697</v>
      </c>
      <c r="N2755">
        <v>52.310941305550102</v>
      </c>
      <c r="O2755">
        <v>51.8297239430633</v>
      </c>
      <c r="P2755">
        <v>-0.10931188402679599</v>
      </c>
      <c r="Q2755">
        <v>2.0802356105634801E-2</v>
      </c>
      <c r="R2755">
        <v>0.99474351491592194</v>
      </c>
      <c r="S2755" t="s">
        <v>9207</v>
      </c>
      <c r="T2755" t="s">
        <v>12902</v>
      </c>
      <c r="U2755" t="s">
        <v>12902</v>
      </c>
      <c r="V2755" t="s">
        <v>12902</v>
      </c>
      <c r="W2755" t="s">
        <v>15617</v>
      </c>
      <c r="X2755">
        <v>4</v>
      </c>
      <c r="Y2755" t="s">
        <v>21959</v>
      </c>
      <c r="Z2755" t="s">
        <v>28330</v>
      </c>
      <c r="AA2755">
        <v>0.42986338025310727</v>
      </c>
      <c r="AB2755" t="str">
        <f>HYPERLINK("Melting_Curves/meltCurve_P53778_MAPK12.pdf", "Melting_Curves/meltCurve_P53778_MAPK12.pdf")</f>
        <v>Melting_Curves/meltCurve_P53778_MAPK12.pdf</v>
      </c>
    </row>
    <row r="2756" spans="1:28" x14ac:dyDescent="0.25">
      <c r="A2756" t="s">
        <v>2760</v>
      </c>
      <c r="B2756">
        <v>0.99673306730245903</v>
      </c>
      <c r="C2756">
        <v>0.90484134886251499</v>
      </c>
      <c r="D2756">
        <v>0.90848632872764601</v>
      </c>
      <c r="E2756">
        <v>0.69948492101916504</v>
      </c>
      <c r="F2756">
        <v>0.58281410972374104</v>
      </c>
      <c r="G2756">
        <v>0.50456573257784298</v>
      </c>
      <c r="H2756">
        <v>0.31323727212890501</v>
      </c>
      <c r="I2756">
        <v>0.29670409156990701</v>
      </c>
      <c r="J2756">
        <v>0.29166280492286101</v>
      </c>
      <c r="K2756">
        <v>0.26488795165298901</v>
      </c>
      <c r="L2756">
        <v>579.03074465070597</v>
      </c>
      <c r="M2756">
        <v>10.990616743719</v>
      </c>
      <c r="N2756">
        <v>55.418379702683701</v>
      </c>
      <c r="O2756">
        <v>51.030053376667603</v>
      </c>
      <c r="P2756">
        <v>-4.2589596196530903E-2</v>
      </c>
      <c r="Q2756">
        <v>0.209284064821571</v>
      </c>
      <c r="R2756">
        <v>0.98725639878235305</v>
      </c>
      <c r="S2756" t="s">
        <v>9208</v>
      </c>
      <c r="T2756" t="s">
        <v>12902</v>
      </c>
      <c r="U2756" t="s">
        <v>12902</v>
      </c>
      <c r="V2756" t="s">
        <v>12902</v>
      </c>
      <c r="W2756" t="s">
        <v>15618</v>
      </c>
      <c r="X2756">
        <v>3</v>
      </c>
      <c r="Y2756" t="s">
        <v>21960</v>
      </c>
      <c r="Z2756" t="s">
        <v>28331</v>
      </c>
      <c r="AA2756">
        <v>0.56904676741303584</v>
      </c>
      <c r="AB2756" t="str">
        <f>HYPERLINK("Melting_Curves/meltCurve_P53794_SLC5A3.pdf", "Melting_Curves/meltCurve_P53794_SLC5A3.pdf")</f>
        <v>Melting_Curves/meltCurve_P53794_SLC5A3.pdf</v>
      </c>
    </row>
    <row r="2757" spans="1:28" x14ac:dyDescent="0.25">
      <c r="A2757" t="s">
        <v>2761</v>
      </c>
      <c r="B2757">
        <v>0.99673306730245903</v>
      </c>
      <c r="C2757">
        <v>0.93763892805953397</v>
      </c>
      <c r="D2757">
        <v>0.95472787086048805</v>
      </c>
      <c r="E2757">
        <v>1.0473077936259201</v>
      </c>
      <c r="F2757">
        <v>0.96903707373438897</v>
      </c>
      <c r="G2757">
        <v>0.81182360368675099</v>
      </c>
      <c r="H2757">
        <v>0.51619081130643896</v>
      </c>
      <c r="I2757">
        <v>0.62200285099768005</v>
      </c>
      <c r="J2757">
        <v>0.55982512446820798</v>
      </c>
      <c r="K2757">
        <v>0.45449912673618797</v>
      </c>
      <c r="L2757">
        <v>14221.279056310301</v>
      </c>
      <c r="M2757">
        <v>250</v>
      </c>
      <c r="O2757">
        <v>56.881476544464803</v>
      </c>
      <c r="P2757">
        <v>-0.50749225096600503</v>
      </c>
      <c r="Q2757">
        <v>0.53812946820896301</v>
      </c>
      <c r="R2757">
        <v>0.94744259768350803</v>
      </c>
      <c r="S2757" t="s">
        <v>9209</v>
      </c>
      <c r="T2757" t="s">
        <v>12902</v>
      </c>
      <c r="U2757" t="s">
        <v>12902</v>
      </c>
      <c r="V2757" t="s">
        <v>12902</v>
      </c>
      <c r="W2757" t="s">
        <v>15619</v>
      </c>
      <c r="X2757">
        <v>3</v>
      </c>
      <c r="Y2757" t="s">
        <v>21961</v>
      </c>
      <c r="Z2757" t="s">
        <v>28332</v>
      </c>
      <c r="AA2757">
        <v>0.7981334982394146</v>
      </c>
      <c r="AB2757" t="str">
        <f>HYPERLINK("Melting_Curves/meltCurve_P53803_POLR2K.pdf", "Melting_Curves/meltCurve_P53803_POLR2K.pdf")</f>
        <v>Melting_Curves/meltCurve_P53803_POLR2K.pdf</v>
      </c>
    </row>
    <row r="2758" spans="1:28" x14ac:dyDescent="0.25">
      <c r="A2758" t="s">
        <v>2762</v>
      </c>
      <c r="B2758">
        <v>0.99673306730245903</v>
      </c>
      <c r="C2758">
        <v>0.90699329647356497</v>
      </c>
      <c r="D2758">
        <v>0.77297648150483</v>
      </c>
      <c r="E2758">
        <v>0.51117882578284601</v>
      </c>
      <c r="F2758">
        <v>0.239835492037165</v>
      </c>
      <c r="G2758">
        <v>0.142564080517848</v>
      </c>
      <c r="H2758">
        <v>9.1488257434181999E-2</v>
      </c>
      <c r="I2758">
        <v>0.104247798528133</v>
      </c>
      <c r="J2758">
        <v>0.12277077591294</v>
      </c>
      <c r="K2758">
        <v>0.11975491589408301</v>
      </c>
      <c r="L2758">
        <v>905.54034486315095</v>
      </c>
      <c r="M2758">
        <v>18.546364112271998</v>
      </c>
      <c r="N2758">
        <v>49.3878999640514</v>
      </c>
      <c r="O2758">
        <v>48.268731397632102</v>
      </c>
      <c r="P2758">
        <v>-8.6921561893934296E-2</v>
      </c>
      <c r="Q2758">
        <v>9.5152128034090094E-2</v>
      </c>
      <c r="R2758">
        <v>0.99668491495341005</v>
      </c>
      <c r="S2758" t="s">
        <v>9210</v>
      </c>
      <c r="T2758" t="s">
        <v>12902</v>
      </c>
      <c r="U2758" t="s">
        <v>12902</v>
      </c>
      <c r="V2758" t="s">
        <v>12902</v>
      </c>
      <c r="W2758" t="s">
        <v>15620</v>
      </c>
      <c r="X2758">
        <v>16</v>
      </c>
      <c r="Y2758" t="s">
        <v>21962</v>
      </c>
      <c r="Z2758" t="s">
        <v>28333</v>
      </c>
      <c r="AA2758">
        <v>0.37615708254640617</v>
      </c>
      <c r="AB2758" t="str">
        <f>HYPERLINK("Melting_Curves/meltCurve_P53814_5_SMTN.pdf", "Melting_Curves/meltCurve_P53814_5_SMTN.pdf")</f>
        <v>Melting_Curves/meltCurve_P53814_5_SMTN.pdf</v>
      </c>
    </row>
    <row r="2759" spans="1:28" x14ac:dyDescent="0.25">
      <c r="A2759" t="s">
        <v>2763</v>
      </c>
      <c r="B2759">
        <v>0.99673306730245903</v>
      </c>
      <c r="C2759">
        <v>0.90030420484602802</v>
      </c>
      <c r="D2759">
        <v>0.91614362851105502</v>
      </c>
      <c r="E2759">
        <v>0.80934854399684197</v>
      </c>
      <c r="F2759">
        <v>0.68746143102362001</v>
      </c>
      <c r="G2759">
        <v>0.60833732784491001</v>
      </c>
      <c r="H2759">
        <v>0.652201380505956</v>
      </c>
      <c r="I2759">
        <v>0.81949349699227203</v>
      </c>
      <c r="J2759">
        <v>0.93658382734085399</v>
      </c>
      <c r="K2759">
        <v>0.84588746284948801</v>
      </c>
      <c r="L2759">
        <v>1067.2235513705</v>
      </c>
      <c r="M2759">
        <v>23.350634621541101</v>
      </c>
      <c r="O2759">
        <v>45.373011599476897</v>
      </c>
      <c r="P2759">
        <v>-3.0683268196879498E-2</v>
      </c>
      <c r="Q2759">
        <v>0.76151947475988502</v>
      </c>
      <c r="R2759">
        <v>0.40910915210241899</v>
      </c>
      <c r="S2759" t="s">
        <v>9211</v>
      </c>
      <c r="T2759" t="s">
        <v>12902</v>
      </c>
      <c r="U2759" t="s">
        <v>12902</v>
      </c>
      <c r="V2759" t="s">
        <v>12902</v>
      </c>
      <c r="W2759" t="s">
        <v>15621</v>
      </c>
      <c r="X2759">
        <v>6</v>
      </c>
      <c r="Y2759" t="s">
        <v>21963</v>
      </c>
      <c r="Z2759" t="s">
        <v>28334</v>
      </c>
      <c r="AA2759">
        <v>0.8094936386467082</v>
      </c>
      <c r="AB2759" t="str">
        <f>HYPERLINK("Melting_Curves/meltCurve_P53985_SLC16A1.pdf", "Melting_Curves/meltCurve_P53985_SLC16A1.pdf")</f>
        <v>Melting_Curves/meltCurve_P53985_SLC16A1.pdf</v>
      </c>
    </row>
    <row r="2760" spans="1:28" x14ac:dyDescent="0.25">
      <c r="A2760" t="s">
        <v>2764</v>
      </c>
      <c r="B2760">
        <v>0.99673306730245903</v>
      </c>
      <c r="C2760">
        <v>1.00331522859496</v>
      </c>
      <c r="D2760">
        <v>0.91626039916382895</v>
      </c>
      <c r="E2760">
        <v>0.63501277542343204</v>
      </c>
      <c r="F2760">
        <v>0.26175651942441103</v>
      </c>
      <c r="G2760">
        <v>0.191362869201291</v>
      </c>
      <c r="H2760">
        <v>0.13645545622225999</v>
      </c>
      <c r="I2760">
        <v>0.16745291332843801</v>
      </c>
      <c r="J2760">
        <v>0.19992975557652601</v>
      </c>
      <c r="K2760">
        <v>0.163061495996698</v>
      </c>
      <c r="L2760">
        <v>1510.8723061281901</v>
      </c>
      <c r="M2760">
        <v>30.2706506580707</v>
      </c>
      <c r="N2760">
        <v>50.580196677858403</v>
      </c>
      <c r="O2760">
        <v>49.695801457839501</v>
      </c>
      <c r="P2760">
        <v>-0.12718774243796599</v>
      </c>
      <c r="Q2760">
        <v>0.16478070079865201</v>
      </c>
      <c r="R2760">
        <v>0.99738045026727296</v>
      </c>
      <c r="S2760" t="s">
        <v>9212</v>
      </c>
      <c r="T2760" t="s">
        <v>12902</v>
      </c>
      <c r="U2760" t="s">
        <v>12902</v>
      </c>
      <c r="V2760" t="s">
        <v>12902</v>
      </c>
      <c r="W2760" t="s">
        <v>15622</v>
      </c>
      <c r="X2760">
        <v>9</v>
      </c>
      <c r="Y2760" t="s">
        <v>21964</v>
      </c>
      <c r="Z2760" t="s">
        <v>28335</v>
      </c>
      <c r="AA2760">
        <v>0.44580609494687029</v>
      </c>
      <c r="AB2760" t="str">
        <f>HYPERLINK("Melting_Curves/meltCurve_P53990_2_IST1.pdf", "Melting_Curves/meltCurve_P53990_2_IST1.pdf")</f>
        <v>Melting_Curves/meltCurve_P53990_2_IST1.pdf</v>
      </c>
    </row>
    <row r="2761" spans="1:28" x14ac:dyDescent="0.25">
      <c r="A2761" t="s">
        <v>2765</v>
      </c>
      <c r="B2761">
        <v>0.99673306730245903</v>
      </c>
      <c r="C2761">
        <v>0.90452029561584901</v>
      </c>
      <c r="D2761">
        <v>0.90519271355064601</v>
      </c>
      <c r="E2761">
        <v>0.63417976605178605</v>
      </c>
      <c r="F2761">
        <v>0.161478520912156</v>
      </c>
      <c r="G2761">
        <v>0.110345068472236</v>
      </c>
      <c r="H2761">
        <v>7.0355380857760996E-2</v>
      </c>
      <c r="I2761">
        <v>6.8815951225091598E-2</v>
      </c>
      <c r="J2761">
        <v>5.5644805522049201E-2</v>
      </c>
      <c r="K2761">
        <v>5.0669686433567201E-2</v>
      </c>
      <c r="L2761">
        <v>1504.6471957033</v>
      </c>
      <c r="M2761">
        <v>30.011261532439999</v>
      </c>
      <c r="N2761">
        <v>50.348076059398501</v>
      </c>
      <c r="O2761">
        <v>49.915053251403698</v>
      </c>
      <c r="P2761">
        <v>-0.14139126125329601</v>
      </c>
      <c r="Q2761">
        <v>5.9352110605401097E-2</v>
      </c>
      <c r="R2761">
        <v>0.99179504433084997</v>
      </c>
      <c r="S2761" t="s">
        <v>9213</v>
      </c>
      <c r="T2761" t="s">
        <v>12902</v>
      </c>
      <c r="U2761" t="s">
        <v>12902</v>
      </c>
      <c r="V2761" t="s">
        <v>12902</v>
      </c>
      <c r="W2761" t="s">
        <v>15623</v>
      </c>
      <c r="X2761">
        <v>24</v>
      </c>
      <c r="Y2761" t="s">
        <v>21965</v>
      </c>
      <c r="Z2761" t="s">
        <v>28336</v>
      </c>
      <c r="AA2761">
        <v>0.38299488924421349</v>
      </c>
      <c r="AB2761" t="str">
        <f>HYPERLINK("Melting_Curves/meltCurve_P53992_SEC24C.pdf", "Melting_Curves/meltCurve_P53992_SEC24C.pdf")</f>
        <v>Melting_Curves/meltCurve_P53992_SEC24C.pdf</v>
      </c>
    </row>
    <row r="2762" spans="1:28" x14ac:dyDescent="0.25">
      <c r="A2762" t="s">
        <v>2766</v>
      </c>
      <c r="B2762">
        <v>0.99673306730245903</v>
      </c>
      <c r="C2762">
        <v>1.0121675735897699</v>
      </c>
      <c r="D2762">
        <v>1.0104232855703099</v>
      </c>
      <c r="E2762">
        <v>0.90658160292254997</v>
      </c>
      <c r="F2762">
        <v>0.73305897334526804</v>
      </c>
      <c r="G2762">
        <v>0.53369068421022403</v>
      </c>
      <c r="H2762">
        <v>0.25280322455056198</v>
      </c>
      <c r="I2762">
        <v>0.246993342420392</v>
      </c>
      <c r="J2762">
        <v>0.30366178969500102</v>
      </c>
      <c r="K2762">
        <v>0.27188952466521898</v>
      </c>
      <c r="L2762">
        <v>1215.3282465821301</v>
      </c>
      <c r="M2762">
        <v>22.179032566282999</v>
      </c>
      <c r="N2762">
        <v>56.530489351174602</v>
      </c>
      <c r="O2762">
        <v>54.3566356012794</v>
      </c>
      <c r="P2762">
        <v>-7.6834090793229906E-2</v>
      </c>
      <c r="Q2762">
        <v>0.24679268725702599</v>
      </c>
      <c r="R2762">
        <v>0.98844705373300601</v>
      </c>
      <c r="S2762" t="s">
        <v>9214</v>
      </c>
      <c r="T2762" t="s">
        <v>12902</v>
      </c>
      <c r="U2762" t="s">
        <v>12902</v>
      </c>
      <c r="V2762" t="s">
        <v>12902</v>
      </c>
      <c r="W2762" t="s">
        <v>15624</v>
      </c>
      <c r="X2762">
        <v>14</v>
      </c>
      <c r="Y2762" t="s">
        <v>21966</v>
      </c>
      <c r="Z2762" t="s">
        <v>28337</v>
      </c>
      <c r="AA2762">
        <v>0.62683658301948386</v>
      </c>
      <c r="AB2762" t="str">
        <f>HYPERLINK("Melting_Curves/meltCurve_P53999_SUB1.pdf", "Melting_Curves/meltCurve_P53999_SUB1.pdf")</f>
        <v>Melting_Curves/meltCurve_P53999_SUB1.pdf</v>
      </c>
    </row>
    <row r="2763" spans="1:28" x14ac:dyDescent="0.25">
      <c r="A2763" t="s">
        <v>2767</v>
      </c>
      <c r="B2763">
        <v>0.99673306730245903</v>
      </c>
      <c r="C2763">
        <v>0.92586296123016898</v>
      </c>
      <c r="D2763">
        <v>0.74637155724117599</v>
      </c>
      <c r="E2763">
        <v>0.52324564527488404</v>
      </c>
      <c r="F2763">
        <v>0.36814317201706898</v>
      </c>
      <c r="G2763">
        <v>0.208502750345404</v>
      </c>
      <c r="H2763">
        <v>0.14429869978004001</v>
      </c>
      <c r="I2763">
        <v>0.116304499317421</v>
      </c>
      <c r="J2763">
        <v>0.103238991799552</v>
      </c>
      <c r="K2763">
        <v>8.8274776133042396E-2</v>
      </c>
      <c r="L2763">
        <v>682.12346338977602</v>
      </c>
      <c r="M2763">
        <v>13.7459355460979</v>
      </c>
      <c r="N2763">
        <v>50.233090436274502</v>
      </c>
      <c r="O2763">
        <v>48.608757958131598</v>
      </c>
      <c r="P2763">
        <v>-6.5276372520385803E-2</v>
      </c>
      <c r="Q2763">
        <v>7.6802741865071994E-2</v>
      </c>
      <c r="R2763">
        <v>0.99740844259420602</v>
      </c>
      <c r="S2763" t="s">
        <v>9215</v>
      </c>
      <c r="T2763" t="s">
        <v>12902</v>
      </c>
      <c r="U2763" t="s">
        <v>12902</v>
      </c>
      <c r="V2763" t="s">
        <v>12902</v>
      </c>
      <c r="W2763" t="s">
        <v>15625</v>
      </c>
      <c r="X2763">
        <v>5</v>
      </c>
      <c r="Y2763" t="s">
        <v>21967</v>
      </c>
      <c r="Z2763" t="s">
        <v>28338</v>
      </c>
      <c r="AA2763">
        <v>0.39898327753427898</v>
      </c>
      <c r="AB2763" t="str">
        <f>HYPERLINK("Melting_Curves/meltCurve_P54098_POLG.pdf", "Melting_Curves/meltCurve_P54098_POLG.pdf")</f>
        <v>Melting_Curves/meltCurve_P54098_POLG.pdf</v>
      </c>
    </row>
    <row r="2764" spans="1:28" x14ac:dyDescent="0.25">
      <c r="A2764" t="s">
        <v>2768</v>
      </c>
      <c r="B2764">
        <v>0.99673306730245903</v>
      </c>
      <c r="C2764">
        <v>0.94804051987114202</v>
      </c>
      <c r="D2764">
        <v>0.47394539376738898</v>
      </c>
      <c r="E2764">
        <v>0.213779386980816</v>
      </c>
      <c r="F2764">
        <v>0.12599192366737</v>
      </c>
      <c r="G2764">
        <v>7.5091129368607901E-2</v>
      </c>
      <c r="H2764">
        <v>4.79313766043791E-2</v>
      </c>
      <c r="I2764">
        <v>3.9978863267044702E-2</v>
      </c>
      <c r="J2764">
        <v>4.0918161195792099E-2</v>
      </c>
      <c r="K2764">
        <v>3.3000697819583397E-2</v>
      </c>
      <c r="L2764">
        <v>1292.9336518984001</v>
      </c>
      <c r="M2764">
        <v>28.138033068033899</v>
      </c>
      <c r="N2764">
        <v>46.160349563036497</v>
      </c>
      <c r="O2764">
        <v>45.719475135309203</v>
      </c>
      <c r="P2764">
        <v>-0.144591665546317</v>
      </c>
      <c r="Q2764">
        <v>6.0261336004978398E-2</v>
      </c>
      <c r="R2764">
        <v>0.99042053487880399</v>
      </c>
      <c r="S2764" t="s">
        <v>9216</v>
      </c>
      <c r="T2764" t="s">
        <v>12902</v>
      </c>
      <c r="U2764" t="s">
        <v>12902</v>
      </c>
      <c r="V2764" t="s">
        <v>12902</v>
      </c>
      <c r="W2764" t="s">
        <v>15626</v>
      </c>
      <c r="X2764">
        <v>30</v>
      </c>
      <c r="Y2764" t="s">
        <v>21968</v>
      </c>
      <c r="Z2764" t="s">
        <v>28339</v>
      </c>
      <c r="AA2764">
        <v>0.25326608638390341</v>
      </c>
      <c r="AB2764" t="str">
        <f>HYPERLINK("Melting_Curves/meltCurve_P54136_RARS.pdf", "Melting_Curves/meltCurve_P54136_RARS.pdf")</f>
        <v>Melting_Curves/meltCurve_P54136_RARS.pdf</v>
      </c>
    </row>
    <row r="2765" spans="1:28" x14ac:dyDescent="0.25">
      <c r="A2765" t="s">
        <v>2769</v>
      </c>
      <c r="B2765">
        <v>0.99673306730245903</v>
      </c>
      <c r="C2765">
        <v>0.97088322780037595</v>
      </c>
      <c r="D2765">
        <v>0.51221838817572596</v>
      </c>
      <c r="E2765">
        <v>0.15045324352318501</v>
      </c>
      <c r="F2765">
        <v>7.0827498584110804E-2</v>
      </c>
      <c r="G2765">
        <v>3.8958344122920999E-2</v>
      </c>
      <c r="H2765">
        <v>2.3114918609465601E-2</v>
      </c>
      <c r="I2765">
        <v>1.8651184207015298E-2</v>
      </c>
      <c r="J2765">
        <v>2.35205613853855E-2</v>
      </c>
      <c r="K2765">
        <v>1.7598361563278202E-2</v>
      </c>
      <c r="L2765">
        <v>1536.5635260854201</v>
      </c>
      <c r="M2765">
        <v>33.321809604233302</v>
      </c>
      <c r="N2765">
        <v>46.208599292092202</v>
      </c>
      <c r="O2765">
        <v>45.947740975903798</v>
      </c>
      <c r="P2765">
        <v>-0.17525553758374199</v>
      </c>
      <c r="Q2765">
        <v>3.3358943404097598E-2</v>
      </c>
      <c r="R2765">
        <v>0.99651043245350202</v>
      </c>
      <c r="S2765" t="s">
        <v>9217</v>
      </c>
      <c r="T2765" t="s">
        <v>12902</v>
      </c>
      <c r="U2765" t="s">
        <v>12902</v>
      </c>
      <c r="V2765" t="s">
        <v>12902</v>
      </c>
      <c r="W2765" t="s">
        <v>15627</v>
      </c>
      <c r="X2765">
        <v>29</v>
      </c>
      <c r="Y2765" t="s">
        <v>21968</v>
      </c>
      <c r="Z2765" t="s">
        <v>28340</v>
      </c>
      <c r="AA2765">
        <v>0.23497628905415049</v>
      </c>
      <c r="AB2765" t="str">
        <f>HYPERLINK("Melting_Curves/meltCurve_P54136_2_RARS.pdf", "Melting_Curves/meltCurve_P54136_2_RARS.pdf")</f>
        <v>Melting_Curves/meltCurve_P54136_2_RARS.pdf</v>
      </c>
    </row>
    <row r="2766" spans="1:28" x14ac:dyDescent="0.25">
      <c r="A2766" t="s">
        <v>2770</v>
      </c>
      <c r="B2766">
        <v>0.99673306730245903</v>
      </c>
      <c r="C2766">
        <v>0.99543725480224798</v>
      </c>
      <c r="D2766">
        <v>0.88799339006157896</v>
      </c>
      <c r="E2766">
        <v>0.91044027594547405</v>
      </c>
      <c r="F2766">
        <v>0.91818466121314402</v>
      </c>
      <c r="G2766">
        <v>0.76198347093853103</v>
      </c>
      <c r="H2766">
        <v>0.63383408916469797</v>
      </c>
      <c r="I2766">
        <v>0.91670111763350903</v>
      </c>
      <c r="J2766">
        <v>1.47135556006019</v>
      </c>
      <c r="K2766">
        <v>1.5062673519646701</v>
      </c>
      <c r="L2766">
        <v>15000</v>
      </c>
      <c r="M2766">
        <v>226.329716082094</v>
      </c>
      <c r="O2766">
        <v>66.269815554229098</v>
      </c>
      <c r="P2766">
        <v>0.42690950231174402</v>
      </c>
      <c r="Q2766">
        <v>1.5</v>
      </c>
      <c r="R2766">
        <v>0.68010739209477999</v>
      </c>
      <c r="S2766" t="s">
        <v>9218</v>
      </c>
      <c r="T2766" t="s">
        <v>12902</v>
      </c>
      <c r="U2766" t="s">
        <v>12902</v>
      </c>
      <c r="V2766" t="s">
        <v>12902</v>
      </c>
      <c r="W2766" t="s">
        <v>15628</v>
      </c>
      <c r="X2766">
        <v>5</v>
      </c>
      <c r="Y2766" t="s">
        <v>21969</v>
      </c>
      <c r="Z2766" t="s">
        <v>28341</v>
      </c>
      <c r="AA2766">
        <v>1.0620125484486911</v>
      </c>
      <c r="AB2766" t="str">
        <f>HYPERLINK("Melting_Curves/meltCurve_P54259_ATN1.pdf", "Melting_Curves/meltCurve_P54259_ATN1.pdf")</f>
        <v>Melting_Curves/meltCurve_P54259_ATN1.pdf</v>
      </c>
    </row>
    <row r="2767" spans="1:28" x14ac:dyDescent="0.25">
      <c r="A2767" t="s">
        <v>2771</v>
      </c>
      <c r="B2767">
        <v>0.99673306730245903</v>
      </c>
      <c r="C2767">
        <v>0.91463587714694605</v>
      </c>
      <c r="D2767">
        <v>0.54828551040222395</v>
      </c>
      <c r="E2767">
        <v>0.27590981850783702</v>
      </c>
      <c r="F2767">
        <v>0.16490702401329799</v>
      </c>
      <c r="G2767">
        <v>9.9590947629312102E-2</v>
      </c>
      <c r="H2767">
        <v>5.7247421924623398E-2</v>
      </c>
      <c r="I2767">
        <v>4.8718731316338498E-2</v>
      </c>
      <c r="J2767">
        <v>5.0983619334114903E-2</v>
      </c>
      <c r="K2767">
        <v>4.74877640664636E-2</v>
      </c>
      <c r="L2767">
        <v>983.44814062970499</v>
      </c>
      <c r="M2767">
        <v>21.111476287336501</v>
      </c>
      <c r="N2767">
        <v>46.872980914188503</v>
      </c>
      <c r="O2767">
        <v>46.171655252803802</v>
      </c>
      <c r="P2767">
        <v>-0.107327783104256</v>
      </c>
      <c r="Q2767">
        <v>6.1103892863087803E-2</v>
      </c>
      <c r="R2767">
        <v>0.99385398134132796</v>
      </c>
      <c r="S2767" t="s">
        <v>9219</v>
      </c>
      <c r="T2767" t="s">
        <v>12902</v>
      </c>
      <c r="U2767" t="s">
        <v>12902</v>
      </c>
      <c r="V2767" t="s">
        <v>12902</v>
      </c>
      <c r="W2767" t="s">
        <v>15629</v>
      </c>
      <c r="X2767">
        <v>39</v>
      </c>
      <c r="Y2767" t="s">
        <v>21970</v>
      </c>
      <c r="Z2767" t="s">
        <v>28342</v>
      </c>
      <c r="AA2767">
        <v>0.27955003103081849</v>
      </c>
      <c r="AB2767" t="str">
        <f>HYPERLINK("Melting_Curves/meltCurve_P54577_YARS.pdf", "Melting_Curves/meltCurve_P54577_YARS.pdf")</f>
        <v>Melting_Curves/meltCurve_P54577_YARS.pdf</v>
      </c>
    </row>
    <row r="2768" spans="1:28" x14ac:dyDescent="0.25">
      <c r="A2768" t="s">
        <v>2772</v>
      </c>
      <c r="B2768">
        <v>0.99673306730245903</v>
      </c>
      <c r="C2768">
        <v>0.89704149625433505</v>
      </c>
      <c r="D2768">
        <v>0.75071634469316995</v>
      </c>
      <c r="E2768">
        <v>0.70987118094861701</v>
      </c>
      <c r="F2768">
        <v>0.20186898611304999</v>
      </c>
      <c r="G2768">
        <v>0.11942912956202099</v>
      </c>
      <c r="H2768">
        <v>6.5786299933228806E-2</v>
      </c>
      <c r="I2768">
        <v>6.2499070152326502E-2</v>
      </c>
      <c r="J2768">
        <v>7.1335508692718305E-2</v>
      </c>
      <c r="K2768">
        <v>5.6334219571891497E-2</v>
      </c>
      <c r="L2768">
        <v>906.64427788108503</v>
      </c>
      <c r="M2768">
        <v>18.060235478844302</v>
      </c>
      <c r="N2768">
        <v>50.404981133484299</v>
      </c>
      <c r="O2768">
        <v>49.5977691440266</v>
      </c>
      <c r="P2768">
        <v>-8.7831742701385898E-2</v>
      </c>
      <c r="Q2768">
        <v>3.52179064380745E-2</v>
      </c>
      <c r="R2768">
        <v>0.97018598950124801</v>
      </c>
      <c r="S2768" t="s">
        <v>9220</v>
      </c>
      <c r="T2768" t="s">
        <v>12902</v>
      </c>
      <c r="U2768" t="s">
        <v>12902</v>
      </c>
      <c r="V2768" t="s">
        <v>12902</v>
      </c>
      <c r="W2768" t="s">
        <v>15630</v>
      </c>
      <c r="X2768">
        <v>21</v>
      </c>
      <c r="Y2768" t="s">
        <v>21971</v>
      </c>
      <c r="Z2768" t="s">
        <v>28343</v>
      </c>
      <c r="AA2768">
        <v>0.37958825301929588</v>
      </c>
      <c r="AB2768" t="str">
        <f>HYPERLINK("Melting_Curves/meltCurve_P54578_USP14.pdf", "Melting_Curves/meltCurve_P54578_USP14.pdf")</f>
        <v>Melting_Curves/meltCurve_P54578_USP14.pdf</v>
      </c>
    </row>
    <row r="2769" spans="1:28" x14ac:dyDescent="0.25">
      <c r="A2769" t="s">
        <v>2773</v>
      </c>
      <c r="B2769">
        <v>0.99673306730245903</v>
      </c>
      <c r="C2769">
        <v>0.94830865740558801</v>
      </c>
      <c r="D2769">
        <v>0.86630066868516198</v>
      </c>
      <c r="E2769">
        <v>0.78962896463091803</v>
      </c>
      <c r="F2769">
        <v>0.44879660641298702</v>
      </c>
      <c r="G2769">
        <v>0.26400096610448398</v>
      </c>
      <c r="H2769">
        <v>0.13694823399668299</v>
      </c>
      <c r="I2769">
        <v>9.8114968748127002E-2</v>
      </c>
      <c r="J2769">
        <v>7.3528850328593201E-2</v>
      </c>
      <c r="K2769">
        <v>5.4625135028234302E-2</v>
      </c>
      <c r="L2769">
        <v>843.67483299164599</v>
      </c>
      <c r="M2769">
        <v>16.045871626963901</v>
      </c>
      <c r="N2769">
        <v>52.857684932925601</v>
      </c>
      <c r="O2769">
        <v>51.782618878125398</v>
      </c>
      <c r="P2769">
        <v>-7.4330299200211794E-2</v>
      </c>
      <c r="Q2769">
        <v>4.0570900792521902E-2</v>
      </c>
      <c r="R2769">
        <v>0.99525872475421395</v>
      </c>
      <c r="S2769" t="s">
        <v>9221</v>
      </c>
      <c r="T2769" t="s">
        <v>12902</v>
      </c>
      <c r="U2769" t="s">
        <v>12902</v>
      </c>
      <c r="V2769" t="s">
        <v>12902</v>
      </c>
      <c r="W2769" t="s">
        <v>15631</v>
      </c>
      <c r="X2769">
        <v>6</v>
      </c>
      <c r="Y2769" t="s">
        <v>21972</v>
      </c>
      <c r="Z2769" t="s">
        <v>28344</v>
      </c>
      <c r="AA2769">
        <v>0.46185187745354828</v>
      </c>
      <c r="AB2769" t="str">
        <f>HYPERLINK("Melting_Curves/meltCurve_P54619_2_PRKAG1.pdf", "Melting_Curves/meltCurve_P54619_2_PRKAG1.pdf")</f>
        <v>Melting_Curves/meltCurve_P54619_2_PRKAG1.pdf</v>
      </c>
    </row>
    <row r="2770" spans="1:28" x14ac:dyDescent="0.25">
      <c r="A2770" t="s">
        <v>2774</v>
      </c>
      <c r="B2770">
        <v>0.99673306730245903</v>
      </c>
      <c r="C2770">
        <v>0.90802459497015098</v>
      </c>
      <c r="D2770">
        <v>0.85484215254658902</v>
      </c>
      <c r="E2770">
        <v>0.58914626349389199</v>
      </c>
      <c r="F2770">
        <v>0.34894751610534003</v>
      </c>
      <c r="G2770">
        <v>0.22222402188368301</v>
      </c>
      <c r="H2770">
        <v>0.124151836844184</v>
      </c>
      <c r="I2770">
        <v>0.109192496481896</v>
      </c>
      <c r="J2770">
        <v>0.13346523921555001</v>
      </c>
      <c r="K2770">
        <v>0.112003186456721</v>
      </c>
      <c r="L2770">
        <v>829.50907532066503</v>
      </c>
      <c r="M2770">
        <v>16.536584984348099</v>
      </c>
      <c r="N2770">
        <v>50.836089547182802</v>
      </c>
      <c r="O2770">
        <v>49.445712369939798</v>
      </c>
      <c r="P2770">
        <v>-7.5384216481224897E-2</v>
      </c>
      <c r="Q2770">
        <v>9.8442760771882395E-2</v>
      </c>
      <c r="R2770">
        <v>0.99717556027500598</v>
      </c>
      <c r="S2770" t="s">
        <v>9222</v>
      </c>
      <c r="T2770" t="s">
        <v>12902</v>
      </c>
      <c r="U2770" t="s">
        <v>12902</v>
      </c>
      <c r="V2770" t="s">
        <v>12902</v>
      </c>
      <c r="W2770" t="s">
        <v>15632</v>
      </c>
      <c r="X2770">
        <v>22</v>
      </c>
      <c r="Y2770" t="s">
        <v>21973</v>
      </c>
      <c r="Z2770" t="s">
        <v>28345</v>
      </c>
      <c r="AA2770">
        <v>0.42179084490638358</v>
      </c>
      <c r="AB2770" t="str">
        <f>HYPERLINK("Melting_Curves/meltCurve_P54652_HSPA2.pdf", "Melting_Curves/meltCurve_P54652_HSPA2.pdf")</f>
        <v>Melting_Curves/meltCurve_P54652_HSPA2.pdf</v>
      </c>
    </row>
    <row r="2771" spans="1:28" x14ac:dyDescent="0.25">
      <c r="A2771" t="s">
        <v>2775</v>
      </c>
      <c r="B2771">
        <v>0.99673306730245903</v>
      </c>
      <c r="C2771">
        <v>0.88170706447983904</v>
      </c>
      <c r="D2771">
        <v>0.81440926937699798</v>
      </c>
      <c r="E2771">
        <v>0.81146099829035601</v>
      </c>
      <c r="F2771">
        <v>0.61620901572300302</v>
      </c>
      <c r="G2771">
        <v>0.58102407358323604</v>
      </c>
      <c r="H2771">
        <v>0.37577534369800702</v>
      </c>
      <c r="I2771">
        <v>0.343666506781309</v>
      </c>
      <c r="J2771">
        <v>0.28723899320507401</v>
      </c>
      <c r="K2771">
        <v>0.199563842084759</v>
      </c>
      <c r="L2771">
        <v>408.37278837018101</v>
      </c>
      <c r="M2771">
        <v>7.07093223074855</v>
      </c>
      <c r="N2771">
        <v>57.753717467674697</v>
      </c>
      <c r="O2771">
        <v>53.6679986478456</v>
      </c>
      <c r="P2771">
        <v>-3.2997156681911298E-2</v>
      </c>
      <c r="Q2771">
        <v>0</v>
      </c>
      <c r="R2771">
        <v>0.98102417312102397</v>
      </c>
      <c r="S2771" t="s">
        <v>9223</v>
      </c>
      <c r="T2771" t="s">
        <v>12902</v>
      </c>
      <c r="U2771" t="s">
        <v>12902</v>
      </c>
      <c r="V2771" t="s">
        <v>12902</v>
      </c>
      <c r="W2771" t="s">
        <v>15633</v>
      </c>
      <c r="X2771">
        <v>15</v>
      </c>
      <c r="Y2771" t="s">
        <v>21974</v>
      </c>
      <c r="Z2771" t="s">
        <v>28346</v>
      </c>
      <c r="AA2771">
        <v>0.59311742995144046</v>
      </c>
      <c r="AB2771" t="str">
        <f>HYPERLINK("Melting_Curves/meltCurve_P54709_ATP1B3.pdf", "Melting_Curves/meltCurve_P54709_ATP1B3.pdf")</f>
        <v>Melting_Curves/meltCurve_P54709_ATP1B3.pdf</v>
      </c>
    </row>
    <row r="2772" spans="1:28" x14ac:dyDescent="0.25">
      <c r="A2772" t="s">
        <v>2776</v>
      </c>
      <c r="B2772">
        <v>0.99673306730245903</v>
      </c>
      <c r="C2772">
        <v>0.99083569341195699</v>
      </c>
      <c r="D2772">
        <v>0.94731823864062803</v>
      </c>
      <c r="E2772">
        <v>1.0190681461058799</v>
      </c>
      <c r="F2772">
        <v>0.90973546825816698</v>
      </c>
      <c r="G2772">
        <v>0.78175425775806895</v>
      </c>
      <c r="H2772">
        <v>0.51731612979479802</v>
      </c>
      <c r="I2772">
        <v>0.80272557272868705</v>
      </c>
      <c r="J2772">
        <v>0.74858514642899798</v>
      </c>
      <c r="K2772">
        <v>0.68247026819624301</v>
      </c>
      <c r="L2772">
        <v>2245.5835752461198</v>
      </c>
      <c r="M2772">
        <v>41.0783655349518</v>
      </c>
      <c r="O2772">
        <v>54.536771422038903</v>
      </c>
      <c r="P2772">
        <v>-5.7768334222117003E-2</v>
      </c>
      <c r="Q2772">
        <v>0.69322123409601299</v>
      </c>
      <c r="R2772">
        <v>0.779330761048312</v>
      </c>
      <c r="S2772" t="s">
        <v>9224</v>
      </c>
      <c r="T2772" t="s">
        <v>12902</v>
      </c>
      <c r="U2772" t="s">
        <v>12902</v>
      </c>
      <c r="V2772" t="s">
        <v>12902</v>
      </c>
      <c r="W2772" t="s">
        <v>15634</v>
      </c>
      <c r="X2772">
        <v>21</v>
      </c>
      <c r="Y2772" t="s">
        <v>21975</v>
      </c>
      <c r="Z2772" t="s">
        <v>28347</v>
      </c>
      <c r="AA2772">
        <v>0.84428957821663519</v>
      </c>
      <c r="AB2772" t="str">
        <f>HYPERLINK("Melting_Curves/meltCurve_P54727_RAD23B.pdf", "Melting_Curves/meltCurve_P54727_RAD23B.pdf")</f>
        <v>Melting_Curves/meltCurve_P54727_RAD23B.pdf</v>
      </c>
    </row>
    <row r="2773" spans="1:28" x14ac:dyDescent="0.25">
      <c r="A2773" t="s">
        <v>2777</v>
      </c>
      <c r="B2773">
        <v>0.99673306730245903</v>
      </c>
      <c r="C2773">
        <v>0.88137938065212196</v>
      </c>
      <c r="D2773">
        <v>0.94827660924506296</v>
      </c>
      <c r="E2773">
        <v>0.52154639393121605</v>
      </c>
      <c r="F2773">
        <v>0.18141286855965499</v>
      </c>
      <c r="G2773">
        <v>9.2394813222230407E-2</v>
      </c>
      <c r="H2773">
        <v>7.6595658222501306E-2</v>
      </c>
      <c r="I2773">
        <v>6.7958629300908305E-2</v>
      </c>
      <c r="J2773">
        <v>8.6353551191796593E-2</v>
      </c>
      <c r="K2773">
        <v>6.1616055127198997E-2</v>
      </c>
      <c r="L2773">
        <v>1496.4864203813599</v>
      </c>
      <c r="M2773">
        <v>30.2008079211157</v>
      </c>
      <c r="N2773">
        <v>49.809880408464103</v>
      </c>
      <c r="O2773">
        <v>49.335471389648497</v>
      </c>
      <c r="P2773">
        <v>-0.14193184829946201</v>
      </c>
      <c r="Q2773">
        <v>7.2577101815339995E-2</v>
      </c>
      <c r="R2773">
        <v>0.99084683112962502</v>
      </c>
      <c r="S2773" t="s">
        <v>9225</v>
      </c>
      <c r="T2773" t="s">
        <v>12902</v>
      </c>
      <c r="U2773" t="s">
        <v>12902</v>
      </c>
      <c r="V2773" t="s">
        <v>12902</v>
      </c>
      <c r="W2773" t="s">
        <v>15635</v>
      </c>
      <c r="X2773">
        <v>4</v>
      </c>
      <c r="Y2773" t="s">
        <v>21976</v>
      </c>
      <c r="Z2773" t="s">
        <v>28348</v>
      </c>
      <c r="AA2773">
        <v>0.37346261250338569</v>
      </c>
      <c r="AB2773" t="str">
        <f>HYPERLINK("Melting_Curves/meltCurve_P54753_EPHB3.pdf", "Melting_Curves/meltCurve_P54753_EPHB3.pdf")</f>
        <v>Melting_Curves/meltCurve_P54753_EPHB3.pdf</v>
      </c>
    </row>
    <row r="2774" spans="1:28" x14ac:dyDescent="0.25">
      <c r="A2774" t="s">
        <v>2778</v>
      </c>
      <c r="B2774">
        <v>0.99673306730245903</v>
      </c>
      <c r="C2774">
        <v>0.95377502517368595</v>
      </c>
      <c r="D2774">
        <v>0.92894145464865796</v>
      </c>
      <c r="E2774">
        <v>0.78030750867492804</v>
      </c>
      <c r="F2774">
        <v>0.463728109050348</v>
      </c>
      <c r="G2774">
        <v>0.27830793916685498</v>
      </c>
      <c r="H2774">
        <v>0.163849018803229</v>
      </c>
      <c r="I2774">
        <v>0.133955349826412</v>
      </c>
      <c r="J2774">
        <v>0.13292555346010601</v>
      </c>
      <c r="K2774">
        <v>0.11694064783189501</v>
      </c>
      <c r="L2774">
        <v>996.34758623074299</v>
      </c>
      <c r="M2774">
        <v>19.082290242936601</v>
      </c>
      <c r="N2774">
        <v>52.9190257533687</v>
      </c>
      <c r="O2774">
        <v>51.649931302747703</v>
      </c>
      <c r="P2774">
        <v>-8.1989587370869907E-2</v>
      </c>
      <c r="Q2774">
        <v>0.11235170054013099</v>
      </c>
      <c r="R2774">
        <v>0.99856645860951998</v>
      </c>
      <c r="S2774" t="s">
        <v>9226</v>
      </c>
      <c r="T2774" t="s">
        <v>12902</v>
      </c>
      <c r="U2774" t="s">
        <v>12902</v>
      </c>
      <c r="V2774" t="s">
        <v>12902</v>
      </c>
      <c r="W2774" t="s">
        <v>15636</v>
      </c>
      <c r="X2774">
        <v>14</v>
      </c>
      <c r="Y2774" t="s">
        <v>21977</v>
      </c>
      <c r="Z2774" t="s">
        <v>28349</v>
      </c>
      <c r="AA2774">
        <v>0.48704638374063719</v>
      </c>
      <c r="AB2774" t="str">
        <f>HYPERLINK("Melting_Curves/meltCurve_P54764_EPHA4.pdf", "Melting_Curves/meltCurve_P54764_EPHA4.pdf")</f>
        <v>Melting_Curves/meltCurve_P54764_EPHA4.pdf</v>
      </c>
    </row>
    <row r="2775" spans="1:28" x14ac:dyDescent="0.25">
      <c r="A2775" t="s">
        <v>2779</v>
      </c>
      <c r="B2775">
        <v>0.99673306730245903</v>
      </c>
      <c r="C2775">
        <v>1.00611658018306</v>
      </c>
      <c r="D2775">
        <v>1.0299393109864099</v>
      </c>
      <c r="E2775">
        <v>1.1445552087920701</v>
      </c>
      <c r="F2775">
        <v>1.0563425220962499</v>
      </c>
      <c r="G2775">
        <v>0.91320665900918696</v>
      </c>
      <c r="H2775">
        <v>0.53400950260986102</v>
      </c>
      <c r="I2775">
        <v>0.17283509637137701</v>
      </c>
      <c r="J2775">
        <v>0.124979928084671</v>
      </c>
      <c r="K2775">
        <v>0.110784015918832</v>
      </c>
      <c r="L2775">
        <v>2433.9833433846202</v>
      </c>
      <c r="M2775">
        <v>40.164559779498099</v>
      </c>
      <c r="N2775">
        <v>60.937680031367002</v>
      </c>
      <c r="O2775">
        <v>60.450632557440301</v>
      </c>
      <c r="P2775">
        <v>-0.14954572269348601</v>
      </c>
      <c r="Q2775">
        <v>9.9692377842140398E-2</v>
      </c>
      <c r="R2775">
        <v>0.98351314501211295</v>
      </c>
      <c r="S2775" t="s">
        <v>9227</v>
      </c>
      <c r="T2775" t="s">
        <v>12902</v>
      </c>
      <c r="U2775" t="s">
        <v>12902</v>
      </c>
      <c r="V2775" t="s">
        <v>12902</v>
      </c>
      <c r="W2775" t="s">
        <v>15637</v>
      </c>
      <c r="X2775">
        <v>23</v>
      </c>
      <c r="Y2775" t="s">
        <v>21978</v>
      </c>
      <c r="Z2775" t="s">
        <v>28350</v>
      </c>
      <c r="AA2775">
        <v>0.72136168687060809</v>
      </c>
      <c r="AB2775" t="str">
        <f>HYPERLINK("Melting_Curves/meltCurve_P54802_NAGLU.pdf", "Melting_Curves/meltCurve_P54802_NAGLU.pdf")</f>
        <v>Melting_Curves/meltCurve_P54802_NAGLU.pdf</v>
      </c>
    </row>
    <row r="2776" spans="1:28" x14ac:dyDescent="0.25">
      <c r="A2776" t="s">
        <v>2780</v>
      </c>
      <c r="B2776">
        <v>0.99673306730245903</v>
      </c>
      <c r="C2776">
        <v>1.0258703142507799</v>
      </c>
      <c r="D2776">
        <v>1.05437174385004</v>
      </c>
      <c r="E2776">
        <v>0.97364363561632905</v>
      </c>
      <c r="F2776">
        <v>1.0124263147355701</v>
      </c>
      <c r="G2776">
        <v>0.84682467991069099</v>
      </c>
      <c r="H2776">
        <v>0.54667988627681097</v>
      </c>
      <c r="I2776">
        <v>0.25600243176315601</v>
      </c>
      <c r="J2776">
        <v>0.146687705000247</v>
      </c>
      <c r="K2776">
        <v>0.11968802902828</v>
      </c>
      <c r="L2776">
        <v>1608.0812181757999</v>
      </c>
      <c r="M2776">
        <v>26.5058591646244</v>
      </c>
      <c r="N2776">
        <v>61.097469141995496</v>
      </c>
      <c r="O2776">
        <v>60.326743715841197</v>
      </c>
      <c r="P2776">
        <v>-0.100525761589751</v>
      </c>
      <c r="Q2776">
        <v>8.4832519290689204E-2</v>
      </c>
      <c r="R2776">
        <v>0.99525714861785197</v>
      </c>
      <c r="S2776" t="s">
        <v>9228</v>
      </c>
      <c r="T2776" t="s">
        <v>12902</v>
      </c>
      <c r="U2776" t="s">
        <v>12902</v>
      </c>
      <c r="V2776" t="s">
        <v>12902</v>
      </c>
      <c r="W2776" t="s">
        <v>15638</v>
      </c>
      <c r="X2776">
        <v>26</v>
      </c>
      <c r="Y2776" t="s">
        <v>21979</v>
      </c>
      <c r="Z2776" t="s">
        <v>28351</v>
      </c>
      <c r="AA2776">
        <v>0.72124579648243214</v>
      </c>
      <c r="AB2776" t="str">
        <f>HYPERLINK("Melting_Curves/meltCurve_P54819_AK2.pdf", "Melting_Curves/meltCurve_P54819_AK2.pdf")</f>
        <v>Melting_Curves/meltCurve_P54819_AK2.pdf</v>
      </c>
    </row>
    <row r="2777" spans="1:28" x14ac:dyDescent="0.25">
      <c r="A2777" t="s">
        <v>2781</v>
      </c>
      <c r="B2777">
        <v>0.99673306730245903</v>
      </c>
      <c r="C2777">
        <v>0.934747354141098</v>
      </c>
      <c r="D2777">
        <v>0.97481379264606305</v>
      </c>
      <c r="E2777">
        <v>1.09778460144158</v>
      </c>
      <c r="F2777">
        <v>0.57233405228807499</v>
      </c>
      <c r="G2777">
        <v>0.182489321429123</v>
      </c>
      <c r="H2777">
        <v>0.100570877001433</v>
      </c>
      <c r="I2777">
        <v>8.5628752259754498E-2</v>
      </c>
      <c r="J2777">
        <v>6.6162250135348905E-2</v>
      </c>
      <c r="K2777">
        <v>5.36252597104959E-2</v>
      </c>
      <c r="L2777">
        <v>2780.1498891481501</v>
      </c>
      <c r="M2777">
        <v>52.056857154967197</v>
      </c>
      <c r="N2777">
        <v>53.605152118648299</v>
      </c>
      <c r="O2777">
        <v>53.327378522674799</v>
      </c>
      <c r="P2777">
        <v>-0.22258920301933499</v>
      </c>
      <c r="Q2777">
        <v>8.7913243949678102E-2</v>
      </c>
      <c r="R2777">
        <v>0.98744864346136596</v>
      </c>
      <c r="S2777" t="s">
        <v>9229</v>
      </c>
      <c r="T2777" t="s">
        <v>12902</v>
      </c>
      <c r="U2777" t="s">
        <v>12902</v>
      </c>
      <c r="V2777" t="s">
        <v>12902</v>
      </c>
      <c r="W2777" t="s">
        <v>15639</v>
      </c>
      <c r="X2777">
        <v>31</v>
      </c>
      <c r="Y2777" t="s">
        <v>21980</v>
      </c>
      <c r="Z2777" t="s">
        <v>28352</v>
      </c>
      <c r="AA2777">
        <v>0.49747632512802031</v>
      </c>
      <c r="AB2777" t="str">
        <f>HYPERLINK("Melting_Curves/meltCurve_P54886_2_ALDH18A1.pdf", "Melting_Curves/meltCurve_P54886_2_ALDH18A1.pdf")</f>
        <v>Melting_Curves/meltCurve_P54886_2_ALDH18A1.pdf</v>
      </c>
    </row>
    <row r="2778" spans="1:28" x14ac:dyDescent="0.25">
      <c r="A2778" t="s">
        <v>2782</v>
      </c>
      <c r="B2778">
        <v>0.99673306730245903</v>
      </c>
      <c r="C2778">
        <v>0.990466659948398</v>
      </c>
      <c r="D2778">
        <v>0.90023563969116205</v>
      </c>
      <c r="E2778">
        <v>0.87644760421629497</v>
      </c>
      <c r="F2778">
        <v>0.522529271065165</v>
      </c>
      <c r="G2778">
        <v>0.283487338020465</v>
      </c>
      <c r="H2778">
        <v>0.147331582232652</v>
      </c>
      <c r="I2778">
        <v>0.11403397970748499</v>
      </c>
      <c r="J2778">
        <v>9.4997595565389406E-2</v>
      </c>
      <c r="K2778">
        <v>7.9315378890847305E-2</v>
      </c>
      <c r="L2778">
        <v>1097.22729113798</v>
      </c>
      <c r="M2778">
        <v>20.612799480281002</v>
      </c>
      <c r="N2778">
        <v>53.687718916683799</v>
      </c>
      <c r="O2778">
        <v>52.736986280064201</v>
      </c>
      <c r="P2778">
        <v>-8.9849871256018496E-2</v>
      </c>
      <c r="Q2778">
        <v>8.0518004705658897E-2</v>
      </c>
      <c r="R2778">
        <v>0.99541949459443502</v>
      </c>
      <c r="S2778" t="s">
        <v>9230</v>
      </c>
      <c r="T2778" t="s">
        <v>12902</v>
      </c>
      <c r="U2778" t="s">
        <v>12902</v>
      </c>
      <c r="V2778" t="s">
        <v>12902</v>
      </c>
      <c r="W2778" t="s">
        <v>15640</v>
      </c>
      <c r="X2778">
        <v>20</v>
      </c>
      <c r="Y2778" t="s">
        <v>21981</v>
      </c>
      <c r="Z2778" t="s">
        <v>28353</v>
      </c>
      <c r="AA2778">
        <v>0.49800972604884292</v>
      </c>
      <c r="AB2778" t="str">
        <f>HYPERLINK("Melting_Curves/meltCurve_P54920_NAPA.pdf", "Melting_Curves/meltCurve_P54920_NAPA.pdf")</f>
        <v>Melting_Curves/meltCurve_P54920_NAPA.pdf</v>
      </c>
    </row>
    <row r="2779" spans="1:28" x14ac:dyDescent="0.25">
      <c r="A2779" t="s">
        <v>2783</v>
      </c>
      <c r="B2779">
        <v>0.99673306730245903</v>
      </c>
      <c r="C2779">
        <v>1.0171023294316901</v>
      </c>
      <c r="D2779">
        <v>0.86574982162214598</v>
      </c>
      <c r="E2779">
        <v>0.91854502891734302</v>
      </c>
      <c r="F2779">
        <v>0.32933764163164297</v>
      </c>
      <c r="G2779">
        <v>0.157222145081827</v>
      </c>
      <c r="H2779">
        <v>8.4094818907595598E-2</v>
      </c>
      <c r="I2779">
        <v>7.4653944404966602E-2</v>
      </c>
      <c r="J2779">
        <v>7.9579099594934893E-2</v>
      </c>
      <c r="K2779">
        <v>6.7657622950192897E-2</v>
      </c>
      <c r="L2779">
        <v>2192.3575291737998</v>
      </c>
      <c r="M2779">
        <v>42.140184616579702</v>
      </c>
      <c r="N2779">
        <v>52.256537284812097</v>
      </c>
      <c r="O2779">
        <v>51.9085750816106</v>
      </c>
      <c r="P2779">
        <v>-0.18569391397700399</v>
      </c>
      <c r="Q2779">
        <v>8.5044965080803697E-2</v>
      </c>
      <c r="R2779">
        <v>0.98762768216706298</v>
      </c>
      <c r="S2779" t="s">
        <v>9231</v>
      </c>
      <c r="T2779" t="s">
        <v>12902</v>
      </c>
      <c r="U2779" t="s">
        <v>12902</v>
      </c>
      <c r="V2779" t="s">
        <v>12902</v>
      </c>
      <c r="W2779" t="s">
        <v>15641</v>
      </c>
      <c r="X2779">
        <v>27</v>
      </c>
      <c r="Y2779" t="s">
        <v>21982</v>
      </c>
      <c r="Z2779" t="s">
        <v>28354</v>
      </c>
      <c r="AA2779">
        <v>0.45476131637835571</v>
      </c>
      <c r="AB2779" t="str">
        <f>HYPERLINK("Melting_Curves/meltCurve_P55010_EIF5.pdf", "Melting_Curves/meltCurve_P55010_EIF5.pdf")</f>
        <v>Melting_Curves/meltCurve_P55010_EIF5.pdf</v>
      </c>
    </row>
    <row r="2780" spans="1:28" x14ac:dyDescent="0.25">
      <c r="A2780" t="s">
        <v>2784</v>
      </c>
      <c r="B2780">
        <v>0.99673306730245903</v>
      </c>
      <c r="C2780">
        <v>0.97688978012267602</v>
      </c>
      <c r="D2780">
        <v>0.89793108299431201</v>
      </c>
      <c r="E2780">
        <v>0.86817869570698702</v>
      </c>
      <c r="F2780">
        <v>0.75863207338847105</v>
      </c>
      <c r="G2780">
        <v>0.55832151930741802</v>
      </c>
      <c r="H2780">
        <v>0.27859114139653401</v>
      </c>
      <c r="I2780">
        <v>0.315622119400643</v>
      </c>
      <c r="J2780">
        <v>0.37492539761687399</v>
      </c>
      <c r="K2780">
        <v>0.36242631946901699</v>
      </c>
      <c r="L2780">
        <v>1037.43909716607</v>
      </c>
      <c r="M2780">
        <v>19.109016656136401</v>
      </c>
      <c r="N2780">
        <v>57.178926187414397</v>
      </c>
      <c r="O2780">
        <v>53.706467614829698</v>
      </c>
      <c r="P2780">
        <v>-6.1417612143486802E-2</v>
      </c>
      <c r="Q2780">
        <v>0.30956260821326698</v>
      </c>
      <c r="R2780">
        <v>0.96290025830642101</v>
      </c>
      <c r="S2780" t="s">
        <v>9232</v>
      </c>
      <c r="T2780" t="s">
        <v>12902</v>
      </c>
      <c r="U2780" t="s">
        <v>12902</v>
      </c>
      <c r="V2780" t="s">
        <v>12902</v>
      </c>
      <c r="W2780" t="s">
        <v>15642</v>
      </c>
      <c r="X2780">
        <v>5</v>
      </c>
      <c r="Y2780" t="s">
        <v>21983</v>
      </c>
      <c r="Z2780" t="s">
        <v>28355</v>
      </c>
      <c r="AA2780">
        <v>0.64847583536798903</v>
      </c>
      <c r="AB2780" t="str">
        <f>HYPERLINK("Melting_Curves/meltCurve_P55011_3_SLC12A2.pdf", "Melting_Curves/meltCurve_P55011_3_SLC12A2.pdf")</f>
        <v>Melting_Curves/meltCurve_P55011_3_SLC12A2.pdf</v>
      </c>
    </row>
    <row r="2781" spans="1:28" x14ac:dyDescent="0.25">
      <c r="A2781" t="s">
        <v>2785</v>
      </c>
      <c r="B2781">
        <v>0.99673306730245903</v>
      </c>
      <c r="C2781">
        <v>0.94937625995488895</v>
      </c>
      <c r="D2781">
        <v>1.03224495038719</v>
      </c>
      <c r="E2781">
        <v>1.0101932228594901</v>
      </c>
      <c r="F2781">
        <v>0.93277344510897098</v>
      </c>
      <c r="G2781">
        <v>0.57891327682904403</v>
      </c>
      <c r="H2781">
        <v>0.23800550555962599</v>
      </c>
      <c r="I2781">
        <v>0.23649610465930701</v>
      </c>
      <c r="J2781">
        <v>0.27304343764417799</v>
      </c>
      <c r="K2781">
        <v>0.25905678394862203</v>
      </c>
      <c r="L2781">
        <v>2578.2543395177599</v>
      </c>
      <c r="M2781">
        <v>45.679603828428398</v>
      </c>
      <c r="N2781">
        <v>57.287643136223899</v>
      </c>
      <c r="O2781">
        <v>56.334281109073501</v>
      </c>
      <c r="P2781">
        <v>-0.15300869187011101</v>
      </c>
      <c r="Q2781">
        <v>0.24521025542032401</v>
      </c>
      <c r="R2781">
        <v>0.99445970265684802</v>
      </c>
      <c r="S2781" t="s">
        <v>9233</v>
      </c>
      <c r="T2781" t="s">
        <v>12902</v>
      </c>
      <c r="U2781" t="s">
        <v>12902</v>
      </c>
      <c r="V2781" t="s">
        <v>12902</v>
      </c>
      <c r="W2781" t="s">
        <v>15643</v>
      </c>
      <c r="X2781">
        <v>12</v>
      </c>
      <c r="Y2781" t="s">
        <v>21984</v>
      </c>
      <c r="Z2781" t="s">
        <v>28356</v>
      </c>
      <c r="AA2781">
        <v>0.66113544781744182</v>
      </c>
      <c r="AB2781" t="str">
        <f>HYPERLINK("Melting_Curves/meltCurve_P55036_PSMD4.pdf", "Melting_Curves/meltCurve_P55036_PSMD4.pdf")</f>
        <v>Melting_Curves/meltCurve_P55036_PSMD4.pdf</v>
      </c>
    </row>
    <row r="2782" spans="1:28" x14ac:dyDescent="0.25">
      <c r="A2782" t="s">
        <v>2786</v>
      </c>
      <c r="B2782">
        <v>0.99673306730245903</v>
      </c>
      <c r="C2782">
        <v>1.0215422117258399</v>
      </c>
      <c r="D2782">
        <v>0.94907722742946499</v>
      </c>
      <c r="E2782">
        <v>0.83479394831537101</v>
      </c>
      <c r="F2782">
        <v>0.31684207235435202</v>
      </c>
      <c r="G2782">
        <v>0.13991261652954901</v>
      </c>
      <c r="H2782">
        <v>8.9062745900317999E-2</v>
      </c>
      <c r="I2782">
        <v>7.6755502504034998E-2</v>
      </c>
      <c r="J2782">
        <v>7.2846843294843006E-2</v>
      </c>
      <c r="K2782">
        <v>5.4916613962092499E-2</v>
      </c>
      <c r="L2782">
        <v>1759.64312856642</v>
      </c>
      <c r="M2782">
        <v>34.044882388955102</v>
      </c>
      <c r="N2782">
        <v>51.934966747632799</v>
      </c>
      <c r="O2782">
        <v>51.508651264046797</v>
      </c>
      <c r="P2782">
        <v>-0.152797380178081</v>
      </c>
      <c r="Q2782">
        <v>7.5296880208681305E-2</v>
      </c>
      <c r="R2782">
        <v>0.99807020377254096</v>
      </c>
      <c r="S2782" t="s">
        <v>9234</v>
      </c>
      <c r="T2782" t="s">
        <v>12902</v>
      </c>
      <c r="U2782" t="s">
        <v>12902</v>
      </c>
      <c r="V2782" t="s">
        <v>12902</v>
      </c>
      <c r="W2782" t="s">
        <v>15644</v>
      </c>
      <c r="X2782">
        <v>14</v>
      </c>
      <c r="Y2782" t="s">
        <v>21985</v>
      </c>
      <c r="Z2782" t="s">
        <v>28357</v>
      </c>
      <c r="AA2782">
        <v>0.4400649915622869</v>
      </c>
      <c r="AB2782" t="str">
        <f>HYPERLINK("Melting_Curves/meltCurve_P55039_DRG2.pdf", "Melting_Curves/meltCurve_P55039_DRG2.pdf")</f>
        <v>Melting_Curves/meltCurve_P55039_DRG2.pdf</v>
      </c>
    </row>
    <row r="2783" spans="1:28" x14ac:dyDescent="0.25">
      <c r="A2783" t="s">
        <v>2787</v>
      </c>
      <c r="B2783">
        <v>0.99673306730245903</v>
      </c>
      <c r="C2783">
        <v>1.0587760295444599</v>
      </c>
      <c r="D2783">
        <v>0.64703986013596804</v>
      </c>
      <c r="E2783">
        <v>0.44820817318655998</v>
      </c>
      <c r="F2783">
        <v>0.12578023320722501</v>
      </c>
      <c r="G2783">
        <v>7.3992082023319097E-2</v>
      </c>
      <c r="H2783">
        <v>4.49091290936827E-2</v>
      </c>
      <c r="I2783">
        <v>4.2044394326952499E-2</v>
      </c>
      <c r="J2783">
        <v>4.9455809822970598E-2</v>
      </c>
      <c r="K2783">
        <v>3.9513804623512297E-2</v>
      </c>
      <c r="L2783">
        <v>1012.39743345822</v>
      </c>
      <c r="M2783">
        <v>20.982490170673799</v>
      </c>
      <c r="N2783">
        <v>48.426939808113701</v>
      </c>
      <c r="O2783">
        <v>47.8177871894503</v>
      </c>
      <c r="P2783">
        <v>-0.105647065322727</v>
      </c>
      <c r="Q2783">
        <v>3.6973621597997101E-2</v>
      </c>
      <c r="R2783">
        <v>0.97995981196987902</v>
      </c>
      <c r="S2783" t="s">
        <v>9235</v>
      </c>
      <c r="T2783" t="s">
        <v>12902</v>
      </c>
      <c r="U2783" t="s">
        <v>12902</v>
      </c>
      <c r="V2783" t="s">
        <v>12902</v>
      </c>
      <c r="W2783" t="s">
        <v>15645</v>
      </c>
      <c r="X2783">
        <v>37</v>
      </c>
      <c r="Y2783" t="s">
        <v>21986</v>
      </c>
      <c r="Z2783" t="s">
        <v>28358</v>
      </c>
      <c r="AA2783">
        <v>0.31410911696266719</v>
      </c>
      <c r="AB2783" t="str">
        <f>HYPERLINK("Melting_Curves/meltCurve_P55060_3_CSE1L.pdf", "Melting_Curves/meltCurve_P55060_3_CSE1L.pdf")</f>
        <v>Melting_Curves/meltCurve_P55060_3_CSE1L.pdf</v>
      </c>
    </row>
    <row r="2784" spans="1:28" x14ac:dyDescent="0.25">
      <c r="A2784" t="s">
        <v>2788</v>
      </c>
      <c r="B2784">
        <v>0.99673306730245903</v>
      </c>
      <c r="C2784">
        <v>0.96180340942547704</v>
      </c>
      <c r="D2784">
        <v>1.06467639833234</v>
      </c>
      <c r="E2784">
        <v>1.2909719266845301</v>
      </c>
      <c r="F2784">
        <v>1.4246890370071399</v>
      </c>
      <c r="G2784">
        <v>1.43187645393303</v>
      </c>
      <c r="H2784">
        <v>1.61310932146312</v>
      </c>
      <c r="I2784">
        <v>1.12224290438164</v>
      </c>
      <c r="J2784">
        <v>0.417086643096999</v>
      </c>
      <c r="K2784">
        <v>0.15326530136927199</v>
      </c>
      <c r="L2784">
        <v>15000</v>
      </c>
      <c r="M2784">
        <v>224.33939083453299</v>
      </c>
      <c r="N2784">
        <v>66.9722135402086</v>
      </c>
      <c r="O2784">
        <v>66.857665647004495</v>
      </c>
      <c r="P2784">
        <v>-0.71034029769652896</v>
      </c>
      <c r="Q2784">
        <v>0.15321702822122499</v>
      </c>
      <c r="R2784">
        <v>0.54940969353119495</v>
      </c>
      <c r="S2784" t="s">
        <v>9236</v>
      </c>
      <c r="T2784" t="s">
        <v>12902</v>
      </c>
      <c r="U2784" t="s">
        <v>12902</v>
      </c>
      <c r="V2784" t="s">
        <v>12902</v>
      </c>
      <c r="W2784" t="s">
        <v>15646</v>
      </c>
      <c r="X2784">
        <v>65</v>
      </c>
      <c r="Y2784" t="s">
        <v>21987</v>
      </c>
      <c r="Z2784" t="s">
        <v>28359</v>
      </c>
      <c r="AA2784">
        <v>0.91157713907069049</v>
      </c>
      <c r="AB2784" t="str">
        <f>HYPERLINK("Melting_Curves/meltCurve_P55072_VCP.pdf", "Melting_Curves/meltCurve_P55072_VCP.pdf")</f>
        <v>Melting_Curves/meltCurve_P55072_VCP.pdf</v>
      </c>
    </row>
    <row r="2785" spans="1:28" x14ac:dyDescent="0.25">
      <c r="A2785" t="s">
        <v>2789</v>
      </c>
      <c r="B2785">
        <v>0.99673306730245903</v>
      </c>
      <c r="C2785">
        <v>1.0367331839480101</v>
      </c>
      <c r="D2785">
        <v>1.14699965197874</v>
      </c>
      <c r="E2785">
        <v>1.1126203526038501</v>
      </c>
      <c r="F2785">
        <v>0.94944065641337705</v>
      </c>
      <c r="G2785">
        <v>0.74089740195090903</v>
      </c>
      <c r="H2785">
        <v>0.64022594389639198</v>
      </c>
      <c r="I2785">
        <v>0.88481789866528804</v>
      </c>
      <c r="J2785">
        <v>1.60004757688002</v>
      </c>
      <c r="K2785">
        <v>1.65726991299656</v>
      </c>
      <c r="L2785">
        <v>15000</v>
      </c>
      <c r="M2785">
        <v>228.89266269106099</v>
      </c>
      <c r="O2785">
        <v>65.527897529463402</v>
      </c>
      <c r="P2785">
        <v>0.43663209110012902</v>
      </c>
      <c r="Q2785">
        <v>1.5</v>
      </c>
      <c r="R2785">
        <v>0.710889113650649</v>
      </c>
      <c r="S2785" t="s">
        <v>9237</v>
      </c>
      <c r="T2785" t="s">
        <v>12902</v>
      </c>
      <c r="U2785" t="s">
        <v>12902</v>
      </c>
      <c r="V2785" t="s">
        <v>12902</v>
      </c>
      <c r="W2785" t="s">
        <v>15647</v>
      </c>
      <c r="X2785">
        <v>19</v>
      </c>
      <c r="Y2785" t="s">
        <v>21988</v>
      </c>
      <c r="Z2785" t="s">
        <v>28360</v>
      </c>
      <c r="AA2785">
        <v>1.0743830652169239</v>
      </c>
      <c r="AB2785" t="str">
        <f>HYPERLINK("Melting_Curves/meltCurve_P55081_MFAP1.pdf", "Melting_Curves/meltCurve_P55081_MFAP1.pdf")</f>
        <v>Melting_Curves/meltCurve_P55081_MFAP1.pdf</v>
      </c>
    </row>
    <row r="2786" spans="1:28" x14ac:dyDescent="0.25">
      <c r="A2786" t="s">
        <v>2790</v>
      </c>
      <c r="B2786">
        <v>0.99673306730245903</v>
      </c>
      <c r="C2786">
        <v>1.0532114465840801</v>
      </c>
      <c r="D2786">
        <v>0.97953323350296995</v>
      </c>
      <c r="E2786">
        <v>0.87863334462095499</v>
      </c>
      <c r="F2786">
        <v>0.77004135608060598</v>
      </c>
      <c r="G2786">
        <v>0.57378368873482599</v>
      </c>
      <c r="H2786">
        <v>0.38382196476101998</v>
      </c>
      <c r="I2786">
        <v>0.295457593327144</v>
      </c>
      <c r="J2786">
        <v>0.18915498836199299</v>
      </c>
      <c r="K2786">
        <v>0.143670468556757</v>
      </c>
      <c r="L2786">
        <v>733.83675158193705</v>
      </c>
      <c r="M2786">
        <v>12.6898006421027</v>
      </c>
      <c r="N2786">
        <v>58.389793032312603</v>
      </c>
      <c r="O2786">
        <v>56.4491626051027</v>
      </c>
      <c r="P2786">
        <v>-5.2985319541197201E-2</v>
      </c>
      <c r="Q2786">
        <v>5.7385683637836499E-2</v>
      </c>
      <c r="R2786">
        <v>0.99510022712019697</v>
      </c>
      <c r="S2786" t="s">
        <v>9238</v>
      </c>
      <c r="T2786" t="s">
        <v>12902</v>
      </c>
      <c r="U2786" t="s">
        <v>12902</v>
      </c>
      <c r="V2786" t="s">
        <v>12902</v>
      </c>
      <c r="W2786" t="s">
        <v>15648</v>
      </c>
      <c r="X2786">
        <v>4</v>
      </c>
      <c r="Y2786" t="s">
        <v>21989</v>
      </c>
      <c r="Z2786" t="s">
        <v>28361</v>
      </c>
      <c r="AA2786">
        <v>0.63059398901402475</v>
      </c>
      <c r="AB2786" t="str">
        <f>HYPERLINK("Melting_Curves/meltCurve_P55082_2_MFAP3.pdf", "Melting_Curves/meltCurve_P55082_2_MFAP3.pdf")</f>
        <v>Melting_Curves/meltCurve_P55082_2_MFAP3.pdf</v>
      </c>
    </row>
    <row r="2787" spans="1:28" x14ac:dyDescent="0.25">
      <c r="A2787" t="s">
        <v>2791</v>
      </c>
      <c r="B2787">
        <v>0.99673306730245903</v>
      </c>
      <c r="C2787">
        <v>1.0273079859957299</v>
      </c>
      <c r="D2787">
        <v>0.990712210736863</v>
      </c>
      <c r="E2787">
        <v>0.96059129851511604</v>
      </c>
      <c r="F2787">
        <v>0.88825137013480104</v>
      </c>
      <c r="G2787">
        <v>0.85697873547202397</v>
      </c>
      <c r="H2787">
        <v>0.70202810439765395</v>
      </c>
      <c r="I2787">
        <v>1.0807293671404301</v>
      </c>
      <c r="J2787">
        <v>1.5676612806314001</v>
      </c>
      <c r="K2787">
        <v>1.52908499377798</v>
      </c>
      <c r="L2787">
        <v>15000</v>
      </c>
      <c r="M2787">
        <v>232.72831812392999</v>
      </c>
      <c r="O2787">
        <v>64.448087762110305</v>
      </c>
      <c r="P2787">
        <v>0.45138724945277298</v>
      </c>
      <c r="Q2787">
        <v>1.5</v>
      </c>
      <c r="R2787">
        <v>0.81406962768879698</v>
      </c>
      <c r="S2787" t="s">
        <v>9239</v>
      </c>
      <c r="T2787" t="s">
        <v>12902</v>
      </c>
      <c r="U2787" t="s">
        <v>12902</v>
      </c>
      <c r="V2787" t="s">
        <v>12902</v>
      </c>
      <c r="W2787" t="s">
        <v>15649</v>
      </c>
      <c r="X2787">
        <v>23</v>
      </c>
      <c r="Y2787" t="s">
        <v>21990</v>
      </c>
      <c r="Z2787" t="s">
        <v>28362</v>
      </c>
      <c r="AA2787">
        <v>1.0923874768271591</v>
      </c>
      <c r="AB2787" t="str">
        <f>HYPERLINK("Melting_Curves/meltCurve_P55145_MANF.pdf", "Melting_Curves/meltCurve_P55145_MANF.pdf")</f>
        <v>Melting_Curves/meltCurve_P55145_MANF.pdf</v>
      </c>
    </row>
    <row r="2788" spans="1:28" x14ac:dyDescent="0.25">
      <c r="A2788" t="s">
        <v>2792</v>
      </c>
      <c r="B2788">
        <v>0.99673306730245903</v>
      </c>
      <c r="C2788">
        <v>0.89248260802226298</v>
      </c>
      <c r="D2788">
        <v>0.78923696384463105</v>
      </c>
      <c r="E2788">
        <v>0.40674930931511899</v>
      </c>
      <c r="F2788">
        <v>0.276966363091109</v>
      </c>
      <c r="G2788">
        <v>0.209215307761207</v>
      </c>
      <c r="H2788">
        <v>0.13952326300729601</v>
      </c>
      <c r="I2788">
        <v>0.23317495482705899</v>
      </c>
      <c r="J2788">
        <v>0.208185595171551</v>
      </c>
      <c r="K2788">
        <v>0.17569042682480501</v>
      </c>
      <c r="L2788">
        <v>1080.0386476712499</v>
      </c>
      <c r="M2788">
        <v>22.632224035953399</v>
      </c>
      <c r="N2788">
        <v>48.736821602954599</v>
      </c>
      <c r="O2788">
        <v>47.353392606257302</v>
      </c>
      <c r="P2788">
        <v>-9.7024762049634006E-2</v>
      </c>
      <c r="Q2788">
        <v>0.187996735841754</v>
      </c>
      <c r="R2788">
        <v>0.990113303545617</v>
      </c>
      <c r="S2788" t="s">
        <v>9240</v>
      </c>
      <c r="T2788" t="s">
        <v>12902</v>
      </c>
      <c r="U2788" t="s">
        <v>12902</v>
      </c>
      <c r="V2788" t="s">
        <v>12902</v>
      </c>
      <c r="W2788" t="s">
        <v>15650</v>
      </c>
      <c r="X2788">
        <v>4</v>
      </c>
      <c r="Y2788" t="s">
        <v>21991</v>
      </c>
      <c r="Z2788" t="s">
        <v>28363</v>
      </c>
      <c r="AA2788">
        <v>0.40588663979529821</v>
      </c>
      <c r="AB2788" t="str">
        <f>HYPERLINK("Melting_Curves/meltCurve_P55199_ELL.pdf", "Melting_Curves/meltCurve_P55199_ELL.pdf")</f>
        <v>Melting_Curves/meltCurve_P55199_ELL.pdf</v>
      </c>
    </row>
    <row r="2789" spans="1:28" x14ac:dyDescent="0.25">
      <c r="A2789" t="s">
        <v>2793</v>
      </c>
      <c r="B2789">
        <v>0.99673306730245903</v>
      </c>
      <c r="C2789">
        <v>1.0337923490307701</v>
      </c>
      <c r="D2789">
        <v>1.01377953588044</v>
      </c>
      <c r="E2789">
        <v>0.94752976291428503</v>
      </c>
      <c r="F2789">
        <v>0.779097590303091</v>
      </c>
      <c r="G2789">
        <v>0.56388957964859099</v>
      </c>
      <c r="H2789">
        <v>0.31982215808183501</v>
      </c>
      <c r="I2789">
        <v>0.20396013477627301</v>
      </c>
      <c r="J2789">
        <v>0.12981918687226801</v>
      </c>
      <c r="K2789">
        <v>8.7020336341904703E-2</v>
      </c>
      <c r="L2789">
        <v>948.99836792940505</v>
      </c>
      <c r="M2789">
        <v>16.543475730787002</v>
      </c>
      <c r="N2789">
        <v>57.730911962003297</v>
      </c>
      <c r="O2789">
        <v>56.545389747790402</v>
      </c>
      <c r="P2789">
        <v>-6.9496392044820304E-2</v>
      </c>
      <c r="Q2789">
        <v>4.99143375251202E-2</v>
      </c>
      <c r="R2789">
        <v>0.99791241143225795</v>
      </c>
      <c r="S2789" t="s">
        <v>9241</v>
      </c>
      <c r="T2789" t="s">
        <v>12902</v>
      </c>
      <c r="U2789" t="s">
        <v>12902</v>
      </c>
      <c r="V2789" t="s">
        <v>12902</v>
      </c>
      <c r="W2789" t="s">
        <v>15651</v>
      </c>
      <c r="X2789">
        <v>18</v>
      </c>
      <c r="Y2789" t="s">
        <v>21992</v>
      </c>
      <c r="Z2789" t="s">
        <v>28364</v>
      </c>
      <c r="AA2789">
        <v>0.61330495829177611</v>
      </c>
      <c r="AB2789" t="str">
        <f>HYPERLINK("Melting_Curves/meltCurve_P55210_CASP7.pdf", "Melting_Curves/meltCurve_P55210_CASP7.pdf")</f>
        <v>Melting_Curves/meltCurve_P55210_CASP7.pdf</v>
      </c>
    </row>
    <row r="2790" spans="1:28" x14ac:dyDescent="0.25">
      <c r="A2790" t="s">
        <v>2794</v>
      </c>
      <c r="B2790">
        <v>0.99673306730245903</v>
      </c>
      <c r="C2790">
        <v>0.97456298529656304</v>
      </c>
      <c r="D2790">
        <v>0.85772555193359001</v>
      </c>
      <c r="E2790">
        <v>0.40957608602662399</v>
      </c>
      <c r="F2790">
        <v>0.32141829598453903</v>
      </c>
      <c r="G2790">
        <v>0.198163696225236</v>
      </c>
      <c r="H2790">
        <v>0.14655044915523499</v>
      </c>
      <c r="I2790">
        <v>0.14593656004462599</v>
      </c>
      <c r="J2790">
        <v>0.170439505148887</v>
      </c>
      <c r="K2790">
        <v>0.14742854736977701</v>
      </c>
      <c r="L2790">
        <v>1213.6427083552301</v>
      </c>
      <c r="M2790">
        <v>25.052676084728699</v>
      </c>
      <c r="N2790">
        <v>49.226437501775798</v>
      </c>
      <c r="O2790">
        <v>48.138138575152901</v>
      </c>
      <c r="P2790">
        <v>-0.108732955315338</v>
      </c>
      <c r="Q2790">
        <v>0.16429969604515099</v>
      </c>
      <c r="R2790">
        <v>0.99036530950960799</v>
      </c>
      <c r="S2790" t="s">
        <v>9242</v>
      </c>
      <c r="T2790" t="s">
        <v>12902</v>
      </c>
      <c r="U2790" t="s">
        <v>12902</v>
      </c>
      <c r="V2790" t="s">
        <v>12902</v>
      </c>
      <c r="W2790" t="s">
        <v>15652</v>
      </c>
      <c r="X2790">
        <v>2</v>
      </c>
      <c r="Y2790" t="s">
        <v>21993</v>
      </c>
      <c r="Z2790" t="s">
        <v>28365</v>
      </c>
      <c r="AA2790">
        <v>0.40686571071230287</v>
      </c>
      <c r="AB2790" t="str">
        <f>HYPERLINK("Melting_Curves/meltCurve_P55211_CASP9.pdf", "Melting_Curves/meltCurve_P55211_CASP9.pdf")</f>
        <v>Melting_Curves/meltCurve_P55211_CASP9.pdf</v>
      </c>
    </row>
    <row r="2791" spans="1:28" x14ac:dyDescent="0.25">
      <c r="A2791" t="s">
        <v>2795</v>
      </c>
      <c r="B2791">
        <v>0.99673306730245903</v>
      </c>
      <c r="C2791">
        <v>1.00824404054887</v>
      </c>
      <c r="D2791">
        <v>0.98982854795209796</v>
      </c>
      <c r="E2791">
        <v>0.94860191925678305</v>
      </c>
      <c r="F2791">
        <v>0.84508439361973897</v>
      </c>
      <c r="G2791">
        <v>0.82497399110559999</v>
      </c>
      <c r="H2791">
        <v>0.65901715498895397</v>
      </c>
      <c r="I2791">
        <v>0.84685715816002705</v>
      </c>
      <c r="J2791">
        <v>1.06058703855479</v>
      </c>
      <c r="K2791">
        <v>0.77138174895675204</v>
      </c>
      <c r="L2791">
        <v>2506.6902152630801</v>
      </c>
      <c r="M2791">
        <v>49.733781131859097</v>
      </c>
      <c r="O2791">
        <v>50.3208750122268</v>
      </c>
      <c r="P2791">
        <v>-4.1350820628309803E-2</v>
      </c>
      <c r="Q2791">
        <v>0.83264432389703102</v>
      </c>
      <c r="R2791">
        <v>0.39712308432071503</v>
      </c>
      <c r="S2791" t="s">
        <v>9243</v>
      </c>
      <c r="T2791" t="s">
        <v>12902</v>
      </c>
      <c r="U2791" t="s">
        <v>12902</v>
      </c>
      <c r="V2791" t="s">
        <v>12902</v>
      </c>
      <c r="W2791" t="s">
        <v>15653</v>
      </c>
      <c r="X2791">
        <v>20</v>
      </c>
      <c r="Y2791" t="s">
        <v>21994</v>
      </c>
      <c r="Z2791" t="s">
        <v>28366</v>
      </c>
      <c r="AA2791">
        <v>0.89104912295935157</v>
      </c>
      <c r="AB2791" t="str">
        <f>HYPERLINK("Melting_Curves/meltCurve_P55212_CASP6.pdf", "Melting_Curves/meltCurve_P55212_CASP6.pdf")</f>
        <v>Melting_Curves/meltCurve_P55212_CASP6.pdf</v>
      </c>
    </row>
    <row r="2792" spans="1:28" x14ac:dyDescent="0.25">
      <c r="A2792" t="s">
        <v>2796</v>
      </c>
      <c r="B2792">
        <v>0.99673306730245903</v>
      </c>
      <c r="C2792">
        <v>1.0115272850839101</v>
      </c>
      <c r="D2792">
        <v>0.981046350275945</v>
      </c>
      <c r="E2792">
        <v>0.94483340532966698</v>
      </c>
      <c r="F2792">
        <v>0.81395059014484805</v>
      </c>
      <c r="G2792">
        <v>0.63472396688339405</v>
      </c>
      <c r="H2792">
        <v>0.31243683024753599</v>
      </c>
      <c r="I2792">
        <v>0.17633703191088099</v>
      </c>
      <c r="J2792">
        <v>0.181890952505736</v>
      </c>
      <c r="K2792">
        <v>0.155725726600173</v>
      </c>
      <c r="L2792">
        <v>1139.6872791816299</v>
      </c>
      <c r="M2792">
        <v>19.904290596125598</v>
      </c>
      <c r="N2792">
        <v>58.0404715534616</v>
      </c>
      <c r="O2792">
        <v>56.689812430687802</v>
      </c>
      <c r="P2792">
        <v>-7.7454789888593306E-2</v>
      </c>
      <c r="Q2792">
        <v>0.117627068522706</v>
      </c>
      <c r="R2792">
        <v>0.99585266235760805</v>
      </c>
      <c r="S2792" t="s">
        <v>9244</v>
      </c>
      <c r="T2792" t="s">
        <v>12902</v>
      </c>
      <c r="U2792" t="s">
        <v>12902</v>
      </c>
      <c r="V2792" t="s">
        <v>12902</v>
      </c>
      <c r="W2792" t="s">
        <v>15654</v>
      </c>
      <c r="X2792">
        <v>26</v>
      </c>
      <c r="Y2792" t="s">
        <v>21995</v>
      </c>
      <c r="Z2792" t="s">
        <v>28367</v>
      </c>
      <c r="AA2792">
        <v>0.63591424431035748</v>
      </c>
      <c r="AB2792" t="str">
        <f>HYPERLINK("Melting_Curves/meltCurve_P55263_ADK.pdf", "Melting_Curves/meltCurve_P55263_ADK.pdf")</f>
        <v>Melting_Curves/meltCurve_P55263_ADK.pdf</v>
      </c>
    </row>
    <row r="2793" spans="1:28" x14ac:dyDescent="0.25">
      <c r="A2793" t="s">
        <v>2797</v>
      </c>
      <c r="B2793">
        <v>0.99673306730245903</v>
      </c>
      <c r="C2793">
        <v>0.97427777630994805</v>
      </c>
      <c r="D2793">
        <v>0.95990093377194097</v>
      </c>
      <c r="E2793">
        <v>0.74981281923241705</v>
      </c>
      <c r="F2793">
        <v>0.386243449159412</v>
      </c>
      <c r="G2793">
        <v>0.27381248254314899</v>
      </c>
      <c r="H2793">
        <v>0.230659643059348</v>
      </c>
      <c r="I2793">
        <v>0.199238635603145</v>
      </c>
      <c r="J2793">
        <v>0.15617940665465799</v>
      </c>
      <c r="K2793">
        <v>0.118779597852764</v>
      </c>
      <c r="L2793">
        <v>1197.87448831488</v>
      </c>
      <c r="M2793">
        <v>23.373452367142701</v>
      </c>
      <c r="N2793">
        <v>52.173763354900203</v>
      </c>
      <c r="O2793">
        <v>50.878636514434596</v>
      </c>
      <c r="P2793">
        <v>-9.5379050226462703E-2</v>
      </c>
      <c r="Q2793">
        <v>0.16954137089371599</v>
      </c>
      <c r="R2793">
        <v>0.99396953500164498</v>
      </c>
      <c r="S2793" t="s">
        <v>9245</v>
      </c>
      <c r="T2793" t="s">
        <v>12902</v>
      </c>
      <c r="U2793" t="s">
        <v>12902</v>
      </c>
      <c r="V2793" t="s">
        <v>12902</v>
      </c>
      <c r="W2793" t="s">
        <v>15655</v>
      </c>
      <c r="X2793">
        <v>24</v>
      </c>
      <c r="Y2793" t="s">
        <v>21996</v>
      </c>
      <c r="Z2793" t="s">
        <v>28368</v>
      </c>
      <c r="AA2793">
        <v>0.48952004583262998</v>
      </c>
      <c r="AB2793" t="str">
        <f>HYPERLINK("Melting_Curves/meltCurve_P55268_LAMB2.pdf", "Melting_Curves/meltCurve_P55268_LAMB2.pdf")</f>
        <v>Melting_Curves/meltCurve_P55268_LAMB2.pdf</v>
      </c>
    </row>
    <row r="2794" spans="1:28" x14ac:dyDescent="0.25">
      <c r="A2794" t="s">
        <v>2798</v>
      </c>
      <c r="B2794">
        <v>0.99673306730245903</v>
      </c>
      <c r="C2794">
        <v>1.0998599944268499</v>
      </c>
      <c r="D2794">
        <v>1.28543707141341</v>
      </c>
      <c r="E2794">
        <v>1.0486509183613399</v>
      </c>
      <c r="F2794">
        <v>1.2395503349671499</v>
      </c>
      <c r="G2794">
        <v>0.91587784197119704</v>
      </c>
      <c r="H2794">
        <v>0.64060623464048705</v>
      </c>
      <c r="I2794">
        <v>0.57241708987900397</v>
      </c>
      <c r="J2794">
        <v>0.16480330095789</v>
      </c>
      <c r="K2794">
        <v>0.108439090295194</v>
      </c>
      <c r="L2794">
        <v>1453.60187565396</v>
      </c>
      <c r="M2794">
        <v>22.877753406286502</v>
      </c>
      <c r="N2794">
        <v>63.5377898867157</v>
      </c>
      <c r="O2794">
        <v>63.058277988946102</v>
      </c>
      <c r="P2794">
        <v>-9.0702535574458898E-2</v>
      </c>
      <c r="Q2794">
        <v>0</v>
      </c>
      <c r="R2794">
        <v>0.88439854789137295</v>
      </c>
      <c r="S2794" t="s">
        <v>9246</v>
      </c>
      <c r="T2794" t="s">
        <v>12902</v>
      </c>
      <c r="U2794" t="s">
        <v>12902</v>
      </c>
      <c r="V2794" t="s">
        <v>12902</v>
      </c>
      <c r="W2794" t="s">
        <v>15656</v>
      </c>
      <c r="X2794">
        <v>4</v>
      </c>
      <c r="Y2794" t="s">
        <v>21997</v>
      </c>
      <c r="Z2794" t="s">
        <v>28369</v>
      </c>
      <c r="AA2794">
        <v>0.78393988184612007</v>
      </c>
      <c r="AB2794" t="str">
        <f>HYPERLINK("Melting_Curves/meltCurve_P55273_CDKN2D.pdf", "Melting_Curves/meltCurve_P55273_CDKN2D.pdf")</f>
        <v>Melting_Curves/meltCurve_P55273_CDKN2D.pdf</v>
      </c>
    </row>
    <row r="2795" spans="1:28" x14ac:dyDescent="0.25">
      <c r="A2795" t="s">
        <v>2799</v>
      </c>
      <c r="B2795">
        <v>0.99673306730245903</v>
      </c>
      <c r="C2795">
        <v>1.0122170096972001</v>
      </c>
      <c r="D2795">
        <v>0.99606248198801195</v>
      </c>
      <c r="E2795">
        <v>1.0928514429385601</v>
      </c>
      <c r="F2795">
        <v>1.02445531017981</v>
      </c>
      <c r="G2795">
        <v>1.00194450363368</v>
      </c>
      <c r="H2795">
        <v>0.80248438095085795</v>
      </c>
      <c r="I2795">
        <v>1.6822413747010401</v>
      </c>
      <c r="J2795">
        <v>1.8762315997580501</v>
      </c>
      <c r="K2795">
        <v>1.63251162446549</v>
      </c>
      <c r="L2795">
        <v>6769.5970820494504</v>
      </c>
      <c r="M2795">
        <v>108.532188363579</v>
      </c>
      <c r="O2795">
        <v>62.352925424412</v>
      </c>
      <c r="P2795">
        <v>0.217576380757453</v>
      </c>
      <c r="Q2795">
        <v>1.5</v>
      </c>
      <c r="R2795">
        <v>0.78535852955311802</v>
      </c>
      <c r="S2795" t="s">
        <v>9247</v>
      </c>
      <c r="T2795" t="s">
        <v>12902</v>
      </c>
      <c r="U2795" t="s">
        <v>12902</v>
      </c>
      <c r="V2795" t="s">
        <v>12902</v>
      </c>
      <c r="W2795" t="s">
        <v>15657</v>
      </c>
      <c r="X2795">
        <v>16</v>
      </c>
      <c r="Y2795" t="s">
        <v>19911</v>
      </c>
      <c r="Z2795" t="s">
        <v>28370</v>
      </c>
      <c r="AA2795">
        <v>1.1268078120891449</v>
      </c>
      <c r="AB2795" t="str">
        <f>HYPERLINK("Melting_Curves/meltCurve_P55327_2_TPD52.pdf", "Melting_Curves/meltCurve_P55327_2_TPD52.pdf")</f>
        <v>Melting_Curves/meltCurve_P55327_2_TPD52.pdf</v>
      </c>
    </row>
    <row r="2796" spans="1:28" x14ac:dyDescent="0.25">
      <c r="A2796" t="s">
        <v>2800</v>
      </c>
      <c r="B2796">
        <v>0.99673306730245903</v>
      </c>
      <c r="C2796">
        <v>0.86790856471395905</v>
      </c>
      <c r="D2796">
        <v>0.85685073492149599</v>
      </c>
      <c r="E2796">
        <v>0.66016534007141603</v>
      </c>
      <c r="F2796">
        <v>0.45680791617254002</v>
      </c>
      <c r="G2796">
        <v>0.23349289515239099</v>
      </c>
      <c r="H2796">
        <v>9.94074988925472E-2</v>
      </c>
      <c r="I2796">
        <v>6.7864873727876696E-2</v>
      </c>
      <c r="J2796">
        <v>5.9979628701877299E-2</v>
      </c>
      <c r="K2796">
        <v>4.20369331031792E-2</v>
      </c>
      <c r="L2796">
        <v>682.43295687972204</v>
      </c>
      <c r="M2796">
        <v>13.1226620320181</v>
      </c>
      <c r="N2796">
        <v>52.004145448212498</v>
      </c>
      <c r="O2796">
        <v>50.8409649340146</v>
      </c>
      <c r="P2796">
        <v>-6.4538985201213706E-2</v>
      </c>
      <c r="Q2796">
        <v>0</v>
      </c>
      <c r="R2796">
        <v>0.99374329634345504</v>
      </c>
      <c r="S2796" t="s">
        <v>9248</v>
      </c>
      <c r="T2796" t="s">
        <v>12902</v>
      </c>
      <c r="U2796" t="s">
        <v>12902</v>
      </c>
      <c r="V2796" t="s">
        <v>12902</v>
      </c>
      <c r="W2796" t="s">
        <v>15658</v>
      </c>
      <c r="X2796">
        <v>5</v>
      </c>
      <c r="Y2796" t="s">
        <v>21998</v>
      </c>
      <c r="Z2796" t="s">
        <v>28371</v>
      </c>
      <c r="AA2796">
        <v>0.42729529131206401</v>
      </c>
      <c r="AB2796" t="str">
        <f>HYPERLINK("Melting_Curves/meltCurve_P55735_SEC13.pdf", "Melting_Curves/meltCurve_P55735_SEC13.pdf")</f>
        <v>Melting_Curves/meltCurve_P55735_SEC13.pdf</v>
      </c>
    </row>
    <row r="2797" spans="1:28" x14ac:dyDescent="0.25">
      <c r="A2797" t="s">
        <v>2801</v>
      </c>
      <c r="B2797">
        <v>0.99673306730245903</v>
      </c>
      <c r="C2797">
        <v>0.92302056011081601</v>
      </c>
      <c r="D2797">
        <v>0.932040278938845</v>
      </c>
      <c r="E2797">
        <v>0.87933473456810596</v>
      </c>
      <c r="F2797">
        <v>0.72258250700132598</v>
      </c>
      <c r="G2797">
        <v>0.58428436350187096</v>
      </c>
      <c r="H2797">
        <v>0.42780413819490198</v>
      </c>
      <c r="I2797">
        <v>0.45820651612288199</v>
      </c>
      <c r="J2797">
        <v>0.45533933530704002</v>
      </c>
      <c r="K2797">
        <v>0.471541527098362</v>
      </c>
      <c r="L2797">
        <v>898.908857874604</v>
      </c>
      <c r="M2797">
        <v>16.938052501913901</v>
      </c>
      <c r="N2797">
        <v>60.047836957814603</v>
      </c>
      <c r="O2797">
        <v>52.3472153937972</v>
      </c>
      <c r="P2797">
        <v>-4.61001640539851E-2</v>
      </c>
      <c r="Q2797">
        <v>0.43014383665790401</v>
      </c>
      <c r="R2797">
        <v>0.97766133656676701</v>
      </c>
      <c r="S2797" t="s">
        <v>9249</v>
      </c>
      <c r="T2797" t="s">
        <v>12902</v>
      </c>
      <c r="U2797" t="s">
        <v>12902</v>
      </c>
      <c r="V2797" t="s">
        <v>12902</v>
      </c>
      <c r="W2797" t="s">
        <v>15659</v>
      </c>
      <c r="X2797">
        <v>3</v>
      </c>
      <c r="Y2797" t="s">
        <v>21999</v>
      </c>
      <c r="Z2797" t="s">
        <v>28372</v>
      </c>
      <c r="AA2797">
        <v>0.68866356989139865</v>
      </c>
      <c r="AB2797" t="str">
        <f>HYPERLINK("Melting_Curves/meltCurve_P55789_GFER.pdf", "Melting_Curves/meltCurve_P55789_GFER.pdf")</f>
        <v>Melting_Curves/meltCurve_P55789_GFER.pdf</v>
      </c>
    </row>
    <row r="2798" spans="1:28" x14ac:dyDescent="0.25">
      <c r="A2798" t="s">
        <v>2802</v>
      </c>
      <c r="B2798">
        <v>0.99673306730245903</v>
      </c>
      <c r="C2798">
        <v>0.47693414735551798</v>
      </c>
      <c r="D2798">
        <v>0.28881286649969401</v>
      </c>
      <c r="E2798">
        <v>0.23672320098486199</v>
      </c>
      <c r="F2798">
        <v>0.18409390377850099</v>
      </c>
      <c r="G2798">
        <v>0.11313186448872301</v>
      </c>
      <c r="H2798">
        <v>7.5048598320199403E-2</v>
      </c>
      <c r="I2798">
        <v>5.8679323895068802E-2</v>
      </c>
      <c r="J2798">
        <v>5.6957819710061898E-2</v>
      </c>
      <c r="K2798">
        <v>5.0071654874569702E-2</v>
      </c>
      <c r="L2798">
        <v>1111.5180359967101</v>
      </c>
      <c r="M2798">
        <v>25.863544320104499</v>
      </c>
      <c r="N2798">
        <v>43.377367710137896</v>
      </c>
      <c r="O2798">
        <v>42.721797931474804</v>
      </c>
      <c r="P2798">
        <v>-0.13525306811127299</v>
      </c>
      <c r="Q2798">
        <v>0.10635832023248799</v>
      </c>
      <c r="R2798">
        <v>0.94043119654790297</v>
      </c>
      <c r="S2798" t="s">
        <v>9250</v>
      </c>
      <c r="T2798" t="s">
        <v>12902</v>
      </c>
      <c r="U2798" t="s">
        <v>12902</v>
      </c>
      <c r="V2798" t="s">
        <v>12902</v>
      </c>
      <c r="W2798" t="s">
        <v>15660</v>
      </c>
      <c r="X2798">
        <v>9</v>
      </c>
      <c r="Y2798" t="s">
        <v>22000</v>
      </c>
      <c r="Z2798" t="s">
        <v>28373</v>
      </c>
      <c r="AA2798">
        <v>0.2068896448792627</v>
      </c>
      <c r="AB2798" t="str">
        <f>HYPERLINK("Melting_Curves/meltCurve_P55795_HNRNPH2.pdf", "Melting_Curves/meltCurve_P55795_HNRNPH2.pdf")</f>
        <v>Melting_Curves/meltCurve_P55795_HNRNPH2.pdf</v>
      </c>
    </row>
    <row r="2799" spans="1:28" x14ac:dyDescent="0.25">
      <c r="A2799" t="s">
        <v>2803</v>
      </c>
      <c r="B2799">
        <v>0.99673306730245903</v>
      </c>
      <c r="C2799">
        <v>0.94359402101827305</v>
      </c>
      <c r="D2799">
        <v>0.94992600077015599</v>
      </c>
      <c r="E2799">
        <v>0.94526872859534194</v>
      </c>
      <c r="F2799">
        <v>0.48555005848077898</v>
      </c>
      <c r="G2799">
        <v>0.17552490488168401</v>
      </c>
      <c r="H2799">
        <v>9.4192638039113402E-2</v>
      </c>
      <c r="I2799">
        <v>8.1196490171234204E-2</v>
      </c>
      <c r="J2799">
        <v>9.0648548526819903E-2</v>
      </c>
      <c r="K2799">
        <v>7.6061926085052398E-2</v>
      </c>
      <c r="L2799">
        <v>1909.33391150753</v>
      </c>
      <c r="M2799">
        <v>36.093791304302002</v>
      </c>
      <c r="N2799">
        <v>53.177542902571403</v>
      </c>
      <c r="O2799">
        <v>52.737624950420098</v>
      </c>
      <c r="P2799">
        <v>-0.156375376558369</v>
      </c>
      <c r="Q2799">
        <v>8.60652705468124E-2</v>
      </c>
      <c r="R2799">
        <v>0.99609988422498696</v>
      </c>
      <c r="S2799" t="s">
        <v>9251</v>
      </c>
      <c r="T2799" t="s">
        <v>12902</v>
      </c>
      <c r="U2799" t="s">
        <v>12902</v>
      </c>
      <c r="V2799" t="s">
        <v>12902</v>
      </c>
      <c r="W2799" t="s">
        <v>15661</v>
      </c>
      <c r="X2799">
        <v>25</v>
      </c>
      <c r="Y2799" t="s">
        <v>22001</v>
      </c>
      <c r="Z2799" t="s">
        <v>28374</v>
      </c>
      <c r="AA2799">
        <v>0.48313544041948708</v>
      </c>
      <c r="AB2799" t="str">
        <f>HYPERLINK("Melting_Curves/meltCurve_P55809_OXCT1.pdf", "Melting_Curves/meltCurve_P55809_OXCT1.pdf")</f>
        <v>Melting_Curves/meltCurve_P55809_OXCT1.pdf</v>
      </c>
    </row>
    <row r="2800" spans="1:28" x14ac:dyDescent="0.25">
      <c r="A2800" t="s">
        <v>2804</v>
      </c>
      <c r="B2800">
        <v>0.99673306730245903</v>
      </c>
      <c r="C2800">
        <v>0.90882787355535399</v>
      </c>
      <c r="D2800">
        <v>0.80249292868726596</v>
      </c>
      <c r="E2800">
        <v>0.46243610520476502</v>
      </c>
      <c r="F2800">
        <v>0.25729236312278903</v>
      </c>
      <c r="G2800">
        <v>0.152298325067205</v>
      </c>
      <c r="H2800">
        <v>0.105074162154512</v>
      </c>
      <c r="I2800">
        <v>8.7148745305832095E-2</v>
      </c>
      <c r="J2800">
        <v>9.0620143722670202E-2</v>
      </c>
      <c r="K2800">
        <v>6.5251352068515706E-2</v>
      </c>
      <c r="L2800">
        <v>888.28167959630696</v>
      </c>
      <c r="M2800">
        <v>18.1572192977365</v>
      </c>
      <c r="N2800">
        <v>49.3716159403372</v>
      </c>
      <c r="O2800">
        <v>48.339854359274597</v>
      </c>
      <c r="P2800">
        <v>-8.6747678748315696E-2</v>
      </c>
      <c r="Q2800">
        <v>7.6252804844021693E-2</v>
      </c>
      <c r="R2800">
        <v>0.99835624958001601</v>
      </c>
      <c r="S2800" t="s">
        <v>9252</v>
      </c>
      <c r="T2800" t="s">
        <v>12902</v>
      </c>
      <c r="U2800" t="s">
        <v>12902</v>
      </c>
      <c r="V2800" t="s">
        <v>12902</v>
      </c>
      <c r="W2800" t="s">
        <v>15662</v>
      </c>
      <c r="X2800">
        <v>30</v>
      </c>
      <c r="Y2800" t="s">
        <v>22002</v>
      </c>
      <c r="Z2800" t="s">
        <v>28375</v>
      </c>
      <c r="AA2800">
        <v>0.36671273096463852</v>
      </c>
      <c r="AB2800" t="str">
        <f>HYPERLINK("Melting_Curves/meltCurve_P55884_EIF3B.pdf", "Melting_Curves/meltCurve_P55884_EIF3B.pdf")</f>
        <v>Melting_Curves/meltCurve_P55884_EIF3B.pdf</v>
      </c>
    </row>
    <row r="2801" spans="1:28" x14ac:dyDescent="0.25">
      <c r="A2801" t="s">
        <v>2805</v>
      </c>
      <c r="B2801">
        <v>0.99673306730245903</v>
      </c>
      <c r="C2801">
        <v>0.97785545602508706</v>
      </c>
      <c r="D2801">
        <v>0.99390307047320903</v>
      </c>
      <c r="E2801">
        <v>0.88471913322613605</v>
      </c>
      <c r="F2801">
        <v>0.81641173439613401</v>
      </c>
      <c r="G2801">
        <v>0.61935857946193096</v>
      </c>
      <c r="H2801">
        <v>0.44745002168112202</v>
      </c>
      <c r="I2801">
        <v>0.50230416827587898</v>
      </c>
      <c r="J2801">
        <v>0.63427865163913799</v>
      </c>
      <c r="K2801">
        <v>0.49738386322290501</v>
      </c>
      <c r="L2801">
        <v>1296.2127662938401</v>
      </c>
      <c r="M2801">
        <v>24.190845301857301</v>
      </c>
      <c r="O2801">
        <v>53.2206462781566</v>
      </c>
      <c r="P2801">
        <v>-5.5095348618208202E-2</v>
      </c>
      <c r="Q2801">
        <v>0.51516120834602896</v>
      </c>
      <c r="R2801">
        <v>0.93672674470460504</v>
      </c>
      <c r="S2801" t="s">
        <v>9253</v>
      </c>
      <c r="T2801" t="s">
        <v>12902</v>
      </c>
      <c r="U2801" t="s">
        <v>12902</v>
      </c>
      <c r="V2801" t="s">
        <v>12902</v>
      </c>
      <c r="W2801" t="s">
        <v>15663</v>
      </c>
      <c r="X2801">
        <v>9</v>
      </c>
      <c r="Y2801" t="s">
        <v>22003</v>
      </c>
      <c r="Z2801" t="s">
        <v>28376</v>
      </c>
      <c r="AA2801">
        <v>0.7394347158199025</v>
      </c>
      <c r="AB2801" t="str">
        <f>HYPERLINK("Melting_Curves/meltCurve_P55957_BID.pdf", "Melting_Curves/meltCurve_P55957_BID.pdf")</f>
        <v>Melting_Curves/meltCurve_P55957_BID.pdf</v>
      </c>
    </row>
    <row r="2802" spans="1:28" x14ac:dyDescent="0.25">
      <c r="A2802" t="s">
        <v>2806</v>
      </c>
      <c r="B2802">
        <v>0.99673306730245903</v>
      </c>
      <c r="C2802">
        <v>1.0246379800925201</v>
      </c>
      <c r="D2802">
        <v>1.08250999837383</v>
      </c>
      <c r="E2802">
        <v>1.53573809671012</v>
      </c>
      <c r="F2802">
        <v>1.66761411149369</v>
      </c>
      <c r="G2802">
        <v>1.5627728724071099</v>
      </c>
      <c r="H2802">
        <v>1.0028287283970301</v>
      </c>
      <c r="I2802">
        <v>2.2544429291031598</v>
      </c>
      <c r="J2802">
        <v>2.71132773617065</v>
      </c>
      <c r="K2802">
        <v>3.0457771385823098</v>
      </c>
      <c r="L2802">
        <v>11574.581681563501</v>
      </c>
      <c r="M2802">
        <v>250</v>
      </c>
      <c r="O2802">
        <v>46.295363351389199</v>
      </c>
      <c r="P2802">
        <v>0.67501359481169398</v>
      </c>
      <c r="Q2802">
        <v>1.5</v>
      </c>
      <c r="R2802">
        <v>5.9509422609247402E-2</v>
      </c>
      <c r="S2802" t="s">
        <v>9254</v>
      </c>
      <c r="T2802" t="s">
        <v>12902</v>
      </c>
      <c r="U2802" t="s">
        <v>12902</v>
      </c>
      <c r="V2802" t="s">
        <v>12902</v>
      </c>
      <c r="W2802" t="s">
        <v>15664</v>
      </c>
      <c r="X2802">
        <v>3</v>
      </c>
      <c r="Y2802" t="s">
        <v>22004</v>
      </c>
      <c r="Z2802" t="s">
        <v>28377</v>
      </c>
      <c r="AA2802">
        <v>1.394987261474345</v>
      </c>
      <c r="AB2802" t="str">
        <f>HYPERLINK("Melting_Curves/meltCurve_P56181_NDUFV3.pdf", "Melting_Curves/meltCurve_P56181_NDUFV3.pdf")</f>
        <v>Melting_Curves/meltCurve_P56181_NDUFV3.pdf</v>
      </c>
    </row>
    <row r="2803" spans="1:28" x14ac:dyDescent="0.25">
      <c r="A2803" t="s">
        <v>2807</v>
      </c>
      <c r="B2803">
        <v>0.99673306730245903</v>
      </c>
      <c r="C2803">
        <v>0.99293525008855898</v>
      </c>
      <c r="D2803">
        <v>0.973832507874836</v>
      </c>
      <c r="E2803">
        <v>1.15137721584854</v>
      </c>
      <c r="F2803">
        <v>1.4716632976396999</v>
      </c>
      <c r="G2803">
        <v>1.34068045874404</v>
      </c>
      <c r="H2803">
        <v>1.2749677996091799</v>
      </c>
      <c r="I2803">
        <v>1.8733839392353899</v>
      </c>
      <c r="J2803">
        <v>3.0414987444607799</v>
      </c>
      <c r="K2803">
        <v>2.8438033407600298</v>
      </c>
      <c r="L2803">
        <v>2241.59424742891</v>
      </c>
      <c r="M2803">
        <v>44.366384110115803</v>
      </c>
      <c r="O2803">
        <v>50.4222984078257</v>
      </c>
      <c r="P2803">
        <v>0.109987196515484</v>
      </c>
      <c r="Q2803">
        <v>1.5</v>
      </c>
      <c r="R2803">
        <v>0.15666323046969799</v>
      </c>
      <c r="S2803" t="s">
        <v>9255</v>
      </c>
      <c r="T2803" t="s">
        <v>12902</v>
      </c>
      <c r="U2803" t="s">
        <v>12902</v>
      </c>
      <c r="V2803" t="s">
        <v>12902</v>
      </c>
      <c r="W2803" t="s">
        <v>15665</v>
      </c>
      <c r="X2803">
        <v>25</v>
      </c>
      <c r="Y2803" t="s">
        <v>22004</v>
      </c>
      <c r="Z2803" t="s">
        <v>28378</v>
      </c>
      <c r="AA2803">
        <v>1.3231724517913159</v>
      </c>
      <c r="AB2803" t="str">
        <f>HYPERLINK("Melting_Curves/meltCurve_P56181_2_NDUFV3.pdf", "Melting_Curves/meltCurve_P56181_2_NDUFV3.pdf")</f>
        <v>Melting_Curves/meltCurve_P56181_2_NDUFV3.pdf</v>
      </c>
    </row>
    <row r="2804" spans="1:28" x14ac:dyDescent="0.25">
      <c r="A2804" t="s">
        <v>2808</v>
      </c>
      <c r="B2804">
        <v>0.99673306730245903</v>
      </c>
      <c r="C2804">
        <v>1.0224358625593899</v>
      </c>
      <c r="D2804">
        <v>0.79615850055567605</v>
      </c>
      <c r="E2804">
        <v>0.50911918078554497</v>
      </c>
      <c r="F2804">
        <v>0.29519163613730398</v>
      </c>
      <c r="G2804">
        <v>0.22732019076363399</v>
      </c>
      <c r="H2804">
        <v>0.17610922128873999</v>
      </c>
      <c r="I2804">
        <v>0.14743175681821899</v>
      </c>
      <c r="J2804">
        <v>0.153559157896276</v>
      </c>
      <c r="K2804">
        <v>0.10042094485243901</v>
      </c>
      <c r="L2804">
        <v>978.99461289019303</v>
      </c>
      <c r="M2804">
        <v>19.976852690528698</v>
      </c>
      <c r="N2804">
        <v>49.849089480751303</v>
      </c>
      <c r="O2804">
        <v>48.523302905339698</v>
      </c>
      <c r="P2804">
        <v>-8.8178946959438897E-2</v>
      </c>
      <c r="Q2804">
        <v>0.143289771661433</v>
      </c>
      <c r="R2804">
        <v>0.99263627949434197</v>
      </c>
      <c r="S2804" t="s">
        <v>9256</v>
      </c>
      <c r="T2804" t="s">
        <v>12902</v>
      </c>
      <c r="U2804" t="s">
        <v>12902</v>
      </c>
      <c r="V2804" t="s">
        <v>12902</v>
      </c>
      <c r="W2804" t="s">
        <v>15666</v>
      </c>
      <c r="X2804">
        <v>4</v>
      </c>
      <c r="Y2804" t="s">
        <v>22005</v>
      </c>
      <c r="Z2804" t="s">
        <v>28379</v>
      </c>
      <c r="AA2804">
        <v>0.41251510928207319</v>
      </c>
      <c r="AB2804" t="str">
        <f>HYPERLINK("Melting_Curves/meltCurve_P56182_RRP1.pdf", "Melting_Curves/meltCurve_P56182_RRP1.pdf")</f>
        <v>Melting_Curves/meltCurve_P56182_RRP1.pdf</v>
      </c>
    </row>
    <row r="2805" spans="1:28" x14ac:dyDescent="0.25">
      <c r="A2805" t="s">
        <v>2809</v>
      </c>
      <c r="B2805">
        <v>0.99673306730245903</v>
      </c>
      <c r="C2805">
        <v>0.95110523767310096</v>
      </c>
      <c r="D2805">
        <v>0.74202727998457696</v>
      </c>
      <c r="E2805">
        <v>0.494113037885622</v>
      </c>
      <c r="F2805">
        <v>0.18899155054560801</v>
      </c>
      <c r="G2805">
        <v>0.118524505282319</v>
      </c>
      <c r="H2805">
        <v>8.1499766383496403E-2</v>
      </c>
      <c r="I2805">
        <v>7.0087900507998402E-2</v>
      </c>
      <c r="J2805">
        <v>7.6929931429422393E-2</v>
      </c>
      <c r="K2805">
        <v>6.7089651675522999E-2</v>
      </c>
      <c r="L2805">
        <v>934.88602415817797</v>
      </c>
      <c r="M2805">
        <v>19.169455111492098</v>
      </c>
      <c r="N2805">
        <v>49.105605633548102</v>
      </c>
      <c r="O2805">
        <v>48.248132392142999</v>
      </c>
      <c r="P2805">
        <v>-9.3225373396547406E-2</v>
      </c>
      <c r="Q2805">
        <v>6.14700793812515E-2</v>
      </c>
      <c r="R2805">
        <v>0.99705409289587699</v>
      </c>
      <c r="S2805" t="s">
        <v>9257</v>
      </c>
      <c r="T2805" t="s">
        <v>12902</v>
      </c>
      <c r="U2805" t="s">
        <v>12902</v>
      </c>
      <c r="V2805" t="s">
        <v>12902</v>
      </c>
      <c r="W2805" t="s">
        <v>15667</v>
      </c>
      <c r="X2805">
        <v>22</v>
      </c>
      <c r="Y2805" t="s">
        <v>22006</v>
      </c>
      <c r="Z2805" t="s">
        <v>28380</v>
      </c>
      <c r="AA2805">
        <v>0.35019312633166683</v>
      </c>
      <c r="AB2805" t="str">
        <f>HYPERLINK("Melting_Curves/meltCurve_P56192_MARS.pdf", "Melting_Curves/meltCurve_P56192_MARS.pdf")</f>
        <v>Melting_Curves/meltCurve_P56192_MARS.pdf</v>
      </c>
    </row>
    <row r="2806" spans="1:28" x14ac:dyDescent="0.25">
      <c r="A2806" t="s">
        <v>2810</v>
      </c>
      <c r="B2806">
        <v>0.99673306730245903</v>
      </c>
      <c r="C2806">
        <v>0.92007942179990598</v>
      </c>
      <c r="D2806">
        <v>0.92142530357317498</v>
      </c>
      <c r="E2806">
        <v>0.87339145455840705</v>
      </c>
      <c r="F2806">
        <v>0.83166289107968205</v>
      </c>
      <c r="G2806">
        <v>0.77542297994005605</v>
      </c>
      <c r="H2806">
        <v>0.78005872370740603</v>
      </c>
      <c r="I2806">
        <v>0.68276676840971495</v>
      </c>
      <c r="J2806">
        <v>0.51455318217685897</v>
      </c>
      <c r="K2806">
        <v>0.30523449691543603</v>
      </c>
      <c r="L2806">
        <v>498.12321194512299</v>
      </c>
      <c r="M2806">
        <v>7.4069172763150597</v>
      </c>
      <c r="N2806">
        <v>67.251083415385196</v>
      </c>
      <c r="O2806">
        <v>62.871057670219201</v>
      </c>
      <c r="P2806">
        <v>-2.9497161318721699E-2</v>
      </c>
      <c r="Q2806">
        <v>0</v>
      </c>
      <c r="R2806">
        <v>0.88906083017040105</v>
      </c>
      <c r="S2806" t="s">
        <v>9258</v>
      </c>
      <c r="T2806" t="s">
        <v>12902</v>
      </c>
      <c r="U2806" t="s">
        <v>12902</v>
      </c>
      <c r="V2806" t="s">
        <v>12902</v>
      </c>
      <c r="W2806" t="s">
        <v>15668</v>
      </c>
      <c r="X2806">
        <v>18</v>
      </c>
      <c r="Y2806" t="s">
        <v>22007</v>
      </c>
      <c r="Z2806" t="s">
        <v>28381</v>
      </c>
      <c r="AA2806">
        <v>0.78929866299520945</v>
      </c>
      <c r="AB2806" t="str">
        <f>HYPERLINK("Melting_Curves/meltCurve_P56199_ITGA1.pdf", "Melting_Curves/meltCurve_P56199_ITGA1.pdf")</f>
        <v>Melting_Curves/meltCurve_P56199_ITGA1.pdf</v>
      </c>
    </row>
    <row r="2807" spans="1:28" x14ac:dyDescent="0.25">
      <c r="A2807" t="s">
        <v>2811</v>
      </c>
      <c r="B2807">
        <v>0.99673306730245903</v>
      </c>
      <c r="C2807">
        <v>1.00400154968396</v>
      </c>
      <c r="D2807">
        <v>1.0096601281325801</v>
      </c>
      <c r="E2807">
        <v>0.916590707074323</v>
      </c>
      <c r="F2807">
        <v>0.81131139209318803</v>
      </c>
      <c r="G2807">
        <v>0.73784995484966998</v>
      </c>
      <c r="H2807">
        <v>0.59684125193516901</v>
      </c>
      <c r="I2807">
        <v>0.77530350473482601</v>
      </c>
      <c r="J2807">
        <v>1.1153588444846101</v>
      </c>
      <c r="K2807">
        <v>1.0174958813866799</v>
      </c>
      <c r="L2807">
        <v>12394.217443219401</v>
      </c>
      <c r="M2807">
        <v>250</v>
      </c>
      <c r="O2807">
        <v>49.573683915425903</v>
      </c>
      <c r="P2807">
        <v>-0.198744332493375</v>
      </c>
      <c r="Q2807">
        <v>0.84236013831729695</v>
      </c>
      <c r="R2807">
        <v>0.22307736221617999</v>
      </c>
      <c r="S2807" t="s">
        <v>9259</v>
      </c>
      <c r="T2807" t="s">
        <v>12902</v>
      </c>
      <c r="U2807" t="s">
        <v>12902</v>
      </c>
      <c r="V2807" t="s">
        <v>12902</v>
      </c>
      <c r="W2807" t="s">
        <v>15669</v>
      </c>
      <c r="X2807">
        <v>4</v>
      </c>
      <c r="Y2807" t="s">
        <v>22008</v>
      </c>
      <c r="Z2807" t="s">
        <v>28382</v>
      </c>
      <c r="AA2807">
        <v>0.89269706824283768</v>
      </c>
      <c r="AB2807" t="str">
        <f>HYPERLINK("Melting_Curves/meltCurve_P56211_ARPP19.pdf", "Melting_Curves/meltCurve_P56211_ARPP19.pdf")</f>
        <v>Melting_Curves/meltCurve_P56211_ARPP19.pdf</v>
      </c>
    </row>
    <row r="2808" spans="1:28" x14ac:dyDescent="0.25">
      <c r="A2808" t="s">
        <v>2812</v>
      </c>
      <c r="B2808">
        <v>0.99673306730245903</v>
      </c>
      <c r="C2808">
        <v>0.92817079565697602</v>
      </c>
      <c r="D2808">
        <v>0.97508611542135804</v>
      </c>
      <c r="E2808">
        <v>0.80435984716197795</v>
      </c>
      <c r="F2808">
        <v>0.51535786306755205</v>
      </c>
      <c r="G2808">
        <v>0.39329313483647599</v>
      </c>
      <c r="H2808">
        <v>0.30460893100915698</v>
      </c>
      <c r="I2808">
        <v>0.438194664512918</v>
      </c>
      <c r="J2808">
        <v>0.60120111401310705</v>
      </c>
      <c r="K2808">
        <v>0.68652298331697803</v>
      </c>
      <c r="L2808">
        <v>2529.7628981113598</v>
      </c>
      <c r="M2808">
        <v>50.5240356411853</v>
      </c>
      <c r="N2808">
        <v>53.843243834246103</v>
      </c>
      <c r="O2808">
        <v>49.992234848674002</v>
      </c>
      <c r="P2808">
        <v>-0.12999447474539499</v>
      </c>
      <c r="Q2808">
        <v>0.48549571814381398</v>
      </c>
      <c r="R2808">
        <v>0.82135942973863096</v>
      </c>
      <c r="S2808" t="s">
        <v>9260</v>
      </c>
      <c r="T2808" t="s">
        <v>12902</v>
      </c>
      <c r="U2808" t="s">
        <v>12902</v>
      </c>
      <c r="V2808" t="s">
        <v>12902</v>
      </c>
      <c r="W2808" t="s">
        <v>15670</v>
      </c>
      <c r="X2808">
        <v>8</v>
      </c>
      <c r="Y2808" t="s">
        <v>19572</v>
      </c>
      <c r="Z2808" t="s">
        <v>28383</v>
      </c>
      <c r="AA2808">
        <v>0.65931873144900377</v>
      </c>
      <c r="AB2808" t="str">
        <f>HYPERLINK("Melting_Curves/meltCurve_P56270_2_MAZ.pdf", "Melting_Curves/meltCurve_P56270_2_MAZ.pdf")</f>
        <v>Melting_Curves/meltCurve_P56270_2_MAZ.pdf</v>
      </c>
    </row>
    <row r="2809" spans="1:28" x14ac:dyDescent="0.25">
      <c r="A2809" t="s">
        <v>2813</v>
      </c>
      <c r="B2809">
        <v>0.99673306730245903</v>
      </c>
      <c r="C2809">
        <v>1.0350670276779801</v>
      </c>
      <c r="D2809">
        <v>1.0234094620863401</v>
      </c>
      <c r="E2809">
        <v>0.96045543368805797</v>
      </c>
      <c r="F2809">
        <v>0.76624625274081803</v>
      </c>
      <c r="G2809">
        <v>0.74330333740756704</v>
      </c>
      <c r="H2809">
        <v>0.65134263441385198</v>
      </c>
      <c r="I2809">
        <v>0.91143369521398898</v>
      </c>
      <c r="J2809">
        <v>1.5264733266896799</v>
      </c>
      <c r="K2809">
        <v>1.3603958917666401</v>
      </c>
      <c r="L2809">
        <v>8242.4974443269093</v>
      </c>
      <c r="M2809">
        <v>125.732876786849</v>
      </c>
      <c r="O2809">
        <v>65.539046431733098</v>
      </c>
      <c r="P2809">
        <v>0.21790557050465301</v>
      </c>
      <c r="Q2809">
        <v>1.45433853823924</v>
      </c>
      <c r="R2809">
        <v>0.582985238470899</v>
      </c>
      <c r="S2809" t="s">
        <v>9261</v>
      </c>
      <c r="T2809" t="s">
        <v>12902</v>
      </c>
      <c r="U2809" t="s">
        <v>12902</v>
      </c>
      <c r="V2809" t="s">
        <v>12902</v>
      </c>
      <c r="W2809" t="s">
        <v>15671</v>
      </c>
      <c r="X2809">
        <v>6</v>
      </c>
      <c r="Y2809" t="s">
        <v>22009</v>
      </c>
      <c r="Z2809" t="s">
        <v>28384</v>
      </c>
      <c r="AA2809">
        <v>1.0671046819274079</v>
      </c>
      <c r="AB2809" t="str">
        <f>HYPERLINK("Melting_Curves/meltCurve_P56277_CMC4.pdf", "Melting_Curves/meltCurve_P56277_CMC4.pdf")</f>
        <v>Melting_Curves/meltCurve_P56277_CMC4.pdf</v>
      </c>
    </row>
    <row r="2810" spans="1:28" x14ac:dyDescent="0.25">
      <c r="A2810" t="s">
        <v>2814</v>
      </c>
      <c r="B2810">
        <v>0.99673306730245903</v>
      </c>
      <c r="C2810">
        <v>1.01580293893316</v>
      </c>
      <c r="D2810">
        <v>0.96102621056904203</v>
      </c>
      <c r="E2810">
        <v>0.80535884093932497</v>
      </c>
      <c r="F2810">
        <v>0.66331562272033495</v>
      </c>
      <c r="G2810">
        <v>0.55903562304739396</v>
      </c>
      <c r="H2810">
        <v>0.57934822475493197</v>
      </c>
      <c r="I2810">
        <v>0.57695614092553704</v>
      </c>
      <c r="J2810">
        <v>0.442907390481529</v>
      </c>
      <c r="K2810">
        <v>0.30916955837145799</v>
      </c>
      <c r="L2810">
        <v>541.98260877694304</v>
      </c>
      <c r="M2810">
        <v>9.9117770320201704</v>
      </c>
      <c r="N2810">
        <v>61.909701099974299</v>
      </c>
      <c r="O2810">
        <v>52.594508191583799</v>
      </c>
      <c r="P2810">
        <v>-3.09768881403924E-2</v>
      </c>
      <c r="Q2810">
        <v>0.34284442141486299</v>
      </c>
      <c r="R2810">
        <v>0.93036628671969901</v>
      </c>
      <c r="S2810" t="s">
        <v>9262</v>
      </c>
      <c r="T2810" t="s">
        <v>12902</v>
      </c>
      <c r="U2810" t="s">
        <v>12902</v>
      </c>
      <c r="V2810" t="s">
        <v>12902</v>
      </c>
      <c r="W2810" t="s">
        <v>15672</v>
      </c>
      <c r="X2810">
        <v>2</v>
      </c>
      <c r="Y2810" t="s">
        <v>22010</v>
      </c>
      <c r="Z2810" t="s">
        <v>28385</v>
      </c>
      <c r="AA2810">
        <v>0.68244476087183448</v>
      </c>
      <c r="AB2810" t="str">
        <f>HYPERLINK("Melting_Curves/meltCurve_P56378_MP68.pdf", "Melting_Curves/meltCurve_P56378_MP68.pdf")</f>
        <v>Melting_Curves/meltCurve_P56378_MP68.pdf</v>
      </c>
    </row>
    <row r="2811" spans="1:28" x14ac:dyDescent="0.25">
      <c r="A2811" t="s">
        <v>2815</v>
      </c>
      <c r="B2811">
        <v>0.99673306730245903</v>
      </c>
      <c r="C2811">
        <v>0.994396949093451</v>
      </c>
      <c r="D2811">
        <v>1.01164350743458</v>
      </c>
      <c r="E2811">
        <v>1.08520868394018</v>
      </c>
      <c r="F2811">
        <v>0.83482031791878497</v>
      </c>
      <c r="G2811">
        <v>0.92565515434572399</v>
      </c>
      <c r="H2811">
        <v>1.03003052030193</v>
      </c>
      <c r="I2811">
        <v>1.5160811716807201</v>
      </c>
      <c r="J2811">
        <v>0.81012024273086003</v>
      </c>
      <c r="K2811">
        <v>0.52669898310603502</v>
      </c>
      <c r="L2811">
        <v>15000</v>
      </c>
      <c r="M2811">
        <v>223.145897363426</v>
      </c>
      <c r="O2811">
        <v>67.215208054184899</v>
      </c>
      <c r="P2811">
        <v>-0.39288435743386901</v>
      </c>
      <c r="Q2811">
        <v>0.52662721016974701</v>
      </c>
      <c r="R2811">
        <v>0.451234203616666</v>
      </c>
      <c r="S2811" t="s">
        <v>9263</v>
      </c>
      <c r="T2811" t="s">
        <v>12902</v>
      </c>
      <c r="U2811" t="s">
        <v>12902</v>
      </c>
      <c r="V2811" t="s">
        <v>12902</v>
      </c>
      <c r="W2811" t="s">
        <v>15673</v>
      </c>
      <c r="X2811">
        <v>3</v>
      </c>
      <c r="Y2811" t="s">
        <v>22011</v>
      </c>
      <c r="Z2811" t="s">
        <v>28386</v>
      </c>
      <c r="AA2811">
        <v>0.95621287011533707</v>
      </c>
      <c r="AB2811" t="str">
        <f>HYPERLINK("Melting_Curves/meltCurve_P56381_ATP5E.pdf", "Melting_Curves/meltCurve_P56381_ATP5E.pdf")</f>
        <v>Melting_Curves/meltCurve_P56381_ATP5E.pdf</v>
      </c>
    </row>
    <row r="2812" spans="1:28" x14ac:dyDescent="0.25">
      <c r="A2812" t="s">
        <v>2816</v>
      </c>
      <c r="B2812">
        <v>0.99673306730245903</v>
      </c>
      <c r="C2812">
        <v>1.01976104136468</v>
      </c>
      <c r="D2812">
        <v>0.99926996890187403</v>
      </c>
      <c r="E2812">
        <v>0.89476199159298697</v>
      </c>
      <c r="F2812">
        <v>0.77917512415815604</v>
      </c>
      <c r="G2812">
        <v>0.70554172506783097</v>
      </c>
      <c r="H2812">
        <v>0.74080144024605199</v>
      </c>
      <c r="I2812">
        <v>0.704003265558377</v>
      </c>
      <c r="J2812">
        <v>0.81229769555961795</v>
      </c>
      <c r="K2812">
        <v>0.655381313256165</v>
      </c>
      <c r="L2812">
        <v>1655.5374777699899</v>
      </c>
      <c r="M2812">
        <v>32.793018952309602</v>
      </c>
      <c r="O2812">
        <v>50.297827348310101</v>
      </c>
      <c r="P2812">
        <v>-4.5041213226051501E-2</v>
      </c>
      <c r="Q2812">
        <v>0.72366501838073405</v>
      </c>
      <c r="R2812">
        <v>0.91429578932813604</v>
      </c>
      <c r="S2812" t="s">
        <v>9264</v>
      </c>
      <c r="T2812" t="s">
        <v>12902</v>
      </c>
      <c r="U2812" t="s">
        <v>12902</v>
      </c>
      <c r="V2812" t="s">
        <v>12902</v>
      </c>
      <c r="W2812" t="s">
        <v>15674</v>
      </c>
      <c r="X2812">
        <v>5</v>
      </c>
      <c r="Y2812" t="s">
        <v>22012</v>
      </c>
      <c r="Z2812" t="s">
        <v>28387</v>
      </c>
      <c r="AA2812">
        <v>0.82167884156357196</v>
      </c>
      <c r="AB2812" t="str">
        <f>HYPERLINK("Melting_Curves/meltCurve_P56385_ATP5I.pdf", "Melting_Curves/meltCurve_P56385_ATP5I.pdf")</f>
        <v>Melting_Curves/meltCurve_P56385_ATP5I.pdf</v>
      </c>
    </row>
    <row r="2813" spans="1:28" x14ac:dyDescent="0.25">
      <c r="A2813" t="s">
        <v>2817</v>
      </c>
      <c r="B2813">
        <v>0.99673306730245903</v>
      </c>
      <c r="C2813">
        <v>0.958663871885715</v>
      </c>
      <c r="D2813">
        <v>0.94154404705073602</v>
      </c>
      <c r="E2813">
        <v>0.86530494476830599</v>
      </c>
      <c r="F2813">
        <v>0.61211744835298698</v>
      </c>
      <c r="G2813">
        <v>0.36807313450641599</v>
      </c>
      <c r="H2813">
        <v>0.21751641935153301</v>
      </c>
      <c r="I2813">
        <v>0.197192189795211</v>
      </c>
      <c r="J2813">
        <v>0.15826110506637001</v>
      </c>
      <c r="K2813">
        <v>0.11812107550468599</v>
      </c>
      <c r="L2813">
        <v>963.35043312699804</v>
      </c>
      <c r="M2813">
        <v>17.8715638260873</v>
      </c>
      <c r="N2813">
        <v>54.778424218096802</v>
      </c>
      <c r="O2813">
        <v>53.2427700698737</v>
      </c>
      <c r="P2813">
        <v>-7.3506301265724494E-2</v>
      </c>
      <c r="Q2813">
        <v>0.12408771992605799</v>
      </c>
      <c r="R2813">
        <v>0.99759255639701305</v>
      </c>
      <c r="S2813" t="s">
        <v>9265</v>
      </c>
      <c r="T2813" t="s">
        <v>12902</v>
      </c>
      <c r="U2813" t="s">
        <v>12902</v>
      </c>
      <c r="V2813" t="s">
        <v>12902</v>
      </c>
      <c r="W2813" t="s">
        <v>15675</v>
      </c>
      <c r="X2813">
        <v>11</v>
      </c>
      <c r="Y2813" t="s">
        <v>22013</v>
      </c>
      <c r="Z2813" t="s">
        <v>28388</v>
      </c>
      <c r="AA2813">
        <v>0.54424861838484562</v>
      </c>
      <c r="AB2813" t="str">
        <f>HYPERLINK("Melting_Curves/meltCurve_P56524_HDAC4.pdf", "Melting_Curves/meltCurve_P56524_HDAC4.pdf")</f>
        <v>Melting_Curves/meltCurve_P56524_HDAC4.pdf</v>
      </c>
    </row>
    <row r="2814" spans="1:28" x14ac:dyDescent="0.25">
      <c r="A2814" t="s">
        <v>2818</v>
      </c>
      <c r="B2814">
        <v>0.99673306730245903</v>
      </c>
      <c r="C2814">
        <v>1.0768224744425201</v>
      </c>
      <c r="D2814">
        <v>1.0838931642518199</v>
      </c>
      <c r="E2814">
        <v>1.11436305348139</v>
      </c>
      <c r="F2814">
        <v>1.16317329823199</v>
      </c>
      <c r="G2814">
        <v>1.0766849874764499</v>
      </c>
      <c r="H2814">
        <v>0.65610443191254497</v>
      </c>
      <c r="I2814">
        <v>0.22702878789901501</v>
      </c>
      <c r="J2814">
        <v>9.7401813550292302E-2</v>
      </c>
      <c r="K2814">
        <v>7.5609008702502506E-2</v>
      </c>
      <c r="L2814">
        <v>3014.0235368141598</v>
      </c>
      <c r="M2814">
        <v>48.983014762397701</v>
      </c>
      <c r="N2814">
        <v>61.766463419371597</v>
      </c>
      <c r="O2814">
        <v>61.429715454026997</v>
      </c>
      <c r="P2814">
        <v>-0.18243490683731001</v>
      </c>
      <c r="Q2814">
        <v>8.4832630514517601E-2</v>
      </c>
      <c r="R2814">
        <v>0.96642867522695497</v>
      </c>
      <c r="S2814" t="s">
        <v>9266</v>
      </c>
      <c r="T2814" t="s">
        <v>12902</v>
      </c>
      <c r="U2814" t="s">
        <v>12902</v>
      </c>
      <c r="V2814" t="s">
        <v>12902</v>
      </c>
      <c r="W2814" t="s">
        <v>15676</v>
      </c>
      <c r="X2814">
        <v>8</v>
      </c>
      <c r="Y2814" t="s">
        <v>22014</v>
      </c>
      <c r="Z2814" t="s">
        <v>28389</v>
      </c>
      <c r="AA2814">
        <v>0.744129075307851</v>
      </c>
      <c r="AB2814" t="str">
        <f>HYPERLINK("Melting_Curves/meltCurve_P56537_EIF6.pdf", "Melting_Curves/meltCurve_P56537_EIF6.pdf")</f>
        <v>Melting_Curves/meltCurve_P56537_EIF6.pdf</v>
      </c>
    </row>
    <row r="2815" spans="1:28" x14ac:dyDescent="0.25">
      <c r="A2815" t="s">
        <v>2819</v>
      </c>
      <c r="B2815">
        <v>0.99673306730245903</v>
      </c>
      <c r="C2815">
        <v>0.96869175666715401</v>
      </c>
      <c r="D2815">
        <v>1.03560885234807</v>
      </c>
      <c r="E2815">
        <v>0.99410209533442895</v>
      </c>
      <c r="F2815">
        <v>0.76089595399771703</v>
      </c>
      <c r="G2815">
        <v>0.59525641717140398</v>
      </c>
      <c r="H2815">
        <v>0.247813976879071</v>
      </c>
      <c r="I2815">
        <v>9.7026980593207607E-2</v>
      </c>
      <c r="J2815">
        <v>8.9362971581823297E-2</v>
      </c>
      <c r="K2815">
        <v>7.4594028975024596E-2</v>
      </c>
      <c r="L2815">
        <v>1148.3774663500999</v>
      </c>
      <c r="M2815">
        <v>20.0842960986271</v>
      </c>
      <c r="N2815">
        <v>57.367865550744597</v>
      </c>
      <c r="O2815">
        <v>56.6200867058566</v>
      </c>
      <c r="P2815">
        <v>-8.5829557435894002E-2</v>
      </c>
      <c r="Q2815">
        <v>3.2174919075441497E-2</v>
      </c>
      <c r="R2815">
        <v>0.99228178901360597</v>
      </c>
      <c r="S2815" t="s">
        <v>9267</v>
      </c>
      <c r="T2815" t="s">
        <v>12902</v>
      </c>
      <c r="U2815" t="s">
        <v>12902</v>
      </c>
      <c r="V2815" t="s">
        <v>12902</v>
      </c>
      <c r="W2815" t="s">
        <v>15677</v>
      </c>
      <c r="X2815">
        <v>18</v>
      </c>
      <c r="Y2815" t="s">
        <v>22015</v>
      </c>
      <c r="Z2815" t="s">
        <v>28390</v>
      </c>
      <c r="AA2815">
        <v>0.59800250057318416</v>
      </c>
      <c r="AB2815" t="str">
        <f>HYPERLINK("Melting_Curves/meltCurve_P56545_2_CTBP2.pdf", "Melting_Curves/meltCurve_P56545_2_CTBP2.pdf")</f>
        <v>Melting_Curves/meltCurve_P56545_2_CTBP2.pdf</v>
      </c>
    </row>
    <row r="2816" spans="1:28" x14ac:dyDescent="0.25">
      <c r="A2816" t="s">
        <v>2820</v>
      </c>
      <c r="B2816">
        <v>0.99673306730245903</v>
      </c>
      <c r="C2816">
        <v>0.94227614365663603</v>
      </c>
      <c r="D2816">
        <v>0.62912878004719397</v>
      </c>
      <c r="E2816">
        <v>0.43159797782273202</v>
      </c>
      <c r="F2816">
        <v>0.196873711991324</v>
      </c>
      <c r="G2816">
        <v>0.12699548744286299</v>
      </c>
      <c r="H2816">
        <v>0.105456082755367</v>
      </c>
      <c r="I2816">
        <v>6.4360725823703793E-2</v>
      </c>
      <c r="J2816">
        <v>6.0645295633555897E-2</v>
      </c>
      <c r="K2816">
        <v>5.7120191788511999E-2</v>
      </c>
      <c r="L2816">
        <v>822.673446948687</v>
      </c>
      <c r="M2816">
        <v>17.1705503627798</v>
      </c>
      <c r="N2816">
        <v>48.281446653579998</v>
      </c>
      <c r="O2816">
        <v>47.276178585047802</v>
      </c>
      <c r="P2816">
        <v>-8.5212788768775694E-2</v>
      </c>
      <c r="Q2816">
        <v>6.15802823316648E-2</v>
      </c>
      <c r="R2816">
        <v>0.99240974277370497</v>
      </c>
      <c r="S2816" t="s">
        <v>9268</v>
      </c>
      <c r="T2816" t="s">
        <v>12902</v>
      </c>
      <c r="U2816" t="s">
        <v>12902</v>
      </c>
      <c r="V2816" t="s">
        <v>12902</v>
      </c>
      <c r="W2816" t="s">
        <v>15678</v>
      </c>
      <c r="X2816">
        <v>4</v>
      </c>
      <c r="Y2816" t="s">
        <v>22016</v>
      </c>
      <c r="Z2816" t="s">
        <v>28391</v>
      </c>
      <c r="AA2816">
        <v>0.3274914144298538</v>
      </c>
      <c r="AB2816" t="str">
        <f>HYPERLINK("Melting_Curves/meltCurve_P56556_NDUFA6.pdf", "Melting_Curves/meltCurve_P56556_NDUFA6.pdf")</f>
        <v>Melting_Curves/meltCurve_P56556_NDUFA6.pdf</v>
      </c>
    </row>
    <row r="2817" spans="1:28" x14ac:dyDescent="0.25">
      <c r="A2817" t="s">
        <v>2821</v>
      </c>
      <c r="B2817">
        <v>0.99673306730245903</v>
      </c>
      <c r="C2817">
        <v>0.90339635051401401</v>
      </c>
      <c r="D2817">
        <v>0.64638669789386705</v>
      </c>
      <c r="E2817">
        <v>0.34763541724830499</v>
      </c>
      <c r="F2817">
        <v>0.239491658279081</v>
      </c>
      <c r="G2817">
        <v>0.12880613171375699</v>
      </c>
      <c r="H2817">
        <v>8.2142330740890002E-2</v>
      </c>
      <c r="I2817">
        <v>6.8579890030438004E-2</v>
      </c>
      <c r="J2817">
        <v>4.1976290007283798E-2</v>
      </c>
      <c r="K2817">
        <v>3.0528109521822701E-2</v>
      </c>
      <c r="L2817">
        <v>796.69634438969297</v>
      </c>
      <c r="M2817">
        <v>16.7055622746139</v>
      </c>
      <c r="N2817">
        <v>48.0013033623379</v>
      </c>
      <c r="O2817">
        <v>47.022827692700702</v>
      </c>
      <c r="P2817">
        <v>-8.4268753254524903E-2</v>
      </c>
      <c r="Q2817">
        <v>5.1263845061086499E-2</v>
      </c>
      <c r="R2817">
        <v>0.99450435510068003</v>
      </c>
      <c r="S2817" t="s">
        <v>9269</v>
      </c>
      <c r="T2817" t="s">
        <v>12902</v>
      </c>
      <c r="U2817" t="s">
        <v>12902</v>
      </c>
      <c r="V2817" t="s">
        <v>12902</v>
      </c>
      <c r="W2817" t="s">
        <v>15679</v>
      </c>
      <c r="X2817">
        <v>5</v>
      </c>
      <c r="Y2817" t="s">
        <v>22017</v>
      </c>
      <c r="Z2817" t="s">
        <v>28392</v>
      </c>
      <c r="AA2817">
        <v>0.3143606855901121</v>
      </c>
      <c r="AB2817" t="str">
        <f>HYPERLINK("Melting_Curves/meltCurve_P56589_PEX3.pdf", "Melting_Curves/meltCurve_P56589_PEX3.pdf")</f>
        <v>Melting_Curves/meltCurve_P56589_PEX3.pdf</v>
      </c>
    </row>
    <row r="2818" spans="1:28" x14ac:dyDescent="0.25">
      <c r="A2818" t="s">
        <v>2822</v>
      </c>
      <c r="B2818">
        <v>0.99673306730245903</v>
      </c>
      <c r="C2818">
        <v>0.99283729482262695</v>
      </c>
      <c r="D2818">
        <v>1.01084565551809</v>
      </c>
      <c r="E2818">
        <v>0.856211073662552</v>
      </c>
      <c r="F2818">
        <v>0.81700724036041505</v>
      </c>
      <c r="G2818">
        <v>0.44443388744061102</v>
      </c>
      <c r="H2818">
        <v>0.37066674801646399</v>
      </c>
      <c r="I2818">
        <v>0.38131790841720498</v>
      </c>
      <c r="J2818">
        <v>0.32119199131296</v>
      </c>
      <c r="K2818">
        <v>0.31130645703500298</v>
      </c>
      <c r="L2818">
        <v>1366.66435046229</v>
      </c>
      <c r="M2818">
        <v>25.142733238838201</v>
      </c>
      <c r="N2818">
        <v>56.709174875354698</v>
      </c>
      <c r="O2818">
        <v>54.015883878966797</v>
      </c>
      <c r="P2818">
        <v>-7.8683957326537907E-2</v>
      </c>
      <c r="Q2818">
        <v>0.32384006476691701</v>
      </c>
      <c r="R2818">
        <v>0.98006510903577704</v>
      </c>
      <c r="S2818" t="s">
        <v>9270</v>
      </c>
      <c r="T2818" t="s">
        <v>12902</v>
      </c>
      <c r="U2818" t="s">
        <v>12902</v>
      </c>
      <c r="V2818" t="s">
        <v>12902</v>
      </c>
      <c r="W2818" t="s">
        <v>15680</v>
      </c>
      <c r="X2818">
        <v>1</v>
      </c>
      <c r="Y2818" t="s">
        <v>22018</v>
      </c>
      <c r="Z2818" t="s">
        <v>28393</v>
      </c>
      <c r="AA2818">
        <v>0.65360757324168062</v>
      </c>
      <c r="AB2818" t="str">
        <f>HYPERLINK("Melting_Curves/meltCurve_P56749_CLDN12.pdf", "Melting_Curves/meltCurve_P56749_CLDN12.pdf")</f>
        <v>Melting_Curves/meltCurve_P56749_CLDN12.pdf</v>
      </c>
    </row>
    <row r="2819" spans="1:28" x14ac:dyDescent="0.25">
      <c r="A2819" t="s">
        <v>2823</v>
      </c>
      <c r="B2819">
        <v>0.99673306730245903</v>
      </c>
      <c r="C2819">
        <v>1.0444013558476199</v>
      </c>
      <c r="D2819">
        <v>0.99549618973397702</v>
      </c>
      <c r="E2819">
        <v>0.75530452602490095</v>
      </c>
      <c r="F2819">
        <v>0.34631540704497799</v>
      </c>
      <c r="G2819">
        <v>0.21730925494921899</v>
      </c>
      <c r="H2819">
        <v>0.15082021725492001</v>
      </c>
      <c r="I2819">
        <v>0.145253147307012</v>
      </c>
      <c r="J2819">
        <v>0.193212104225989</v>
      </c>
      <c r="K2819">
        <v>0.14792430312594501</v>
      </c>
      <c r="L2819">
        <v>1598.8210584277001</v>
      </c>
      <c r="M2819">
        <v>31.312121469497701</v>
      </c>
      <c r="N2819">
        <v>51.707701457934498</v>
      </c>
      <c r="O2819">
        <v>50.853860700824299</v>
      </c>
      <c r="P2819">
        <v>-0.12898542268330901</v>
      </c>
      <c r="Q2819">
        <v>0.16206627554397601</v>
      </c>
      <c r="R2819">
        <v>0.99656310437118401</v>
      </c>
      <c r="S2819" t="s">
        <v>9271</v>
      </c>
      <c r="T2819" t="s">
        <v>12902</v>
      </c>
      <c r="U2819" t="s">
        <v>12902</v>
      </c>
      <c r="V2819" t="s">
        <v>12902</v>
      </c>
      <c r="W2819" t="s">
        <v>15681</v>
      </c>
      <c r="X2819">
        <v>7</v>
      </c>
      <c r="Y2819" t="s">
        <v>22019</v>
      </c>
      <c r="Z2819" t="s">
        <v>28394</v>
      </c>
      <c r="AA2819">
        <v>0.4758461798727075</v>
      </c>
      <c r="AB2819" t="str">
        <f>HYPERLINK("Melting_Curves/meltCurve_P56937_3_HSD17B7.pdf", "Melting_Curves/meltCurve_P56937_3_HSD17B7.pdf")</f>
        <v>Melting_Curves/meltCurve_P56937_3_HSD17B7.pdf</v>
      </c>
    </row>
    <row r="2820" spans="1:28" x14ac:dyDescent="0.25">
      <c r="A2820" t="s">
        <v>2824</v>
      </c>
      <c r="B2820">
        <v>0.99673306730245903</v>
      </c>
      <c r="C2820">
        <v>0.94139731774729496</v>
      </c>
      <c r="D2820">
        <v>0.76654000937710598</v>
      </c>
      <c r="E2820">
        <v>0.56112400393774398</v>
      </c>
      <c r="F2820">
        <v>0.30918242874160901</v>
      </c>
      <c r="G2820">
        <v>0.19756411883253</v>
      </c>
      <c r="H2820">
        <v>0.11800243303204901</v>
      </c>
      <c r="I2820">
        <v>0.13089099082494701</v>
      </c>
      <c r="J2820">
        <v>0.14546291391123201</v>
      </c>
      <c r="K2820">
        <v>0.111122222123036</v>
      </c>
      <c r="L2820">
        <v>816.283915888465</v>
      </c>
      <c r="M2820">
        <v>16.535511506503202</v>
      </c>
      <c r="N2820">
        <v>50.100778494154397</v>
      </c>
      <c r="O2820">
        <v>48.6604515821098</v>
      </c>
      <c r="P2820">
        <v>-7.5806241389188206E-2</v>
      </c>
      <c r="Q2820">
        <v>0.107735688738022</v>
      </c>
      <c r="R2820">
        <v>0.99714750882514402</v>
      </c>
      <c r="S2820" t="s">
        <v>9272</v>
      </c>
      <c r="T2820" t="s">
        <v>12902</v>
      </c>
      <c r="U2820" t="s">
        <v>12902</v>
      </c>
      <c r="V2820" t="s">
        <v>12902</v>
      </c>
      <c r="W2820" t="s">
        <v>15682</v>
      </c>
      <c r="X2820">
        <v>4</v>
      </c>
      <c r="Y2820" t="s">
        <v>22020</v>
      </c>
      <c r="Z2820" t="s">
        <v>28395</v>
      </c>
      <c r="AA2820">
        <v>0.40438469674012928</v>
      </c>
      <c r="AB2820" t="str">
        <f>HYPERLINK("Melting_Curves/meltCurve_P56945_5_BCAR1.pdf", "Melting_Curves/meltCurve_P56945_5_BCAR1.pdf")</f>
        <v>Melting_Curves/meltCurve_P56945_5_BCAR1.pdf</v>
      </c>
    </row>
    <row r="2821" spans="1:28" x14ac:dyDescent="0.25">
      <c r="A2821" t="s">
        <v>2825</v>
      </c>
      <c r="B2821">
        <v>0.99673306730245903</v>
      </c>
      <c r="C2821">
        <v>0.90918341397221902</v>
      </c>
      <c r="D2821">
        <v>0.82166943526327396</v>
      </c>
      <c r="E2821">
        <v>0.434099397205997</v>
      </c>
      <c r="F2821">
        <v>0.18069431575446701</v>
      </c>
      <c r="G2821">
        <v>0.10158020405106501</v>
      </c>
      <c r="H2821">
        <v>7.0611539808781099E-2</v>
      </c>
      <c r="I2821">
        <v>6.1734395165433699E-2</v>
      </c>
      <c r="J2821">
        <v>7.4293632076822894E-2</v>
      </c>
      <c r="K2821">
        <v>6.6253192029866501E-2</v>
      </c>
      <c r="L2821">
        <v>1085.6055650189801</v>
      </c>
      <c r="M2821">
        <v>22.2923589779795</v>
      </c>
      <c r="N2821">
        <v>48.993347925544803</v>
      </c>
      <c r="O2821">
        <v>48.311751148988598</v>
      </c>
      <c r="P2821">
        <v>-0.108118849880595</v>
      </c>
      <c r="Q2821">
        <v>6.2764051655337799E-2</v>
      </c>
      <c r="R2821">
        <v>0.99791259105911501</v>
      </c>
      <c r="S2821" t="s">
        <v>9273</v>
      </c>
      <c r="T2821" t="s">
        <v>12902</v>
      </c>
      <c r="U2821" t="s">
        <v>12902</v>
      </c>
      <c r="V2821" t="s">
        <v>12902</v>
      </c>
      <c r="W2821" t="s">
        <v>15683</v>
      </c>
      <c r="X2821">
        <v>5</v>
      </c>
      <c r="Y2821" t="s">
        <v>22021</v>
      </c>
      <c r="Z2821" t="s">
        <v>28396</v>
      </c>
      <c r="AA2821">
        <v>0.34503934523394258</v>
      </c>
      <c r="AB2821" t="str">
        <f>HYPERLINK("Melting_Curves/meltCurve_P56962_STX17.pdf", "Melting_Curves/meltCurve_P56962_STX17.pdf")</f>
        <v>Melting_Curves/meltCurve_P56962_STX17.pdf</v>
      </c>
    </row>
    <row r="2822" spans="1:28" x14ac:dyDescent="0.25">
      <c r="A2822" t="s">
        <v>2826</v>
      </c>
      <c r="B2822">
        <v>0.99673306730245903</v>
      </c>
      <c r="C2822">
        <v>0.95220512626362697</v>
      </c>
      <c r="D2822">
        <v>0.82488031436297904</v>
      </c>
      <c r="E2822">
        <v>0.52249622516462502</v>
      </c>
      <c r="F2822">
        <v>0.403320608435282</v>
      </c>
      <c r="G2822">
        <v>0.38892691586233202</v>
      </c>
      <c r="H2822">
        <v>0.28581473663561202</v>
      </c>
      <c r="I2822">
        <v>0.31978413457646898</v>
      </c>
      <c r="J2822">
        <v>0.33049053509038001</v>
      </c>
      <c r="K2822">
        <v>0.362417917482594</v>
      </c>
      <c r="L2822">
        <v>1120.3851129765001</v>
      </c>
      <c r="M2822">
        <v>23.402657021316099</v>
      </c>
      <c r="N2822">
        <v>50.229054017346002</v>
      </c>
      <c r="O2822">
        <v>47.528818462643997</v>
      </c>
      <c r="P2822">
        <v>-8.2096513232037996E-2</v>
      </c>
      <c r="Q2822">
        <v>0.33308733642139099</v>
      </c>
      <c r="R2822">
        <v>0.99152192334741396</v>
      </c>
      <c r="S2822" t="s">
        <v>9274</v>
      </c>
      <c r="T2822" t="s">
        <v>12902</v>
      </c>
      <c r="U2822" t="s">
        <v>12902</v>
      </c>
      <c r="V2822" t="s">
        <v>12902</v>
      </c>
      <c r="W2822" t="s">
        <v>15684</v>
      </c>
      <c r="X2822">
        <v>1</v>
      </c>
      <c r="Y2822" t="s">
        <v>22022</v>
      </c>
      <c r="Z2822" t="s">
        <v>28397</v>
      </c>
      <c r="AA2822">
        <v>0.51492614324583452</v>
      </c>
      <c r="AB2822" t="str">
        <f>HYPERLINK("Melting_Curves/meltCurve_P57054_3_PIGP.pdf", "Melting_Curves/meltCurve_P57054_3_PIGP.pdf")</f>
        <v>Melting_Curves/meltCurve_P57054_3_PIGP.pdf</v>
      </c>
    </row>
    <row r="2823" spans="1:28" x14ac:dyDescent="0.25">
      <c r="A2823" t="s">
        <v>2827</v>
      </c>
      <c r="B2823">
        <v>0.99673306730245903</v>
      </c>
      <c r="C2823">
        <v>0.93714763243589705</v>
      </c>
      <c r="D2823">
        <v>0.42421371332956098</v>
      </c>
      <c r="E2823">
        <v>0.21587422898345299</v>
      </c>
      <c r="F2823">
        <v>0.148275219939904</v>
      </c>
      <c r="G2823">
        <v>8.3842030486764196E-2</v>
      </c>
      <c r="H2823">
        <v>5.9166462970720202E-2</v>
      </c>
      <c r="I2823">
        <v>5.2934993229029698E-2</v>
      </c>
      <c r="J2823">
        <v>5.9171467153714602E-2</v>
      </c>
      <c r="K2823">
        <v>4.6145537934671202E-2</v>
      </c>
      <c r="L2823">
        <v>1448.7652488290701</v>
      </c>
      <c r="M2823">
        <v>31.811249499358599</v>
      </c>
      <c r="N2823">
        <v>45.796410614088103</v>
      </c>
      <c r="O2823">
        <v>45.363704272354497</v>
      </c>
      <c r="P2823">
        <v>-0.16114186834088201</v>
      </c>
      <c r="Q2823">
        <v>8.0834061787145098E-2</v>
      </c>
      <c r="R2823">
        <v>0.98691956737049302</v>
      </c>
      <c r="S2823" t="s">
        <v>9275</v>
      </c>
      <c r="T2823" t="s">
        <v>12902</v>
      </c>
      <c r="U2823" t="s">
        <v>12902</v>
      </c>
      <c r="V2823" t="s">
        <v>12902</v>
      </c>
      <c r="W2823" t="s">
        <v>15685</v>
      </c>
      <c r="X2823">
        <v>8</v>
      </c>
      <c r="Y2823" t="s">
        <v>22023</v>
      </c>
      <c r="Z2823" t="s">
        <v>28398</v>
      </c>
      <c r="AA2823">
        <v>0.25563862680357219</v>
      </c>
      <c r="AB2823" t="str">
        <f>HYPERLINK("Melting_Curves/meltCurve_P57076_C21orf59.pdf", "Melting_Curves/meltCurve_P57076_C21orf59.pdf")</f>
        <v>Melting_Curves/meltCurve_P57076_C21orf59.pdf</v>
      </c>
    </row>
    <row r="2824" spans="1:28" x14ac:dyDescent="0.25">
      <c r="A2824" t="s">
        <v>2828</v>
      </c>
      <c r="B2824">
        <v>0.99673306730245903</v>
      </c>
      <c r="C2824">
        <v>0.98777354115878802</v>
      </c>
      <c r="D2824">
        <v>1.0163982851728</v>
      </c>
      <c r="E2824">
        <v>1.06437823843028</v>
      </c>
      <c r="F2824">
        <v>0.73194969659358899</v>
      </c>
      <c r="G2824">
        <v>0.23173503090695199</v>
      </c>
      <c r="H2824">
        <v>0.13615775361332799</v>
      </c>
      <c r="I2824">
        <v>0.13632517644351999</v>
      </c>
      <c r="J2824">
        <v>0.108399858639333</v>
      </c>
      <c r="K2824">
        <v>9.4297872988035103E-2</v>
      </c>
      <c r="L2824">
        <v>2444.5954604292501</v>
      </c>
      <c r="M2824">
        <v>45.0635987243461</v>
      </c>
      <c r="N2824">
        <v>54.5754745669066</v>
      </c>
      <c r="O2824">
        <v>54.141170933697602</v>
      </c>
      <c r="P2824">
        <v>-0.183412554295006</v>
      </c>
      <c r="Q2824">
        <v>0.118565055554039</v>
      </c>
      <c r="R2824">
        <v>0.99560107474119197</v>
      </c>
      <c r="S2824" t="s">
        <v>9276</v>
      </c>
      <c r="T2824" t="s">
        <v>12902</v>
      </c>
      <c r="U2824" t="s">
        <v>12902</v>
      </c>
      <c r="V2824" t="s">
        <v>12902</v>
      </c>
      <c r="W2824" t="s">
        <v>15686</v>
      </c>
      <c r="X2824">
        <v>6</v>
      </c>
      <c r="Y2824" t="s">
        <v>22024</v>
      </c>
      <c r="Z2824" t="s">
        <v>28399</v>
      </c>
      <c r="AA2824">
        <v>0.53977584812852819</v>
      </c>
      <c r="AB2824" t="str">
        <f>HYPERLINK("Melting_Curves/meltCurve_P57081_2_WDR4.pdf", "Melting_Curves/meltCurve_P57081_2_WDR4.pdf")</f>
        <v>Melting_Curves/meltCurve_P57081_2_WDR4.pdf</v>
      </c>
    </row>
    <row r="2825" spans="1:28" x14ac:dyDescent="0.25">
      <c r="A2825" t="s">
        <v>2829</v>
      </c>
      <c r="B2825">
        <v>0.99673306730245903</v>
      </c>
      <c r="C2825">
        <v>0.90719753876905396</v>
      </c>
      <c r="D2825">
        <v>0.83910368770413701</v>
      </c>
      <c r="E2825">
        <v>0.73440129592933701</v>
      </c>
      <c r="F2825">
        <v>0.58437468039519502</v>
      </c>
      <c r="G2825">
        <v>0.45764649203907998</v>
      </c>
      <c r="H2825">
        <v>0.26472451601320601</v>
      </c>
      <c r="I2825">
        <v>0.10904004425672301</v>
      </c>
      <c r="J2825">
        <v>4.49402482566564E-2</v>
      </c>
      <c r="K2825">
        <v>3.14367575475544E-2</v>
      </c>
      <c r="L2825">
        <v>613.30006891169796</v>
      </c>
      <c r="M2825">
        <v>11.2555145898889</v>
      </c>
      <c r="N2825">
        <v>54.488851951865897</v>
      </c>
      <c r="O2825">
        <v>52.853800342603698</v>
      </c>
      <c r="P2825">
        <v>-5.3255347437512701E-2</v>
      </c>
      <c r="Q2825">
        <v>0</v>
      </c>
      <c r="R2825">
        <v>0.984117928231942</v>
      </c>
      <c r="S2825" t="s">
        <v>9277</v>
      </c>
      <c r="T2825" t="s">
        <v>12902</v>
      </c>
      <c r="U2825" t="s">
        <v>12902</v>
      </c>
      <c r="V2825" t="s">
        <v>12902</v>
      </c>
      <c r="W2825" t="s">
        <v>15687</v>
      </c>
      <c r="X2825">
        <v>5</v>
      </c>
      <c r="Y2825" t="s">
        <v>22025</v>
      </c>
      <c r="Z2825" t="s">
        <v>28400</v>
      </c>
      <c r="AA2825">
        <v>0.50907228260787762</v>
      </c>
      <c r="AB2825" t="str">
        <f>HYPERLINK("Melting_Curves/meltCurve_P57088_TMEM33.pdf", "Melting_Curves/meltCurve_P57088_TMEM33.pdf")</f>
        <v>Melting_Curves/meltCurve_P57088_TMEM33.pdf</v>
      </c>
    </row>
    <row r="2826" spans="1:28" x14ac:dyDescent="0.25">
      <c r="A2826" t="s">
        <v>2830</v>
      </c>
      <c r="B2826">
        <v>0.99673306730245903</v>
      </c>
      <c r="C2826">
        <v>0.96814840757559995</v>
      </c>
      <c r="D2826">
        <v>0.87512685582423</v>
      </c>
      <c r="E2826">
        <v>0.65482950143907104</v>
      </c>
      <c r="F2826">
        <v>0.386702172250737</v>
      </c>
      <c r="G2826">
        <v>0.273773203941656</v>
      </c>
      <c r="H2826">
        <v>0.22153204552719</v>
      </c>
      <c r="I2826">
        <v>0.20595812516040701</v>
      </c>
      <c r="J2826">
        <v>0.21513130109760001</v>
      </c>
      <c r="K2826">
        <v>0.22111437796167899</v>
      </c>
      <c r="L2826">
        <v>1004.28833832917</v>
      </c>
      <c r="M2826">
        <v>20.0462383687799</v>
      </c>
      <c r="N2826">
        <v>51.457350352961797</v>
      </c>
      <c r="O2826">
        <v>49.608054879906298</v>
      </c>
      <c r="P2826">
        <v>-8.0265420951583399E-2</v>
      </c>
      <c r="Q2826">
        <v>0.20550056333828201</v>
      </c>
      <c r="R2826">
        <v>0.99933676976300101</v>
      </c>
      <c r="S2826" t="s">
        <v>9278</v>
      </c>
      <c r="T2826" t="s">
        <v>12902</v>
      </c>
      <c r="U2826" t="s">
        <v>12902</v>
      </c>
      <c r="V2826" t="s">
        <v>12902</v>
      </c>
      <c r="W2826" t="s">
        <v>15688</v>
      </c>
      <c r="X2826">
        <v>4</v>
      </c>
      <c r="Y2826" t="s">
        <v>22026</v>
      </c>
      <c r="Z2826" t="s">
        <v>28401</v>
      </c>
      <c r="AA2826">
        <v>0.48395172927802838</v>
      </c>
      <c r="AB2826" t="str">
        <f>HYPERLINK("Melting_Curves/meltCurve_P57105_SYNJ2BP.pdf", "Melting_Curves/meltCurve_P57105_SYNJ2BP.pdf")</f>
        <v>Melting_Curves/meltCurve_P57105_SYNJ2BP.pdf</v>
      </c>
    </row>
    <row r="2827" spans="1:28" x14ac:dyDescent="0.25">
      <c r="A2827" t="s">
        <v>2831</v>
      </c>
      <c r="B2827">
        <v>0.99673306730245903</v>
      </c>
      <c r="C2827">
        <v>1.01517180790367</v>
      </c>
      <c r="D2827">
        <v>0.86136343607725296</v>
      </c>
      <c r="E2827">
        <v>0.785729006921012</v>
      </c>
      <c r="F2827">
        <v>0.61537090959728502</v>
      </c>
      <c r="G2827">
        <v>0.37121017590884903</v>
      </c>
      <c r="H2827">
        <v>0.255458809950382</v>
      </c>
      <c r="I2827">
        <v>0.22755859204810799</v>
      </c>
      <c r="J2827">
        <v>0.30390311490136002</v>
      </c>
      <c r="K2827">
        <v>0.33365874997242501</v>
      </c>
      <c r="L2827">
        <v>926.020821420571</v>
      </c>
      <c r="M2827">
        <v>17.7755386115997</v>
      </c>
      <c r="N2827">
        <v>54.306264138825803</v>
      </c>
      <c r="O2827">
        <v>51.449311586550202</v>
      </c>
      <c r="P2827">
        <v>-6.4133898640847994E-2</v>
      </c>
      <c r="Q2827">
        <v>0.25752471733260701</v>
      </c>
      <c r="R2827">
        <v>0.97530607253783896</v>
      </c>
      <c r="S2827" t="s">
        <v>9279</v>
      </c>
      <c r="T2827" t="s">
        <v>12902</v>
      </c>
      <c r="U2827" t="s">
        <v>12902</v>
      </c>
      <c r="V2827" t="s">
        <v>12902</v>
      </c>
      <c r="W2827" t="s">
        <v>15689</v>
      </c>
      <c r="X2827">
        <v>2</v>
      </c>
      <c r="Y2827" t="s">
        <v>22027</v>
      </c>
      <c r="Z2827" t="s">
        <v>28402</v>
      </c>
      <c r="AA2827">
        <v>0.56947531843146659</v>
      </c>
      <c r="AB2827" t="str">
        <f>HYPERLINK("Melting_Curves/meltCurve_P57682_KLF3.pdf", "Melting_Curves/meltCurve_P57682_KLF3.pdf")</f>
        <v>Melting_Curves/meltCurve_P57682_KLF3.pdf</v>
      </c>
    </row>
    <row r="2828" spans="1:28" x14ac:dyDescent="0.25">
      <c r="A2828" t="s">
        <v>2832</v>
      </c>
      <c r="B2828">
        <v>0.99673306730245903</v>
      </c>
      <c r="C2828">
        <v>0.976060655275791</v>
      </c>
      <c r="D2828">
        <v>0.89912962815770603</v>
      </c>
      <c r="E2828">
        <v>0.76990380259613</v>
      </c>
      <c r="F2828">
        <v>0.61441925177578305</v>
      </c>
      <c r="G2828">
        <v>0.45864650062756301</v>
      </c>
      <c r="H2828">
        <v>0.214737418530248</v>
      </c>
      <c r="I2828">
        <v>0.108693892720789</v>
      </c>
      <c r="J2828">
        <v>9.10344294254401E-2</v>
      </c>
      <c r="K2828">
        <v>7.4871974223580898E-2</v>
      </c>
      <c r="L2828">
        <v>684.53178796837096</v>
      </c>
      <c r="M2828">
        <v>12.4341816532617</v>
      </c>
      <c r="N2828">
        <v>55.052419772858499</v>
      </c>
      <c r="O2828">
        <v>53.686636207178502</v>
      </c>
      <c r="P2828">
        <v>-5.7913822063678198E-2</v>
      </c>
      <c r="Q2828">
        <v>0</v>
      </c>
      <c r="R2828">
        <v>0.99510860916104105</v>
      </c>
      <c r="S2828" t="s">
        <v>9280</v>
      </c>
      <c r="T2828" t="s">
        <v>12902</v>
      </c>
      <c r="U2828" t="s">
        <v>12902</v>
      </c>
      <c r="V2828" t="s">
        <v>12902</v>
      </c>
      <c r="W2828" t="s">
        <v>15690</v>
      </c>
      <c r="X2828">
        <v>7</v>
      </c>
      <c r="Y2828" t="s">
        <v>22028</v>
      </c>
      <c r="Z2828" t="s">
        <v>28403</v>
      </c>
      <c r="AA2828">
        <v>0.52447092993713085</v>
      </c>
      <c r="AB2828" t="str">
        <f>HYPERLINK("Melting_Curves/meltCurve_P57735_RAB25.pdf", "Melting_Curves/meltCurve_P57735_RAB25.pdf")</f>
        <v>Melting_Curves/meltCurve_P57735_RAB25.pdf</v>
      </c>
    </row>
    <row r="2829" spans="1:28" x14ac:dyDescent="0.25">
      <c r="A2829" t="s">
        <v>2833</v>
      </c>
      <c r="B2829">
        <v>0.99673306730245903</v>
      </c>
      <c r="C2829">
        <v>0.93820302510155595</v>
      </c>
      <c r="D2829">
        <v>0.71017091327514903</v>
      </c>
      <c r="E2829">
        <v>0.557563401209212</v>
      </c>
      <c r="F2829">
        <v>0.410460049560124</v>
      </c>
      <c r="G2829">
        <v>0.31523158291530501</v>
      </c>
      <c r="H2829">
        <v>0.198801540592139</v>
      </c>
      <c r="I2829">
        <v>0.215302974845961</v>
      </c>
      <c r="J2829">
        <v>0.26644957395470298</v>
      </c>
      <c r="K2829">
        <v>0.27059157421672497</v>
      </c>
      <c r="L2829">
        <v>738.58621617359597</v>
      </c>
      <c r="M2829">
        <v>15.2612353241168</v>
      </c>
      <c r="N2829">
        <v>50.419518668792797</v>
      </c>
      <c r="O2829">
        <v>47.5880836332191</v>
      </c>
      <c r="P2829">
        <v>-6.1821200087263599E-2</v>
      </c>
      <c r="Q2829">
        <v>0.22898118708201301</v>
      </c>
      <c r="R2829">
        <v>0.98472050935471001</v>
      </c>
      <c r="S2829" t="s">
        <v>9281</v>
      </c>
      <c r="T2829" t="s">
        <v>12902</v>
      </c>
      <c r="U2829" t="s">
        <v>12902</v>
      </c>
      <c r="V2829" t="s">
        <v>12902</v>
      </c>
      <c r="W2829" t="s">
        <v>15691</v>
      </c>
      <c r="X2829">
        <v>27</v>
      </c>
      <c r="Y2829" t="s">
        <v>22029</v>
      </c>
      <c r="Z2829" t="s">
        <v>28404</v>
      </c>
      <c r="AA2829">
        <v>0.46361641610376447</v>
      </c>
      <c r="AB2829" t="str">
        <f>HYPERLINK("Melting_Curves/meltCurve_P57737_3_CORO7.pdf", "Melting_Curves/meltCurve_P57737_3_CORO7.pdf")</f>
        <v>Melting_Curves/meltCurve_P57737_3_CORO7.pdf</v>
      </c>
    </row>
    <row r="2830" spans="1:28" x14ac:dyDescent="0.25">
      <c r="A2830" t="s">
        <v>2834</v>
      </c>
      <c r="B2830">
        <v>0.99673306730245903</v>
      </c>
      <c r="C2830">
        <v>0.87483331819380294</v>
      </c>
      <c r="D2830">
        <v>0.76120641159660096</v>
      </c>
      <c r="E2830">
        <v>0.82881550515118096</v>
      </c>
      <c r="F2830">
        <v>0.206914504341938</v>
      </c>
      <c r="G2830">
        <v>0.14283540380853199</v>
      </c>
      <c r="H2830">
        <v>8.3214749852589406E-2</v>
      </c>
      <c r="I2830">
        <v>8.5481158121569006E-2</v>
      </c>
      <c r="J2830">
        <v>9.5257622258563504E-2</v>
      </c>
      <c r="K2830">
        <v>9.18386056251526E-2</v>
      </c>
      <c r="L2830">
        <v>2172.5672816905499</v>
      </c>
      <c r="M2830">
        <v>42.542088356991599</v>
      </c>
      <c r="N2830">
        <v>51.3180906718421</v>
      </c>
      <c r="O2830">
        <v>50.956200686722298</v>
      </c>
      <c r="P2830">
        <v>-0.18922446214274</v>
      </c>
      <c r="Q2830">
        <v>9.3401908064736597E-2</v>
      </c>
      <c r="R2830">
        <v>0.94806535581798301</v>
      </c>
      <c r="S2830" t="s">
        <v>9282</v>
      </c>
      <c r="T2830" t="s">
        <v>12902</v>
      </c>
      <c r="U2830" t="s">
        <v>12902</v>
      </c>
      <c r="V2830" t="s">
        <v>12902</v>
      </c>
      <c r="W2830" t="s">
        <v>15692</v>
      </c>
      <c r="X2830">
        <v>7</v>
      </c>
      <c r="Y2830" t="s">
        <v>22030</v>
      </c>
      <c r="Z2830" t="s">
        <v>28405</v>
      </c>
      <c r="AA2830">
        <v>0.43072258370247779</v>
      </c>
      <c r="AB2830" t="str">
        <f>HYPERLINK("Melting_Curves/meltCurve_P57740_NUP107.pdf", "Melting_Curves/meltCurve_P57740_NUP107.pdf")</f>
        <v>Melting_Curves/meltCurve_P57740_NUP107.pdf</v>
      </c>
    </row>
    <row r="2831" spans="1:28" x14ac:dyDescent="0.25">
      <c r="A2831" t="s">
        <v>2835</v>
      </c>
      <c r="B2831">
        <v>0.99673306730245903</v>
      </c>
      <c r="C2831">
        <v>1.1401437068501601</v>
      </c>
      <c r="D2831">
        <v>0.49413489722947701</v>
      </c>
      <c r="E2831">
        <v>0.48662570648987602</v>
      </c>
      <c r="F2831">
        <v>0.115448361399038</v>
      </c>
      <c r="G2831">
        <v>7.5690511951623102E-2</v>
      </c>
      <c r="H2831">
        <v>4.7403538830473803E-2</v>
      </c>
      <c r="I2831">
        <v>3.18128844725966E-2</v>
      </c>
      <c r="J2831">
        <v>3.3166778327554297E-2</v>
      </c>
      <c r="K2831">
        <v>2.9891173713487498E-2</v>
      </c>
      <c r="L2831">
        <v>929.60808748014097</v>
      </c>
      <c r="M2831">
        <v>19.402824902310499</v>
      </c>
      <c r="N2831">
        <v>48.067218309059697</v>
      </c>
      <c r="O2831">
        <v>47.410745421547098</v>
      </c>
      <c r="P2831">
        <v>-9.9188952753999304E-2</v>
      </c>
      <c r="Q2831">
        <v>3.0563918160081398E-2</v>
      </c>
      <c r="R2831">
        <v>0.929230346821591</v>
      </c>
      <c r="S2831" t="s">
        <v>9283</v>
      </c>
      <c r="T2831" t="s">
        <v>12902</v>
      </c>
      <c r="U2831" t="s">
        <v>12902</v>
      </c>
      <c r="V2831" t="s">
        <v>12902</v>
      </c>
      <c r="W2831" t="s">
        <v>15693</v>
      </c>
      <c r="X2831">
        <v>16</v>
      </c>
      <c r="Y2831" t="s">
        <v>22031</v>
      </c>
      <c r="Z2831" t="s">
        <v>28406</v>
      </c>
      <c r="AA2831">
        <v>0.30092487218642439</v>
      </c>
      <c r="AB2831" t="str">
        <f>HYPERLINK("Melting_Curves/meltCurve_P57772_EEFSEC.pdf", "Melting_Curves/meltCurve_P57772_EEFSEC.pdf")</f>
        <v>Melting_Curves/meltCurve_P57772_EEFSEC.pdf</v>
      </c>
    </row>
    <row r="2832" spans="1:28" x14ac:dyDescent="0.25">
      <c r="A2832" t="s">
        <v>2836</v>
      </c>
      <c r="B2832">
        <v>0.99673306730245903</v>
      </c>
      <c r="C2832">
        <v>1.05247385985177</v>
      </c>
      <c r="D2832">
        <v>0.55521833829203804</v>
      </c>
      <c r="E2832">
        <v>0.84568093264396704</v>
      </c>
      <c r="F2832">
        <v>0.24140189562552999</v>
      </c>
      <c r="G2832">
        <v>0.12890213358091801</v>
      </c>
      <c r="H2832">
        <v>7.3928812086042101E-2</v>
      </c>
      <c r="I2832">
        <v>8.3989783673960802E-2</v>
      </c>
      <c r="J2832">
        <v>0.105348232434526</v>
      </c>
      <c r="K2832">
        <v>0.100374470904597</v>
      </c>
      <c r="L2832">
        <v>816.44039748912701</v>
      </c>
      <c r="M2832">
        <v>16.181014052150701</v>
      </c>
      <c r="N2832">
        <v>50.791541380814103</v>
      </c>
      <c r="O2832">
        <v>49.704913253534102</v>
      </c>
      <c r="P2832">
        <v>-7.7273762926981598E-2</v>
      </c>
      <c r="Q2832">
        <v>5.0591649633826903E-2</v>
      </c>
      <c r="R2832">
        <v>0.88448722990213702</v>
      </c>
      <c r="S2832" t="s">
        <v>9284</v>
      </c>
      <c r="T2832" t="s">
        <v>12902</v>
      </c>
      <c r="U2832" t="s">
        <v>12902</v>
      </c>
      <c r="V2832" t="s">
        <v>12902</v>
      </c>
      <c r="W2832" t="s">
        <v>15694</v>
      </c>
      <c r="X2832">
        <v>6</v>
      </c>
      <c r="Y2832" t="s">
        <v>22032</v>
      </c>
      <c r="Z2832" t="s">
        <v>28407</v>
      </c>
      <c r="AA2832">
        <v>0.40105593670209261</v>
      </c>
      <c r="AB2832" t="str">
        <f>HYPERLINK("Melting_Curves/meltCurve_P58546_MTPN.pdf", "Melting_Curves/meltCurve_P58546_MTPN.pdf")</f>
        <v>Melting_Curves/meltCurve_P58546_MTPN.pdf</v>
      </c>
    </row>
    <row r="2833" spans="1:28" x14ac:dyDescent="0.25">
      <c r="A2833" t="s">
        <v>2837</v>
      </c>
      <c r="B2833">
        <v>0.99673306730245903</v>
      </c>
      <c r="C2833">
        <v>0.96636700110778195</v>
      </c>
      <c r="D2833">
        <v>1.0778591175624801</v>
      </c>
      <c r="E2833">
        <v>1.2015162238603301</v>
      </c>
      <c r="F2833">
        <v>1.14466993483119</v>
      </c>
      <c r="G2833">
        <v>1.0915202064554199</v>
      </c>
      <c r="H2833">
        <v>0.76299264658509303</v>
      </c>
      <c r="I2833">
        <v>0.34190511427242798</v>
      </c>
      <c r="J2833">
        <v>8.3119834531060394E-2</v>
      </c>
      <c r="K2833">
        <v>7.5776222758666495E-2</v>
      </c>
      <c r="L2833">
        <v>2643.5130463202399</v>
      </c>
      <c r="M2833">
        <v>42.231815269754698</v>
      </c>
      <c r="N2833">
        <v>62.763319725099699</v>
      </c>
      <c r="O2833">
        <v>62.4554345544204</v>
      </c>
      <c r="P2833">
        <v>-0.16001239686168001</v>
      </c>
      <c r="Q2833">
        <v>5.3450384249293298E-2</v>
      </c>
      <c r="R2833">
        <v>0.95349483664229595</v>
      </c>
      <c r="S2833" t="s">
        <v>9285</v>
      </c>
      <c r="T2833" t="s">
        <v>12902</v>
      </c>
      <c r="U2833" t="s">
        <v>12902</v>
      </c>
      <c r="V2833" t="s">
        <v>12902</v>
      </c>
      <c r="W2833" t="s">
        <v>15695</v>
      </c>
      <c r="X2833">
        <v>10</v>
      </c>
      <c r="Y2833" t="s">
        <v>22033</v>
      </c>
      <c r="Z2833" t="s">
        <v>28408</v>
      </c>
      <c r="AA2833">
        <v>0.76933510147176931</v>
      </c>
      <c r="AB2833" t="str">
        <f>HYPERLINK("Melting_Curves/meltCurve_P59998_ARPC4.pdf", "Melting_Curves/meltCurve_P59998_ARPC4.pdf")</f>
        <v>Melting_Curves/meltCurve_P59998_ARPC4.pdf</v>
      </c>
    </row>
    <row r="2834" spans="1:28" x14ac:dyDescent="0.25">
      <c r="A2834" t="s">
        <v>2838</v>
      </c>
      <c r="B2834">
        <v>0.99673306730245903</v>
      </c>
      <c r="C2834">
        <v>0.94036385204163897</v>
      </c>
      <c r="D2834">
        <v>1.0396181301848499</v>
      </c>
      <c r="E2834">
        <v>0.72668985503498995</v>
      </c>
      <c r="F2834">
        <v>0.75466381559525297</v>
      </c>
      <c r="G2834">
        <v>0.64412968391778802</v>
      </c>
      <c r="H2834">
        <v>0.742317234685409</v>
      </c>
      <c r="I2834">
        <v>0.76197238559757496</v>
      </c>
      <c r="J2834">
        <v>1.3216005632408001</v>
      </c>
      <c r="K2834">
        <v>1.3043226456122601</v>
      </c>
      <c r="L2834">
        <v>15000</v>
      </c>
      <c r="M2834">
        <v>227.447584882885</v>
      </c>
      <c r="O2834">
        <v>65.944164761036802</v>
      </c>
      <c r="P2834">
        <v>0.27235556295581898</v>
      </c>
      <c r="Q2834">
        <v>1.31585755074318</v>
      </c>
      <c r="R2834">
        <v>0.25945973420559099</v>
      </c>
      <c r="S2834" t="s">
        <v>9286</v>
      </c>
      <c r="T2834" t="s">
        <v>12902</v>
      </c>
      <c r="U2834" t="s">
        <v>12902</v>
      </c>
      <c r="V2834" t="s">
        <v>12902</v>
      </c>
      <c r="W2834" t="s">
        <v>15696</v>
      </c>
      <c r="X2834">
        <v>2</v>
      </c>
      <c r="Y2834" t="s">
        <v>22034</v>
      </c>
      <c r="Z2834" t="s">
        <v>28409</v>
      </c>
      <c r="AA2834">
        <v>1.0426043946801851</v>
      </c>
      <c r="AB2834" t="str">
        <f>HYPERLINK("Melting_Curves/meltCurve_P60059_SEC61G.pdf", "Melting_Curves/meltCurve_P60059_SEC61G.pdf")</f>
        <v>Melting_Curves/meltCurve_P60059_SEC61G.pdf</v>
      </c>
    </row>
    <row r="2835" spans="1:28" x14ac:dyDescent="0.25">
      <c r="A2835" t="s">
        <v>2839</v>
      </c>
      <c r="B2835">
        <v>0.99673306730245903</v>
      </c>
      <c r="C2835">
        <v>0.95551058842208803</v>
      </c>
      <c r="D2835">
        <v>1.0279492791863301</v>
      </c>
      <c r="E2835">
        <v>0.98961037314795297</v>
      </c>
      <c r="F2835">
        <v>0.88513603873751401</v>
      </c>
      <c r="G2835">
        <v>0.81224864606300795</v>
      </c>
      <c r="H2835">
        <v>0.51694294733363599</v>
      </c>
      <c r="I2835">
        <v>0.18473140983935199</v>
      </c>
      <c r="J2835">
        <v>0.101031213464068</v>
      </c>
      <c r="K2835">
        <v>9.5648861111315001E-2</v>
      </c>
      <c r="L2835">
        <v>1342.3809205195</v>
      </c>
      <c r="M2835">
        <v>22.228082042037901</v>
      </c>
      <c r="N2835">
        <v>60.495150102253</v>
      </c>
      <c r="O2835">
        <v>59.908802037927799</v>
      </c>
      <c r="P2835">
        <v>-9.10223329441298E-2</v>
      </c>
      <c r="Q2835">
        <v>1.8732784961868199E-2</v>
      </c>
      <c r="R2835">
        <v>0.99036587643301299</v>
      </c>
      <c r="S2835" t="s">
        <v>9287</v>
      </c>
      <c r="T2835" t="s">
        <v>12902</v>
      </c>
      <c r="U2835" t="s">
        <v>12902</v>
      </c>
      <c r="V2835" t="s">
        <v>12902</v>
      </c>
      <c r="W2835" t="s">
        <v>15697</v>
      </c>
      <c r="X2835">
        <v>31</v>
      </c>
      <c r="Y2835" t="s">
        <v>22035</v>
      </c>
      <c r="Z2835" t="s">
        <v>28410</v>
      </c>
      <c r="AA2835">
        <v>0.69303609405912037</v>
      </c>
      <c r="AB2835" t="str">
        <f>HYPERLINK("Melting_Curves/meltCurve_P60174_TPI1.pdf", "Melting_Curves/meltCurve_P60174_TPI1.pdf")</f>
        <v>Melting_Curves/meltCurve_P60174_TPI1.pdf</v>
      </c>
    </row>
    <row r="2836" spans="1:28" x14ac:dyDescent="0.25">
      <c r="A2836" t="s">
        <v>2840</v>
      </c>
      <c r="B2836">
        <v>0.99673306730245903</v>
      </c>
      <c r="C2836">
        <v>0.907946110988331</v>
      </c>
      <c r="D2836">
        <v>0.68999434132176596</v>
      </c>
      <c r="E2836">
        <v>0.37879506263860802</v>
      </c>
      <c r="F2836">
        <v>0.18777386446983299</v>
      </c>
      <c r="G2836">
        <v>0.122315139314931</v>
      </c>
      <c r="H2836">
        <v>6.8668206815801602E-2</v>
      </c>
      <c r="I2836">
        <v>6.2993798407266002E-2</v>
      </c>
      <c r="J2836">
        <v>6.5657086094160502E-2</v>
      </c>
      <c r="K2836">
        <v>6.22715784781811E-2</v>
      </c>
      <c r="L2836">
        <v>893.83669788223199</v>
      </c>
      <c r="M2836">
        <v>18.685351335941601</v>
      </c>
      <c r="N2836">
        <v>48.169312374112799</v>
      </c>
      <c r="O2836">
        <v>47.298422962864599</v>
      </c>
      <c r="P2836">
        <v>-9.2781521373179396E-2</v>
      </c>
      <c r="Q2836">
        <v>6.0604692968439101E-2</v>
      </c>
      <c r="R2836">
        <v>0.99931074842079104</v>
      </c>
      <c r="S2836" t="s">
        <v>9288</v>
      </c>
      <c r="T2836" t="s">
        <v>12902</v>
      </c>
      <c r="U2836" t="s">
        <v>12902</v>
      </c>
      <c r="V2836" t="s">
        <v>12902</v>
      </c>
      <c r="W2836" t="s">
        <v>15698</v>
      </c>
      <c r="X2836">
        <v>11</v>
      </c>
      <c r="Y2836" t="s">
        <v>22036</v>
      </c>
      <c r="Z2836" t="s">
        <v>28411</v>
      </c>
      <c r="AA2836">
        <v>0.32146489731036471</v>
      </c>
      <c r="AB2836" t="str">
        <f>HYPERLINK("Melting_Curves/meltCurve_P60228_EIF3E.pdf", "Melting_Curves/meltCurve_P60228_EIF3E.pdf")</f>
        <v>Melting_Curves/meltCurve_P60228_EIF3E.pdf</v>
      </c>
    </row>
    <row r="2837" spans="1:28" x14ac:dyDescent="0.25">
      <c r="A2837" t="s">
        <v>2841</v>
      </c>
      <c r="B2837">
        <v>0.99673306730245903</v>
      </c>
      <c r="C2837">
        <v>0.93819867137340496</v>
      </c>
      <c r="D2837">
        <v>1.0902960625337099</v>
      </c>
      <c r="E2837">
        <v>0.75474115611132997</v>
      </c>
      <c r="F2837">
        <v>0.61723540506959196</v>
      </c>
      <c r="G2837">
        <v>0.53236277226513995</v>
      </c>
      <c r="H2837">
        <v>0.60357101491570198</v>
      </c>
      <c r="I2837">
        <v>0.77113614892907101</v>
      </c>
      <c r="J2837">
        <v>0.87970742703644</v>
      </c>
      <c r="K2837">
        <v>0.99789670321984603</v>
      </c>
      <c r="L2837">
        <v>12278.3048172505</v>
      </c>
      <c r="M2837">
        <v>250</v>
      </c>
      <c r="O2837">
        <v>49.110076329354698</v>
      </c>
      <c r="P2837">
        <v>-0.33896866173735501</v>
      </c>
      <c r="Q2837">
        <v>0.73365157058822505</v>
      </c>
      <c r="R2837">
        <v>0.46932562138811201</v>
      </c>
      <c r="S2837" t="s">
        <v>9289</v>
      </c>
      <c r="T2837" t="s">
        <v>12902</v>
      </c>
      <c r="U2837" t="s">
        <v>12902</v>
      </c>
      <c r="V2837" t="s">
        <v>12902</v>
      </c>
      <c r="W2837" t="s">
        <v>15699</v>
      </c>
      <c r="X2837">
        <v>5</v>
      </c>
      <c r="Y2837" t="s">
        <v>22037</v>
      </c>
      <c r="Z2837" t="s">
        <v>28412</v>
      </c>
      <c r="AA2837">
        <v>0.81458424924733408</v>
      </c>
      <c r="AB2837" t="str">
        <f>HYPERLINK("Melting_Curves/meltCurve_P60468_SEC61B.pdf", "Melting_Curves/meltCurve_P60468_SEC61B.pdf")</f>
        <v>Melting_Curves/meltCurve_P60468_SEC61B.pdf</v>
      </c>
    </row>
    <row r="2838" spans="1:28" x14ac:dyDescent="0.25">
      <c r="A2838" t="s">
        <v>2842</v>
      </c>
      <c r="B2838">
        <v>0.99673306730245903</v>
      </c>
      <c r="C2838">
        <v>0.99968101672718601</v>
      </c>
      <c r="D2838">
        <v>0.84619978032912402</v>
      </c>
      <c r="E2838">
        <v>0.50828029455805002</v>
      </c>
      <c r="F2838">
        <v>0.41135196261395202</v>
      </c>
      <c r="G2838">
        <v>0.227319932196903</v>
      </c>
      <c r="H2838">
        <v>0.16994050704334901</v>
      </c>
      <c r="I2838">
        <v>0.14328251959701499</v>
      </c>
      <c r="J2838">
        <v>0.13834476426846101</v>
      </c>
      <c r="K2838">
        <v>0.13233541130941501</v>
      </c>
      <c r="L2838">
        <v>850.62600233795797</v>
      </c>
      <c r="M2838">
        <v>17.094736642851501</v>
      </c>
      <c r="N2838">
        <v>50.677407315315698</v>
      </c>
      <c r="O2838">
        <v>49.093573100282498</v>
      </c>
      <c r="P2838">
        <v>-7.5466474368657999E-2</v>
      </c>
      <c r="Q2838">
        <v>0.133138002501688</v>
      </c>
      <c r="R2838">
        <v>0.98968939424781799</v>
      </c>
      <c r="S2838" t="s">
        <v>9290</v>
      </c>
      <c r="T2838" t="s">
        <v>12902</v>
      </c>
      <c r="U2838" t="s">
        <v>12902</v>
      </c>
      <c r="V2838" t="s">
        <v>12902</v>
      </c>
      <c r="W2838" t="s">
        <v>15700</v>
      </c>
      <c r="X2838">
        <v>1</v>
      </c>
      <c r="Y2838" t="s">
        <v>22038</v>
      </c>
      <c r="Z2838" t="s">
        <v>28413</v>
      </c>
      <c r="AA2838">
        <v>0.43150837351708771</v>
      </c>
      <c r="AB2838" t="str">
        <f>HYPERLINK("Melting_Curves/meltCurve_P60484_PTEN.pdf", "Melting_Curves/meltCurve_P60484_PTEN.pdf")</f>
        <v>Melting_Curves/meltCurve_P60484_PTEN.pdf</v>
      </c>
    </row>
    <row r="2839" spans="1:28" x14ac:dyDescent="0.25">
      <c r="A2839" t="s">
        <v>2843</v>
      </c>
      <c r="B2839">
        <v>0.99673306730245903</v>
      </c>
      <c r="C2839">
        <v>0.99429903960086696</v>
      </c>
      <c r="D2839">
        <v>0.99145614617184397</v>
      </c>
      <c r="E2839">
        <v>0.99360237683223396</v>
      </c>
      <c r="F2839">
        <v>0.82875869572328498</v>
      </c>
      <c r="G2839">
        <v>0.63025073045749802</v>
      </c>
      <c r="H2839">
        <v>0.31540917363286403</v>
      </c>
      <c r="I2839">
        <v>0.25344210770174003</v>
      </c>
      <c r="J2839">
        <v>0.19884900449575699</v>
      </c>
      <c r="K2839">
        <v>0.14886938009603401</v>
      </c>
      <c r="L2839">
        <v>1183.34355986326</v>
      </c>
      <c r="M2839">
        <v>20.667101202087501</v>
      </c>
      <c r="N2839">
        <v>58.231948681016902</v>
      </c>
      <c r="O2839">
        <v>56.729374049491497</v>
      </c>
      <c r="P2839">
        <v>-7.7763750165646697E-2</v>
      </c>
      <c r="Q2839">
        <v>0.146205861877645</v>
      </c>
      <c r="R2839">
        <v>0.997125529305951</v>
      </c>
      <c r="S2839" t="s">
        <v>9291</v>
      </c>
      <c r="T2839" t="s">
        <v>12902</v>
      </c>
      <c r="U2839" t="s">
        <v>12902</v>
      </c>
      <c r="V2839" t="s">
        <v>12902</v>
      </c>
      <c r="W2839" t="s">
        <v>15701</v>
      </c>
      <c r="X2839">
        <v>15</v>
      </c>
      <c r="Y2839" t="s">
        <v>22039</v>
      </c>
      <c r="Z2839" t="s">
        <v>28414</v>
      </c>
      <c r="AA2839">
        <v>0.64723746699980111</v>
      </c>
      <c r="AB2839" t="str">
        <f>HYPERLINK("Melting_Curves/meltCurve_P60510_PPP4C.pdf", "Melting_Curves/meltCurve_P60510_PPP4C.pdf")</f>
        <v>Melting_Curves/meltCurve_P60510_PPP4C.pdf</v>
      </c>
    </row>
    <row r="2840" spans="1:28" x14ac:dyDescent="0.25">
      <c r="A2840" t="s">
        <v>2844</v>
      </c>
      <c r="B2840">
        <v>0.99673306730245903</v>
      </c>
      <c r="C2840">
        <v>1.02016445478937</v>
      </c>
      <c r="D2840">
        <v>0.98004343580103603</v>
      </c>
      <c r="E2840">
        <v>0.85644494774824198</v>
      </c>
      <c r="F2840">
        <v>0.686777834900828</v>
      </c>
      <c r="G2840">
        <v>0.61607047146614702</v>
      </c>
      <c r="H2840">
        <v>0.61719276153160696</v>
      </c>
      <c r="I2840">
        <v>0.74444051176989701</v>
      </c>
      <c r="J2840">
        <v>0.97564377801464897</v>
      </c>
      <c r="K2840">
        <v>0.99608791990779899</v>
      </c>
      <c r="L2840">
        <v>12373.267119026999</v>
      </c>
      <c r="M2840">
        <v>250</v>
      </c>
      <c r="O2840">
        <v>49.489902525654301</v>
      </c>
      <c r="P2840">
        <v>-0.28705071789463399</v>
      </c>
      <c r="Q2840">
        <v>0.772702213355698</v>
      </c>
      <c r="R2840">
        <v>0.40779044599813902</v>
      </c>
      <c r="S2840" t="s">
        <v>9292</v>
      </c>
      <c r="T2840" t="s">
        <v>12902</v>
      </c>
      <c r="U2840" t="s">
        <v>12902</v>
      </c>
      <c r="V2840" t="s">
        <v>12902</v>
      </c>
      <c r="W2840" t="s">
        <v>15702</v>
      </c>
      <c r="X2840">
        <v>3</v>
      </c>
      <c r="Y2840" t="s">
        <v>22040</v>
      </c>
      <c r="Z2840" t="s">
        <v>28415</v>
      </c>
      <c r="AA2840">
        <v>0.84464707144528572</v>
      </c>
      <c r="AB2840" t="str">
        <f>HYPERLINK("Melting_Curves/meltCurve_P60602_ROMO1.pdf", "Melting_Curves/meltCurve_P60602_ROMO1.pdf")</f>
        <v>Melting_Curves/meltCurve_P60602_ROMO1.pdf</v>
      </c>
    </row>
    <row r="2841" spans="1:28" x14ac:dyDescent="0.25">
      <c r="A2841" t="s">
        <v>2845</v>
      </c>
      <c r="B2841">
        <v>0.99673306730245903</v>
      </c>
      <c r="C2841">
        <v>0.89725790840564201</v>
      </c>
      <c r="D2841">
        <v>0.76688583748535299</v>
      </c>
      <c r="E2841">
        <v>0.40824303444198701</v>
      </c>
      <c r="F2841">
        <v>0.14356534831612699</v>
      </c>
      <c r="G2841">
        <v>9.1513724646324304E-2</v>
      </c>
      <c r="H2841">
        <v>5.4184838127810699E-2</v>
      </c>
      <c r="I2841">
        <v>5.2498099319169898E-2</v>
      </c>
      <c r="J2841">
        <v>5.5751484290381403E-2</v>
      </c>
      <c r="K2841">
        <v>4.8943898669521903E-2</v>
      </c>
      <c r="L2841">
        <v>1008.23073420488</v>
      </c>
      <c r="M2841">
        <v>20.860446408534699</v>
      </c>
      <c r="N2841">
        <v>48.551239691542897</v>
      </c>
      <c r="O2841">
        <v>47.894590180025801</v>
      </c>
      <c r="P2841">
        <v>-0.10399950460011501</v>
      </c>
      <c r="Q2841">
        <v>4.4914697038551103E-2</v>
      </c>
      <c r="R2841">
        <v>0.998067360668351</v>
      </c>
      <c r="S2841" t="s">
        <v>9293</v>
      </c>
      <c r="T2841" t="s">
        <v>12902</v>
      </c>
      <c r="U2841" t="s">
        <v>12902</v>
      </c>
      <c r="V2841" t="s">
        <v>12902</v>
      </c>
      <c r="W2841" t="s">
        <v>15703</v>
      </c>
      <c r="X2841">
        <v>4</v>
      </c>
      <c r="Y2841" t="s">
        <v>22041</v>
      </c>
      <c r="Z2841" t="s">
        <v>28416</v>
      </c>
      <c r="AA2841">
        <v>0.32253049756409929</v>
      </c>
      <c r="AB2841" t="str">
        <f>HYPERLINK("Melting_Curves/meltCurve_P60604_2_UBE2G2.pdf", "Melting_Curves/meltCurve_P60604_2_UBE2G2.pdf")</f>
        <v>Melting_Curves/meltCurve_P60604_2_UBE2G2.pdf</v>
      </c>
    </row>
    <row r="2842" spans="1:28" x14ac:dyDescent="0.25">
      <c r="A2842" t="s">
        <v>2846</v>
      </c>
      <c r="B2842">
        <v>0.99673306730245903</v>
      </c>
      <c r="C2842">
        <v>0.94183111010626397</v>
      </c>
      <c r="D2842">
        <v>0.88878529385147198</v>
      </c>
      <c r="E2842">
        <v>0.86753927933874897</v>
      </c>
      <c r="F2842">
        <v>0.44397083700349099</v>
      </c>
      <c r="G2842">
        <v>0.23249782368718799</v>
      </c>
      <c r="H2842">
        <v>0.14818417275472001</v>
      </c>
      <c r="I2842">
        <v>0.15834753129099999</v>
      </c>
      <c r="J2842">
        <v>0.19296972488601699</v>
      </c>
      <c r="K2842">
        <v>6.8243464701813902E-2</v>
      </c>
      <c r="L2842">
        <v>1376.0162997767</v>
      </c>
      <c r="M2842">
        <v>26.3528749354249</v>
      </c>
      <c r="N2842">
        <v>52.840527974387101</v>
      </c>
      <c r="O2842">
        <v>51.917145684108803</v>
      </c>
      <c r="P2842">
        <v>-0.10989669848025201</v>
      </c>
      <c r="Q2842">
        <v>0.13399040814050101</v>
      </c>
      <c r="R2842">
        <v>0.98433356935507099</v>
      </c>
      <c r="S2842" t="s">
        <v>9294</v>
      </c>
      <c r="T2842" t="s">
        <v>12902</v>
      </c>
      <c r="U2842" t="s">
        <v>12902</v>
      </c>
      <c r="V2842" t="s">
        <v>12902</v>
      </c>
      <c r="W2842" t="s">
        <v>15704</v>
      </c>
      <c r="X2842">
        <v>39</v>
      </c>
      <c r="Y2842" t="s">
        <v>22042</v>
      </c>
      <c r="Z2842" t="s">
        <v>28417</v>
      </c>
      <c r="AA2842">
        <v>0.49375876060007923</v>
      </c>
      <c r="AB2842" t="str">
        <f>HYPERLINK("Melting_Curves/meltCurve_P60709_ACTB.pdf", "Melting_Curves/meltCurve_P60709_ACTB.pdf")</f>
        <v>Melting_Curves/meltCurve_P60709_ACTB.pdf</v>
      </c>
    </row>
    <row r="2843" spans="1:28" x14ac:dyDescent="0.25">
      <c r="A2843" t="s">
        <v>2847</v>
      </c>
      <c r="B2843">
        <v>0.99673306730245903</v>
      </c>
      <c r="C2843">
        <v>0.96881710197916204</v>
      </c>
      <c r="D2843">
        <v>0.90523109153856196</v>
      </c>
      <c r="E2843">
        <v>0.72990017087589698</v>
      </c>
      <c r="F2843">
        <v>0.47924173837537598</v>
      </c>
      <c r="G2843">
        <v>0.30233765277525698</v>
      </c>
      <c r="H2843">
        <v>0.17621365208144699</v>
      </c>
      <c r="I2843">
        <v>0.128115712212515</v>
      </c>
      <c r="J2843">
        <v>0.12762340132181799</v>
      </c>
      <c r="K2843">
        <v>0.11403042281357199</v>
      </c>
      <c r="L2843">
        <v>828.08495004087399</v>
      </c>
      <c r="M2843">
        <v>15.847097725702</v>
      </c>
      <c r="N2843">
        <v>52.948035885137898</v>
      </c>
      <c r="O2843">
        <v>51.4438051032269</v>
      </c>
      <c r="P2843">
        <v>-6.9801295256850499E-2</v>
      </c>
      <c r="Q2843">
        <v>9.37011031390034E-2</v>
      </c>
      <c r="R2843">
        <v>0.99967864828910702</v>
      </c>
      <c r="S2843" t="s">
        <v>9295</v>
      </c>
      <c r="T2843" t="s">
        <v>12902</v>
      </c>
      <c r="U2843" t="s">
        <v>12902</v>
      </c>
      <c r="V2843" t="s">
        <v>12902</v>
      </c>
      <c r="W2843" t="s">
        <v>15705</v>
      </c>
      <c r="X2843">
        <v>11</v>
      </c>
      <c r="Y2843" t="s">
        <v>22043</v>
      </c>
      <c r="Z2843" t="s">
        <v>28418</v>
      </c>
      <c r="AA2843">
        <v>0.48238047252823868</v>
      </c>
      <c r="AB2843" t="str">
        <f>HYPERLINK("Melting_Curves/meltCurve_P60763_RAC3.pdf", "Melting_Curves/meltCurve_P60763_RAC3.pdf")</f>
        <v>Melting_Curves/meltCurve_P60763_RAC3.pdf</v>
      </c>
    </row>
    <row r="2844" spans="1:28" x14ac:dyDescent="0.25">
      <c r="A2844" t="s">
        <v>2848</v>
      </c>
      <c r="B2844">
        <v>0.99673306730245903</v>
      </c>
      <c r="C2844">
        <v>0.97038921205338002</v>
      </c>
      <c r="D2844">
        <v>0.73474035805162696</v>
      </c>
      <c r="E2844">
        <v>0.74809883909947394</v>
      </c>
      <c r="F2844">
        <v>0.27833643900619198</v>
      </c>
      <c r="G2844">
        <v>0.14797415208457601</v>
      </c>
      <c r="H2844">
        <v>7.1073896579481405E-2</v>
      </c>
      <c r="I2844">
        <v>5.7641913153607199E-2</v>
      </c>
      <c r="J2844">
        <v>5.9635195518818199E-2</v>
      </c>
      <c r="K2844">
        <v>4.9944811263667802E-2</v>
      </c>
      <c r="L2844">
        <v>874.8327826057</v>
      </c>
      <c r="M2844">
        <v>17.1954740889399</v>
      </c>
      <c r="N2844">
        <v>51.0401888507309</v>
      </c>
      <c r="O2844">
        <v>50.202657825691198</v>
      </c>
      <c r="P2844">
        <v>-8.3327928539977003E-2</v>
      </c>
      <c r="Q2844">
        <v>2.6945161894588399E-2</v>
      </c>
      <c r="R2844">
        <v>0.97376350977979198</v>
      </c>
      <c r="S2844" t="s">
        <v>9296</v>
      </c>
      <c r="T2844" t="s">
        <v>12902</v>
      </c>
      <c r="U2844" t="s">
        <v>12902</v>
      </c>
      <c r="V2844" t="s">
        <v>12902</v>
      </c>
      <c r="W2844" t="s">
        <v>15706</v>
      </c>
      <c r="X2844">
        <v>35</v>
      </c>
      <c r="Y2844" t="s">
        <v>22044</v>
      </c>
      <c r="Z2844" t="s">
        <v>28419</v>
      </c>
      <c r="AA2844">
        <v>0.39752909797600999</v>
      </c>
      <c r="AB2844" t="str">
        <f>HYPERLINK("Melting_Curves/meltCurve_P60842_EIF4A1.pdf", "Melting_Curves/meltCurve_P60842_EIF4A1.pdf")</f>
        <v>Melting_Curves/meltCurve_P60842_EIF4A1.pdf</v>
      </c>
    </row>
    <row r="2845" spans="1:28" x14ac:dyDescent="0.25">
      <c r="A2845" t="s">
        <v>2849</v>
      </c>
      <c r="B2845">
        <v>0.99673306730245903</v>
      </c>
      <c r="C2845">
        <v>1.15761931689384</v>
      </c>
      <c r="D2845">
        <v>1.0852586353847999</v>
      </c>
      <c r="E2845">
        <v>0.95063750228783495</v>
      </c>
      <c r="F2845">
        <v>0.66697310224362705</v>
      </c>
      <c r="G2845">
        <v>0.40538954400696298</v>
      </c>
      <c r="H2845">
        <v>0.18749185622435499</v>
      </c>
      <c r="I2845">
        <v>0.127343188160565</v>
      </c>
      <c r="J2845">
        <v>0.14908569295416901</v>
      </c>
      <c r="K2845">
        <v>0.12753309560540299</v>
      </c>
      <c r="L2845">
        <v>1332.2184902653501</v>
      </c>
      <c r="M2845">
        <v>24.376888221899002</v>
      </c>
      <c r="N2845">
        <v>55.302174571313401</v>
      </c>
      <c r="O2845">
        <v>54.287083180667899</v>
      </c>
      <c r="P2845">
        <v>-9.8253351764494096E-2</v>
      </c>
      <c r="Q2845">
        <v>0.124776130913188</v>
      </c>
      <c r="R2845">
        <v>0.97783799820457495</v>
      </c>
      <c r="S2845" t="s">
        <v>9297</v>
      </c>
      <c r="T2845" t="s">
        <v>12902</v>
      </c>
      <c r="U2845" t="s">
        <v>12902</v>
      </c>
      <c r="V2845" t="s">
        <v>12902</v>
      </c>
      <c r="W2845" t="s">
        <v>15707</v>
      </c>
      <c r="X2845">
        <v>11</v>
      </c>
      <c r="Y2845" t="s">
        <v>22045</v>
      </c>
      <c r="Z2845" t="s">
        <v>28420</v>
      </c>
      <c r="AA2845">
        <v>0.56067620304251264</v>
      </c>
      <c r="AB2845" t="str">
        <f>HYPERLINK("Melting_Curves/meltCurve_P60866_RPS20.pdf", "Melting_Curves/meltCurve_P60866_RPS20.pdf")</f>
        <v>Melting_Curves/meltCurve_P60866_RPS20.pdf</v>
      </c>
    </row>
    <row r="2846" spans="1:28" x14ac:dyDescent="0.25">
      <c r="A2846" t="s">
        <v>2850</v>
      </c>
      <c r="B2846">
        <v>0.99673306730245903</v>
      </c>
      <c r="C2846">
        <v>0.99480771170801696</v>
      </c>
      <c r="D2846">
        <v>1.0805538367179099</v>
      </c>
      <c r="E2846">
        <v>1.33839877059165</v>
      </c>
      <c r="F2846">
        <v>1.58321512056839</v>
      </c>
      <c r="G2846">
        <v>1.81517495769809</v>
      </c>
      <c r="H2846">
        <v>1.6626445358120401</v>
      </c>
      <c r="I2846">
        <v>0.787329551719674</v>
      </c>
      <c r="J2846">
        <v>0.291677791269989</v>
      </c>
      <c r="K2846">
        <v>0.183608313017148</v>
      </c>
      <c r="L2846">
        <v>7542.2563608311602</v>
      </c>
      <c r="M2846">
        <v>116.85321279321499</v>
      </c>
      <c r="N2846">
        <v>64.8918472279898</v>
      </c>
      <c r="O2846">
        <v>64.525784291318004</v>
      </c>
      <c r="P2846">
        <v>-0.34752211625922003</v>
      </c>
      <c r="Q2846">
        <v>0.232399544878196</v>
      </c>
      <c r="R2846">
        <v>0.42352563699784301</v>
      </c>
      <c r="S2846" t="s">
        <v>9298</v>
      </c>
      <c r="T2846" t="s">
        <v>12902</v>
      </c>
      <c r="U2846" t="s">
        <v>12902</v>
      </c>
      <c r="V2846" t="s">
        <v>12902</v>
      </c>
      <c r="W2846" t="s">
        <v>15708</v>
      </c>
      <c r="X2846">
        <v>15</v>
      </c>
      <c r="Y2846" t="s">
        <v>22046</v>
      </c>
      <c r="Z2846" t="s">
        <v>28421</v>
      </c>
      <c r="AA2846">
        <v>0.86081357173677453</v>
      </c>
      <c r="AB2846" t="str">
        <f>HYPERLINK("Melting_Curves/meltCurve_P60891_PRPS1.pdf", "Melting_Curves/meltCurve_P60891_PRPS1.pdf")</f>
        <v>Melting_Curves/meltCurve_P60891_PRPS1.pdf</v>
      </c>
    </row>
    <row r="2847" spans="1:28" x14ac:dyDescent="0.25">
      <c r="A2847" t="s">
        <v>2851</v>
      </c>
      <c r="B2847">
        <v>0.99673306730245903</v>
      </c>
      <c r="C2847">
        <v>0.92369993692549401</v>
      </c>
      <c r="D2847">
        <v>0.99619270951005101</v>
      </c>
      <c r="E2847">
        <v>0.79245445462865804</v>
      </c>
      <c r="F2847">
        <v>0.78832079841505698</v>
      </c>
      <c r="G2847">
        <v>0.85254202259721201</v>
      </c>
      <c r="H2847">
        <v>1.2371086383602901</v>
      </c>
      <c r="I2847">
        <v>1.1006644892035999</v>
      </c>
      <c r="J2847">
        <v>2.9069016644281702</v>
      </c>
      <c r="K2847">
        <v>2.4230446405774799</v>
      </c>
      <c r="L2847">
        <v>15000</v>
      </c>
      <c r="M2847">
        <v>233.005438812091</v>
      </c>
      <c r="O2847">
        <v>64.371416337339198</v>
      </c>
      <c r="P2847">
        <v>0.45246278616461499</v>
      </c>
      <c r="Q2847">
        <v>1.5</v>
      </c>
      <c r="R2847">
        <v>0.39114639977974902</v>
      </c>
      <c r="S2847" t="s">
        <v>9299</v>
      </c>
      <c r="T2847" t="s">
        <v>12902</v>
      </c>
      <c r="U2847" t="s">
        <v>12902</v>
      </c>
      <c r="V2847" t="s">
        <v>12902</v>
      </c>
      <c r="W2847" t="s">
        <v>15709</v>
      </c>
      <c r="X2847">
        <v>2</v>
      </c>
      <c r="Y2847" t="s">
        <v>22047</v>
      </c>
      <c r="Z2847" t="s">
        <v>28422</v>
      </c>
      <c r="AA2847">
        <v>1.093665305809306</v>
      </c>
      <c r="AB2847" t="str">
        <f>HYPERLINK("Melting_Curves/meltCurve_P60896_SHFM1.pdf", "Melting_Curves/meltCurve_P60896_SHFM1.pdf")</f>
        <v>Melting_Curves/meltCurve_P60896_SHFM1.pdf</v>
      </c>
    </row>
    <row r="2848" spans="1:28" x14ac:dyDescent="0.25">
      <c r="A2848" t="s">
        <v>2852</v>
      </c>
      <c r="B2848">
        <v>0.99673306730245903</v>
      </c>
      <c r="C2848">
        <v>0.86107360073092698</v>
      </c>
      <c r="D2848">
        <v>0.88821697804505295</v>
      </c>
      <c r="E2848">
        <v>1.1438049314804299</v>
      </c>
      <c r="F2848">
        <v>0.42402704357006199</v>
      </c>
      <c r="G2848">
        <v>0.190041001060412</v>
      </c>
      <c r="H2848">
        <v>0.107864247597727</v>
      </c>
      <c r="I2848">
        <v>0.141136277120608</v>
      </c>
      <c r="J2848">
        <v>0.137954971151037</v>
      </c>
      <c r="K2848">
        <v>0.13123636130585301</v>
      </c>
      <c r="L2848">
        <v>13262.078767057999</v>
      </c>
      <c r="M2848">
        <v>250</v>
      </c>
      <c r="N2848">
        <v>53.119090087771902</v>
      </c>
      <c r="O2848">
        <v>53.044920364819703</v>
      </c>
      <c r="P2848">
        <v>-1.0113520740283</v>
      </c>
      <c r="Q2848">
        <v>0.14164655796102299</v>
      </c>
      <c r="R2848">
        <v>0.96480453949485701</v>
      </c>
      <c r="S2848" t="s">
        <v>9300</v>
      </c>
      <c r="T2848" t="s">
        <v>12902</v>
      </c>
      <c r="U2848" t="s">
        <v>12902</v>
      </c>
      <c r="V2848" t="s">
        <v>12902</v>
      </c>
      <c r="W2848" t="s">
        <v>15710</v>
      </c>
      <c r="X2848">
        <v>7</v>
      </c>
      <c r="Y2848" t="s">
        <v>22048</v>
      </c>
      <c r="Z2848" t="s">
        <v>28423</v>
      </c>
      <c r="AA2848">
        <v>0.51506200816761394</v>
      </c>
      <c r="AB2848" t="str">
        <f>HYPERLINK("Melting_Curves/meltCurve_P60903_S100A10.pdf", "Melting_Curves/meltCurve_P60903_S100A10.pdf")</f>
        <v>Melting_Curves/meltCurve_P60903_S100A10.pdf</v>
      </c>
    </row>
    <row r="2849" spans="1:28" x14ac:dyDescent="0.25">
      <c r="A2849" t="s">
        <v>2853</v>
      </c>
      <c r="B2849">
        <v>0.99673306730245903</v>
      </c>
      <c r="C2849">
        <v>1.02111438755493</v>
      </c>
      <c r="D2849">
        <v>1.0359798784519001</v>
      </c>
      <c r="E2849">
        <v>0.89480669953758096</v>
      </c>
      <c r="F2849">
        <v>0.646378218249968</v>
      </c>
      <c r="G2849">
        <v>0.48452206707100198</v>
      </c>
      <c r="H2849">
        <v>0.43507797112118901</v>
      </c>
      <c r="I2849">
        <v>0.46671562001193201</v>
      </c>
      <c r="J2849">
        <v>0.18505452680867199</v>
      </c>
      <c r="K2849">
        <v>0.108058928188071</v>
      </c>
      <c r="L2849">
        <v>578.66139063251103</v>
      </c>
      <c r="M2849">
        <v>9.9203266177841094</v>
      </c>
      <c r="N2849">
        <v>58.492844376520999</v>
      </c>
      <c r="O2849">
        <v>56.109057187520399</v>
      </c>
      <c r="P2849">
        <v>-4.3624145241132797E-2</v>
      </c>
      <c r="Q2849">
        <v>1.35475597385348E-2</v>
      </c>
      <c r="R2849">
        <v>0.94301898848781696</v>
      </c>
      <c r="S2849" t="s">
        <v>9301</v>
      </c>
      <c r="T2849" t="s">
        <v>12902</v>
      </c>
      <c r="U2849" t="s">
        <v>12902</v>
      </c>
      <c r="V2849" t="s">
        <v>12902</v>
      </c>
      <c r="W2849" t="s">
        <v>15711</v>
      </c>
      <c r="X2849">
        <v>12</v>
      </c>
      <c r="Y2849" t="s">
        <v>22049</v>
      </c>
      <c r="Z2849" t="s">
        <v>28424</v>
      </c>
      <c r="AA2849">
        <v>0.62381341923161637</v>
      </c>
      <c r="AB2849" t="str">
        <f>HYPERLINK("Melting_Curves/meltCurve_P60953_CDC42.pdf", "Melting_Curves/meltCurve_P60953_CDC42.pdf")</f>
        <v>Melting_Curves/meltCurve_P60953_CDC42.pdf</v>
      </c>
    </row>
    <row r="2850" spans="1:28" x14ac:dyDescent="0.25">
      <c r="A2850" t="s">
        <v>2854</v>
      </c>
      <c r="B2850">
        <v>0.99673306730245903</v>
      </c>
      <c r="C2850">
        <v>1.0542798522030801</v>
      </c>
      <c r="D2850">
        <v>0.85205559766012595</v>
      </c>
      <c r="E2850">
        <v>0.83453891001827296</v>
      </c>
      <c r="F2850">
        <v>0.41192370084184499</v>
      </c>
      <c r="G2850">
        <v>0.146950556700392</v>
      </c>
      <c r="H2850">
        <v>7.4650412412594097E-2</v>
      </c>
      <c r="I2850">
        <v>6.7433402012714597E-2</v>
      </c>
      <c r="J2850">
        <v>7.7822084479333503E-2</v>
      </c>
      <c r="K2850">
        <v>7.8329944871895305E-2</v>
      </c>
      <c r="L2850">
        <v>1349.9900222098599</v>
      </c>
      <c r="M2850">
        <v>25.8947244269743</v>
      </c>
      <c r="N2850">
        <v>52.406832124823303</v>
      </c>
      <c r="O2850">
        <v>51.825845762569301</v>
      </c>
      <c r="P2850">
        <v>-0.117031050303134</v>
      </c>
      <c r="Q2850">
        <v>6.3104572320458893E-2</v>
      </c>
      <c r="R2850">
        <v>0.98816746934048605</v>
      </c>
      <c r="S2850" t="s">
        <v>9302</v>
      </c>
      <c r="T2850" t="s">
        <v>12902</v>
      </c>
      <c r="U2850" t="s">
        <v>12902</v>
      </c>
      <c r="V2850" t="s">
        <v>12902</v>
      </c>
      <c r="W2850" t="s">
        <v>15712</v>
      </c>
      <c r="X2850">
        <v>19</v>
      </c>
      <c r="Y2850" t="s">
        <v>22050</v>
      </c>
      <c r="Z2850" t="s">
        <v>28425</v>
      </c>
      <c r="AA2850">
        <v>0.45004387497603798</v>
      </c>
      <c r="AB2850" t="str">
        <f>HYPERLINK("Melting_Curves/meltCurve_P60981_DSTN.pdf", "Melting_Curves/meltCurve_P60981_DSTN.pdf")</f>
        <v>Melting_Curves/meltCurve_P60981_DSTN.pdf</v>
      </c>
    </row>
    <row r="2851" spans="1:28" x14ac:dyDescent="0.25">
      <c r="A2851" t="s">
        <v>2855</v>
      </c>
      <c r="B2851">
        <v>0.99673306730245903</v>
      </c>
      <c r="C2851">
        <v>1.0003483935042501</v>
      </c>
      <c r="D2851">
        <v>0.971897227552043</v>
      </c>
      <c r="E2851">
        <v>0.91758254758258095</v>
      </c>
      <c r="F2851">
        <v>0.798121047416255</v>
      </c>
      <c r="G2851">
        <v>0.65939360732810104</v>
      </c>
      <c r="H2851">
        <v>0.42609134943525101</v>
      </c>
      <c r="I2851">
        <v>0.35253212847864801</v>
      </c>
      <c r="J2851">
        <v>0.34189104338288001</v>
      </c>
      <c r="K2851">
        <v>0.24069931428154601</v>
      </c>
      <c r="L2851">
        <v>807.11919487742898</v>
      </c>
      <c r="M2851">
        <v>14.0520519485924</v>
      </c>
      <c r="N2851">
        <v>59.694239401495601</v>
      </c>
      <c r="O2851">
        <v>56.312101500617501</v>
      </c>
      <c r="P2851">
        <v>-4.9537437996578899E-2</v>
      </c>
      <c r="Q2851">
        <v>0.20603952735058301</v>
      </c>
      <c r="R2851">
        <v>0.99503632437152301</v>
      </c>
      <c r="S2851" t="s">
        <v>9303</v>
      </c>
      <c r="T2851" t="s">
        <v>12902</v>
      </c>
      <c r="U2851" t="s">
        <v>12902</v>
      </c>
      <c r="V2851" t="s">
        <v>12902</v>
      </c>
      <c r="W2851" t="s">
        <v>15713</v>
      </c>
      <c r="X2851">
        <v>15</v>
      </c>
      <c r="Y2851" t="s">
        <v>22051</v>
      </c>
      <c r="Z2851" t="s">
        <v>28426</v>
      </c>
      <c r="AA2851">
        <v>0.67956960375289954</v>
      </c>
      <c r="AB2851" t="str">
        <f>HYPERLINK("Melting_Curves/meltCurve_P60983_GMFB.pdf", "Melting_Curves/meltCurve_P60983_GMFB.pdf")</f>
        <v>Melting_Curves/meltCurve_P60983_GMFB.pdf</v>
      </c>
    </row>
    <row r="2852" spans="1:28" x14ac:dyDescent="0.25">
      <c r="A2852" t="s">
        <v>2856</v>
      </c>
      <c r="B2852">
        <v>0.99673306730245903</v>
      </c>
      <c r="C2852">
        <v>0.98158047898511203</v>
      </c>
      <c r="D2852">
        <v>0.97689065944266895</v>
      </c>
      <c r="E2852">
        <v>0.84561621545892196</v>
      </c>
      <c r="F2852">
        <v>0.70216920665737603</v>
      </c>
      <c r="G2852">
        <v>0.54635816604834797</v>
      </c>
      <c r="H2852">
        <v>0.42072261248230403</v>
      </c>
      <c r="I2852">
        <v>0.31743601491426099</v>
      </c>
      <c r="J2852">
        <v>0.108324936896466</v>
      </c>
      <c r="K2852">
        <v>8.4394110898550395E-2</v>
      </c>
      <c r="L2852">
        <v>647.83772305714899</v>
      </c>
      <c r="M2852">
        <v>11.185528737434099</v>
      </c>
      <c r="N2852">
        <v>57.9174803013222</v>
      </c>
      <c r="O2852">
        <v>56.158825649590803</v>
      </c>
      <c r="P2852">
        <v>-4.9809922304320901E-2</v>
      </c>
      <c r="Q2852">
        <v>0</v>
      </c>
      <c r="R2852">
        <v>0.98683874983693298</v>
      </c>
      <c r="S2852" t="s">
        <v>9304</v>
      </c>
      <c r="T2852" t="s">
        <v>12902</v>
      </c>
      <c r="U2852" t="s">
        <v>12902</v>
      </c>
      <c r="V2852" t="s">
        <v>12902</v>
      </c>
      <c r="W2852" t="s">
        <v>15714</v>
      </c>
      <c r="X2852">
        <v>14</v>
      </c>
      <c r="Y2852" t="s">
        <v>22052</v>
      </c>
      <c r="Z2852" t="s">
        <v>28427</v>
      </c>
      <c r="AA2852">
        <v>0.60954805438726301</v>
      </c>
      <c r="AB2852" t="str">
        <f>HYPERLINK("Melting_Curves/meltCurve_P61006_RAB8A.pdf", "Melting_Curves/meltCurve_P61006_RAB8A.pdf")</f>
        <v>Melting_Curves/meltCurve_P61006_RAB8A.pdf</v>
      </c>
    </row>
    <row r="2853" spans="1:28" x14ac:dyDescent="0.25">
      <c r="A2853" t="s">
        <v>2857</v>
      </c>
      <c r="B2853">
        <v>0.99673306730245903</v>
      </c>
      <c r="C2853">
        <v>0.99480346186150603</v>
      </c>
      <c r="D2853">
        <v>0.89599160877272499</v>
      </c>
      <c r="E2853">
        <v>0.773735474511968</v>
      </c>
      <c r="F2853">
        <v>0.46266777120406399</v>
      </c>
      <c r="G2853">
        <v>0.250242612267293</v>
      </c>
      <c r="H2853">
        <v>0.122389816185327</v>
      </c>
      <c r="I2853">
        <v>0.112205445193169</v>
      </c>
      <c r="J2853">
        <v>8.7741139161442203E-2</v>
      </c>
      <c r="K2853">
        <v>9.2155726914518898E-2</v>
      </c>
      <c r="L2853">
        <v>970.52106281837405</v>
      </c>
      <c r="M2853">
        <v>18.550733741004102</v>
      </c>
      <c r="N2853">
        <v>52.777084434916098</v>
      </c>
      <c r="O2853">
        <v>51.720539287524304</v>
      </c>
      <c r="P2853">
        <v>-8.2978941253178506E-2</v>
      </c>
      <c r="Q2853">
        <v>7.4639810886076505E-2</v>
      </c>
      <c r="R2853">
        <v>0.99837417852372901</v>
      </c>
      <c r="S2853" t="s">
        <v>9305</v>
      </c>
      <c r="T2853" t="s">
        <v>12902</v>
      </c>
      <c r="U2853" t="s">
        <v>12902</v>
      </c>
      <c r="V2853" t="s">
        <v>12902</v>
      </c>
      <c r="W2853" t="s">
        <v>15715</v>
      </c>
      <c r="X2853">
        <v>4</v>
      </c>
      <c r="Y2853" t="s">
        <v>22053</v>
      </c>
      <c r="Z2853" t="s">
        <v>28428</v>
      </c>
      <c r="AA2853">
        <v>0.4691341617365975</v>
      </c>
      <c r="AB2853" t="str">
        <f>HYPERLINK("Melting_Curves/meltCurve_P61009_SPCS3.pdf", "Melting_Curves/meltCurve_P61009_SPCS3.pdf")</f>
        <v>Melting_Curves/meltCurve_P61009_SPCS3.pdf</v>
      </c>
    </row>
    <row r="2854" spans="1:28" x14ac:dyDescent="0.25">
      <c r="A2854" t="s">
        <v>2858</v>
      </c>
      <c r="B2854">
        <v>0.99673306730245903</v>
      </c>
      <c r="C2854">
        <v>0.87902511637621605</v>
      </c>
      <c r="D2854">
        <v>0.89646919843115402</v>
      </c>
      <c r="E2854">
        <v>0.75589737873045004</v>
      </c>
      <c r="F2854">
        <v>0.30523351954896399</v>
      </c>
      <c r="G2854">
        <v>0.115611075842965</v>
      </c>
      <c r="H2854">
        <v>5.9370935705333597E-2</v>
      </c>
      <c r="I2854">
        <v>5.1099785209154702E-2</v>
      </c>
      <c r="J2854">
        <v>5.18877549529458E-2</v>
      </c>
      <c r="K2854">
        <v>5.0218510065493001E-2</v>
      </c>
      <c r="L2854">
        <v>1276.8534447914101</v>
      </c>
      <c r="M2854">
        <v>24.873823087768798</v>
      </c>
      <c r="N2854">
        <v>51.517099102805702</v>
      </c>
      <c r="O2854">
        <v>51.004878608627699</v>
      </c>
      <c r="P2854">
        <v>-0.116741817556187</v>
      </c>
      <c r="Q2854">
        <v>4.2476017877336902E-2</v>
      </c>
      <c r="R2854">
        <v>0.98836084222625198</v>
      </c>
      <c r="S2854" t="s">
        <v>9306</v>
      </c>
      <c r="T2854" t="s">
        <v>12902</v>
      </c>
      <c r="U2854" t="s">
        <v>12902</v>
      </c>
      <c r="V2854" t="s">
        <v>12902</v>
      </c>
      <c r="W2854" t="s">
        <v>15716</v>
      </c>
      <c r="X2854">
        <v>15</v>
      </c>
      <c r="Y2854" t="s">
        <v>22054</v>
      </c>
      <c r="Z2854" t="s">
        <v>28429</v>
      </c>
      <c r="AA2854">
        <v>0.41297137866891243</v>
      </c>
      <c r="AB2854" t="str">
        <f>HYPERLINK("Melting_Curves/meltCurve_P61011_SRP54.pdf", "Melting_Curves/meltCurve_P61011_SRP54.pdf")</f>
        <v>Melting_Curves/meltCurve_P61011_SRP54.pdf</v>
      </c>
    </row>
    <row r="2855" spans="1:28" x14ac:dyDescent="0.25">
      <c r="A2855" t="s">
        <v>2859</v>
      </c>
      <c r="B2855">
        <v>0.99673306730245903</v>
      </c>
      <c r="C2855">
        <v>0.92544317218502203</v>
      </c>
      <c r="D2855">
        <v>0.84970868649802</v>
      </c>
      <c r="E2855">
        <v>0.75379448445933295</v>
      </c>
      <c r="F2855">
        <v>0.69955192628748497</v>
      </c>
      <c r="G2855">
        <v>0.65843051304870504</v>
      </c>
      <c r="H2855">
        <v>0.55527463989981696</v>
      </c>
      <c r="I2855">
        <v>0.48160472656053999</v>
      </c>
      <c r="J2855">
        <v>0.107979314441639</v>
      </c>
      <c r="K2855">
        <v>7.1272310546655698E-2</v>
      </c>
      <c r="L2855">
        <v>510.20705808790302</v>
      </c>
      <c r="M2855">
        <v>8.6239499641101602</v>
      </c>
      <c r="N2855">
        <v>59.161643900597497</v>
      </c>
      <c r="O2855">
        <v>56.238423401812099</v>
      </c>
      <c r="P2855">
        <v>-3.8369268275033501E-2</v>
      </c>
      <c r="Q2855">
        <v>0</v>
      </c>
      <c r="R2855">
        <v>0.89396315264301895</v>
      </c>
      <c r="S2855" t="s">
        <v>9307</v>
      </c>
      <c r="T2855" t="s">
        <v>12902</v>
      </c>
      <c r="U2855" t="s">
        <v>12902</v>
      </c>
      <c r="V2855" t="s">
        <v>12902</v>
      </c>
      <c r="W2855" t="s">
        <v>15717</v>
      </c>
      <c r="X2855">
        <v>22</v>
      </c>
      <c r="Y2855" t="s">
        <v>22055</v>
      </c>
      <c r="Z2855" t="s">
        <v>28430</v>
      </c>
      <c r="AA2855">
        <v>0.63523423678719337</v>
      </c>
      <c r="AB2855" t="str">
        <f>HYPERLINK("Melting_Curves/meltCurve_P61019_RAB2A.pdf", "Melting_Curves/meltCurve_P61019_RAB2A.pdf")</f>
        <v>Melting_Curves/meltCurve_P61019_RAB2A.pdf</v>
      </c>
    </row>
    <row r="2856" spans="1:28" x14ac:dyDescent="0.25">
      <c r="A2856" t="s">
        <v>2860</v>
      </c>
      <c r="B2856">
        <v>0.99673306730245903</v>
      </c>
      <c r="C2856">
        <v>1.01824869135165</v>
      </c>
      <c r="D2856">
        <v>0.97744536836417295</v>
      </c>
      <c r="E2856">
        <v>0.95989807023575202</v>
      </c>
      <c r="F2856">
        <v>0.82829073077011195</v>
      </c>
      <c r="G2856">
        <v>0.69559435695434901</v>
      </c>
      <c r="H2856">
        <v>0.51171401192302501</v>
      </c>
      <c r="I2856">
        <v>0.55263183041534703</v>
      </c>
      <c r="J2856">
        <v>0.16277898269934801</v>
      </c>
      <c r="K2856">
        <v>7.6542694025512004E-2</v>
      </c>
      <c r="L2856">
        <v>776.56320807528004</v>
      </c>
      <c r="M2856">
        <v>12.680063868081101</v>
      </c>
      <c r="N2856">
        <v>61.242846798727903</v>
      </c>
      <c r="O2856">
        <v>59.779552985469998</v>
      </c>
      <c r="P2856">
        <v>-5.30387616272468E-2</v>
      </c>
      <c r="Q2856">
        <v>0</v>
      </c>
      <c r="R2856">
        <v>0.94959668405150799</v>
      </c>
      <c r="S2856" t="s">
        <v>9308</v>
      </c>
      <c r="T2856" t="s">
        <v>12902</v>
      </c>
      <c r="U2856" t="s">
        <v>12902</v>
      </c>
      <c r="V2856" t="s">
        <v>12902</v>
      </c>
      <c r="W2856" t="s">
        <v>15718</v>
      </c>
      <c r="X2856">
        <v>8</v>
      </c>
      <c r="Y2856" t="s">
        <v>22056</v>
      </c>
      <c r="Z2856" t="s">
        <v>28431</v>
      </c>
      <c r="AA2856">
        <v>0.70446168639517259</v>
      </c>
      <c r="AB2856" t="str">
        <f>HYPERLINK("Melting_Curves/meltCurve_P61020_RAB5B.pdf", "Melting_Curves/meltCurve_P61020_RAB5B.pdf")</f>
        <v>Melting_Curves/meltCurve_P61020_RAB5B.pdf</v>
      </c>
    </row>
    <row r="2857" spans="1:28" x14ac:dyDescent="0.25">
      <c r="A2857" t="s">
        <v>2861</v>
      </c>
      <c r="B2857">
        <v>0.99673306730245903</v>
      </c>
      <c r="C2857">
        <v>0.99038487355678195</v>
      </c>
      <c r="D2857">
        <v>1.00337117397909</v>
      </c>
      <c r="E2857">
        <v>0.779484178230475</v>
      </c>
      <c r="F2857">
        <v>0.62662663620109305</v>
      </c>
      <c r="G2857">
        <v>0.47722454808766002</v>
      </c>
      <c r="H2857">
        <v>0.40069240184536797</v>
      </c>
      <c r="I2857">
        <v>0.43701417903284001</v>
      </c>
      <c r="J2857">
        <v>0.670525934828063</v>
      </c>
      <c r="K2857">
        <v>0.53834154015407698</v>
      </c>
      <c r="L2857">
        <v>1534.3530036504401</v>
      </c>
      <c r="M2857">
        <v>30.5361759311591</v>
      </c>
      <c r="O2857">
        <v>50.033055354938398</v>
      </c>
      <c r="P2857">
        <v>-7.5165667287253699E-2</v>
      </c>
      <c r="Q2857">
        <v>0.507371977384527</v>
      </c>
      <c r="R2857">
        <v>0.90254157473957197</v>
      </c>
      <c r="S2857" t="s">
        <v>9309</v>
      </c>
      <c r="T2857" t="s">
        <v>12902</v>
      </c>
      <c r="U2857" t="s">
        <v>12902</v>
      </c>
      <c r="V2857" t="s">
        <v>12902</v>
      </c>
      <c r="W2857" t="s">
        <v>15719</v>
      </c>
      <c r="X2857">
        <v>3</v>
      </c>
      <c r="Y2857" t="s">
        <v>22057</v>
      </c>
      <c r="Z2857" t="s">
        <v>28432</v>
      </c>
      <c r="AA2857">
        <v>0.67859004464875761</v>
      </c>
      <c r="AB2857" t="str">
        <f>HYPERLINK("Melting_Curves/meltCurve_P61024_CKS1B.pdf", "Melting_Curves/meltCurve_P61024_CKS1B.pdf")</f>
        <v>Melting_Curves/meltCurve_P61024_CKS1B.pdf</v>
      </c>
    </row>
    <row r="2858" spans="1:28" x14ac:dyDescent="0.25">
      <c r="A2858" t="s">
        <v>2862</v>
      </c>
      <c r="B2858">
        <v>0.99673306730245903</v>
      </c>
      <c r="C2858">
        <v>0.96931890419449396</v>
      </c>
      <c r="D2858">
        <v>0.93970682640225001</v>
      </c>
      <c r="E2858">
        <v>0.78023265396411901</v>
      </c>
      <c r="F2858">
        <v>0.653554744522161</v>
      </c>
      <c r="G2858">
        <v>0.52352325098242303</v>
      </c>
      <c r="H2858">
        <v>0.47885133058999002</v>
      </c>
      <c r="I2858">
        <v>0.42188854324389002</v>
      </c>
      <c r="J2858">
        <v>0.14385424601243199</v>
      </c>
      <c r="K2858">
        <v>9.1139583933438101E-2</v>
      </c>
      <c r="L2858">
        <v>518.02727337580905</v>
      </c>
      <c r="M2858">
        <v>8.9315792974688506</v>
      </c>
      <c r="N2858">
        <v>57.999516980926998</v>
      </c>
      <c r="O2858">
        <v>55.313110513907098</v>
      </c>
      <c r="P2858">
        <v>-4.0398449599507003E-2</v>
      </c>
      <c r="Q2858">
        <v>0</v>
      </c>
      <c r="R2858">
        <v>0.95821523160642796</v>
      </c>
      <c r="S2858" t="s">
        <v>9310</v>
      </c>
      <c r="T2858" t="s">
        <v>12902</v>
      </c>
      <c r="U2858" t="s">
        <v>12902</v>
      </c>
      <c r="V2858" t="s">
        <v>12902</v>
      </c>
      <c r="W2858" t="s">
        <v>15720</v>
      </c>
      <c r="X2858">
        <v>10</v>
      </c>
      <c r="Y2858" t="s">
        <v>22058</v>
      </c>
      <c r="Z2858" t="s">
        <v>28433</v>
      </c>
      <c r="AA2858">
        <v>0.60708947863428553</v>
      </c>
      <c r="AB2858" t="str">
        <f>HYPERLINK("Melting_Curves/meltCurve_P61026_RAB10.pdf", "Melting_Curves/meltCurve_P61026_RAB10.pdf")</f>
        <v>Melting_Curves/meltCurve_P61026_RAB10.pdf</v>
      </c>
    </row>
    <row r="2859" spans="1:28" x14ac:dyDescent="0.25">
      <c r="A2859" t="s">
        <v>2863</v>
      </c>
      <c r="B2859">
        <v>0.99673306730245903</v>
      </c>
      <c r="C2859">
        <v>1.0685969830156901</v>
      </c>
      <c r="D2859">
        <v>0.97689055459640495</v>
      </c>
      <c r="E2859">
        <v>0.66588408577677904</v>
      </c>
      <c r="F2859">
        <v>0.35090987938082702</v>
      </c>
      <c r="G2859">
        <v>0.21387499767273199</v>
      </c>
      <c r="H2859">
        <v>0.122994632259526</v>
      </c>
      <c r="I2859">
        <v>0.16021384396722699</v>
      </c>
      <c r="J2859">
        <v>0.15127632555679699</v>
      </c>
      <c r="K2859">
        <v>0.152567588801332</v>
      </c>
      <c r="L2859">
        <v>1346.91951979185</v>
      </c>
      <c r="M2859">
        <v>26.594299618205302</v>
      </c>
      <c r="N2859">
        <v>51.3311094885795</v>
      </c>
      <c r="O2859">
        <v>50.363145513876198</v>
      </c>
      <c r="P2859">
        <v>-0.112313906734078</v>
      </c>
      <c r="Q2859">
        <v>0.149227720059391</v>
      </c>
      <c r="R2859">
        <v>0.99346881711772395</v>
      </c>
      <c r="S2859" t="s">
        <v>9311</v>
      </c>
      <c r="T2859" t="s">
        <v>12902</v>
      </c>
      <c r="U2859" t="s">
        <v>12902</v>
      </c>
      <c r="V2859" t="s">
        <v>12902</v>
      </c>
      <c r="W2859" t="s">
        <v>15721</v>
      </c>
      <c r="X2859">
        <v>5</v>
      </c>
      <c r="Y2859" t="s">
        <v>22059</v>
      </c>
      <c r="Z2859" t="s">
        <v>28434</v>
      </c>
      <c r="AA2859">
        <v>0.45793507414967449</v>
      </c>
      <c r="AB2859" t="str">
        <f>HYPERLINK("Melting_Curves/meltCurve_P61077_UBE2D3.pdf", "Melting_Curves/meltCurve_P61077_UBE2D3.pdf")</f>
        <v>Melting_Curves/meltCurve_P61077_UBE2D3.pdf</v>
      </c>
    </row>
    <row r="2860" spans="1:28" x14ac:dyDescent="0.25">
      <c r="A2860" t="s">
        <v>2864</v>
      </c>
      <c r="B2860">
        <v>0.99673306730245903</v>
      </c>
      <c r="C2860">
        <v>0.98923398242730398</v>
      </c>
      <c r="D2860">
        <v>0.84906621658367398</v>
      </c>
      <c r="E2860">
        <v>0.87665675660831099</v>
      </c>
      <c r="F2860">
        <v>0.25650522127974001</v>
      </c>
      <c r="G2860">
        <v>0.15805927023962901</v>
      </c>
      <c r="H2860">
        <v>8.4588991060874502E-2</v>
      </c>
      <c r="I2860">
        <v>8.3839703954611794E-2</v>
      </c>
      <c r="J2860">
        <v>7.5206544906708403E-2</v>
      </c>
      <c r="K2860">
        <v>6.3200660652007898E-2</v>
      </c>
      <c r="L2860">
        <v>2238.2331778959001</v>
      </c>
      <c r="M2860">
        <v>43.436811031934099</v>
      </c>
      <c r="N2860">
        <v>51.756673961147598</v>
      </c>
      <c r="O2860">
        <v>51.419631619374996</v>
      </c>
      <c r="P2860">
        <v>-0.192785140715859</v>
      </c>
      <c r="Q2860">
        <v>8.7140560701484293E-2</v>
      </c>
      <c r="R2860">
        <v>0.983956677932595</v>
      </c>
      <c r="S2860" t="s">
        <v>9312</v>
      </c>
      <c r="T2860" t="s">
        <v>12902</v>
      </c>
      <c r="U2860" t="s">
        <v>12902</v>
      </c>
      <c r="V2860" t="s">
        <v>12902</v>
      </c>
      <c r="W2860" t="s">
        <v>15722</v>
      </c>
      <c r="X2860">
        <v>12</v>
      </c>
      <c r="Y2860" t="s">
        <v>22060</v>
      </c>
      <c r="Z2860" t="s">
        <v>28435</v>
      </c>
      <c r="AA2860">
        <v>0.44069050530063081</v>
      </c>
      <c r="AB2860" t="str">
        <f>HYPERLINK("Melting_Curves/meltCurve_P61081_UBE2M.pdf", "Melting_Curves/meltCurve_P61081_UBE2M.pdf")</f>
        <v>Melting_Curves/meltCurve_P61081_UBE2M.pdf</v>
      </c>
    </row>
    <row r="2861" spans="1:28" x14ac:dyDescent="0.25">
      <c r="A2861" t="s">
        <v>2865</v>
      </c>
      <c r="B2861">
        <v>0.99673306730245903</v>
      </c>
      <c r="C2861">
        <v>0.91374162156360805</v>
      </c>
      <c r="D2861">
        <v>0.89366404016561896</v>
      </c>
      <c r="E2861">
        <v>0.99715638446822297</v>
      </c>
      <c r="F2861">
        <v>0.51210281350081699</v>
      </c>
      <c r="G2861">
        <v>0.18006411104564601</v>
      </c>
      <c r="H2861">
        <v>8.0160273032495705E-2</v>
      </c>
      <c r="I2861">
        <v>5.3709760886915002E-2</v>
      </c>
      <c r="J2861">
        <v>4.4125412617346198E-2</v>
      </c>
      <c r="K2861">
        <v>4.0478246281427301E-2</v>
      </c>
      <c r="L2861">
        <v>1931.60002093461</v>
      </c>
      <c r="M2861">
        <v>36.272020009063098</v>
      </c>
      <c r="N2861">
        <v>53.4311253089435</v>
      </c>
      <c r="O2861">
        <v>53.092058797731198</v>
      </c>
      <c r="P2861">
        <v>-0.16107997400632201</v>
      </c>
      <c r="Q2861">
        <v>5.6898999550455603E-2</v>
      </c>
      <c r="R2861">
        <v>0.98600009101421604</v>
      </c>
      <c r="S2861" t="s">
        <v>9313</v>
      </c>
      <c r="T2861" t="s">
        <v>12902</v>
      </c>
      <c r="U2861" t="s">
        <v>12902</v>
      </c>
      <c r="V2861" t="s">
        <v>12902</v>
      </c>
      <c r="W2861" t="s">
        <v>15723</v>
      </c>
      <c r="X2861">
        <v>13</v>
      </c>
      <c r="Y2861" t="s">
        <v>22061</v>
      </c>
      <c r="Z2861" t="s">
        <v>28436</v>
      </c>
      <c r="AA2861">
        <v>0.47775159479882251</v>
      </c>
      <c r="AB2861" t="str">
        <f>HYPERLINK("Melting_Curves/meltCurve_P61086_UBE2K.pdf", "Melting_Curves/meltCurve_P61086_UBE2K.pdf")</f>
        <v>Melting_Curves/meltCurve_P61086_UBE2K.pdf</v>
      </c>
    </row>
    <row r="2862" spans="1:28" x14ac:dyDescent="0.25">
      <c r="A2862" t="s">
        <v>2866</v>
      </c>
      <c r="B2862">
        <v>0.99673306730245903</v>
      </c>
      <c r="C2862">
        <v>1.02366213863523</v>
      </c>
      <c r="D2862">
        <v>0.80810791111096802</v>
      </c>
      <c r="E2862">
        <v>0.97874551996041903</v>
      </c>
      <c r="F2862">
        <v>0.46512227914785897</v>
      </c>
      <c r="G2862">
        <v>0.16623102951415999</v>
      </c>
      <c r="H2862">
        <v>7.7329864295221401E-2</v>
      </c>
      <c r="I2862">
        <v>6.6679578580568194E-2</v>
      </c>
      <c r="J2862">
        <v>6.3296516741889103E-2</v>
      </c>
      <c r="K2862">
        <v>5.5692016615896199E-2</v>
      </c>
      <c r="L2862">
        <v>2025.1241152059999</v>
      </c>
      <c r="M2862">
        <v>38.285772468158697</v>
      </c>
      <c r="N2862">
        <v>53.1034297895214</v>
      </c>
      <c r="O2862">
        <v>52.7512602329045</v>
      </c>
      <c r="P2862">
        <v>-0.16878435313250401</v>
      </c>
      <c r="Q2862">
        <v>6.9778145764130703E-2</v>
      </c>
      <c r="R2862">
        <v>0.97639297800456004</v>
      </c>
      <c r="S2862" t="s">
        <v>9314</v>
      </c>
      <c r="T2862" t="s">
        <v>12902</v>
      </c>
      <c r="U2862" t="s">
        <v>12902</v>
      </c>
      <c r="V2862" t="s">
        <v>12902</v>
      </c>
      <c r="W2862" t="s">
        <v>15724</v>
      </c>
      <c r="X2862">
        <v>15</v>
      </c>
      <c r="Y2862" t="s">
        <v>22062</v>
      </c>
      <c r="Z2862" t="s">
        <v>28437</v>
      </c>
      <c r="AA2862">
        <v>0.47332676063964901</v>
      </c>
      <c r="AB2862" t="str">
        <f>HYPERLINK("Melting_Curves/meltCurve_P61088_UBE2N.pdf", "Melting_Curves/meltCurve_P61088_UBE2N.pdf")</f>
        <v>Melting_Curves/meltCurve_P61088_UBE2N.pdf</v>
      </c>
    </row>
    <row r="2863" spans="1:28" x14ac:dyDescent="0.25">
      <c r="A2863" t="s">
        <v>2867</v>
      </c>
      <c r="B2863">
        <v>0.99673306730245903</v>
      </c>
      <c r="C2863">
        <v>0.99389046164425399</v>
      </c>
      <c r="D2863">
        <v>0.92717195859282897</v>
      </c>
      <c r="E2863">
        <v>0.87905384796823605</v>
      </c>
      <c r="F2863">
        <v>0.81324304180436402</v>
      </c>
      <c r="G2863">
        <v>0.71833057384333499</v>
      </c>
      <c r="H2863">
        <v>0.51343641267896101</v>
      </c>
      <c r="I2863">
        <v>0.38044663492846198</v>
      </c>
      <c r="J2863">
        <v>0.112785336697525</v>
      </c>
      <c r="K2863">
        <v>7.6200520253314502E-2</v>
      </c>
      <c r="L2863">
        <v>813.60770288767696</v>
      </c>
      <c r="M2863">
        <v>13.501563517366201</v>
      </c>
      <c r="N2863">
        <v>60.2602582711583</v>
      </c>
      <c r="O2863">
        <v>58.984388604325197</v>
      </c>
      <c r="P2863">
        <v>-5.7233881112694902E-2</v>
      </c>
      <c r="Q2863">
        <v>0</v>
      </c>
      <c r="R2863">
        <v>0.97457390742545802</v>
      </c>
      <c r="S2863" t="s">
        <v>9315</v>
      </c>
      <c r="T2863" t="s">
        <v>12902</v>
      </c>
      <c r="U2863" t="s">
        <v>12902</v>
      </c>
      <c r="V2863" t="s">
        <v>12902</v>
      </c>
      <c r="W2863" t="s">
        <v>15725</v>
      </c>
      <c r="X2863">
        <v>18</v>
      </c>
      <c r="Y2863" t="s">
        <v>22063</v>
      </c>
      <c r="Z2863" t="s">
        <v>28438</v>
      </c>
      <c r="AA2863">
        <v>0.6792195938300537</v>
      </c>
      <c r="AB2863" t="str">
        <f>HYPERLINK("Melting_Curves/meltCurve_P61106_RAB14.pdf", "Melting_Curves/meltCurve_P61106_RAB14.pdf")</f>
        <v>Melting_Curves/meltCurve_P61106_RAB14.pdf</v>
      </c>
    </row>
    <row r="2864" spans="1:28" x14ac:dyDescent="0.25">
      <c r="A2864" t="s">
        <v>2868</v>
      </c>
      <c r="B2864">
        <v>0.99673306730245903</v>
      </c>
      <c r="C2864">
        <v>1.0179018304610701</v>
      </c>
      <c r="D2864">
        <v>1.06238489728263</v>
      </c>
      <c r="E2864">
        <v>1.1383772135124299</v>
      </c>
      <c r="F2864">
        <v>0.80097594556209994</v>
      </c>
      <c r="G2864">
        <v>0.49423341078335498</v>
      </c>
      <c r="H2864">
        <v>0.27473352093407299</v>
      </c>
      <c r="I2864">
        <v>0.326374129519932</v>
      </c>
      <c r="J2864">
        <v>0.28033369973238298</v>
      </c>
      <c r="K2864">
        <v>0.29005819330048299</v>
      </c>
      <c r="L2864">
        <v>1976.89818839842</v>
      </c>
      <c r="M2864">
        <v>35.908672798254798</v>
      </c>
      <c r="N2864">
        <v>56.412711658986098</v>
      </c>
      <c r="O2864">
        <v>54.883596104580398</v>
      </c>
      <c r="P2864">
        <v>-0.116212761031076</v>
      </c>
      <c r="Q2864">
        <v>0.28951382127202002</v>
      </c>
      <c r="R2864">
        <v>0.97345451325608401</v>
      </c>
      <c r="S2864" t="s">
        <v>9316</v>
      </c>
      <c r="T2864" t="s">
        <v>12902</v>
      </c>
      <c r="U2864" t="s">
        <v>12902</v>
      </c>
      <c r="V2864" t="s">
        <v>12902</v>
      </c>
      <c r="W2864" t="s">
        <v>15726</v>
      </c>
      <c r="X2864">
        <v>1</v>
      </c>
      <c r="Y2864" t="s">
        <v>22064</v>
      </c>
      <c r="Z2864" t="s">
        <v>28439</v>
      </c>
      <c r="AA2864">
        <v>0.64935750905644829</v>
      </c>
      <c r="AB2864" t="str">
        <f>HYPERLINK("Melting_Curves/meltCurve_P61129_ZC3H6.pdf", "Melting_Curves/meltCurve_P61129_ZC3H6.pdf")</f>
        <v>Melting_Curves/meltCurve_P61129_ZC3H6.pdf</v>
      </c>
    </row>
    <row r="2865" spans="1:28" x14ac:dyDescent="0.25">
      <c r="A2865" t="s">
        <v>2869</v>
      </c>
      <c r="B2865">
        <v>0.99673306730245903</v>
      </c>
      <c r="C2865">
        <v>0.97473940754557198</v>
      </c>
      <c r="D2865">
        <v>1.0571540937602699</v>
      </c>
      <c r="E2865">
        <v>1.1320932480050001</v>
      </c>
      <c r="F2865">
        <v>0.99815103359819402</v>
      </c>
      <c r="G2865">
        <v>0.98938823556781996</v>
      </c>
      <c r="H2865">
        <v>0.68431292088546603</v>
      </c>
      <c r="I2865">
        <v>0.30588654113945102</v>
      </c>
      <c r="J2865">
        <v>0.133425512462685</v>
      </c>
      <c r="K2865">
        <v>0.113268460631546</v>
      </c>
      <c r="L2865">
        <v>2344.65285384345</v>
      </c>
      <c r="M2865">
        <v>37.904670130131898</v>
      </c>
      <c r="N2865">
        <v>62.217189429251299</v>
      </c>
      <c r="O2865">
        <v>61.685156624043898</v>
      </c>
      <c r="P2865">
        <v>-0.13847162948255701</v>
      </c>
      <c r="Q2865">
        <v>9.8620645802981605E-2</v>
      </c>
      <c r="R2865">
        <v>0.98488131779420096</v>
      </c>
      <c r="S2865" t="s">
        <v>9317</v>
      </c>
      <c r="T2865" t="s">
        <v>12902</v>
      </c>
      <c r="U2865" t="s">
        <v>12902</v>
      </c>
      <c r="V2865" t="s">
        <v>12902</v>
      </c>
      <c r="W2865" t="s">
        <v>15727</v>
      </c>
      <c r="X2865">
        <v>28</v>
      </c>
      <c r="Y2865" t="s">
        <v>22065</v>
      </c>
      <c r="Z2865" t="s">
        <v>28440</v>
      </c>
      <c r="AA2865">
        <v>0.75881112086172864</v>
      </c>
      <c r="AB2865" t="str">
        <f>HYPERLINK("Melting_Curves/meltCurve_P61158_ACTR3.pdf", "Melting_Curves/meltCurve_P61158_ACTR3.pdf")</f>
        <v>Melting_Curves/meltCurve_P61158_ACTR3.pdf</v>
      </c>
    </row>
    <row r="2866" spans="1:28" x14ac:dyDescent="0.25">
      <c r="A2866" t="s">
        <v>2870</v>
      </c>
      <c r="B2866">
        <v>0.99673306730245903</v>
      </c>
      <c r="C2866">
        <v>0.96616683525192204</v>
      </c>
      <c r="D2866">
        <v>1.01904173718224</v>
      </c>
      <c r="E2866">
        <v>1.0678708822923</v>
      </c>
      <c r="F2866">
        <v>0.944891971640752</v>
      </c>
      <c r="G2866">
        <v>0.87787183731010399</v>
      </c>
      <c r="H2866">
        <v>0.61954143797688799</v>
      </c>
      <c r="I2866">
        <v>0.28897735739706598</v>
      </c>
      <c r="J2866">
        <v>0.14286718464901499</v>
      </c>
      <c r="K2866">
        <v>0.12724059747783101</v>
      </c>
      <c r="L2866">
        <v>1611.3945621845701</v>
      </c>
      <c r="M2866">
        <v>26.258926922333199</v>
      </c>
      <c r="N2866">
        <v>61.728045717478999</v>
      </c>
      <c r="O2866">
        <v>61.013006495118901</v>
      </c>
      <c r="P2866">
        <v>-9.9909574347825894E-2</v>
      </c>
      <c r="Q2866">
        <v>7.1444699560706496E-2</v>
      </c>
      <c r="R2866">
        <v>0.992182099674913</v>
      </c>
      <c r="S2866" t="s">
        <v>9318</v>
      </c>
      <c r="T2866" t="s">
        <v>12902</v>
      </c>
      <c r="U2866" t="s">
        <v>12902</v>
      </c>
      <c r="V2866" t="s">
        <v>12902</v>
      </c>
      <c r="W2866" t="s">
        <v>15728</v>
      </c>
      <c r="X2866">
        <v>22</v>
      </c>
      <c r="Y2866" t="s">
        <v>22066</v>
      </c>
      <c r="Z2866" t="s">
        <v>28441</v>
      </c>
      <c r="AA2866">
        <v>0.738014231631825</v>
      </c>
      <c r="AB2866" t="str">
        <f>HYPERLINK("Melting_Curves/meltCurve_P61160_ACTR2.pdf", "Melting_Curves/meltCurve_P61160_ACTR2.pdf")</f>
        <v>Melting_Curves/meltCurve_P61160_ACTR2.pdf</v>
      </c>
    </row>
    <row r="2867" spans="1:28" x14ac:dyDescent="0.25">
      <c r="A2867" t="s">
        <v>2871</v>
      </c>
      <c r="B2867">
        <v>0.99673306730245903</v>
      </c>
      <c r="C2867">
        <v>1.016337583618</v>
      </c>
      <c r="D2867">
        <v>0.99697184911898595</v>
      </c>
      <c r="E2867">
        <v>1.03464275903778</v>
      </c>
      <c r="F2867">
        <v>0.89563661005483797</v>
      </c>
      <c r="G2867">
        <v>0.74805291847831001</v>
      </c>
      <c r="H2867">
        <v>0.346138537808514</v>
      </c>
      <c r="I2867">
        <v>0.21942224586786599</v>
      </c>
      <c r="J2867">
        <v>0.176498430927477</v>
      </c>
      <c r="K2867">
        <v>0.15215918382699101</v>
      </c>
      <c r="L2867">
        <v>1574.6180373945599</v>
      </c>
      <c r="M2867">
        <v>26.978281654053099</v>
      </c>
      <c r="N2867">
        <v>59.114435593947398</v>
      </c>
      <c r="O2867">
        <v>58.048273826626598</v>
      </c>
      <c r="P2867">
        <v>-9.9383476704668697E-2</v>
      </c>
      <c r="Q2867">
        <v>0.14464797765659601</v>
      </c>
      <c r="R2867">
        <v>0.99624992488761999</v>
      </c>
      <c r="S2867" t="s">
        <v>9319</v>
      </c>
      <c r="T2867" t="s">
        <v>12902</v>
      </c>
      <c r="U2867" t="s">
        <v>12902</v>
      </c>
      <c r="V2867" t="s">
        <v>12902</v>
      </c>
      <c r="W2867" t="s">
        <v>15729</v>
      </c>
      <c r="X2867">
        <v>16</v>
      </c>
      <c r="Y2867" t="s">
        <v>22067</v>
      </c>
      <c r="Z2867" t="s">
        <v>28442</v>
      </c>
      <c r="AA2867">
        <v>0.67487031674723075</v>
      </c>
      <c r="AB2867" t="str">
        <f>HYPERLINK("Melting_Curves/meltCurve_P61163_ACTR1A.pdf", "Melting_Curves/meltCurve_P61163_ACTR1A.pdf")</f>
        <v>Melting_Curves/meltCurve_P61163_ACTR1A.pdf</v>
      </c>
    </row>
    <row r="2868" spans="1:28" x14ac:dyDescent="0.25">
      <c r="A2868" t="s">
        <v>2872</v>
      </c>
      <c r="B2868">
        <v>0.99673306730245903</v>
      </c>
      <c r="C2868">
        <v>0.95570303122462996</v>
      </c>
      <c r="D2868">
        <v>1.0548775667249299</v>
      </c>
      <c r="E2868">
        <v>1.23409820406245</v>
      </c>
      <c r="F2868">
        <v>0.80322473571450004</v>
      </c>
      <c r="G2868">
        <v>0.24582245456698201</v>
      </c>
      <c r="H2868">
        <v>0.115849139183109</v>
      </c>
      <c r="I2868">
        <v>0.101379599828245</v>
      </c>
      <c r="J2868">
        <v>0.10924763576098</v>
      </c>
      <c r="K2868">
        <v>9.2145191238086704E-2</v>
      </c>
      <c r="L2868">
        <v>2687.4614050272398</v>
      </c>
      <c r="M2868">
        <v>49.113681401246701</v>
      </c>
      <c r="N2868">
        <v>54.9834599566694</v>
      </c>
      <c r="O2868">
        <v>54.628710218469102</v>
      </c>
      <c r="P2868">
        <v>-0.201134476233295</v>
      </c>
      <c r="Q2868">
        <v>0.105120447277933</v>
      </c>
      <c r="R2868">
        <v>0.96888357480428799</v>
      </c>
      <c r="S2868" t="s">
        <v>9320</v>
      </c>
      <c r="T2868" t="s">
        <v>12902</v>
      </c>
      <c r="U2868" t="s">
        <v>12902</v>
      </c>
      <c r="V2868" t="s">
        <v>12902</v>
      </c>
      <c r="W2868" t="s">
        <v>15730</v>
      </c>
      <c r="X2868">
        <v>20</v>
      </c>
      <c r="Y2868" t="s">
        <v>22068</v>
      </c>
      <c r="Z2868" t="s">
        <v>28443</v>
      </c>
      <c r="AA2868">
        <v>0.54642199545613124</v>
      </c>
      <c r="AB2868" t="str">
        <f>HYPERLINK("Melting_Curves/meltCurve_P61201_COPS2.pdf", "Melting_Curves/meltCurve_P61201_COPS2.pdf")</f>
        <v>Melting_Curves/meltCurve_P61201_COPS2.pdf</v>
      </c>
    </row>
    <row r="2869" spans="1:28" x14ac:dyDescent="0.25">
      <c r="A2869" t="s">
        <v>2873</v>
      </c>
      <c r="B2869">
        <v>0.99673306730245903</v>
      </c>
      <c r="C2869">
        <v>1.0302188914086901</v>
      </c>
      <c r="D2869">
        <v>0.98038894606876603</v>
      </c>
      <c r="E2869">
        <v>1.0931047044224</v>
      </c>
      <c r="F2869">
        <v>0.74318535634886795</v>
      </c>
      <c r="G2869">
        <v>0.84059452122204004</v>
      </c>
      <c r="H2869">
        <v>0.47987689080277601</v>
      </c>
      <c r="I2869">
        <v>0.45659800399690598</v>
      </c>
      <c r="J2869">
        <v>0.13517485037007099</v>
      </c>
      <c r="K2869">
        <v>0.114775891267969</v>
      </c>
      <c r="L2869">
        <v>919.92028213830304</v>
      </c>
      <c r="M2869">
        <v>15.0104721205666</v>
      </c>
      <c r="N2869">
        <v>61.285233056291801</v>
      </c>
      <c r="O2869">
        <v>60.2283699716588</v>
      </c>
      <c r="P2869">
        <v>-6.2312761838283597E-2</v>
      </c>
      <c r="Q2869">
        <v>0</v>
      </c>
      <c r="R2869">
        <v>0.94279571800696604</v>
      </c>
      <c r="S2869" t="s">
        <v>9321</v>
      </c>
      <c r="T2869" t="s">
        <v>12902</v>
      </c>
      <c r="U2869" t="s">
        <v>12902</v>
      </c>
      <c r="V2869" t="s">
        <v>12902</v>
      </c>
      <c r="W2869" t="s">
        <v>15731</v>
      </c>
      <c r="X2869">
        <v>14</v>
      </c>
      <c r="Y2869" t="s">
        <v>22069</v>
      </c>
      <c r="Z2869" t="s">
        <v>28444</v>
      </c>
      <c r="AA2869">
        <v>0.71059243167493424</v>
      </c>
      <c r="AB2869" t="str">
        <f>HYPERLINK("Melting_Curves/meltCurve_P61204_ARF3.pdf", "Melting_Curves/meltCurve_P61204_ARF3.pdf")</f>
        <v>Melting_Curves/meltCurve_P61204_ARF3.pdf</v>
      </c>
    </row>
    <row r="2870" spans="1:28" x14ac:dyDescent="0.25">
      <c r="A2870" t="s">
        <v>2874</v>
      </c>
      <c r="B2870">
        <v>0.99673306730245903</v>
      </c>
      <c r="C2870">
        <v>0.95212302923924697</v>
      </c>
      <c r="D2870">
        <v>0.970674300941193</v>
      </c>
      <c r="E2870">
        <v>0.94689560524091099</v>
      </c>
      <c r="F2870">
        <v>0.92117797566591797</v>
      </c>
      <c r="G2870">
        <v>0.82020002142025905</v>
      </c>
      <c r="H2870">
        <v>0.61279935148224896</v>
      </c>
      <c r="I2870">
        <v>0.61810955657333599</v>
      </c>
      <c r="J2870">
        <v>0.71495420891761197</v>
      </c>
      <c r="K2870">
        <v>0.64653090062323104</v>
      </c>
      <c r="L2870">
        <v>1697.18979191634</v>
      </c>
      <c r="M2870">
        <v>30.3028791111003</v>
      </c>
      <c r="O2870">
        <v>55.765328539303098</v>
      </c>
      <c r="P2870">
        <v>-4.8428842835230503E-2</v>
      </c>
      <c r="Q2870">
        <v>0.64351461345544902</v>
      </c>
      <c r="R2870">
        <v>0.92608259126692305</v>
      </c>
      <c r="S2870" t="s">
        <v>9322</v>
      </c>
      <c r="T2870" t="s">
        <v>12902</v>
      </c>
      <c r="U2870" t="s">
        <v>12902</v>
      </c>
      <c r="V2870" t="s">
        <v>12902</v>
      </c>
      <c r="W2870" t="s">
        <v>15732</v>
      </c>
      <c r="X2870">
        <v>3</v>
      </c>
      <c r="Y2870" t="s">
        <v>22070</v>
      </c>
      <c r="Z2870" t="s">
        <v>28445</v>
      </c>
      <c r="AA2870">
        <v>0.83606359150292797</v>
      </c>
      <c r="AB2870" t="str">
        <f>HYPERLINK("Melting_Curves/meltCurve_P61218_POLR2F.pdf", "Melting_Curves/meltCurve_P61218_POLR2F.pdf")</f>
        <v>Melting_Curves/meltCurve_P61218_POLR2F.pdf</v>
      </c>
    </row>
    <row r="2871" spans="1:28" x14ac:dyDescent="0.25">
      <c r="A2871" t="s">
        <v>2875</v>
      </c>
      <c r="B2871">
        <v>0.99673306730245903</v>
      </c>
      <c r="C2871">
        <v>1.00897644313704</v>
      </c>
      <c r="D2871">
        <v>1.0302100895587101</v>
      </c>
      <c r="E2871">
        <v>1.0552429366494001</v>
      </c>
      <c r="F2871">
        <v>1.0261552449864999</v>
      </c>
      <c r="G2871">
        <v>0.99255998376056698</v>
      </c>
      <c r="H2871">
        <v>0.76621402834873598</v>
      </c>
      <c r="I2871">
        <v>0.49285958401096702</v>
      </c>
      <c r="J2871">
        <v>0.120067573316501</v>
      </c>
      <c r="K2871">
        <v>9.4067425391553897E-2</v>
      </c>
      <c r="L2871">
        <v>1943.39312633588</v>
      </c>
      <c r="M2871">
        <v>30.591968097117999</v>
      </c>
      <c r="N2871">
        <v>63.571907156882702</v>
      </c>
      <c r="O2871">
        <v>63.256654603117298</v>
      </c>
      <c r="P2871">
        <v>-0.11959126054946601</v>
      </c>
      <c r="Q2871">
        <v>1.0864891071719E-2</v>
      </c>
      <c r="R2871">
        <v>0.99109289116094001</v>
      </c>
      <c r="S2871" t="s">
        <v>9323</v>
      </c>
      <c r="T2871" t="s">
        <v>12902</v>
      </c>
      <c r="U2871" t="s">
        <v>12902</v>
      </c>
      <c r="V2871" t="s">
        <v>12902</v>
      </c>
      <c r="W2871" t="s">
        <v>15733</v>
      </c>
      <c r="X2871">
        <v>41</v>
      </c>
      <c r="Y2871" t="s">
        <v>22071</v>
      </c>
      <c r="Z2871" t="s">
        <v>28446</v>
      </c>
      <c r="AA2871">
        <v>0.78886497484385487</v>
      </c>
      <c r="AB2871" t="str">
        <f>HYPERLINK("Melting_Curves/meltCurve_P61221_ABCE1.pdf", "Melting_Curves/meltCurve_P61221_ABCE1.pdf")</f>
        <v>Melting_Curves/meltCurve_P61221_ABCE1.pdf</v>
      </c>
    </row>
    <row r="2872" spans="1:28" x14ac:dyDescent="0.25">
      <c r="A2872" t="s">
        <v>2876</v>
      </c>
      <c r="B2872">
        <v>0.99673306730245903</v>
      </c>
      <c r="C2872">
        <v>0.99810145429444397</v>
      </c>
      <c r="D2872">
        <v>0.91015513826764505</v>
      </c>
      <c r="E2872">
        <v>0.785286315727031</v>
      </c>
      <c r="F2872">
        <v>0.70657908582914697</v>
      </c>
      <c r="G2872">
        <v>0.63206053910654203</v>
      </c>
      <c r="H2872">
        <v>0.51992079474372099</v>
      </c>
      <c r="I2872">
        <v>0.53143377458076002</v>
      </c>
      <c r="J2872">
        <v>0.31164735803731097</v>
      </c>
      <c r="K2872">
        <v>0.179151672111623</v>
      </c>
      <c r="L2872">
        <v>445.06747245238302</v>
      </c>
      <c r="M2872">
        <v>7.3215128408944201</v>
      </c>
      <c r="N2872">
        <v>60.789003854162303</v>
      </c>
      <c r="O2872">
        <v>56.7468830917772</v>
      </c>
      <c r="P2872">
        <v>-3.2305817750626603E-2</v>
      </c>
      <c r="Q2872">
        <v>0</v>
      </c>
      <c r="R2872">
        <v>0.95478777156688699</v>
      </c>
      <c r="S2872" t="s">
        <v>9324</v>
      </c>
      <c r="T2872" t="s">
        <v>12902</v>
      </c>
      <c r="U2872" t="s">
        <v>12902</v>
      </c>
      <c r="V2872" t="s">
        <v>12902</v>
      </c>
      <c r="W2872" t="s">
        <v>15734</v>
      </c>
      <c r="X2872">
        <v>12</v>
      </c>
      <c r="Y2872" t="s">
        <v>22072</v>
      </c>
      <c r="Z2872" t="s">
        <v>28447</v>
      </c>
      <c r="AA2872">
        <v>0.66360781081798892</v>
      </c>
      <c r="AB2872" t="str">
        <f>HYPERLINK("Melting_Curves/meltCurve_P61224_RAP1B.pdf", "Melting_Curves/meltCurve_P61224_RAP1B.pdf")</f>
        <v>Melting_Curves/meltCurve_P61224_RAP1B.pdf</v>
      </c>
    </row>
    <row r="2873" spans="1:28" x14ac:dyDescent="0.25">
      <c r="A2873" t="s">
        <v>2877</v>
      </c>
      <c r="B2873">
        <v>0.99673306730245903</v>
      </c>
      <c r="C2873">
        <v>0.982018967916507</v>
      </c>
      <c r="D2873">
        <v>0.89645410642062495</v>
      </c>
      <c r="E2873">
        <v>0.72288491553025103</v>
      </c>
      <c r="F2873">
        <v>0.72472749847055795</v>
      </c>
      <c r="G2873">
        <v>0.62715738312733404</v>
      </c>
      <c r="H2873">
        <v>0.49538745753660302</v>
      </c>
      <c r="I2873">
        <v>0.35554924150566403</v>
      </c>
      <c r="J2873">
        <v>0.11133274220294199</v>
      </c>
      <c r="K2873">
        <v>6.7142285523628303E-2</v>
      </c>
      <c r="L2873">
        <v>566.397868065073</v>
      </c>
      <c r="M2873">
        <v>9.7061853740752309</v>
      </c>
      <c r="N2873">
        <v>58.354321471235899</v>
      </c>
      <c r="O2873">
        <v>56.038871685169497</v>
      </c>
      <c r="P2873">
        <v>-4.3324728498458198E-2</v>
      </c>
      <c r="Q2873">
        <v>0</v>
      </c>
      <c r="R2873">
        <v>0.94689591221615599</v>
      </c>
      <c r="S2873" t="s">
        <v>9325</v>
      </c>
      <c r="T2873" t="s">
        <v>12902</v>
      </c>
      <c r="U2873" t="s">
        <v>12902</v>
      </c>
      <c r="V2873" t="s">
        <v>12902</v>
      </c>
      <c r="W2873" t="s">
        <v>15735</v>
      </c>
      <c r="X2873">
        <v>3</v>
      </c>
      <c r="Y2873" t="s">
        <v>22073</v>
      </c>
      <c r="Z2873" t="s">
        <v>28448</v>
      </c>
      <c r="AA2873">
        <v>0.61870392264420482</v>
      </c>
      <c r="AB2873" t="str">
        <f>HYPERLINK("Melting_Curves/meltCurve_P61225_RAP2B.pdf", "Melting_Curves/meltCurve_P61225_RAP2B.pdf")</f>
        <v>Melting_Curves/meltCurve_P61225_RAP2B.pdf</v>
      </c>
    </row>
    <row r="2874" spans="1:28" x14ac:dyDescent="0.25">
      <c r="A2874" t="s">
        <v>2878</v>
      </c>
      <c r="B2874">
        <v>0.99673306730245903</v>
      </c>
      <c r="C2874">
        <v>0.87629722209030902</v>
      </c>
      <c r="D2874">
        <v>0.92184050118516103</v>
      </c>
      <c r="E2874">
        <v>0.78021311687959705</v>
      </c>
      <c r="F2874">
        <v>0.71012951699882798</v>
      </c>
      <c r="G2874">
        <v>0.58726118214231904</v>
      </c>
      <c r="H2874">
        <v>0.47832009039277901</v>
      </c>
      <c r="I2874">
        <v>0.82425922876879898</v>
      </c>
      <c r="J2874">
        <v>1.2294108966352799</v>
      </c>
      <c r="K2874">
        <v>1.12528103069675</v>
      </c>
      <c r="L2874">
        <v>1134.30376621956</v>
      </c>
      <c r="M2874">
        <v>26.491808544549201</v>
      </c>
      <c r="O2874">
        <v>42.575418009460101</v>
      </c>
      <c r="P2874">
        <v>-2.7138418013102902E-2</v>
      </c>
      <c r="Q2874">
        <v>0.82554352724593605</v>
      </c>
      <c r="R2874">
        <v>5.4279893230521403E-2</v>
      </c>
      <c r="S2874" t="s">
        <v>9326</v>
      </c>
      <c r="T2874" t="s">
        <v>12902</v>
      </c>
      <c r="U2874" t="s">
        <v>12902</v>
      </c>
      <c r="V2874" t="s">
        <v>12902</v>
      </c>
      <c r="W2874" t="s">
        <v>15736</v>
      </c>
      <c r="X2874">
        <v>3</v>
      </c>
      <c r="Y2874" t="s">
        <v>22074</v>
      </c>
      <c r="Z2874" t="s">
        <v>28449</v>
      </c>
      <c r="AA2874">
        <v>0.84421844351133113</v>
      </c>
      <c r="AB2874" t="str">
        <f>HYPERLINK("Melting_Curves/meltCurve_P61244_2_MAX.pdf", "Melting_Curves/meltCurve_P61244_2_MAX.pdf")</f>
        <v>Melting_Curves/meltCurve_P61244_2_MAX.pdf</v>
      </c>
    </row>
    <row r="2875" spans="1:28" x14ac:dyDescent="0.25">
      <c r="A2875" t="s">
        <v>2879</v>
      </c>
      <c r="B2875">
        <v>0.99673306730245903</v>
      </c>
      <c r="C2875">
        <v>0.96695287837379196</v>
      </c>
      <c r="D2875">
        <v>0.87596165156656802</v>
      </c>
      <c r="E2875">
        <v>0.88929961721003103</v>
      </c>
      <c r="F2875">
        <v>0.81856319465920002</v>
      </c>
      <c r="G2875">
        <v>0.50118407230984696</v>
      </c>
      <c r="H2875">
        <v>0.19326637169525501</v>
      </c>
      <c r="I2875">
        <v>0.16596081946246399</v>
      </c>
      <c r="J2875">
        <v>0.23511476722182201</v>
      </c>
      <c r="K2875">
        <v>0.220787488887707</v>
      </c>
      <c r="L2875">
        <v>1470.5061303404</v>
      </c>
      <c r="M2875">
        <v>26.489248423688899</v>
      </c>
      <c r="N2875">
        <v>56.482338286177502</v>
      </c>
      <c r="O2875">
        <v>55.199835019087999</v>
      </c>
      <c r="P2875">
        <v>-9.8064056400363406E-2</v>
      </c>
      <c r="Q2875">
        <v>0.18260241950808601</v>
      </c>
      <c r="R2875">
        <v>0.97231903134464504</v>
      </c>
      <c r="S2875" t="s">
        <v>9327</v>
      </c>
      <c r="T2875" t="s">
        <v>12902</v>
      </c>
      <c r="U2875" t="s">
        <v>12902</v>
      </c>
      <c r="V2875" t="s">
        <v>12902</v>
      </c>
      <c r="W2875" t="s">
        <v>15737</v>
      </c>
      <c r="X2875">
        <v>18</v>
      </c>
      <c r="Y2875" t="s">
        <v>22075</v>
      </c>
      <c r="Z2875" t="s">
        <v>28450</v>
      </c>
      <c r="AA2875">
        <v>0.61210715404576765</v>
      </c>
      <c r="AB2875" t="str">
        <f>HYPERLINK("Melting_Curves/meltCurve_P61247_RPS3A.pdf", "Melting_Curves/meltCurve_P61247_RPS3A.pdf")</f>
        <v>Melting_Curves/meltCurve_P61247_RPS3A.pdf</v>
      </c>
    </row>
    <row r="2876" spans="1:28" x14ac:dyDescent="0.25">
      <c r="A2876" t="s">
        <v>2880</v>
      </c>
      <c r="B2876">
        <v>0.99673306730245903</v>
      </c>
      <c r="C2876">
        <v>0.93319823117051603</v>
      </c>
      <c r="D2876">
        <v>0.88416952073881905</v>
      </c>
      <c r="E2876">
        <v>0.74125063331190699</v>
      </c>
      <c r="F2876">
        <v>0.47457974468238001</v>
      </c>
      <c r="G2876">
        <v>0.25302317608606101</v>
      </c>
      <c r="H2876">
        <v>0.110750324147638</v>
      </c>
      <c r="I2876">
        <v>9.90086632871824E-2</v>
      </c>
      <c r="J2876">
        <v>0.14384914397302601</v>
      </c>
      <c r="K2876">
        <v>0.12962326355932999</v>
      </c>
      <c r="L2876">
        <v>906.12773877709503</v>
      </c>
      <c r="M2876">
        <v>17.432744479656801</v>
      </c>
      <c r="N2876">
        <v>52.586989310467402</v>
      </c>
      <c r="O2876">
        <v>51.308977949446998</v>
      </c>
      <c r="P2876">
        <v>-7.7186155118440195E-2</v>
      </c>
      <c r="Q2876">
        <v>9.1337325805176797E-2</v>
      </c>
      <c r="R2876">
        <v>0.99331337664483099</v>
      </c>
      <c r="S2876" t="s">
        <v>9328</v>
      </c>
      <c r="T2876" t="s">
        <v>12902</v>
      </c>
      <c r="U2876" t="s">
        <v>12902</v>
      </c>
      <c r="V2876" t="s">
        <v>12902</v>
      </c>
      <c r="W2876" t="s">
        <v>15738</v>
      </c>
      <c r="X2876">
        <v>14</v>
      </c>
      <c r="Y2876" t="s">
        <v>22076</v>
      </c>
      <c r="Z2876" t="s">
        <v>28451</v>
      </c>
      <c r="AA2876">
        <v>0.47011923660932131</v>
      </c>
      <c r="AB2876" t="str">
        <f>HYPERLINK("Melting_Curves/meltCurve_P61254_RPL26.pdf", "Melting_Curves/meltCurve_P61254_RPL26.pdf")</f>
        <v>Melting_Curves/meltCurve_P61254_RPL26.pdf</v>
      </c>
    </row>
    <row r="2877" spans="1:28" x14ac:dyDescent="0.25">
      <c r="A2877" t="s">
        <v>2881</v>
      </c>
      <c r="B2877">
        <v>0.99673306730245903</v>
      </c>
      <c r="C2877">
        <v>0.99255426894153498</v>
      </c>
      <c r="D2877">
        <v>1.0155936818134601</v>
      </c>
      <c r="E2877">
        <v>1.03665394320488</v>
      </c>
      <c r="F2877">
        <v>1.01748487862546</v>
      </c>
      <c r="G2877">
        <v>0.95833084360392595</v>
      </c>
      <c r="H2877">
        <v>0.880553010765458</v>
      </c>
      <c r="I2877">
        <v>0.96543687615597895</v>
      </c>
      <c r="J2877">
        <v>1.23512287665781</v>
      </c>
      <c r="K2877">
        <v>0.89216466841346898</v>
      </c>
      <c r="L2877">
        <v>701.06227066823806</v>
      </c>
      <c r="M2877">
        <v>3.3184950829911499</v>
      </c>
      <c r="Q2877">
        <v>1.4545886957241101</v>
      </c>
      <c r="R2877">
        <v>-7.8215984433693806E-5</v>
      </c>
      <c r="S2877" t="s">
        <v>9329</v>
      </c>
      <c r="T2877" t="s">
        <v>12902</v>
      </c>
      <c r="U2877" t="s">
        <v>12902</v>
      </c>
      <c r="V2877" t="s">
        <v>12902</v>
      </c>
      <c r="W2877" t="s">
        <v>15739</v>
      </c>
      <c r="X2877">
        <v>24</v>
      </c>
      <c r="Y2877" t="s">
        <v>22077</v>
      </c>
      <c r="Z2877" t="s">
        <v>28452</v>
      </c>
      <c r="AA2877">
        <v>1.000110280910375</v>
      </c>
      <c r="AB2877" t="str">
        <f>HYPERLINK("Melting_Curves/meltCurve_P61289_PSME3.pdf", "Melting_Curves/meltCurve_P61289_PSME3.pdf")</f>
        <v>Melting_Curves/meltCurve_P61289_PSME3.pdf</v>
      </c>
    </row>
    <row r="2878" spans="1:28" x14ac:dyDescent="0.25">
      <c r="A2878" t="s">
        <v>2882</v>
      </c>
      <c r="B2878">
        <v>0.99673306730245903</v>
      </c>
      <c r="C2878">
        <v>0.87286837724586697</v>
      </c>
      <c r="D2878">
        <v>1.0481065006222301</v>
      </c>
      <c r="E2878">
        <v>0.95300379707961302</v>
      </c>
      <c r="F2878">
        <v>0.50079894040146999</v>
      </c>
      <c r="G2878">
        <v>0.32995314870616399</v>
      </c>
      <c r="H2878">
        <v>0.119128476880177</v>
      </c>
      <c r="I2878">
        <v>9.7353796051720107E-2</v>
      </c>
      <c r="J2878">
        <v>8.9796902453217406E-2</v>
      </c>
      <c r="K2878">
        <v>8.2741439393397703E-2</v>
      </c>
      <c r="L2878">
        <v>1357.0373604757201</v>
      </c>
      <c r="M2878">
        <v>25.388450988829</v>
      </c>
      <c r="N2878">
        <v>53.875703124036001</v>
      </c>
      <c r="O2878">
        <v>53.122664043144297</v>
      </c>
      <c r="P2878">
        <v>-0.10864524332472</v>
      </c>
      <c r="Q2878">
        <v>9.0696526381015094E-2</v>
      </c>
      <c r="R2878">
        <v>0.97795715988516396</v>
      </c>
      <c r="S2878" t="s">
        <v>9330</v>
      </c>
      <c r="T2878" t="s">
        <v>12902</v>
      </c>
      <c r="U2878" t="s">
        <v>12902</v>
      </c>
      <c r="V2878" t="s">
        <v>12902</v>
      </c>
      <c r="W2878" t="s">
        <v>15740</v>
      </c>
      <c r="X2878">
        <v>12</v>
      </c>
      <c r="Y2878" t="s">
        <v>22078</v>
      </c>
      <c r="Z2878" t="s">
        <v>28453</v>
      </c>
      <c r="AA2878">
        <v>0.50655548292550034</v>
      </c>
      <c r="AB2878" t="str">
        <f>HYPERLINK("Melting_Curves/meltCurve_P61326_MAGOH.pdf", "Melting_Curves/meltCurve_P61326_MAGOH.pdf")</f>
        <v>Melting_Curves/meltCurve_P61326_MAGOH.pdf</v>
      </c>
    </row>
    <row r="2879" spans="1:28" x14ac:dyDescent="0.25">
      <c r="A2879" t="s">
        <v>2883</v>
      </c>
      <c r="B2879">
        <v>0.99673306730245903</v>
      </c>
      <c r="C2879">
        <v>1.0047834078629601</v>
      </c>
      <c r="D2879">
        <v>0.89590394773683601</v>
      </c>
      <c r="E2879">
        <v>0.82997894658540305</v>
      </c>
      <c r="F2879">
        <v>0.69260546915505095</v>
      </c>
      <c r="G2879">
        <v>0.62494075670021099</v>
      </c>
      <c r="H2879">
        <v>0.416083029794722</v>
      </c>
      <c r="I2879">
        <v>0.25543340903461298</v>
      </c>
      <c r="J2879">
        <v>0.25106746860871698</v>
      </c>
      <c r="K2879">
        <v>0.21394861354003999</v>
      </c>
      <c r="L2879">
        <v>554.80154319624205</v>
      </c>
      <c r="M2879">
        <v>9.5637913849923404</v>
      </c>
      <c r="N2879">
        <v>58.463336429358002</v>
      </c>
      <c r="O2879">
        <v>55.644364001853603</v>
      </c>
      <c r="P2879">
        <v>-4.1458685773844997E-2</v>
      </c>
      <c r="Q2879">
        <v>3.5690945130839903E-2</v>
      </c>
      <c r="R2879">
        <v>0.98822819130264605</v>
      </c>
      <c r="S2879" t="s">
        <v>9331</v>
      </c>
      <c r="T2879" t="s">
        <v>12902</v>
      </c>
      <c r="U2879" t="s">
        <v>12902</v>
      </c>
      <c r="V2879" t="s">
        <v>12902</v>
      </c>
      <c r="W2879" t="s">
        <v>15741</v>
      </c>
      <c r="X2879">
        <v>6</v>
      </c>
      <c r="Y2879" t="s">
        <v>22079</v>
      </c>
      <c r="Z2879" t="s">
        <v>28454</v>
      </c>
      <c r="AA2879">
        <v>0.62313385721599324</v>
      </c>
      <c r="AB2879" t="str">
        <f>HYPERLINK("Melting_Curves/meltCurve_P61353_RPL27.pdf", "Melting_Curves/meltCurve_P61353_RPL27.pdf")</f>
        <v>Melting_Curves/meltCurve_P61353_RPL27.pdf</v>
      </c>
    </row>
    <row r="2880" spans="1:28" x14ac:dyDescent="0.25">
      <c r="A2880" t="s">
        <v>2884</v>
      </c>
      <c r="B2880">
        <v>0.99673306730245903</v>
      </c>
      <c r="C2880">
        <v>0.912936887288058</v>
      </c>
      <c r="D2880">
        <v>1.1755399994653699</v>
      </c>
      <c r="E2880">
        <v>1.06872229306915</v>
      </c>
      <c r="F2880">
        <v>0.69626719459508102</v>
      </c>
      <c r="G2880">
        <v>0.22875568058122001</v>
      </c>
      <c r="H2880">
        <v>0.14421820984357001</v>
      </c>
      <c r="I2880">
        <v>0.24071706434951501</v>
      </c>
      <c r="J2880">
        <v>0.17959335283210501</v>
      </c>
      <c r="K2880">
        <v>0.123190844354347</v>
      </c>
      <c r="L2880">
        <v>3130.5785763518502</v>
      </c>
      <c r="M2880">
        <v>58.277300056871297</v>
      </c>
      <c r="N2880">
        <v>54.121464817291901</v>
      </c>
      <c r="O2880">
        <v>53.655518406554002</v>
      </c>
      <c r="P2880">
        <v>-0.22375758250080899</v>
      </c>
      <c r="Q2880">
        <v>0.17595198634106701</v>
      </c>
      <c r="R2880">
        <v>0.96889566085416601</v>
      </c>
      <c r="S2880" t="s">
        <v>9332</v>
      </c>
      <c r="T2880" t="s">
        <v>12902</v>
      </c>
      <c r="U2880" t="s">
        <v>12902</v>
      </c>
      <c r="V2880" t="s">
        <v>12902</v>
      </c>
      <c r="W2880" t="s">
        <v>15742</v>
      </c>
      <c r="X2880">
        <v>2</v>
      </c>
      <c r="Y2880" t="s">
        <v>22080</v>
      </c>
      <c r="Z2880" t="s">
        <v>28455</v>
      </c>
      <c r="AA2880">
        <v>0.55421500801294021</v>
      </c>
      <c r="AB2880" t="str">
        <f>HYPERLINK("Melting_Curves/meltCurve_P61457_PCBD1.pdf", "Melting_Curves/meltCurve_P61457_PCBD1.pdf")</f>
        <v>Melting_Curves/meltCurve_P61457_PCBD1.pdf</v>
      </c>
    </row>
    <row r="2881" spans="1:28" x14ac:dyDescent="0.25">
      <c r="A2881" t="s">
        <v>2885</v>
      </c>
      <c r="B2881">
        <v>0.99673306730245903</v>
      </c>
      <c r="C2881">
        <v>1.0136526785186599</v>
      </c>
      <c r="D2881">
        <v>0.97726164323609199</v>
      </c>
      <c r="E2881">
        <v>0.88681615851116602</v>
      </c>
      <c r="F2881">
        <v>0.67237934541748301</v>
      </c>
      <c r="G2881">
        <v>0.55403939920809497</v>
      </c>
      <c r="H2881">
        <v>0.43192521168613202</v>
      </c>
      <c r="I2881">
        <v>0.42657533647956303</v>
      </c>
      <c r="J2881">
        <v>0.25427068177193202</v>
      </c>
      <c r="K2881">
        <v>0.17531186927814499</v>
      </c>
      <c r="L2881">
        <v>588.07584855006496</v>
      </c>
      <c r="M2881">
        <v>10.183886800976399</v>
      </c>
      <c r="N2881">
        <v>58.868213584614402</v>
      </c>
      <c r="O2881">
        <v>55.651891101988603</v>
      </c>
      <c r="P2881">
        <v>-4.1729924413470398E-2</v>
      </c>
      <c r="Q2881">
        <v>8.8247476164107996E-2</v>
      </c>
      <c r="R2881">
        <v>0.97892474469694302</v>
      </c>
      <c r="S2881" t="s">
        <v>9333</v>
      </c>
      <c r="T2881" t="s">
        <v>12902</v>
      </c>
      <c r="U2881" t="s">
        <v>12902</v>
      </c>
      <c r="V2881" t="s">
        <v>12902</v>
      </c>
      <c r="W2881" t="s">
        <v>15743</v>
      </c>
      <c r="X2881">
        <v>15</v>
      </c>
      <c r="Y2881" t="s">
        <v>22081</v>
      </c>
      <c r="Z2881" t="s">
        <v>28456</v>
      </c>
      <c r="AA2881">
        <v>0.63833042529020056</v>
      </c>
      <c r="AB2881" t="str">
        <f>HYPERLINK("Melting_Curves/meltCurve_P61586_RHOA.pdf", "Melting_Curves/meltCurve_P61586_RHOA.pdf")</f>
        <v>Melting_Curves/meltCurve_P61586_RHOA.pdf</v>
      </c>
    </row>
    <row r="2882" spans="1:28" x14ac:dyDescent="0.25">
      <c r="A2882" t="s">
        <v>2886</v>
      </c>
      <c r="B2882">
        <v>0.99673306730245903</v>
      </c>
      <c r="C2882">
        <v>0.99991102444938795</v>
      </c>
      <c r="D2882">
        <v>0.98395774585264295</v>
      </c>
      <c r="E2882">
        <v>0.86459993939725499</v>
      </c>
      <c r="F2882">
        <v>0.170092753621057</v>
      </c>
      <c r="G2882">
        <v>0.10617398673687101</v>
      </c>
      <c r="H2882">
        <v>6.1833707905284301E-2</v>
      </c>
      <c r="I2882">
        <v>5.0794974898469201E-2</v>
      </c>
      <c r="J2882">
        <v>5.83725178178882E-2</v>
      </c>
      <c r="K2882">
        <v>5.2355815211650399E-2</v>
      </c>
      <c r="L2882">
        <v>2773.7694821230202</v>
      </c>
      <c r="M2882">
        <v>54.161184405679201</v>
      </c>
      <c r="N2882">
        <v>51.343817859030402</v>
      </c>
      <c r="O2882">
        <v>51.143567509290101</v>
      </c>
      <c r="P2882">
        <v>-0.247717051772537</v>
      </c>
      <c r="Q2882">
        <v>6.4339219488404306E-2</v>
      </c>
      <c r="R2882">
        <v>0.99894030896366803</v>
      </c>
      <c r="S2882" t="s">
        <v>9334</v>
      </c>
      <c r="T2882" t="s">
        <v>12902</v>
      </c>
      <c r="U2882" t="s">
        <v>12902</v>
      </c>
      <c r="V2882" t="s">
        <v>12902</v>
      </c>
      <c r="W2882" t="s">
        <v>15744</v>
      </c>
      <c r="X2882">
        <v>3</v>
      </c>
      <c r="Y2882" t="s">
        <v>22082</v>
      </c>
      <c r="Z2882" t="s">
        <v>28457</v>
      </c>
      <c r="AA2882">
        <v>0.41586523011064319</v>
      </c>
      <c r="AB2882" t="str">
        <f>HYPERLINK("Melting_Curves/meltCurve_P61599_NAA20.pdf", "Melting_Curves/meltCurve_P61599_NAA20.pdf")</f>
        <v>Melting_Curves/meltCurve_P61599_NAA20.pdf</v>
      </c>
    </row>
    <row r="2883" spans="1:28" x14ac:dyDescent="0.25">
      <c r="A2883" t="s">
        <v>2887</v>
      </c>
      <c r="B2883">
        <v>0.99673306730245903</v>
      </c>
      <c r="C2883">
        <v>1.02938715916021</v>
      </c>
      <c r="D2883">
        <v>0.92115905149628696</v>
      </c>
      <c r="E2883">
        <v>0.78414255391107301</v>
      </c>
      <c r="F2883">
        <v>0.46765171817615703</v>
      </c>
      <c r="G2883">
        <v>0.254865964469845</v>
      </c>
      <c r="H2883">
        <v>0.15614050827456399</v>
      </c>
      <c r="I2883">
        <v>0.120379095641178</v>
      </c>
      <c r="J2883">
        <v>0.142547928356003</v>
      </c>
      <c r="K2883">
        <v>9.32975262999301E-2</v>
      </c>
      <c r="L2883">
        <v>1062.41734723224</v>
      </c>
      <c r="M2883">
        <v>20.336899279216201</v>
      </c>
      <c r="N2883">
        <v>52.867600613971597</v>
      </c>
      <c r="O2883">
        <v>51.743623798159497</v>
      </c>
      <c r="P2883">
        <v>-8.7736070271859895E-2</v>
      </c>
      <c r="Q2883">
        <v>0.107111890577878</v>
      </c>
      <c r="R2883">
        <v>0.99753485635386097</v>
      </c>
      <c r="S2883" t="s">
        <v>9335</v>
      </c>
      <c r="T2883" t="s">
        <v>12902</v>
      </c>
      <c r="U2883" t="s">
        <v>12902</v>
      </c>
      <c r="V2883" t="s">
        <v>12902</v>
      </c>
      <c r="W2883" t="s">
        <v>15745</v>
      </c>
      <c r="X2883">
        <v>4</v>
      </c>
      <c r="Y2883" t="s">
        <v>22083</v>
      </c>
      <c r="Z2883" t="s">
        <v>28458</v>
      </c>
      <c r="AA2883">
        <v>0.48341766247559692</v>
      </c>
      <c r="AB2883" t="str">
        <f>HYPERLINK("Melting_Curves/meltCurve_P61601_NCALD.pdf", "Melting_Curves/meltCurve_P61601_NCALD.pdf")</f>
        <v>Melting_Curves/meltCurve_P61601_NCALD.pdf</v>
      </c>
    </row>
    <row r="2884" spans="1:28" x14ac:dyDescent="0.25">
      <c r="A2884" t="s">
        <v>2888</v>
      </c>
      <c r="B2884">
        <v>0.99673306730245903</v>
      </c>
      <c r="C2884">
        <v>1.0469195365728501</v>
      </c>
      <c r="D2884">
        <v>1.0558603354193901</v>
      </c>
      <c r="E2884">
        <v>1.04924181065374</v>
      </c>
      <c r="F2884">
        <v>1.0374702730522101</v>
      </c>
      <c r="G2884">
        <v>0.98661398983123505</v>
      </c>
      <c r="H2884">
        <v>0.84175486918849496</v>
      </c>
      <c r="I2884">
        <v>1.15554608361422</v>
      </c>
      <c r="J2884">
        <v>1.5885829754165299</v>
      </c>
      <c r="K2884">
        <v>1.3961086133365299</v>
      </c>
      <c r="L2884">
        <v>15000</v>
      </c>
      <c r="M2884">
        <v>233.60260284675101</v>
      </c>
      <c r="O2884">
        <v>64.206903345832401</v>
      </c>
      <c r="P2884">
        <v>0.44782782289518103</v>
      </c>
      <c r="Q2884">
        <v>1.49235135304954</v>
      </c>
      <c r="R2884">
        <v>0.87653674144761895</v>
      </c>
      <c r="S2884" t="s">
        <v>9336</v>
      </c>
      <c r="T2884" t="s">
        <v>12902</v>
      </c>
      <c r="U2884" t="s">
        <v>12902</v>
      </c>
      <c r="V2884" t="s">
        <v>12902</v>
      </c>
      <c r="W2884" t="s">
        <v>15746</v>
      </c>
      <c r="X2884">
        <v>16</v>
      </c>
      <c r="Y2884" t="s">
        <v>22084</v>
      </c>
      <c r="Z2884" t="s">
        <v>28459</v>
      </c>
      <c r="AA2884">
        <v>1.0949337863232531</v>
      </c>
      <c r="AB2884" t="str">
        <f>HYPERLINK("Melting_Curves/meltCurve_P61604_HSPE1.pdf", "Melting_Curves/meltCurve_P61604_HSPE1.pdf")</f>
        <v>Melting_Curves/meltCurve_P61604_HSPE1.pdf</v>
      </c>
    </row>
    <row r="2885" spans="1:28" x14ac:dyDescent="0.25">
      <c r="A2885" t="s">
        <v>2889</v>
      </c>
      <c r="B2885">
        <v>0.99673306730245903</v>
      </c>
      <c r="C2885">
        <v>1.01210122833629</v>
      </c>
      <c r="D2885">
        <v>1.04618390951541</v>
      </c>
      <c r="E2885">
        <v>1.0473911893174499</v>
      </c>
      <c r="F2885">
        <v>0.968430351646693</v>
      </c>
      <c r="G2885">
        <v>0.79956244088283501</v>
      </c>
      <c r="H2885">
        <v>0.57444104139015595</v>
      </c>
      <c r="I2885">
        <v>0.38927788281701697</v>
      </c>
      <c r="J2885">
        <v>0.20792578209936999</v>
      </c>
      <c r="K2885">
        <v>0.18765324865698199</v>
      </c>
      <c r="L2885">
        <v>1176.20383560964</v>
      </c>
      <c r="M2885">
        <v>19.2657620371536</v>
      </c>
      <c r="N2885">
        <v>61.806311629657202</v>
      </c>
      <c r="O2885">
        <v>60.405156219488298</v>
      </c>
      <c r="P2885">
        <v>-7.1380070366468901E-2</v>
      </c>
      <c r="Q2885">
        <v>0.104824162074149</v>
      </c>
      <c r="R2885">
        <v>0.99228864084646096</v>
      </c>
      <c r="S2885" t="s">
        <v>9337</v>
      </c>
      <c r="T2885" t="s">
        <v>12902</v>
      </c>
      <c r="U2885" t="s">
        <v>12902</v>
      </c>
      <c r="V2885" t="s">
        <v>12902</v>
      </c>
      <c r="W2885" t="s">
        <v>15747</v>
      </c>
      <c r="X2885">
        <v>17</v>
      </c>
      <c r="Y2885" t="s">
        <v>22085</v>
      </c>
      <c r="Z2885" t="s">
        <v>28460</v>
      </c>
      <c r="AA2885">
        <v>0.73809470125853649</v>
      </c>
      <c r="AB2885" t="str">
        <f>HYPERLINK("Melting_Curves/meltCurve_P61758_VBP1.pdf", "Melting_Curves/meltCurve_P61758_VBP1.pdf")</f>
        <v>Melting_Curves/meltCurve_P61758_VBP1.pdf</v>
      </c>
    </row>
    <row r="2886" spans="1:28" x14ac:dyDescent="0.25">
      <c r="A2886" t="s">
        <v>2890</v>
      </c>
      <c r="B2886">
        <v>0.99673306730245903</v>
      </c>
      <c r="C2886">
        <v>0.99327792871442</v>
      </c>
      <c r="D2886">
        <v>0.76662447251490595</v>
      </c>
      <c r="E2886">
        <v>0.29502028119614998</v>
      </c>
      <c r="F2886">
        <v>0.19087922774404401</v>
      </c>
      <c r="G2886">
        <v>0.117203702001931</v>
      </c>
      <c r="H2886">
        <v>6.9046141860321E-2</v>
      </c>
      <c r="I2886">
        <v>6.1971432946048899E-2</v>
      </c>
      <c r="J2886">
        <v>5.8404869784371601E-2</v>
      </c>
      <c r="K2886">
        <v>4.9434639608070902E-2</v>
      </c>
      <c r="L2886">
        <v>1308.1862628118199</v>
      </c>
      <c r="M2886">
        <v>27.3753426285415</v>
      </c>
      <c r="N2886">
        <v>48.075519201743802</v>
      </c>
      <c r="O2886">
        <v>47.534230076318103</v>
      </c>
      <c r="P2886">
        <v>-0.13307284755311299</v>
      </c>
      <c r="Q2886">
        <v>7.57444290646999E-2</v>
      </c>
      <c r="R2886">
        <v>0.99446582814487505</v>
      </c>
      <c r="S2886" t="s">
        <v>9338</v>
      </c>
      <c r="T2886" t="s">
        <v>12902</v>
      </c>
      <c r="U2886" t="s">
        <v>12902</v>
      </c>
      <c r="V2886" t="s">
        <v>12902</v>
      </c>
      <c r="W2886" t="s">
        <v>15748</v>
      </c>
      <c r="X2886">
        <v>13</v>
      </c>
      <c r="Y2886" t="s">
        <v>22086</v>
      </c>
      <c r="Z2886" t="s">
        <v>28461</v>
      </c>
      <c r="AA2886">
        <v>0.32238885507360648</v>
      </c>
      <c r="AB2886" t="str">
        <f>HYPERLINK("Melting_Curves/meltCurve_P61764_STXBP1.pdf", "Melting_Curves/meltCurve_P61764_STXBP1.pdf")</f>
        <v>Melting_Curves/meltCurve_P61764_STXBP1.pdf</v>
      </c>
    </row>
    <row r="2887" spans="1:28" x14ac:dyDescent="0.25">
      <c r="A2887" t="s">
        <v>2891</v>
      </c>
      <c r="B2887">
        <v>0.99673306730245903</v>
      </c>
      <c r="C2887">
        <v>0.97615024346495904</v>
      </c>
      <c r="D2887">
        <v>1.03174629334459</v>
      </c>
      <c r="E2887">
        <v>0.86996890729561205</v>
      </c>
      <c r="F2887">
        <v>0.74132919418889098</v>
      </c>
      <c r="G2887">
        <v>0.566767116428471</v>
      </c>
      <c r="H2887">
        <v>0.41639261716345599</v>
      </c>
      <c r="I2887">
        <v>0.35656154796442102</v>
      </c>
      <c r="J2887">
        <v>0.33617165922161901</v>
      </c>
      <c r="K2887">
        <v>0.246013204016233</v>
      </c>
      <c r="L2887">
        <v>806.41791715296597</v>
      </c>
      <c r="M2887">
        <v>14.479993971889099</v>
      </c>
      <c r="N2887">
        <v>58.411510188272501</v>
      </c>
      <c r="O2887">
        <v>54.661996677888197</v>
      </c>
      <c r="P2887">
        <v>-4.9991547139685101E-2</v>
      </c>
      <c r="Q2887">
        <v>0.245214961660497</v>
      </c>
      <c r="R2887">
        <v>0.99110361837455996</v>
      </c>
      <c r="S2887" t="s">
        <v>9339</v>
      </c>
      <c r="T2887" t="s">
        <v>12902</v>
      </c>
      <c r="U2887" t="s">
        <v>12902</v>
      </c>
      <c r="V2887" t="s">
        <v>12902</v>
      </c>
      <c r="W2887" t="s">
        <v>15749</v>
      </c>
      <c r="X2887">
        <v>6</v>
      </c>
      <c r="Y2887" t="s">
        <v>22087</v>
      </c>
      <c r="Z2887" t="s">
        <v>28462</v>
      </c>
      <c r="AA2887">
        <v>0.65423017494681046</v>
      </c>
      <c r="AB2887" t="str">
        <f>HYPERLINK("Melting_Curves/meltCurve_P61769_B2M.pdf", "Melting_Curves/meltCurve_P61769_B2M.pdf")</f>
        <v>Melting_Curves/meltCurve_P61769_B2M.pdf</v>
      </c>
    </row>
    <row r="2888" spans="1:28" x14ac:dyDescent="0.25">
      <c r="A2888" t="s">
        <v>2892</v>
      </c>
      <c r="B2888">
        <v>0.99673306730245903</v>
      </c>
      <c r="C2888">
        <v>0.92266910576399297</v>
      </c>
      <c r="D2888">
        <v>0.80537616380434895</v>
      </c>
      <c r="E2888">
        <v>0.53448305807054897</v>
      </c>
      <c r="F2888">
        <v>0.26795050873368198</v>
      </c>
      <c r="G2888">
        <v>0.21868776422153</v>
      </c>
      <c r="H2888">
        <v>0.152182184451608</v>
      </c>
      <c r="I2888">
        <v>0.13459426332694499</v>
      </c>
      <c r="J2888">
        <v>0.127897098932027</v>
      </c>
      <c r="K2888">
        <v>7.6124923471446004E-2</v>
      </c>
      <c r="L2888">
        <v>856.94203502884795</v>
      </c>
      <c r="M2888">
        <v>17.403353165742299</v>
      </c>
      <c r="N2888">
        <v>49.945920215362101</v>
      </c>
      <c r="O2888">
        <v>48.603715588301903</v>
      </c>
      <c r="P2888">
        <v>-7.97618689289675E-2</v>
      </c>
      <c r="Q2888">
        <v>0.109021189182461</v>
      </c>
      <c r="R2888">
        <v>0.99640266934180599</v>
      </c>
      <c r="S2888" t="s">
        <v>9340</v>
      </c>
      <c r="T2888" t="s">
        <v>12902</v>
      </c>
      <c r="U2888" t="s">
        <v>12902</v>
      </c>
      <c r="V2888" t="s">
        <v>12902</v>
      </c>
      <c r="W2888" t="s">
        <v>15750</v>
      </c>
      <c r="X2888">
        <v>3</v>
      </c>
      <c r="Y2888" t="s">
        <v>22088</v>
      </c>
      <c r="Z2888" t="s">
        <v>28463</v>
      </c>
      <c r="AA2888">
        <v>0.39986150657959718</v>
      </c>
      <c r="AB2888" t="str">
        <f>HYPERLINK("Melting_Curves/meltCurve_P61812_TGFB2.pdf", "Melting_Curves/meltCurve_P61812_TGFB2.pdf")</f>
        <v>Melting_Curves/meltCurve_P61812_TGFB2.pdf</v>
      </c>
    </row>
    <row r="2889" spans="1:28" x14ac:dyDescent="0.25">
      <c r="A2889" t="s">
        <v>2893</v>
      </c>
      <c r="B2889">
        <v>0.99673306730245903</v>
      </c>
      <c r="C2889">
        <v>0.969326478141739</v>
      </c>
      <c r="D2889">
        <v>1.1487380370715701</v>
      </c>
      <c r="E2889">
        <v>0.93933642767682402</v>
      </c>
      <c r="F2889">
        <v>0.36978180857613502</v>
      </c>
      <c r="G2889">
        <v>0.190160541128958</v>
      </c>
      <c r="H2889">
        <v>0.111497985254324</v>
      </c>
      <c r="I2889">
        <v>9.1843693748927396E-2</v>
      </c>
      <c r="J2889">
        <v>0.121559158303715</v>
      </c>
      <c r="K2889">
        <v>9.6361319303848406E-2</v>
      </c>
      <c r="L2889">
        <v>2465.9198642809401</v>
      </c>
      <c r="M2889">
        <v>47.216473253749001</v>
      </c>
      <c r="N2889">
        <v>52.521907546027997</v>
      </c>
      <c r="O2889">
        <v>52.132413295986602</v>
      </c>
      <c r="P2889">
        <v>-0.19997038400533201</v>
      </c>
      <c r="Q2889">
        <v>0.11683980176356699</v>
      </c>
      <c r="R2889">
        <v>0.98477539034636496</v>
      </c>
      <c r="S2889" t="s">
        <v>9341</v>
      </c>
      <c r="T2889" t="s">
        <v>12902</v>
      </c>
      <c r="U2889" t="s">
        <v>12902</v>
      </c>
      <c r="V2889" t="s">
        <v>12902</v>
      </c>
      <c r="W2889" t="s">
        <v>15751</v>
      </c>
      <c r="X2889">
        <v>2</v>
      </c>
      <c r="Y2889" t="s">
        <v>22089</v>
      </c>
      <c r="Z2889" t="s">
        <v>28464</v>
      </c>
      <c r="AA2889">
        <v>0.47903492210628568</v>
      </c>
      <c r="AB2889" t="str">
        <f>HYPERLINK("Melting_Curves/meltCurve_P61927_RPL37.pdf", "Melting_Curves/meltCurve_P61927_RPL37.pdf")</f>
        <v>Melting_Curves/meltCurve_P61927_RPL37.pdf</v>
      </c>
    </row>
    <row r="2890" spans="1:28" x14ac:dyDescent="0.25">
      <c r="A2890" t="s">
        <v>2894</v>
      </c>
      <c r="B2890">
        <v>0.99673306730245903</v>
      </c>
      <c r="C2890">
        <v>0.90777067919726495</v>
      </c>
      <c r="D2890">
        <v>0.85113266415502697</v>
      </c>
      <c r="E2890">
        <v>0.77574411040179003</v>
      </c>
      <c r="F2890">
        <v>0.54098368409859399</v>
      </c>
      <c r="G2890">
        <v>0.36936067941401102</v>
      </c>
      <c r="H2890">
        <v>0.214007969836635</v>
      </c>
      <c r="I2890">
        <v>0.15645949441721299</v>
      </c>
      <c r="J2890">
        <v>0.148947847557689</v>
      </c>
      <c r="K2890">
        <v>0.123653584918229</v>
      </c>
      <c r="L2890">
        <v>640.23846741639204</v>
      </c>
      <c r="M2890">
        <v>11.981539945253999</v>
      </c>
      <c r="N2890">
        <v>53.993568538440201</v>
      </c>
      <c r="O2890">
        <v>52.012156773315603</v>
      </c>
      <c r="P2890">
        <v>-5.4248830346749898E-2</v>
      </c>
      <c r="Q2890">
        <v>5.8246410464928497E-2</v>
      </c>
      <c r="R2890">
        <v>0.99438128966726502</v>
      </c>
      <c r="S2890" t="s">
        <v>9342</v>
      </c>
      <c r="T2890" t="s">
        <v>12902</v>
      </c>
      <c r="U2890" t="s">
        <v>12902</v>
      </c>
      <c r="V2890" t="s">
        <v>12902</v>
      </c>
      <c r="W2890" t="s">
        <v>15752</v>
      </c>
      <c r="X2890">
        <v>5</v>
      </c>
      <c r="Y2890" t="s">
        <v>22090</v>
      </c>
      <c r="Z2890" t="s">
        <v>28465</v>
      </c>
      <c r="AA2890">
        <v>0.50592752445523481</v>
      </c>
      <c r="AB2890" t="str">
        <f>HYPERLINK("Melting_Curves/meltCurve_P61962_DCAF7.pdf", "Melting_Curves/meltCurve_P61962_DCAF7.pdf")</f>
        <v>Melting_Curves/meltCurve_P61962_DCAF7.pdf</v>
      </c>
    </row>
    <row r="2891" spans="1:28" x14ac:dyDescent="0.25">
      <c r="A2891" t="s">
        <v>2895</v>
      </c>
      <c r="B2891">
        <v>0.99673306730245903</v>
      </c>
      <c r="C2891">
        <v>0.93348923152194396</v>
      </c>
      <c r="D2891">
        <v>0.88571112689020703</v>
      </c>
      <c r="E2891">
        <v>0.87249334314654403</v>
      </c>
      <c r="F2891">
        <v>0.79374927753285596</v>
      </c>
      <c r="G2891">
        <v>0.81125623428110505</v>
      </c>
      <c r="H2891">
        <v>0.67337368237497197</v>
      </c>
      <c r="I2891">
        <v>0.97800331108004301</v>
      </c>
      <c r="J2891">
        <v>1.2636558204994901</v>
      </c>
      <c r="K2891">
        <v>1.01119258880822</v>
      </c>
      <c r="L2891">
        <v>1927.8743212834199</v>
      </c>
      <c r="M2891">
        <v>29.0452175445674</v>
      </c>
      <c r="O2891">
        <v>66.062682870456598</v>
      </c>
      <c r="P2891">
        <v>1.28860918295237E-2</v>
      </c>
      <c r="Q2891">
        <v>1.11723561566511</v>
      </c>
      <c r="R2891">
        <v>-0.19500222522951799</v>
      </c>
      <c r="S2891" t="s">
        <v>9343</v>
      </c>
      <c r="T2891" t="s">
        <v>12902</v>
      </c>
      <c r="U2891" t="s">
        <v>12902</v>
      </c>
      <c r="V2891" t="s">
        <v>12902</v>
      </c>
      <c r="W2891" t="s">
        <v>15753</v>
      </c>
      <c r="X2891">
        <v>10</v>
      </c>
      <c r="Y2891" t="s">
        <v>22091</v>
      </c>
      <c r="Z2891" t="s">
        <v>28466</v>
      </c>
      <c r="AA2891">
        <v>1.0153027551943341</v>
      </c>
      <c r="AB2891" t="str">
        <f>HYPERLINK("Melting_Curves/meltCurve_P61964_WDR5.pdf", "Melting_Curves/meltCurve_P61964_WDR5.pdf")</f>
        <v>Melting_Curves/meltCurve_P61964_WDR5.pdf</v>
      </c>
    </row>
    <row r="2892" spans="1:28" x14ac:dyDescent="0.25">
      <c r="A2892" t="s">
        <v>2896</v>
      </c>
      <c r="B2892">
        <v>0.99673306730245903</v>
      </c>
      <c r="C2892">
        <v>1.0188129778230399</v>
      </c>
      <c r="D2892">
        <v>0.92859860106912295</v>
      </c>
      <c r="E2892">
        <v>0.59645803560196697</v>
      </c>
      <c r="F2892">
        <v>0.37635107153424102</v>
      </c>
      <c r="G2892">
        <v>0.284259919441056</v>
      </c>
      <c r="H2892">
        <v>0.14601001248603501</v>
      </c>
      <c r="I2892">
        <v>0.118533663169875</v>
      </c>
      <c r="J2892">
        <v>0.17016095772471199</v>
      </c>
      <c r="K2892">
        <v>0.15836604330555801</v>
      </c>
      <c r="L2892">
        <v>1022.12247704064</v>
      </c>
      <c r="M2892">
        <v>20.292158413546499</v>
      </c>
      <c r="N2892">
        <v>51.266134533088099</v>
      </c>
      <c r="O2892">
        <v>49.888791680985499</v>
      </c>
      <c r="P2892">
        <v>-8.6510834409302698E-2</v>
      </c>
      <c r="Q2892">
        <v>0.14926972779295899</v>
      </c>
      <c r="R2892">
        <v>0.99093791834491196</v>
      </c>
      <c r="S2892" t="s">
        <v>9344</v>
      </c>
      <c r="T2892" t="s">
        <v>12902</v>
      </c>
      <c r="U2892" t="s">
        <v>12902</v>
      </c>
      <c r="V2892" t="s">
        <v>12902</v>
      </c>
      <c r="W2892" t="s">
        <v>15754</v>
      </c>
      <c r="X2892">
        <v>1</v>
      </c>
      <c r="Y2892" t="s">
        <v>22092</v>
      </c>
      <c r="Z2892" t="s">
        <v>28467</v>
      </c>
      <c r="AA2892">
        <v>0.45485091334172639</v>
      </c>
      <c r="AB2892" t="str">
        <f>HYPERLINK("Melting_Curves/meltCurve_P61966_AP1S1.pdf", "Melting_Curves/meltCurve_P61966_AP1S1.pdf")</f>
        <v>Melting_Curves/meltCurve_P61966_AP1S1.pdf</v>
      </c>
    </row>
    <row r="2893" spans="1:28" x14ac:dyDescent="0.25">
      <c r="A2893" t="s">
        <v>2897</v>
      </c>
      <c r="B2893">
        <v>0.99673306730245903</v>
      </c>
      <c r="C2893">
        <v>1.03079052529141</v>
      </c>
      <c r="D2893">
        <v>1.01866850002752</v>
      </c>
      <c r="E2893">
        <v>1.0288031425430499</v>
      </c>
      <c r="F2893">
        <v>1.05489923038052</v>
      </c>
      <c r="G2893">
        <v>0.97275857174122105</v>
      </c>
      <c r="H2893">
        <v>0.75011382776368896</v>
      </c>
      <c r="I2893">
        <v>0.98692271788281005</v>
      </c>
      <c r="J2893">
        <v>0.99459670445433002</v>
      </c>
      <c r="K2893">
        <v>0.58843995583131503</v>
      </c>
      <c r="L2893">
        <v>7836.62472659583</v>
      </c>
      <c r="M2893">
        <v>111.59425647269001</v>
      </c>
      <c r="Q2893">
        <v>0</v>
      </c>
      <c r="R2893">
        <v>0.66515781907509297</v>
      </c>
      <c r="S2893" t="s">
        <v>9345</v>
      </c>
      <c r="T2893" t="s">
        <v>12902</v>
      </c>
      <c r="U2893" t="s">
        <v>12902</v>
      </c>
      <c r="V2893" t="s">
        <v>12902</v>
      </c>
      <c r="W2893" t="s">
        <v>15755</v>
      </c>
      <c r="X2893">
        <v>5</v>
      </c>
      <c r="Y2893" t="s">
        <v>22093</v>
      </c>
      <c r="Z2893" t="s">
        <v>28468</v>
      </c>
      <c r="AA2893">
        <v>0.9891667013189358</v>
      </c>
      <c r="AB2893" t="str">
        <f>HYPERLINK("Melting_Curves/meltCurve_P61970_NUTF2.pdf", "Melting_Curves/meltCurve_P61970_NUTF2.pdf")</f>
        <v>Melting_Curves/meltCurve_P61970_NUTF2.pdf</v>
      </c>
    </row>
    <row r="2894" spans="1:28" x14ac:dyDescent="0.25">
      <c r="A2894" t="s">
        <v>2898</v>
      </c>
      <c r="B2894">
        <v>0.99673306730245903</v>
      </c>
      <c r="C2894">
        <v>1.05504668215551</v>
      </c>
      <c r="D2894">
        <v>0.76126118620128103</v>
      </c>
      <c r="E2894">
        <v>0.55621648414314595</v>
      </c>
      <c r="F2894">
        <v>0.213394158357015</v>
      </c>
      <c r="G2894">
        <v>0.13105540924387499</v>
      </c>
      <c r="H2894">
        <v>8.2130645011026904E-2</v>
      </c>
      <c r="I2894">
        <v>8.5343213533932705E-2</v>
      </c>
      <c r="J2894">
        <v>0.103085934389684</v>
      </c>
      <c r="K2894">
        <v>0.106628472613139</v>
      </c>
      <c r="L2894">
        <v>1059.9966344130901</v>
      </c>
      <c r="M2894">
        <v>21.518217833678101</v>
      </c>
      <c r="N2894">
        <v>49.692380757675501</v>
      </c>
      <c r="O2894">
        <v>48.840910625392297</v>
      </c>
      <c r="P2894">
        <v>-0.100751835770966</v>
      </c>
      <c r="Q2894">
        <v>8.5297578282586703E-2</v>
      </c>
      <c r="R2894">
        <v>0.98738615236484994</v>
      </c>
      <c r="S2894" t="s">
        <v>9346</v>
      </c>
      <c r="T2894" t="s">
        <v>12902</v>
      </c>
      <c r="U2894" t="s">
        <v>12902</v>
      </c>
      <c r="V2894" t="s">
        <v>12902</v>
      </c>
      <c r="W2894" t="s">
        <v>15756</v>
      </c>
      <c r="X2894">
        <v>32</v>
      </c>
      <c r="Y2894" t="s">
        <v>22094</v>
      </c>
      <c r="Z2894" t="s">
        <v>28469</v>
      </c>
      <c r="AA2894">
        <v>0.37867639852236967</v>
      </c>
      <c r="AB2894" t="str">
        <f>HYPERLINK("Melting_Curves/meltCurve_P61978_3_HNRNPK.pdf", "Melting_Curves/meltCurve_P61978_3_HNRNPK.pdf")</f>
        <v>Melting_Curves/meltCurve_P61978_3_HNRNPK.pdf</v>
      </c>
    </row>
    <row r="2895" spans="1:28" x14ac:dyDescent="0.25">
      <c r="A2895" t="s">
        <v>2899</v>
      </c>
      <c r="B2895">
        <v>0.99673306730245903</v>
      </c>
      <c r="C2895">
        <v>1.0133729840835499</v>
      </c>
      <c r="D2895">
        <v>0.94934603635167503</v>
      </c>
      <c r="E2895">
        <v>0.98027562180102401</v>
      </c>
      <c r="F2895">
        <v>0.85059247573397101</v>
      </c>
      <c r="G2895">
        <v>0.68267891710987905</v>
      </c>
      <c r="H2895">
        <v>0.31275635952983799</v>
      </c>
      <c r="I2895">
        <v>0.183754431427227</v>
      </c>
      <c r="J2895">
        <v>0.116868167951347</v>
      </c>
      <c r="K2895">
        <v>8.0883480622932505E-2</v>
      </c>
      <c r="L2895">
        <v>1185.5424535746199</v>
      </c>
      <c r="M2895">
        <v>20.3355432645848</v>
      </c>
      <c r="N2895">
        <v>58.595866767481702</v>
      </c>
      <c r="O2895">
        <v>57.744045680694597</v>
      </c>
      <c r="P2895">
        <v>-8.3735333036051102E-2</v>
      </c>
      <c r="Q2895">
        <v>4.8942146210227203E-2</v>
      </c>
      <c r="R2895">
        <v>0.99641391820467895</v>
      </c>
      <c r="S2895" t="s">
        <v>9347</v>
      </c>
      <c r="T2895" t="s">
        <v>12902</v>
      </c>
      <c r="U2895" t="s">
        <v>12902</v>
      </c>
      <c r="V2895" t="s">
        <v>12902</v>
      </c>
      <c r="W2895" t="s">
        <v>15757</v>
      </c>
      <c r="X2895">
        <v>31</v>
      </c>
      <c r="Y2895" t="s">
        <v>22095</v>
      </c>
      <c r="Z2895" t="s">
        <v>28470</v>
      </c>
      <c r="AA2895">
        <v>0.63935816315550043</v>
      </c>
      <c r="AB2895" t="str">
        <f>HYPERLINK("Melting_Curves/meltCurve_P61981_YWHAG.pdf", "Melting_Curves/meltCurve_P61981_YWHAG.pdf")</f>
        <v>Melting_Curves/meltCurve_P61981_YWHAG.pdf</v>
      </c>
    </row>
    <row r="2896" spans="1:28" x14ac:dyDescent="0.25">
      <c r="A2896" t="s">
        <v>2900</v>
      </c>
      <c r="B2896">
        <v>0.99673306730245903</v>
      </c>
      <c r="C2896">
        <v>0.99682026100971699</v>
      </c>
      <c r="D2896">
        <v>0.99145318504865199</v>
      </c>
      <c r="E2896">
        <v>0.87618750218299801</v>
      </c>
      <c r="F2896">
        <v>0.78429045271867603</v>
      </c>
      <c r="G2896">
        <v>0.66577353801027295</v>
      </c>
      <c r="H2896">
        <v>0.37045487328320398</v>
      </c>
      <c r="I2896">
        <v>0.132412150226211</v>
      </c>
      <c r="J2896">
        <v>0.120850194429936</v>
      </c>
      <c r="K2896">
        <v>0.120749763995225</v>
      </c>
      <c r="L2896">
        <v>874.42249122040903</v>
      </c>
      <c r="M2896">
        <v>14.975337191896701</v>
      </c>
      <c r="N2896">
        <v>58.390838489894399</v>
      </c>
      <c r="O2896">
        <v>57.37929435142</v>
      </c>
      <c r="P2896">
        <v>-6.5253764681336202E-2</v>
      </c>
      <c r="Q2896">
        <v>0</v>
      </c>
      <c r="R2896">
        <v>0.98735835879005696</v>
      </c>
      <c r="S2896" t="s">
        <v>9348</v>
      </c>
      <c r="T2896" t="s">
        <v>12902</v>
      </c>
      <c r="U2896" t="s">
        <v>12902</v>
      </c>
      <c r="V2896" t="s">
        <v>12902</v>
      </c>
      <c r="W2896" t="s">
        <v>15758</v>
      </c>
      <c r="X2896">
        <v>8</v>
      </c>
      <c r="Y2896" t="s">
        <v>22096</v>
      </c>
      <c r="Z2896" t="s">
        <v>28471</v>
      </c>
      <c r="AA2896">
        <v>0.62537860033634751</v>
      </c>
      <c r="AB2896" t="str">
        <f>HYPERLINK("Melting_Curves/meltCurve_P62070_RRAS2.pdf", "Melting_Curves/meltCurve_P62070_RRAS2.pdf")</f>
        <v>Melting_Curves/meltCurve_P62070_RRAS2.pdf</v>
      </c>
    </row>
    <row r="2897" spans="1:28" x14ac:dyDescent="0.25">
      <c r="A2897" t="s">
        <v>2901</v>
      </c>
      <c r="B2897">
        <v>0.99673306730245903</v>
      </c>
      <c r="C2897">
        <v>0.99594119340323894</v>
      </c>
      <c r="D2897">
        <v>0.94629617823813394</v>
      </c>
      <c r="E2897">
        <v>0.853532827319753</v>
      </c>
      <c r="F2897">
        <v>0.83790093606216698</v>
      </c>
      <c r="G2897">
        <v>0.79781052102662597</v>
      </c>
      <c r="H2897">
        <v>0.71620380149560603</v>
      </c>
      <c r="I2897">
        <v>1.0306641355833399</v>
      </c>
      <c r="J2897">
        <v>1.5366166957215499</v>
      </c>
      <c r="K2897">
        <v>1.3829903918945401</v>
      </c>
      <c r="L2897">
        <v>15000</v>
      </c>
      <c r="M2897">
        <v>231.74782899607101</v>
      </c>
      <c r="O2897">
        <v>64.720703764998106</v>
      </c>
      <c r="P2897">
        <v>0.41164580917643001</v>
      </c>
      <c r="Q2897">
        <v>1.4598447754234201</v>
      </c>
      <c r="R2897">
        <v>0.69693797795080503</v>
      </c>
      <c r="S2897" t="s">
        <v>9349</v>
      </c>
      <c r="T2897" t="s">
        <v>12902</v>
      </c>
      <c r="U2897" t="s">
        <v>12902</v>
      </c>
      <c r="V2897" t="s">
        <v>12902</v>
      </c>
      <c r="W2897" t="s">
        <v>15759</v>
      </c>
      <c r="X2897">
        <v>10</v>
      </c>
      <c r="Y2897" t="s">
        <v>22097</v>
      </c>
      <c r="Z2897" t="s">
        <v>28472</v>
      </c>
      <c r="AA2897">
        <v>1.080787196939974</v>
      </c>
      <c r="AB2897" t="str">
        <f>HYPERLINK("Melting_Curves/meltCurve_P62072_TIMM10.pdf", "Melting_Curves/meltCurve_P62072_TIMM10.pdf")</f>
        <v>Melting_Curves/meltCurve_P62072_TIMM10.pdf</v>
      </c>
    </row>
    <row r="2898" spans="1:28" x14ac:dyDescent="0.25">
      <c r="A2898" t="s">
        <v>2902</v>
      </c>
      <c r="B2898">
        <v>0.99673306730245903</v>
      </c>
      <c r="C2898">
        <v>1.0235548413861</v>
      </c>
      <c r="D2898">
        <v>0.969837590038928</v>
      </c>
      <c r="E2898">
        <v>0.85150560982536905</v>
      </c>
      <c r="F2898">
        <v>0.63324411077186704</v>
      </c>
      <c r="G2898">
        <v>0.315526249523498</v>
      </c>
      <c r="H2898">
        <v>0.12502666370041701</v>
      </c>
      <c r="I2898">
        <v>9.6113941553612706E-2</v>
      </c>
      <c r="J2898">
        <v>0.111209806663696</v>
      </c>
      <c r="K2898">
        <v>9.5146315105044302E-2</v>
      </c>
      <c r="L2898">
        <v>1158.92091014787</v>
      </c>
      <c r="M2898">
        <v>21.4644031589383</v>
      </c>
      <c r="N2898">
        <v>54.4165220084342</v>
      </c>
      <c r="O2898">
        <v>53.530596737550603</v>
      </c>
      <c r="P2898">
        <v>-9.2529616113268501E-2</v>
      </c>
      <c r="Q2898">
        <v>7.6975283518355295E-2</v>
      </c>
      <c r="R2898">
        <v>0.99764804870159696</v>
      </c>
      <c r="S2898" t="s">
        <v>9350</v>
      </c>
      <c r="T2898" t="s">
        <v>12902</v>
      </c>
      <c r="U2898" t="s">
        <v>12902</v>
      </c>
      <c r="V2898" t="s">
        <v>12902</v>
      </c>
      <c r="W2898" t="s">
        <v>15760</v>
      </c>
      <c r="X2898">
        <v>13</v>
      </c>
      <c r="Y2898" t="s">
        <v>22098</v>
      </c>
      <c r="Z2898" t="s">
        <v>28473</v>
      </c>
      <c r="AA2898">
        <v>0.5186614997935185</v>
      </c>
      <c r="AB2898" t="str">
        <f>HYPERLINK("Melting_Curves/meltCurve_P62081_RPS7.pdf", "Melting_Curves/meltCurve_P62081_RPS7.pdf")</f>
        <v>Melting_Curves/meltCurve_P62081_RPS7.pdf</v>
      </c>
    </row>
    <row r="2899" spans="1:28" x14ac:dyDescent="0.25">
      <c r="A2899" t="s">
        <v>2903</v>
      </c>
      <c r="B2899">
        <v>0.99673306730245903</v>
      </c>
      <c r="C2899">
        <v>0.99894289025789496</v>
      </c>
      <c r="D2899">
        <v>0.94520663273754701</v>
      </c>
      <c r="E2899">
        <v>0.88968651963341605</v>
      </c>
      <c r="F2899">
        <v>0.59515064469569401</v>
      </c>
      <c r="G2899">
        <v>0.385652814241362</v>
      </c>
      <c r="H2899">
        <v>0.14899373542591199</v>
      </c>
      <c r="I2899">
        <v>9.8505795797089998E-2</v>
      </c>
      <c r="J2899">
        <v>9.8358850797334904E-2</v>
      </c>
      <c r="K2899">
        <v>8.5874777678119296E-2</v>
      </c>
      <c r="L2899">
        <v>1017.03158428724</v>
      </c>
      <c r="M2899">
        <v>18.7172483615564</v>
      </c>
      <c r="N2899">
        <v>54.720114430036503</v>
      </c>
      <c r="O2899">
        <v>53.727755050731503</v>
      </c>
      <c r="P2899">
        <v>-8.17427843706824E-2</v>
      </c>
      <c r="Q2899">
        <v>6.1470905394975003E-2</v>
      </c>
      <c r="R2899">
        <v>0.99704004924273104</v>
      </c>
      <c r="S2899" t="s">
        <v>9351</v>
      </c>
      <c r="T2899" t="s">
        <v>12902</v>
      </c>
      <c r="U2899" t="s">
        <v>12902</v>
      </c>
      <c r="V2899" t="s">
        <v>12902</v>
      </c>
      <c r="W2899" t="s">
        <v>15761</v>
      </c>
      <c r="X2899">
        <v>22</v>
      </c>
      <c r="Y2899" t="s">
        <v>22099</v>
      </c>
      <c r="Z2899" t="s">
        <v>28474</v>
      </c>
      <c r="AA2899">
        <v>0.52402087432122935</v>
      </c>
      <c r="AB2899" t="str">
        <f>HYPERLINK("Melting_Curves/meltCurve_P62136_PPP1CA.pdf", "Melting_Curves/meltCurve_P62136_PPP1CA.pdf")</f>
        <v>Melting_Curves/meltCurve_P62136_PPP1CA.pdf</v>
      </c>
    </row>
    <row r="2900" spans="1:28" x14ac:dyDescent="0.25">
      <c r="A2900" t="s">
        <v>2904</v>
      </c>
      <c r="B2900">
        <v>0.99673306730245903</v>
      </c>
      <c r="C2900">
        <v>0.98395254306443802</v>
      </c>
      <c r="D2900">
        <v>0.93814375644836201</v>
      </c>
      <c r="E2900">
        <v>0.85772311095368103</v>
      </c>
      <c r="F2900">
        <v>0.62253929415522102</v>
      </c>
      <c r="G2900">
        <v>0.39176952277383198</v>
      </c>
      <c r="H2900">
        <v>0.19322856383859699</v>
      </c>
      <c r="I2900">
        <v>0.148562740268604</v>
      </c>
      <c r="J2900">
        <v>0.155503611107048</v>
      </c>
      <c r="K2900">
        <v>0.140002231344557</v>
      </c>
      <c r="L2900">
        <v>975.78075739166604</v>
      </c>
      <c r="M2900">
        <v>18.0479780509759</v>
      </c>
      <c r="N2900">
        <v>54.850958436034396</v>
      </c>
      <c r="O2900">
        <v>53.4152518588673</v>
      </c>
      <c r="P2900">
        <v>-7.4859456018790196E-2</v>
      </c>
      <c r="Q2900">
        <v>0.11381918717832799</v>
      </c>
      <c r="R2900">
        <v>0.99815478915633205</v>
      </c>
      <c r="S2900" t="s">
        <v>9352</v>
      </c>
      <c r="T2900" t="s">
        <v>12902</v>
      </c>
      <c r="U2900" t="s">
        <v>12902</v>
      </c>
      <c r="V2900" t="s">
        <v>12902</v>
      </c>
      <c r="W2900" t="s">
        <v>15762</v>
      </c>
      <c r="X2900">
        <v>20</v>
      </c>
      <c r="Y2900" t="s">
        <v>22100</v>
      </c>
      <c r="Z2900" t="s">
        <v>28475</v>
      </c>
      <c r="AA2900">
        <v>0.54341485413240065</v>
      </c>
      <c r="AB2900" t="str">
        <f>HYPERLINK("Melting_Curves/meltCurve_P62140_PPP1CB.pdf", "Melting_Curves/meltCurve_P62140_PPP1CB.pdf")</f>
        <v>Melting_Curves/meltCurve_P62140_PPP1CB.pdf</v>
      </c>
    </row>
    <row r="2901" spans="1:28" x14ac:dyDescent="0.25">
      <c r="A2901" t="s">
        <v>2905</v>
      </c>
      <c r="B2901">
        <v>0.99673306730245903</v>
      </c>
      <c r="C2901">
        <v>0.93502040070026904</v>
      </c>
      <c r="D2901">
        <v>1.01279550887758</v>
      </c>
      <c r="E2901">
        <v>1.07742059038727</v>
      </c>
      <c r="F2901">
        <v>0.81934235429616198</v>
      </c>
      <c r="G2901">
        <v>0.33293769705541498</v>
      </c>
      <c r="H2901">
        <v>0.111635103804997</v>
      </c>
      <c r="I2901">
        <v>9.6397227042376396E-2</v>
      </c>
      <c r="J2901">
        <v>0.10728293034655199</v>
      </c>
      <c r="K2901">
        <v>9.1768327311074899E-2</v>
      </c>
      <c r="L2901">
        <v>2167.5525535721899</v>
      </c>
      <c r="M2901">
        <v>39.242403099077798</v>
      </c>
      <c r="N2901">
        <v>55.535033273291901</v>
      </c>
      <c r="O2901">
        <v>55.092112274669603</v>
      </c>
      <c r="P2901">
        <v>-0.16106442063172799</v>
      </c>
      <c r="Q2901">
        <v>9.5533628441594895E-2</v>
      </c>
      <c r="R2901">
        <v>0.99283086945715904</v>
      </c>
      <c r="S2901" t="s">
        <v>9353</v>
      </c>
      <c r="T2901" t="s">
        <v>12902</v>
      </c>
      <c r="U2901" t="s">
        <v>12902</v>
      </c>
      <c r="V2901" t="s">
        <v>12902</v>
      </c>
      <c r="W2901" t="s">
        <v>15763</v>
      </c>
      <c r="X2901">
        <v>27</v>
      </c>
      <c r="Y2901" t="s">
        <v>22101</v>
      </c>
      <c r="Z2901" t="s">
        <v>28476</v>
      </c>
      <c r="AA2901">
        <v>0.55842218042304048</v>
      </c>
      <c r="AB2901" t="str">
        <f>HYPERLINK("Melting_Curves/meltCurve_P62191_PSMC1.pdf", "Melting_Curves/meltCurve_P62191_PSMC1.pdf")</f>
        <v>Melting_Curves/meltCurve_P62191_PSMC1.pdf</v>
      </c>
    </row>
    <row r="2902" spans="1:28" x14ac:dyDescent="0.25">
      <c r="A2902" t="s">
        <v>2906</v>
      </c>
      <c r="B2902">
        <v>0.99673306730245903</v>
      </c>
      <c r="C2902">
        <v>0.89782640671988001</v>
      </c>
      <c r="D2902">
        <v>1.0340678645500501</v>
      </c>
      <c r="E2902">
        <v>0.96082629077451598</v>
      </c>
      <c r="F2902">
        <v>0.87722764165858402</v>
      </c>
      <c r="G2902">
        <v>0.36244146163353202</v>
      </c>
      <c r="H2902">
        <v>9.2320635454711794E-2</v>
      </c>
      <c r="I2902">
        <v>6.9813066321991801E-2</v>
      </c>
      <c r="J2902">
        <v>7.0030773425961604E-2</v>
      </c>
      <c r="K2902">
        <v>6.1502030477540402E-2</v>
      </c>
      <c r="L2902">
        <v>2198.01418869488</v>
      </c>
      <c r="M2902">
        <v>39.454559382436102</v>
      </c>
      <c r="N2902">
        <v>55.902220905013898</v>
      </c>
      <c r="O2902">
        <v>55.5674775386153</v>
      </c>
      <c r="P2902">
        <v>-0.16624877999738699</v>
      </c>
      <c r="Q2902">
        <v>6.3428424416111601E-2</v>
      </c>
      <c r="R2902">
        <v>0.99283614483081395</v>
      </c>
      <c r="S2902" t="s">
        <v>9354</v>
      </c>
      <c r="T2902" t="s">
        <v>12902</v>
      </c>
      <c r="U2902" t="s">
        <v>12902</v>
      </c>
      <c r="V2902" t="s">
        <v>12902</v>
      </c>
      <c r="W2902" t="s">
        <v>15764</v>
      </c>
      <c r="X2902">
        <v>25</v>
      </c>
      <c r="Y2902" t="s">
        <v>22102</v>
      </c>
      <c r="Z2902" t="s">
        <v>28477</v>
      </c>
      <c r="AA2902">
        <v>0.55756559559796881</v>
      </c>
      <c r="AB2902" t="str">
        <f>HYPERLINK("Melting_Curves/meltCurve_P62195_2_PSMC5.pdf", "Melting_Curves/meltCurve_P62195_2_PSMC5.pdf")</f>
        <v>Melting_Curves/meltCurve_P62195_2_PSMC5.pdf</v>
      </c>
    </row>
    <row r="2903" spans="1:28" x14ac:dyDescent="0.25">
      <c r="A2903" t="s">
        <v>2907</v>
      </c>
      <c r="B2903">
        <v>0.99673306730245903</v>
      </c>
      <c r="C2903">
        <v>0.955096770223273</v>
      </c>
      <c r="D2903">
        <v>0.84323602316632895</v>
      </c>
      <c r="E2903">
        <v>0.85766726264190196</v>
      </c>
      <c r="F2903">
        <v>0.82358184747551899</v>
      </c>
      <c r="G2903">
        <v>0.52781982705985198</v>
      </c>
      <c r="H2903">
        <v>0.20455358185880801</v>
      </c>
      <c r="I2903">
        <v>0.135744351242225</v>
      </c>
      <c r="J2903">
        <v>0.161386008351561</v>
      </c>
      <c r="K2903">
        <v>0.136674464199982</v>
      </c>
      <c r="L2903">
        <v>1090.92141136236</v>
      </c>
      <c r="M2903">
        <v>19.411199009755101</v>
      </c>
      <c r="N2903">
        <v>56.792726410506603</v>
      </c>
      <c r="O2903">
        <v>55.6143466537509</v>
      </c>
      <c r="P2903">
        <v>-7.9267574672950897E-2</v>
      </c>
      <c r="Q2903">
        <v>9.1606257857601597E-2</v>
      </c>
      <c r="R2903">
        <v>0.96871867737301598</v>
      </c>
      <c r="S2903" t="s">
        <v>9355</v>
      </c>
      <c r="T2903" t="s">
        <v>12902</v>
      </c>
      <c r="U2903" t="s">
        <v>12902</v>
      </c>
      <c r="V2903" t="s">
        <v>12902</v>
      </c>
      <c r="W2903" t="s">
        <v>15765</v>
      </c>
      <c r="X2903">
        <v>12</v>
      </c>
      <c r="Y2903" t="s">
        <v>22103</v>
      </c>
      <c r="Z2903" t="s">
        <v>28478</v>
      </c>
      <c r="AA2903">
        <v>0.59421980164448074</v>
      </c>
      <c r="AB2903" t="str">
        <f>HYPERLINK("Melting_Curves/meltCurve_P62241_RPS8.pdf", "Melting_Curves/meltCurve_P62241_RPS8.pdf")</f>
        <v>Melting_Curves/meltCurve_P62241_RPS8.pdf</v>
      </c>
    </row>
    <row r="2904" spans="1:28" x14ac:dyDescent="0.25">
      <c r="A2904" t="s">
        <v>2908</v>
      </c>
      <c r="B2904">
        <v>0.99673306730245903</v>
      </c>
      <c r="C2904">
        <v>1.17889602044145</v>
      </c>
      <c r="D2904">
        <v>1.0779662383335999</v>
      </c>
      <c r="E2904">
        <v>1.3107028010116599</v>
      </c>
      <c r="F2904">
        <v>1.1003797965687301</v>
      </c>
      <c r="G2904">
        <v>0.70585250230188701</v>
      </c>
      <c r="H2904">
        <v>0.25521387298348902</v>
      </c>
      <c r="I2904">
        <v>0.12902939606768701</v>
      </c>
      <c r="J2904">
        <v>0.15792511583681401</v>
      </c>
      <c r="K2904">
        <v>0.14159785155455801</v>
      </c>
      <c r="L2904">
        <v>2752.4705130649199</v>
      </c>
      <c r="M2904">
        <v>47.710337630215498</v>
      </c>
      <c r="N2904">
        <v>58.125192425784498</v>
      </c>
      <c r="O2904">
        <v>57.590199043447299</v>
      </c>
      <c r="P2904">
        <v>-0.17608086669950099</v>
      </c>
      <c r="Q2904">
        <v>0.149826033133623</v>
      </c>
      <c r="R2904">
        <v>0.928915653665634</v>
      </c>
      <c r="S2904" t="s">
        <v>9356</v>
      </c>
      <c r="T2904" t="s">
        <v>12902</v>
      </c>
      <c r="U2904" t="s">
        <v>12902</v>
      </c>
      <c r="V2904" t="s">
        <v>12902</v>
      </c>
      <c r="W2904" t="s">
        <v>15766</v>
      </c>
      <c r="X2904">
        <v>8</v>
      </c>
      <c r="Y2904" t="s">
        <v>22104</v>
      </c>
      <c r="Z2904" t="s">
        <v>28479</v>
      </c>
      <c r="AA2904">
        <v>0.65354696966196812</v>
      </c>
      <c r="AB2904" t="str">
        <f>HYPERLINK("Melting_Curves/meltCurve_P62249_RPS16.pdf", "Melting_Curves/meltCurve_P62249_RPS16.pdf")</f>
        <v>Melting_Curves/meltCurve_P62249_RPS16.pdf</v>
      </c>
    </row>
    <row r="2905" spans="1:28" x14ac:dyDescent="0.25">
      <c r="A2905" t="s">
        <v>2909</v>
      </c>
      <c r="B2905">
        <v>0.99673306730245903</v>
      </c>
      <c r="C2905">
        <v>0.99955066127671299</v>
      </c>
      <c r="D2905">
        <v>1.20158935854664</v>
      </c>
      <c r="E2905">
        <v>0.85573737478963596</v>
      </c>
      <c r="F2905">
        <v>0.28932220822390098</v>
      </c>
      <c r="G2905">
        <v>0.130090740855273</v>
      </c>
      <c r="H2905">
        <v>7.8969653301905599E-2</v>
      </c>
      <c r="I2905">
        <v>8.1791139564721699E-2</v>
      </c>
      <c r="J2905">
        <v>0.110147657879284</v>
      </c>
      <c r="K2905">
        <v>0.102688794697464</v>
      </c>
      <c r="L2905">
        <v>2287.17789779859</v>
      </c>
      <c r="M2905">
        <v>44.327633622763102</v>
      </c>
      <c r="N2905">
        <v>51.851495841161203</v>
      </c>
      <c r="O2905">
        <v>51.492432202363403</v>
      </c>
      <c r="P2905">
        <v>-0.19418395169330499</v>
      </c>
      <c r="Q2905">
        <v>9.7719472181968803E-2</v>
      </c>
      <c r="R2905">
        <v>0.97767745998071398</v>
      </c>
      <c r="S2905" t="s">
        <v>9357</v>
      </c>
      <c r="T2905" t="s">
        <v>12902</v>
      </c>
      <c r="U2905" t="s">
        <v>12902</v>
      </c>
      <c r="V2905" t="s">
        <v>12902</v>
      </c>
      <c r="W2905" t="s">
        <v>15767</v>
      </c>
      <c r="X2905">
        <v>2</v>
      </c>
      <c r="Y2905" t="s">
        <v>22105</v>
      </c>
      <c r="Z2905" t="s">
        <v>28480</v>
      </c>
      <c r="AA2905">
        <v>0.44913067167155762</v>
      </c>
      <c r="AB2905" t="str">
        <f>HYPERLINK("Melting_Curves/meltCurve_P62253_UBE2G1.pdf", "Melting_Curves/meltCurve_P62253_UBE2G1.pdf")</f>
        <v>Melting_Curves/meltCurve_P62253_UBE2G1.pdf</v>
      </c>
    </row>
    <row r="2906" spans="1:28" x14ac:dyDescent="0.25">
      <c r="A2906" t="s">
        <v>2910</v>
      </c>
      <c r="B2906">
        <v>0.99673306730245903</v>
      </c>
      <c r="C2906">
        <v>0.96684665578490503</v>
      </c>
      <c r="D2906">
        <v>0.96537936202876196</v>
      </c>
      <c r="E2906">
        <v>1.0016916181682101</v>
      </c>
      <c r="F2906">
        <v>0.89348331202187004</v>
      </c>
      <c r="G2906">
        <v>0.70545817998556004</v>
      </c>
      <c r="H2906">
        <v>0.21842675425428801</v>
      </c>
      <c r="I2906">
        <v>0.12998474087784601</v>
      </c>
      <c r="J2906">
        <v>8.7904167402138397E-2</v>
      </c>
      <c r="K2906">
        <v>6.7478734018099396E-2</v>
      </c>
      <c r="L2906">
        <v>1794.30484613064</v>
      </c>
      <c r="M2906">
        <v>30.9528214236216</v>
      </c>
      <c r="N2906">
        <v>58.242447599288397</v>
      </c>
      <c r="O2906">
        <v>57.728674062136299</v>
      </c>
      <c r="P2906">
        <v>-0.1249804668117</v>
      </c>
      <c r="Q2906">
        <v>6.76242651625477E-2</v>
      </c>
      <c r="R2906">
        <v>0.99571834037343998</v>
      </c>
      <c r="S2906" t="s">
        <v>9358</v>
      </c>
      <c r="T2906" t="s">
        <v>12902</v>
      </c>
      <c r="U2906" t="s">
        <v>12902</v>
      </c>
      <c r="V2906" t="s">
        <v>12902</v>
      </c>
      <c r="W2906" t="s">
        <v>15768</v>
      </c>
      <c r="X2906">
        <v>30</v>
      </c>
      <c r="Y2906" t="s">
        <v>22106</v>
      </c>
      <c r="Z2906" t="s">
        <v>28481</v>
      </c>
      <c r="AA2906">
        <v>0.63191462736636594</v>
      </c>
      <c r="AB2906" t="str">
        <f>HYPERLINK("Melting_Curves/meltCurve_P62258_YWHAE.pdf", "Melting_Curves/meltCurve_P62258_YWHAE.pdf")</f>
        <v>Melting_Curves/meltCurve_P62258_YWHAE.pdf</v>
      </c>
    </row>
    <row r="2907" spans="1:28" x14ac:dyDescent="0.25">
      <c r="A2907" t="s">
        <v>2911</v>
      </c>
      <c r="B2907">
        <v>0.99673306730245903</v>
      </c>
      <c r="C2907">
        <v>0.956728668294891</v>
      </c>
      <c r="D2907">
        <v>0.99562916360589604</v>
      </c>
      <c r="E2907">
        <v>0.77913091717487204</v>
      </c>
      <c r="F2907">
        <v>0.91077330640555898</v>
      </c>
      <c r="G2907">
        <v>0.45093836134047599</v>
      </c>
      <c r="H2907">
        <v>0.22882818553307999</v>
      </c>
      <c r="I2907">
        <v>0.206936959085954</v>
      </c>
      <c r="J2907">
        <v>0.24141484101878899</v>
      </c>
      <c r="K2907">
        <v>0.20890888072818001</v>
      </c>
      <c r="L2907">
        <v>2094.5538634173499</v>
      </c>
      <c r="M2907">
        <v>37.666327385649602</v>
      </c>
      <c r="N2907">
        <v>56.4334357109515</v>
      </c>
      <c r="O2907">
        <v>55.452078052585101</v>
      </c>
      <c r="P2907">
        <v>-0.133853283886362</v>
      </c>
      <c r="Q2907">
        <v>0.211770967615411</v>
      </c>
      <c r="R2907">
        <v>0.95768823645985102</v>
      </c>
      <c r="S2907" t="s">
        <v>9359</v>
      </c>
      <c r="T2907" t="s">
        <v>12902</v>
      </c>
      <c r="U2907" t="s">
        <v>12902</v>
      </c>
      <c r="V2907" t="s">
        <v>12902</v>
      </c>
      <c r="W2907" t="s">
        <v>15769</v>
      </c>
      <c r="X2907">
        <v>10</v>
      </c>
      <c r="Y2907" t="s">
        <v>22107</v>
      </c>
      <c r="Z2907" t="s">
        <v>28482</v>
      </c>
      <c r="AA2907">
        <v>0.62525669028745179</v>
      </c>
      <c r="AB2907" t="str">
        <f>HYPERLINK("Melting_Curves/meltCurve_P62263_RPS14.pdf", "Melting_Curves/meltCurve_P62263_RPS14.pdf")</f>
        <v>Melting_Curves/meltCurve_P62263_RPS14.pdf</v>
      </c>
    </row>
    <row r="2908" spans="1:28" x14ac:dyDescent="0.25">
      <c r="A2908" t="s">
        <v>2912</v>
      </c>
      <c r="B2908">
        <v>0.99673306730245903</v>
      </c>
      <c r="C2908">
        <v>0.96011274780125699</v>
      </c>
      <c r="D2908">
        <v>1.0110445391943299</v>
      </c>
      <c r="E2908">
        <v>0.76546439195098204</v>
      </c>
      <c r="F2908">
        <v>0.56277528705943602</v>
      </c>
      <c r="G2908">
        <v>0.30938821742387401</v>
      </c>
      <c r="H2908">
        <v>0.13632872693840001</v>
      </c>
      <c r="I2908">
        <v>0.115608959897263</v>
      </c>
      <c r="J2908">
        <v>0.13131563455720499</v>
      </c>
      <c r="K2908">
        <v>0.10854636174616999</v>
      </c>
      <c r="L2908">
        <v>997.87161209100202</v>
      </c>
      <c r="M2908">
        <v>18.782804671475802</v>
      </c>
      <c r="N2908">
        <v>53.704733359554098</v>
      </c>
      <c r="O2908">
        <v>52.535652276633002</v>
      </c>
      <c r="P2908">
        <v>-8.12067025608115E-2</v>
      </c>
      <c r="Q2908">
        <v>9.1494730179456099E-2</v>
      </c>
      <c r="R2908">
        <v>0.99379648670878395</v>
      </c>
      <c r="S2908" t="s">
        <v>9360</v>
      </c>
      <c r="T2908" t="s">
        <v>12902</v>
      </c>
      <c r="U2908" t="s">
        <v>12902</v>
      </c>
      <c r="V2908" t="s">
        <v>12902</v>
      </c>
      <c r="W2908" t="s">
        <v>15770</v>
      </c>
      <c r="X2908">
        <v>6</v>
      </c>
      <c r="Y2908" t="s">
        <v>22108</v>
      </c>
      <c r="Z2908" t="s">
        <v>28483</v>
      </c>
      <c r="AA2908">
        <v>0.50287849218068859</v>
      </c>
      <c r="AB2908" t="str">
        <f>HYPERLINK("Melting_Curves/meltCurve_P62266_RPS23.pdf", "Melting_Curves/meltCurve_P62266_RPS23.pdf")</f>
        <v>Melting_Curves/meltCurve_P62266_RPS23.pdf</v>
      </c>
    </row>
    <row r="2909" spans="1:28" x14ac:dyDescent="0.25">
      <c r="A2909" t="s">
        <v>2913</v>
      </c>
      <c r="B2909">
        <v>0.99673306730245903</v>
      </c>
      <c r="C2909">
        <v>1.1564063800426201</v>
      </c>
      <c r="D2909">
        <v>1.0109317572899099</v>
      </c>
      <c r="E2909">
        <v>1.1468225824486</v>
      </c>
      <c r="F2909">
        <v>0.89880600685612499</v>
      </c>
      <c r="G2909">
        <v>0.480769174755382</v>
      </c>
      <c r="H2909">
        <v>0.194356417658157</v>
      </c>
      <c r="I2909">
        <v>0.17026437219572299</v>
      </c>
      <c r="J2909">
        <v>0.19748539487949901</v>
      </c>
      <c r="K2909">
        <v>0.17810218374817599</v>
      </c>
      <c r="L2909">
        <v>2353.11499977841</v>
      </c>
      <c r="M2909">
        <v>42.003316516449203</v>
      </c>
      <c r="N2909">
        <v>56.612447618105897</v>
      </c>
      <c r="O2909">
        <v>55.895598938821102</v>
      </c>
      <c r="P2909">
        <v>-0.154550642520458</v>
      </c>
      <c r="Q2909">
        <v>0.17733312948456101</v>
      </c>
      <c r="R2909">
        <v>0.97169963538558002</v>
      </c>
      <c r="S2909" t="s">
        <v>9361</v>
      </c>
      <c r="T2909" t="s">
        <v>12902</v>
      </c>
      <c r="U2909" t="s">
        <v>12902</v>
      </c>
      <c r="V2909" t="s">
        <v>12902</v>
      </c>
      <c r="W2909" t="s">
        <v>15771</v>
      </c>
      <c r="X2909">
        <v>9</v>
      </c>
      <c r="Y2909" t="s">
        <v>22109</v>
      </c>
      <c r="Z2909" t="s">
        <v>28484</v>
      </c>
      <c r="AA2909">
        <v>0.61956913502969824</v>
      </c>
      <c r="AB2909" t="str">
        <f>HYPERLINK("Melting_Curves/meltCurve_P62269_RPS18.pdf", "Melting_Curves/meltCurve_P62269_RPS18.pdf")</f>
        <v>Melting_Curves/meltCurve_P62269_RPS18.pdf</v>
      </c>
    </row>
    <row r="2910" spans="1:28" x14ac:dyDescent="0.25">
      <c r="A2910" t="s">
        <v>2914</v>
      </c>
      <c r="B2910">
        <v>0.99673306730245903</v>
      </c>
      <c r="C2910">
        <v>1.0953094772138301</v>
      </c>
      <c r="D2910">
        <v>1.04981247881336</v>
      </c>
      <c r="E2910">
        <v>1.1774802018405801</v>
      </c>
      <c r="F2910">
        <v>0.83997242512605896</v>
      </c>
      <c r="G2910">
        <v>0.39201851599619703</v>
      </c>
      <c r="H2910">
        <v>0.187873455114658</v>
      </c>
      <c r="I2910">
        <v>0.16958990850071201</v>
      </c>
      <c r="J2910">
        <v>0.19343751113309601</v>
      </c>
      <c r="K2910">
        <v>0.22124096941261101</v>
      </c>
      <c r="L2910">
        <v>2361.60942956797</v>
      </c>
      <c r="M2910">
        <v>42.777428481506398</v>
      </c>
      <c r="N2910">
        <v>55.833258797629398</v>
      </c>
      <c r="O2910">
        <v>55.086667090358901</v>
      </c>
      <c r="P2910">
        <v>-0.15714075137932201</v>
      </c>
      <c r="Q2910">
        <v>0.19056879613971101</v>
      </c>
      <c r="R2910">
        <v>0.97160788373554496</v>
      </c>
      <c r="S2910" t="s">
        <v>9362</v>
      </c>
      <c r="T2910" t="s">
        <v>12902</v>
      </c>
      <c r="U2910" t="s">
        <v>12902</v>
      </c>
      <c r="V2910" t="s">
        <v>12902</v>
      </c>
      <c r="W2910" t="s">
        <v>15772</v>
      </c>
      <c r="X2910">
        <v>4</v>
      </c>
      <c r="Y2910" t="s">
        <v>22110</v>
      </c>
      <c r="Z2910" t="s">
        <v>28485</v>
      </c>
      <c r="AA2910">
        <v>0.60355836099439364</v>
      </c>
      <c r="AB2910" t="str">
        <f>HYPERLINK("Melting_Curves/meltCurve_P62273_RPS29.pdf", "Melting_Curves/meltCurve_P62273_RPS29.pdf")</f>
        <v>Melting_Curves/meltCurve_P62273_RPS29.pdf</v>
      </c>
    </row>
    <row r="2911" spans="1:28" x14ac:dyDescent="0.25">
      <c r="A2911" t="s">
        <v>2915</v>
      </c>
      <c r="B2911">
        <v>0.99673306730245903</v>
      </c>
      <c r="C2911">
        <v>1.0954403766897001</v>
      </c>
      <c r="D2911">
        <v>1.0494532662837099</v>
      </c>
      <c r="E2911">
        <v>1.2449192602210499</v>
      </c>
      <c r="F2911">
        <v>0.98642007194111903</v>
      </c>
      <c r="G2911">
        <v>0.64666090750153504</v>
      </c>
      <c r="H2911">
        <v>0.164873413355001</v>
      </c>
      <c r="I2911">
        <v>9.5475671286339395E-2</v>
      </c>
      <c r="J2911">
        <v>0.106093645511836</v>
      </c>
      <c r="K2911">
        <v>8.25816052134975E-2</v>
      </c>
      <c r="L2911">
        <v>2690.2233720240702</v>
      </c>
      <c r="M2911">
        <v>46.898176012573103</v>
      </c>
      <c r="N2911">
        <v>57.621500395833003</v>
      </c>
      <c r="O2911">
        <v>57.259062565963397</v>
      </c>
      <c r="P2911">
        <v>-0.18534275068081299</v>
      </c>
      <c r="Q2911">
        <v>9.4844074449722995E-2</v>
      </c>
      <c r="R2911">
        <v>0.96564702941773295</v>
      </c>
      <c r="S2911" t="s">
        <v>9363</v>
      </c>
      <c r="T2911" t="s">
        <v>12902</v>
      </c>
      <c r="U2911" t="s">
        <v>12902</v>
      </c>
      <c r="V2911" t="s">
        <v>12902</v>
      </c>
      <c r="W2911" t="s">
        <v>15773</v>
      </c>
      <c r="X2911">
        <v>6</v>
      </c>
      <c r="Y2911" t="s">
        <v>22111</v>
      </c>
      <c r="Z2911" t="s">
        <v>28486</v>
      </c>
      <c r="AA2911">
        <v>0.62131337581286916</v>
      </c>
      <c r="AB2911" t="str">
        <f>HYPERLINK("Melting_Curves/meltCurve_P62277_RPS13.pdf", "Melting_Curves/meltCurve_P62277_RPS13.pdf")</f>
        <v>Melting_Curves/meltCurve_P62277_RPS13.pdf</v>
      </c>
    </row>
    <row r="2912" spans="1:28" x14ac:dyDescent="0.25">
      <c r="A2912" t="s">
        <v>2916</v>
      </c>
      <c r="B2912">
        <v>0.99673306730245903</v>
      </c>
      <c r="C2912">
        <v>0.99638507957129396</v>
      </c>
      <c r="D2912">
        <v>0.94238839603021796</v>
      </c>
      <c r="E2912">
        <v>1.0494044165566101</v>
      </c>
      <c r="F2912">
        <v>0.98407332536282699</v>
      </c>
      <c r="G2912">
        <v>0.54177385790319099</v>
      </c>
      <c r="H2912">
        <v>0.17633963929704599</v>
      </c>
      <c r="I2912">
        <v>0.124391150298819</v>
      </c>
      <c r="J2912">
        <v>0.116911871381372</v>
      </c>
      <c r="K2912">
        <v>9.7569712321925406E-2</v>
      </c>
      <c r="L2912">
        <v>2699.1846178269502</v>
      </c>
      <c r="M2912">
        <v>47.567667811835797</v>
      </c>
      <c r="N2912">
        <v>57.066659513243302</v>
      </c>
      <c r="O2912">
        <v>56.644067484656702</v>
      </c>
      <c r="P2912">
        <v>-0.18519439210896901</v>
      </c>
      <c r="Q2912">
        <v>0.11787511781792499</v>
      </c>
      <c r="R2912">
        <v>0.99566605562041</v>
      </c>
      <c r="S2912" t="s">
        <v>9364</v>
      </c>
      <c r="T2912" t="s">
        <v>12902</v>
      </c>
      <c r="U2912" t="s">
        <v>12902</v>
      </c>
      <c r="V2912" t="s">
        <v>12902</v>
      </c>
      <c r="W2912" t="s">
        <v>15774</v>
      </c>
      <c r="X2912">
        <v>11</v>
      </c>
      <c r="Y2912" t="s">
        <v>22112</v>
      </c>
      <c r="Z2912" t="s">
        <v>28487</v>
      </c>
      <c r="AA2912">
        <v>0.61265551682135966</v>
      </c>
      <c r="AB2912" t="str">
        <f>HYPERLINK("Melting_Curves/meltCurve_P62280_RPS11.pdf", "Melting_Curves/meltCurve_P62280_RPS11.pdf")</f>
        <v>Melting_Curves/meltCurve_P62280_RPS11.pdf</v>
      </c>
    </row>
    <row r="2913" spans="1:28" x14ac:dyDescent="0.25">
      <c r="A2913" t="s">
        <v>2917</v>
      </c>
      <c r="B2913">
        <v>0.99673306730245903</v>
      </c>
      <c r="C2913">
        <v>0.97949966858404902</v>
      </c>
      <c r="D2913">
        <v>1.0557918221292</v>
      </c>
      <c r="E2913">
        <v>1.1377731752987199</v>
      </c>
      <c r="F2913">
        <v>1.1203347225063101</v>
      </c>
      <c r="G2913">
        <v>0.93155307427121503</v>
      </c>
      <c r="H2913">
        <v>0.68768028359857403</v>
      </c>
      <c r="I2913">
        <v>0.75887292113089999</v>
      </c>
      <c r="J2913">
        <v>0.69368118396064804</v>
      </c>
      <c r="K2913">
        <v>0.33558601683973799</v>
      </c>
      <c r="L2913">
        <v>939.21942576466301</v>
      </c>
      <c r="M2913">
        <v>13.729625006645801</v>
      </c>
      <c r="N2913">
        <v>68.408236257539201</v>
      </c>
      <c r="O2913">
        <v>67.005947520829196</v>
      </c>
      <c r="P2913">
        <v>-5.1232705208588802E-2</v>
      </c>
      <c r="Q2913">
        <v>0</v>
      </c>
      <c r="R2913">
        <v>0.83175299639745104</v>
      </c>
      <c r="S2913" t="s">
        <v>9365</v>
      </c>
      <c r="T2913" t="s">
        <v>12902</v>
      </c>
      <c r="U2913" t="s">
        <v>12902</v>
      </c>
      <c r="V2913" t="s">
        <v>12902</v>
      </c>
      <c r="W2913" t="s">
        <v>15775</v>
      </c>
      <c r="X2913">
        <v>4</v>
      </c>
      <c r="Y2913" t="s">
        <v>22113</v>
      </c>
      <c r="Z2913" t="s">
        <v>28488</v>
      </c>
      <c r="AA2913">
        <v>0.87248260119352217</v>
      </c>
      <c r="AB2913" t="str">
        <f>HYPERLINK("Melting_Curves/meltCurve_P62304_SNRPE.pdf", "Melting_Curves/meltCurve_P62304_SNRPE.pdf")</f>
        <v>Melting_Curves/meltCurve_P62304_SNRPE.pdf</v>
      </c>
    </row>
    <row r="2914" spans="1:28" x14ac:dyDescent="0.25">
      <c r="A2914" t="s">
        <v>2918</v>
      </c>
      <c r="B2914">
        <v>0.99673306730245903</v>
      </c>
      <c r="C2914">
        <v>1.03839143021094</v>
      </c>
      <c r="D2914">
        <v>1.06531040348756</v>
      </c>
      <c r="E2914">
        <v>1.2127554929162001</v>
      </c>
      <c r="F2914">
        <v>0.99089736936680906</v>
      </c>
      <c r="G2914">
        <v>1.0044465858102301</v>
      </c>
      <c r="H2914">
        <v>0.78294180749680098</v>
      </c>
      <c r="I2914">
        <v>0.90524290203187396</v>
      </c>
      <c r="J2914">
        <v>0.92464603918421595</v>
      </c>
      <c r="K2914">
        <v>0.45766872316529</v>
      </c>
      <c r="L2914">
        <v>4001.8690809988402</v>
      </c>
      <c r="M2914">
        <v>57.328264481226597</v>
      </c>
      <c r="N2914">
        <v>69.806213753015399</v>
      </c>
      <c r="O2914">
        <v>69.721426377240903</v>
      </c>
      <c r="P2914">
        <v>-0.20556196500983701</v>
      </c>
      <c r="Q2914">
        <v>0</v>
      </c>
      <c r="R2914">
        <v>0.71139077882602897</v>
      </c>
      <c r="S2914" t="s">
        <v>9366</v>
      </c>
      <c r="T2914" t="s">
        <v>12902</v>
      </c>
      <c r="U2914" t="s">
        <v>12902</v>
      </c>
      <c r="V2914" t="s">
        <v>12902</v>
      </c>
      <c r="W2914" t="s">
        <v>15776</v>
      </c>
      <c r="X2914">
        <v>2</v>
      </c>
      <c r="Y2914" t="s">
        <v>22114</v>
      </c>
      <c r="Z2914" t="s">
        <v>28489</v>
      </c>
      <c r="AA2914">
        <v>0.96961054082152409</v>
      </c>
      <c r="AB2914" t="str">
        <f>HYPERLINK("Melting_Curves/meltCurve_P62306_SNRPF.pdf", "Melting_Curves/meltCurve_P62306_SNRPF.pdf")</f>
        <v>Melting_Curves/meltCurve_P62306_SNRPF.pdf</v>
      </c>
    </row>
    <row r="2915" spans="1:28" x14ac:dyDescent="0.25">
      <c r="A2915" t="s">
        <v>2919</v>
      </c>
      <c r="B2915">
        <v>0.99673306730245903</v>
      </c>
      <c r="C2915">
        <v>0.97283033920776396</v>
      </c>
      <c r="D2915">
        <v>1.0967038268581599</v>
      </c>
      <c r="E2915">
        <v>1.1920209975674201</v>
      </c>
      <c r="F2915">
        <v>1.1469248531190299</v>
      </c>
      <c r="G2915">
        <v>1.0213115012963701</v>
      </c>
      <c r="H2915">
        <v>0.70769395769397603</v>
      </c>
      <c r="I2915">
        <v>0.84140376576486298</v>
      </c>
      <c r="J2915">
        <v>0.86759846433743704</v>
      </c>
      <c r="K2915">
        <v>0.47847063418736402</v>
      </c>
      <c r="L2915">
        <v>1013.36270115114</v>
      </c>
      <c r="M2915">
        <v>14.2161894971621</v>
      </c>
      <c r="O2915">
        <v>69.916307788443007</v>
      </c>
      <c r="P2915">
        <v>-5.0839216472729903E-2</v>
      </c>
      <c r="Q2915">
        <v>0</v>
      </c>
      <c r="R2915">
        <v>0.64004803762491802</v>
      </c>
      <c r="S2915" t="s">
        <v>9367</v>
      </c>
      <c r="T2915" t="s">
        <v>12902</v>
      </c>
      <c r="U2915" t="s">
        <v>12902</v>
      </c>
      <c r="V2915" t="s">
        <v>12902</v>
      </c>
      <c r="W2915" t="s">
        <v>15777</v>
      </c>
      <c r="X2915">
        <v>6</v>
      </c>
      <c r="Y2915" t="s">
        <v>22115</v>
      </c>
      <c r="Z2915" t="s">
        <v>28490</v>
      </c>
      <c r="AA2915">
        <v>0.91999077548273089</v>
      </c>
      <c r="AB2915" t="str">
        <f>HYPERLINK("Melting_Curves/meltCurve_P62308_SNRPG.pdf", "Melting_Curves/meltCurve_P62308_SNRPG.pdf")</f>
        <v>Melting_Curves/meltCurve_P62308_SNRPG.pdf</v>
      </c>
    </row>
    <row r="2916" spans="1:28" x14ac:dyDescent="0.25">
      <c r="A2916" t="s">
        <v>2920</v>
      </c>
      <c r="B2916">
        <v>0.99673306730245903</v>
      </c>
      <c r="C2916">
        <v>1.0584243875958901</v>
      </c>
      <c r="D2916">
        <v>1.0812869307551101</v>
      </c>
      <c r="E2916">
        <v>1.16294875669709</v>
      </c>
      <c r="F2916">
        <v>1.1599349491078601</v>
      </c>
      <c r="G2916">
        <v>1.00122656242013</v>
      </c>
      <c r="H2916">
        <v>0.79159901471452998</v>
      </c>
      <c r="I2916">
        <v>1.0064708237178801</v>
      </c>
      <c r="J2916">
        <v>1.45711805343826</v>
      </c>
      <c r="K2916">
        <v>1.2338781714936999</v>
      </c>
      <c r="L2916">
        <v>15000</v>
      </c>
      <c r="M2916">
        <v>230.802353976256</v>
      </c>
      <c r="O2916">
        <v>64.985793553116693</v>
      </c>
      <c r="P2916">
        <v>0.30680345564242101</v>
      </c>
      <c r="Q2916">
        <v>1.34554007289809</v>
      </c>
      <c r="R2916">
        <v>0.53217587273735401</v>
      </c>
      <c r="S2916" t="s">
        <v>9368</v>
      </c>
      <c r="T2916" t="s">
        <v>12902</v>
      </c>
      <c r="U2916" t="s">
        <v>12902</v>
      </c>
      <c r="V2916" t="s">
        <v>12902</v>
      </c>
      <c r="W2916" t="s">
        <v>15778</v>
      </c>
      <c r="X2916">
        <v>5</v>
      </c>
      <c r="Y2916" t="s">
        <v>22116</v>
      </c>
      <c r="Z2916" t="s">
        <v>28491</v>
      </c>
      <c r="AA2916">
        <v>1.0576512142826631</v>
      </c>
      <c r="AB2916" t="str">
        <f>HYPERLINK("Melting_Curves/meltCurve_P62310_LSM3.pdf", "Melting_Curves/meltCurve_P62310_LSM3.pdf")</f>
        <v>Melting_Curves/meltCurve_P62310_LSM3.pdf</v>
      </c>
    </row>
    <row r="2917" spans="1:28" x14ac:dyDescent="0.25">
      <c r="A2917" t="s">
        <v>2921</v>
      </c>
      <c r="B2917">
        <v>0.99673306730245903</v>
      </c>
      <c r="C2917">
        <v>1.03678040797612</v>
      </c>
      <c r="D2917">
        <v>1.1794908503518</v>
      </c>
      <c r="E2917">
        <v>1.4285693777933399</v>
      </c>
      <c r="F2917">
        <v>1.3494879670422599</v>
      </c>
      <c r="G2917">
        <v>1.2982093980451199</v>
      </c>
      <c r="H2917">
        <v>1.19927843878249</v>
      </c>
      <c r="I2917">
        <v>1.6331485253095399</v>
      </c>
      <c r="J2917">
        <v>2.15738464569709</v>
      </c>
      <c r="K2917">
        <v>1.8300638477140401</v>
      </c>
      <c r="L2917">
        <v>768.70116302940505</v>
      </c>
      <c r="M2917">
        <v>16.122646040871199</v>
      </c>
      <c r="O2917">
        <v>46.962945447247002</v>
      </c>
      <c r="P2917">
        <v>4.2916477296377799E-2</v>
      </c>
      <c r="Q2917">
        <v>1.5</v>
      </c>
      <c r="R2917">
        <v>0.42417830653183197</v>
      </c>
      <c r="S2917" t="s">
        <v>9369</v>
      </c>
      <c r="T2917" t="s">
        <v>12902</v>
      </c>
      <c r="U2917" t="s">
        <v>12902</v>
      </c>
      <c r="V2917" t="s">
        <v>12902</v>
      </c>
      <c r="W2917" t="s">
        <v>15779</v>
      </c>
      <c r="X2917">
        <v>8</v>
      </c>
      <c r="Y2917" t="s">
        <v>22117</v>
      </c>
      <c r="Z2917" t="s">
        <v>28492</v>
      </c>
      <c r="AA2917">
        <v>1.3607401848683951</v>
      </c>
      <c r="AB2917" t="str">
        <f>HYPERLINK("Melting_Curves/meltCurve_P62312_LSM6.pdf", "Melting_Curves/meltCurve_P62312_LSM6.pdf")</f>
        <v>Melting_Curves/meltCurve_P62312_LSM6.pdf</v>
      </c>
    </row>
    <row r="2918" spans="1:28" x14ac:dyDescent="0.25">
      <c r="A2918" t="s">
        <v>2922</v>
      </c>
      <c r="B2918">
        <v>0.99673306730245903</v>
      </c>
      <c r="C2918">
        <v>0.96260756132213399</v>
      </c>
      <c r="D2918">
        <v>1.0294290115193701</v>
      </c>
      <c r="E2918">
        <v>1.19660952588673</v>
      </c>
      <c r="F2918">
        <v>1.13147413426704</v>
      </c>
      <c r="G2918">
        <v>0.94537628868663903</v>
      </c>
      <c r="H2918">
        <v>0.76308802245684104</v>
      </c>
      <c r="I2918">
        <v>0.92484933525389401</v>
      </c>
      <c r="J2918">
        <v>0.76005769178192095</v>
      </c>
      <c r="K2918">
        <v>0.37985135580602802</v>
      </c>
      <c r="L2918">
        <v>1908.9942219918901</v>
      </c>
      <c r="M2918">
        <v>27.5974077135361</v>
      </c>
      <c r="N2918">
        <v>69.172955047532298</v>
      </c>
      <c r="O2918">
        <v>68.812787154210199</v>
      </c>
      <c r="P2918">
        <v>-0.100263524218124</v>
      </c>
      <c r="Q2918">
        <v>0</v>
      </c>
      <c r="R2918">
        <v>0.76622612350156905</v>
      </c>
      <c r="S2918" t="s">
        <v>9370</v>
      </c>
      <c r="T2918" t="s">
        <v>12902</v>
      </c>
      <c r="U2918" t="s">
        <v>12902</v>
      </c>
      <c r="V2918" t="s">
        <v>12902</v>
      </c>
      <c r="W2918" t="s">
        <v>15780</v>
      </c>
      <c r="X2918">
        <v>4</v>
      </c>
      <c r="Y2918" t="s">
        <v>22118</v>
      </c>
      <c r="Z2918" t="s">
        <v>28493</v>
      </c>
      <c r="AA2918">
        <v>0.93164340859382988</v>
      </c>
      <c r="AB2918" t="str">
        <f>HYPERLINK("Melting_Curves/meltCurve_P62314_SNRPD1.pdf", "Melting_Curves/meltCurve_P62314_SNRPD1.pdf")</f>
        <v>Melting_Curves/meltCurve_P62314_SNRPD1.pdf</v>
      </c>
    </row>
    <row r="2919" spans="1:28" x14ac:dyDescent="0.25">
      <c r="A2919" t="s">
        <v>2923</v>
      </c>
      <c r="B2919">
        <v>0.99673306730245903</v>
      </c>
      <c r="C2919">
        <v>0.97102233559806195</v>
      </c>
      <c r="D2919">
        <v>1.0226597364002901</v>
      </c>
      <c r="E2919">
        <v>1.09509756544516</v>
      </c>
      <c r="F2919">
        <v>1.0071691175494699</v>
      </c>
      <c r="G2919">
        <v>0.79734841561530501</v>
      </c>
      <c r="H2919">
        <v>0.61513472709573802</v>
      </c>
      <c r="I2919">
        <v>0.727632060665791</v>
      </c>
      <c r="J2919">
        <v>0.63787673139948997</v>
      </c>
      <c r="K2919">
        <v>0.35981456771292503</v>
      </c>
      <c r="L2919">
        <v>644.90344120900602</v>
      </c>
      <c r="M2919">
        <v>9.4740414905862007</v>
      </c>
      <c r="N2919">
        <v>68.070573775437495</v>
      </c>
      <c r="O2919">
        <v>65.244685420061202</v>
      </c>
      <c r="P2919">
        <v>-3.6323663270322798E-2</v>
      </c>
      <c r="Q2919">
        <v>0</v>
      </c>
      <c r="R2919">
        <v>0.85985610706492999</v>
      </c>
      <c r="S2919" t="s">
        <v>9371</v>
      </c>
      <c r="T2919" t="s">
        <v>12902</v>
      </c>
      <c r="U2919" t="s">
        <v>12902</v>
      </c>
      <c r="V2919" t="s">
        <v>12902</v>
      </c>
      <c r="W2919" t="s">
        <v>15781</v>
      </c>
      <c r="X2919">
        <v>17</v>
      </c>
      <c r="Y2919" t="s">
        <v>22119</v>
      </c>
      <c r="Z2919" t="s">
        <v>28494</v>
      </c>
      <c r="AA2919">
        <v>0.83120862171492993</v>
      </c>
      <c r="AB2919" t="str">
        <f>HYPERLINK("Melting_Curves/meltCurve_P62316_SNRPD2.pdf", "Melting_Curves/meltCurve_P62316_SNRPD2.pdf")</f>
        <v>Melting_Curves/meltCurve_P62316_SNRPD2.pdf</v>
      </c>
    </row>
    <row r="2920" spans="1:28" x14ac:dyDescent="0.25">
      <c r="A2920" t="s">
        <v>2924</v>
      </c>
      <c r="B2920">
        <v>0.99673306730245903</v>
      </c>
      <c r="C2920">
        <v>0.97534361151029003</v>
      </c>
      <c r="D2920">
        <v>0.81090578410351399</v>
      </c>
      <c r="E2920">
        <v>0.49481232046459001</v>
      </c>
      <c r="F2920">
        <v>0.33055509265530603</v>
      </c>
      <c r="G2920">
        <v>0.204439118530403</v>
      </c>
      <c r="H2920">
        <v>0.149915304128452</v>
      </c>
      <c r="I2920">
        <v>0.117252453448176</v>
      </c>
      <c r="J2920">
        <v>0.104841257277063</v>
      </c>
      <c r="K2920">
        <v>0.159444971720553</v>
      </c>
      <c r="L2920">
        <v>909.42402734857899</v>
      </c>
      <c r="M2920">
        <v>18.5039803290062</v>
      </c>
      <c r="N2920">
        <v>49.9373186807927</v>
      </c>
      <c r="O2920">
        <v>48.584258685262</v>
      </c>
      <c r="P2920">
        <v>-8.3139996234519398E-2</v>
      </c>
      <c r="Q2920">
        <v>0.12686541070337701</v>
      </c>
      <c r="R2920">
        <v>0.99551940983240905</v>
      </c>
      <c r="S2920" t="s">
        <v>9372</v>
      </c>
      <c r="T2920" t="s">
        <v>12902</v>
      </c>
      <c r="U2920" t="s">
        <v>12902</v>
      </c>
      <c r="V2920" t="s">
        <v>12902</v>
      </c>
      <c r="W2920" t="s">
        <v>15782</v>
      </c>
      <c r="X2920">
        <v>3</v>
      </c>
      <c r="Y2920" t="s">
        <v>22120</v>
      </c>
      <c r="Z2920" t="s">
        <v>28495</v>
      </c>
      <c r="AA2920">
        <v>0.40737590924764122</v>
      </c>
      <c r="AB2920" t="str">
        <f>HYPERLINK("Melting_Curves/meltCurve_P62324_BTG1.pdf", "Melting_Curves/meltCurve_P62324_BTG1.pdf")</f>
        <v>Melting_Curves/meltCurve_P62324_BTG1.pdf</v>
      </c>
    </row>
    <row r="2921" spans="1:28" x14ac:dyDescent="0.25">
      <c r="A2921" t="s">
        <v>2925</v>
      </c>
      <c r="B2921">
        <v>0.99673306730245903</v>
      </c>
      <c r="C2921">
        <v>1.06094946742024</v>
      </c>
      <c r="D2921">
        <v>1.01859739902985</v>
      </c>
      <c r="E2921">
        <v>1.0290695666287999</v>
      </c>
      <c r="F2921">
        <v>1.0751979841604999</v>
      </c>
      <c r="G2921">
        <v>1.1056031287794701</v>
      </c>
      <c r="H2921">
        <v>0.98865174676413603</v>
      </c>
      <c r="I2921">
        <v>1.89255043918372</v>
      </c>
      <c r="J2921">
        <v>2.4331190885624299</v>
      </c>
      <c r="K2921">
        <v>2.4433873020075598</v>
      </c>
      <c r="L2921">
        <v>15000</v>
      </c>
      <c r="M2921">
        <v>242.13970163567299</v>
      </c>
      <c r="O2921">
        <v>61.943484227126298</v>
      </c>
      <c r="P2921">
        <v>0.48863029181046902</v>
      </c>
      <c r="Q2921">
        <v>1.5</v>
      </c>
      <c r="R2921">
        <v>0.41665506352950799</v>
      </c>
      <c r="S2921" t="s">
        <v>9373</v>
      </c>
      <c r="T2921" t="s">
        <v>12902</v>
      </c>
      <c r="U2921" t="s">
        <v>12902</v>
      </c>
      <c r="V2921" t="s">
        <v>12902</v>
      </c>
      <c r="W2921" t="s">
        <v>15783</v>
      </c>
      <c r="X2921">
        <v>6</v>
      </c>
      <c r="Y2921" t="s">
        <v>22121</v>
      </c>
      <c r="Z2921" t="s">
        <v>28496</v>
      </c>
      <c r="AA2921">
        <v>1.134146888540579</v>
      </c>
      <c r="AB2921" t="str">
        <f>HYPERLINK("Melting_Curves/meltCurve_P62328_TMSB4X.pdf", "Melting_Curves/meltCurve_P62328_TMSB4X.pdf")</f>
        <v>Melting_Curves/meltCurve_P62328_TMSB4X.pdf</v>
      </c>
    </row>
    <row r="2922" spans="1:28" x14ac:dyDescent="0.25">
      <c r="A2922" t="s">
        <v>2926</v>
      </c>
      <c r="B2922">
        <v>0.99673306730245903</v>
      </c>
      <c r="C2922">
        <v>1.0369197651563999</v>
      </c>
      <c r="D2922">
        <v>0.99240687461395805</v>
      </c>
      <c r="E2922">
        <v>1.0342893659901999</v>
      </c>
      <c r="F2922">
        <v>0.723855761106031</v>
      </c>
      <c r="G2922">
        <v>0.46210205974958302</v>
      </c>
      <c r="H2922">
        <v>0.22530454689538601</v>
      </c>
      <c r="I2922">
        <v>0.15282681359207401</v>
      </c>
      <c r="J2922">
        <v>9.68135292118424E-2</v>
      </c>
      <c r="K2922">
        <v>8.4449206888333003E-2</v>
      </c>
      <c r="L2922">
        <v>1245.7354140617099</v>
      </c>
      <c r="M2922">
        <v>22.330672365100501</v>
      </c>
      <c r="N2922">
        <v>56.2724803501564</v>
      </c>
      <c r="O2922">
        <v>55.344255521951702</v>
      </c>
      <c r="P2922">
        <v>-9.2016967215626494E-2</v>
      </c>
      <c r="Q2922">
        <v>8.7801257030397706E-2</v>
      </c>
      <c r="R2922">
        <v>0.99243177606455002</v>
      </c>
      <c r="S2922" t="s">
        <v>9374</v>
      </c>
      <c r="T2922" t="s">
        <v>12902</v>
      </c>
      <c r="U2922" t="s">
        <v>12902</v>
      </c>
      <c r="V2922" t="s">
        <v>12902</v>
      </c>
      <c r="W2922" t="s">
        <v>15784</v>
      </c>
      <c r="X2922">
        <v>7</v>
      </c>
      <c r="Y2922" t="s">
        <v>22122</v>
      </c>
      <c r="Z2922" t="s">
        <v>28497</v>
      </c>
      <c r="AA2922">
        <v>0.57787130111179297</v>
      </c>
      <c r="AB2922" t="str">
        <f>HYPERLINK("Melting_Curves/meltCurve_P62330_ARF6.pdf", "Melting_Curves/meltCurve_P62330_ARF6.pdf")</f>
        <v>Melting_Curves/meltCurve_P62330_ARF6.pdf</v>
      </c>
    </row>
    <row r="2923" spans="1:28" x14ac:dyDescent="0.25">
      <c r="A2923" t="s">
        <v>2927</v>
      </c>
      <c r="B2923">
        <v>0.99673306730245903</v>
      </c>
      <c r="C2923">
        <v>0.95851706476683496</v>
      </c>
      <c r="D2923">
        <v>0.99574278607209499</v>
      </c>
      <c r="E2923">
        <v>0.964377628866388</v>
      </c>
      <c r="F2923">
        <v>0.72761208324575399</v>
      </c>
      <c r="G2923">
        <v>0.31034102217380499</v>
      </c>
      <c r="H2923">
        <v>9.6129421275203894E-2</v>
      </c>
      <c r="I2923">
        <v>7.64237043428459E-2</v>
      </c>
      <c r="J2923">
        <v>7.7664786579898795E-2</v>
      </c>
      <c r="K2923">
        <v>7.4777472961034597E-2</v>
      </c>
      <c r="L2923">
        <v>1667.3449095025501</v>
      </c>
      <c r="M2923">
        <v>30.438054182261801</v>
      </c>
      <c r="N2923">
        <v>55.040777403799503</v>
      </c>
      <c r="O2923">
        <v>54.543487656474902</v>
      </c>
      <c r="P2923">
        <v>-0.130089491325866</v>
      </c>
      <c r="Q2923">
        <v>6.7550002006672993E-2</v>
      </c>
      <c r="R2923">
        <v>0.99876886426797895</v>
      </c>
      <c r="S2923" t="s">
        <v>9375</v>
      </c>
      <c r="T2923" t="s">
        <v>12902</v>
      </c>
      <c r="U2923" t="s">
        <v>12902</v>
      </c>
      <c r="V2923" t="s">
        <v>12902</v>
      </c>
      <c r="W2923" t="s">
        <v>15785</v>
      </c>
      <c r="X2923">
        <v>29</v>
      </c>
      <c r="Y2923" t="s">
        <v>22123</v>
      </c>
      <c r="Z2923" t="s">
        <v>28498</v>
      </c>
      <c r="AA2923">
        <v>0.53289021812018889</v>
      </c>
      <c r="AB2923" t="str">
        <f>HYPERLINK("Melting_Curves/meltCurve_P62333_PSMC6.pdf", "Melting_Curves/meltCurve_P62333_PSMC6.pdf")</f>
        <v>Melting_Curves/meltCurve_P62333_PSMC6.pdf</v>
      </c>
    </row>
    <row r="2924" spans="1:28" x14ac:dyDescent="0.25">
      <c r="A2924" t="s">
        <v>2928</v>
      </c>
      <c r="B2924">
        <v>0.99673306730245903</v>
      </c>
      <c r="C2924">
        <v>0.96963845156900197</v>
      </c>
      <c r="D2924">
        <v>0.90182201235288195</v>
      </c>
      <c r="E2924">
        <v>0.76434681538887195</v>
      </c>
      <c r="F2924">
        <v>0.54604649000574501</v>
      </c>
      <c r="G2924">
        <v>0.399157712203419</v>
      </c>
      <c r="H2924">
        <v>0.31389611662516098</v>
      </c>
      <c r="I2924">
        <v>0.26271257650156699</v>
      </c>
      <c r="J2924">
        <v>0.23171837641526399</v>
      </c>
      <c r="K2924">
        <v>0.14214803111672999</v>
      </c>
      <c r="L2924">
        <v>678.57492705150298</v>
      </c>
      <c r="M2924">
        <v>12.7911049897577</v>
      </c>
      <c r="N2924">
        <v>54.624459620561801</v>
      </c>
      <c r="O2924">
        <v>51.804036648829801</v>
      </c>
      <c r="P2924">
        <v>-5.2223705054046797E-2</v>
      </c>
      <c r="Q2924">
        <v>0.15413413244077101</v>
      </c>
      <c r="R2924">
        <v>0.99502710049585197</v>
      </c>
      <c r="S2924" t="s">
        <v>9376</v>
      </c>
      <c r="T2924" t="s">
        <v>12902</v>
      </c>
      <c r="U2924" t="s">
        <v>12902</v>
      </c>
      <c r="V2924" t="s">
        <v>12902</v>
      </c>
      <c r="W2924" t="s">
        <v>15786</v>
      </c>
      <c r="X2924">
        <v>2</v>
      </c>
      <c r="Y2924" t="s">
        <v>22124</v>
      </c>
      <c r="Z2924" t="s">
        <v>28499</v>
      </c>
      <c r="AA2924">
        <v>0.54439378231262625</v>
      </c>
      <c r="AB2924" t="str">
        <f>HYPERLINK("Melting_Curves/meltCurve_P62341_SELT.pdf", "Melting_Curves/meltCurve_P62341_SELT.pdf")</f>
        <v>Melting_Curves/meltCurve_P62341_SELT.pdf</v>
      </c>
    </row>
    <row r="2925" spans="1:28" x14ac:dyDescent="0.25">
      <c r="A2925" t="s">
        <v>2929</v>
      </c>
      <c r="B2925">
        <v>0.99673306730245903</v>
      </c>
      <c r="C2925">
        <v>1.00539169513131</v>
      </c>
      <c r="D2925">
        <v>0.809222237680576</v>
      </c>
      <c r="E2925">
        <v>0.39022763359606399</v>
      </c>
      <c r="F2925">
        <v>0.142233152778837</v>
      </c>
      <c r="G2925">
        <v>0.103032673076177</v>
      </c>
      <c r="H2925">
        <v>2.8116288680004702E-2</v>
      </c>
      <c r="I2925">
        <v>2.6587653626407401E-2</v>
      </c>
      <c r="J2925">
        <v>2.3519719202939E-2</v>
      </c>
      <c r="K2925">
        <v>2.2598056935643599E-2</v>
      </c>
      <c r="L2925">
        <v>1211.5371122241199</v>
      </c>
      <c r="M2925">
        <v>24.914510559385299</v>
      </c>
      <c r="N2925">
        <v>48.762920133181197</v>
      </c>
      <c r="O2925">
        <v>48.3177292165296</v>
      </c>
      <c r="P2925">
        <v>-0.124610907902343</v>
      </c>
      <c r="Q2925">
        <v>3.3360879078448598E-2</v>
      </c>
      <c r="R2925">
        <v>0.99744104808244305</v>
      </c>
      <c r="S2925" t="s">
        <v>9377</v>
      </c>
      <c r="T2925" t="s">
        <v>12902</v>
      </c>
      <c r="U2925" t="s">
        <v>12902</v>
      </c>
      <c r="V2925" t="s">
        <v>12902</v>
      </c>
      <c r="W2925" t="s">
        <v>15787</v>
      </c>
      <c r="X2925">
        <v>3</v>
      </c>
      <c r="Y2925" t="s">
        <v>22125</v>
      </c>
      <c r="Z2925" t="s">
        <v>28500</v>
      </c>
      <c r="AA2925">
        <v>0.31996930203010748</v>
      </c>
      <c r="AB2925" t="str">
        <f>HYPERLINK("Melting_Curves/meltCurve_P62380_TBPL1.pdf", "Melting_Curves/meltCurve_P62380_TBPL1.pdf")</f>
        <v>Melting_Curves/meltCurve_P62380_TBPL1.pdf</v>
      </c>
    </row>
    <row r="2926" spans="1:28" x14ac:dyDescent="0.25">
      <c r="A2926" t="s">
        <v>2930</v>
      </c>
      <c r="B2926">
        <v>0.99673306730245903</v>
      </c>
      <c r="C2926">
        <v>1.0827880013104201</v>
      </c>
      <c r="D2926">
        <v>0.99193696077007099</v>
      </c>
      <c r="E2926">
        <v>1.08606168790006</v>
      </c>
      <c r="F2926">
        <v>1.07245864612618</v>
      </c>
      <c r="G2926">
        <v>1.0052859483096801</v>
      </c>
      <c r="H2926">
        <v>0.52752551678346704</v>
      </c>
      <c r="I2926">
        <v>0.22906383821868001</v>
      </c>
      <c r="J2926">
        <v>0.333821788405469</v>
      </c>
      <c r="K2926">
        <v>0.2674575207837</v>
      </c>
      <c r="L2926">
        <v>15000</v>
      </c>
      <c r="M2926">
        <v>247.34407701682599</v>
      </c>
      <c r="N2926">
        <v>60.842659871931602</v>
      </c>
      <c r="O2926">
        <v>60.640299310564998</v>
      </c>
      <c r="P2926">
        <v>-0.73747995742537997</v>
      </c>
      <c r="Q2926">
        <v>0.27678063092092697</v>
      </c>
      <c r="R2926">
        <v>0.979623664828567</v>
      </c>
      <c r="S2926" t="s">
        <v>9378</v>
      </c>
      <c r="T2926" t="s">
        <v>12902</v>
      </c>
      <c r="U2926" t="s">
        <v>12902</v>
      </c>
      <c r="V2926" t="s">
        <v>12902</v>
      </c>
      <c r="W2926" t="s">
        <v>15788</v>
      </c>
      <c r="X2926">
        <v>12</v>
      </c>
      <c r="Y2926" t="s">
        <v>22126</v>
      </c>
      <c r="Z2926" t="s">
        <v>28501</v>
      </c>
      <c r="AA2926">
        <v>0.77453703294658738</v>
      </c>
      <c r="AB2926" t="str">
        <f>HYPERLINK("Melting_Curves/meltCurve_P62424_RPL7A.pdf", "Melting_Curves/meltCurve_P62424_RPL7A.pdf")</f>
        <v>Melting_Curves/meltCurve_P62424_RPL7A.pdf</v>
      </c>
    </row>
    <row r="2927" spans="1:28" x14ac:dyDescent="0.25">
      <c r="A2927" t="s">
        <v>2931</v>
      </c>
      <c r="B2927">
        <v>0.99673306730245903</v>
      </c>
      <c r="C2927">
        <v>0.97381663338727098</v>
      </c>
      <c r="D2927">
        <v>0.948241606866432</v>
      </c>
      <c r="E2927">
        <v>1.0096505389422801</v>
      </c>
      <c r="F2927">
        <v>1.17190246027454</v>
      </c>
      <c r="G2927">
        <v>1.1233679291955001</v>
      </c>
      <c r="H2927">
        <v>0.797033891967176</v>
      </c>
      <c r="I2927">
        <v>0.57213532605418005</v>
      </c>
      <c r="J2927">
        <v>0.164634762951827</v>
      </c>
      <c r="K2927">
        <v>0.116327877008801</v>
      </c>
      <c r="L2927">
        <v>2202.6088410532402</v>
      </c>
      <c r="M2927">
        <v>34.407535005693902</v>
      </c>
      <c r="N2927">
        <v>64.196282496123899</v>
      </c>
      <c r="O2927">
        <v>63.800230744419999</v>
      </c>
      <c r="P2927">
        <v>-0.12859383595979501</v>
      </c>
      <c r="Q2927">
        <v>4.6222326114187903E-2</v>
      </c>
      <c r="R2927">
        <v>0.9529083096466</v>
      </c>
      <c r="S2927" t="s">
        <v>9379</v>
      </c>
      <c r="T2927" t="s">
        <v>12902</v>
      </c>
      <c r="U2927" t="s">
        <v>12902</v>
      </c>
      <c r="V2927" t="s">
        <v>12902</v>
      </c>
      <c r="W2927" t="s">
        <v>15789</v>
      </c>
      <c r="X2927">
        <v>6</v>
      </c>
      <c r="Y2927" t="s">
        <v>22127</v>
      </c>
      <c r="Z2927" t="s">
        <v>28502</v>
      </c>
      <c r="AA2927">
        <v>0.81155687799050868</v>
      </c>
      <c r="AB2927" t="str">
        <f>HYPERLINK("Melting_Curves/meltCurve_P62487_POLR2G.pdf", "Melting_Curves/meltCurve_P62487_POLR2G.pdf")</f>
        <v>Melting_Curves/meltCurve_P62487_POLR2G.pdf</v>
      </c>
    </row>
    <row r="2928" spans="1:28" x14ac:dyDescent="0.25">
      <c r="A2928" t="s">
        <v>2932</v>
      </c>
      <c r="B2928">
        <v>0.99673306730245903</v>
      </c>
      <c r="C2928">
        <v>1.01765852138531</v>
      </c>
      <c r="D2928">
        <v>0.94666531105734297</v>
      </c>
      <c r="E2928">
        <v>0.96662209973666702</v>
      </c>
      <c r="F2928">
        <v>0.21567732123097599</v>
      </c>
      <c r="G2928">
        <v>0.11857016849057</v>
      </c>
      <c r="H2928">
        <v>5.7326045410359502E-2</v>
      </c>
      <c r="I2928">
        <v>4.2183858724105003E-2</v>
      </c>
      <c r="J2928">
        <v>4.4660996311464897E-2</v>
      </c>
      <c r="K2928">
        <v>3.5898035818920898E-2</v>
      </c>
      <c r="L2928">
        <v>3488.8178993224501</v>
      </c>
      <c r="M2928">
        <v>67.169231628368195</v>
      </c>
      <c r="N2928">
        <v>52.037455085949603</v>
      </c>
      <c r="O2928">
        <v>51.894732951192402</v>
      </c>
      <c r="P2928">
        <v>-0.304588158693055</v>
      </c>
      <c r="Q2928">
        <v>5.8704907950770102E-2</v>
      </c>
      <c r="R2928">
        <v>0.99621389469954402</v>
      </c>
      <c r="S2928" t="s">
        <v>9380</v>
      </c>
      <c r="T2928" t="s">
        <v>12902</v>
      </c>
      <c r="U2928" t="s">
        <v>12902</v>
      </c>
      <c r="V2928" t="s">
        <v>12902</v>
      </c>
      <c r="W2928" t="s">
        <v>15790</v>
      </c>
      <c r="X2928">
        <v>10</v>
      </c>
      <c r="Y2928" t="s">
        <v>22128</v>
      </c>
      <c r="Z2928" t="s">
        <v>28503</v>
      </c>
      <c r="AA2928">
        <v>0.43455481018669678</v>
      </c>
      <c r="AB2928" t="str">
        <f>HYPERLINK("Melting_Curves/meltCurve_P62495_ETF1.pdf", "Melting_Curves/meltCurve_P62495_ETF1.pdf")</f>
        <v>Melting_Curves/meltCurve_P62495_ETF1.pdf</v>
      </c>
    </row>
    <row r="2929" spans="1:28" x14ac:dyDescent="0.25">
      <c r="A2929" t="s">
        <v>2933</v>
      </c>
      <c r="B2929">
        <v>0.99673306730245903</v>
      </c>
      <c r="C2929">
        <v>1.0152671227207799</v>
      </c>
      <c r="D2929">
        <v>0.94741522681282697</v>
      </c>
      <c r="E2929">
        <v>0.93034367785445404</v>
      </c>
      <c r="F2929">
        <v>0.79768339279361</v>
      </c>
      <c r="G2929">
        <v>0.705867240408522</v>
      </c>
      <c r="H2929">
        <v>0.57217160298279801</v>
      </c>
      <c r="I2929">
        <v>1.0636721398714599</v>
      </c>
      <c r="J2929">
        <v>1.48296135355183</v>
      </c>
      <c r="K2929">
        <v>1.43994131297118</v>
      </c>
      <c r="L2929">
        <v>15000</v>
      </c>
      <c r="M2929">
        <v>232.543147778557</v>
      </c>
      <c r="O2929">
        <v>64.499383270214096</v>
      </c>
      <c r="P2929">
        <v>0.41594708409637399</v>
      </c>
      <c r="Q2929">
        <v>1.4614770610275301</v>
      </c>
      <c r="R2929">
        <v>0.57371736390750405</v>
      </c>
      <c r="S2929" t="s">
        <v>9381</v>
      </c>
      <c r="T2929" t="s">
        <v>12902</v>
      </c>
      <c r="U2929" t="s">
        <v>12902</v>
      </c>
      <c r="V2929" t="s">
        <v>12902</v>
      </c>
      <c r="W2929" t="s">
        <v>15791</v>
      </c>
      <c r="X2929">
        <v>16</v>
      </c>
      <c r="Y2929" t="s">
        <v>22129</v>
      </c>
      <c r="Z2929" t="s">
        <v>28504</v>
      </c>
      <c r="AA2929">
        <v>1.0844797828123569</v>
      </c>
      <c r="AB2929" t="str">
        <f>HYPERLINK("Melting_Curves/meltCurve_P62633_2_CNBP.pdf", "Melting_Curves/meltCurve_P62633_2_CNBP.pdf")</f>
        <v>Melting_Curves/meltCurve_P62633_2_CNBP.pdf</v>
      </c>
    </row>
    <row r="2930" spans="1:28" x14ac:dyDescent="0.25">
      <c r="A2930" t="s">
        <v>2934</v>
      </c>
      <c r="B2930">
        <v>0.99673306730245903</v>
      </c>
      <c r="C2930">
        <v>1.0122932901375701</v>
      </c>
      <c r="D2930">
        <v>1.0648075600356499</v>
      </c>
      <c r="E2930">
        <v>0.95960907404027496</v>
      </c>
      <c r="F2930">
        <v>0.90303889575086604</v>
      </c>
      <c r="G2930">
        <v>0.87171414745535203</v>
      </c>
      <c r="H2930">
        <v>0.75678904824543403</v>
      </c>
      <c r="I2930">
        <v>1.1709246563501201</v>
      </c>
      <c r="J2930">
        <v>1.90999130834748</v>
      </c>
      <c r="K2930">
        <v>1.77145264590714</v>
      </c>
      <c r="L2930">
        <v>15000</v>
      </c>
      <c r="M2930">
        <v>233.720532263742</v>
      </c>
      <c r="O2930">
        <v>64.174514596577893</v>
      </c>
      <c r="P2930">
        <v>0.45524405920014399</v>
      </c>
      <c r="Q2930">
        <v>1.5</v>
      </c>
      <c r="R2930">
        <v>0.75211470125244995</v>
      </c>
      <c r="S2930" t="s">
        <v>9382</v>
      </c>
      <c r="T2930" t="s">
        <v>12902</v>
      </c>
      <c r="U2930" t="s">
        <v>12902</v>
      </c>
      <c r="V2930" t="s">
        <v>12902</v>
      </c>
      <c r="W2930" t="s">
        <v>15792</v>
      </c>
      <c r="X2930">
        <v>15</v>
      </c>
      <c r="Y2930" t="s">
        <v>22129</v>
      </c>
      <c r="Z2930" t="s">
        <v>28505</v>
      </c>
      <c r="AA2930">
        <v>1.0969486666686989</v>
      </c>
      <c r="AB2930" t="str">
        <f>HYPERLINK("Melting_Curves/meltCurve_P62633_4_CNBP.pdf", "Melting_Curves/meltCurve_P62633_4_CNBP.pdf")</f>
        <v>Melting_Curves/meltCurve_P62633_4_CNBP.pdf</v>
      </c>
    </row>
    <row r="2931" spans="1:28" x14ac:dyDescent="0.25">
      <c r="A2931" t="s">
        <v>2935</v>
      </c>
      <c r="B2931">
        <v>0.99673306730245903</v>
      </c>
      <c r="C2931">
        <v>0.96159574634373002</v>
      </c>
      <c r="D2931">
        <v>0.96330846963239103</v>
      </c>
      <c r="E2931">
        <v>0.78314543130890901</v>
      </c>
      <c r="F2931">
        <v>1.0928860148634201</v>
      </c>
      <c r="G2931">
        <v>0.45237318449020902</v>
      </c>
      <c r="H2931">
        <v>0.31565744935317103</v>
      </c>
      <c r="I2931">
        <v>0.44530981753069099</v>
      </c>
      <c r="J2931">
        <v>0.70098777012158997</v>
      </c>
      <c r="K2931">
        <v>0.58240946405166305</v>
      </c>
      <c r="L2931">
        <v>13755.692621846099</v>
      </c>
      <c r="M2931">
        <v>250</v>
      </c>
      <c r="N2931">
        <v>56.513035897157501</v>
      </c>
      <c r="O2931">
        <v>55.019231805163301</v>
      </c>
      <c r="P2931">
        <v>-0.56876145360616803</v>
      </c>
      <c r="Q2931">
        <v>0.49931474759037597</v>
      </c>
      <c r="R2931">
        <v>0.78240899104438499</v>
      </c>
      <c r="S2931" t="s">
        <v>9383</v>
      </c>
      <c r="T2931" t="s">
        <v>12902</v>
      </c>
      <c r="U2931" t="s">
        <v>12902</v>
      </c>
      <c r="V2931" t="s">
        <v>12902</v>
      </c>
      <c r="W2931" t="s">
        <v>15793</v>
      </c>
      <c r="X2931">
        <v>15</v>
      </c>
      <c r="Y2931" t="s">
        <v>22129</v>
      </c>
      <c r="Z2931" t="s">
        <v>28506</v>
      </c>
      <c r="AA2931">
        <v>0.75008575025969004</v>
      </c>
      <c r="AB2931" t="str">
        <f>HYPERLINK("Melting_Curves/meltCurve_P62633_5_CNBP.pdf", "Melting_Curves/meltCurve_P62633_5_CNBP.pdf")</f>
        <v>Melting_Curves/meltCurve_P62633_5_CNBP.pdf</v>
      </c>
    </row>
    <row r="2932" spans="1:28" x14ac:dyDescent="0.25">
      <c r="A2932" t="s">
        <v>2936</v>
      </c>
      <c r="B2932">
        <v>0.99673306730245903</v>
      </c>
      <c r="C2932">
        <v>1.0098940020493801</v>
      </c>
      <c r="D2932">
        <v>0.64000425662961602</v>
      </c>
      <c r="E2932">
        <v>0.92761972670533399</v>
      </c>
      <c r="F2932">
        <v>0.69815652804539896</v>
      </c>
      <c r="G2932">
        <v>0.41721255153997899</v>
      </c>
      <c r="H2932">
        <v>0.109207256523533</v>
      </c>
      <c r="I2932">
        <v>7.6173584090952706E-2</v>
      </c>
      <c r="J2932">
        <v>7.7990992896489295E-2</v>
      </c>
      <c r="K2932">
        <v>7.1793252625697399E-2</v>
      </c>
      <c r="L2932">
        <v>861.83860149858799</v>
      </c>
      <c r="M2932">
        <v>15.599637819238399</v>
      </c>
      <c r="N2932">
        <v>55.247345864528199</v>
      </c>
      <c r="O2932">
        <v>54.3633473197931</v>
      </c>
      <c r="P2932">
        <v>-7.1744061216508601E-2</v>
      </c>
      <c r="Q2932">
        <v>0</v>
      </c>
      <c r="R2932">
        <v>0.91722474048333003</v>
      </c>
      <c r="S2932" t="s">
        <v>9384</v>
      </c>
      <c r="T2932" t="s">
        <v>12902</v>
      </c>
      <c r="U2932" t="s">
        <v>12902</v>
      </c>
      <c r="V2932" t="s">
        <v>12902</v>
      </c>
      <c r="W2932" t="s">
        <v>15794</v>
      </c>
      <c r="X2932">
        <v>19</v>
      </c>
      <c r="Y2932" t="s">
        <v>22130</v>
      </c>
      <c r="Z2932" t="s">
        <v>28507</v>
      </c>
      <c r="AA2932">
        <v>0.52641625088584854</v>
      </c>
      <c r="AB2932" t="str">
        <f>HYPERLINK("Melting_Curves/meltCurve_P62701_RPS4X.pdf", "Melting_Curves/meltCurve_P62701_RPS4X.pdf")</f>
        <v>Melting_Curves/meltCurve_P62701_RPS4X.pdf</v>
      </c>
    </row>
    <row r="2933" spans="1:28" x14ac:dyDescent="0.25">
      <c r="A2933" t="s">
        <v>2937</v>
      </c>
      <c r="B2933">
        <v>0.99673306730245903</v>
      </c>
      <c r="C2933">
        <v>0.95431033036127</v>
      </c>
      <c r="D2933">
        <v>1.0038132052595701</v>
      </c>
      <c r="E2933">
        <v>1.14264947744142</v>
      </c>
      <c r="F2933">
        <v>0.75992304969691404</v>
      </c>
      <c r="G2933">
        <v>0.59081484636439296</v>
      </c>
      <c r="H2933">
        <v>0.308119084393215</v>
      </c>
      <c r="I2933">
        <v>0.14469994389433399</v>
      </c>
      <c r="J2933">
        <v>0.13406834511405299</v>
      </c>
      <c r="K2933">
        <v>0.14045482064718501</v>
      </c>
      <c r="L2933">
        <v>1278.8139062252801</v>
      </c>
      <c r="M2933">
        <v>22.451014640284999</v>
      </c>
      <c r="N2933">
        <v>57.599896257968602</v>
      </c>
      <c r="O2933">
        <v>56.514053629427004</v>
      </c>
      <c r="P2933">
        <v>-8.8358940939468694E-2</v>
      </c>
      <c r="Q2933">
        <v>0.110344214367484</v>
      </c>
      <c r="R2933">
        <v>0.97124264802214499</v>
      </c>
      <c r="S2933" t="s">
        <v>9385</v>
      </c>
      <c r="T2933" t="s">
        <v>12902</v>
      </c>
      <c r="U2933" t="s">
        <v>12902</v>
      </c>
      <c r="V2933" t="s">
        <v>12902</v>
      </c>
      <c r="W2933" t="s">
        <v>15795</v>
      </c>
      <c r="X2933">
        <v>20</v>
      </c>
      <c r="Y2933" t="s">
        <v>22131</v>
      </c>
      <c r="Z2933" t="s">
        <v>28508</v>
      </c>
      <c r="AA2933">
        <v>0.62270147328594727</v>
      </c>
      <c r="AB2933" t="str">
        <f>HYPERLINK("Melting_Curves/meltCurve_P62714_PPP2CB.pdf", "Melting_Curves/meltCurve_P62714_PPP2CB.pdf")</f>
        <v>Melting_Curves/meltCurve_P62714_PPP2CB.pdf</v>
      </c>
    </row>
    <row r="2934" spans="1:28" x14ac:dyDescent="0.25">
      <c r="A2934" t="s">
        <v>2938</v>
      </c>
      <c r="B2934">
        <v>0.99673306730245903</v>
      </c>
      <c r="C2934">
        <v>0.98030128010659201</v>
      </c>
      <c r="D2934">
        <v>0.94689981466079898</v>
      </c>
      <c r="E2934">
        <v>0.82762999966497297</v>
      </c>
      <c r="F2934">
        <v>0.73254400988839097</v>
      </c>
      <c r="G2934">
        <v>0.71248628492505295</v>
      </c>
      <c r="H2934">
        <v>0.63445479654478598</v>
      </c>
      <c r="I2934">
        <v>0.58542798563185905</v>
      </c>
      <c r="J2934">
        <v>0.28582008141135101</v>
      </c>
      <c r="K2934">
        <v>0.20400848521435899</v>
      </c>
      <c r="L2934">
        <v>505.33651787712802</v>
      </c>
      <c r="M2934">
        <v>8.0800368324768304</v>
      </c>
      <c r="N2934">
        <v>62.541360966954699</v>
      </c>
      <c r="O2934">
        <v>59.059954267339499</v>
      </c>
      <c r="P2934">
        <v>-3.4239959495608999E-2</v>
      </c>
      <c r="Q2934">
        <v>0</v>
      </c>
      <c r="R2934">
        <v>0.92920351642233501</v>
      </c>
      <c r="S2934" t="s">
        <v>9386</v>
      </c>
      <c r="T2934" t="s">
        <v>12902</v>
      </c>
      <c r="U2934" t="s">
        <v>12902</v>
      </c>
      <c r="V2934" t="s">
        <v>12902</v>
      </c>
      <c r="W2934" t="s">
        <v>15796</v>
      </c>
      <c r="X2934">
        <v>10</v>
      </c>
      <c r="Y2934" t="s">
        <v>22132</v>
      </c>
      <c r="Z2934" t="s">
        <v>28509</v>
      </c>
      <c r="AA2934">
        <v>0.70901972602138974</v>
      </c>
      <c r="AB2934" t="str">
        <f>HYPERLINK("Melting_Curves/meltCurve_P62745_RHOB.pdf", "Melting_Curves/meltCurve_P62745_RHOB.pdf")</f>
        <v>Melting_Curves/meltCurve_P62745_RHOB.pdf</v>
      </c>
    </row>
    <row r="2935" spans="1:28" x14ac:dyDescent="0.25">
      <c r="A2935" t="s">
        <v>2939</v>
      </c>
      <c r="B2935">
        <v>0.99673306730245903</v>
      </c>
      <c r="C2935">
        <v>0.77413299903388</v>
      </c>
      <c r="D2935">
        <v>1.0754869409541099</v>
      </c>
      <c r="E2935">
        <v>0.91246321758777105</v>
      </c>
      <c r="F2935">
        <v>0.59358223230739204</v>
      </c>
      <c r="G2935">
        <v>0.33332862431567001</v>
      </c>
      <c r="H2935">
        <v>0.187238229167799</v>
      </c>
      <c r="I2935">
        <v>0.16991218219735599</v>
      </c>
      <c r="J2935">
        <v>0.19773533818606401</v>
      </c>
      <c r="K2935">
        <v>0.18065509227125101</v>
      </c>
      <c r="L2935">
        <v>1465.1569037653301</v>
      </c>
      <c r="M2935">
        <v>27.448046978885301</v>
      </c>
      <c r="N2935">
        <v>54.245621901104499</v>
      </c>
      <c r="O2935">
        <v>53.098354460296797</v>
      </c>
      <c r="P2935">
        <v>-0.106300151233087</v>
      </c>
      <c r="Q2935">
        <v>0.17745541612966101</v>
      </c>
      <c r="R2935">
        <v>0.95207343604969596</v>
      </c>
      <c r="S2935" t="s">
        <v>9387</v>
      </c>
      <c r="T2935" t="s">
        <v>12902</v>
      </c>
      <c r="U2935" t="s">
        <v>12902</v>
      </c>
      <c r="V2935" t="s">
        <v>12902</v>
      </c>
      <c r="W2935" t="s">
        <v>15797</v>
      </c>
      <c r="X2935">
        <v>9</v>
      </c>
      <c r="Y2935" t="s">
        <v>22133</v>
      </c>
      <c r="Z2935" t="s">
        <v>28510</v>
      </c>
      <c r="AA2935">
        <v>0.55065617964541613</v>
      </c>
      <c r="AB2935" t="str">
        <f>HYPERLINK("Melting_Curves/meltCurve_P62750_RPL23A.pdf", "Melting_Curves/meltCurve_P62750_RPL23A.pdf")</f>
        <v>Melting_Curves/meltCurve_P62750_RPL23A.pdf</v>
      </c>
    </row>
    <row r="2936" spans="1:28" x14ac:dyDescent="0.25">
      <c r="A2936" t="s">
        <v>2940</v>
      </c>
      <c r="B2936">
        <v>0.99673306730245903</v>
      </c>
      <c r="C2936">
        <v>1.00544964816263</v>
      </c>
      <c r="D2936">
        <v>0.88817587602299597</v>
      </c>
      <c r="E2936">
        <v>0.78565504595228897</v>
      </c>
      <c r="F2936">
        <v>0.45917133614870898</v>
      </c>
      <c r="G2936">
        <v>0.27741814455244201</v>
      </c>
      <c r="H2936">
        <v>0.108670452782429</v>
      </c>
      <c r="I2936">
        <v>0.10683431153396999</v>
      </c>
      <c r="J2936">
        <v>0.115614988938818</v>
      </c>
      <c r="K2936">
        <v>0.116512880206874</v>
      </c>
      <c r="L2936">
        <v>992.33861760327</v>
      </c>
      <c r="M2936">
        <v>18.9766214864541</v>
      </c>
      <c r="N2936">
        <v>52.8401415557828</v>
      </c>
      <c r="O2936">
        <v>51.722370668291902</v>
      </c>
      <c r="P2936">
        <v>-8.3541137737800697E-2</v>
      </c>
      <c r="Q2936">
        <v>8.92430029441353E-2</v>
      </c>
      <c r="R2936">
        <v>0.99542681975900804</v>
      </c>
      <c r="S2936" t="s">
        <v>9388</v>
      </c>
      <c r="T2936" t="s">
        <v>12902</v>
      </c>
      <c r="U2936" t="s">
        <v>12902</v>
      </c>
      <c r="V2936" t="s">
        <v>12902</v>
      </c>
      <c r="W2936" t="s">
        <v>15798</v>
      </c>
      <c r="X2936">
        <v>13</v>
      </c>
      <c r="Y2936" t="s">
        <v>22134</v>
      </c>
      <c r="Z2936" t="s">
        <v>28511</v>
      </c>
      <c r="AA2936">
        <v>0.476227021191235</v>
      </c>
      <c r="AB2936" t="str">
        <f>HYPERLINK("Melting_Curves/meltCurve_P62753_RPS6.pdf", "Melting_Curves/meltCurve_P62753_RPS6.pdf")</f>
        <v>Melting_Curves/meltCurve_P62753_RPS6.pdf</v>
      </c>
    </row>
    <row r="2937" spans="1:28" x14ac:dyDescent="0.25">
      <c r="A2937" t="s">
        <v>2941</v>
      </c>
      <c r="B2937">
        <v>0.99673306730245903</v>
      </c>
      <c r="C2937">
        <v>0.99818254652400396</v>
      </c>
      <c r="D2937">
        <v>0.941281756615441</v>
      </c>
      <c r="E2937">
        <v>0.82383911025213796</v>
      </c>
      <c r="F2937">
        <v>0.40514936627646397</v>
      </c>
      <c r="G2937">
        <v>0.21185587966136199</v>
      </c>
      <c r="H2937">
        <v>0.121303469067532</v>
      </c>
      <c r="I2937">
        <v>0.12551996210550101</v>
      </c>
      <c r="J2937">
        <v>0.13008417744094</v>
      </c>
      <c r="K2937">
        <v>9.4116662414713101E-2</v>
      </c>
      <c r="L2937">
        <v>1397.63121493533</v>
      </c>
      <c r="M2937">
        <v>26.906912615919499</v>
      </c>
      <c r="N2937">
        <v>52.445539013821701</v>
      </c>
      <c r="O2937">
        <v>51.658831541081199</v>
      </c>
      <c r="P2937">
        <v>-0.115423979235734</v>
      </c>
      <c r="Q2937">
        <v>0.11359462232732299</v>
      </c>
      <c r="R2937">
        <v>0.99818622051467698</v>
      </c>
      <c r="S2937" t="s">
        <v>9389</v>
      </c>
      <c r="T2937" t="s">
        <v>12902</v>
      </c>
      <c r="U2937" t="s">
        <v>12902</v>
      </c>
      <c r="V2937" t="s">
        <v>12902</v>
      </c>
      <c r="W2937" t="s">
        <v>15799</v>
      </c>
      <c r="X2937">
        <v>17</v>
      </c>
      <c r="Y2937" t="s">
        <v>22135</v>
      </c>
      <c r="Z2937" t="s">
        <v>28512</v>
      </c>
      <c r="AA2937">
        <v>0.47349034201517171</v>
      </c>
      <c r="AB2937" t="str">
        <f>HYPERLINK("Melting_Curves/meltCurve_P62760_VSNL1.pdf", "Melting_Curves/meltCurve_P62760_VSNL1.pdf")</f>
        <v>Melting_Curves/meltCurve_P62760_VSNL1.pdf</v>
      </c>
    </row>
    <row r="2938" spans="1:28" x14ac:dyDescent="0.25">
      <c r="A2938" t="s">
        <v>2942</v>
      </c>
      <c r="B2938">
        <v>0.99673306730245903</v>
      </c>
      <c r="C2938">
        <v>0.98683435180935897</v>
      </c>
      <c r="D2938">
        <v>0.93280676072166901</v>
      </c>
      <c r="E2938">
        <v>0.81374595213171497</v>
      </c>
      <c r="F2938">
        <v>0.73380634960717595</v>
      </c>
      <c r="G2938">
        <v>0.65144766882747496</v>
      </c>
      <c r="H2938">
        <v>0.59569641138531504</v>
      </c>
      <c r="I2938">
        <v>0.62074087536033795</v>
      </c>
      <c r="J2938">
        <v>0.73831792794847795</v>
      </c>
      <c r="K2938">
        <v>0.53027987322430103</v>
      </c>
      <c r="L2938">
        <v>873.354155451662</v>
      </c>
      <c r="M2938">
        <v>17.436115032823501</v>
      </c>
      <c r="O2938">
        <v>49.4438727626043</v>
      </c>
      <c r="P2938">
        <v>-3.4028385245555702E-2</v>
      </c>
      <c r="Q2938">
        <v>0.61404219518388803</v>
      </c>
      <c r="R2938">
        <v>0.90670401203474704</v>
      </c>
      <c r="S2938" t="s">
        <v>9390</v>
      </c>
      <c r="T2938" t="s">
        <v>12902</v>
      </c>
      <c r="U2938" t="s">
        <v>12902</v>
      </c>
      <c r="V2938" t="s">
        <v>12902</v>
      </c>
      <c r="W2938" t="s">
        <v>15800</v>
      </c>
      <c r="X2938">
        <v>14</v>
      </c>
      <c r="Y2938" t="s">
        <v>22136</v>
      </c>
      <c r="Z2938" t="s">
        <v>28513</v>
      </c>
      <c r="AA2938">
        <v>0.75081728821794991</v>
      </c>
      <c r="AB2938" t="str">
        <f>HYPERLINK("Melting_Curves/meltCurve_P62805_HIST1H4A.pdf", "Melting_Curves/meltCurve_P62805_HIST1H4A.pdf")</f>
        <v>Melting_Curves/meltCurve_P62805_HIST1H4A.pdf</v>
      </c>
    </row>
    <row r="2939" spans="1:28" x14ac:dyDescent="0.25">
      <c r="A2939" t="s">
        <v>2943</v>
      </c>
      <c r="B2939">
        <v>0.99673306730245903</v>
      </c>
      <c r="C2939">
        <v>0.97300094450640295</v>
      </c>
      <c r="D2939">
        <v>0.8317548005605</v>
      </c>
      <c r="E2939">
        <v>0.84499628735502097</v>
      </c>
      <c r="F2939">
        <v>0.74905255717462305</v>
      </c>
      <c r="G2939">
        <v>0.69720818011458296</v>
      </c>
      <c r="H2939">
        <v>0.57150872947122999</v>
      </c>
      <c r="I2939">
        <v>0.59342215580303603</v>
      </c>
      <c r="J2939">
        <v>0.22846449777320199</v>
      </c>
      <c r="K2939">
        <v>0.113229178242713</v>
      </c>
      <c r="L2939">
        <v>530.59297122121495</v>
      </c>
      <c r="M2939">
        <v>8.6505556595125395</v>
      </c>
      <c r="N2939">
        <v>61.336283334280701</v>
      </c>
      <c r="O2939">
        <v>58.322724395095499</v>
      </c>
      <c r="P2939">
        <v>-3.7111816563673398E-2</v>
      </c>
      <c r="Q2939">
        <v>0</v>
      </c>
      <c r="R2939">
        <v>0.89428888843118104</v>
      </c>
      <c r="S2939" t="s">
        <v>9391</v>
      </c>
      <c r="T2939" t="s">
        <v>12902</v>
      </c>
      <c r="U2939" t="s">
        <v>12902</v>
      </c>
      <c r="V2939" t="s">
        <v>12902</v>
      </c>
      <c r="W2939" t="s">
        <v>15801</v>
      </c>
      <c r="X2939">
        <v>20</v>
      </c>
      <c r="Y2939" t="s">
        <v>22137</v>
      </c>
      <c r="Z2939" t="s">
        <v>28514</v>
      </c>
      <c r="AA2939">
        <v>0.68734246292307666</v>
      </c>
      <c r="AB2939" t="str">
        <f>HYPERLINK("Melting_Curves/meltCurve_P62820_RAB1A.pdf", "Melting_Curves/meltCurve_P62820_RAB1A.pdf")</f>
        <v>Melting_Curves/meltCurve_P62820_RAB1A.pdf</v>
      </c>
    </row>
    <row r="2940" spans="1:28" x14ac:dyDescent="0.25">
      <c r="A2940" t="s">
        <v>2944</v>
      </c>
      <c r="B2940">
        <v>0.99673306730245903</v>
      </c>
      <c r="C2940">
        <v>0.91446377104313403</v>
      </c>
      <c r="D2940">
        <v>0.93094412467683096</v>
      </c>
      <c r="E2940">
        <v>0.785594269458737</v>
      </c>
      <c r="F2940">
        <v>0.46641229383420901</v>
      </c>
      <c r="G2940">
        <v>0.242417143137997</v>
      </c>
      <c r="H2940">
        <v>9.2380020530985804E-2</v>
      </c>
      <c r="I2940">
        <v>7.5646734206449198E-2</v>
      </c>
      <c r="J2940">
        <v>8.2521266292637493E-2</v>
      </c>
      <c r="K2940">
        <v>7.8827039765366494E-2</v>
      </c>
      <c r="L2940">
        <v>1011.34001029986</v>
      </c>
      <c r="M2940">
        <v>19.257966900058801</v>
      </c>
      <c r="N2940">
        <v>52.840099418347201</v>
      </c>
      <c r="O2940">
        <v>51.9589810027948</v>
      </c>
      <c r="P2940">
        <v>-8.7492273006500407E-2</v>
      </c>
      <c r="Q2940">
        <v>5.5801153504551802E-2</v>
      </c>
      <c r="R2940">
        <v>0.995134899869765</v>
      </c>
      <c r="S2940" t="s">
        <v>9392</v>
      </c>
      <c r="T2940" t="s">
        <v>12902</v>
      </c>
      <c r="U2940" t="s">
        <v>12902</v>
      </c>
      <c r="V2940" t="s">
        <v>12902</v>
      </c>
      <c r="W2940" t="s">
        <v>15802</v>
      </c>
      <c r="X2940">
        <v>12</v>
      </c>
      <c r="Y2940" t="s">
        <v>22138</v>
      </c>
      <c r="Z2940" t="s">
        <v>28515</v>
      </c>
      <c r="AA2940">
        <v>0.46361698652536099</v>
      </c>
      <c r="AB2940" t="str">
        <f>HYPERLINK("Melting_Curves/meltCurve_P62829_RPL23.pdf", "Melting_Curves/meltCurve_P62829_RPL23.pdf")</f>
        <v>Melting_Curves/meltCurve_P62829_RPL23.pdf</v>
      </c>
    </row>
    <row r="2941" spans="1:28" x14ac:dyDescent="0.25">
      <c r="A2941" t="s">
        <v>2945</v>
      </c>
      <c r="B2941">
        <v>0.99673306730245903</v>
      </c>
      <c r="C2941">
        <v>0.96963843728856403</v>
      </c>
      <c r="D2941">
        <v>0.91841590685705599</v>
      </c>
      <c r="E2941">
        <v>0.78070843181652605</v>
      </c>
      <c r="F2941">
        <v>0.659871001864759</v>
      </c>
      <c r="G2941">
        <v>0.617878077860046</v>
      </c>
      <c r="H2941">
        <v>0.52204715031478099</v>
      </c>
      <c r="I2941">
        <v>0.56119501509617697</v>
      </c>
      <c r="J2941">
        <v>0.28589531618075398</v>
      </c>
      <c r="K2941">
        <v>0.16856850477840399</v>
      </c>
      <c r="L2941">
        <v>426.78700906097498</v>
      </c>
      <c r="M2941">
        <v>7.06022925529851</v>
      </c>
      <c r="N2941">
        <v>60.449477700756397</v>
      </c>
      <c r="O2941">
        <v>56.161510513819103</v>
      </c>
      <c r="P2941">
        <v>-3.14847019360803E-2</v>
      </c>
      <c r="Q2941">
        <v>0</v>
      </c>
      <c r="R2941">
        <v>0.933040726895079</v>
      </c>
      <c r="S2941" t="s">
        <v>9393</v>
      </c>
      <c r="T2941" t="s">
        <v>12902</v>
      </c>
      <c r="U2941" t="s">
        <v>12902</v>
      </c>
      <c r="V2941" t="s">
        <v>12902</v>
      </c>
      <c r="W2941" t="s">
        <v>15803</v>
      </c>
      <c r="X2941">
        <v>13</v>
      </c>
      <c r="Y2941" t="s">
        <v>22139</v>
      </c>
      <c r="Z2941" t="s">
        <v>28516</v>
      </c>
      <c r="AA2941">
        <v>0.65367976319359744</v>
      </c>
      <c r="AB2941" t="str">
        <f>HYPERLINK("Melting_Curves/meltCurve_P62834_RAP1A.pdf", "Melting_Curves/meltCurve_P62834_RAP1A.pdf")</f>
        <v>Melting_Curves/meltCurve_P62834_RAP1A.pdf</v>
      </c>
    </row>
    <row r="2942" spans="1:28" x14ac:dyDescent="0.25">
      <c r="A2942" t="s">
        <v>2946</v>
      </c>
      <c r="B2942">
        <v>0.99673306730245903</v>
      </c>
      <c r="C2942">
        <v>0.86039187421223895</v>
      </c>
      <c r="D2942">
        <v>1.3051318134332599</v>
      </c>
      <c r="E2942">
        <v>1.12038627033896</v>
      </c>
      <c r="F2942">
        <v>0.800760685305417</v>
      </c>
      <c r="G2942">
        <v>0.376993017249591</v>
      </c>
      <c r="H2942">
        <v>0.11377910939451299</v>
      </c>
      <c r="I2942">
        <v>9.8861815105816597E-2</v>
      </c>
      <c r="J2942">
        <v>4.9127178313344698E-2</v>
      </c>
      <c r="K2942">
        <v>6.0113361971103799E-2</v>
      </c>
      <c r="L2942">
        <v>1916.39419494139</v>
      </c>
      <c r="M2942">
        <v>34.489139185185103</v>
      </c>
      <c r="N2942">
        <v>55.796745298295697</v>
      </c>
      <c r="O2942">
        <v>55.379344886926901</v>
      </c>
      <c r="P2942">
        <v>-0.14531247568354999</v>
      </c>
      <c r="Q2942">
        <v>6.6688367260667902E-2</v>
      </c>
      <c r="R2942">
        <v>0.93825303103234403</v>
      </c>
      <c r="S2942" t="s">
        <v>9394</v>
      </c>
      <c r="T2942" t="s">
        <v>12902</v>
      </c>
      <c r="U2942" t="s">
        <v>12902</v>
      </c>
      <c r="V2942" t="s">
        <v>12902</v>
      </c>
      <c r="W2942" t="s">
        <v>15804</v>
      </c>
      <c r="X2942">
        <v>5</v>
      </c>
      <c r="Y2942" t="s">
        <v>22140</v>
      </c>
      <c r="Z2942" t="s">
        <v>28517</v>
      </c>
      <c r="AA2942">
        <v>0.55569419332836512</v>
      </c>
      <c r="AB2942" t="str">
        <f>HYPERLINK("Melting_Curves/meltCurve_P62837_UBE2D2.pdf", "Melting_Curves/meltCurve_P62837_UBE2D2.pdf")</f>
        <v>Melting_Curves/meltCurve_P62837_UBE2D2.pdf</v>
      </c>
    </row>
    <row r="2943" spans="1:28" x14ac:dyDescent="0.25">
      <c r="A2943" t="s">
        <v>2947</v>
      </c>
      <c r="B2943">
        <v>0.99673306730245903</v>
      </c>
      <c r="C2943">
        <v>1.2068202943733899</v>
      </c>
      <c r="D2943">
        <v>1.0659174336221</v>
      </c>
      <c r="E2943">
        <v>1.16171167881877</v>
      </c>
      <c r="F2943">
        <v>0.89858590140414696</v>
      </c>
      <c r="G2943">
        <v>0.70260795861549397</v>
      </c>
      <c r="H2943">
        <v>0.40322754282714501</v>
      </c>
      <c r="I2943">
        <v>0.39612249547770001</v>
      </c>
      <c r="J2943">
        <v>0.53259100790214897</v>
      </c>
      <c r="K2943">
        <v>0.56409458485548003</v>
      </c>
      <c r="L2943">
        <v>2457.2382706211201</v>
      </c>
      <c r="M2943">
        <v>43.757699454431098</v>
      </c>
      <c r="N2943">
        <v>60.180549870625903</v>
      </c>
      <c r="O2943">
        <v>56.038634719474402</v>
      </c>
      <c r="P2943">
        <v>-0.102835856597578</v>
      </c>
      <c r="Q2943">
        <v>0.47321041786901402</v>
      </c>
      <c r="R2943">
        <v>0.88079830591420505</v>
      </c>
      <c r="S2943" t="s">
        <v>9395</v>
      </c>
      <c r="T2943" t="s">
        <v>12902</v>
      </c>
      <c r="U2943" t="s">
        <v>12902</v>
      </c>
      <c r="V2943" t="s">
        <v>12902</v>
      </c>
      <c r="W2943" t="s">
        <v>15805</v>
      </c>
      <c r="X2943">
        <v>7</v>
      </c>
      <c r="Y2943" t="s">
        <v>22141</v>
      </c>
      <c r="Z2943" t="s">
        <v>28518</v>
      </c>
      <c r="AA2943">
        <v>0.75859670090836506</v>
      </c>
      <c r="AB2943" t="str">
        <f>HYPERLINK("Melting_Curves/meltCurve_P62851_RPS25.pdf", "Melting_Curves/meltCurve_P62851_RPS25.pdf")</f>
        <v>Melting_Curves/meltCurve_P62851_RPS25.pdf</v>
      </c>
    </row>
    <row r="2944" spans="1:28" x14ac:dyDescent="0.25">
      <c r="A2944" t="s">
        <v>2948</v>
      </c>
      <c r="B2944">
        <v>0.99673306730245903</v>
      </c>
      <c r="C2944">
        <v>1.02091075511735</v>
      </c>
      <c r="D2944">
        <v>1.01234242832798</v>
      </c>
      <c r="E2944">
        <v>0.95660153770762202</v>
      </c>
      <c r="F2944">
        <v>0.67599253072502097</v>
      </c>
      <c r="G2944">
        <v>0.46799313009656801</v>
      </c>
      <c r="H2944">
        <v>0.16729928392712301</v>
      </c>
      <c r="I2944">
        <v>0.12133751937440999</v>
      </c>
      <c r="J2944">
        <v>0.117822829936513</v>
      </c>
      <c r="K2944">
        <v>9.3621323025864095E-2</v>
      </c>
      <c r="L2944">
        <v>1158.89103988123</v>
      </c>
      <c r="M2944">
        <v>20.9356856115098</v>
      </c>
      <c r="N2944">
        <v>55.812431817179402</v>
      </c>
      <c r="O2944">
        <v>54.857200792059899</v>
      </c>
      <c r="P2944">
        <v>-8.78878055209594E-2</v>
      </c>
      <c r="Q2944">
        <v>7.8865141395423694E-2</v>
      </c>
      <c r="R2944">
        <v>0.99464620070681198</v>
      </c>
      <c r="S2944" t="s">
        <v>9396</v>
      </c>
      <c r="T2944" t="s">
        <v>12902</v>
      </c>
      <c r="U2944" t="s">
        <v>12902</v>
      </c>
      <c r="V2944" t="s">
        <v>12902</v>
      </c>
      <c r="W2944" t="s">
        <v>15806</v>
      </c>
      <c r="X2944">
        <v>2</v>
      </c>
      <c r="Y2944" t="s">
        <v>22142</v>
      </c>
      <c r="Z2944" t="s">
        <v>28519</v>
      </c>
      <c r="AA2944">
        <v>0.56167277252143466</v>
      </c>
      <c r="AB2944" t="str">
        <f>HYPERLINK("Melting_Curves/meltCurve_P62854_RPS26.pdf", "Melting_Curves/meltCurve_P62854_RPS26.pdf")</f>
        <v>Melting_Curves/meltCurve_P62854_RPS26.pdf</v>
      </c>
    </row>
    <row r="2945" spans="1:28" x14ac:dyDescent="0.25">
      <c r="A2945" t="s">
        <v>2949</v>
      </c>
      <c r="B2945">
        <v>0.99673306730245903</v>
      </c>
      <c r="C2945">
        <v>1.0590627268666799</v>
      </c>
      <c r="D2945">
        <v>1.27951426016426</v>
      </c>
      <c r="E2945">
        <v>1.0805396219852601</v>
      </c>
      <c r="F2945">
        <v>1.28584510385846</v>
      </c>
      <c r="G2945">
        <v>1.2438528259996899</v>
      </c>
      <c r="H2945">
        <v>1.0254005457720199</v>
      </c>
      <c r="I2945">
        <v>1.32043138891626</v>
      </c>
      <c r="J2945">
        <v>2.1008576120482401</v>
      </c>
      <c r="K2945">
        <v>1.90543289211234</v>
      </c>
      <c r="L2945">
        <v>700.14013226330201</v>
      </c>
      <c r="M2945">
        <v>12.9972527559702</v>
      </c>
      <c r="O2945">
        <v>52.640943532057499</v>
      </c>
      <c r="P2945">
        <v>3.08684408295237E-2</v>
      </c>
      <c r="Q2945">
        <v>1.5</v>
      </c>
      <c r="R2945">
        <v>0.35921541043201599</v>
      </c>
      <c r="S2945" t="s">
        <v>9397</v>
      </c>
      <c r="T2945" t="s">
        <v>12902</v>
      </c>
      <c r="U2945" t="s">
        <v>12902</v>
      </c>
      <c r="V2945" t="s">
        <v>12902</v>
      </c>
      <c r="W2945" t="s">
        <v>15807</v>
      </c>
      <c r="X2945">
        <v>11</v>
      </c>
      <c r="Y2945" t="s">
        <v>22143</v>
      </c>
      <c r="Z2945" t="s">
        <v>28520</v>
      </c>
      <c r="AA2945">
        <v>1.256659974994383</v>
      </c>
      <c r="AB2945" t="str">
        <f>HYPERLINK("Melting_Curves/meltCurve_P62857_RPS28.pdf", "Melting_Curves/meltCurve_P62857_RPS28.pdf")</f>
        <v>Melting_Curves/meltCurve_P62857_RPS28.pdf</v>
      </c>
    </row>
    <row r="2946" spans="1:28" x14ac:dyDescent="0.25">
      <c r="A2946" t="s">
        <v>2950</v>
      </c>
      <c r="B2946">
        <v>0.99673306730245903</v>
      </c>
      <c r="C2946">
        <v>0.95499264084746904</v>
      </c>
      <c r="D2946">
        <v>0.91332966229217505</v>
      </c>
      <c r="E2946">
        <v>0.82329197229428597</v>
      </c>
      <c r="F2946">
        <v>0.64864964228584598</v>
      </c>
      <c r="G2946">
        <v>0.309818380588399</v>
      </c>
      <c r="H2946">
        <v>0.12518208533809499</v>
      </c>
      <c r="I2946">
        <v>8.9025764091013801E-2</v>
      </c>
      <c r="J2946">
        <v>0.119497559978648</v>
      </c>
      <c r="K2946">
        <v>8.8146535798438397E-2</v>
      </c>
      <c r="L2946">
        <v>1012.6847351466801</v>
      </c>
      <c r="M2946">
        <v>18.754379068043601</v>
      </c>
      <c r="N2946">
        <v>54.372965734664596</v>
      </c>
      <c r="O2946">
        <v>53.394550139960501</v>
      </c>
      <c r="P2946">
        <v>-8.2477342223425607E-2</v>
      </c>
      <c r="Q2946">
        <v>6.0772777534805603E-2</v>
      </c>
      <c r="R2946">
        <v>0.99204093829985496</v>
      </c>
      <c r="S2946" t="s">
        <v>9398</v>
      </c>
      <c r="T2946" t="s">
        <v>12902</v>
      </c>
      <c r="U2946" t="s">
        <v>12902</v>
      </c>
      <c r="V2946" t="s">
        <v>12902</v>
      </c>
      <c r="W2946" t="s">
        <v>15808</v>
      </c>
      <c r="X2946">
        <v>12</v>
      </c>
      <c r="Y2946" t="s">
        <v>22144</v>
      </c>
      <c r="Z2946" t="s">
        <v>28521</v>
      </c>
      <c r="AA2946">
        <v>0.51311765887907568</v>
      </c>
      <c r="AB2946" t="str">
        <f>HYPERLINK("Melting_Curves/meltCurve_P62873_GNB1.pdf", "Melting_Curves/meltCurve_P62873_GNB1.pdf")</f>
        <v>Melting_Curves/meltCurve_P62873_GNB1.pdf</v>
      </c>
    </row>
    <row r="2947" spans="1:28" x14ac:dyDescent="0.25">
      <c r="A2947" t="s">
        <v>2951</v>
      </c>
      <c r="B2947">
        <v>0.99673306730245903</v>
      </c>
      <c r="C2947">
        <v>1.00306855994139</v>
      </c>
      <c r="D2947">
        <v>1.09483046177782</v>
      </c>
      <c r="E2947">
        <v>1.06352935382157</v>
      </c>
      <c r="F2947">
        <v>0.86294809210708801</v>
      </c>
      <c r="G2947">
        <v>0.58898634429297603</v>
      </c>
      <c r="H2947">
        <v>0.36215902947116702</v>
      </c>
      <c r="I2947">
        <v>0.33917836803148999</v>
      </c>
      <c r="J2947">
        <v>0.34476883746680398</v>
      </c>
      <c r="K2947">
        <v>0.29551660793753598</v>
      </c>
      <c r="L2947">
        <v>1760.4757079779199</v>
      </c>
      <c r="M2947">
        <v>31.4752373303402</v>
      </c>
      <c r="N2947">
        <v>57.801221024793399</v>
      </c>
      <c r="O2947">
        <v>55.707764175007</v>
      </c>
      <c r="P2947">
        <v>-9.6148956948820793E-2</v>
      </c>
      <c r="Q2947">
        <v>0.31931066518939</v>
      </c>
      <c r="R2947">
        <v>0.983890589641783</v>
      </c>
      <c r="S2947" t="s">
        <v>9399</v>
      </c>
      <c r="T2947" t="s">
        <v>12902</v>
      </c>
      <c r="U2947" t="s">
        <v>12902</v>
      </c>
      <c r="V2947" t="s">
        <v>12902</v>
      </c>
      <c r="W2947" t="s">
        <v>15809</v>
      </c>
      <c r="X2947">
        <v>4</v>
      </c>
      <c r="Y2947" t="s">
        <v>22145</v>
      </c>
      <c r="Z2947" t="s">
        <v>28522</v>
      </c>
      <c r="AA2947">
        <v>0.68495599597621726</v>
      </c>
      <c r="AB2947" t="str">
        <f>HYPERLINK("Melting_Curves/meltCurve_P62877_RBX1.pdf", "Melting_Curves/meltCurve_P62877_RBX1.pdf")</f>
        <v>Melting_Curves/meltCurve_P62877_RBX1.pdf</v>
      </c>
    </row>
    <row r="2948" spans="1:28" x14ac:dyDescent="0.25">
      <c r="A2948" t="s">
        <v>2952</v>
      </c>
      <c r="B2948">
        <v>0.99673306730245903</v>
      </c>
      <c r="C2948">
        <v>0.88012919376014898</v>
      </c>
      <c r="D2948">
        <v>0.82915478245454599</v>
      </c>
      <c r="E2948">
        <v>0.78555817100728398</v>
      </c>
      <c r="F2948">
        <v>0.40600507137113001</v>
      </c>
      <c r="G2948">
        <v>0.12055308966212699</v>
      </c>
      <c r="H2948">
        <v>6.5878431840494897E-2</v>
      </c>
      <c r="I2948">
        <v>6.1786756377098802E-2</v>
      </c>
      <c r="J2948">
        <v>6.9818846955076203E-2</v>
      </c>
      <c r="K2948">
        <v>6.3002881513155307E-2</v>
      </c>
      <c r="L2948">
        <v>1036.16445251853</v>
      </c>
      <c r="M2948">
        <v>19.9979140723187</v>
      </c>
      <c r="N2948">
        <v>52.008881301917199</v>
      </c>
      <c r="O2948">
        <v>51.303858853516601</v>
      </c>
      <c r="P2948">
        <v>-9.3927318957466394E-2</v>
      </c>
      <c r="Q2948">
        <v>3.6164075691010301E-2</v>
      </c>
      <c r="R2948">
        <v>0.97911124284989903</v>
      </c>
      <c r="S2948" t="s">
        <v>9400</v>
      </c>
      <c r="T2948" t="s">
        <v>12902</v>
      </c>
      <c r="U2948" t="s">
        <v>12902</v>
      </c>
      <c r="V2948" t="s">
        <v>12902</v>
      </c>
      <c r="W2948" t="s">
        <v>15810</v>
      </c>
      <c r="X2948">
        <v>13</v>
      </c>
      <c r="Y2948" t="s">
        <v>22146</v>
      </c>
      <c r="Z2948" t="s">
        <v>28523</v>
      </c>
      <c r="AA2948">
        <v>0.42906118388983822</v>
      </c>
      <c r="AB2948" t="str">
        <f>HYPERLINK("Melting_Curves/meltCurve_P62879_GNB2.pdf", "Melting_Curves/meltCurve_P62879_GNB2.pdf")</f>
        <v>Melting_Curves/meltCurve_P62879_GNB2.pdf</v>
      </c>
    </row>
    <row r="2949" spans="1:28" x14ac:dyDescent="0.25">
      <c r="A2949" t="s">
        <v>2953</v>
      </c>
      <c r="B2949">
        <v>0.99673306730245903</v>
      </c>
      <c r="C2949">
        <v>1.1302524821811399</v>
      </c>
      <c r="D2949">
        <v>0.99003882492857498</v>
      </c>
      <c r="E2949">
        <v>1.04567532460903</v>
      </c>
      <c r="F2949">
        <v>0.95137200942079703</v>
      </c>
      <c r="G2949">
        <v>0.673140459813242</v>
      </c>
      <c r="H2949">
        <v>0.20382805657994801</v>
      </c>
      <c r="I2949">
        <v>0.17889912533992799</v>
      </c>
      <c r="J2949">
        <v>0.232637067913916</v>
      </c>
      <c r="K2949">
        <v>0.17035710969036499</v>
      </c>
      <c r="L2949">
        <v>3136.7541143988801</v>
      </c>
      <c r="M2949">
        <v>54.8545885075321</v>
      </c>
      <c r="N2949">
        <v>57.681576625808603</v>
      </c>
      <c r="O2949">
        <v>57.107229508507302</v>
      </c>
      <c r="P2949">
        <v>-0.194808246045373</v>
      </c>
      <c r="Q2949">
        <v>0.18876776972317599</v>
      </c>
      <c r="R2949">
        <v>0.98500968725589999</v>
      </c>
      <c r="S2949" t="s">
        <v>9401</v>
      </c>
      <c r="T2949" t="s">
        <v>12902</v>
      </c>
      <c r="U2949" t="s">
        <v>12902</v>
      </c>
      <c r="V2949" t="s">
        <v>12902</v>
      </c>
      <c r="W2949" t="s">
        <v>15811</v>
      </c>
      <c r="X2949">
        <v>5</v>
      </c>
      <c r="Y2949" t="s">
        <v>22147</v>
      </c>
      <c r="Z2949" t="s">
        <v>28524</v>
      </c>
      <c r="AA2949">
        <v>0.65511314484251493</v>
      </c>
      <c r="AB2949" t="str">
        <f>HYPERLINK("Melting_Curves/meltCurve_P62906_RPL10A.pdf", "Melting_Curves/meltCurve_P62906_RPL10A.pdf")</f>
        <v>Melting_Curves/meltCurve_P62906_RPL10A.pdf</v>
      </c>
    </row>
    <row r="2950" spans="1:28" x14ac:dyDescent="0.25">
      <c r="A2950" t="s">
        <v>2954</v>
      </c>
      <c r="B2950">
        <v>0.99673306730245903</v>
      </c>
      <c r="C2950">
        <v>1.0041110507373601</v>
      </c>
      <c r="D2950">
        <v>0.88357869992452398</v>
      </c>
      <c r="E2950">
        <v>0.94099598606906998</v>
      </c>
      <c r="F2950">
        <v>0.91237299752725398</v>
      </c>
      <c r="G2950">
        <v>0.52814135378498706</v>
      </c>
      <c r="H2950">
        <v>0.13255790486050201</v>
      </c>
      <c r="I2950">
        <v>0.102182065380162</v>
      </c>
      <c r="J2950">
        <v>9.9825639823521495E-2</v>
      </c>
      <c r="K2950">
        <v>8.0957498439232001E-2</v>
      </c>
      <c r="L2950">
        <v>2042.47477721523</v>
      </c>
      <c r="M2950">
        <v>36.057574555526799</v>
      </c>
      <c r="N2950">
        <v>56.930098127114199</v>
      </c>
      <c r="O2950">
        <v>56.471457944431499</v>
      </c>
      <c r="P2950">
        <v>-0.146434448921025</v>
      </c>
      <c r="Q2950">
        <v>8.2651818168357802E-2</v>
      </c>
      <c r="R2950">
        <v>0.98919554808218402</v>
      </c>
      <c r="S2950" t="s">
        <v>9402</v>
      </c>
      <c r="T2950" t="s">
        <v>12902</v>
      </c>
      <c r="U2950" t="s">
        <v>12902</v>
      </c>
      <c r="V2950" t="s">
        <v>12902</v>
      </c>
      <c r="W2950" t="s">
        <v>15812</v>
      </c>
      <c r="X2950">
        <v>9</v>
      </c>
      <c r="Y2950" t="s">
        <v>22148</v>
      </c>
      <c r="Z2950" t="s">
        <v>28525</v>
      </c>
      <c r="AA2950">
        <v>0.59597102951982728</v>
      </c>
      <c r="AB2950" t="str">
        <f>HYPERLINK("Melting_Curves/meltCurve_P62913_2_RPL11.pdf", "Melting_Curves/meltCurve_P62913_2_RPL11.pdf")</f>
        <v>Melting_Curves/meltCurve_P62913_2_RPL11.pdf</v>
      </c>
    </row>
    <row r="2951" spans="1:28" x14ac:dyDescent="0.25">
      <c r="A2951" t="s">
        <v>2955</v>
      </c>
      <c r="B2951">
        <v>0.99673306730245903</v>
      </c>
      <c r="C2951">
        <v>1.0383792974200601</v>
      </c>
      <c r="D2951">
        <v>1.05507083103374</v>
      </c>
      <c r="E2951">
        <v>1.05164171721202</v>
      </c>
      <c r="F2951">
        <v>0.85729698720505698</v>
      </c>
      <c r="G2951">
        <v>0.70621790931947304</v>
      </c>
      <c r="H2951">
        <v>0.39369725376915499</v>
      </c>
      <c r="I2951">
        <v>0.34095157596686398</v>
      </c>
      <c r="J2951">
        <v>0.45858156755521201</v>
      </c>
      <c r="K2951">
        <v>0.40776718357639302</v>
      </c>
      <c r="L2951">
        <v>1776.4806153996799</v>
      </c>
      <c r="M2951">
        <v>31.496287927520999</v>
      </c>
      <c r="N2951">
        <v>59.199588802872199</v>
      </c>
      <c r="O2951">
        <v>56.176946379847799</v>
      </c>
      <c r="P2951">
        <v>-8.5910111452820501E-2</v>
      </c>
      <c r="Q2951">
        <v>0.38708436803428298</v>
      </c>
      <c r="R2951">
        <v>0.96964583979609198</v>
      </c>
      <c r="S2951" t="s">
        <v>9403</v>
      </c>
      <c r="T2951" t="s">
        <v>12902</v>
      </c>
      <c r="U2951" t="s">
        <v>12902</v>
      </c>
      <c r="V2951" t="s">
        <v>12902</v>
      </c>
      <c r="W2951" t="s">
        <v>15813</v>
      </c>
      <c r="X2951">
        <v>9</v>
      </c>
      <c r="Y2951" t="s">
        <v>22149</v>
      </c>
      <c r="Z2951" t="s">
        <v>28526</v>
      </c>
      <c r="AA2951">
        <v>0.72594472259880716</v>
      </c>
      <c r="AB2951" t="str">
        <f>HYPERLINK("Melting_Curves/meltCurve_P62917_RPL8.pdf", "Melting_Curves/meltCurve_P62917_RPL8.pdf")</f>
        <v>Melting_Curves/meltCurve_P62917_RPL8.pdf</v>
      </c>
    </row>
    <row r="2952" spans="1:28" x14ac:dyDescent="0.25">
      <c r="A2952" t="s">
        <v>2956</v>
      </c>
      <c r="B2952">
        <v>0.99673306730245903</v>
      </c>
      <c r="C2952">
        <v>1.2082779929495699</v>
      </c>
      <c r="D2952">
        <v>0.59956889430067295</v>
      </c>
      <c r="E2952">
        <v>0.73324664828498898</v>
      </c>
      <c r="F2952">
        <v>0.19202057812610901</v>
      </c>
      <c r="G2952">
        <v>0.106839460161095</v>
      </c>
      <c r="H2952">
        <v>5.7890745450412201E-2</v>
      </c>
      <c r="I2952">
        <v>5.3048007676815397E-2</v>
      </c>
      <c r="J2952">
        <v>6.0113878332528799E-2</v>
      </c>
      <c r="K2952">
        <v>6.7106251081868296E-2</v>
      </c>
      <c r="L2952">
        <v>975.672256413848</v>
      </c>
      <c r="M2952">
        <v>19.462905190424198</v>
      </c>
      <c r="N2952">
        <v>50.329336120999102</v>
      </c>
      <c r="O2952">
        <v>49.609645038082</v>
      </c>
      <c r="P2952">
        <v>-9.4442598549333595E-2</v>
      </c>
      <c r="Q2952">
        <v>3.7123887796402598E-2</v>
      </c>
      <c r="R2952">
        <v>0.90831402277438</v>
      </c>
      <c r="S2952" t="s">
        <v>9404</v>
      </c>
      <c r="T2952" t="s">
        <v>12902</v>
      </c>
      <c r="U2952" t="s">
        <v>12902</v>
      </c>
      <c r="V2952" t="s">
        <v>12902</v>
      </c>
      <c r="W2952" t="s">
        <v>15814</v>
      </c>
      <c r="X2952">
        <v>22</v>
      </c>
      <c r="Y2952" t="s">
        <v>22150</v>
      </c>
      <c r="Z2952" t="s">
        <v>28527</v>
      </c>
      <c r="AA2952">
        <v>0.3763723406620797</v>
      </c>
      <c r="AB2952" t="str">
        <f>HYPERLINK("Melting_Curves/meltCurve_P62937_PPIA.pdf", "Melting_Curves/meltCurve_P62937_PPIA.pdf")</f>
        <v>Melting_Curves/meltCurve_P62937_PPIA.pdf</v>
      </c>
    </row>
    <row r="2953" spans="1:28" x14ac:dyDescent="0.25">
      <c r="A2953" t="s">
        <v>2957</v>
      </c>
      <c r="B2953">
        <v>0.99673306730245903</v>
      </c>
      <c r="C2953">
        <v>1.0121058294310601</v>
      </c>
      <c r="D2953">
        <v>0.95852237297621301</v>
      </c>
      <c r="E2953">
        <v>0.92916405627205401</v>
      </c>
      <c r="F2953">
        <v>0.75744725505835497</v>
      </c>
      <c r="G2953">
        <v>0.50308520235308096</v>
      </c>
      <c r="H2953">
        <v>0.23212609494644301</v>
      </c>
      <c r="I2953">
        <v>0.25658839721043297</v>
      </c>
      <c r="J2953">
        <v>0.31353649831382902</v>
      </c>
      <c r="K2953">
        <v>0.28646327992785597</v>
      </c>
      <c r="L2953">
        <v>1422.6906414401799</v>
      </c>
      <c r="M2953">
        <v>26.004075202376299</v>
      </c>
      <c r="N2953">
        <v>56.304536578206701</v>
      </c>
      <c r="O2953">
        <v>54.389821851346802</v>
      </c>
      <c r="P2953">
        <v>-8.8383895139006505E-2</v>
      </c>
      <c r="Q2953">
        <v>0.26055758093023001</v>
      </c>
      <c r="R2953">
        <v>0.98743048022803404</v>
      </c>
      <c r="S2953" t="s">
        <v>9405</v>
      </c>
      <c r="T2953" t="s">
        <v>12902</v>
      </c>
      <c r="U2953" t="s">
        <v>12902</v>
      </c>
      <c r="V2953" t="s">
        <v>12902</v>
      </c>
      <c r="W2953" t="s">
        <v>15815</v>
      </c>
      <c r="X2953">
        <v>12</v>
      </c>
      <c r="Y2953" t="s">
        <v>22151</v>
      </c>
      <c r="Z2953" t="s">
        <v>28528</v>
      </c>
      <c r="AA2953">
        <v>0.62951835373479526</v>
      </c>
      <c r="AB2953" t="str">
        <f>HYPERLINK("Melting_Curves/meltCurve_P62942_FKBP1A.pdf", "Melting_Curves/meltCurve_P62942_FKBP1A.pdf")</f>
        <v>Melting_Curves/meltCurve_P62942_FKBP1A.pdf</v>
      </c>
    </row>
    <row r="2954" spans="1:28" x14ac:dyDescent="0.25">
      <c r="A2954" t="s">
        <v>2958</v>
      </c>
      <c r="B2954">
        <v>0.99673306730245903</v>
      </c>
      <c r="C2954">
        <v>1.0358014212615501</v>
      </c>
      <c r="D2954">
        <v>0.905173959870478</v>
      </c>
      <c r="E2954">
        <v>0.89286080164918302</v>
      </c>
      <c r="F2954">
        <v>0.81425485822170296</v>
      </c>
      <c r="G2954">
        <v>0.71199833317240302</v>
      </c>
      <c r="H2954">
        <v>0.46217513981651598</v>
      </c>
      <c r="I2954">
        <v>0.69769363027034104</v>
      </c>
      <c r="J2954">
        <v>0.74296780141560004</v>
      </c>
      <c r="K2954">
        <v>0.69563653828488003</v>
      </c>
      <c r="L2954">
        <v>1067.42144023582</v>
      </c>
      <c r="M2954">
        <v>20.710932749858401</v>
      </c>
      <c r="O2954">
        <v>51.065756870454798</v>
      </c>
      <c r="P2954">
        <v>-3.5099200201087401E-2</v>
      </c>
      <c r="Q2954">
        <v>0.65384149080101395</v>
      </c>
      <c r="R2954">
        <v>0.76523074330839302</v>
      </c>
      <c r="S2954" t="s">
        <v>9406</v>
      </c>
      <c r="T2954" t="s">
        <v>12902</v>
      </c>
      <c r="U2954" t="s">
        <v>12902</v>
      </c>
      <c r="V2954" t="s">
        <v>12902</v>
      </c>
      <c r="W2954" t="s">
        <v>15816</v>
      </c>
      <c r="X2954">
        <v>13</v>
      </c>
      <c r="Y2954" t="s">
        <v>22152</v>
      </c>
      <c r="Z2954" t="s">
        <v>28529</v>
      </c>
      <c r="AA2954">
        <v>0.79148545370799905</v>
      </c>
      <c r="AB2954" t="str">
        <f>HYPERLINK("Melting_Curves/meltCurve_P62979_RPS27A.pdf", "Melting_Curves/meltCurve_P62979_RPS27A.pdf")</f>
        <v>Melting_Curves/meltCurve_P62979_RPS27A.pdf</v>
      </c>
    </row>
    <row r="2955" spans="1:28" x14ac:dyDescent="0.25">
      <c r="A2955" t="s">
        <v>2959</v>
      </c>
      <c r="B2955">
        <v>0.99673306730245903</v>
      </c>
      <c r="C2955">
        <v>0.94881705763426505</v>
      </c>
      <c r="D2955">
        <v>1.26965889943614</v>
      </c>
      <c r="E2955">
        <v>0.94172373680332</v>
      </c>
      <c r="F2955">
        <v>0.57793082903211401</v>
      </c>
      <c r="G2955">
        <v>0.33723395362543401</v>
      </c>
      <c r="H2955">
        <v>0.274927323238287</v>
      </c>
      <c r="I2955">
        <v>0.234392781428824</v>
      </c>
      <c r="J2955">
        <v>0.52794734961401202</v>
      </c>
      <c r="K2955">
        <v>0.45345591019576198</v>
      </c>
      <c r="L2955">
        <v>2683.0360869955998</v>
      </c>
      <c r="M2955">
        <v>51.173714971102797</v>
      </c>
      <c r="N2955">
        <v>53.799748005980902</v>
      </c>
      <c r="O2955">
        <v>52.350085296303902</v>
      </c>
      <c r="P2955">
        <v>-0.155395011185507</v>
      </c>
      <c r="Q2955">
        <v>0.36413171159591001</v>
      </c>
      <c r="R2955">
        <v>0.88016409998037504</v>
      </c>
      <c r="S2955" t="s">
        <v>9407</v>
      </c>
      <c r="T2955" t="s">
        <v>12902</v>
      </c>
      <c r="U2955" t="s">
        <v>12902</v>
      </c>
      <c r="V2955" t="s">
        <v>12902</v>
      </c>
      <c r="W2955" t="s">
        <v>15817</v>
      </c>
      <c r="X2955">
        <v>11</v>
      </c>
      <c r="Y2955" t="s">
        <v>22153</v>
      </c>
      <c r="Z2955" t="s">
        <v>28530</v>
      </c>
      <c r="AA2955">
        <v>0.62899582691728773</v>
      </c>
      <c r="AB2955" t="str">
        <f>HYPERLINK("Melting_Curves/meltCurve_P62987_UBA52.pdf", "Melting_Curves/meltCurve_P62987_UBA52.pdf")</f>
        <v>Melting_Curves/meltCurve_P62987_UBA52.pdf</v>
      </c>
    </row>
    <row r="2956" spans="1:28" x14ac:dyDescent="0.25">
      <c r="A2956" t="s">
        <v>2960</v>
      </c>
      <c r="B2956">
        <v>0.99673306730245903</v>
      </c>
      <c r="C2956">
        <v>0.93960538477406796</v>
      </c>
      <c r="D2956">
        <v>0.84885802547967604</v>
      </c>
      <c r="E2956">
        <v>0.83883756854888603</v>
      </c>
      <c r="F2956">
        <v>0.392011708722321</v>
      </c>
      <c r="G2956">
        <v>0.19664375217292099</v>
      </c>
      <c r="H2956">
        <v>0.11476854410602701</v>
      </c>
      <c r="I2956">
        <v>0.108680740761748</v>
      </c>
      <c r="J2956">
        <v>8.9930020437264294E-2</v>
      </c>
      <c r="K2956">
        <v>9.4012474324000506E-2</v>
      </c>
      <c r="L2956">
        <v>1230.34577408673</v>
      </c>
      <c r="M2956">
        <v>23.683000152036701</v>
      </c>
      <c r="N2956">
        <v>52.383256962522402</v>
      </c>
      <c r="O2956">
        <v>51.584418410936998</v>
      </c>
      <c r="P2956">
        <v>-0.104583611305437</v>
      </c>
      <c r="Q2956">
        <v>8.8832122221220305E-2</v>
      </c>
      <c r="R2956">
        <v>0.98569982912018705</v>
      </c>
      <c r="S2956" t="s">
        <v>9408</v>
      </c>
      <c r="T2956" t="s">
        <v>12902</v>
      </c>
      <c r="U2956" t="s">
        <v>12902</v>
      </c>
      <c r="V2956" t="s">
        <v>12902</v>
      </c>
      <c r="W2956" t="s">
        <v>15818</v>
      </c>
      <c r="X2956">
        <v>13</v>
      </c>
      <c r="Y2956" t="s">
        <v>22154</v>
      </c>
      <c r="Z2956" t="s">
        <v>28531</v>
      </c>
      <c r="AA2956">
        <v>0.4610202439918295</v>
      </c>
      <c r="AB2956" t="str">
        <f>HYPERLINK("Melting_Curves/meltCurve_P62993_GRB2.pdf", "Melting_Curves/meltCurve_P62993_GRB2.pdf")</f>
        <v>Melting_Curves/meltCurve_P62993_GRB2.pdf</v>
      </c>
    </row>
    <row r="2957" spans="1:28" x14ac:dyDescent="0.25">
      <c r="A2957" t="s">
        <v>2961</v>
      </c>
      <c r="B2957">
        <v>0.99673306730245903</v>
      </c>
      <c r="C2957">
        <v>0.98431390863115298</v>
      </c>
      <c r="D2957">
        <v>0.78788733794705301</v>
      </c>
      <c r="E2957">
        <v>0.78137807071416399</v>
      </c>
      <c r="F2957">
        <v>0.51432106191401805</v>
      </c>
      <c r="G2957">
        <v>0.37941509733619699</v>
      </c>
      <c r="H2957">
        <v>0.272541444204421</v>
      </c>
      <c r="I2957">
        <v>0.42438776141319701</v>
      </c>
      <c r="J2957">
        <v>0.62306479077079902</v>
      </c>
      <c r="K2957">
        <v>0.72554175458041703</v>
      </c>
      <c r="L2957">
        <v>1064.46175290771</v>
      </c>
      <c r="M2957">
        <v>22.0070028367108</v>
      </c>
      <c r="N2957">
        <v>57.4521224729829</v>
      </c>
      <c r="O2957">
        <v>47.975145780293801</v>
      </c>
      <c r="P2957">
        <v>-5.9108808273787498E-2</v>
      </c>
      <c r="Q2957">
        <v>0.48458392366883002</v>
      </c>
      <c r="R2957">
        <v>0.70754402052880405</v>
      </c>
      <c r="S2957" t="s">
        <v>9409</v>
      </c>
      <c r="T2957" t="s">
        <v>12902</v>
      </c>
      <c r="U2957" t="s">
        <v>12902</v>
      </c>
      <c r="V2957" t="s">
        <v>12902</v>
      </c>
      <c r="W2957" t="s">
        <v>15819</v>
      </c>
      <c r="X2957">
        <v>8</v>
      </c>
      <c r="Y2957" t="s">
        <v>22155</v>
      </c>
      <c r="Z2957" t="s">
        <v>28532</v>
      </c>
      <c r="AA2957">
        <v>0.6343265530575195</v>
      </c>
      <c r="AB2957" t="str">
        <f>HYPERLINK("Melting_Curves/meltCurve_P62995_3_TRA2B.pdf", "Melting_Curves/meltCurve_P62995_3_TRA2B.pdf")</f>
        <v>Melting_Curves/meltCurve_P62995_3_TRA2B.pdf</v>
      </c>
    </row>
    <row r="2958" spans="1:28" x14ac:dyDescent="0.25">
      <c r="A2958" t="s">
        <v>2962</v>
      </c>
      <c r="B2958">
        <v>0.99673306730245903</v>
      </c>
      <c r="C2958">
        <v>1.0109394657422299</v>
      </c>
      <c r="D2958">
        <v>0.91194272220727002</v>
      </c>
      <c r="E2958">
        <v>0.94857104642522705</v>
      </c>
      <c r="F2958">
        <v>0.69797761283599302</v>
      </c>
      <c r="G2958">
        <v>0.42880284544300401</v>
      </c>
      <c r="H2958">
        <v>0.322583220289201</v>
      </c>
      <c r="I2958">
        <v>0.22315671239434501</v>
      </c>
      <c r="J2958">
        <v>8.1231706942070603E-2</v>
      </c>
      <c r="K2958">
        <v>6.24069711996093E-2</v>
      </c>
      <c r="L2958">
        <v>789.32846010198898</v>
      </c>
      <c r="M2958">
        <v>13.9731269676048</v>
      </c>
      <c r="N2958">
        <v>56.616312123039997</v>
      </c>
      <c r="O2958">
        <v>55.369782205291102</v>
      </c>
      <c r="P2958">
        <v>-6.2122800365350603E-2</v>
      </c>
      <c r="Q2958">
        <v>1.54623569066133E-2</v>
      </c>
      <c r="R2958">
        <v>0.98742771567728505</v>
      </c>
      <c r="S2958" t="s">
        <v>9410</v>
      </c>
      <c r="T2958" t="s">
        <v>12902</v>
      </c>
      <c r="U2958" t="s">
        <v>12902</v>
      </c>
      <c r="V2958" t="s">
        <v>12902</v>
      </c>
      <c r="W2958" t="s">
        <v>15820</v>
      </c>
      <c r="X2958">
        <v>11</v>
      </c>
      <c r="Y2958" t="s">
        <v>22156</v>
      </c>
      <c r="Z2958" t="s">
        <v>28533</v>
      </c>
      <c r="AA2958">
        <v>0.57396824421117609</v>
      </c>
      <c r="AB2958" t="str">
        <f>HYPERLINK("Melting_Curves/meltCurve_P63000_RAC1.pdf", "Melting_Curves/meltCurve_P63000_RAC1.pdf")</f>
        <v>Melting_Curves/meltCurve_P63000_RAC1.pdf</v>
      </c>
    </row>
    <row r="2959" spans="1:28" x14ac:dyDescent="0.25">
      <c r="A2959" t="s">
        <v>2963</v>
      </c>
      <c r="B2959">
        <v>0.99673306730245903</v>
      </c>
      <c r="C2959">
        <v>1.0045741153704899</v>
      </c>
      <c r="D2959">
        <v>1.00360265610637</v>
      </c>
      <c r="E2959">
        <v>0.99221013710559403</v>
      </c>
      <c r="F2959">
        <v>0.397084038896104</v>
      </c>
      <c r="G2959">
        <v>0.16134985054640999</v>
      </c>
      <c r="H2959">
        <v>8.9885240134941993E-2</v>
      </c>
      <c r="I2959">
        <v>7.6173064399985002E-2</v>
      </c>
      <c r="J2959">
        <v>7.4649958249573906E-2</v>
      </c>
      <c r="K2959">
        <v>5.9699830977874901E-2</v>
      </c>
      <c r="L2959">
        <v>2885.9971768692499</v>
      </c>
      <c r="M2959">
        <v>54.878154788039097</v>
      </c>
      <c r="N2959">
        <v>52.7756041665547</v>
      </c>
      <c r="O2959">
        <v>52.519486746357401</v>
      </c>
      <c r="P2959">
        <v>-0.23821105915135299</v>
      </c>
      <c r="Q2959">
        <v>8.8109642412989894E-2</v>
      </c>
      <c r="R2959">
        <v>0.99718257368618501</v>
      </c>
      <c r="S2959" t="s">
        <v>9411</v>
      </c>
      <c r="T2959" t="s">
        <v>12902</v>
      </c>
      <c r="U2959" t="s">
        <v>12902</v>
      </c>
      <c r="V2959" t="s">
        <v>12902</v>
      </c>
      <c r="W2959" t="s">
        <v>15821</v>
      </c>
      <c r="X2959">
        <v>31</v>
      </c>
      <c r="Y2959" t="s">
        <v>22157</v>
      </c>
      <c r="Z2959" t="s">
        <v>28534</v>
      </c>
      <c r="AA2959">
        <v>0.47252895933421368</v>
      </c>
      <c r="AB2959" t="str">
        <f>HYPERLINK("Melting_Curves/meltCurve_P63010_AP2B1.pdf", "Melting_Curves/meltCurve_P63010_AP2B1.pdf")</f>
        <v>Melting_Curves/meltCurve_P63010_AP2B1.pdf</v>
      </c>
    </row>
    <row r="2960" spans="1:28" x14ac:dyDescent="0.25">
      <c r="A2960" t="s">
        <v>2964</v>
      </c>
      <c r="B2960">
        <v>0.99673306730245903</v>
      </c>
      <c r="C2960">
        <v>0.95267993233114001</v>
      </c>
      <c r="D2960">
        <v>0.87118734393644404</v>
      </c>
      <c r="E2960">
        <v>0.70792077154072197</v>
      </c>
      <c r="F2960">
        <v>0.41948418608925497</v>
      </c>
      <c r="G2960">
        <v>0.19861479364507501</v>
      </c>
      <c r="H2960">
        <v>9.4236536881436295E-2</v>
      </c>
      <c r="I2960">
        <v>8.6972172854180199E-2</v>
      </c>
      <c r="J2960">
        <v>8.97692466621271E-2</v>
      </c>
      <c r="K2960">
        <v>7.7018513673882294E-2</v>
      </c>
      <c r="L2960">
        <v>902.09590873349498</v>
      </c>
      <c r="M2960">
        <v>17.476736120104501</v>
      </c>
      <c r="N2960">
        <v>51.972005837249398</v>
      </c>
      <c r="O2960">
        <v>50.955371714348999</v>
      </c>
      <c r="P2960">
        <v>-8.0924852744748907E-2</v>
      </c>
      <c r="Q2960">
        <v>5.6270599052149498E-2</v>
      </c>
      <c r="R2960">
        <v>0.99777057210262798</v>
      </c>
      <c r="S2960" t="s">
        <v>9412</v>
      </c>
      <c r="T2960" t="s">
        <v>12902</v>
      </c>
      <c r="U2960" t="s">
        <v>12902</v>
      </c>
      <c r="V2960" t="s">
        <v>12902</v>
      </c>
      <c r="W2960" t="s">
        <v>15822</v>
      </c>
      <c r="X2960">
        <v>13</v>
      </c>
      <c r="Y2960" t="s">
        <v>22158</v>
      </c>
      <c r="Z2960" t="s">
        <v>28535</v>
      </c>
      <c r="AA2960">
        <v>0.43832367112106502</v>
      </c>
      <c r="AB2960" t="str">
        <f>HYPERLINK("Melting_Curves/meltCurve_P63092_3_GNAS.pdf", "Melting_Curves/meltCurve_P63092_3_GNAS.pdf")</f>
        <v>Melting_Curves/meltCurve_P63092_3_GNAS.pdf</v>
      </c>
    </row>
    <row r="2961" spans="1:28" x14ac:dyDescent="0.25">
      <c r="A2961" t="s">
        <v>2965</v>
      </c>
      <c r="B2961">
        <v>0.99673306730245903</v>
      </c>
      <c r="C2961">
        <v>0.97195551128520696</v>
      </c>
      <c r="D2961">
        <v>0.90385859414618297</v>
      </c>
      <c r="E2961">
        <v>0.76256054499197601</v>
      </c>
      <c r="F2961">
        <v>0.607727758606738</v>
      </c>
      <c r="G2961">
        <v>0.42561785424133303</v>
      </c>
      <c r="H2961">
        <v>0.15781912190820699</v>
      </c>
      <c r="I2961">
        <v>0.17128729853355401</v>
      </c>
      <c r="J2961">
        <v>0.22819198304900701</v>
      </c>
      <c r="K2961">
        <v>0.19827360403851199</v>
      </c>
      <c r="L2961">
        <v>806.64209371699701</v>
      </c>
      <c r="M2961">
        <v>15.157589364453401</v>
      </c>
      <c r="N2961">
        <v>54.439812884397497</v>
      </c>
      <c r="O2961">
        <v>52.316549416045</v>
      </c>
      <c r="P2961">
        <v>-6.1987896179232699E-2</v>
      </c>
      <c r="Q2961">
        <v>0.14427596651254701</v>
      </c>
      <c r="R2961">
        <v>0.98293057809376005</v>
      </c>
      <c r="S2961" t="s">
        <v>9413</v>
      </c>
      <c r="T2961" t="s">
        <v>12902</v>
      </c>
      <c r="U2961" t="s">
        <v>12902</v>
      </c>
      <c r="V2961" t="s">
        <v>12902</v>
      </c>
      <c r="W2961" t="s">
        <v>15823</v>
      </c>
      <c r="X2961">
        <v>10</v>
      </c>
      <c r="Y2961" t="s">
        <v>22159</v>
      </c>
      <c r="Z2961" t="s">
        <v>28536</v>
      </c>
      <c r="AA2961">
        <v>0.53926405266311694</v>
      </c>
      <c r="AB2961" t="str">
        <f>HYPERLINK("Melting_Curves/meltCurve_P63096_GNAI1.pdf", "Melting_Curves/meltCurve_P63096_GNAI1.pdf")</f>
        <v>Melting_Curves/meltCurve_P63096_GNAI1.pdf</v>
      </c>
    </row>
    <row r="2962" spans="1:28" x14ac:dyDescent="0.25">
      <c r="A2962" t="s">
        <v>2966</v>
      </c>
      <c r="B2962">
        <v>0.99673306730245903</v>
      </c>
      <c r="C2962">
        <v>0.98674518323657501</v>
      </c>
      <c r="D2962">
        <v>0.94878796315885905</v>
      </c>
      <c r="E2962">
        <v>0.99800175792568802</v>
      </c>
      <c r="F2962">
        <v>0.87593606537007795</v>
      </c>
      <c r="G2962">
        <v>0.75464579997269599</v>
      </c>
      <c r="H2962">
        <v>0.218311871850905</v>
      </c>
      <c r="I2962">
        <v>0.11521713110265901</v>
      </c>
      <c r="J2962">
        <v>9.9370478220769304E-2</v>
      </c>
      <c r="K2962">
        <v>8.9609613012393396E-2</v>
      </c>
      <c r="L2962">
        <v>2074.7051692657801</v>
      </c>
      <c r="M2962">
        <v>35.682410097235604</v>
      </c>
      <c r="N2962">
        <v>58.438287100164104</v>
      </c>
      <c r="O2962">
        <v>57.961925629469</v>
      </c>
      <c r="P2962">
        <v>-0.14123430498776701</v>
      </c>
      <c r="Q2962">
        <v>8.2328185861353598E-2</v>
      </c>
      <c r="R2962">
        <v>0.99185839715546997</v>
      </c>
      <c r="S2962" t="s">
        <v>9414</v>
      </c>
      <c r="T2962" t="s">
        <v>12902</v>
      </c>
      <c r="U2962" t="s">
        <v>12902</v>
      </c>
      <c r="V2962" t="s">
        <v>12902</v>
      </c>
      <c r="W2962" t="s">
        <v>15824</v>
      </c>
      <c r="X2962">
        <v>30</v>
      </c>
      <c r="Y2962" t="s">
        <v>22160</v>
      </c>
      <c r="Z2962" t="s">
        <v>28537</v>
      </c>
      <c r="AA2962">
        <v>0.64178764353493922</v>
      </c>
      <c r="AB2962" t="str">
        <f>HYPERLINK("Melting_Curves/meltCurve_P63104_YWHAZ.pdf", "Melting_Curves/meltCurve_P63104_YWHAZ.pdf")</f>
        <v>Melting_Curves/meltCurve_P63104_YWHAZ.pdf</v>
      </c>
    </row>
    <row r="2963" spans="1:28" x14ac:dyDescent="0.25">
      <c r="A2963" t="s">
        <v>2967</v>
      </c>
      <c r="B2963">
        <v>0.99673306730245903</v>
      </c>
      <c r="C2963">
        <v>0.96035686021741695</v>
      </c>
      <c r="D2963">
        <v>0.99241471792217595</v>
      </c>
      <c r="E2963">
        <v>1.0380583929079601</v>
      </c>
      <c r="F2963">
        <v>0.82312977542559995</v>
      </c>
      <c r="G2963">
        <v>0.48201847548566901</v>
      </c>
      <c r="H2963">
        <v>0.202060817877979</v>
      </c>
      <c r="I2963">
        <v>0.12961927215975</v>
      </c>
      <c r="J2963">
        <v>0.14381904002200499</v>
      </c>
      <c r="K2963">
        <v>0.113884733262773</v>
      </c>
      <c r="L2963">
        <v>1617.7523531239201</v>
      </c>
      <c r="M2963">
        <v>28.873514194669902</v>
      </c>
      <c r="N2963">
        <v>56.560548167625598</v>
      </c>
      <c r="O2963">
        <v>55.762252024999597</v>
      </c>
      <c r="P2963">
        <v>-0.114066756033999</v>
      </c>
      <c r="Q2963">
        <v>0.11883677093499399</v>
      </c>
      <c r="R2963">
        <v>0.99602178500224403</v>
      </c>
      <c r="S2963" t="s">
        <v>9415</v>
      </c>
      <c r="T2963" t="s">
        <v>12902</v>
      </c>
      <c r="U2963" t="s">
        <v>12902</v>
      </c>
      <c r="V2963" t="s">
        <v>12902</v>
      </c>
      <c r="W2963" t="s">
        <v>15825</v>
      </c>
      <c r="X2963">
        <v>16</v>
      </c>
      <c r="Y2963" t="s">
        <v>22161</v>
      </c>
      <c r="Z2963" t="s">
        <v>28538</v>
      </c>
      <c r="AA2963">
        <v>0.59593978694300631</v>
      </c>
      <c r="AB2963" t="str">
        <f>HYPERLINK("Melting_Curves/meltCurve_P63151_PPP2R2A.pdf", "Melting_Curves/meltCurve_P63151_PPP2R2A.pdf")</f>
        <v>Melting_Curves/meltCurve_P63151_PPP2R2A.pdf</v>
      </c>
    </row>
    <row r="2964" spans="1:28" x14ac:dyDescent="0.25">
      <c r="A2964" t="s">
        <v>2968</v>
      </c>
      <c r="B2964">
        <v>0.99673306730245903</v>
      </c>
      <c r="C2964">
        <v>0.94003294921467895</v>
      </c>
      <c r="D2964">
        <v>0.87633588386637296</v>
      </c>
      <c r="E2964">
        <v>0.68810913703683696</v>
      </c>
      <c r="F2964">
        <v>0.406269675781672</v>
      </c>
      <c r="G2964">
        <v>0.24404939798950001</v>
      </c>
      <c r="H2964">
        <v>0.14788733250921801</v>
      </c>
      <c r="I2964">
        <v>0.120746391535359</v>
      </c>
      <c r="J2964">
        <v>0.14057582063541199</v>
      </c>
      <c r="K2964">
        <v>9.8970323694654402E-2</v>
      </c>
      <c r="L2964">
        <v>857.47472849488804</v>
      </c>
      <c r="M2964">
        <v>16.732622555425198</v>
      </c>
      <c r="N2964">
        <v>51.9167192914962</v>
      </c>
      <c r="O2964">
        <v>50.530523117624</v>
      </c>
      <c r="P2964">
        <v>-7.4739617634163202E-2</v>
      </c>
      <c r="Q2964">
        <v>9.7240482761231803E-2</v>
      </c>
      <c r="R2964">
        <v>0.99833971306056302</v>
      </c>
      <c r="S2964" t="s">
        <v>9416</v>
      </c>
      <c r="T2964" t="s">
        <v>12902</v>
      </c>
      <c r="U2964" t="s">
        <v>12902</v>
      </c>
      <c r="V2964" t="s">
        <v>12902</v>
      </c>
      <c r="W2964" t="s">
        <v>15826</v>
      </c>
      <c r="X2964">
        <v>7</v>
      </c>
      <c r="Y2964" t="s">
        <v>22162</v>
      </c>
      <c r="Z2964" t="s">
        <v>28539</v>
      </c>
      <c r="AA2964">
        <v>0.45288134839527988</v>
      </c>
      <c r="AB2964" t="str">
        <f>HYPERLINK("Melting_Curves/meltCurve_P63167_DYNLL1.pdf", "Melting_Curves/meltCurve_P63167_DYNLL1.pdf")</f>
        <v>Melting_Curves/meltCurve_P63167_DYNLL1.pdf</v>
      </c>
    </row>
    <row r="2965" spans="1:28" x14ac:dyDescent="0.25">
      <c r="A2965" t="s">
        <v>2969</v>
      </c>
      <c r="B2965">
        <v>0.99673306730245903</v>
      </c>
      <c r="C2965">
        <v>0.99048595209828305</v>
      </c>
      <c r="D2965">
        <v>0.80114962396420597</v>
      </c>
      <c r="E2965">
        <v>0.69478035294170903</v>
      </c>
      <c r="F2965">
        <v>0.48845950846402503</v>
      </c>
      <c r="G2965">
        <v>0.29856915454916499</v>
      </c>
      <c r="H2965">
        <v>0.12496145363283701</v>
      </c>
      <c r="I2965">
        <v>0.10481294639460199</v>
      </c>
      <c r="J2965">
        <v>0.12129132683109201</v>
      </c>
      <c r="K2965">
        <v>9.0974954724320795E-2</v>
      </c>
      <c r="L2965">
        <v>691.08764662142903</v>
      </c>
      <c r="M2965">
        <v>13.235865138543801</v>
      </c>
      <c r="N2965">
        <v>52.591440159186597</v>
      </c>
      <c r="O2965">
        <v>51.064561139301802</v>
      </c>
      <c r="P2965">
        <v>-6.18682976978224E-2</v>
      </c>
      <c r="Q2965">
        <v>4.5394577700045402E-2</v>
      </c>
      <c r="R2965">
        <v>0.99194571407749699</v>
      </c>
      <c r="S2965" t="s">
        <v>9417</v>
      </c>
      <c r="T2965" t="s">
        <v>12902</v>
      </c>
      <c r="U2965" t="s">
        <v>12902</v>
      </c>
      <c r="V2965" t="s">
        <v>12902</v>
      </c>
      <c r="W2965" t="s">
        <v>15827</v>
      </c>
      <c r="X2965">
        <v>4</v>
      </c>
      <c r="Y2965" t="s">
        <v>22163</v>
      </c>
      <c r="Z2965" t="s">
        <v>28540</v>
      </c>
      <c r="AA2965">
        <v>0.45935703195788741</v>
      </c>
      <c r="AB2965" t="str">
        <f>HYPERLINK("Melting_Curves/meltCurve_P63173_RPL38.pdf", "Melting_Curves/meltCurve_P63173_RPL38.pdf")</f>
        <v>Melting_Curves/meltCurve_P63173_RPL38.pdf</v>
      </c>
    </row>
    <row r="2966" spans="1:28" x14ac:dyDescent="0.25">
      <c r="A2966" t="s">
        <v>2970</v>
      </c>
      <c r="B2966">
        <v>0.99673306730245903</v>
      </c>
      <c r="C2966">
        <v>0.89910592445874005</v>
      </c>
      <c r="D2966">
        <v>1.0753190452716299</v>
      </c>
      <c r="E2966">
        <v>0.997127992987213</v>
      </c>
      <c r="F2966">
        <v>0.78737291723959302</v>
      </c>
      <c r="G2966">
        <v>0.741555619538944</v>
      </c>
      <c r="H2966">
        <v>0.57625809554998697</v>
      </c>
      <c r="I2966">
        <v>0.99919439158693102</v>
      </c>
      <c r="J2966">
        <v>0.79967559953291301</v>
      </c>
      <c r="K2966">
        <v>1.0435564891160001</v>
      </c>
      <c r="L2966">
        <v>12603.061397097001</v>
      </c>
      <c r="M2966">
        <v>250</v>
      </c>
      <c r="O2966">
        <v>50.408996282323201</v>
      </c>
      <c r="P2966">
        <v>-0.217468335545691</v>
      </c>
      <c r="Q2966">
        <v>0.824602150411332</v>
      </c>
      <c r="R2966">
        <v>0.28916629345072797</v>
      </c>
      <c r="S2966" t="s">
        <v>9418</v>
      </c>
      <c r="T2966" t="s">
        <v>12902</v>
      </c>
      <c r="U2966" t="s">
        <v>12902</v>
      </c>
      <c r="V2966" t="s">
        <v>12902</v>
      </c>
      <c r="W2966" t="s">
        <v>15828</v>
      </c>
      <c r="X2966">
        <v>4</v>
      </c>
      <c r="Y2966" t="s">
        <v>22164</v>
      </c>
      <c r="Z2966" t="s">
        <v>28541</v>
      </c>
      <c r="AA2966">
        <v>0.88549385118686363</v>
      </c>
      <c r="AB2966" t="str">
        <f>HYPERLINK("Melting_Curves/meltCurve_P63218_GNG5.pdf", "Melting_Curves/meltCurve_P63218_GNG5.pdf")</f>
        <v>Melting_Curves/meltCurve_P63218_GNG5.pdf</v>
      </c>
    </row>
    <row r="2967" spans="1:28" x14ac:dyDescent="0.25">
      <c r="A2967" t="s">
        <v>2971</v>
      </c>
      <c r="B2967">
        <v>0.99673306730245903</v>
      </c>
      <c r="C2967">
        <v>1.0757553844913701</v>
      </c>
      <c r="D2967">
        <v>0.69731747907281505</v>
      </c>
      <c r="E2967">
        <v>0.72562197595522504</v>
      </c>
      <c r="F2967">
        <v>0.46298120009913302</v>
      </c>
      <c r="G2967">
        <v>0.25944244508891101</v>
      </c>
      <c r="H2967">
        <v>0.10444632395108699</v>
      </c>
      <c r="I2967">
        <v>8.2302464876944398E-2</v>
      </c>
      <c r="J2967">
        <v>8.12859745491816E-2</v>
      </c>
      <c r="K2967">
        <v>7.0298349858605003E-2</v>
      </c>
      <c r="L2967">
        <v>690.88216967257097</v>
      </c>
      <c r="M2967">
        <v>13.2563454930348</v>
      </c>
      <c r="N2967">
        <v>52.254531255418698</v>
      </c>
      <c r="O2967">
        <v>50.973921906336003</v>
      </c>
      <c r="P2967">
        <v>-6.3911885783935696E-2</v>
      </c>
      <c r="Q2967">
        <v>1.7132993891270099E-2</v>
      </c>
      <c r="R2967">
        <v>0.96531639077986697</v>
      </c>
      <c r="S2967" t="s">
        <v>9419</v>
      </c>
      <c r="T2967" t="s">
        <v>12902</v>
      </c>
      <c r="U2967" t="s">
        <v>12902</v>
      </c>
      <c r="V2967" t="s">
        <v>12902</v>
      </c>
      <c r="W2967" t="s">
        <v>15829</v>
      </c>
      <c r="X2967">
        <v>23</v>
      </c>
      <c r="Y2967" t="s">
        <v>22165</v>
      </c>
      <c r="Z2967" t="s">
        <v>28542</v>
      </c>
      <c r="AA2967">
        <v>0.44027906081844409</v>
      </c>
      <c r="AB2967" t="str">
        <f>HYPERLINK("Melting_Curves/meltCurve_P63244_GNB2L1.pdf", "Melting_Curves/meltCurve_P63244_GNB2L1.pdf")</f>
        <v>Melting_Curves/meltCurve_P63244_GNB2L1.pdf</v>
      </c>
    </row>
    <row r="2968" spans="1:28" x14ac:dyDescent="0.25">
      <c r="A2968" t="s">
        <v>2972</v>
      </c>
      <c r="B2968">
        <v>0.99673306730245903</v>
      </c>
      <c r="C2968">
        <v>0.85648651456799096</v>
      </c>
      <c r="D2968">
        <v>0.443665588261965</v>
      </c>
      <c r="E2968">
        <v>0.68447186019161599</v>
      </c>
      <c r="F2968">
        <v>0.26028178173986699</v>
      </c>
      <c r="G2968">
        <v>0.193835101559962</v>
      </c>
      <c r="H2968">
        <v>8.4040525190259896E-2</v>
      </c>
      <c r="I2968">
        <v>6.77641051387428E-2</v>
      </c>
      <c r="J2968">
        <v>7.2560796604932795E-2</v>
      </c>
      <c r="K2968">
        <v>8.2056607713902704E-2</v>
      </c>
      <c r="L2968">
        <v>510.81588901227798</v>
      </c>
      <c r="M2968">
        <v>10.419595059825999</v>
      </c>
      <c r="N2968">
        <v>49.090426305877799</v>
      </c>
      <c r="O2968">
        <v>47.321934635541801</v>
      </c>
      <c r="P2968">
        <v>-5.4686842223471498E-2</v>
      </c>
      <c r="Q2968">
        <v>6.9432740056943904E-3</v>
      </c>
      <c r="R2968">
        <v>0.90308973394477499</v>
      </c>
      <c r="S2968" t="s">
        <v>9420</v>
      </c>
      <c r="T2968" t="s">
        <v>12902</v>
      </c>
      <c r="U2968" t="s">
        <v>12902</v>
      </c>
      <c r="V2968" t="s">
        <v>12902</v>
      </c>
      <c r="W2968" t="s">
        <v>15830</v>
      </c>
      <c r="X2968">
        <v>2</v>
      </c>
      <c r="Y2968" t="s">
        <v>22166</v>
      </c>
      <c r="Z2968" t="s">
        <v>28543</v>
      </c>
      <c r="AA2968">
        <v>0.35130050065449109</v>
      </c>
      <c r="AB2968" t="str">
        <f>HYPERLINK("Melting_Curves/meltCurve_P63272_SUPT4H1.pdf", "Melting_Curves/meltCurve_P63272_SUPT4H1.pdf")</f>
        <v>Melting_Curves/meltCurve_P63272_SUPT4H1.pdf</v>
      </c>
    </row>
    <row r="2969" spans="1:28" x14ac:dyDescent="0.25">
      <c r="A2969" t="s">
        <v>2973</v>
      </c>
      <c r="B2969">
        <v>0.99673306730245903</v>
      </c>
      <c r="C2969">
        <v>0.96795375306952802</v>
      </c>
      <c r="D2969">
        <v>1.0106175056233999</v>
      </c>
      <c r="E2969">
        <v>1.08695273159646</v>
      </c>
      <c r="F2969">
        <v>0.84008326996848504</v>
      </c>
      <c r="G2969">
        <v>0.740373957194565</v>
      </c>
      <c r="H2969">
        <v>0.35172887777272599</v>
      </c>
      <c r="I2969">
        <v>0.19053052195485201</v>
      </c>
      <c r="J2969">
        <v>0.15766630475648</v>
      </c>
      <c r="K2969">
        <v>0.12472114578808299</v>
      </c>
      <c r="L2969">
        <v>1383.72739161815</v>
      </c>
      <c r="M2969">
        <v>23.660727230226598</v>
      </c>
      <c r="N2969">
        <v>59.062706473280201</v>
      </c>
      <c r="O2969">
        <v>58.069084438135199</v>
      </c>
      <c r="P2969">
        <v>-9.1295311270462295E-2</v>
      </c>
      <c r="Q2969">
        <v>0.103772864730303</v>
      </c>
      <c r="R2969">
        <v>0.98591525095147903</v>
      </c>
      <c r="S2969" t="s">
        <v>9421</v>
      </c>
      <c r="T2969" t="s">
        <v>12902</v>
      </c>
      <c r="U2969" t="s">
        <v>12902</v>
      </c>
      <c r="V2969" t="s">
        <v>12902</v>
      </c>
      <c r="W2969" t="s">
        <v>15831</v>
      </c>
      <c r="X2969">
        <v>23</v>
      </c>
      <c r="Y2969" t="s">
        <v>22167</v>
      </c>
      <c r="Z2969" t="s">
        <v>28544</v>
      </c>
      <c r="AA2969">
        <v>0.66405266672689578</v>
      </c>
      <c r="AB2969" t="str">
        <f>HYPERLINK("Melting_Curves/meltCurve_P67775_PPP2CA.pdf", "Melting_Curves/meltCurve_P67775_PPP2CA.pdf")</f>
        <v>Melting_Curves/meltCurve_P67775_PPP2CA.pdf</v>
      </c>
    </row>
    <row r="2970" spans="1:28" x14ac:dyDescent="0.25">
      <c r="A2970" t="s">
        <v>2974</v>
      </c>
      <c r="B2970">
        <v>0.99673306730245903</v>
      </c>
      <c r="C2970">
        <v>0.93057473245158795</v>
      </c>
      <c r="D2970">
        <v>0.91519856911106501</v>
      </c>
      <c r="E2970">
        <v>0.90602096418795497</v>
      </c>
      <c r="F2970">
        <v>0.62126707827683403</v>
      </c>
      <c r="G2970">
        <v>0.50355244891634099</v>
      </c>
      <c r="H2970">
        <v>0.47361012876812703</v>
      </c>
      <c r="I2970">
        <v>0.465221249868774</v>
      </c>
      <c r="J2970">
        <v>0.70961858996450899</v>
      </c>
      <c r="K2970">
        <v>0.64310469537016202</v>
      </c>
      <c r="L2970">
        <v>2301.9233518006099</v>
      </c>
      <c r="M2970">
        <v>45.161364013603396</v>
      </c>
      <c r="O2970">
        <v>50.871443107774702</v>
      </c>
      <c r="P2970">
        <v>-9.7859731596636995E-2</v>
      </c>
      <c r="Q2970">
        <v>0.55906922508558299</v>
      </c>
      <c r="R2970">
        <v>0.84031099815863997</v>
      </c>
      <c r="S2970" t="s">
        <v>9422</v>
      </c>
      <c r="T2970" t="s">
        <v>12902</v>
      </c>
      <c r="U2970" t="s">
        <v>12902</v>
      </c>
      <c r="V2970" t="s">
        <v>12902</v>
      </c>
      <c r="W2970" t="s">
        <v>15832</v>
      </c>
      <c r="X2970">
        <v>6</v>
      </c>
      <c r="Y2970" t="s">
        <v>22168</v>
      </c>
      <c r="Z2970" t="s">
        <v>28545</v>
      </c>
      <c r="AA2970">
        <v>0.72153535754372389</v>
      </c>
      <c r="AB2970" t="str">
        <f>HYPERLINK("Melting_Curves/meltCurve_P67809_YBX1.pdf", "Melting_Curves/meltCurve_P67809_YBX1.pdf")</f>
        <v>Melting_Curves/meltCurve_P67809_YBX1.pdf</v>
      </c>
    </row>
    <row r="2971" spans="1:28" x14ac:dyDescent="0.25">
      <c r="A2971" t="s">
        <v>2975</v>
      </c>
      <c r="B2971">
        <v>0.99673306730245903</v>
      </c>
      <c r="C2971">
        <v>0.98892661760326706</v>
      </c>
      <c r="D2971">
        <v>1.0150047700590701</v>
      </c>
      <c r="E2971">
        <v>1.05102716562044</v>
      </c>
      <c r="F2971">
        <v>1.08398004645416</v>
      </c>
      <c r="G2971">
        <v>0.98476484844566003</v>
      </c>
      <c r="H2971">
        <v>0.851623325491773</v>
      </c>
      <c r="I2971">
        <v>1.41351348813477</v>
      </c>
      <c r="J2971">
        <v>1.85905499885259</v>
      </c>
      <c r="K2971">
        <v>1.8392533524838299</v>
      </c>
      <c r="L2971">
        <v>15000</v>
      </c>
      <c r="M2971">
        <v>235.93954277172301</v>
      </c>
      <c r="O2971">
        <v>63.571040825654798</v>
      </c>
      <c r="P2971">
        <v>0.46392889789609199</v>
      </c>
      <c r="Q2971">
        <v>1.5</v>
      </c>
      <c r="R2971">
        <v>0.77191805762893595</v>
      </c>
      <c r="S2971" t="s">
        <v>9423</v>
      </c>
      <c r="T2971" t="s">
        <v>12902</v>
      </c>
      <c r="U2971" t="s">
        <v>12902</v>
      </c>
      <c r="V2971" t="s">
        <v>12902</v>
      </c>
      <c r="W2971" t="s">
        <v>15833</v>
      </c>
      <c r="X2971">
        <v>41</v>
      </c>
      <c r="Y2971" t="s">
        <v>20456</v>
      </c>
      <c r="Z2971" t="s">
        <v>28546</v>
      </c>
      <c r="AA2971">
        <v>1.1070105557155581</v>
      </c>
      <c r="AB2971" t="str">
        <f>HYPERLINK("Melting_Curves/meltCurve_P67936_TPM4.pdf", "Melting_Curves/meltCurve_P67936_TPM4.pdf")</f>
        <v>Melting_Curves/meltCurve_P67936_TPM4.pdf</v>
      </c>
    </row>
    <row r="2972" spans="1:28" x14ac:dyDescent="0.25">
      <c r="A2972" t="s">
        <v>2976</v>
      </c>
      <c r="B2972">
        <v>0.99673306730245903</v>
      </c>
      <c r="C2972">
        <v>0.99247827062660599</v>
      </c>
      <c r="D2972">
        <v>1.0595075425190601</v>
      </c>
      <c r="E2972">
        <v>0.96582919768332498</v>
      </c>
      <c r="F2972">
        <v>0.72470777476408399</v>
      </c>
      <c r="G2972">
        <v>0.44732379517783599</v>
      </c>
      <c r="H2972">
        <v>0.227127989298786</v>
      </c>
      <c r="I2972">
        <v>0.218780407503364</v>
      </c>
      <c r="J2972">
        <v>0.22295040809213801</v>
      </c>
      <c r="K2972">
        <v>0.213327891161123</v>
      </c>
      <c r="L2972">
        <v>1462.40948490459</v>
      </c>
      <c r="M2972">
        <v>26.7346043794571</v>
      </c>
      <c r="N2972">
        <v>55.807201873727699</v>
      </c>
      <c r="O2972">
        <v>54.397703984057401</v>
      </c>
      <c r="P2972">
        <v>-9.7597041280456903E-2</v>
      </c>
      <c r="Q2972">
        <v>0.205673844673222</v>
      </c>
      <c r="R2972">
        <v>0.99482294203555199</v>
      </c>
      <c r="S2972" t="s">
        <v>9424</v>
      </c>
      <c r="T2972" t="s">
        <v>12902</v>
      </c>
      <c r="U2972" t="s">
        <v>12902</v>
      </c>
      <c r="V2972" t="s">
        <v>12902</v>
      </c>
      <c r="W2972" t="s">
        <v>15834</v>
      </c>
      <c r="X2972">
        <v>15</v>
      </c>
      <c r="Y2972" t="s">
        <v>22169</v>
      </c>
      <c r="Z2972" t="s">
        <v>28547</v>
      </c>
      <c r="AA2972">
        <v>0.60143716620539689</v>
      </c>
      <c r="AB2972" t="str">
        <f>HYPERLINK("Melting_Curves/meltCurve_P68036_UBE2L3.pdf", "Melting_Curves/meltCurve_P68036_UBE2L3.pdf")</f>
        <v>Melting_Curves/meltCurve_P68036_UBE2L3.pdf</v>
      </c>
    </row>
    <row r="2973" spans="1:28" x14ac:dyDescent="0.25">
      <c r="A2973" t="s">
        <v>2977</v>
      </c>
      <c r="B2973">
        <v>0.99673306730245903</v>
      </c>
      <c r="C2973">
        <v>0.93887622702339801</v>
      </c>
      <c r="D2973">
        <v>0.97965179394631896</v>
      </c>
      <c r="E2973">
        <v>0.98941020808088898</v>
      </c>
      <c r="F2973">
        <v>0.57800788029870798</v>
      </c>
      <c r="G2973">
        <v>0.241936335619477</v>
      </c>
      <c r="H2973">
        <v>6.8707101337023901E-2</v>
      </c>
      <c r="I2973">
        <v>5.7569274264928999E-2</v>
      </c>
      <c r="J2973">
        <v>5.2052700303736599E-2</v>
      </c>
      <c r="K2973">
        <v>4.5804018397759702E-2</v>
      </c>
      <c r="L2973">
        <v>1640.32077671192</v>
      </c>
      <c r="M2973">
        <v>30.475977447939002</v>
      </c>
      <c r="N2973">
        <v>54.013062955214998</v>
      </c>
      <c r="O2973">
        <v>53.5932506337627</v>
      </c>
      <c r="P2973">
        <v>-0.134950305129071</v>
      </c>
      <c r="Q2973">
        <v>5.0743323469668297E-2</v>
      </c>
      <c r="R2973">
        <v>0.99487131066112999</v>
      </c>
      <c r="S2973" t="s">
        <v>9425</v>
      </c>
      <c r="T2973" t="s">
        <v>12902</v>
      </c>
      <c r="U2973" t="s">
        <v>12902</v>
      </c>
      <c r="V2973" t="s">
        <v>12902</v>
      </c>
      <c r="W2973" t="s">
        <v>15835</v>
      </c>
      <c r="X2973">
        <v>40</v>
      </c>
      <c r="Y2973" t="s">
        <v>22170</v>
      </c>
      <c r="Z2973" t="s">
        <v>28548</v>
      </c>
      <c r="AA2973">
        <v>0.49417742191801978</v>
      </c>
      <c r="AB2973" t="str">
        <f>HYPERLINK("Melting_Curves/meltCurve_P68104_EEF1A1.pdf", "Melting_Curves/meltCurve_P68104_EEF1A1.pdf")</f>
        <v>Melting_Curves/meltCurve_P68104_EEF1A1.pdf</v>
      </c>
    </row>
    <row r="2974" spans="1:28" x14ac:dyDescent="0.25">
      <c r="A2974" t="s">
        <v>2978</v>
      </c>
      <c r="B2974">
        <v>0.99673306730245903</v>
      </c>
      <c r="C2974">
        <v>0.96820538488985197</v>
      </c>
      <c r="D2974">
        <v>0.67184044643362995</v>
      </c>
      <c r="E2974">
        <v>0.95978249306452301</v>
      </c>
      <c r="F2974">
        <v>0.47354938976918698</v>
      </c>
      <c r="G2974">
        <v>0.26558725927722299</v>
      </c>
      <c r="H2974">
        <v>0.142343153190749</v>
      </c>
      <c r="I2974">
        <v>0.203733097594365</v>
      </c>
      <c r="J2974">
        <v>0.20314235616290299</v>
      </c>
      <c r="K2974">
        <v>0.11689564772215701</v>
      </c>
      <c r="S2974" t="s">
        <v>9426</v>
      </c>
      <c r="T2974" t="s">
        <v>12902</v>
      </c>
      <c r="U2974" t="s">
        <v>12903</v>
      </c>
      <c r="V2974" t="s">
        <v>12902</v>
      </c>
      <c r="W2974" t="s">
        <v>15836</v>
      </c>
      <c r="X2974">
        <v>22</v>
      </c>
      <c r="Y2974" t="s">
        <v>22171</v>
      </c>
      <c r="Z2974" t="s">
        <v>28549</v>
      </c>
      <c r="AB2974" t="str">
        <f>HYPERLINK("Melting_Curves/meltCurve_P68133_ACTA1.pdf", "Melting_Curves/meltCurve_P68133_ACTA1.pdf")</f>
        <v>Melting_Curves/meltCurve_P68133_ACTA1.pdf</v>
      </c>
    </row>
    <row r="2975" spans="1:28" x14ac:dyDescent="0.25">
      <c r="A2975" t="s">
        <v>2979</v>
      </c>
      <c r="B2975">
        <v>0.99673306730245903</v>
      </c>
      <c r="C2975">
        <v>0.95311749202677898</v>
      </c>
      <c r="D2975">
        <v>0.94356098941695699</v>
      </c>
      <c r="E2975">
        <v>0.99183505312739695</v>
      </c>
      <c r="F2975">
        <v>0.79588415021922498</v>
      </c>
      <c r="G2975">
        <v>0.64080303595985399</v>
      </c>
      <c r="H2975">
        <v>0.28496631409749601</v>
      </c>
      <c r="I2975">
        <v>8.7464154015052198E-2</v>
      </c>
      <c r="J2975">
        <v>7.5923697208007401E-2</v>
      </c>
      <c r="K2975">
        <v>6.3922790238930299E-2</v>
      </c>
      <c r="L2975">
        <v>1138.51146216691</v>
      </c>
      <c r="M2975">
        <v>19.665822939714399</v>
      </c>
      <c r="N2975">
        <v>57.925704789893302</v>
      </c>
      <c r="O2975">
        <v>57.304246526376502</v>
      </c>
      <c r="P2975">
        <v>-8.5323515859872898E-2</v>
      </c>
      <c r="Q2975">
        <v>5.5377409890259499E-3</v>
      </c>
      <c r="R2975">
        <v>0.99094162012550002</v>
      </c>
      <c r="S2975" t="s">
        <v>9427</v>
      </c>
      <c r="T2975" t="s">
        <v>12902</v>
      </c>
      <c r="U2975" t="s">
        <v>12902</v>
      </c>
      <c r="V2975" t="s">
        <v>12902</v>
      </c>
      <c r="W2975" t="s">
        <v>15837</v>
      </c>
      <c r="X2975">
        <v>36</v>
      </c>
      <c r="Y2975" t="s">
        <v>22172</v>
      </c>
      <c r="Z2975" t="s">
        <v>28550</v>
      </c>
      <c r="AA2975">
        <v>0.61023090556428061</v>
      </c>
      <c r="AB2975" t="str">
        <f>HYPERLINK("Melting_Curves/meltCurve_P68363_TUBA1B.pdf", "Melting_Curves/meltCurve_P68363_TUBA1B.pdf")</f>
        <v>Melting_Curves/meltCurve_P68363_TUBA1B.pdf</v>
      </c>
    </row>
    <row r="2976" spans="1:28" x14ac:dyDescent="0.25">
      <c r="A2976" t="s">
        <v>2980</v>
      </c>
      <c r="B2976">
        <v>0.99673306730245903</v>
      </c>
      <c r="C2976">
        <v>0.95083214877368605</v>
      </c>
      <c r="D2976">
        <v>0.97746741540936999</v>
      </c>
      <c r="E2976">
        <v>1.01296871952677</v>
      </c>
      <c r="F2976">
        <v>0.81712631153703896</v>
      </c>
      <c r="G2976">
        <v>0.67604474891066202</v>
      </c>
      <c r="H2976">
        <v>0.279621190799275</v>
      </c>
      <c r="I2976">
        <v>7.9293668523563496E-2</v>
      </c>
      <c r="J2976">
        <v>6.6172810666834794E-2</v>
      </c>
      <c r="K2976">
        <v>5.4891811057064102E-2</v>
      </c>
      <c r="L2976">
        <v>1282.16085122139</v>
      </c>
      <c r="M2976">
        <v>22.049703310662501</v>
      </c>
      <c r="N2976">
        <v>58.1891550166184</v>
      </c>
      <c r="O2976">
        <v>57.676721481609199</v>
      </c>
      <c r="P2976">
        <v>-9.4849190902522806E-2</v>
      </c>
      <c r="Q2976">
        <v>7.6112591929231596E-3</v>
      </c>
      <c r="R2976">
        <v>0.99152060632035999</v>
      </c>
      <c r="S2976" t="s">
        <v>9428</v>
      </c>
      <c r="T2976" t="s">
        <v>12902</v>
      </c>
      <c r="U2976" t="s">
        <v>12902</v>
      </c>
      <c r="V2976" t="s">
        <v>12902</v>
      </c>
      <c r="W2976" t="s">
        <v>15838</v>
      </c>
      <c r="X2976">
        <v>38</v>
      </c>
      <c r="Y2976" t="s">
        <v>22173</v>
      </c>
      <c r="Z2976" t="s">
        <v>28551</v>
      </c>
      <c r="AA2976">
        <v>0.61799005060409662</v>
      </c>
      <c r="AB2976" t="str">
        <f>HYPERLINK("Melting_Curves/meltCurve_P68371_TUBB4B.pdf", "Melting_Curves/meltCurve_P68371_TUBB4B.pdf")</f>
        <v>Melting_Curves/meltCurve_P68371_TUBB4B.pdf</v>
      </c>
    </row>
    <row r="2977" spans="1:28" x14ac:dyDescent="0.25">
      <c r="A2977" t="s">
        <v>2981</v>
      </c>
      <c r="B2977">
        <v>0.99673306730245903</v>
      </c>
      <c r="C2977">
        <v>1.0509398371393599</v>
      </c>
      <c r="D2977">
        <v>0.82723927985416401</v>
      </c>
      <c r="E2977">
        <v>0.48627649474000101</v>
      </c>
      <c r="F2977">
        <v>0.25201256381759302</v>
      </c>
      <c r="G2977">
        <v>0.13742309768111799</v>
      </c>
      <c r="H2977">
        <v>7.9342416476461702E-2</v>
      </c>
      <c r="I2977">
        <v>7.9571428874886593E-2</v>
      </c>
      <c r="J2977">
        <v>8.8251562098585395E-2</v>
      </c>
      <c r="K2977">
        <v>7.60267483832332E-2</v>
      </c>
      <c r="L2977">
        <v>1108.05690547004</v>
      </c>
      <c r="M2977">
        <v>22.5042884898766</v>
      </c>
      <c r="N2977">
        <v>49.630601078070598</v>
      </c>
      <c r="O2977">
        <v>48.853737143910401</v>
      </c>
      <c r="P2977">
        <v>-0.105764839505501</v>
      </c>
      <c r="Q2977">
        <v>8.1614551325837906E-2</v>
      </c>
      <c r="R2977">
        <v>0.99416847110707196</v>
      </c>
      <c r="S2977" t="s">
        <v>9429</v>
      </c>
      <c r="T2977" t="s">
        <v>12902</v>
      </c>
      <c r="U2977" t="s">
        <v>12902</v>
      </c>
      <c r="V2977" t="s">
        <v>12902</v>
      </c>
      <c r="W2977" t="s">
        <v>15839</v>
      </c>
      <c r="X2977">
        <v>5</v>
      </c>
      <c r="Y2977" t="s">
        <v>22174</v>
      </c>
      <c r="Z2977" t="s">
        <v>28552</v>
      </c>
      <c r="AA2977">
        <v>0.37451074637455561</v>
      </c>
      <c r="AB2977" t="str">
        <f>HYPERLINK("Melting_Curves/meltCurve_P68402_PAFAH1B2.pdf", "Melting_Curves/meltCurve_P68402_PAFAH1B2.pdf")</f>
        <v>Melting_Curves/meltCurve_P68402_PAFAH1B2.pdf</v>
      </c>
    </row>
    <row r="2978" spans="1:28" x14ac:dyDescent="0.25">
      <c r="A2978" t="s">
        <v>2982</v>
      </c>
      <c r="B2978">
        <v>0.99673306730245903</v>
      </c>
      <c r="C2978">
        <v>1.56916106606242</v>
      </c>
      <c r="D2978">
        <v>1.5172832524745601</v>
      </c>
      <c r="E2978">
        <v>1.84091120080579</v>
      </c>
      <c r="F2978">
        <v>1.22579298175407</v>
      </c>
      <c r="G2978">
        <v>1.0412483362160001</v>
      </c>
      <c r="H2978">
        <v>0.63290856379529303</v>
      </c>
      <c r="I2978">
        <v>0.69479702685359501</v>
      </c>
      <c r="J2978">
        <v>1.7626729001852299</v>
      </c>
      <c r="K2978">
        <v>1.19194262748663</v>
      </c>
      <c r="L2978">
        <v>10260.2266535789</v>
      </c>
      <c r="M2978">
        <v>250</v>
      </c>
      <c r="O2978">
        <v>41.038271128067201</v>
      </c>
      <c r="P2978">
        <v>0.41910600171184997</v>
      </c>
      <c r="Q2978">
        <v>1.2751902328586</v>
      </c>
      <c r="R2978">
        <v>4.39907527640074E-2</v>
      </c>
      <c r="S2978" t="s">
        <v>9430</v>
      </c>
      <c r="T2978" t="s">
        <v>12902</v>
      </c>
      <c r="U2978" t="s">
        <v>12902</v>
      </c>
      <c r="V2978" t="s">
        <v>12902</v>
      </c>
      <c r="W2978" t="s">
        <v>15840</v>
      </c>
      <c r="X2978">
        <v>2</v>
      </c>
      <c r="Y2978" t="s">
        <v>22175</v>
      </c>
      <c r="Z2978" t="s">
        <v>28553</v>
      </c>
      <c r="AA2978">
        <v>1.2656200471312999</v>
      </c>
      <c r="AB2978" t="str">
        <f>HYPERLINK("Melting_Curves/meltCurve_P68871_HBB.pdf", "Melting_Curves/meltCurve_P68871_HBB.pdf")</f>
        <v>Melting_Curves/meltCurve_P68871_HBB.pdf</v>
      </c>
    </row>
    <row r="2979" spans="1:28" x14ac:dyDescent="0.25">
      <c r="A2979" t="s">
        <v>2983</v>
      </c>
      <c r="B2979">
        <v>0.99673306730245903</v>
      </c>
      <c r="C2979">
        <v>1.0548583995756999</v>
      </c>
      <c r="D2979">
        <v>0.86670629114968101</v>
      </c>
      <c r="E2979">
        <v>0.76016909741281602</v>
      </c>
      <c r="F2979">
        <v>0.64619719957090804</v>
      </c>
      <c r="G2979">
        <v>0.48129640735794799</v>
      </c>
      <c r="H2979">
        <v>0.40118297001814501</v>
      </c>
      <c r="I2979">
        <v>0.54677980000795301</v>
      </c>
      <c r="J2979">
        <v>0.50351652493633503</v>
      </c>
      <c r="K2979">
        <v>0.450486776751578</v>
      </c>
      <c r="L2979">
        <v>945.01735987172299</v>
      </c>
      <c r="M2979">
        <v>18.847725376033701</v>
      </c>
      <c r="N2979">
        <v>58.479275352619098</v>
      </c>
      <c r="O2979">
        <v>49.585377530563001</v>
      </c>
      <c r="P2979">
        <v>-5.0747553934658997E-2</v>
      </c>
      <c r="Q2979">
        <v>0.46598674096904502</v>
      </c>
      <c r="R2979">
        <v>0.94930949239755602</v>
      </c>
      <c r="S2979" t="s">
        <v>9431</v>
      </c>
      <c r="T2979" t="s">
        <v>12902</v>
      </c>
      <c r="U2979" t="s">
        <v>12902</v>
      </c>
      <c r="V2979" t="s">
        <v>12902</v>
      </c>
      <c r="W2979" t="s">
        <v>15841</v>
      </c>
      <c r="X2979">
        <v>4</v>
      </c>
      <c r="Y2979" t="s">
        <v>22176</v>
      </c>
      <c r="Z2979" t="s">
        <v>28554</v>
      </c>
      <c r="AA2979">
        <v>0.65480598565123294</v>
      </c>
      <c r="AB2979" t="str">
        <f>HYPERLINK("Melting_Curves/meltCurve_P69905_HBA1.pdf", "Melting_Curves/meltCurve_P69905_HBA1.pdf")</f>
        <v>Melting_Curves/meltCurve_P69905_HBA1.pdf</v>
      </c>
    </row>
    <row r="2980" spans="1:28" x14ac:dyDescent="0.25">
      <c r="A2980" t="s">
        <v>2984</v>
      </c>
      <c r="B2980">
        <v>0.99673306730245903</v>
      </c>
      <c r="C2980">
        <v>0.94633024210058003</v>
      </c>
      <c r="D2980">
        <v>0.88081412132464498</v>
      </c>
      <c r="E2980">
        <v>0.76308331744037605</v>
      </c>
      <c r="F2980">
        <v>0.66908588588136297</v>
      </c>
      <c r="G2980">
        <v>0.63563824761305099</v>
      </c>
      <c r="H2980">
        <v>0.55247700778947495</v>
      </c>
      <c r="I2980">
        <v>0.64563180417241295</v>
      </c>
      <c r="J2980">
        <v>0.55819278663521299</v>
      </c>
      <c r="K2980">
        <v>0.37469862985498098</v>
      </c>
      <c r="L2980">
        <v>428.47421786406301</v>
      </c>
      <c r="M2980">
        <v>8.0545717939804895</v>
      </c>
      <c r="N2980">
        <v>68.055115362978796</v>
      </c>
      <c r="O2980">
        <v>50.218134132662399</v>
      </c>
      <c r="P2980">
        <v>-2.35290936395008E-2</v>
      </c>
      <c r="Q2980">
        <v>0.41385552909468598</v>
      </c>
      <c r="R2980">
        <v>0.90541051922545601</v>
      </c>
      <c r="S2980" t="s">
        <v>9432</v>
      </c>
      <c r="T2980" t="s">
        <v>12902</v>
      </c>
      <c r="U2980" t="s">
        <v>12902</v>
      </c>
      <c r="V2980" t="s">
        <v>12902</v>
      </c>
      <c r="W2980" t="s">
        <v>15842</v>
      </c>
      <c r="X2980">
        <v>14</v>
      </c>
      <c r="Y2980" t="s">
        <v>22177</v>
      </c>
      <c r="Z2980" t="s">
        <v>28555</v>
      </c>
      <c r="AA2980">
        <v>0.69470895909482422</v>
      </c>
      <c r="AB2980" t="str">
        <f>HYPERLINK("Melting_Curves/meltCurve_P78310_CXADR.pdf", "Melting_Curves/meltCurve_P78310_CXADR.pdf")</f>
        <v>Melting_Curves/meltCurve_P78310_CXADR.pdf</v>
      </c>
    </row>
    <row r="2981" spans="1:28" x14ac:dyDescent="0.25">
      <c r="A2981" t="s">
        <v>2985</v>
      </c>
      <c r="B2981">
        <v>0.99673306730245903</v>
      </c>
      <c r="C2981">
        <v>1.0058330134779501</v>
      </c>
      <c r="D2981">
        <v>0.83130901551923497</v>
      </c>
      <c r="E2981">
        <v>0.50678955347038301</v>
      </c>
      <c r="F2981">
        <v>0.34043572275781703</v>
      </c>
      <c r="G2981">
        <v>0.29005129532711399</v>
      </c>
      <c r="H2981">
        <v>0.14870604121731501</v>
      </c>
      <c r="I2981">
        <v>0.16050209218337899</v>
      </c>
      <c r="J2981">
        <v>0.190789955653659</v>
      </c>
      <c r="K2981">
        <v>0.15997657003923499</v>
      </c>
      <c r="L2981">
        <v>968.69516205310197</v>
      </c>
      <c r="M2981">
        <v>19.731753797900399</v>
      </c>
      <c r="N2981">
        <v>50.165961312141803</v>
      </c>
      <c r="O2981">
        <v>48.597314756881197</v>
      </c>
      <c r="P2981">
        <v>-8.4038618487654204E-2</v>
      </c>
      <c r="Q2981">
        <v>0.17211402235176501</v>
      </c>
      <c r="R2981">
        <v>0.98996082174686995</v>
      </c>
      <c r="S2981" t="s">
        <v>9433</v>
      </c>
      <c r="T2981" t="s">
        <v>12902</v>
      </c>
      <c r="U2981" t="s">
        <v>12902</v>
      </c>
      <c r="V2981" t="s">
        <v>12902</v>
      </c>
      <c r="W2981" t="s">
        <v>15843</v>
      </c>
      <c r="X2981">
        <v>3</v>
      </c>
      <c r="Y2981" t="s">
        <v>22178</v>
      </c>
      <c r="Z2981" t="s">
        <v>28556</v>
      </c>
      <c r="AA2981">
        <v>0.43496007429669642</v>
      </c>
      <c r="AB2981" t="str">
        <f>HYPERLINK("Melting_Curves/meltCurve_P78316_NOP14.pdf", "Melting_Curves/meltCurve_P78316_NOP14.pdf")</f>
        <v>Melting_Curves/meltCurve_P78316_NOP14.pdf</v>
      </c>
    </row>
    <row r="2982" spans="1:28" x14ac:dyDescent="0.25">
      <c r="A2982" t="s">
        <v>2986</v>
      </c>
      <c r="B2982">
        <v>0.99673306730245903</v>
      </c>
      <c r="C2982">
        <v>0.94464041471792703</v>
      </c>
      <c r="D2982">
        <v>0.87662813075402501</v>
      </c>
      <c r="E2982">
        <v>0.674616165534352</v>
      </c>
      <c r="F2982">
        <v>0.22946902766264801</v>
      </c>
      <c r="G2982">
        <v>0.14095518519820499</v>
      </c>
      <c r="H2982">
        <v>7.7265727245054996E-2</v>
      </c>
      <c r="I2982">
        <v>7.0452213853459997E-2</v>
      </c>
      <c r="J2982">
        <v>7.3857785831810505E-2</v>
      </c>
      <c r="K2982">
        <v>6.7037879299922096E-2</v>
      </c>
      <c r="L2982">
        <v>1243.3422437884001</v>
      </c>
      <c r="M2982">
        <v>24.636975481135799</v>
      </c>
      <c r="N2982">
        <v>50.758027186019</v>
      </c>
      <c r="O2982">
        <v>50.137546783632601</v>
      </c>
      <c r="P2982">
        <v>-0.114744306963078</v>
      </c>
      <c r="Q2982">
        <v>6.59704160410408E-2</v>
      </c>
      <c r="R2982">
        <v>0.99466309913724804</v>
      </c>
      <c r="S2982" t="s">
        <v>9434</v>
      </c>
      <c r="T2982" t="s">
        <v>12902</v>
      </c>
      <c r="U2982" t="s">
        <v>12902</v>
      </c>
      <c r="V2982" t="s">
        <v>12902</v>
      </c>
      <c r="W2982" t="s">
        <v>15844</v>
      </c>
      <c r="X2982">
        <v>15</v>
      </c>
      <c r="Y2982" t="s">
        <v>22179</v>
      </c>
      <c r="Z2982" t="s">
        <v>28557</v>
      </c>
      <c r="AA2982">
        <v>0.40047489118001978</v>
      </c>
      <c r="AB2982" t="str">
        <f>HYPERLINK("Melting_Curves/meltCurve_P78318_IGBP1.pdf", "Melting_Curves/meltCurve_P78318_IGBP1.pdf")</f>
        <v>Melting_Curves/meltCurve_P78318_IGBP1.pdf</v>
      </c>
    </row>
    <row r="2983" spans="1:28" x14ac:dyDescent="0.25">
      <c r="A2983" t="s">
        <v>2987</v>
      </c>
      <c r="B2983">
        <v>0.99673306730245903</v>
      </c>
      <c r="C2983">
        <v>1.02290869003465</v>
      </c>
      <c r="D2983">
        <v>0.99925601685686904</v>
      </c>
      <c r="E2983">
        <v>0.959447087129079</v>
      </c>
      <c r="F2983">
        <v>0.95561280895734302</v>
      </c>
      <c r="G2983">
        <v>0.86174115821693498</v>
      </c>
      <c r="H2983">
        <v>0.64128837122751503</v>
      </c>
      <c r="I2983">
        <v>0.72037839265046799</v>
      </c>
      <c r="J2983">
        <v>0.26640005883208301</v>
      </c>
      <c r="K2983">
        <v>0.14291084687577901</v>
      </c>
      <c r="L2983">
        <v>1095.13982608541</v>
      </c>
      <c r="M2983">
        <v>17.001628552868901</v>
      </c>
      <c r="N2983">
        <v>64.413819460296295</v>
      </c>
      <c r="O2983">
        <v>63.542464354173099</v>
      </c>
      <c r="P2983">
        <v>-6.6894933347496299E-2</v>
      </c>
      <c r="Q2983">
        <v>0</v>
      </c>
      <c r="R2983">
        <v>0.93585058423130896</v>
      </c>
      <c r="S2983" t="s">
        <v>9435</v>
      </c>
      <c r="T2983" t="s">
        <v>12902</v>
      </c>
      <c r="U2983" t="s">
        <v>12902</v>
      </c>
      <c r="V2983" t="s">
        <v>12902</v>
      </c>
      <c r="W2983" t="s">
        <v>15845</v>
      </c>
      <c r="X2983">
        <v>16</v>
      </c>
      <c r="Y2983" t="s">
        <v>22180</v>
      </c>
      <c r="Z2983" t="s">
        <v>28558</v>
      </c>
      <c r="AA2983">
        <v>0.79948223026177578</v>
      </c>
      <c r="AB2983" t="str">
        <f>HYPERLINK("Melting_Curves/meltCurve_P78330_PSPH.pdf", "Melting_Curves/meltCurve_P78330_PSPH.pdf")</f>
        <v>Melting_Curves/meltCurve_P78330_PSPH.pdf</v>
      </c>
    </row>
    <row r="2984" spans="1:28" x14ac:dyDescent="0.25">
      <c r="A2984" t="s">
        <v>2988</v>
      </c>
      <c r="B2984">
        <v>0.99673306730245903</v>
      </c>
      <c r="C2984">
        <v>0.81685966485456596</v>
      </c>
      <c r="D2984">
        <v>0.64785521094694298</v>
      </c>
      <c r="E2984">
        <v>0.43794686287121798</v>
      </c>
      <c r="F2984">
        <v>0.302226201910341</v>
      </c>
      <c r="G2984">
        <v>0.218837045730601</v>
      </c>
      <c r="H2984">
        <v>0.16119799863920201</v>
      </c>
      <c r="I2984">
        <v>0.18528448577140599</v>
      </c>
      <c r="J2984">
        <v>0.26511613202767398</v>
      </c>
      <c r="K2984">
        <v>0.29405196066743899</v>
      </c>
      <c r="L2984">
        <v>808.44524979939104</v>
      </c>
      <c r="M2984">
        <v>17.3877018507809</v>
      </c>
      <c r="N2984">
        <v>48.075949914042504</v>
      </c>
      <c r="O2984">
        <v>45.893315781760101</v>
      </c>
      <c r="P2984">
        <v>-7.4100672344887195E-2</v>
      </c>
      <c r="Q2984">
        <v>0.217715439368799</v>
      </c>
      <c r="R2984">
        <v>0.97600456278438996</v>
      </c>
      <c r="S2984" t="s">
        <v>9436</v>
      </c>
      <c r="T2984" t="s">
        <v>12902</v>
      </c>
      <c r="U2984" t="s">
        <v>12902</v>
      </c>
      <c r="V2984" t="s">
        <v>12902</v>
      </c>
      <c r="W2984" t="s">
        <v>15846</v>
      </c>
      <c r="X2984">
        <v>19</v>
      </c>
      <c r="Y2984" t="s">
        <v>22181</v>
      </c>
      <c r="Z2984" t="s">
        <v>28559</v>
      </c>
      <c r="AA2984">
        <v>0.40310434861741512</v>
      </c>
      <c r="AB2984" t="str">
        <f>HYPERLINK("Melting_Curves/meltCurve_P78332_RBM6.pdf", "Melting_Curves/meltCurve_P78332_RBM6.pdf")</f>
        <v>Melting_Curves/meltCurve_P78332_RBM6.pdf</v>
      </c>
    </row>
    <row r="2985" spans="1:28" x14ac:dyDescent="0.25">
      <c r="A2985" t="s">
        <v>2989</v>
      </c>
      <c r="B2985">
        <v>0.99673306730245903</v>
      </c>
      <c r="C2985">
        <v>0.95258658396722196</v>
      </c>
      <c r="D2985">
        <v>1.0480910607968199</v>
      </c>
      <c r="E2985">
        <v>1.2827982367869599</v>
      </c>
      <c r="F2985">
        <v>0.77058576739478901</v>
      </c>
      <c r="G2985">
        <v>0.35336721845672497</v>
      </c>
      <c r="H2985">
        <v>0.19070688152638601</v>
      </c>
      <c r="I2985">
        <v>0.17537478058804601</v>
      </c>
      <c r="J2985">
        <v>0.222029608347833</v>
      </c>
      <c r="K2985">
        <v>0.19728999947058001</v>
      </c>
      <c r="L2985">
        <v>2424.9195723831199</v>
      </c>
      <c r="M2985">
        <v>44.410251135493397</v>
      </c>
      <c r="N2985">
        <v>55.234795877649603</v>
      </c>
      <c r="O2985">
        <v>54.492339565885601</v>
      </c>
      <c r="P2985">
        <v>-0.16315585688463399</v>
      </c>
      <c r="Q2985">
        <v>0.19921814428725301</v>
      </c>
      <c r="R2985">
        <v>0.94443235861154895</v>
      </c>
      <c r="S2985" t="s">
        <v>9437</v>
      </c>
      <c r="T2985" t="s">
        <v>12902</v>
      </c>
      <c r="U2985" t="s">
        <v>12902</v>
      </c>
      <c r="V2985" t="s">
        <v>12902</v>
      </c>
      <c r="W2985" t="s">
        <v>15847</v>
      </c>
      <c r="X2985">
        <v>3</v>
      </c>
      <c r="Y2985" t="s">
        <v>22182</v>
      </c>
      <c r="Z2985" t="s">
        <v>28560</v>
      </c>
      <c r="AA2985">
        <v>0.59144924358592421</v>
      </c>
      <c r="AB2985" t="str">
        <f>HYPERLINK("Melting_Curves/meltCurve_P78345_RPP38.pdf", "Melting_Curves/meltCurve_P78345_RPP38.pdf")</f>
        <v>Melting_Curves/meltCurve_P78345_RPP38.pdf</v>
      </c>
    </row>
    <row r="2986" spans="1:28" x14ac:dyDescent="0.25">
      <c r="A2986" t="s">
        <v>2990</v>
      </c>
      <c r="B2986">
        <v>0.99673306730245903</v>
      </c>
      <c r="C2986">
        <v>0.94069808508709296</v>
      </c>
      <c r="D2986">
        <v>0.960607008506424</v>
      </c>
      <c r="E2986">
        <v>1.1438971570690999</v>
      </c>
      <c r="F2986">
        <v>1.1195034495128799</v>
      </c>
      <c r="G2986">
        <v>0.91558822674333995</v>
      </c>
      <c r="H2986">
        <v>0.51434473674392001</v>
      </c>
      <c r="I2986">
        <v>0.43633345014311797</v>
      </c>
      <c r="J2986">
        <v>0.21971480104601901</v>
      </c>
      <c r="K2986">
        <v>0.12937453169625601</v>
      </c>
      <c r="L2986">
        <v>1564.0618372397801</v>
      </c>
      <c r="M2986">
        <v>25.5786811057636</v>
      </c>
      <c r="N2986">
        <v>61.916144181097401</v>
      </c>
      <c r="O2986">
        <v>60.777035481603001</v>
      </c>
      <c r="P2986">
        <v>-9.0897259858981103E-2</v>
      </c>
      <c r="Q2986">
        <v>0.13609361063991399</v>
      </c>
      <c r="R2986">
        <v>0.95071505260327205</v>
      </c>
      <c r="S2986" t="s">
        <v>9438</v>
      </c>
      <c r="T2986" t="s">
        <v>12902</v>
      </c>
      <c r="U2986" t="s">
        <v>12902</v>
      </c>
      <c r="V2986" t="s">
        <v>12902</v>
      </c>
      <c r="W2986" t="s">
        <v>15848</v>
      </c>
      <c r="X2986">
        <v>7</v>
      </c>
      <c r="Y2986" t="s">
        <v>22183</v>
      </c>
      <c r="Z2986" t="s">
        <v>28561</v>
      </c>
      <c r="AA2986">
        <v>0.75026432376075036</v>
      </c>
      <c r="AB2986" t="str">
        <f>HYPERLINK("Melting_Curves/meltCurve_P78346_RPP30.pdf", "Melting_Curves/meltCurve_P78346_RPP30.pdf")</f>
        <v>Melting_Curves/meltCurve_P78346_RPP30.pdf</v>
      </c>
    </row>
    <row r="2987" spans="1:28" x14ac:dyDescent="0.25">
      <c r="A2987" t="s">
        <v>2991</v>
      </c>
      <c r="B2987">
        <v>0.99673306730245903</v>
      </c>
      <c r="C2987">
        <v>0.74032197805370104</v>
      </c>
      <c r="D2987">
        <v>0.263951055041173</v>
      </c>
      <c r="E2987">
        <v>0.163492937115197</v>
      </c>
      <c r="F2987">
        <v>0.108844667476825</v>
      </c>
      <c r="G2987">
        <v>6.8787653629409196E-2</v>
      </c>
      <c r="H2987">
        <v>4.5232334885836098E-2</v>
      </c>
      <c r="I2987">
        <v>4.1600828077794701E-2</v>
      </c>
      <c r="J2987">
        <v>4.4642536178494403E-2</v>
      </c>
      <c r="K2987">
        <v>4.20128389808355E-2</v>
      </c>
      <c r="L2987">
        <v>1356.88484680388</v>
      </c>
      <c r="M2987">
        <v>30.6792006465705</v>
      </c>
      <c r="N2987">
        <v>44.431512847992799</v>
      </c>
      <c r="O2987">
        <v>44.041526460323702</v>
      </c>
      <c r="P2987">
        <v>-0.16274522534562999</v>
      </c>
      <c r="Q2987">
        <v>6.5489937272150606E-2</v>
      </c>
      <c r="R2987">
        <v>0.99108319832396596</v>
      </c>
      <c r="S2987" t="s">
        <v>9439</v>
      </c>
      <c r="T2987" t="s">
        <v>12902</v>
      </c>
      <c r="U2987" t="s">
        <v>12902</v>
      </c>
      <c r="V2987" t="s">
        <v>12902</v>
      </c>
      <c r="W2987" t="s">
        <v>15849</v>
      </c>
      <c r="X2987">
        <v>48</v>
      </c>
      <c r="Y2987" t="s">
        <v>22184</v>
      </c>
      <c r="Z2987" t="s">
        <v>28562</v>
      </c>
      <c r="AA2987">
        <v>0.2034160172111272</v>
      </c>
      <c r="AB2987" t="str">
        <f>HYPERLINK("Melting_Curves/meltCurve_P78347_2_GTF2I.pdf", "Melting_Curves/meltCurve_P78347_2_GTF2I.pdf")</f>
        <v>Melting_Curves/meltCurve_P78347_2_GTF2I.pdf</v>
      </c>
    </row>
    <row r="2988" spans="1:28" x14ac:dyDescent="0.25">
      <c r="A2988" t="s">
        <v>2992</v>
      </c>
      <c r="B2988">
        <v>0.99673306730245903</v>
      </c>
      <c r="C2988">
        <v>1.24369590244171</v>
      </c>
      <c r="D2988">
        <v>0.42600523002104801</v>
      </c>
      <c r="E2988">
        <v>0.61396225647726399</v>
      </c>
      <c r="F2988">
        <v>0.21182693191999699</v>
      </c>
      <c r="G2988">
        <v>0.116217640232657</v>
      </c>
      <c r="H2988">
        <v>6.0183878467093402E-2</v>
      </c>
      <c r="I2988">
        <v>4.5186254494679001E-2</v>
      </c>
      <c r="J2988">
        <v>4.6490529386267798E-2</v>
      </c>
      <c r="K2988">
        <v>3.8898008898920498E-2</v>
      </c>
      <c r="L2988">
        <v>802.49717852939102</v>
      </c>
      <c r="M2988">
        <v>16.4152597394149</v>
      </c>
      <c r="N2988">
        <v>49.084447134158303</v>
      </c>
      <c r="O2988">
        <v>48.179018889550299</v>
      </c>
      <c r="P2988">
        <v>-8.2466453653426697E-2</v>
      </c>
      <c r="Q2988">
        <v>3.1907831419005099E-2</v>
      </c>
      <c r="R2988">
        <v>0.86202329297704805</v>
      </c>
      <c r="S2988" t="s">
        <v>9440</v>
      </c>
      <c r="T2988" t="s">
        <v>12902</v>
      </c>
      <c r="U2988" t="s">
        <v>12902</v>
      </c>
      <c r="V2988" t="s">
        <v>12902</v>
      </c>
      <c r="W2988" t="s">
        <v>15850</v>
      </c>
      <c r="X2988">
        <v>9</v>
      </c>
      <c r="Y2988" t="s">
        <v>22185</v>
      </c>
      <c r="Z2988" t="s">
        <v>28563</v>
      </c>
      <c r="AA2988">
        <v>0.3388688351283683</v>
      </c>
      <c r="AB2988" t="str">
        <f>HYPERLINK("Melting_Curves/meltCurve_P78356_PIP4K2B.pdf", "Melting_Curves/meltCurve_P78356_PIP4K2B.pdf")</f>
        <v>Melting_Curves/meltCurve_P78356_PIP4K2B.pdf</v>
      </c>
    </row>
    <row r="2989" spans="1:28" x14ac:dyDescent="0.25">
      <c r="A2989" t="s">
        <v>2993</v>
      </c>
      <c r="B2989">
        <v>0.99673306730245903</v>
      </c>
      <c r="C2989">
        <v>1.04274084988712</v>
      </c>
      <c r="D2989">
        <v>0.87566311279950504</v>
      </c>
      <c r="E2989">
        <v>0.82436515506977903</v>
      </c>
      <c r="F2989">
        <v>0.52770236444930396</v>
      </c>
      <c r="G2989">
        <v>0.20817619816011099</v>
      </c>
      <c r="H2989">
        <v>9.0394941699782405E-2</v>
      </c>
      <c r="I2989">
        <v>5.8093168151804403E-2</v>
      </c>
      <c r="J2989">
        <v>3.14443707297931E-2</v>
      </c>
      <c r="K2989">
        <v>2.5697123171430501E-2</v>
      </c>
      <c r="L2989">
        <v>1043.4818406239499</v>
      </c>
      <c r="M2989">
        <v>19.611779456090002</v>
      </c>
      <c r="N2989">
        <v>53.283562833955699</v>
      </c>
      <c r="O2989">
        <v>52.662954529246498</v>
      </c>
      <c r="P2989">
        <v>-9.1808423452440294E-2</v>
      </c>
      <c r="Q2989">
        <v>1.3912487348945599E-2</v>
      </c>
      <c r="R2989">
        <v>0.99363365232425704</v>
      </c>
      <c r="S2989" t="s">
        <v>9441</v>
      </c>
      <c r="T2989" t="s">
        <v>12902</v>
      </c>
      <c r="U2989" t="s">
        <v>12902</v>
      </c>
      <c r="V2989" t="s">
        <v>12902</v>
      </c>
      <c r="W2989" t="s">
        <v>15851</v>
      </c>
      <c r="X2989">
        <v>7</v>
      </c>
      <c r="Y2989" t="s">
        <v>22186</v>
      </c>
      <c r="Z2989" t="s">
        <v>28564</v>
      </c>
      <c r="AA2989">
        <v>0.46200701117670601</v>
      </c>
      <c r="AB2989" t="str">
        <f>HYPERLINK("Melting_Curves/meltCurve_P78368_CSNK1G2.pdf", "Melting_Curves/meltCurve_P78368_CSNK1G2.pdf")</f>
        <v>Melting_Curves/meltCurve_P78368_CSNK1G2.pdf</v>
      </c>
    </row>
    <row r="2990" spans="1:28" x14ac:dyDescent="0.25">
      <c r="A2990" t="s">
        <v>2994</v>
      </c>
      <c r="B2990">
        <v>0.99673306730245903</v>
      </c>
      <c r="C2990">
        <v>0.99400319123241099</v>
      </c>
      <c r="D2990">
        <v>0.89077565935590197</v>
      </c>
      <c r="E2990">
        <v>0.91530699264502702</v>
      </c>
      <c r="F2990">
        <v>0.77576071593840701</v>
      </c>
      <c r="G2990">
        <v>0.51209732525446505</v>
      </c>
      <c r="H2990">
        <v>0.18480450936781101</v>
      </c>
      <c r="I2990">
        <v>9.2339319253478006E-2</v>
      </c>
      <c r="J2990">
        <v>7.7753913516674697E-2</v>
      </c>
      <c r="K2990">
        <v>6.6105730299045498E-2</v>
      </c>
      <c r="L2990">
        <v>1089.87646178571</v>
      </c>
      <c r="M2990">
        <v>19.310195567225001</v>
      </c>
      <c r="N2990">
        <v>56.5774681703165</v>
      </c>
      <c r="O2990">
        <v>55.845625148066802</v>
      </c>
      <c r="P2990">
        <v>-8.4473176474485198E-2</v>
      </c>
      <c r="Q2990">
        <v>2.2841391028959199E-2</v>
      </c>
      <c r="R2990">
        <v>0.99131730012075503</v>
      </c>
      <c r="S2990" t="s">
        <v>9442</v>
      </c>
      <c r="T2990" t="s">
        <v>12902</v>
      </c>
      <c r="U2990" t="s">
        <v>12902</v>
      </c>
      <c r="V2990" t="s">
        <v>12902</v>
      </c>
      <c r="W2990" t="s">
        <v>15852</v>
      </c>
      <c r="X2990">
        <v>48</v>
      </c>
      <c r="Y2990" t="s">
        <v>22187</v>
      </c>
      <c r="Z2990" t="s">
        <v>28565</v>
      </c>
      <c r="AA2990">
        <v>0.57123644687548092</v>
      </c>
      <c r="AB2990" t="str">
        <f>HYPERLINK("Melting_Curves/meltCurve_P78371_CCT2.pdf", "Melting_Curves/meltCurve_P78371_CCT2.pdf")</f>
        <v>Melting_Curves/meltCurve_P78371_CCT2.pdf</v>
      </c>
    </row>
    <row r="2991" spans="1:28" x14ac:dyDescent="0.25">
      <c r="A2991" t="s">
        <v>2995</v>
      </c>
      <c r="B2991">
        <v>0.99673306730245903</v>
      </c>
      <c r="C2991">
        <v>0.90481627817397803</v>
      </c>
      <c r="D2991">
        <v>0.51710910627902495</v>
      </c>
      <c r="E2991">
        <v>0.51717640691063604</v>
      </c>
      <c r="F2991">
        <v>0.232028685533367</v>
      </c>
      <c r="G2991">
        <v>0.101792021756041</v>
      </c>
      <c r="H2991">
        <v>6.5994529791098502E-2</v>
      </c>
      <c r="I2991">
        <v>4.7458070697523301E-2</v>
      </c>
      <c r="J2991">
        <v>4.5941722066254603E-2</v>
      </c>
      <c r="K2991">
        <v>4.03013940749576E-2</v>
      </c>
      <c r="L2991">
        <v>645.50821739406103</v>
      </c>
      <c r="M2991">
        <v>13.394215486420901</v>
      </c>
      <c r="N2991">
        <v>48.316787793999502</v>
      </c>
      <c r="O2991">
        <v>47.156844352590802</v>
      </c>
      <c r="P2991">
        <v>-6.9822702834439698E-2</v>
      </c>
      <c r="Q2991">
        <v>1.6858997887703502E-2</v>
      </c>
      <c r="R2991">
        <v>0.96808377600293005</v>
      </c>
      <c r="S2991" t="s">
        <v>9443</v>
      </c>
      <c r="T2991" t="s">
        <v>12902</v>
      </c>
      <c r="U2991" t="s">
        <v>12902</v>
      </c>
      <c r="V2991" t="s">
        <v>12902</v>
      </c>
      <c r="W2991" t="s">
        <v>15853</v>
      </c>
      <c r="X2991">
        <v>15</v>
      </c>
      <c r="Y2991" t="s">
        <v>22188</v>
      </c>
      <c r="Z2991" t="s">
        <v>28566</v>
      </c>
      <c r="AA2991">
        <v>0.31650065936566613</v>
      </c>
      <c r="AB2991" t="str">
        <f>HYPERLINK("Melting_Curves/meltCurve_P78406_RAE1.pdf", "Melting_Curves/meltCurve_P78406_RAE1.pdf")</f>
        <v>Melting_Curves/meltCurve_P78406_RAE1.pdf</v>
      </c>
    </row>
    <row r="2992" spans="1:28" x14ac:dyDescent="0.25">
      <c r="A2992" t="s">
        <v>2996</v>
      </c>
      <c r="B2992">
        <v>0.99673306730245903</v>
      </c>
      <c r="C2992">
        <v>1.03864795340858</v>
      </c>
      <c r="D2992">
        <v>1.0156534905311301</v>
      </c>
      <c r="E2992">
        <v>0.97295127937888903</v>
      </c>
      <c r="F2992">
        <v>0.86357137583616805</v>
      </c>
      <c r="G2992">
        <v>0.70739478746278495</v>
      </c>
      <c r="H2992">
        <v>0.435839286575322</v>
      </c>
      <c r="I2992">
        <v>0.46528987946318501</v>
      </c>
      <c r="J2992">
        <v>0.38614097290057597</v>
      </c>
      <c r="K2992">
        <v>0.20127639253572599</v>
      </c>
      <c r="L2992">
        <v>863.23891249717701</v>
      </c>
      <c r="M2992">
        <v>14.678805147342199</v>
      </c>
      <c r="N2992">
        <v>61.053357066436902</v>
      </c>
      <c r="O2992">
        <v>57.749409334771599</v>
      </c>
      <c r="P2992">
        <v>-5.0298878265038302E-2</v>
      </c>
      <c r="Q2992">
        <v>0.208542933214138</v>
      </c>
      <c r="R2992">
        <v>0.97233116309679501</v>
      </c>
      <c r="S2992" t="s">
        <v>9444</v>
      </c>
      <c r="T2992" t="s">
        <v>12902</v>
      </c>
      <c r="U2992" t="s">
        <v>12902</v>
      </c>
      <c r="V2992" t="s">
        <v>12902</v>
      </c>
      <c r="W2992" t="s">
        <v>15854</v>
      </c>
      <c r="X2992">
        <v>13</v>
      </c>
      <c r="Y2992" t="s">
        <v>22189</v>
      </c>
      <c r="Z2992" t="s">
        <v>28567</v>
      </c>
      <c r="AA2992">
        <v>0.71346060275195577</v>
      </c>
      <c r="AB2992" t="str">
        <f>HYPERLINK("Melting_Curves/meltCurve_P78417_GSTO1.pdf", "Melting_Curves/meltCurve_P78417_GSTO1.pdf")</f>
        <v>Melting_Curves/meltCurve_P78417_GSTO1.pdf</v>
      </c>
    </row>
    <row r="2993" spans="1:28" x14ac:dyDescent="0.25">
      <c r="A2993" t="s">
        <v>2997</v>
      </c>
      <c r="B2993">
        <v>0.99673306730245903</v>
      </c>
      <c r="C2993">
        <v>0.94965650131842605</v>
      </c>
      <c r="D2993">
        <v>0.978227017854714</v>
      </c>
      <c r="E2993">
        <v>0.71725722497065303</v>
      </c>
      <c r="F2993">
        <v>0.34661262576751101</v>
      </c>
      <c r="G2993">
        <v>0.27209406878505599</v>
      </c>
      <c r="H2993">
        <v>0.203470427884515</v>
      </c>
      <c r="I2993">
        <v>0.33357505593155901</v>
      </c>
      <c r="J2993">
        <v>0.45088335769617799</v>
      </c>
      <c r="K2993">
        <v>0.44191122927588999</v>
      </c>
      <c r="L2993">
        <v>3235.3547790827802</v>
      </c>
      <c r="M2993">
        <v>64.943896259344797</v>
      </c>
      <c r="N2993">
        <v>50.705802233796298</v>
      </c>
      <c r="O2993">
        <v>49.770518130851599</v>
      </c>
      <c r="P2993">
        <v>-0.215404358350964</v>
      </c>
      <c r="Q2993">
        <v>0.33968957163223101</v>
      </c>
      <c r="R2993">
        <v>0.94403512558267699</v>
      </c>
      <c r="S2993" t="s">
        <v>9445</v>
      </c>
      <c r="T2993" t="s">
        <v>12902</v>
      </c>
      <c r="U2993" t="s">
        <v>12902</v>
      </c>
      <c r="V2993" t="s">
        <v>12902</v>
      </c>
      <c r="W2993" t="s">
        <v>15855</v>
      </c>
      <c r="X2993">
        <v>2</v>
      </c>
      <c r="Y2993" t="s">
        <v>22190</v>
      </c>
      <c r="Z2993" t="s">
        <v>28568</v>
      </c>
      <c r="AA2993">
        <v>0.55663841508712864</v>
      </c>
      <c r="AB2993" t="str">
        <f>HYPERLINK("Melting_Curves/meltCurve_P78524_ST5.pdf", "Melting_Curves/meltCurve_P78524_ST5.pdf")</f>
        <v>Melting_Curves/meltCurve_P78524_ST5.pdf</v>
      </c>
    </row>
    <row r="2994" spans="1:28" x14ac:dyDescent="0.25">
      <c r="A2994" t="s">
        <v>2998</v>
      </c>
      <c r="B2994">
        <v>0.99673306730245903</v>
      </c>
      <c r="C2994">
        <v>0.92886833377384903</v>
      </c>
      <c r="D2994">
        <v>1.1728353553886099</v>
      </c>
      <c r="E2994">
        <v>1.7300997873579</v>
      </c>
      <c r="F2994">
        <v>0.21945850061880401</v>
      </c>
      <c r="G2994">
        <v>0.17644699068689401</v>
      </c>
      <c r="H2994">
        <v>9.3944047356787103E-2</v>
      </c>
      <c r="I2994">
        <v>8.83587374348586E-2</v>
      </c>
      <c r="J2994">
        <v>9.7117755311797199E-2</v>
      </c>
      <c r="K2994">
        <v>8.8847852403340699E-2</v>
      </c>
      <c r="L2994">
        <v>13196.003393765601</v>
      </c>
      <c r="M2994">
        <v>250</v>
      </c>
      <c r="N2994">
        <v>52.835952300631803</v>
      </c>
      <c r="O2994">
        <v>52.780656887329002</v>
      </c>
      <c r="P2994">
        <v>-1.05514201733625</v>
      </c>
      <c r="Q2994">
        <v>0.10894293513695601</v>
      </c>
      <c r="R2994">
        <v>0.82129201524233197</v>
      </c>
      <c r="S2994" t="s">
        <v>9446</v>
      </c>
      <c r="T2994" t="s">
        <v>12902</v>
      </c>
      <c r="U2994" t="s">
        <v>12902</v>
      </c>
      <c r="V2994" t="s">
        <v>12902</v>
      </c>
      <c r="W2994" t="s">
        <v>15856</v>
      </c>
      <c r="X2994">
        <v>172</v>
      </c>
      <c r="Y2994" t="s">
        <v>22191</v>
      </c>
      <c r="Z2994" t="s">
        <v>28569</v>
      </c>
      <c r="AA2994">
        <v>0.48873499876263721</v>
      </c>
      <c r="AB2994" t="str">
        <f>HYPERLINK("Melting_Curves/meltCurve_P78527_PRKDC.pdf", "Melting_Curves/meltCurve_P78527_PRKDC.pdf")</f>
        <v>Melting_Curves/meltCurve_P78527_PRKDC.pdf</v>
      </c>
    </row>
    <row r="2995" spans="1:28" x14ac:dyDescent="0.25">
      <c r="A2995" t="s">
        <v>2999</v>
      </c>
      <c r="B2995">
        <v>0.99673306730245903</v>
      </c>
      <c r="C2995">
        <v>0.95532685725614297</v>
      </c>
      <c r="D2995">
        <v>0.95259611351866702</v>
      </c>
      <c r="E2995">
        <v>0.78150692848383796</v>
      </c>
      <c r="F2995">
        <v>0.46331716629713199</v>
      </c>
      <c r="G2995">
        <v>0.22425382704641</v>
      </c>
      <c r="H2995">
        <v>0.156328358784113</v>
      </c>
      <c r="I2995">
        <v>0.17884193437833301</v>
      </c>
      <c r="J2995">
        <v>0.20251195250808901</v>
      </c>
      <c r="K2995">
        <v>0.172377098035816</v>
      </c>
      <c r="L2995">
        <v>1287.64080774115</v>
      </c>
      <c r="M2995">
        <v>24.899415326839399</v>
      </c>
      <c r="N2995">
        <v>52.5738157024457</v>
      </c>
      <c r="O2995">
        <v>51.383593372726899</v>
      </c>
      <c r="P2995">
        <v>-0.100878867831779</v>
      </c>
      <c r="Q2995">
        <v>0.16729805447632801</v>
      </c>
      <c r="R2995">
        <v>0.99619398005969395</v>
      </c>
      <c r="S2995" t="s">
        <v>9447</v>
      </c>
      <c r="T2995" t="s">
        <v>12902</v>
      </c>
      <c r="U2995" t="s">
        <v>12902</v>
      </c>
      <c r="V2995" t="s">
        <v>12902</v>
      </c>
      <c r="W2995" t="s">
        <v>15857</v>
      </c>
      <c r="X2995">
        <v>5</v>
      </c>
      <c r="Y2995" t="s">
        <v>22192</v>
      </c>
      <c r="Z2995" t="s">
        <v>28570</v>
      </c>
      <c r="AA2995">
        <v>0.5000713785220714</v>
      </c>
      <c r="AB2995" t="str">
        <f>HYPERLINK("Melting_Curves/meltCurve_P78536_ADAM17.pdf", "Melting_Curves/meltCurve_P78536_ADAM17.pdf")</f>
        <v>Melting_Curves/meltCurve_P78536_ADAM17.pdf</v>
      </c>
    </row>
    <row r="2996" spans="1:28" x14ac:dyDescent="0.25">
      <c r="A2996" t="s">
        <v>3000</v>
      </c>
      <c r="B2996">
        <v>0.99673306730245903</v>
      </c>
      <c r="C2996">
        <v>1.0335943262365701</v>
      </c>
      <c r="D2996">
        <v>1.0197443391753001</v>
      </c>
      <c r="E2996">
        <v>1.0141372303645</v>
      </c>
      <c r="F2996">
        <v>0.92168717189226501</v>
      </c>
      <c r="G2996">
        <v>0.78069625729301895</v>
      </c>
      <c r="H2996">
        <v>0.56407546760373295</v>
      </c>
      <c r="I2996">
        <v>0.25687586531405598</v>
      </c>
      <c r="J2996">
        <v>0.107382813143233</v>
      </c>
      <c r="K2996">
        <v>8.8733655921207605E-2</v>
      </c>
      <c r="L2996">
        <v>1211.8325125681499</v>
      </c>
      <c r="M2996">
        <v>19.880943893606801</v>
      </c>
      <c r="N2996">
        <v>60.954481110937799</v>
      </c>
      <c r="O2996">
        <v>60.347813262209002</v>
      </c>
      <c r="P2996">
        <v>-8.2362577721164398E-2</v>
      </c>
      <c r="Q2996">
        <v>0</v>
      </c>
      <c r="R2996">
        <v>0.99404376921359805</v>
      </c>
      <c r="S2996" t="s">
        <v>9448</v>
      </c>
      <c r="T2996" t="s">
        <v>12902</v>
      </c>
      <c r="U2996" t="s">
        <v>12902</v>
      </c>
      <c r="V2996" t="s">
        <v>12902</v>
      </c>
      <c r="W2996" t="s">
        <v>15858</v>
      </c>
      <c r="X2996">
        <v>16</v>
      </c>
      <c r="Y2996" t="s">
        <v>22193</v>
      </c>
      <c r="Z2996" t="s">
        <v>28571</v>
      </c>
      <c r="AA2996">
        <v>0.70464788831795389</v>
      </c>
      <c r="AB2996" t="str">
        <f>HYPERLINK("Melting_Curves/meltCurve_P78540_ARG2.pdf", "Melting_Curves/meltCurve_P78540_ARG2.pdf")</f>
        <v>Melting_Curves/meltCurve_P78540_ARG2.pdf</v>
      </c>
    </row>
    <row r="2997" spans="1:28" x14ac:dyDescent="0.25">
      <c r="A2997" t="s">
        <v>3001</v>
      </c>
      <c r="B2997">
        <v>0.99673306730245903</v>
      </c>
      <c r="C2997">
        <v>0.87616417645731404</v>
      </c>
      <c r="D2997">
        <v>0.64587231122424005</v>
      </c>
      <c r="E2997">
        <v>0.250456071594165</v>
      </c>
      <c r="F2997">
        <v>0.17212235856407701</v>
      </c>
      <c r="G2997">
        <v>0.104919492248053</v>
      </c>
      <c r="H2997">
        <v>0.1081790937585</v>
      </c>
      <c r="I2997">
        <v>0.111913018411933</v>
      </c>
      <c r="J2997">
        <v>0.154168724203325</v>
      </c>
      <c r="K2997">
        <v>0.25203442457436298</v>
      </c>
      <c r="L2997">
        <v>1258.9162647882699</v>
      </c>
      <c r="M2997">
        <v>27.135771775062398</v>
      </c>
      <c r="N2997">
        <v>46.9784411462525</v>
      </c>
      <c r="O2997">
        <v>46.143481368507601</v>
      </c>
      <c r="P2997">
        <v>-0.12593547361784499</v>
      </c>
      <c r="Q2997">
        <v>0.14341198862392199</v>
      </c>
      <c r="R2997">
        <v>0.98199184905229797</v>
      </c>
      <c r="S2997" t="s">
        <v>9449</v>
      </c>
      <c r="T2997" t="s">
        <v>12902</v>
      </c>
      <c r="U2997" t="s">
        <v>12902</v>
      </c>
      <c r="V2997" t="s">
        <v>12902</v>
      </c>
      <c r="W2997" t="s">
        <v>15859</v>
      </c>
      <c r="X2997">
        <v>4</v>
      </c>
      <c r="Y2997" t="s">
        <v>22194</v>
      </c>
      <c r="Z2997" t="s">
        <v>28572</v>
      </c>
      <c r="AA2997">
        <v>0.33242262726934158</v>
      </c>
      <c r="AB2997" t="str">
        <f>HYPERLINK("Melting_Curves/meltCurve_P78549_NTHL1.pdf", "Melting_Curves/meltCurve_P78549_NTHL1.pdf")</f>
        <v>Melting_Curves/meltCurve_P78549_NTHL1.pdf</v>
      </c>
    </row>
    <row r="2998" spans="1:28" x14ac:dyDescent="0.25">
      <c r="A2998" t="s">
        <v>3002</v>
      </c>
      <c r="B2998">
        <v>0.99673306730245903</v>
      </c>
      <c r="C2998">
        <v>1.06838124903748</v>
      </c>
      <c r="D2998">
        <v>1.0820388720708201</v>
      </c>
      <c r="E2998">
        <v>0.95750204526518001</v>
      </c>
      <c r="F2998">
        <v>0.953656490768232</v>
      </c>
      <c r="G2998">
        <v>0.81891849909189796</v>
      </c>
      <c r="H2998">
        <v>0.69334260189409902</v>
      </c>
      <c r="I2998">
        <v>0.95602194961503295</v>
      </c>
      <c r="J2998">
        <v>1.12632026612886</v>
      </c>
      <c r="K2998">
        <v>1.2275659929937199</v>
      </c>
      <c r="L2998">
        <v>15000</v>
      </c>
      <c r="M2998">
        <v>223.767951787399</v>
      </c>
      <c r="O2998">
        <v>67.028368021028498</v>
      </c>
      <c r="P2998">
        <v>0.18994254674130401</v>
      </c>
      <c r="Q2998">
        <v>1.22758468977867</v>
      </c>
      <c r="R2998">
        <v>0.315108090174051</v>
      </c>
      <c r="S2998" t="s">
        <v>9450</v>
      </c>
      <c r="T2998" t="s">
        <v>12902</v>
      </c>
      <c r="U2998" t="s">
        <v>12902</v>
      </c>
      <c r="V2998" t="s">
        <v>12902</v>
      </c>
      <c r="W2998" t="s">
        <v>15860</v>
      </c>
      <c r="X2998">
        <v>2</v>
      </c>
      <c r="Y2998" t="s">
        <v>22195</v>
      </c>
      <c r="Z2998" t="s">
        <v>28573</v>
      </c>
      <c r="AA2998">
        <v>1.0224693733396699</v>
      </c>
      <c r="AB2998" t="str">
        <f>HYPERLINK("Melting_Curves/meltCurve_P80162_CXCL6.pdf", "Melting_Curves/meltCurve_P80162_CXCL6.pdf")</f>
        <v>Melting_Curves/meltCurve_P80162_CXCL6.pdf</v>
      </c>
    </row>
    <row r="2999" spans="1:28" x14ac:dyDescent="0.25">
      <c r="A2999" t="s">
        <v>3003</v>
      </c>
      <c r="B2999">
        <v>0.99673306730245903</v>
      </c>
      <c r="C2999">
        <v>0.95051528366209403</v>
      </c>
      <c r="D2999">
        <v>0.94407276814462804</v>
      </c>
      <c r="E2999">
        <v>0.97159144496383898</v>
      </c>
      <c r="F2999">
        <v>0.83509798522043499</v>
      </c>
      <c r="G2999">
        <v>0.577251115550653</v>
      </c>
      <c r="H2999">
        <v>0.13981699898215499</v>
      </c>
      <c r="I2999">
        <v>7.4418272933163596E-2</v>
      </c>
      <c r="J2999">
        <v>7.1525935941977606E-2</v>
      </c>
      <c r="K2999">
        <v>6.2491637907270102E-2</v>
      </c>
      <c r="L2999">
        <v>1552.5800582511299</v>
      </c>
      <c r="M2999">
        <v>27.273094107459102</v>
      </c>
      <c r="N2999">
        <v>57.102242341251099</v>
      </c>
      <c r="O2999">
        <v>56.623752311877197</v>
      </c>
      <c r="P2999">
        <v>-0.115585075605212</v>
      </c>
      <c r="Q2999">
        <v>4.0109148365207702E-2</v>
      </c>
      <c r="R2999">
        <v>0.992881190761424</v>
      </c>
      <c r="S2999" t="s">
        <v>9451</v>
      </c>
      <c r="T2999" t="s">
        <v>12902</v>
      </c>
      <c r="U2999" t="s">
        <v>12902</v>
      </c>
      <c r="V2999" t="s">
        <v>12902</v>
      </c>
      <c r="W2999" t="s">
        <v>15861</v>
      </c>
      <c r="X2999">
        <v>9</v>
      </c>
      <c r="Y2999" t="s">
        <v>22196</v>
      </c>
      <c r="Z2999" t="s">
        <v>28574</v>
      </c>
      <c r="AA2999">
        <v>0.58924697504333712</v>
      </c>
      <c r="AB2999" t="str">
        <f>HYPERLINK("Melting_Curves/meltCurve_P80217_IFI35.pdf", "Melting_Curves/meltCurve_P80217_IFI35.pdf")</f>
        <v>Melting_Curves/meltCurve_P80217_IFI35.pdf</v>
      </c>
    </row>
    <row r="3000" spans="1:28" x14ac:dyDescent="0.25">
      <c r="A3000" t="s">
        <v>3004</v>
      </c>
      <c r="B3000">
        <v>0.99673306730245903</v>
      </c>
      <c r="C3000">
        <v>0.95728543253562504</v>
      </c>
      <c r="D3000">
        <v>1.1550271678385</v>
      </c>
      <c r="E3000">
        <v>0.96784124863316101</v>
      </c>
      <c r="F3000">
        <v>1.06908798390307</v>
      </c>
      <c r="G3000">
        <v>0.89809715440141402</v>
      </c>
      <c r="H3000">
        <v>1.0889327683368799</v>
      </c>
      <c r="I3000">
        <v>1.59729392208331</v>
      </c>
      <c r="J3000">
        <v>2.7029920571194102</v>
      </c>
      <c r="K3000">
        <v>2.32529598263549</v>
      </c>
      <c r="L3000">
        <v>15000</v>
      </c>
      <c r="M3000">
        <v>245.17983492299601</v>
      </c>
      <c r="O3000">
        <v>61.175520371428497</v>
      </c>
      <c r="P3000">
        <v>0.50097626123499595</v>
      </c>
      <c r="Q3000">
        <v>1.5</v>
      </c>
      <c r="R3000">
        <v>0.40288780880469</v>
      </c>
      <c r="S3000" t="s">
        <v>9452</v>
      </c>
      <c r="T3000" t="s">
        <v>12902</v>
      </c>
      <c r="U3000" t="s">
        <v>12902</v>
      </c>
      <c r="V3000" t="s">
        <v>12902</v>
      </c>
      <c r="W3000" t="s">
        <v>15862</v>
      </c>
      <c r="X3000">
        <v>4</v>
      </c>
      <c r="Y3000" t="s">
        <v>22197</v>
      </c>
      <c r="Z3000" t="s">
        <v>28575</v>
      </c>
      <c r="AA3000">
        <v>1.146951137423887</v>
      </c>
      <c r="AB3000" t="str">
        <f>HYPERLINK("Melting_Curves/meltCurve_P80294_MT1H.pdf", "Melting_Curves/meltCurve_P80294_MT1H.pdf")</f>
        <v>Melting_Curves/meltCurve_P80294_MT1H.pdf</v>
      </c>
    </row>
    <row r="3001" spans="1:28" x14ac:dyDescent="0.25">
      <c r="A3001" t="s">
        <v>3005</v>
      </c>
      <c r="B3001">
        <v>0.99673306730245903</v>
      </c>
      <c r="C3001">
        <v>0.96256038398066801</v>
      </c>
      <c r="D3001">
        <v>1.4395478644553401</v>
      </c>
      <c r="E3001">
        <v>1.0274191264802299</v>
      </c>
      <c r="F3001">
        <v>1.10576418389006</v>
      </c>
      <c r="G3001">
        <v>1.01168512737866</v>
      </c>
      <c r="H3001">
        <v>1.31711615730512</v>
      </c>
      <c r="I3001">
        <v>1.97727720814841</v>
      </c>
      <c r="J3001">
        <v>3.4513938645800502</v>
      </c>
      <c r="K3001">
        <v>2.7027524697099401</v>
      </c>
      <c r="L3001">
        <v>15000</v>
      </c>
      <c r="M3001">
        <v>247.26098819848801</v>
      </c>
      <c r="O3001">
        <v>60.660696837715001</v>
      </c>
      <c r="P3001">
        <v>0.50951663407143699</v>
      </c>
      <c r="Q3001">
        <v>1.5</v>
      </c>
      <c r="R3001">
        <v>0.135446347953076</v>
      </c>
      <c r="S3001" t="s">
        <v>9453</v>
      </c>
      <c r="T3001" t="s">
        <v>12902</v>
      </c>
      <c r="U3001" t="s">
        <v>12902</v>
      </c>
      <c r="V3001" t="s">
        <v>12902</v>
      </c>
      <c r="W3001" t="s">
        <v>15863</v>
      </c>
      <c r="X3001">
        <v>6</v>
      </c>
      <c r="Y3001" t="s">
        <v>22198</v>
      </c>
      <c r="Z3001" t="s">
        <v>28576</v>
      </c>
      <c r="AA3001">
        <v>1.155534835897132</v>
      </c>
      <c r="AB3001" t="str">
        <f>HYPERLINK("Melting_Curves/meltCurve_P80297_MT1X.pdf", "Melting_Curves/meltCurve_P80297_MT1X.pdf")</f>
        <v>Melting_Curves/meltCurve_P80297_MT1X.pdf</v>
      </c>
    </row>
    <row r="3002" spans="1:28" x14ac:dyDescent="0.25">
      <c r="A3002" t="s">
        <v>3006</v>
      </c>
      <c r="B3002">
        <v>0.99673306730245903</v>
      </c>
      <c r="C3002">
        <v>1.0083570994851201</v>
      </c>
      <c r="D3002">
        <v>0.99711588384569505</v>
      </c>
      <c r="E3002">
        <v>0.927019238583357</v>
      </c>
      <c r="F3002">
        <v>0.84272964990001498</v>
      </c>
      <c r="G3002">
        <v>0.670079324356738</v>
      </c>
      <c r="H3002">
        <v>0.55879564876213905</v>
      </c>
      <c r="I3002">
        <v>0.86870969150906896</v>
      </c>
      <c r="J3002">
        <v>1.1461668680456001</v>
      </c>
      <c r="K3002">
        <v>1.1178233748900099</v>
      </c>
      <c r="L3002">
        <v>3283.9648729313499</v>
      </c>
      <c r="M3002">
        <v>48.998605716680601</v>
      </c>
      <c r="O3002">
        <v>66.910267403300196</v>
      </c>
      <c r="P3002">
        <v>2.72008976284575E-2</v>
      </c>
      <c r="Q3002">
        <v>1.14857704779993</v>
      </c>
      <c r="R3002">
        <v>-0.15904242150919601</v>
      </c>
      <c r="S3002" t="s">
        <v>9454</v>
      </c>
      <c r="T3002" t="s">
        <v>12902</v>
      </c>
      <c r="U3002" t="s">
        <v>12902</v>
      </c>
      <c r="V3002" t="s">
        <v>12902</v>
      </c>
      <c r="W3002" t="s">
        <v>15864</v>
      </c>
      <c r="X3002">
        <v>30</v>
      </c>
      <c r="Y3002" t="s">
        <v>22199</v>
      </c>
      <c r="Z3002" t="s">
        <v>28577</v>
      </c>
      <c r="AA3002">
        <v>1.015199942590207</v>
      </c>
      <c r="AB3002" t="str">
        <f>HYPERLINK("Melting_Curves/meltCurve_P80303_NUCB2.pdf", "Melting_Curves/meltCurve_P80303_NUCB2.pdf")</f>
        <v>Melting_Curves/meltCurve_P80303_NUCB2.pdf</v>
      </c>
    </row>
    <row r="3003" spans="1:28" x14ac:dyDescent="0.25">
      <c r="A3003" t="s">
        <v>3007</v>
      </c>
      <c r="B3003">
        <v>0.99673306730245903</v>
      </c>
      <c r="C3003">
        <v>0.93713231087113302</v>
      </c>
      <c r="D3003">
        <v>0.95172361335298505</v>
      </c>
      <c r="E3003">
        <v>0.87276891888556696</v>
      </c>
      <c r="F3003">
        <v>0.83952661648764004</v>
      </c>
      <c r="G3003">
        <v>0.85577270151596596</v>
      </c>
      <c r="H3003">
        <v>0.89755063256575096</v>
      </c>
      <c r="I3003">
        <v>1.84317473499724</v>
      </c>
      <c r="J3003">
        <v>2.0099509577198198</v>
      </c>
      <c r="K3003">
        <v>2.3155190667236498</v>
      </c>
      <c r="L3003">
        <v>8528.3048095788508</v>
      </c>
      <c r="M3003">
        <v>137.30566543286801</v>
      </c>
      <c r="O3003">
        <v>62.098641622046003</v>
      </c>
      <c r="P3003">
        <v>0.27638619130053299</v>
      </c>
      <c r="Q3003">
        <v>1.5</v>
      </c>
      <c r="R3003">
        <v>0.60977811535696103</v>
      </c>
      <c r="S3003" t="s">
        <v>9455</v>
      </c>
      <c r="T3003" t="s">
        <v>12902</v>
      </c>
      <c r="U3003" t="s">
        <v>12902</v>
      </c>
      <c r="V3003" t="s">
        <v>12902</v>
      </c>
      <c r="W3003" t="s">
        <v>15865</v>
      </c>
      <c r="X3003">
        <v>24</v>
      </c>
      <c r="Y3003" t="s">
        <v>22200</v>
      </c>
      <c r="Z3003" t="s">
        <v>28578</v>
      </c>
      <c r="AA3003">
        <v>1.1312888874401119</v>
      </c>
      <c r="AB3003" t="str">
        <f>HYPERLINK("Melting_Curves/meltCurve_P80723_BASP1.pdf", "Melting_Curves/meltCurve_P80723_BASP1.pdf")</f>
        <v>Melting_Curves/meltCurve_P80723_BASP1.pdf</v>
      </c>
    </row>
    <row r="3004" spans="1:28" x14ac:dyDescent="0.25">
      <c r="A3004" t="s">
        <v>3008</v>
      </c>
      <c r="B3004">
        <v>0.99673306730245903</v>
      </c>
      <c r="C3004">
        <v>1.0022287250861299</v>
      </c>
      <c r="D3004">
        <v>0.96666675018648796</v>
      </c>
      <c r="E3004">
        <v>1.07435995823483</v>
      </c>
      <c r="F3004">
        <v>0.91026390018912196</v>
      </c>
      <c r="G3004">
        <v>0.753816299345486</v>
      </c>
      <c r="H3004">
        <v>0.38332554118242201</v>
      </c>
      <c r="I3004">
        <v>2.8247407020639899</v>
      </c>
      <c r="J3004">
        <v>0.59020707254291005</v>
      </c>
      <c r="K3004">
        <v>0.55389892730747603</v>
      </c>
      <c r="L3004">
        <v>803.25551638879199</v>
      </c>
      <c r="M3004">
        <v>13.5640740512683</v>
      </c>
      <c r="O3004">
        <v>57.976640296191199</v>
      </c>
      <c r="P3004">
        <v>3.1164103791039102E-3</v>
      </c>
      <c r="Q3004">
        <v>1.05327365631417</v>
      </c>
      <c r="R3004">
        <v>1.76069749763386E-3</v>
      </c>
      <c r="S3004" t="s">
        <v>9456</v>
      </c>
      <c r="T3004" t="s">
        <v>12902</v>
      </c>
      <c r="U3004" t="s">
        <v>12902</v>
      </c>
      <c r="V3004" t="s">
        <v>12902</v>
      </c>
      <c r="W3004" t="s">
        <v>15866</v>
      </c>
      <c r="X3004">
        <v>1</v>
      </c>
      <c r="Y3004" t="s">
        <v>22201</v>
      </c>
      <c r="Z3004" t="s">
        <v>28579</v>
      </c>
      <c r="AA3004">
        <v>1.0186755759260291</v>
      </c>
      <c r="AB3004" t="str">
        <f>HYPERLINK("Melting_Curves/meltCurve_P81605_DCD.pdf", "Melting_Curves/meltCurve_P81605_DCD.pdf")</f>
        <v>Melting_Curves/meltCurve_P81605_DCD.pdf</v>
      </c>
    </row>
    <row r="3005" spans="1:28" x14ac:dyDescent="0.25">
      <c r="A3005" t="s">
        <v>3009</v>
      </c>
      <c r="B3005">
        <v>0.99673306730245903</v>
      </c>
      <c r="C3005">
        <v>0.90790905018232704</v>
      </c>
      <c r="D3005">
        <v>0.8179456050253</v>
      </c>
      <c r="E3005">
        <v>0.61917674372942</v>
      </c>
      <c r="F3005">
        <v>0.404995418520887</v>
      </c>
      <c r="G3005">
        <v>0.30124836969086799</v>
      </c>
      <c r="H3005">
        <v>0.26725113296910402</v>
      </c>
      <c r="I3005">
        <v>0.57423980900542804</v>
      </c>
      <c r="J3005">
        <v>1.0983443633424901</v>
      </c>
      <c r="K3005">
        <v>1.2083999407355901</v>
      </c>
      <c r="L3005">
        <v>1615.22679309706</v>
      </c>
      <c r="M3005">
        <v>35.530344450907499</v>
      </c>
      <c r="O3005">
        <v>45.317213414493601</v>
      </c>
      <c r="P3005">
        <v>-7.0766722946586993E-2</v>
      </c>
      <c r="Q3005">
        <v>0.63896335584599995</v>
      </c>
      <c r="R3005">
        <v>0.158735608216233</v>
      </c>
      <c r="S3005" t="s">
        <v>9457</v>
      </c>
      <c r="T3005" t="s">
        <v>12902</v>
      </c>
      <c r="U3005" t="s">
        <v>12902</v>
      </c>
      <c r="V3005" t="s">
        <v>12902</v>
      </c>
      <c r="W3005" t="s">
        <v>15867</v>
      </c>
      <c r="X3005">
        <v>34</v>
      </c>
      <c r="Y3005" t="s">
        <v>22202</v>
      </c>
      <c r="Z3005" t="s">
        <v>28580</v>
      </c>
      <c r="AA3005">
        <v>0.70620813155929529</v>
      </c>
      <c r="AB3005" t="str">
        <f>HYPERLINK("Melting_Curves/meltCurve_P82094_TMF1.pdf", "Melting_Curves/meltCurve_P82094_TMF1.pdf")</f>
        <v>Melting_Curves/meltCurve_P82094_TMF1.pdf</v>
      </c>
    </row>
    <row r="3006" spans="1:28" x14ac:dyDescent="0.25">
      <c r="A3006" t="s">
        <v>3010</v>
      </c>
      <c r="B3006">
        <v>0.99673306730245903</v>
      </c>
      <c r="C3006">
        <v>0.93966184516821705</v>
      </c>
      <c r="D3006">
        <v>0.68415558440643198</v>
      </c>
      <c r="E3006">
        <v>0.58094430776957995</v>
      </c>
      <c r="F3006">
        <v>0.35272328470477698</v>
      </c>
      <c r="G3006">
        <v>0.28225157712721299</v>
      </c>
      <c r="H3006">
        <v>0.210616615864131</v>
      </c>
      <c r="I3006">
        <v>0.141652757452053</v>
      </c>
      <c r="J3006">
        <v>9.6297647497705599E-2</v>
      </c>
      <c r="K3006">
        <v>7.4426937177115404E-2</v>
      </c>
      <c r="L3006">
        <v>579.13052670314505</v>
      </c>
      <c r="M3006">
        <v>11.556308213628199</v>
      </c>
      <c r="N3006">
        <v>50.7296055108717</v>
      </c>
      <c r="O3006">
        <v>48.683676588666401</v>
      </c>
      <c r="P3006">
        <v>-5.5475669429176103E-2</v>
      </c>
      <c r="Q3006">
        <v>6.5443260366075395E-2</v>
      </c>
      <c r="R3006">
        <v>0.98648302308401103</v>
      </c>
      <c r="S3006" t="s">
        <v>9458</v>
      </c>
      <c r="T3006" t="s">
        <v>12902</v>
      </c>
      <c r="U3006" t="s">
        <v>12902</v>
      </c>
      <c r="V3006" t="s">
        <v>12902</v>
      </c>
      <c r="W3006" t="s">
        <v>15868</v>
      </c>
      <c r="X3006">
        <v>3</v>
      </c>
      <c r="Y3006" t="s">
        <v>22203</v>
      </c>
      <c r="Z3006" t="s">
        <v>28581</v>
      </c>
      <c r="AA3006">
        <v>0.41454569865588148</v>
      </c>
      <c r="AB3006" t="str">
        <f>HYPERLINK("Melting_Curves/meltCurve_P82664_MRPS10.pdf", "Melting_Curves/meltCurve_P82664_MRPS10.pdf")</f>
        <v>Melting_Curves/meltCurve_P82664_MRPS10.pdf</v>
      </c>
    </row>
    <row r="3007" spans="1:28" x14ac:dyDescent="0.25">
      <c r="A3007" t="s">
        <v>3011</v>
      </c>
      <c r="B3007">
        <v>0.99673306730245903</v>
      </c>
      <c r="C3007">
        <v>0.92545768776284598</v>
      </c>
      <c r="D3007">
        <v>0.59458630987600802</v>
      </c>
      <c r="E3007">
        <v>0.51065945185630701</v>
      </c>
      <c r="F3007">
        <v>0.22981442672695099</v>
      </c>
      <c r="G3007">
        <v>0.14804870044511501</v>
      </c>
      <c r="H3007">
        <v>7.9771309694809597E-2</v>
      </c>
      <c r="I3007">
        <v>7.3330113816906795E-2</v>
      </c>
      <c r="J3007">
        <v>9.3646244394251094E-2</v>
      </c>
      <c r="K3007">
        <v>8.1012512134459799E-2</v>
      </c>
      <c r="L3007">
        <v>720.57854068704</v>
      </c>
      <c r="M3007">
        <v>14.9404925062986</v>
      </c>
      <c r="N3007">
        <v>48.658645323675898</v>
      </c>
      <c r="O3007">
        <v>47.390615552428997</v>
      </c>
      <c r="P3007">
        <v>-7.3962669554355098E-2</v>
      </c>
      <c r="Q3007">
        <v>6.1670716642498E-2</v>
      </c>
      <c r="R3007">
        <v>0.98200438216886399</v>
      </c>
      <c r="S3007" t="s">
        <v>9459</v>
      </c>
      <c r="T3007" t="s">
        <v>12902</v>
      </c>
      <c r="U3007" t="s">
        <v>12902</v>
      </c>
      <c r="V3007" t="s">
        <v>12902</v>
      </c>
      <c r="W3007" t="s">
        <v>15869</v>
      </c>
      <c r="X3007">
        <v>4</v>
      </c>
      <c r="Y3007" t="s">
        <v>22204</v>
      </c>
      <c r="Z3007" t="s">
        <v>28582</v>
      </c>
      <c r="AA3007">
        <v>0.34316303509473428</v>
      </c>
      <c r="AB3007" t="str">
        <f>HYPERLINK("Melting_Curves/meltCurve_P82673_MRPS35.pdf", "Melting_Curves/meltCurve_P82673_MRPS35.pdf")</f>
        <v>Melting_Curves/meltCurve_P82673_MRPS35.pdf</v>
      </c>
    </row>
    <row r="3008" spans="1:28" x14ac:dyDescent="0.25">
      <c r="A3008" t="s">
        <v>3012</v>
      </c>
      <c r="B3008">
        <v>0.99673306730245903</v>
      </c>
      <c r="C3008">
        <v>1.01736067774183</v>
      </c>
      <c r="D3008">
        <v>1.08790815550618</v>
      </c>
      <c r="E3008">
        <v>1.13560482576996</v>
      </c>
      <c r="F3008">
        <v>1.31050826606445</v>
      </c>
      <c r="G3008">
        <v>1.2531539449320701</v>
      </c>
      <c r="H3008">
        <v>1.0843867695087299</v>
      </c>
      <c r="I3008">
        <v>1.3835945000638801</v>
      </c>
      <c r="J3008">
        <v>1.94045669869981</v>
      </c>
      <c r="K3008">
        <v>1.8008737733860001</v>
      </c>
      <c r="L3008">
        <v>747.51141120310297</v>
      </c>
      <c r="M3008">
        <v>13.8188022736247</v>
      </c>
      <c r="O3008">
        <v>52.998728674484198</v>
      </c>
      <c r="P3008">
        <v>3.2596834779169297E-2</v>
      </c>
      <c r="Q3008">
        <v>1.5</v>
      </c>
      <c r="R3008">
        <v>0.527460512229872</v>
      </c>
      <c r="S3008" t="s">
        <v>9460</v>
      </c>
      <c r="T3008" t="s">
        <v>12902</v>
      </c>
      <c r="U3008" t="s">
        <v>12902</v>
      </c>
      <c r="V3008" t="s">
        <v>12902</v>
      </c>
      <c r="W3008" t="s">
        <v>15870</v>
      </c>
      <c r="X3008">
        <v>9</v>
      </c>
      <c r="Y3008" t="s">
        <v>22205</v>
      </c>
      <c r="Z3008" t="s">
        <v>28583</v>
      </c>
      <c r="AA3008">
        <v>1.2538732427728381</v>
      </c>
      <c r="AB3008" t="str">
        <f>HYPERLINK("Melting_Curves/meltCurve_P82909_MRPS36.pdf", "Melting_Curves/meltCurve_P82909_MRPS36.pdf")</f>
        <v>Melting_Curves/meltCurve_P82909_MRPS36.pdf</v>
      </c>
    </row>
    <row r="3009" spans="1:28" x14ac:dyDescent="0.25">
      <c r="A3009" t="s">
        <v>3013</v>
      </c>
      <c r="B3009">
        <v>0.99673306730245903</v>
      </c>
      <c r="C3009">
        <v>0.95806192332676399</v>
      </c>
      <c r="D3009">
        <v>1.2173418190246601</v>
      </c>
      <c r="E3009">
        <v>0.76995365458173504</v>
      </c>
      <c r="F3009">
        <v>0.27747924545722102</v>
      </c>
      <c r="G3009">
        <v>0.210342735532246</v>
      </c>
      <c r="H3009">
        <v>0.125279040078594</v>
      </c>
      <c r="I3009">
        <v>0.10303694961467499</v>
      </c>
      <c r="J3009">
        <v>0.11528099554492099</v>
      </c>
      <c r="K3009">
        <v>0.10830400012560901</v>
      </c>
      <c r="L3009">
        <v>2075.8843772708901</v>
      </c>
      <c r="M3009">
        <v>40.671187335182601</v>
      </c>
      <c r="N3009">
        <v>51.420465102467702</v>
      </c>
      <c r="O3009">
        <v>50.9177335935805</v>
      </c>
      <c r="P3009">
        <v>-0.17378219243404999</v>
      </c>
      <c r="Q3009">
        <v>0.12974478468527101</v>
      </c>
      <c r="R3009">
        <v>0.96619799609915302</v>
      </c>
      <c r="S3009" t="s">
        <v>9461</v>
      </c>
      <c r="T3009" t="s">
        <v>12902</v>
      </c>
      <c r="U3009" t="s">
        <v>12902</v>
      </c>
      <c r="V3009" t="s">
        <v>12902</v>
      </c>
      <c r="W3009" t="s">
        <v>15871</v>
      </c>
      <c r="X3009">
        <v>6</v>
      </c>
      <c r="Y3009" t="s">
        <v>22206</v>
      </c>
      <c r="Z3009" t="s">
        <v>28584</v>
      </c>
      <c r="AA3009">
        <v>0.45298683646618648</v>
      </c>
      <c r="AB3009" t="str">
        <f>HYPERLINK("Melting_Curves/meltCurve_P82930_MRPS34.pdf", "Melting_Curves/meltCurve_P82930_MRPS34.pdf")</f>
        <v>Melting_Curves/meltCurve_P82930_MRPS34.pdf</v>
      </c>
    </row>
    <row r="3010" spans="1:28" x14ac:dyDescent="0.25">
      <c r="A3010" t="s">
        <v>3014</v>
      </c>
      <c r="B3010">
        <v>0.99673306730245903</v>
      </c>
      <c r="C3010">
        <v>0.80180642191420803</v>
      </c>
      <c r="D3010">
        <v>0.49903780881576898</v>
      </c>
      <c r="E3010">
        <v>0.32731909795925301</v>
      </c>
      <c r="F3010">
        <v>0.15695006556831501</v>
      </c>
      <c r="G3010">
        <v>9.4547307772023303E-2</v>
      </c>
      <c r="H3010">
        <v>5.9313651076264899E-2</v>
      </c>
      <c r="I3010">
        <v>4.86230521913266E-2</v>
      </c>
      <c r="J3010">
        <v>5.9380585293881398E-2</v>
      </c>
      <c r="K3010">
        <v>5.1885002284533799E-2</v>
      </c>
      <c r="L3010">
        <v>772.23870194898996</v>
      </c>
      <c r="M3010">
        <v>16.6861260399792</v>
      </c>
      <c r="N3010">
        <v>46.583351864371899</v>
      </c>
      <c r="O3010">
        <v>45.630897881578598</v>
      </c>
      <c r="P3010">
        <v>-8.6722508348354904E-2</v>
      </c>
      <c r="Q3010">
        <v>5.1436441777818399E-2</v>
      </c>
      <c r="R3010">
        <v>0.99221916628095996</v>
      </c>
      <c r="S3010" t="s">
        <v>9462</v>
      </c>
      <c r="T3010" t="s">
        <v>12902</v>
      </c>
      <c r="U3010" t="s">
        <v>12902</v>
      </c>
      <c r="V3010" t="s">
        <v>12902</v>
      </c>
      <c r="W3010" t="s">
        <v>15872</v>
      </c>
      <c r="X3010">
        <v>3</v>
      </c>
      <c r="Y3010" t="s">
        <v>22207</v>
      </c>
      <c r="Z3010" t="s">
        <v>28585</v>
      </c>
      <c r="AA3010">
        <v>0.27158024350552962</v>
      </c>
      <c r="AB3010" t="str">
        <f>HYPERLINK("Melting_Curves/meltCurve_P82933_MRPS9.pdf", "Melting_Curves/meltCurve_P82933_MRPS9.pdf")</f>
        <v>Melting_Curves/meltCurve_P82933_MRPS9.pdf</v>
      </c>
    </row>
    <row r="3011" spans="1:28" x14ac:dyDescent="0.25">
      <c r="A3011" t="s">
        <v>3015</v>
      </c>
      <c r="B3011">
        <v>0.99673306730245903</v>
      </c>
      <c r="C3011">
        <v>0.92731708581616201</v>
      </c>
      <c r="D3011">
        <v>0.80724220034961003</v>
      </c>
      <c r="E3011">
        <v>0.77511852749446997</v>
      </c>
      <c r="F3011">
        <v>0.76717126084507803</v>
      </c>
      <c r="G3011">
        <v>0.61703889567794201</v>
      </c>
      <c r="H3011">
        <v>0.54750733966174803</v>
      </c>
      <c r="I3011">
        <v>0.80245889857280595</v>
      </c>
      <c r="J3011">
        <v>1.1755599928949501</v>
      </c>
      <c r="K3011">
        <v>1.1112387752347299</v>
      </c>
      <c r="L3011">
        <v>10739.495329830501</v>
      </c>
      <c r="M3011">
        <v>250</v>
      </c>
      <c r="O3011">
        <v>42.955232230641798</v>
      </c>
      <c r="P3011">
        <v>-0.25401884356850402</v>
      </c>
      <c r="Q3011">
        <v>0.82541698528624297</v>
      </c>
      <c r="R3011">
        <v>8.8619987643707696E-2</v>
      </c>
      <c r="S3011" t="s">
        <v>9463</v>
      </c>
      <c r="T3011" t="s">
        <v>12902</v>
      </c>
      <c r="U3011" t="s">
        <v>12902</v>
      </c>
      <c r="V3011" t="s">
        <v>12902</v>
      </c>
      <c r="W3011" t="s">
        <v>15873</v>
      </c>
      <c r="X3011">
        <v>16</v>
      </c>
      <c r="Y3011" t="s">
        <v>22208</v>
      </c>
      <c r="Z3011" t="s">
        <v>28586</v>
      </c>
      <c r="AA3011">
        <v>0.84264392375034691</v>
      </c>
      <c r="AB3011" t="str">
        <f>HYPERLINK("Melting_Curves/meltCurve_P82979_SARNP.pdf", "Melting_Curves/meltCurve_P82979_SARNP.pdf")</f>
        <v>Melting_Curves/meltCurve_P82979_SARNP.pdf</v>
      </c>
    </row>
    <row r="3012" spans="1:28" x14ac:dyDescent="0.25">
      <c r="A3012" t="s">
        <v>3016</v>
      </c>
      <c r="B3012">
        <v>0.99673306730245903</v>
      </c>
      <c r="C3012">
        <v>0.96743730520081395</v>
      </c>
      <c r="D3012">
        <v>1.2729479651200499</v>
      </c>
      <c r="E3012">
        <v>1.6336000498846699</v>
      </c>
      <c r="F3012">
        <v>0.64039341735692901</v>
      </c>
      <c r="G3012">
        <v>0.33676043681180501</v>
      </c>
      <c r="H3012">
        <v>0.20199697394709301</v>
      </c>
      <c r="I3012">
        <v>0.19690704153170099</v>
      </c>
      <c r="J3012">
        <v>0.25549938114183302</v>
      </c>
      <c r="K3012">
        <v>0.20336319977383099</v>
      </c>
      <c r="L3012">
        <v>10307.225495320899</v>
      </c>
      <c r="M3012">
        <v>193.634649952053</v>
      </c>
      <c r="N3012">
        <v>53.409486329611397</v>
      </c>
      <c r="O3012">
        <v>53.224604513903103</v>
      </c>
      <c r="P3012">
        <v>-0.69222934903302102</v>
      </c>
      <c r="Q3012">
        <v>0.23890424403001001</v>
      </c>
      <c r="R3012">
        <v>0.79796983396392696</v>
      </c>
      <c r="S3012" t="s">
        <v>9464</v>
      </c>
      <c r="T3012" t="s">
        <v>12902</v>
      </c>
      <c r="U3012" t="s">
        <v>12902</v>
      </c>
      <c r="V3012" t="s">
        <v>12902</v>
      </c>
      <c r="W3012" t="s">
        <v>15874</v>
      </c>
      <c r="X3012">
        <v>4</v>
      </c>
      <c r="Y3012" t="s">
        <v>22209</v>
      </c>
      <c r="Z3012" t="s">
        <v>28587</v>
      </c>
      <c r="AA3012">
        <v>0.57467296241855803</v>
      </c>
      <c r="AB3012" t="str">
        <f>HYPERLINK("Melting_Curves/meltCurve_P83111_LACTB.pdf", "Melting_Curves/meltCurve_P83111_LACTB.pdf")</f>
        <v>Melting_Curves/meltCurve_P83111_LACTB.pdf</v>
      </c>
    </row>
    <row r="3013" spans="1:28" x14ac:dyDescent="0.25">
      <c r="A3013" t="s">
        <v>3017</v>
      </c>
      <c r="B3013">
        <v>0.99673306730245903</v>
      </c>
      <c r="C3013">
        <v>0.91017342748899799</v>
      </c>
      <c r="D3013">
        <v>0.73474182350547101</v>
      </c>
      <c r="E3013">
        <v>0.43910478569017802</v>
      </c>
      <c r="F3013">
        <v>0.367274830379821</v>
      </c>
      <c r="G3013">
        <v>0.234520128003251</v>
      </c>
      <c r="H3013">
        <v>0.17965165429867599</v>
      </c>
      <c r="I3013">
        <v>0.13850017915391299</v>
      </c>
      <c r="J3013">
        <v>0.114679998872757</v>
      </c>
      <c r="K3013">
        <v>7.4339397150592498E-2</v>
      </c>
      <c r="L3013">
        <v>669.91158318633302</v>
      </c>
      <c r="M3013">
        <v>13.705313018174699</v>
      </c>
      <c r="N3013">
        <v>49.686791663192601</v>
      </c>
      <c r="O3013">
        <v>47.874310775967601</v>
      </c>
      <c r="P3013">
        <v>-6.4436500985962306E-2</v>
      </c>
      <c r="Q3013">
        <v>9.9791924064811993E-2</v>
      </c>
      <c r="R3013">
        <v>0.98961802123851506</v>
      </c>
      <c r="S3013" t="s">
        <v>9465</v>
      </c>
      <c r="T3013" t="s">
        <v>12902</v>
      </c>
      <c r="U3013" t="s">
        <v>12902</v>
      </c>
      <c r="V3013" t="s">
        <v>12902</v>
      </c>
      <c r="W3013" t="s">
        <v>15875</v>
      </c>
      <c r="X3013">
        <v>4</v>
      </c>
      <c r="Y3013" t="s">
        <v>22210</v>
      </c>
      <c r="Z3013" t="s">
        <v>28588</v>
      </c>
      <c r="AA3013">
        <v>0.39263498487803861</v>
      </c>
      <c r="AB3013" t="str">
        <f>HYPERLINK("Melting_Curves/meltCurve_P83436_COG7.pdf", "Melting_Curves/meltCurve_P83436_COG7.pdf")</f>
        <v>Melting_Curves/meltCurve_P83436_COG7.pdf</v>
      </c>
    </row>
    <row r="3014" spans="1:28" x14ac:dyDescent="0.25">
      <c r="A3014" t="s">
        <v>3018</v>
      </c>
      <c r="B3014">
        <v>0.99673306730245903</v>
      </c>
      <c r="C3014">
        <v>0.79539009773743996</v>
      </c>
      <c r="D3014">
        <v>0.65821305123995699</v>
      </c>
      <c r="E3014">
        <v>0.75344096481475498</v>
      </c>
      <c r="F3014">
        <v>0.27405845167374598</v>
      </c>
      <c r="G3014">
        <v>0.150893551262375</v>
      </c>
      <c r="H3014">
        <v>7.9685811611066096E-2</v>
      </c>
      <c r="I3014">
        <v>6.0151704221615199E-2</v>
      </c>
      <c r="J3014">
        <v>6.9534250298060707E-2</v>
      </c>
      <c r="K3014">
        <v>5.7436964397763003E-2</v>
      </c>
      <c r="L3014">
        <v>602.73346817438403</v>
      </c>
      <c r="M3014">
        <v>11.9764238290024</v>
      </c>
      <c r="N3014">
        <v>50.326664762709797</v>
      </c>
      <c r="O3014">
        <v>48.985120318664002</v>
      </c>
      <c r="P3014">
        <v>-6.1137611755978302E-2</v>
      </c>
      <c r="Q3014">
        <v>0</v>
      </c>
      <c r="R3014">
        <v>0.94001444717123805</v>
      </c>
      <c r="S3014" t="s">
        <v>9466</v>
      </c>
      <c r="T3014" t="s">
        <v>12902</v>
      </c>
      <c r="U3014" t="s">
        <v>12902</v>
      </c>
      <c r="V3014" t="s">
        <v>12902</v>
      </c>
      <c r="W3014" t="s">
        <v>15876</v>
      </c>
      <c r="X3014">
        <v>9</v>
      </c>
      <c r="Y3014" t="s">
        <v>22211</v>
      </c>
      <c r="Z3014" t="s">
        <v>28589</v>
      </c>
      <c r="AA3014">
        <v>0.37827970765660829</v>
      </c>
      <c r="AB3014" t="str">
        <f>HYPERLINK("Melting_Curves/meltCurve_P83731_RPL24.pdf", "Melting_Curves/meltCurve_P83731_RPL24.pdf")</f>
        <v>Melting_Curves/meltCurve_P83731_RPL24.pdf</v>
      </c>
    </row>
    <row r="3015" spans="1:28" x14ac:dyDescent="0.25">
      <c r="A3015" t="s">
        <v>3019</v>
      </c>
      <c r="B3015">
        <v>0.99673306730245903</v>
      </c>
      <c r="C3015">
        <v>0.99058768862873803</v>
      </c>
      <c r="D3015">
        <v>0.94843992444124803</v>
      </c>
      <c r="E3015">
        <v>0.97165048168786206</v>
      </c>
      <c r="F3015">
        <v>0.82191147525437602</v>
      </c>
      <c r="G3015">
        <v>0.597263109917887</v>
      </c>
      <c r="H3015">
        <v>0.26773045861978001</v>
      </c>
      <c r="I3015">
        <v>0.104229001512085</v>
      </c>
      <c r="J3015">
        <v>0.106326645395436</v>
      </c>
      <c r="K3015">
        <v>9.0527849742302102E-2</v>
      </c>
      <c r="L3015">
        <v>1220.1851123157401</v>
      </c>
      <c r="M3015">
        <v>21.289867260745201</v>
      </c>
      <c r="N3015">
        <v>57.6148377038188</v>
      </c>
      <c r="O3015">
        <v>56.8144935530376</v>
      </c>
      <c r="P3015">
        <v>-8.8739407788934396E-2</v>
      </c>
      <c r="Q3015">
        <v>5.2778471136887301E-2</v>
      </c>
      <c r="R3015">
        <v>0.99612335088277504</v>
      </c>
      <c r="S3015" t="s">
        <v>9467</v>
      </c>
      <c r="T3015" t="s">
        <v>12902</v>
      </c>
      <c r="U3015" t="s">
        <v>12902</v>
      </c>
      <c r="V3015" t="s">
        <v>12902</v>
      </c>
      <c r="W3015" t="s">
        <v>15877</v>
      </c>
      <c r="X3015">
        <v>9</v>
      </c>
      <c r="Y3015" t="s">
        <v>22212</v>
      </c>
      <c r="Z3015" t="s">
        <v>28590</v>
      </c>
      <c r="AA3015">
        <v>0.60996650829259014</v>
      </c>
      <c r="AB3015" t="str">
        <f>HYPERLINK("Melting_Curves/meltCurve_P84085_ARF5.pdf", "Melting_Curves/meltCurve_P84085_ARF5.pdf")</f>
        <v>Melting_Curves/meltCurve_P84085_ARF5.pdf</v>
      </c>
    </row>
    <row r="3016" spans="1:28" x14ac:dyDescent="0.25">
      <c r="A3016" t="s">
        <v>3020</v>
      </c>
      <c r="B3016">
        <v>0.99673306730245903</v>
      </c>
      <c r="C3016">
        <v>0.67771965879407503</v>
      </c>
      <c r="D3016">
        <v>0.96104001140246198</v>
      </c>
      <c r="E3016">
        <v>0.89341814702439004</v>
      </c>
      <c r="F3016">
        <v>0.60149259413835598</v>
      </c>
      <c r="G3016">
        <v>0.56042019861889103</v>
      </c>
      <c r="H3016">
        <v>0.42703541552284402</v>
      </c>
      <c r="I3016">
        <v>0.55096833101717901</v>
      </c>
      <c r="J3016">
        <v>0.67143618286224804</v>
      </c>
      <c r="K3016">
        <v>0.52007579208073496</v>
      </c>
      <c r="L3016">
        <v>512.21511063204605</v>
      </c>
      <c r="M3016">
        <v>10.323941752598399</v>
      </c>
      <c r="O3016">
        <v>47.860985465931101</v>
      </c>
      <c r="P3016">
        <v>-2.6938412417389E-2</v>
      </c>
      <c r="Q3016">
        <v>0.50067748514674504</v>
      </c>
      <c r="R3016">
        <v>0.60949561200960201</v>
      </c>
      <c r="S3016" t="s">
        <v>9468</v>
      </c>
      <c r="T3016" t="s">
        <v>12902</v>
      </c>
      <c r="U3016" t="s">
        <v>12902</v>
      </c>
      <c r="V3016" t="s">
        <v>12902</v>
      </c>
      <c r="W3016" t="s">
        <v>15878</v>
      </c>
      <c r="X3016">
        <v>9</v>
      </c>
      <c r="Y3016" t="s">
        <v>22213</v>
      </c>
      <c r="Z3016" t="s">
        <v>28591</v>
      </c>
      <c r="AA3016">
        <v>0.68294518643351954</v>
      </c>
      <c r="AB3016" t="str">
        <f>HYPERLINK("Melting_Curves/meltCurve_P84090_ERH.pdf", "Melting_Curves/meltCurve_P84090_ERH.pdf")</f>
        <v>Melting_Curves/meltCurve_P84090_ERH.pdf</v>
      </c>
    </row>
    <row r="3017" spans="1:28" x14ac:dyDescent="0.25">
      <c r="A3017" t="s">
        <v>3021</v>
      </c>
      <c r="B3017">
        <v>0.99673306730245903</v>
      </c>
      <c r="C3017">
        <v>0.98534277151952898</v>
      </c>
      <c r="D3017">
        <v>1.0497444643081399</v>
      </c>
      <c r="E3017">
        <v>0.81857433151288195</v>
      </c>
      <c r="F3017">
        <v>0.67482988716581505</v>
      </c>
      <c r="G3017">
        <v>0.55733289497215899</v>
      </c>
      <c r="H3017">
        <v>0.27679079818947699</v>
      </c>
      <c r="I3017">
        <v>0.11084209440224201</v>
      </c>
      <c r="J3017">
        <v>9.6604008442458006E-2</v>
      </c>
      <c r="K3017">
        <v>7.6520700516298598E-2</v>
      </c>
      <c r="L3017">
        <v>795.78729656771895</v>
      </c>
      <c r="M3017">
        <v>14.058193094564601</v>
      </c>
      <c r="N3017">
        <v>56.606645102835003</v>
      </c>
      <c r="O3017">
        <v>55.498167372525899</v>
      </c>
      <c r="P3017">
        <v>-6.33355307255246E-2</v>
      </c>
      <c r="Q3017">
        <v>0</v>
      </c>
      <c r="R3017">
        <v>0.98556556219068403</v>
      </c>
      <c r="S3017" t="s">
        <v>9469</v>
      </c>
      <c r="T3017" t="s">
        <v>12902</v>
      </c>
      <c r="U3017" t="s">
        <v>12902</v>
      </c>
      <c r="V3017" t="s">
        <v>12902</v>
      </c>
      <c r="W3017" t="s">
        <v>15879</v>
      </c>
      <c r="X3017">
        <v>7</v>
      </c>
      <c r="Y3017" t="s">
        <v>22214</v>
      </c>
      <c r="Z3017" t="s">
        <v>28592</v>
      </c>
      <c r="AA3017">
        <v>0.57085972488551451</v>
      </c>
      <c r="AB3017" t="str">
        <f>HYPERLINK("Melting_Curves/meltCurve_P84095_RHOG.pdf", "Melting_Curves/meltCurve_P84095_RHOG.pdf")</f>
        <v>Melting_Curves/meltCurve_P84095_RHOG.pdf</v>
      </c>
    </row>
    <row r="3018" spans="1:28" x14ac:dyDescent="0.25">
      <c r="A3018" t="s">
        <v>3022</v>
      </c>
      <c r="B3018">
        <v>0.99673306730245903</v>
      </c>
      <c r="C3018">
        <v>0.96779098191480795</v>
      </c>
      <c r="D3018">
        <v>1.0197356881420001</v>
      </c>
      <c r="E3018">
        <v>1.0182429471476699</v>
      </c>
      <c r="F3018">
        <v>1.10779522218562</v>
      </c>
      <c r="G3018">
        <v>1.0785974628987001</v>
      </c>
      <c r="H3018">
        <v>1.2845341046932199</v>
      </c>
      <c r="I3018">
        <v>1.9913673252520201</v>
      </c>
      <c r="J3018">
        <v>2.6082992776806102</v>
      </c>
      <c r="K3018">
        <v>3.2512831329602299</v>
      </c>
      <c r="L3018">
        <v>15000</v>
      </c>
      <c r="M3018">
        <v>246.988631446694</v>
      </c>
      <c r="O3018">
        <v>60.727533687692997</v>
      </c>
      <c r="P3018">
        <v>0.50839486518024202</v>
      </c>
      <c r="Q3018">
        <v>1.5</v>
      </c>
      <c r="R3018">
        <v>0.22817708812749801</v>
      </c>
      <c r="S3018" t="s">
        <v>9470</v>
      </c>
      <c r="T3018" t="s">
        <v>12902</v>
      </c>
      <c r="U3018" t="s">
        <v>12902</v>
      </c>
      <c r="V3018" t="s">
        <v>12902</v>
      </c>
      <c r="W3018" t="s">
        <v>15880</v>
      </c>
      <c r="X3018">
        <v>5</v>
      </c>
      <c r="Y3018" t="s">
        <v>22215</v>
      </c>
      <c r="Z3018" t="s">
        <v>28593</v>
      </c>
      <c r="AA3018">
        <v>1.154419730809304</v>
      </c>
      <c r="AB3018" t="str">
        <f>HYPERLINK("Melting_Curves/meltCurve_P84101_4_SERF2.pdf", "Melting_Curves/meltCurve_P84101_4_SERF2.pdf")</f>
        <v>Melting_Curves/meltCurve_P84101_4_SERF2.pdf</v>
      </c>
    </row>
    <row r="3019" spans="1:28" x14ac:dyDescent="0.25">
      <c r="A3019" t="s">
        <v>3023</v>
      </c>
      <c r="B3019">
        <v>0.99673306730245903</v>
      </c>
      <c r="C3019">
        <v>1.02230690293616</v>
      </c>
      <c r="D3019">
        <v>0.88988318161628799</v>
      </c>
      <c r="E3019">
        <v>0.83916283243751799</v>
      </c>
      <c r="F3019">
        <v>0.73271238992279197</v>
      </c>
      <c r="G3019">
        <v>0.62291993513208099</v>
      </c>
      <c r="H3019">
        <v>0.478948092009782</v>
      </c>
      <c r="I3019">
        <v>0.71559177463986801</v>
      </c>
      <c r="J3019">
        <v>0.79485068624217603</v>
      </c>
      <c r="K3019">
        <v>0.90268312379710602</v>
      </c>
      <c r="L3019">
        <v>1232.55604024389</v>
      </c>
      <c r="M3019">
        <v>25.6051138754043</v>
      </c>
      <c r="O3019">
        <v>47.846368438934597</v>
      </c>
      <c r="P3019">
        <v>-3.9315221517501497E-2</v>
      </c>
      <c r="Q3019">
        <v>0.70614189597476895</v>
      </c>
      <c r="R3019">
        <v>0.56305710415794197</v>
      </c>
      <c r="S3019" t="s">
        <v>9471</v>
      </c>
      <c r="T3019" t="s">
        <v>12902</v>
      </c>
      <c r="U3019" t="s">
        <v>12902</v>
      </c>
      <c r="V3019" t="s">
        <v>12902</v>
      </c>
      <c r="W3019" t="s">
        <v>15881</v>
      </c>
      <c r="X3019">
        <v>4</v>
      </c>
      <c r="Y3019" t="s">
        <v>22216</v>
      </c>
      <c r="Z3019" t="s">
        <v>28594</v>
      </c>
      <c r="AA3019">
        <v>0.78831585124992831</v>
      </c>
      <c r="AB3019" t="str">
        <f>HYPERLINK("Melting_Curves/meltCurve_P84157_MXRA7.pdf", "Melting_Curves/meltCurve_P84157_MXRA7.pdf")</f>
        <v>Melting_Curves/meltCurve_P84157_MXRA7.pdf</v>
      </c>
    </row>
    <row r="3020" spans="1:28" x14ac:dyDescent="0.25">
      <c r="A3020" t="s">
        <v>3024</v>
      </c>
      <c r="B3020">
        <v>0.99673306730245903</v>
      </c>
      <c r="C3020">
        <v>0.94066296328935295</v>
      </c>
      <c r="D3020">
        <v>0.82099460073972597</v>
      </c>
      <c r="E3020">
        <v>0.76082336835289099</v>
      </c>
      <c r="F3020">
        <v>0.72983643666847098</v>
      </c>
      <c r="G3020">
        <v>0.47460895461821501</v>
      </c>
      <c r="H3020">
        <v>0.35552979833226001</v>
      </c>
      <c r="I3020">
        <v>0.451216245307344</v>
      </c>
      <c r="J3020">
        <v>0.66780024697937601</v>
      </c>
      <c r="K3020">
        <v>0.74105113059613403</v>
      </c>
      <c r="L3020">
        <v>816.02076935670198</v>
      </c>
      <c r="M3020">
        <v>16.873171344261699</v>
      </c>
      <c r="O3020">
        <v>47.698049303038196</v>
      </c>
      <c r="P3020">
        <v>-4.0093087191700801E-2</v>
      </c>
      <c r="Q3020">
        <v>0.54667909178741803</v>
      </c>
      <c r="R3020">
        <v>0.67804531607821805</v>
      </c>
      <c r="S3020" t="s">
        <v>9472</v>
      </c>
      <c r="T3020" t="s">
        <v>12902</v>
      </c>
      <c r="U3020" t="s">
        <v>12902</v>
      </c>
      <c r="V3020" t="s">
        <v>12902</v>
      </c>
      <c r="W3020" t="s">
        <v>15882</v>
      </c>
      <c r="X3020">
        <v>2</v>
      </c>
      <c r="Y3020" t="s">
        <v>22216</v>
      </c>
      <c r="Z3020" t="s">
        <v>28595</v>
      </c>
      <c r="AA3020">
        <v>0.68211986232154065</v>
      </c>
      <c r="AB3020" t="str">
        <f>HYPERLINK("Melting_Curves/meltCurve_P84157_2_MXRA7.pdf", "Melting_Curves/meltCurve_P84157_2_MXRA7.pdf")</f>
        <v>Melting_Curves/meltCurve_P84157_2_MXRA7.pdf</v>
      </c>
    </row>
    <row r="3021" spans="1:28" x14ac:dyDescent="0.25">
      <c r="A3021" t="s">
        <v>3025</v>
      </c>
      <c r="B3021">
        <v>0.99673306730245903</v>
      </c>
      <c r="C3021">
        <v>0.94645363916668501</v>
      </c>
      <c r="D3021">
        <v>0.75063316196470697</v>
      </c>
      <c r="E3021">
        <v>0.46876239930568098</v>
      </c>
      <c r="F3021">
        <v>0.17159295635268801</v>
      </c>
      <c r="G3021">
        <v>9.9286774328796706E-2</v>
      </c>
      <c r="H3021">
        <v>5.7714085062221997E-2</v>
      </c>
      <c r="I3021">
        <v>5.0472955366937897E-2</v>
      </c>
      <c r="J3021">
        <v>5.0438923061459799E-2</v>
      </c>
      <c r="K3021">
        <v>4.5845453140392199E-2</v>
      </c>
      <c r="L3021">
        <v>955.36301922079599</v>
      </c>
      <c r="M3021">
        <v>19.5950018346958</v>
      </c>
      <c r="N3021">
        <v>48.966452811959201</v>
      </c>
      <c r="O3021">
        <v>48.2561791753512</v>
      </c>
      <c r="P3021">
        <v>-9.7408951655893694E-2</v>
      </c>
      <c r="Q3021">
        <v>4.0486459011410202E-2</v>
      </c>
      <c r="R3021">
        <v>0.99847100831189795</v>
      </c>
      <c r="S3021" t="s">
        <v>9473</v>
      </c>
      <c r="T3021" t="s">
        <v>12902</v>
      </c>
      <c r="U3021" t="s">
        <v>12902</v>
      </c>
      <c r="V3021" t="s">
        <v>12902</v>
      </c>
      <c r="W3021" t="s">
        <v>15883</v>
      </c>
      <c r="X3021">
        <v>18</v>
      </c>
      <c r="Y3021" t="s">
        <v>22217</v>
      </c>
      <c r="Z3021" t="s">
        <v>28596</v>
      </c>
      <c r="AA3021">
        <v>0.33457091199805211</v>
      </c>
      <c r="AB3021" t="str">
        <f>HYPERLINK("Melting_Curves/meltCurve_P85037_FOXK1.pdf", "Melting_Curves/meltCurve_P85037_FOXK1.pdf")</f>
        <v>Melting_Curves/meltCurve_P85037_FOXK1.pdf</v>
      </c>
    </row>
    <row r="3022" spans="1:28" x14ac:dyDescent="0.25">
      <c r="A3022" t="s">
        <v>3026</v>
      </c>
      <c r="B3022">
        <v>0.99673306730245903</v>
      </c>
      <c r="C3022">
        <v>0.94147293700464496</v>
      </c>
      <c r="D3022">
        <v>0.90527985360859098</v>
      </c>
      <c r="E3022">
        <v>0.80022511849438005</v>
      </c>
      <c r="F3022">
        <v>0.54059498315170196</v>
      </c>
      <c r="G3022">
        <v>0.386513639238455</v>
      </c>
      <c r="H3022">
        <v>0.23639967601409301</v>
      </c>
      <c r="I3022">
        <v>0.144368307091398</v>
      </c>
      <c r="J3022">
        <v>9.6672380578521996E-2</v>
      </c>
      <c r="K3022">
        <v>0.105734418315711</v>
      </c>
      <c r="L3022">
        <v>700.56912405715002</v>
      </c>
      <c r="M3022">
        <v>12.9676054305496</v>
      </c>
      <c r="N3022">
        <v>54.398938590896201</v>
      </c>
      <c r="O3022">
        <v>52.788201581920603</v>
      </c>
      <c r="P3022">
        <v>-5.8802181099070497E-2</v>
      </c>
      <c r="Q3022">
        <v>4.2689050116366201E-2</v>
      </c>
      <c r="R3022">
        <v>0.99725616953143803</v>
      </c>
      <c r="S3022" t="s">
        <v>9474</v>
      </c>
      <c r="T3022" t="s">
        <v>12902</v>
      </c>
      <c r="U3022" t="s">
        <v>12902</v>
      </c>
      <c r="V3022" t="s">
        <v>12902</v>
      </c>
      <c r="W3022" t="s">
        <v>15884</v>
      </c>
      <c r="X3022">
        <v>3</v>
      </c>
      <c r="Y3022" t="s">
        <v>20975</v>
      </c>
      <c r="Z3022" t="s">
        <v>28597</v>
      </c>
      <c r="AA3022">
        <v>0.51334854999311175</v>
      </c>
      <c r="AB3022" t="str">
        <f>HYPERLINK("Melting_Curves/meltCurve_P86397_RPP14.pdf", "Melting_Curves/meltCurve_P86397_RPP14.pdf")</f>
        <v>Melting_Curves/meltCurve_P86397_RPP14.pdf</v>
      </c>
    </row>
    <row r="3023" spans="1:28" x14ac:dyDescent="0.25">
      <c r="A3023" t="s">
        <v>3027</v>
      </c>
      <c r="B3023">
        <v>0.99673306730245903</v>
      </c>
      <c r="C3023">
        <v>0.91057699291827598</v>
      </c>
      <c r="D3023">
        <v>0.82825714837211595</v>
      </c>
      <c r="E3023">
        <v>0.69118164636007196</v>
      </c>
      <c r="F3023">
        <v>0.42694612998235798</v>
      </c>
      <c r="G3023">
        <v>0.29878293236764297</v>
      </c>
      <c r="H3023">
        <v>8.5863072230893095E-2</v>
      </c>
      <c r="I3023">
        <v>6.3724904593478807E-2</v>
      </c>
      <c r="J3023">
        <v>4.7110940919280399E-2</v>
      </c>
      <c r="K3023">
        <v>4.3115915439186803E-2</v>
      </c>
      <c r="L3023">
        <v>684.20364887729397</v>
      </c>
      <c r="M3023">
        <v>13.112685716064799</v>
      </c>
      <c r="N3023">
        <v>52.178738408808798</v>
      </c>
      <c r="O3023">
        <v>51.009950657275901</v>
      </c>
      <c r="P3023">
        <v>-6.4276310695089003E-2</v>
      </c>
      <c r="Q3023">
        <v>0</v>
      </c>
      <c r="R3023">
        <v>0.99443122288863295</v>
      </c>
      <c r="S3023" t="s">
        <v>9475</v>
      </c>
      <c r="T3023" t="s">
        <v>12902</v>
      </c>
      <c r="U3023" t="s">
        <v>12902</v>
      </c>
      <c r="V3023" t="s">
        <v>12902</v>
      </c>
      <c r="W3023" t="s">
        <v>15885</v>
      </c>
      <c r="X3023">
        <v>5</v>
      </c>
      <c r="Y3023" t="s">
        <v>22218</v>
      </c>
      <c r="Z3023" t="s">
        <v>28598</v>
      </c>
      <c r="AA3023">
        <v>0.43288741231634909</v>
      </c>
      <c r="AB3023" t="str">
        <f>HYPERLINK("Melting_Curves/meltCurve_P86791_CCZ1.pdf", "Melting_Curves/meltCurve_P86791_CCZ1.pdf")</f>
        <v>Melting_Curves/meltCurve_P86791_CCZ1.pdf</v>
      </c>
    </row>
    <row r="3024" spans="1:28" x14ac:dyDescent="0.25">
      <c r="A3024" t="s">
        <v>3028</v>
      </c>
      <c r="B3024">
        <v>0.99673306730245903</v>
      </c>
      <c r="C3024">
        <v>1.0264183658330299</v>
      </c>
      <c r="D3024">
        <v>0.80317596945714997</v>
      </c>
      <c r="E3024">
        <v>0.49634177388246298</v>
      </c>
      <c r="F3024">
        <v>0.33903206800646002</v>
      </c>
      <c r="G3024">
        <v>0.21617950991715901</v>
      </c>
      <c r="H3024">
        <v>0.121325906556803</v>
      </c>
      <c r="I3024">
        <v>0.101730093064794</v>
      </c>
      <c r="J3024">
        <v>0.12719616637308501</v>
      </c>
      <c r="K3024">
        <v>0.112911096485865</v>
      </c>
      <c r="L3024">
        <v>904.29095943405196</v>
      </c>
      <c r="M3024">
        <v>18.316577862204898</v>
      </c>
      <c r="N3024">
        <v>50.068229826527798</v>
      </c>
      <c r="O3024">
        <v>48.792897381377898</v>
      </c>
      <c r="P3024">
        <v>-8.3275843532149299E-2</v>
      </c>
      <c r="Q3024">
        <v>0.11269833021056801</v>
      </c>
      <c r="R3024">
        <v>0.99085968309596895</v>
      </c>
      <c r="S3024" t="s">
        <v>9476</v>
      </c>
      <c r="T3024" t="s">
        <v>12902</v>
      </c>
      <c r="U3024" t="s">
        <v>12902</v>
      </c>
      <c r="V3024" t="s">
        <v>12902</v>
      </c>
      <c r="W3024" t="s">
        <v>15886</v>
      </c>
      <c r="X3024">
        <v>1</v>
      </c>
      <c r="Y3024" t="s">
        <v>22219</v>
      </c>
      <c r="Z3024" t="s">
        <v>28599</v>
      </c>
      <c r="AA3024">
        <v>0.40459086568729602</v>
      </c>
      <c r="AB3024" t="str">
        <f>HYPERLINK("Melting_Curves/meltCurve_P98170_XIAP.pdf", "Melting_Curves/meltCurve_P98170_XIAP.pdf")</f>
        <v>Melting_Curves/meltCurve_P98170_XIAP.pdf</v>
      </c>
    </row>
    <row r="3025" spans="1:28" x14ac:dyDescent="0.25">
      <c r="A3025" t="s">
        <v>3029</v>
      </c>
      <c r="B3025">
        <v>0.99673306730245903</v>
      </c>
      <c r="C3025">
        <v>0.90531892229214905</v>
      </c>
      <c r="D3025">
        <v>0.908045872120543</v>
      </c>
      <c r="E3025">
        <v>0.65443947977363903</v>
      </c>
      <c r="F3025">
        <v>0.47482714599993597</v>
      </c>
      <c r="G3025">
        <v>0.363764371213467</v>
      </c>
      <c r="H3025">
        <v>0.27318822427657302</v>
      </c>
      <c r="I3025">
        <v>0.267177742343706</v>
      </c>
      <c r="J3025">
        <v>0.30887894286814499</v>
      </c>
      <c r="K3025">
        <v>0.25852324686640499</v>
      </c>
      <c r="L3025">
        <v>841.73821827824395</v>
      </c>
      <c r="M3025">
        <v>16.7553196848576</v>
      </c>
      <c r="N3025">
        <v>52.549582522549599</v>
      </c>
      <c r="O3025">
        <v>49.537837426945003</v>
      </c>
      <c r="P3025">
        <v>-6.2508885605582196E-2</v>
      </c>
      <c r="Q3025">
        <v>0.26080728277388399</v>
      </c>
      <c r="R3025">
        <v>0.99106739409264499</v>
      </c>
      <c r="S3025" t="s">
        <v>9477</v>
      </c>
      <c r="T3025" t="s">
        <v>12902</v>
      </c>
      <c r="U3025" t="s">
        <v>12902</v>
      </c>
      <c r="V3025" t="s">
        <v>12902</v>
      </c>
      <c r="W3025" t="s">
        <v>15887</v>
      </c>
      <c r="X3025">
        <v>3</v>
      </c>
      <c r="Y3025" t="s">
        <v>22220</v>
      </c>
      <c r="Z3025" t="s">
        <v>28600</v>
      </c>
      <c r="AA3025">
        <v>0.52739940913680194</v>
      </c>
      <c r="AB3025" t="str">
        <f>HYPERLINK("Melting_Curves/meltCurve_P98172_EFNB1.pdf", "Melting_Curves/meltCurve_P98172_EFNB1.pdf")</f>
        <v>Melting_Curves/meltCurve_P98172_EFNB1.pdf</v>
      </c>
    </row>
    <row r="3026" spans="1:28" x14ac:dyDescent="0.25">
      <c r="A3026" t="s">
        <v>3030</v>
      </c>
      <c r="B3026">
        <v>0.99673306730245903</v>
      </c>
      <c r="C3026">
        <v>0.97724178432551101</v>
      </c>
      <c r="D3026">
        <v>0.87116879979960604</v>
      </c>
      <c r="E3026">
        <v>0.70471029688253695</v>
      </c>
      <c r="F3026">
        <v>0.51208912175101895</v>
      </c>
      <c r="G3026">
        <v>0.310995867093945</v>
      </c>
      <c r="H3026">
        <v>0.17578821711891399</v>
      </c>
      <c r="I3026">
        <v>0.20956824496301499</v>
      </c>
      <c r="J3026">
        <v>0.103039224949806</v>
      </c>
      <c r="K3026">
        <v>9.3409448858986693E-2</v>
      </c>
      <c r="L3026">
        <v>710.07868996038201</v>
      </c>
      <c r="M3026">
        <v>13.521101663949</v>
      </c>
      <c r="N3026">
        <v>53.159014786528502</v>
      </c>
      <c r="O3026">
        <v>51.407522527150697</v>
      </c>
      <c r="P3026">
        <v>-6.08056342702602E-2</v>
      </c>
      <c r="Q3026">
        <v>7.5402784204575302E-2</v>
      </c>
      <c r="R3026">
        <v>0.99531114164335299</v>
      </c>
      <c r="S3026" t="s">
        <v>9478</v>
      </c>
      <c r="T3026" t="s">
        <v>12902</v>
      </c>
      <c r="U3026" t="s">
        <v>12902</v>
      </c>
      <c r="V3026" t="s">
        <v>12902</v>
      </c>
      <c r="W3026" t="s">
        <v>15888</v>
      </c>
      <c r="X3026">
        <v>3</v>
      </c>
      <c r="Y3026" t="s">
        <v>22221</v>
      </c>
      <c r="Z3026" t="s">
        <v>28601</v>
      </c>
      <c r="AA3026">
        <v>0.48461341254838253</v>
      </c>
      <c r="AB3026" t="str">
        <f>HYPERLINK("Melting_Curves/meltCurve_P98173_3_FAM3A.pdf", "Melting_Curves/meltCurve_P98173_3_FAM3A.pdf")</f>
        <v>Melting_Curves/meltCurve_P98173_3_FAM3A.pdf</v>
      </c>
    </row>
    <row r="3027" spans="1:28" x14ac:dyDescent="0.25">
      <c r="A3027" t="s">
        <v>3031</v>
      </c>
      <c r="B3027">
        <v>0.99673306730245903</v>
      </c>
      <c r="C3027">
        <v>0.86185225655639197</v>
      </c>
      <c r="D3027">
        <v>0.68020173684247398</v>
      </c>
      <c r="E3027">
        <v>0.52559994042812397</v>
      </c>
      <c r="F3027">
        <v>0.36105489611824099</v>
      </c>
      <c r="G3027">
        <v>0.28409413499014002</v>
      </c>
      <c r="H3027">
        <v>0.19795845205562301</v>
      </c>
      <c r="I3027">
        <v>0.16605395074255599</v>
      </c>
      <c r="J3027">
        <v>0.20590596293762101</v>
      </c>
      <c r="K3027">
        <v>0.221117071220825</v>
      </c>
      <c r="L3027">
        <v>654.85983214416399</v>
      </c>
      <c r="M3027">
        <v>13.6162494978391</v>
      </c>
      <c r="N3027">
        <v>49.706934553793999</v>
      </c>
      <c r="O3027">
        <v>47.092209606140003</v>
      </c>
      <c r="P3027">
        <v>-5.9385737639739498E-2</v>
      </c>
      <c r="Q3027">
        <v>0.178571673279285</v>
      </c>
      <c r="R3027">
        <v>0.99125713456284303</v>
      </c>
      <c r="S3027" t="s">
        <v>9479</v>
      </c>
      <c r="T3027" t="s">
        <v>12902</v>
      </c>
      <c r="U3027" t="s">
        <v>12902</v>
      </c>
      <c r="V3027" t="s">
        <v>12902</v>
      </c>
      <c r="W3027" t="s">
        <v>15889</v>
      </c>
      <c r="X3027">
        <v>9</v>
      </c>
      <c r="Y3027" t="s">
        <v>22222</v>
      </c>
      <c r="Z3027" t="s">
        <v>28602</v>
      </c>
      <c r="AA3027">
        <v>0.42556188573865561</v>
      </c>
      <c r="AB3027" t="str">
        <f>HYPERLINK("Melting_Curves/meltCurve_P98175_2_RBM10.pdf", "Melting_Curves/meltCurve_P98175_2_RBM10.pdf")</f>
        <v>Melting_Curves/meltCurve_P98175_2_RBM10.pdf</v>
      </c>
    </row>
    <row r="3028" spans="1:28" x14ac:dyDescent="0.25">
      <c r="A3028" t="s">
        <v>3032</v>
      </c>
      <c r="B3028">
        <v>0.99673306730245903</v>
      </c>
      <c r="C3028">
        <v>0.90612872867227501</v>
      </c>
      <c r="D3028">
        <v>0.93045807202346498</v>
      </c>
      <c r="E3028">
        <v>0.81507907322470696</v>
      </c>
      <c r="F3028">
        <v>0.770464822447675</v>
      </c>
      <c r="G3028">
        <v>0.575741076274773</v>
      </c>
      <c r="H3028">
        <v>0.48722413325255098</v>
      </c>
      <c r="I3028">
        <v>0.70623604389942196</v>
      </c>
      <c r="J3028">
        <v>1.19872300560661</v>
      </c>
      <c r="K3028">
        <v>1.5451301910792301</v>
      </c>
      <c r="L3028">
        <v>15000</v>
      </c>
      <c r="M3028">
        <v>223.13091966511001</v>
      </c>
      <c r="O3028">
        <v>67.219724219324505</v>
      </c>
      <c r="P3028">
        <v>0.414928393022511</v>
      </c>
      <c r="Q3028">
        <v>1.5</v>
      </c>
      <c r="R3028">
        <v>0.25873250586996799</v>
      </c>
      <c r="S3028" t="s">
        <v>9480</v>
      </c>
      <c r="T3028" t="s">
        <v>12902</v>
      </c>
      <c r="U3028" t="s">
        <v>12902</v>
      </c>
      <c r="V3028" t="s">
        <v>12902</v>
      </c>
      <c r="W3028" t="s">
        <v>15890</v>
      </c>
      <c r="X3028">
        <v>5</v>
      </c>
      <c r="Y3028" t="s">
        <v>22223</v>
      </c>
      <c r="Z3028" t="s">
        <v>28603</v>
      </c>
      <c r="AA3028">
        <v>1.046174948721839</v>
      </c>
      <c r="AB3028" t="str">
        <f>HYPERLINK("Melting_Curves/meltCurve_P98179_RBM3.pdf", "Melting_Curves/meltCurve_P98179_RBM3.pdf")</f>
        <v>Melting_Curves/meltCurve_P98179_RBM3.pdf</v>
      </c>
    </row>
    <row r="3029" spans="1:28" x14ac:dyDescent="0.25">
      <c r="A3029" t="s">
        <v>3033</v>
      </c>
      <c r="B3029">
        <v>0.99673306730245903</v>
      </c>
      <c r="C3029">
        <v>0.90441016518927897</v>
      </c>
      <c r="D3029">
        <v>0.80995183656006098</v>
      </c>
      <c r="E3029">
        <v>0.67057272466307505</v>
      </c>
      <c r="F3029">
        <v>0.485873473502275</v>
      </c>
      <c r="G3029">
        <v>0.24580723932177101</v>
      </c>
      <c r="H3029">
        <v>0.119180043104701</v>
      </c>
      <c r="I3029">
        <v>0.100949748369867</v>
      </c>
      <c r="J3029">
        <v>9.1947524263951405E-2</v>
      </c>
      <c r="K3029">
        <v>8.6689510600507697E-2</v>
      </c>
      <c r="L3029">
        <v>650.76140794729599</v>
      </c>
      <c r="M3029">
        <v>12.521459985518099</v>
      </c>
      <c r="N3029">
        <v>52.172206835662003</v>
      </c>
      <c r="O3029">
        <v>50.699523359268603</v>
      </c>
      <c r="P3029">
        <v>-6.0305281721495602E-2</v>
      </c>
      <c r="Q3029">
        <v>2.3492714487361701E-2</v>
      </c>
      <c r="R3029">
        <v>0.99359971432818595</v>
      </c>
      <c r="S3029" t="s">
        <v>9481</v>
      </c>
      <c r="T3029" t="s">
        <v>12902</v>
      </c>
      <c r="U3029" t="s">
        <v>12902</v>
      </c>
      <c r="V3029" t="s">
        <v>12902</v>
      </c>
      <c r="W3029" t="s">
        <v>15891</v>
      </c>
      <c r="X3029">
        <v>8</v>
      </c>
      <c r="Y3029" t="s">
        <v>22224</v>
      </c>
      <c r="Z3029" t="s">
        <v>28604</v>
      </c>
      <c r="AA3029">
        <v>0.44149035647385559</v>
      </c>
      <c r="AB3029" t="str">
        <f>HYPERLINK("Melting_Curves/meltCurve_P98194_2_ATP2C1.pdf", "Melting_Curves/meltCurve_P98194_2_ATP2C1.pdf")</f>
        <v>Melting_Curves/meltCurve_P98194_2_ATP2C1.pdf</v>
      </c>
    </row>
    <row r="3030" spans="1:28" x14ac:dyDescent="0.25">
      <c r="A3030" t="s">
        <v>3034</v>
      </c>
      <c r="B3030">
        <v>0.99673306730245903</v>
      </c>
      <c r="C3030">
        <v>0.83701690196780798</v>
      </c>
      <c r="D3030">
        <v>0.98324501805120501</v>
      </c>
      <c r="E3030">
        <v>1.23178177018969</v>
      </c>
      <c r="F3030">
        <v>0.85479926299709597</v>
      </c>
      <c r="G3030">
        <v>0.69198892109905397</v>
      </c>
      <c r="H3030">
        <v>0.44364563112734401</v>
      </c>
      <c r="I3030">
        <v>0.67857345186902995</v>
      </c>
      <c r="J3030">
        <v>0.60147431911412896</v>
      </c>
      <c r="K3030">
        <v>0.40809386699693501</v>
      </c>
      <c r="L3030">
        <v>2092.24520840897</v>
      </c>
      <c r="M3030">
        <v>37.917128400810903</v>
      </c>
      <c r="O3030">
        <v>55.026588966002201</v>
      </c>
      <c r="P3030">
        <v>-8.0130001027880898E-2</v>
      </c>
      <c r="Q3030">
        <v>0.53485180677704702</v>
      </c>
      <c r="R3030">
        <v>0.76836855973335505</v>
      </c>
      <c r="S3030" t="s">
        <v>9482</v>
      </c>
      <c r="T3030" t="s">
        <v>12902</v>
      </c>
      <c r="U3030" t="s">
        <v>12902</v>
      </c>
      <c r="V3030" t="s">
        <v>12902</v>
      </c>
      <c r="W3030" t="s">
        <v>15892</v>
      </c>
      <c r="X3030">
        <v>12</v>
      </c>
      <c r="Y3030" t="s">
        <v>22225</v>
      </c>
      <c r="Z3030" t="s">
        <v>28605</v>
      </c>
      <c r="AA3030">
        <v>0.77217207975593838</v>
      </c>
      <c r="AB3030" t="str">
        <f>HYPERLINK("Melting_Curves/meltCurve_P99999_CYCS.pdf", "Melting_Curves/meltCurve_P99999_CYCS.pdf")</f>
        <v>Melting_Curves/meltCurve_P99999_CYCS.pdf</v>
      </c>
    </row>
    <row r="3031" spans="1:28" x14ac:dyDescent="0.25">
      <c r="A3031" t="s">
        <v>3035</v>
      </c>
      <c r="B3031">
        <v>0.99673306730245903</v>
      </c>
      <c r="C3031">
        <v>0.945030464497288</v>
      </c>
      <c r="D3031">
        <v>0.80276087855442202</v>
      </c>
      <c r="E3031">
        <v>0.782003176403536</v>
      </c>
      <c r="F3031">
        <v>0.54359458983446596</v>
      </c>
      <c r="G3031">
        <v>0.380500598974015</v>
      </c>
      <c r="H3031">
        <v>0.24352479338727001</v>
      </c>
      <c r="I3031">
        <v>0.24844088579486401</v>
      </c>
      <c r="J3031">
        <v>0.30575158488030801</v>
      </c>
      <c r="K3031">
        <v>0.35481164680702199</v>
      </c>
      <c r="L3031">
        <v>779.21561245245596</v>
      </c>
      <c r="M3031">
        <v>15.2347797475107</v>
      </c>
      <c r="N3031">
        <v>53.759313480628897</v>
      </c>
      <c r="O3031">
        <v>50.290189718451998</v>
      </c>
      <c r="P3031">
        <v>-5.5934810094183801E-2</v>
      </c>
      <c r="Q3031">
        <v>0.26150430208369002</v>
      </c>
      <c r="R3031">
        <v>0.964743470111734</v>
      </c>
      <c r="S3031" t="s">
        <v>9483</v>
      </c>
      <c r="T3031" t="s">
        <v>12902</v>
      </c>
      <c r="U3031" t="s">
        <v>12902</v>
      </c>
      <c r="V3031" t="s">
        <v>12902</v>
      </c>
      <c r="W3031" t="s">
        <v>15893</v>
      </c>
      <c r="X3031">
        <v>14</v>
      </c>
      <c r="Y3031" t="s">
        <v>22226</v>
      </c>
      <c r="Z3031" t="s">
        <v>28606</v>
      </c>
      <c r="AA3031">
        <v>0.55246398168955424</v>
      </c>
      <c r="AB3031" t="str">
        <f>HYPERLINK("Melting_Curves/meltCurve_Q00059_TFAM.pdf", "Melting_Curves/meltCurve_Q00059_TFAM.pdf")</f>
        <v>Melting_Curves/meltCurve_Q00059_TFAM.pdf</v>
      </c>
    </row>
    <row r="3032" spans="1:28" x14ac:dyDescent="0.25">
      <c r="A3032" t="s">
        <v>3036</v>
      </c>
      <c r="B3032">
        <v>0.99673306730245903</v>
      </c>
      <c r="C3032">
        <v>1.0137492968969799</v>
      </c>
      <c r="D3032">
        <v>1.0084633915452501</v>
      </c>
      <c r="E3032">
        <v>0.955751472753954</v>
      </c>
      <c r="F3032">
        <v>0.71844549049199402</v>
      </c>
      <c r="G3032">
        <v>0.39762314030310097</v>
      </c>
      <c r="H3032">
        <v>0.15114175880313399</v>
      </c>
      <c r="I3032">
        <v>0.119152362741077</v>
      </c>
      <c r="J3032">
        <v>0.12554887455862601</v>
      </c>
      <c r="K3032">
        <v>0.11983253837310701</v>
      </c>
      <c r="L3032">
        <v>1415.3569339409901</v>
      </c>
      <c r="M3032">
        <v>25.750796117027001</v>
      </c>
      <c r="N3032">
        <v>55.476650536445199</v>
      </c>
      <c r="O3032">
        <v>54.635344405032399</v>
      </c>
      <c r="P3032">
        <v>-0.10534717305345299</v>
      </c>
      <c r="Q3032">
        <v>0.10595200585784199</v>
      </c>
      <c r="R3032">
        <v>0.99868007159416705</v>
      </c>
      <c r="S3032" t="s">
        <v>9484</v>
      </c>
      <c r="T3032" t="s">
        <v>12902</v>
      </c>
      <c r="U3032" t="s">
        <v>12902</v>
      </c>
      <c r="V3032" t="s">
        <v>12902</v>
      </c>
      <c r="W3032" t="s">
        <v>15894</v>
      </c>
      <c r="X3032">
        <v>21</v>
      </c>
      <c r="Y3032" t="s">
        <v>22227</v>
      </c>
      <c r="Z3032" t="s">
        <v>28607</v>
      </c>
      <c r="AA3032">
        <v>0.55974284624245707</v>
      </c>
      <c r="AB3032" t="str">
        <f>HYPERLINK("Melting_Curves/meltCurve_Q00169_PITPNA.pdf", "Melting_Curves/meltCurve_Q00169_PITPNA.pdf")</f>
        <v>Melting_Curves/meltCurve_Q00169_PITPNA.pdf</v>
      </c>
    </row>
    <row r="3033" spans="1:28" x14ac:dyDescent="0.25">
      <c r="A3033" t="s">
        <v>3037</v>
      </c>
      <c r="B3033">
        <v>0.99673306730245903</v>
      </c>
      <c r="C3033">
        <v>0.96560717772340499</v>
      </c>
      <c r="D3033">
        <v>0.96061081000164095</v>
      </c>
      <c r="E3033">
        <v>1.0617464374427199</v>
      </c>
      <c r="F3033">
        <v>0.96839361224703902</v>
      </c>
      <c r="G3033">
        <v>0.77432666890859503</v>
      </c>
      <c r="H3033">
        <v>0.33903123071921398</v>
      </c>
      <c r="I3033">
        <v>0.166463112218044</v>
      </c>
      <c r="J3033">
        <v>0.17404174421051999</v>
      </c>
      <c r="K3033">
        <v>0.14999217625928399</v>
      </c>
      <c r="L3033">
        <v>2020.20648423587</v>
      </c>
      <c r="M3033">
        <v>34.5271631038039</v>
      </c>
      <c r="N3033">
        <v>59.109256213225699</v>
      </c>
      <c r="O3033">
        <v>58.3154112378555</v>
      </c>
      <c r="P3033">
        <v>-0.12618109344928</v>
      </c>
      <c r="Q3033">
        <v>0.14753787606685201</v>
      </c>
      <c r="R3033">
        <v>0.99454932583627098</v>
      </c>
      <c r="S3033" t="s">
        <v>9485</v>
      </c>
      <c r="T3033" t="s">
        <v>12902</v>
      </c>
      <c r="U3033" t="s">
        <v>12902</v>
      </c>
      <c r="V3033" t="s">
        <v>12902</v>
      </c>
      <c r="W3033" t="s">
        <v>15895</v>
      </c>
      <c r="X3033">
        <v>7</v>
      </c>
      <c r="Y3033" t="s">
        <v>22228</v>
      </c>
      <c r="Z3033" t="s">
        <v>28608</v>
      </c>
      <c r="AA3033">
        <v>0.67791170627969322</v>
      </c>
      <c r="AB3033" t="str">
        <f>HYPERLINK("Melting_Curves/meltCurve_Q00266_MAT1A.pdf", "Melting_Curves/meltCurve_Q00266_MAT1A.pdf")</f>
        <v>Melting_Curves/meltCurve_Q00266_MAT1A.pdf</v>
      </c>
    </row>
    <row r="3034" spans="1:28" x14ac:dyDescent="0.25">
      <c r="A3034" t="s">
        <v>3038</v>
      </c>
      <c r="B3034">
        <v>0.99673306730245903</v>
      </c>
      <c r="C3034">
        <v>0.95304891382977897</v>
      </c>
      <c r="D3034">
        <v>0.912402047797365</v>
      </c>
      <c r="E3034">
        <v>0.82081403370529404</v>
      </c>
      <c r="F3034">
        <v>0.72733151599733603</v>
      </c>
      <c r="G3034">
        <v>0.65059613979819697</v>
      </c>
      <c r="H3034">
        <v>0.61713755762528399</v>
      </c>
      <c r="I3034">
        <v>0.77247191730597697</v>
      </c>
      <c r="J3034">
        <v>0.90796134917827098</v>
      </c>
      <c r="K3034">
        <v>0.90232457203258698</v>
      </c>
      <c r="L3034">
        <v>1331.2083997346599</v>
      </c>
      <c r="M3034">
        <v>28.534778967320499</v>
      </c>
      <c r="O3034">
        <v>46.4248121801621</v>
      </c>
      <c r="P3034">
        <v>-3.6155532366163902E-2</v>
      </c>
      <c r="Q3034">
        <v>0.76470811858267196</v>
      </c>
      <c r="R3034">
        <v>0.48826518081961701</v>
      </c>
      <c r="S3034" t="s">
        <v>9486</v>
      </c>
      <c r="T3034" t="s">
        <v>12902</v>
      </c>
      <c r="U3034" t="s">
        <v>12902</v>
      </c>
      <c r="V3034" t="s">
        <v>12902</v>
      </c>
      <c r="W3034" t="s">
        <v>15896</v>
      </c>
      <c r="X3034">
        <v>16</v>
      </c>
      <c r="Y3034" t="s">
        <v>22229</v>
      </c>
      <c r="Z3034" t="s">
        <v>28609</v>
      </c>
      <c r="AA3034">
        <v>0.81846041722188756</v>
      </c>
      <c r="AB3034" t="str">
        <f>HYPERLINK("Melting_Curves/meltCurve_Q00325_2_SLC25A3.pdf", "Melting_Curves/meltCurve_Q00325_2_SLC25A3.pdf")</f>
        <v>Melting_Curves/meltCurve_Q00325_2_SLC25A3.pdf</v>
      </c>
    </row>
    <row r="3035" spans="1:28" x14ac:dyDescent="0.25">
      <c r="A3035" t="s">
        <v>3039</v>
      </c>
      <c r="B3035">
        <v>0.99673306730245903</v>
      </c>
      <c r="C3035">
        <v>0.95160869319501395</v>
      </c>
      <c r="D3035">
        <v>0.36468985696320999</v>
      </c>
      <c r="E3035">
        <v>0.196606877472664</v>
      </c>
      <c r="F3035">
        <v>0.13405375521610399</v>
      </c>
      <c r="G3035">
        <v>9.0365158019876504E-2</v>
      </c>
      <c r="H3035">
        <v>6.6409787490379402E-2</v>
      </c>
      <c r="I3035">
        <v>6.4332334120443202E-2</v>
      </c>
      <c r="J3035">
        <v>7.8518182870620096E-2</v>
      </c>
      <c r="K3035">
        <v>7.6218732913147597E-2</v>
      </c>
      <c r="L3035">
        <v>2097.9380380837401</v>
      </c>
      <c r="M3035">
        <v>46.404867328041597</v>
      </c>
      <c r="N3035">
        <v>45.421621967340499</v>
      </c>
      <c r="O3035">
        <v>45.125721110825999</v>
      </c>
      <c r="P3035">
        <v>-0.23203513823159</v>
      </c>
      <c r="Q3035">
        <v>9.7444595084134902E-2</v>
      </c>
      <c r="R3035">
        <v>0.99010563045142896</v>
      </c>
      <c r="S3035" t="s">
        <v>9487</v>
      </c>
      <c r="T3035" t="s">
        <v>12902</v>
      </c>
      <c r="U3035" t="s">
        <v>12902</v>
      </c>
      <c r="V3035" t="s">
        <v>12902</v>
      </c>
      <c r="W3035" t="s">
        <v>15897</v>
      </c>
      <c r="X3035">
        <v>50</v>
      </c>
      <c r="Y3035" t="s">
        <v>22230</v>
      </c>
      <c r="Z3035" t="s">
        <v>28610</v>
      </c>
      <c r="AA3035">
        <v>0.25631540479581832</v>
      </c>
      <c r="AB3035" t="str">
        <f>HYPERLINK("Melting_Curves/meltCurve_Q00341_HDLBP.pdf", "Melting_Curves/meltCurve_Q00341_HDLBP.pdf")</f>
        <v>Melting_Curves/meltCurve_Q00341_HDLBP.pdf</v>
      </c>
    </row>
    <row r="3036" spans="1:28" x14ac:dyDescent="0.25">
      <c r="A3036" t="s">
        <v>3040</v>
      </c>
      <c r="B3036">
        <v>0.99673306730245903</v>
      </c>
      <c r="C3036">
        <v>0.96936022831755597</v>
      </c>
      <c r="D3036">
        <v>0.78649602860992296</v>
      </c>
      <c r="E3036">
        <v>0.31123460271817699</v>
      </c>
      <c r="F3036">
        <v>0.16248915654454801</v>
      </c>
      <c r="G3036">
        <v>0.10143683801504599</v>
      </c>
      <c r="H3036">
        <v>6.4056085339686999E-2</v>
      </c>
      <c r="I3036">
        <v>6.3894527488822406E-2</v>
      </c>
      <c r="J3036">
        <v>7.54556708754371E-2</v>
      </c>
      <c r="K3036">
        <v>7.4755477807459003E-2</v>
      </c>
      <c r="L3036">
        <v>1353.35706529654</v>
      </c>
      <c r="M3036">
        <v>28.268357244031399</v>
      </c>
      <c r="N3036">
        <v>48.1615420704535</v>
      </c>
      <c r="O3036">
        <v>47.637673687781799</v>
      </c>
      <c r="P3036">
        <v>-0.13688175788062601</v>
      </c>
      <c r="Q3036">
        <v>7.7318293677218597E-2</v>
      </c>
      <c r="R3036">
        <v>0.998474700843622</v>
      </c>
      <c r="S3036" t="s">
        <v>9488</v>
      </c>
      <c r="T3036" t="s">
        <v>12902</v>
      </c>
      <c r="U3036" t="s">
        <v>12902</v>
      </c>
      <c r="V3036" t="s">
        <v>12902</v>
      </c>
      <c r="W3036" t="s">
        <v>15898</v>
      </c>
      <c r="X3036">
        <v>13</v>
      </c>
      <c r="Y3036" t="s">
        <v>22231</v>
      </c>
      <c r="Z3036" t="s">
        <v>28611</v>
      </c>
      <c r="AA3036">
        <v>0.32581868524140101</v>
      </c>
      <c r="AB3036" t="str">
        <f>HYPERLINK("Melting_Curves/meltCurve_Q00403_GTF2B.pdf", "Melting_Curves/meltCurve_Q00403_GTF2B.pdf")</f>
        <v>Melting_Curves/meltCurve_Q00403_GTF2B.pdf</v>
      </c>
    </row>
    <row r="3037" spans="1:28" x14ac:dyDescent="0.25">
      <c r="A3037" t="s">
        <v>3041</v>
      </c>
      <c r="B3037">
        <v>0.99673306730245903</v>
      </c>
      <c r="C3037">
        <v>0.85838508172778605</v>
      </c>
      <c r="D3037">
        <v>0.53604364837458296</v>
      </c>
      <c r="E3037">
        <v>0.38413722517489002</v>
      </c>
      <c r="F3037">
        <v>0.24144881812635099</v>
      </c>
      <c r="G3037">
        <v>0.12981686870227499</v>
      </c>
      <c r="H3037">
        <v>7.3646384300154397E-2</v>
      </c>
      <c r="I3037">
        <v>5.7865045273532097E-2</v>
      </c>
      <c r="J3037">
        <v>5.7441441951551903E-2</v>
      </c>
      <c r="K3037">
        <v>4.77399069757556E-2</v>
      </c>
      <c r="L3037">
        <v>690.50695517187705</v>
      </c>
      <c r="M3037">
        <v>14.6255810769419</v>
      </c>
      <c r="N3037">
        <v>47.544141557857401</v>
      </c>
      <c r="O3037">
        <v>46.355992002930797</v>
      </c>
      <c r="P3037">
        <v>-7.5057297495021297E-2</v>
      </c>
      <c r="Q3037">
        <v>4.8525483893612199E-2</v>
      </c>
      <c r="R3037">
        <v>0.98786911398751198</v>
      </c>
      <c r="S3037" t="s">
        <v>9489</v>
      </c>
      <c r="T3037" t="s">
        <v>12902</v>
      </c>
      <c r="U3037" t="s">
        <v>12902</v>
      </c>
      <c r="V3037" t="s">
        <v>12902</v>
      </c>
      <c r="W3037" t="s">
        <v>15899</v>
      </c>
      <c r="X3037">
        <v>11</v>
      </c>
      <c r="Y3037" t="s">
        <v>22232</v>
      </c>
      <c r="Z3037" t="s">
        <v>28612</v>
      </c>
      <c r="AA3037">
        <v>0.30413546166935962</v>
      </c>
      <c r="AB3037" t="str">
        <f>HYPERLINK("Melting_Curves/meltCurve_Q00534_CDK6.pdf", "Melting_Curves/meltCurve_Q00534_CDK6.pdf")</f>
        <v>Melting_Curves/meltCurve_Q00534_CDK6.pdf</v>
      </c>
    </row>
    <row r="3038" spans="1:28" x14ac:dyDescent="0.25">
      <c r="A3038" t="s">
        <v>3042</v>
      </c>
      <c r="B3038">
        <v>0.99673306730245903</v>
      </c>
      <c r="C3038">
        <v>0.76497972159835204</v>
      </c>
      <c r="D3038">
        <v>0.75772168165577303</v>
      </c>
      <c r="E3038">
        <v>0.68464096728502399</v>
      </c>
      <c r="F3038">
        <v>0.182517785831739</v>
      </c>
      <c r="G3038">
        <v>0.110308228797592</v>
      </c>
      <c r="H3038">
        <v>6.4938143700267306E-2</v>
      </c>
      <c r="I3038">
        <v>6.6423445999407998E-2</v>
      </c>
      <c r="J3038">
        <v>7.7537477098117605E-2</v>
      </c>
      <c r="K3038">
        <v>8.2923109212337698E-2</v>
      </c>
      <c r="L3038">
        <v>751.39911881700903</v>
      </c>
      <c r="M3038">
        <v>15.125567769563901</v>
      </c>
      <c r="N3038">
        <v>49.877677919273502</v>
      </c>
      <c r="O3038">
        <v>48.833353670857498</v>
      </c>
      <c r="P3038">
        <v>-7.5160630731966202E-2</v>
      </c>
      <c r="Q3038">
        <v>2.9461416765809E-2</v>
      </c>
      <c r="R3038">
        <v>0.94563466828994602</v>
      </c>
      <c r="S3038" t="s">
        <v>9490</v>
      </c>
      <c r="T3038" t="s">
        <v>12902</v>
      </c>
      <c r="U3038" t="s">
        <v>12902</v>
      </c>
      <c r="V3038" t="s">
        <v>12902</v>
      </c>
      <c r="W3038" t="s">
        <v>15900</v>
      </c>
      <c r="X3038">
        <v>14</v>
      </c>
      <c r="Y3038" t="s">
        <v>22233</v>
      </c>
      <c r="Z3038" t="s">
        <v>28613</v>
      </c>
      <c r="AA3038">
        <v>0.3655776178943706</v>
      </c>
      <c r="AB3038" t="str">
        <f>HYPERLINK("Melting_Curves/meltCurve_Q00535_CDK5.pdf", "Melting_Curves/meltCurve_Q00535_CDK5.pdf")</f>
        <v>Melting_Curves/meltCurve_Q00535_CDK5.pdf</v>
      </c>
    </row>
    <row r="3039" spans="1:28" x14ac:dyDescent="0.25">
      <c r="A3039" t="s">
        <v>3043</v>
      </c>
      <c r="B3039">
        <v>0.99673306730245903</v>
      </c>
      <c r="C3039">
        <v>0.87361964811613402</v>
      </c>
      <c r="D3039">
        <v>0.88815743648004197</v>
      </c>
      <c r="E3039">
        <v>1.12772929295841</v>
      </c>
      <c r="F3039">
        <v>0.98778419836036302</v>
      </c>
      <c r="G3039">
        <v>0.75150805452203195</v>
      </c>
      <c r="H3039">
        <v>0.69392021109301205</v>
      </c>
      <c r="I3039">
        <v>0.70249020773353799</v>
      </c>
      <c r="J3039">
        <v>0.202571013269919</v>
      </c>
      <c r="K3039">
        <v>0.136808285951001</v>
      </c>
      <c r="L3039">
        <v>1127.4054639595699</v>
      </c>
      <c r="M3039">
        <v>17.587807977084399</v>
      </c>
      <c r="N3039">
        <v>64.101534270597099</v>
      </c>
      <c r="O3039">
        <v>63.290052776583799</v>
      </c>
      <c r="P3039">
        <v>-6.9476781065431398E-2</v>
      </c>
      <c r="Q3039">
        <v>0</v>
      </c>
      <c r="R3039">
        <v>0.873087673808572</v>
      </c>
      <c r="S3039" t="s">
        <v>9491</v>
      </c>
      <c r="T3039" t="s">
        <v>12902</v>
      </c>
      <c r="U3039" t="s">
        <v>12902</v>
      </c>
      <c r="V3039" t="s">
        <v>12902</v>
      </c>
      <c r="W3039" t="s">
        <v>15901</v>
      </c>
      <c r="X3039">
        <v>2</v>
      </c>
      <c r="Y3039" t="s">
        <v>22234</v>
      </c>
      <c r="Z3039" t="s">
        <v>28614</v>
      </c>
      <c r="AA3039">
        <v>0.79269278589349268</v>
      </c>
      <c r="AB3039" t="str">
        <f>HYPERLINK("Melting_Curves/meltCurve_Q00577_PURA.pdf", "Melting_Curves/meltCurve_Q00577_PURA.pdf")</f>
        <v>Melting_Curves/meltCurve_Q00577_PURA.pdf</v>
      </c>
    </row>
    <row r="3040" spans="1:28" x14ac:dyDescent="0.25">
      <c r="A3040" t="s">
        <v>3044</v>
      </c>
      <c r="B3040">
        <v>0.99673306730245903</v>
      </c>
      <c r="C3040">
        <v>0.89756008184087399</v>
      </c>
      <c r="D3040">
        <v>0.778059927641369</v>
      </c>
      <c r="E3040">
        <v>0.590588688812128</v>
      </c>
      <c r="F3040">
        <v>0.34172733421455498</v>
      </c>
      <c r="G3040">
        <v>0.24539197839467</v>
      </c>
      <c r="H3040">
        <v>0.15119494475529099</v>
      </c>
      <c r="I3040">
        <v>0.14468843501426801</v>
      </c>
      <c r="J3040">
        <v>0.15177345655739699</v>
      </c>
      <c r="K3040">
        <v>0.175745376094641</v>
      </c>
      <c r="L3040">
        <v>748.10591416473801</v>
      </c>
      <c r="M3040">
        <v>15.1122444824745</v>
      </c>
      <c r="N3040">
        <v>50.523480051066898</v>
      </c>
      <c r="O3040">
        <v>48.660753418073199</v>
      </c>
      <c r="P3040">
        <v>-6.7438174294872796E-2</v>
      </c>
      <c r="Q3040">
        <v>0.13149361887152</v>
      </c>
      <c r="R3040">
        <v>0.99543435918906897</v>
      </c>
      <c r="S3040" t="s">
        <v>9492</v>
      </c>
      <c r="T3040" t="s">
        <v>12902</v>
      </c>
      <c r="U3040" t="s">
        <v>12902</v>
      </c>
      <c r="V3040" t="s">
        <v>12902</v>
      </c>
      <c r="W3040" t="s">
        <v>15902</v>
      </c>
      <c r="X3040">
        <v>5</v>
      </c>
      <c r="Y3040" t="s">
        <v>22235</v>
      </c>
      <c r="Z3040" t="s">
        <v>28615</v>
      </c>
      <c r="AA3040">
        <v>0.42738508182828289</v>
      </c>
      <c r="AB3040" t="str">
        <f>HYPERLINK("Melting_Curves/meltCurve_Q00587_2_CDC42EP1.pdf", "Melting_Curves/meltCurve_Q00587_2_CDC42EP1.pdf")</f>
        <v>Melting_Curves/meltCurve_Q00587_2_CDC42EP1.pdf</v>
      </c>
    </row>
    <row r="3041" spans="1:28" x14ac:dyDescent="0.25">
      <c r="A3041" t="s">
        <v>3045</v>
      </c>
      <c r="B3041">
        <v>0.99673306730245903</v>
      </c>
      <c r="C3041">
        <v>0.96132434008864498</v>
      </c>
      <c r="D3041">
        <v>0.96527563465214905</v>
      </c>
      <c r="E3041">
        <v>1.0285963381104599</v>
      </c>
      <c r="F3041">
        <v>0.34045214491387099</v>
      </c>
      <c r="G3041">
        <v>0.18064242546233</v>
      </c>
      <c r="H3041">
        <v>0.104444877362592</v>
      </c>
      <c r="I3041">
        <v>9.8267079722710704E-2</v>
      </c>
      <c r="J3041">
        <v>0.109403217152759</v>
      </c>
      <c r="K3041">
        <v>9.3109461395863402E-2</v>
      </c>
      <c r="L3041">
        <v>8703.3519240283404</v>
      </c>
      <c r="M3041">
        <v>164.679921249139</v>
      </c>
      <c r="N3041">
        <v>52.935963507184702</v>
      </c>
      <c r="O3041">
        <v>52.842314303612199</v>
      </c>
      <c r="P3041">
        <v>-0.68782133257297295</v>
      </c>
      <c r="Q3041">
        <v>0.117170519058074</v>
      </c>
      <c r="R3041">
        <v>0.99492425370968096</v>
      </c>
      <c r="S3041" t="s">
        <v>9493</v>
      </c>
      <c r="T3041" t="s">
        <v>12902</v>
      </c>
      <c r="U3041" t="s">
        <v>12902</v>
      </c>
      <c r="V3041" t="s">
        <v>12902</v>
      </c>
      <c r="W3041" t="s">
        <v>15903</v>
      </c>
      <c r="X3041">
        <v>60</v>
      </c>
      <c r="Y3041" t="s">
        <v>22236</v>
      </c>
      <c r="Z3041" t="s">
        <v>28616</v>
      </c>
      <c r="AA3041">
        <v>0.49550780970961472</v>
      </c>
      <c r="AB3041" t="str">
        <f>HYPERLINK("Melting_Curves/meltCurve_Q00610_2_CLTC.pdf", "Melting_Curves/meltCurve_Q00610_2_CLTC.pdf")</f>
        <v>Melting_Curves/meltCurve_Q00610_2_CLTC.pdf</v>
      </c>
    </row>
    <row r="3042" spans="1:28" x14ac:dyDescent="0.25">
      <c r="A3042" t="s">
        <v>3046</v>
      </c>
      <c r="B3042">
        <v>0.99673306730245903</v>
      </c>
      <c r="C3042">
        <v>0.91273092400043498</v>
      </c>
      <c r="D3042">
        <v>0.67765265456543899</v>
      </c>
      <c r="E3042">
        <v>0.52537307125638</v>
      </c>
      <c r="F3042">
        <v>0.366044528531485</v>
      </c>
      <c r="G3042">
        <v>0.21368846723806101</v>
      </c>
      <c r="H3042">
        <v>0.12504180512766999</v>
      </c>
      <c r="I3042">
        <v>0.157577089101261</v>
      </c>
      <c r="J3042">
        <v>0.175350852287321</v>
      </c>
      <c r="K3042">
        <v>0.156118803337565</v>
      </c>
      <c r="L3042">
        <v>692.27073627752497</v>
      </c>
      <c r="M3042">
        <v>14.2353076331973</v>
      </c>
      <c r="N3042">
        <v>49.695352903795701</v>
      </c>
      <c r="O3042">
        <v>47.701044417294</v>
      </c>
      <c r="P3042">
        <v>-6.4808266341371296E-2</v>
      </c>
      <c r="Q3042">
        <v>0.131444354282336</v>
      </c>
      <c r="R3042">
        <v>0.98894148874455701</v>
      </c>
      <c r="S3042" t="s">
        <v>9494</v>
      </c>
      <c r="T3042" t="s">
        <v>12902</v>
      </c>
      <c r="U3042" t="s">
        <v>12902</v>
      </c>
      <c r="V3042" t="s">
        <v>12902</v>
      </c>
      <c r="W3042" t="s">
        <v>15904</v>
      </c>
      <c r="X3042">
        <v>3</v>
      </c>
      <c r="Y3042" t="s">
        <v>22237</v>
      </c>
      <c r="Z3042" t="s">
        <v>28617</v>
      </c>
      <c r="AA3042">
        <v>0.4053304030011366</v>
      </c>
      <c r="AB3042" t="str">
        <f>HYPERLINK("Melting_Curves/meltCurve_Q00613_2_HSF1.pdf", "Melting_Curves/meltCurve_Q00613_2_HSF1.pdf")</f>
        <v>Melting_Curves/meltCurve_Q00613_2_HSF1.pdf</v>
      </c>
    </row>
    <row r="3043" spans="1:28" x14ac:dyDescent="0.25">
      <c r="A3043" t="s">
        <v>3047</v>
      </c>
      <c r="B3043">
        <v>0.99673306730245903</v>
      </c>
      <c r="C3043">
        <v>0.77155979823860399</v>
      </c>
      <c r="D3043">
        <v>0.40124511495058501</v>
      </c>
      <c r="E3043">
        <v>0.26527756154438797</v>
      </c>
      <c r="F3043">
        <v>0.202500678630498</v>
      </c>
      <c r="G3043">
        <v>0.15230110370885899</v>
      </c>
      <c r="H3043">
        <v>9.6994488949105895E-2</v>
      </c>
      <c r="I3043">
        <v>8.4778772079232997E-2</v>
      </c>
      <c r="J3043">
        <v>8.4510581754378103E-2</v>
      </c>
      <c r="K3043">
        <v>7.5361445213515704E-2</v>
      </c>
      <c r="L3043">
        <v>936.89655184685205</v>
      </c>
      <c r="M3043">
        <v>20.822550991255699</v>
      </c>
      <c r="N3043">
        <v>45.530585632555102</v>
      </c>
      <c r="O3043">
        <v>44.585499021790802</v>
      </c>
      <c r="P3043">
        <v>-0.10406245140784</v>
      </c>
      <c r="Q3043">
        <v>0.108745664365632</v>
      </c>
      <c r="R3043">
        <v>0.98341072144436603</v>
      </c>
      <c r="S3043" t="s">
        <v>9495</v>
      </c>
      <c r="T3043" t="s">
        <v>12902</v>
      </c>
      <c r="U3043" t="s">
        <v>12902</v>
      </c>
      <c r="V3043" t="s">
        <v>12902</v>
      </c>
      <c r="W3043" t="s">
        <v>15905</v>
      </c>
      <c r="X3043">
        <v>9</v>
      </c>
      <c r="Y3043" t="s">
        <v>22238</v>
      </c>
      <c r="Z3043" t="s">
        <v>28618</v>
      </c>
      <c r="AA3043">
        <v>0.27085714489441293</v>
      </c>
      <c r="AB3043" t="str">
        <f>HYPERLINK("Melting_Curves/meltCurve_Q00653_4_NFKB2.pdf", "Melting_Curves/meltCurve_Q00653_4_NFKB2.pdf")</f>
        <v>Melting_Curves/meltCurve_Q00653_4_NFKB2.pdf</v>
      </c>
    </row>
    <row r="3044" spans="1:28" x14ac:dyDescent="0.25">
      <c r="A3044" t="s">
        <v>3048</v>
      </c>
      <c r="B3044">
        <v>0.99673306730245903</v>
      </c>
      <c r="C3044">
        <v>0.99899641592608501</v>
      </c>
      <c r="D3044">
        <v>1.00633350864779</v>
      </c>
      <c r="E3044">
        <v>0.94724417710459397</v>
      </c>
      <c r="F3044">
        <v>0.66139948442532404</v>
      </c>
      <c r="G3044">
        <v>0.45267181050285499</v>
      </c>
      <c r="H3044">
        <v>0.29128539935414099</v>
      </c>
      <c r="I3044">
        <v>0.40679388583619502</v>
      </c>
      <c r="J3044">
        <v>0.57626079724622403</v>
      </c>
      <c r="K3044">
        <v>0.58162302747119698</v>
      </c>
      <c r="L3044">
        <v>2434.7033645063102</v>
      </c>
      <c r="M3044">
        <v>46.354430093336603</v>
      </c>
      <c r="N3044">
        <v>55.532434511870797</v>
      </c>
      <c r="O3044">
        <v>52.426165615615901</v>
      </c>
      <c r="P3044">
        <v>-0.119491623536627</v>
      </c>
      <c r="Q3044">
        <v>0.45942768199419698</v>
      </c>
      <c r="R3044">
        <v>0.90984556892339197</v>
      </c>
      <c r="S3044" t="s">
        <v>9496</v>
      </c>
      <c r="T3044" t="s">
        <v>12902</v>
      </c>
      <c r="U3044" t="s">
        <v>12902</v>
      </c>
      <c r="V3044" t="s">
        <v>12902</v>
      </c>
      <c r="W3044" t="s">
        <v>15906</v>
      </c>
      <c r="X3044">
        <v>24</v>
      </c>
      <c r="Y3044" t="s">
        <v>22239</v>
      </c>
      <c r="Z3044" t="s">
        <v>28619</v>
      </c>
      <c r="AA3044">
        <v>0.68655025537818148</v>
      </c>
      <c r="AB3044" t="str">
        <f>HYPERLINK("Melting_Curves/meltCurve_Q00688_FKBP3.pdf", "Melting_Curves/meltCurve_Q00688_FKBP3.pdf")</f>
        <v>Melting_Curves/meltCurve_Q00688_FKBP3.pdf</v>
      </c>
    </row>
    <row r="3045" spans="1:28" x14ac:dyDescent="0.25">
      <c r="A3045" t="s">
        <v>3049</v>
      </c>
      <c r="B3045">
        <v>0.99673306730245903</v>
      </c>
      <c r="C3045">
        <v>1.0211673150601299</v>
      </c>
      <c r="D3045">
        <v>1.04787661433</v>
      </c>
      <c r="E3045">
        <v>0.97547382176033204</v>
      </c>
      <c r="F3045">
        <v>0.86406722705864902</v>
      </c>
      <c r="G3045">
        <v>0.72759778882894899</v>
      </c>
      <c r="H3045">
        <v>0.680519957554241</v>
      </c>
      <c r="I3045">
        <v>0.84541050290395203</v>
      </c>
      <c r="J3045">
        <v>0.91020620544328701</v>
      </c>
      <c r="K3045">
        <v>0.90333219118924202</v>
      </c>
      <c r="L3045">
        <v>2960.6017516207598</v>
      </c>
      <c r="M3045">
        <v>56.910397844394097</v>
      </c>
      <c r="O3045">
        <v>51.9580516741932</v>
      </c>
      <c r="P3045">
        <v>-5.0812202428458499E-2</v>
      </c>
      <c r="Q3045">
        <v>0.81443804271500697</v>
      </c>
      <c r="R3045">
        <v>0.65014576308258698</v>
      </c>
      <c r="S3045" t="s">
        <v>9497</v>
      </c>
      <c r="T3045" t="s">
        <v>12902</v>
      </c>
      <c r="U3045" t="s">
        <v>12902</v>
      </c>
      <c r="V3045" t="s">
        <v>12902</v>
      </c>
      <c r="W3045" t="s">
        <v>15907</v>
      </c>
      <c r="X3045">
        <v>10</v>
      </c>
      <c r="Y3045" t="s">
        <v>22240</v>
      </c>
      <c r="Z3045" t="s">
        <v>28620</v>
      </c>
      <c r="AA3045">
        <v>0.88912814189801437</v>
      </c>
      <c r="AB3045" t="str">
        <f>HYPERLINK("Melting_Curves/meltCurve_Q00765_REEP5.pdf", "Melting_Curves/meltCurve_Q00765_REEP5.pdf")</f>
        <v>Melting_Curves/meltCurve_Q00765_REEP5.pdf</v>
      </c>
    </row>
    <row r="3046" spans="1:28" x14ac:dyDescent="0.25">
      <c r="A3046" t="s">
        <v>3050</v>
      </c>
      <c r="B3046">
        <v>0.99673306730245903</v>
      </c>
      <c r="C3046">
        <v>0.97140470953854896</v>
      </c>
      <c r="D3046">
        <v>1.0439968534134101</v>
      </c>
      <c r="E3046">
        <v>1.12009968546087</v>
      </c>
      <c r="F3046">
        <v>1.0839642062797299</v>
      </c>
      <c r="G3046">
        <v>0.97586683800985596</v>
      </c>
      <c r="H3046">
        <v>0.74937626644690203</v>
      </c>
      <c r="I3046">
        <v>0.606176198305037</v>
      </c>
      <c r="J3046">
        <v>0.220857239323795</v>
      </c>
      <c r="K3046">
        <v>0.105716366515966</v>
      </c>
      <c r="L3046">
        <v>1648.77289442745</v>
      </c>
      <c r="M3046">
        <v>25.619614969837698</v>
      </c>
      <c r="N3046">
        <v>64.355880825290797</v>
      </c>
      <c r="O3046">
        <v>63.967622916261</v>
      </c>
      <c r="P3046">
        <v>-0.100128496585574</v>
      </c>
      <c r="Q3046">
        <v>0</v>
      </c>
      <c r="R3046">
        <v>0.96962736269605199</v>
      </c>
      <c r="S3046" t="s">
        <v>9498</v>
      </c>
      <c r="T3046" t="s">
        <v>12902</v>
      </c>
      <c r="U3046" t="s">
        <v>12902</v>
      </c>
      <c r="V3046" t="s">
        <v>12902</v>
      </c>
      <c r="W3046" t="s">
        <v>15908</v>
      </c>
      <c r="X3046">
        <v>28</v>
      </c>
      <c r="Y3046" t="s">
        <v>22241</v>
      </c>
      <c r="Z3046" t="s">
        <v>28621</v>
      </c>
      <c r="AA3046">
        <v>0.80983591232845464</v>
      </c>
      <c r="AB3046" t="str">
        <f>HYPERLINK("Melting_Curves/meltCurve_Q00796_SORD.pdf", "Melting_Curves/meltCurve_Q00796_SORD.pdf")</f>
        <v>Melting_Curves/meltCurve_Q00796_SORD.pdf</v>
      </c>
    </row>
    <row r="3047" spans="1:28" x14ac:dyDescent="0.25">
      <c r="A3047" t="s">
        <v>3051</v>
      </c>
      <c r="B3047">
        <v>0.99673306730245903</v>
      </c>
      <c r="C3047">
        <v>0.83339094803410896</v>
      </c>
      <c r="D3047">
        <v>0.53484069333730999</v>
      </c>
      <c r="E3047">
        <v>0.34678283232560297</v>
      </c>
      <c r="F3047">
        <v>0.215374196085345</v>
      </c>
      <c r="G3047">
        <v>0.156800082296539</v>
      </c>
      <c r="H3047">
        <v>0.105536086329971</v>
      </c>
      <c r="I3047">
        <v>0.107729330643359</v>
      </c>
      <c r="J3047">
        <v>0.14351431557156799</v>
      </c>
      <c r="K3047">
        <v>0.12988595709513001</v>
      </c>
      <c r="L3047">
        <v>839.437969828017</v>
      </c>
      <c r="M3047">
        <v>18.185269666058499</v>
      </c>
      <c r="N3047">
        <v>46.894753470031901</v>
      </c>
      <c r="O3047">
        <v>45.612998181740203</v>
      </c>
      <c r="P3047">
        <v>-8.7324578328626501E-2</v>
      </c>
      <c r="Q3047">
        <v>0.123917952619904</v>
      </c>
      <c r="R3047">
        <v>0.99280984304290698</v>
      </c>
      <c r="S3047" t="s">
        <v>9499</v>
      </c>
      <c r="T3047" t="s">
        <v>12902</v>
      </c>
      <c r="U3047" t="s">
        <v>12902</v>
      </c>
      <c r="V3047" t="s">
        <v>12902</v>
      </c>
      <c r="W3047" t="s">
        <v>15909</v>
      </c>
      <c r="X3047">
        <v>29</v>
      </c>
      <c r="Y3047" t="s">
        <v>22242</v>
      </c>
      <c r="Z3047" t="s">
        <v>28622</v>
      </c>
      <c r="AA3047">
        <v>0.32042777334902578</v>
      </c>
      <c r="AB3047" t="str">
        <f>HYPERLINK("Melting_Curves/meltCurve_Q00839_2_HNRNPU.pdf", "Melting_Curves/meltCurve_Q00839_2_HNRNPU.pdf")</f>
        <v>Melting_Curves/meltCurve_Q00839_2_HNRNPU.pdf</v>
      </c>
    </row>
    <row r="3048" spans="1:28" x14ac:dyDescent="0.25">
      <c r="A3048" t="s">
        <v>3052</v>
      </c>
      <c r="B3048">
        <v>0.99673306730245903</v>
      </c>
      <c r="C3048">
        <v>0.95020592011956495</v>
      </c>
      <c r="D3048">
        <v>0.79357064377267095</v>
      </c>
      <c r="E3048">
        <v>0.44226016299756299</v>
      </c>
      <c r="F3048">
        <v>0.236493780695857</v>
      </c>
      <c r="G3048">
        <v>0.114012051975786</v>
      </c>
      <c r="H3048">
        <v>7.1836392440209701E-2</v>
      </c>
      <c r="I3048">
        <v>6.6085719047571406E-2</v>
      </c>
      <c r="J3048">
        <v>6.6688500576088203E-2</v>
      </c>
      <c r="K3048">
        <v>6.6763563393031106E-2</v>
      </c>
      <c r="L3048">
        <v>974.31551065190195</v>
      </c>
      <c r="M3048">
        <v>19.951286269233702</v>
      </c>
      <c r="N3048">
        <v>49.160169227661598</v>
      </c>
      <c r="O3048">
        <v>48.352055899295699</v>
      </c>
      <c r="P3048">
        <v>-9.6777801740903793E-2</v>
      </c>
      <c r="Q3048">
        <v>6.1864727357160199E-2</v>
      </c>
      <c r="R3048">
        <v>0.999268382331155</v>
      </c>
      <c r="S3048" t="s">
        <v>9500</v>
      </c>
      <c r="T3048" t="s">
        <v>12902</v>
      </c>
      <c r="U3048" t="s">
        <v>12902</v>
      </c>
      <c r="V3048" t="s">
        <v>12902</v>
      </c>
      <c r="W3048" t="s">
        <v>15910</v>
      </c>
      <c r="X3048">
        <v>7</v>
      </c>
      <c r="Y3048" t="s">
        <v>22243</v>
      </c>
      <c r="Z3048" t="s">
        <v>28623</v>
      </c>
      <c r="AA3048">
        <v>0.35136566397188029</v>
      </c>
      <c r="AB3048" t="str">
        <f>HYPERLINK("Melting_Curves/meltCurve_Q01081_U2AF1.pdf", "Melting_Curves/meltCurve_Q01081_U2AF1.pdf")</f>
        <v>Melting_Curves/meltCurve_Q01081_U2AF1.pdf</v>
      </c>
    </row>
    <row r="3049" spans="1:28" x14ac:dyDescent="0.25">
      <c r="A3049" t="s">
        <v>3053</v>
      </c>
      <c r="B3049">
        <v>0.99673306730245903</v>
      </c>
      <c r="C3049">
        <v>0.85395046736174196</v>
      </c>
      <c r="D3049">
        <v>0.91047950704470604</v>
      </c>
      <c r="E3049">
        <v>1.05048619993466</v>
      </c>
      <c r="F3049">
        <v>0.30523661122270501</v>
      </c>
      <c r="G3049">
        <v>0.18738625036072101</v>
      </c>
      <c r="H3049">
        <v>0.11069004663357</v>
      </c>
      <c r="I3049">
        <v>0.106754457277441</v>
      </c>
      <c r="J3049">
        <v>0.11010976189678599</v>
      </c>
      <c r="K3049">
        <v>9.0841317209598996E-2</v>
      </c>
      <c r="L3049">
        <v>13229.3397981981</v>
      </c>
      <c r="M3049">
        <v>250</v>
      </c>
      <c r="N3049">
        <v>52.976160048081802</v>
      </c>
      <c r="O3049">
        <v>52.913994938420998</v>
      </c>
      <c r="P3049">
        <v>-1.03805714791365</v>
      </c>
      <c r="Q3049">
        <v>0.121156355057929</v>
      </c>
      <c r="R3049">
        <v>0.97642784632944202</v>
      </c>
      <c r="S3049" t="s">
        <v>9501</v>
      </c>
      <c r="T3049" t="s">
        <v>12902</v>
      </c>
      <c r="U3049" t="s">
        <v>12902</v>
      </c>
      <c r="V3049" t="s">
        <v>12902</v>
      </c>
      <c r="W3049" t="s">
        <v>15911</v>
      </c>
      <c r="X3049">
        <v>132</v>
      </c>
      <c r="Y3049" t="s">
        <v>22244</v>
      </c>
      <c r="Z3049" t="s">
        <v>28624</v>
      </c>
      <c r="AA3049">
        <v>0.49964927371367401</v>
      </c>
      <c r="AB3049" t="str">
        <f>HYPERLINK("Melting_Curves/meltCurve_Q01082_SPTBN1.pdf", "Melting_Curves/meltCurve_Q01082_SPTBN1.pdf")</f>
        <v>Melting_Curves/meltCurve_Q01082_SPTBN1.pdf</v>
      </c>
    </row>
    <row r="3050" spans="1:28" x14ac:dyDescent="0.25">
      <c r="A3050" t="s">
        <v>3054</v>
      </c>
      <c r="B3050">
        <v>0.99673306730245903</v>
      </c>
      <c r="C3050">
        <v>0.87813672264954401</v>
      </c>
      <c r="D3050">
        <v>1.01615586356125</v>
      </c>
      <c r="E3050">
        <v>0.94828928945062796</v>
      </c>
      <c r="F3050">
        <v>0.24226632105037299</v>
      </c>
      <c r="G3050">
        <v>0.116270452374413</v>
      </c>
      <c r="H3050">
        <v>5.6197149375863897E-2</v>
      </c>
      <c r="I3050">
        <v>5.8038021241511598E-2</v>
      </c>
      <c r="J3050">
        <v>7.4668678187788398E-2</v>
      </c>
      <c r="K3050">
        <v>6.6104412662113601E-2</v>
      </c>
      <c r="L3050">
        <v>3114.7334336005301</v>
      </c>
      <c r="M3050">
        <v>60.0271156451523</v>
      </c>
      <c r="N3050">
        <v>52.025117507106501</v>
      </c>
      <c r="O3050">
        <v>51.8312827590197</v>
      </c>
      <c r="P3050">
        <v>-0.26845869154478402</v>
      </c>
      <c r="Q3050">
        <v>7.2782274020637402E-2</v>
      </c>
      <c r="R3050">
        <v>0.99047495746963499</v>
      </c>
      <c r="S3050" t="s">
        <v>9502</v>
      </c>
      <c r="T3050" t="s">
        <v>12902</v>
      </c>
      <c r="U3050" t="s">
        <v>12902</v>
      </c>
      <c r="V3050" t="s">
        <v>12902</v>
      </c>
      <c r="W3050" t="s">
        <v>15912</v>
      </c>
      <c r="X3050">
        <v>127</v>
      </c>
      <c r="Y3050" t="s">
        <v>22244</v>
      </c>
      <c r="Z3050" t="s">
        <v>28625</v>
      </c>
      <c r="AA3050">
        <v>0.44170158465644599</v>
      </c>
      <c r="AB3050" t="str">
        <f>HYPERLINK("Melting_Curves/meltCurve_Q01082_3_SPTBN1.pdf", "Melting_Curves/meltCurve_Q01082_3_SPTBN1.pdf")</f>
        <v>Melting_Curves/meltCurve_Q01082_3_SPTBN1.pdf</v>
      </c>
    </row>
    <row r="3051" spans="1:28" x14ac:dyDescent="0.25">
      <c r="A3051" t="s">
        <v>3055</v>
      </c>
      <c r="B3051">
        <v>0.99673306730245903</v>
      </c>
      <c r="C3051">
        <v>0.98213815682268102</v>
      </c>
      <c r="D3051">
        <v>0.50707003097543901</v>
      </c>
      <c r="E3051">
        <v>0.63591242745224397</v>
      </c>
      <c r="F3051">
        <v>0.23450522267089299</v>
      </c>
      <c r="G3051">
        <v>0.125050015838468</v>
      </c>
      <c r="H3051">
        <v>7.6552960854533905E-2</v>
      </c>
      <c r="I3051">
        <v>8.9103974868266697E-2</v>
      </c>
      <c r="J3051">
        <v>0.11706941910556801</v>
      </c>
      <c r="K3051">
        <v>9.6194216308966199E-2</v>
      </c>
      <c r="L3051">
        <v>693.17981656376799</v>
      </c>
      <c r="M3051">
        <v>14.266031071792501</v>
      </c>
      <c r="N3051">
        <v>49.0531004532263</v>
      </c>
      <c r="O3051">
        <v>47.664695629062102</v>
      </c>
      <c r="P3051">
        <v>-7.0114903424725497E-2</v>
      </c>
      <c r="Q3051">
        <v>6.3062505120180801E-2</v>
      </c>
      <c r="R3051">
        <v>0.92730135814402603</v>
      </c>
      <c r="S3051" t="s">
        <v>9503</v>
      </c>
      <c r="T3051" t="s">
        <v>12902</v>
      </c>
      <c r="U3051" t="s">
        <v>12902</v>
      </c>
      <c r="V3051" t="s">
        <v>12902</v>
      </c>
      <c r="W3051" t="s">
        <v>15913</v>
      </c>
      <c r="X3051">
        <v>6</v>
      </c>
      <c r="Y3051" t="s">
        <v>22245</v>
      </c>
      <c r="Z3051" t="s">
        <v>28626</v>
      </c>
      <c r="AA3051">
        <v>0.35717460278244451</v>
      </c>
      <c r="AB3051" t="str">
        <f>HYPERLINK("Melting_Curves/meltCurve_Q01085_2_TIAL1.pdf", "Melting_Curves/meltCurve_Q01085_2_TIAL1.pdf")</f>
        <v>Melting_Curves/meltCurve_Q01085_2_TIAL1.pdf</v>
      </c>
    </row>
    <row r="3052" spans="1:28" x14ac:dyDescent="0.25">
      <c r="A3052" t="s">
        <v>3056</v>
      </c>
      <c r="B3052">
        <v>0.99673306730245903</v>
      </c>
      <c r="C3052">
        <v>0.97876622880933295</v>
      </c>
      <c r="D3052">
        <v>1.06344378664659</v>
      </c>
      <c r="E3052">
        <v>0.99139931124046399</v>
      </c>
      <c r="F3052">
        <v>0.91136775227774003</v>
      </c>
      <c r="G3052">
        <v>0.83888276994559496</v>
      </c>
      <c r="H3052">
        <v>0.64450718475884305</v>
      </c>
      <c r="I3052">
        <v>0.44845939695584702</v>
      </c>
      <c r="J3052">
        <v>0.24457205211472999</v>
      </c>
      <c r="K3052">
        <v>0.22377400355163601</v>
      </c>
      <c r="L3052">
        <v>1004.34997187357</v>
      </c>
      <c r="M3052">
        <v>16.090592571428999</v>
      </c>
      <c r="N3052">
        <v>62.897649251483898</v>
      </c>
      <c r="O3052">
        <v>61.4782561161039</v>
      </c>
      <c r="P3052">
        <v>-6.16622954694208E-2</v>
      </c>
      <c r="Q3052">
        <v>5.7685802359868199E-2</v>
      </c>
      <c r="R3052">
        <v>0.99027877944868503</v>
      </c>
      <c r="S3052" t="s">
        <v>9504</v>
      </c>
      <c r="T3052" t="s">
        <v>12902</v>
      </c>
      <c r="U3052" t="s">
        <v>12902</v>
      </c>
      <c r="V3052" t="s">
        <v>12902</v>
      </c>
      <c r="W3052" t="s">
        <v>15914</v>
      </c>
      <c r="X3052">
        <v>29</v>
      </c>
      <c r="Y3052" t="s">
        <v>22246</v>
      </c>
      <c r="Z3052" t="s">
        <v>28627</v>
      </c>
      <c r="AA3052">
        <v>0.75889167914718669</v>
      </c>
      <c r="AB3052" t="str">
        <f>HYPERLINK("Melting_Curves/meltCurve_Q01105_SET.pdf", "Melting_Curves/meltCurve_Q01105_SET.pdf")</f>
        <v>Melting_Curves/meltCurve_Q01105_SET.pdf</v>
      </c>
    </row>
    <row r="3053" spans="1:28" x14ac:dyDescent="0.25">
      <c r="A3053" t="s">
        <v>3057</v>
      </c>
      <c r="B3053">
        <v>0.99673306730245903</v>
      </c>
      <c r="C3053">
        <v>0.96894177642020396</v>
      </c>
      <c r="D3053">
        <v>0.95525790075181305</v>
      </c>
      <c r="E3053">
        <v>0.80766045047021195</v>
      </c>
      <c r="F3053">
        <v>0.68473790894220099</v>
      </c>
      <c r="G3053">
        <v>0.53104105595932005</v>
      </c>
      <c r="H3053">
        <v>0.49008581915008997</v>
      </c>
      <c r="I3053">
        <v>0.64810155951411397</v>
      </c>
      <c r="J3053">
        <v>0.98716400327949705</v>
      </c>
      <c r="K3053">
        <v>0.87702729888438502</v>
      </c>
      <c r="L3053">
        <v>1940.6881513262699</v>
      </c>
      <c r="M3053">
        <v>39.946659773275698</v>
      </c>
      <c r="O3053">
        <v>48.460718390037201</v>
      </c>
      <c r="P3053">
        <v>-6.1222404906286998E-2</v>
      </c>
      <c r="Q3053">
        <v>0.70291630372764702</v>
      </c>
      <c r="R3053">
        <v>0.43180102522875702</v>
      </c>
      <c r="S3053" t="s">
        <v>9505</v>
      </c>
      <c r="T3053" t="s">
        <v>12902</v>
      </c>
      <c r="U3053" t="s">
        <v>12902</v>
      </c>
      <c r="V3053" t="s">
        <v>12902</v>
      </c>
      <c r="W3053" t="s">
        <v>15915</v>
      </c>
      <c r="X3053">
        <v>12</v>
      </c>
      <c r="Y3053" t="s">
        <v>22247</v>
      </c>
      <c r="Z3053" t="s">
        <v>28628</v>
      </c>
      <c r="AA3053">
        <v>0.78890390665339316</v>
      </c>
      <c r="AB3053" t="str">
        <f>HYPERLINK("Melting_Curves/meltCurve_Q01130_SRSF2.pdf", "Melting_Curves/meltCurve_Q01130_SRSF2.pdf")</f>
        <v>Melting_Curves/meltCurve_Q01130_SRSF2.pdf</v>
      </c>
    </row>
    <row r="3054" spans="1:28" x14ac:dyDescent="0.25">
      <c r="A3054" t="s">
        <v>3058</v>
      </c>
      <c r="B3054">
        <v>0.99673306730245903</v>
      </c>
      <c r="C3054">
        <v>0.84129859928761197</v>
      </c>
      <c r="D3054">
        <v>0.50566323226200605</v>
      </c>
      <c r="E3054">
        <v>0.26723858138393702</v>
      </c>
      <c r="F3054">
        <v>0.19908007867768701</v>
      </c>
      <c r="G3054">
        <v>0.12809555114120499</v>
      </c>
      <c r="H3054">
        <v>8.0274248789678496E-2</v>
      </c>
      <c r="I3054">
        <v>8.0369763075895495E-2</v>
      </c>
      <c r="J3054">
        <v>7.9445482404844198E-2</v>
      </c>
      <c r="K3054">
        <v>6.5277227733467502E-2</v>
      </c>
      <c r="L3054">
        <v>909.18787017613499</v>
      </c>
      <c r="M3054">
        <v>19.773673350441999</v>
      </c>
      <c r="N3054">
        <v>46.434280407909597</v>
      </c>
      <c r="O3054">
        <v>45.517198204908397</v>
      </c>
      <c r="P3054">
        <v>-9.9052311002703897E-2</v>
      </c>
      <c r="Q3054">
        <v>8.7993396260710399E-2</v>
      </c>
      <c r="R3054">
        <v>0.99276661504575603</v>
      </c>
      <c r="S3054" t="s">
        <v>9506</v>
      </c>
      <c r="T3054" t="s">
        <v>12902</v>
      </c>
      <c r="U3054" t="s">
        <v>12902</v>
      </c>
      <c r="V3054" t="s">
        <v>12902</v>
      </c>
      <c r="W3054" t="s">
        <v>15916</v>
      </c>
      <c r="X3054">
        <v>8</v>
      </c>
      <c r="Y3054" t="s">
        <v>22248</v>
      </c>
      <c r="Z3054" t="s">
        <v>28629</v>
      </c>
      <c r="AA3054">
        <v>0.28426964983425052</v>
      </c>
      <c r="AB3054" t="str">
        <f>HYPERLINK("Melting_Curves/meltCurve_Q01167_FOXK2.pdf", "Melting_Curves/meltCurve_Q01167_FOXK2.pdf")</f>
        <v>Melting_Curves/meltCurve_Q01167_FOXK2.pdf</v>
      </c>
    </row>
    <row r="3055" spans="1:28" x14ac:dyDescent="0.25">
      <c r="A3055" t="s">
        <v>3059</v>
      </c>
      <c r="B3055">
        <v>0.99673306730245903</v>
      </c>
      <c r="C3055">
        <v>0.91011808602257704</v>
      </c>
      <c r="D3055">
        <v>0.965175444485456</v>
      </c>
      <c r="E3055">
        <v>0.95887499823385702</v>
      </c>
      <c r="F3055">
        <v>0.606242254034146</v>
      </c>
      <c r="G3055">
        <v>0.21442332343453799</v>
      </c>
      <c r="H3055">
        <v>0.15823613058581101</v>
      </c>
      <c r="I3055">
        <v>0.20753329729475001</v>
      </c>
      <c r="J3055">
        <v>0.28487759745747598</v>
      </c>
      <c r="K3055">
        <v>0.27808167201788903</v>
      </c>
      <c r="L3055">
        <v>3623.6998568018998</v>
      </c>
      <c r="M3055">
        <v>68.163317231808804</v>
      </c>
      <c r="N3055">
        <v>53.637890659681702</v>
      </c>
      <c r="O3055">
        <v>53.116321053027001</v>
      </c>
      <c r="P3055">
        <v>-0.24802984799204</v>
      </c>
      <c r="Q3055">
        <v>0.226890338226438</v>
      </c>
      <c r="R3055">
        <v>0.98153294078123499</v>
      </c>
      <c r="S3055" t="s">
        <v>9507</v>
      </c>
      <c r="T3055" t="s">
        <v>12902</v>
      </c>
      <c r="U3055" t="s">
        <v>12902</v>
      </c>
      <c r="V3055" t="s">
        <v>12902</v>
      </c>
      <c r="W3055" t="s">
        <v>15917</v>
      </c>
      <c r="X3055">
        <v>1</v>
      </c>
      <c r="Y3055" t="s">
        <v>22249</v>
      </c>
      <c r="Z3055" t="s">
        <v>28630</v>
      </c>
      <c r="AA3055">
        <v>0.56705287813693661</v>
      </c>
      <c r="AB3055" t="str">
        <f>HYPERLINK("Melting_Curves/meltCurve_Q01432_6_AMPD3.pdf", "Melting_Curves/meltCurve_Q01432_6_AMPD3.pdf")</f>
        <v>Melting_Curves/meltCurve_Q01432_6_AMPD3.pdf</v>
      </c>
    </row>
    <row r="3056" spans="1:28" x14ac:dyDescent="0.25">
      <c r="A3056" t="s">
        <v>3060</v>
      </c>
      <c r="B3056">
        <v>0.99673306730245903</v>
      </c>
      <c r="C3056">
        <v>1.0044945012350599</v>
      </c>
      <c r="D3056">
        <v>0.95271278340673904</v>
      </c>
      <c r="E3056">
        <v>1.0009516905004801</v>
      </c>
      <c r="F3056">
        <v>0.77211242973402505</v>
      </c>
      <c r="G3056">
        <v>0.39650445698492598</v>
      </c>
      <c r="H3056">
        <v>0.121041682868904</v>
      </c>
      <c r="I3056">
        <v>0.105114518390032</v>
      </c>
      <c r="J3056">
        <v>0.11934223722774299</v>
      </c>
      <c r="K3056">
        <v>0.103317162697928</v>
      </c>
      <c r="L3056">
        <v>1666.3734536571501</v>
      </c>
      <c r="M3056">
        <v>30.131737102700701</v>
      </c>
      <c r="N3056">
        <v>55.697041415127899</v>
      </c>
      <c r="O3056">
        <v>55.061085044139702</v>
      </c>
      <c r="P3056">
        <v>-0.12367662036279201</v>
      </c>
      <c r="Q3056">
        <v>9.6006665727277798E-2</v>
      </c>
      <c r="R3056">
        <v>0.996956542527352</v>
      </c>
      <c r="S3056" t="s">
        <v>9508</v>
      </c>
      <c r="T3056" t="s">
        <v>12902</v>
      </c>
      <c r="U3056" t="s">
        <v>12902</v>
      </c>
      <c r="V3056" t="s">
        <v>12902</v>
      </c>
      <c r="W3056" t="s">
        <v>13908</v>
      </c>
      <c r="X3056">
        <v>27</v>
      </c>
      <c r="Y3056" t="s">
        <v>20297</v>
      </c>
      <c r="Z3056" t="s">
        <v>28631</v>
      </c>
      <c r="AA3056">
        <v>0.56309194119347483</v>
      </c>
      <c r="AB3056" t="str">
        <f>HYPERLINK("Melting_Curves/meltCurve_Q01469_FABP5.pdf", "Melting_Curves/meltCurve_Q01469_FABP5.pdf")</f>
        <v>Melting_Curves/meltCurve_Q01469_FABP5.pdf</v>
      </c>
    </row>
    <row r="3057" spans="1:28" x14ac:dyDescent="0.25">
      <c r="A3057" t="s">
        <v>3061</v>
      </c>
      <c r="B3057">
        <v>0.99673306730245903</v>
      </c>
      <c r="C3057">
        <v>0.87933601526625804</v>
      </c>
      <c r="D3057">
        <v>1.0497090345737901</v>
      </c>
      <c r="E3057">
        <v>1.35769392875615</v>
      </c>
      <c r="F3057">
        <v>0.62432979058981097</v>
      </c>
      <c r="G3057">
        <v>0.152385445212291</v>
      </c>
      <c r="H3057">
        <v>7.4173118815945599E-2</v>
      </c>
      <c r="I3057">
        <v>6.0008655738257602E-2</v>
      </c>
      <c r="J3057">
        <v>7.2610916924157096E-2</v>
      </c>
      <c r="K3057">
        <v>6.9575702869145203E-2</v>
      </c>
      <c r="L3057">
        <v>6364.9379373785596</v>
      </c>
      <c r="M3057">
        <v>119.279474011777</v>
      </c>
      <c r="N3057">
        <v>53.445675084321302</v>
      </c>
      <c r="O3057">
        <v>53.346567112088003</v>
      </c>
      <c r="P3057">
        <v>-0.51114320563997295</v>
      </c>
      <c r="Q3057">
        <v>8.5585180738512401E-2</v>
      </c>
      <c r="R3057">
        <v>0.93439535942395302</v>
      </c>
      <c r="S3057" t="s">
        <v>9509</v>
      </c>
      <c r="T3057" t="s">
        <v>12902</v>
      </c>
      <c r="U3057" t="s">
        <v>12902</v>
      </c>
      <c r="V3057" t="s">
        <v>12902</v>
      </c>
      <c r="W3057" t="s">
        <v>15918</v>
      </c>
      <c r="X3057">
        <v>29</v>
      </c>
      <c r="Y3057" t="s">
        <v>22250</v>
      </c>
      <c r="Z3057" t="s">
        <v>28632</v>
      </c>
      <c r="AA3057">
        <v>0.49322836804657949</v>
      </c>
      <c r="AB3057" t="str">
        <f>HYPERLINK("Melting_Curves/meltCurve_Q01518_2_CAP1.pdf", "Melting_Curves/meltCurve_Q01518_2_CAP1.pdf")</f>
        <v>Melting_Curves/meltCurve_Q01518_2_CAP1.pdf</v>
      </c>
    </row>
    <row r="3058" spans="1:28" x14ac:dyDescent="0.25">
      <c r="A3058" t="s">
        <v>3062</v>
      </c>
      <c r="B3058">
        <v>0.99673306730245903</v>
      </c>
      <c r="C3058">
        <v>0.97257826224056798</v>
      </c>
      <c r="D3058">
        <v>0.99627063523356096</v>
      </c>
      <c r="E3058">
        <v>1.0042425147599401</v>
      </c>
      <c r="F3058">
        <v>0.63700591121701799</v>
      </c>
      <c r="G3058">
        <v>0.255171823570498</v>
      </c>
      <c r="H3058">
        <v>9.3673374119433495E-2</v>
      </c>
      <c r="I3058">
        <v>7.8100120196707798E-2</v>
      </c>
      <c r="J3058">
        <v>7.8763045027965203E-2</v>
      </c>
      <c r="K3058">
        <v>6.5010974851987605E-2</v>
      </c>
      <c r="L3058">
        <v>1763.6682778110401</v>
      </c>
      <c r="M3058">
        <v>32.609283807071499</v>
      </c>
      <c r="N3058">
        <v>54.350078792105798</v>
      </c>
      <c r="O3058">
        <v>53.882692398845798</v>
      </c>
      <c r="P3058">
        <v>-0.140168994849138</v>
      </c>
      <c r="Q3058">
        <v>7.3558995212445605E-2</v>
      </c>
      <c r="R3058">
        <v>0.99753171007404196</v>
      </c>
      <c r="S3058" t="s">
        <v>9510</v>
      </c>
      <c r="T3058" t="s">
        <v>12902</v>
      </c>
      <c r="U3058" t="s">
        <v>12902</v>
      </c>
      <c r="V3058" t="s">
        <v>12902</v>
      </c>
      <c r="W3058" t="s">
        <v>15919</v>
      </c>
      <c r="X3058">
        <v>26</v>
      </c>
      <c r="Y3058" t="s">
        <v>22251</v>
      </c>
      <c r="Z3058" t="s">
        <v>28633</v>
      </c>
      <c r="AA3058">
        <v>0.51369893777507381</v>
      </c>
      <c r="AB3058" t="str">
        <f>HYPERLINK("Melting_Curves/meltCurve_Q01581_HMGCS1.pdf", "Melting_Curves/meltCurve_Q01581_HMGCS1.pdf")</f>
        <v>Melting_Curves/meltCurve_Q01581_HMGCS1.pdf</v>
      </c>
    </row>
    <row r="3059" spans="1:28" x14ac:dyDescent="0.25">
      <c r="A3059" t="s">
        <v>3063</v>
      </c>
      <c r="B3059">
        <v>0.99673306730245903</v>
      </c>
      <c r="C3059">
        <v>0.96342012256513798</v>
      </c>
      <c r="D3059">
        <v>1.0004646363044001</v>
      </c>
      <c r="E3059">
        <v>0.94598900216786797</v>
      </c>
      <c r="F3059">
        <v>0.972577680760769</v>
      </c>
      <c r="G3059">
        <v>0.85494432933755105</v>
      </c>
      <c r="H3059">
        <v>0.748451866553005</v>
      </c>
      <c r="I3059">
        <v>0.49290336230454002</v>
      </c>
      <c r="J3059">
        <v>0.34156163889615099</v>
      </c>
      <c r="K3059">
        <v>0.248083315813933</v>
      </c>
      <c r="L3059">
        <v>1010.98125762805</v>
      </c>
      <c r="M3059">
        <v>15.826659652490401</v>
      </c>
      <c r="N3059">
        <v>64.279145407251093</v>
      </c>
      <c r="O3059">
        <v>62.884633291646601</v>
      </c>
      <c r="P3059">
        <v>-5.99682333912952E-2</v>
      </c>
      <c r="Q3059">
        <v>4.69822986118556E-2</v>
      </c>
      <c r="R3059">
        <v>0.99090329216328399</v>
      </c>
      <c r="S3059" t="s">
        <v>9511</v>
      </c>
      <c r="T3059" t="s">
        <v>12902</v>
      </c>
      <c r="U3059" t="s">
        <v>12902</v>
      </c>
      <c r="V3059" t="s">
        <v>12902</v>
      </c>
      <c r="W3059" t="s">
        <v>15920</v>
      </c>
      <c r="X3059">
        <v>5</v>
      </c>
      <c r="Y3059" t="s">
        <v>22252</v>
      </c>
      <c r="Z3059" t="s">
        <v>28634</v>
      </c>
      <c r="AA3059">
        <v>0.79286017667112463</v>
      </c>
      <c r="AB3059" t="str">
        <f>HYPERLINK("Melting_Curves/meltCurve_Q01650_SLC7A5.pdf", "Melting_Curves/meltCurve_Q01650_SLC7A5.pdf")</f>
        <v>Melting_Curves/meltCurve_Q01650_SLC7A5.pdf</v>
      </c>
    </row>
    <row r="3060" spans="1:28" x14ac:dyDescent="0.25">
      <c r="A3060" t="s">
        <v>3064</v>
      </c>
      <c r="B3060">
        <v>0.99673306730245903</v>
      </c>
      <c r="C3060">
        <v>0.99172882552104302</v>
      </c>
      <c r="D3060">
        <v>0.956570955085987</v>
      </c>
      <c r="E3060">
        <v>0.96891598913834998</v>
      </c>
      <c r="F3060">
        <v>0.85818277576316504</v>
      </c>
      <c r="G3060">
        <v>0.69725358086312095</v>
      </c>
      <c r="H3060">
        <v>0.446148164444023</v>
      </c>
      <c r="I3060">
        <v>0.43385959299322202</v>
      </c>
      <c r="J3060">
        <v>0.52219124773953396</v>
      </c>
      <c r="K3060">
        <v>0.52512103713534697</v>
      </c>
      <c r="L3060">
        <v>1596.1616652974501</v>
      </c>
      <c r="M3060">
        <v>28.774367463227598</v>
      </c>
      <c r="N3060">
        <v>61.9626145293091</v>
      </c>
      <c r="O3060">
        <v>55.205810635014799</v>
      </c>
      <c r="P3060">
        <v>-6.8350757940377593E-2</v>
      </c>
      <c r="Q3060">
        <v>0.47545965818864899</v>
      </c>
      <c r="R3060">
        <v>0.96871243070141499</v>
      </c>
      <c r="S3060" t="s">
        <v>9512</v>
      </c>
      <c r="T3060" t="s">
        <v>12902</v>
      </c>
      <c r="U3060" t="s">
        <v>12902</v>
      </c>
      <c r="V3060" t="s">
        <v>12902</v>
      </c>
      <c r="W3060" t="s">
        <v>15921</v>
      </c>
      <c r="X3060">
        <v>7</v>
      </c>
      <c r="Y3060" t="s">
        <v>22253</v>
      </c>
      <c r="Z3060" t="s">
        <v>28635</v>
      </c>
      <c r="AA3060">
        <v>0.74974694555043897</v>
      </c>
      <c r="AB3060" t="str">
        <f>HYPERLINK("Melting_Curves/meltCurve_Q01658_DR1.pdf", "Melting_Curves/meltCurve_Q01658_DR1.pdf")</f>
        <v>Melting_Curves/meltCurve_Q01658_DR1.pdf</v>
      </c>
    </row>
    <row r="3061" spans="1:28" x14ac:dyDescent="0.25">
      <c r="A3061" t="s">
        <v>3065</v>
      </c>
      <c r="B3061">
        <v>0.99673306730245903</v>
      </c>
      <c r="C3061">
        <v>1.0156088490751201</v>
      </c>
      <c r="D3061">
        <v>0.83315165721434603</v>
      </c>
      <c r="E3061">
        <v>0.55712487310847603</v>
      </c>
      <c r="F3061">
        <v>0.41414602527135103</v>
      </c>
      <c r="G3061">
        <v>0.32419166412182099</v>
      </c>
      <c r="H3061">
        <v>0.19208772088957901</v>
      </c>
      <c r="I3061">
        <v>0.25026827388407102</v>
      </c>
      <c r="J3061">
        <v>0.37621564538299601</v>
      </c>
      <c r="K3061">
        <v>0.323506923159742</v>
      </c>
      <c r="L3061">
        <v>1112.19204785938</v>
      </c>
      <c r="M3061">
        <v>22.869049835300199</v>
      </c>
      <c r="N3061">
        <v>50.558247903556001</v>
      </c>
      <c r="O3061">
        <v>48.265782481318503</v>
      </c>
      <c r="P3061">
        <v>-8.4021490059213194E-2</v>
      </c>
      <c r="Q3061">
        <v>0.29069458669569598</v>
      </c>
      <c r="R3061">
        <v>0.970726901057404</v>
      </c>
      <c r="S3061" t="s">
        <v>9513</v>
      </c>
      <c r="T3061" t="s">
        <v>12902</v>
      </c>
      <c r="U3061" t="s">
        <v>12902</v>
      </c>
      <c r="V3061" t="s">
        <v>12902</v>
      </c>
      <c r="W3061" t="s">
        <v>15922</v>
      </c>
      <c r="X3061">
        <v>3</v>
      </c>
      <c r="Y3061" t="s">
        <v>22254</v>
      </c>
      <c r="Z3061" t="s">
        <v>28636</v>
      </c>
      <c r="AA3061">
        <v>0.5023632452137875</v>
      </c>
      <c r="AB3061" t="str">
        <f>HYPERLINK("Melting_Curves/meltCurve_Q01664_TFAP4.pdf", "Melting_Curves/meltCurve_Q01664_TFAP4.pdf")</f>
        <v>Melting_Curves/meltCurve_Q01664_TFAP4.pdf</v>
      </c>
    </row>
    <row r="3062" spans="1:28" x14ac:dyDescent="0.25">
      <c r="A3062" t="s">
        <v>3066</v>
      </c>
      <c r="B3062">
        <v>0.99673306730245903</v>
      </c>
      <c r="C3062">
        <v>0.71972167056109304</v>
      </c>
      <c r="D3062">
        <v>0.42106780599208699</v>
      </c>
      <c r="E3062">
        <v>0.314943914805486</v>
      </c>
      <c r="F3062">
        <v>0.260860200686648</v>
      </c>
      <c r="G3062">
        <v>0.17436638031104901</v>
      </c>
      <c r="H3062">
        <v>0.124188414927876</v>
      </c>
      <c r="I3062">
        <v>0.145299874438441</v>
      </c>
      <c r="J3062">
        <v>0.220816817264086</v>
      </c>
      <c r="K3062">
        <v>0.22192293978566999</v>
      </c>
      <c r="L3062">
        <v>976.93780146398399</v>
      </c>
      <c r="M3062">
        <v>22.017639499054901</v>
      </c>
      <c r="N3062">
        <v>45.361021997394303</v>
      </c>
      <c r="O3062">
        <v>44.009513823673501</v>
      </c>
      <c r="P3062">
        <v>-0.101208518256758</v>
      </c>
      <c r="Q3062">
        <v>0.19082327884053199</v>
      </c>
      <c r="R3062">
        <v>0.97313250369950099</v>
      </c>
      <c r="S3062" t="s">
        <v>9514</v>
      </c>
      <c r="T3062" t="s">
        <v>12902</v>
      </c>
      <c r="U3062" t="s">
        <v>12902</v>
      </c>
      <c r="V3062" t="s">
        <v>12902</v>
      </c>
      <c r="W3062" t="s">
        <v>15923</v>
      </c>
      <c r="X3062">
        <v>4</v>
      </c>
      <c r="Y3062" t="s">
        <v>22255</v>
      </c>
      <c r="Z3062" t="s">
        <v>28637</v>
      </c>
      <c r="AA3062">
        <v>0.32056132856346042</v>
      </c>
      <c r="AB3062" t="str">
        <f>HYPERLINK("Melting_Curves/meltCurve_Q01780_2_EXOSC10.pdf", "Melting_Curves/meltCurve_Q01780_2_EXOSC10.pdf")</f>
        <v>Melting_Curves/meltCurve_Q01780_2_EXOSC10.pdf</v>
      </c>
    </row>
    <row r="3063" spans="1:28" x14ac:dyDescent="0.25">
      <c r="A3063" t="s">
        <v>3067</v>
      </c>
      <c r="B3063">
        <v>0.99673306730245903</v>
      </c>
      <c r="C3063">
        <v>0.96483860603182603</v>
      </c>
      <c r="D3063">
        <v>1.0270342980204801</v>
      </c>
      <c r="E3063">
        <v>1.18867842899012</v>
      </c>
      <c r="F3063">
        <v>1.30249352704021</v>
      </c>
      <c r="G3063">
        <v>1.3279755836189799</v>
      </c>
      <c r="H3063">
        <v>1.2694019010781801</v>
      </c>
      <c r="I3063">
        <v>1.2105115355098399</v>
      </c>
      <c r="J3063">
        <v>1.0423666260729101</v>
      </c>
      <c r="K3063">
        <v>0.41736023382285498</v>
      </c>
      <c r="L3063">
        <v>15000</v>
      </c>
      <c r="M3063">
        <v>214.61923833717</v>
      </c>
      <c r="N3063">
        <v>69.891218129068804</v>
      </c>
      <c r="O3063">
        <v>69.885149436900505</v>
      </c>
      <c r="P3063">
        <v>-0.76775695581080905</v>
      </c>
      <c r="Q3063">
        <v>0</v>
      </c>
      <c r="R3063">
        <v>0.443854035312716</v>
      </c>
      <c r="S3063" t="s">
        <v>9515</v>
      </c>
      <c r="T3063" t="s">
        <v>12902</v>
      </c>
      <c r="U3063" t="s">
        <v>12902</v>
      </c>
      <c r="V3063" t="s">
        <v>12902</v>
      </c>
      <c r="W3063" t="s">
        <v>15924</v>
      </c>
      <c r="X3063">
        <v>49</v>
      </c>
      <c r="Y3063" t="s">
        <v>22256</v>
      </c>
      <c r="Z3063" t="s">
        <v>28638</v>
      </c>
      <c r="AA3063">
        <v>0.99059419916324132</v>
      </c>
      <c r="AB3063" t="str">
        <f>HYPERLINK("Melting_Curves/meltCurve_Q01813_PFKP.pdf", "Melting_Curves/meltCurve_Q01813_PFKP.pdf")</f>
        <v>Melting_Curves/meltCurve_Q01813_PFKP.pdf</v>
      </c>
    </row>
    <row r="3064" spans="1:28" x14ac:dyDescent="0.25">
      <c r="A3064" t="s">
        <v>3068</v>
      </c>
      <c r="B3064">
        <v>0.99673306730245903</v>
      </c>
      <c r="C3064">
        <v>0.89515717811038498</v>
      </c>
      <c r="D3064">
        <v>0.82737602903469598</v>
      </c>
      <c r="E3064">
        <v>0.60474068771137701</v>
      </c>
      <c r="F3064">
        <v>0.20472669038003699</v>
      </c>
      <c r="G3064">
        <v>0.129005470910698</v>
      </c>
      <c r="H3064">
        <v>8.4930213720469105E-2</v>
      </c>
      <c r="I3064">
        <v>7.8556192766081501E-2</v>
      </c>
      <c r="J3064">
        <v>0.110918088571052</v>
      </c>
      <c r="K3064">
        <v>8.1147272838918302E-2</v>
      </c>
      <c r="L3064">
        <v>1036.8218261591901</v>
      </c>
      <c r="M3064">
        <v>20.8714012318746</v>
      </c>
      <c r="N3064">
        <v>50.057329929195198</v>
      </c>
      <c r="O3064">
        <v>49.227389588125</v>
      </c>
      <c r="P3064">
        <v>-9.8219715535477203E-2</v>
      </c>
      <c r="Q3064">
        <v>7.3379570742749201E-2</v>
      </c>
      <c r="R3064">
        <v>0.98962407570058197</v>
      </c>
      <c r="S3064" t="s">
        <v>9516</v>
      </c>
      <c r="T3064" t="s">
        <v>12902</v>
      </c>
      <c r="U3064" t="s">
        <v>12902</v>
      </c>
      <c r="V3064" t="s">
        <v>12902</v>
      </c>
      <c r="W3064" t="s">
        <v>15925</v>
      </c>
      <c r="X3064">
        <v>9</v>
      </c>
      <c r="Y3064" t="s">
        <v>22257</v>
      </c>
      <c r="Z3064" t="s">
        <v>28639</v>
      </c>
      <c r="AA3064">
        <v>0.38413653037659862</v>
      </c>
      <c r="AB3064" t="str">
        <f>HYPERLINK("Melting_Curves/meltCurve_Q01968_2_OCRL.pdf", "Melting_Curves/meltCurve_Q01968_2_OCRL.pdf")</f>
        <v>Melting_Curves/meltCurve_Q01968_2_OCRL.pdf</v>
      </c>
    </row>
    <row r="3065" spans="1:28" x14ac:dyDescent="0.25">
      <c r="A3065" t="s">
        <v>3069</v>
      </c>
      <c r="B3065">
        <v>0.99673306730245903</v>
      </c>
      <c r="C3065">
        <v>0.96582221975559601</v>
      </c>
      <c r="D3065">
        <v>0.93162586671565495</v>
      </c>
      <c r="E3065">
        <v>0.59768588012780899</v>
      </c>
      <c r="F3065">
        <v>0.21150075872833399</v>
      </c>
      <c r="G3065">
        <v>0.133495720008727</v>
      </c>
      <c r="H3065">
        <v>8.2490996529259994E-2</v>
      </c>
      <c r="I3065">
        <v>7.4811027568937205E-2</v>
      </c>
      <c r="J3065">
        <v>7.6663932931698001E-2</v>
      </c>
      <c r="K3065">
        <v>7.4700033345052694E-2</v>
      </c>
      <c r="L3065">
        <v>1407.3481627000499</v>
      </c>
      <c r="M3065">
        <v>28.1327611968876</v>
      </c>
      <c r="N3065">
        <v>50.3307905566652</v>
      </c>
      <c r="O3065">
        <v>49.774522515040701</v>
      </c>
      <c r="P3065">
        <v>-0.130210084671328</v>
      </c>
      <c r="Q3065">
        <v>7.84992264967595E-2</v>
      </c>
      <c r="R3065">
        <v>0.99903603087281201</v>
      </c>
      <c r="S3065" t="s">
        <v>9517</v>
      </c>
      <c r="T3065" t="s">
        <v>12902</v>
      </c>
      <c r="U3065" t="s">
        <v>12902</v>
      </c>
      <c r="V3065" t="s">
        <v>12902</v>
      </c>
      <c r="W3065" t="s">
        <v>15926</v>
      </c>
      <c r="X3065">
        <v>18</v>
      </c>
      <c r="Y3065" t="s">
        <v>22258</v>
      </c>
      <c r="Z3065" t="s">
        <v>28640</v>
      </c>
      <c r="AA3065">
        <v>0.39293468964487832</v>
      </c>
      <c r="AB3065" t="str">
        <f>HYPERLINK("Melting_Curves/meltCurve_Q01970_PLCB3.pdf", "Melting_Curves/meltCurve_Q01970_PLCB3.pdf")</f>
        <v>Melting_Curves/meltCurve_Q01970_PLCB3.pdf</v>
      </c>
    </row>
    <row r="3066" spans="1:28" x14ac:dyDescent="0.25">
      <c r="A3066" t="s">
        <v>3070</v>
      </c>
      <c r="B3066">
        <v>0.99673306730245903</v>
      </c>
      <c r="C3066">
        <v>1.03439930703191</v>
      </c>
      <c r="D3066">
        <v>1.4153207999695201</v>
      </c>
      <c r="E3066">
        <v>0.70862109618682001</v>
      </c>
      <c r="F3066">
        <v>0.341294002697762</v>
      </c>
      <c r="G3066">
        <v>0.25211999752096198</v>
      </c>
      <c r="H3066">
        <v>0.166185643503793</v>
      </c>
      <c r="I3066">
        <v>0.207298690455018</v>
      </c>
      <c r="J3066">
        <v>0.26011207494003402</v>
      </c>
      <c r="K3066">
        <v>0.240536258992019</v>
      </c>
      <c r="L3066">
        <v>3171.8841694330999</v>
      </c>
      <c r="M3066">
        <v>63.392121956301899</v>
      </c>
      <c r="N3066">
        <v>50.559712016761203</v>
      </c>
      <c r="O3066">
        <v>49.986213892571499</v>
      </c>
      <c r="P3066">
        <v>-0.240727198868223</v>
      </c>
      <c r="Q3066">
        <v>0.240723490408906</v>
      </c>
      <c r="R3066">
        <v>0.89320600886399704</v>
      </c>
      <c r="S3066" t="s">
        <v>9518</v>
      </c>
      <c r="T3066" t="s">
        <v>12902</v>
      </c>
      <c r="U3066" t="s">
        <v>12902</v>
      </c>
      <c r="V3066" t="s">
        <v>12902</v>
      </c>
      <c r="W3066" t="s">
        <v>15927</v>
      </c>
      <c r="X3066">
        <v>1</v>
      </c>
      <c r="Y3066" t="s">
        <v>22259</v>
      </c>
      <c r="Z3066" t="s">
        <v>28641</v>
      </c>
      <c r="AA3066">
        <v>0.49576550812306569</v>
      </c>
      <c r="AB3066" t="str">
        <f>HYPERLINK("Melting_Curves/meltCurve_Q01995_TAGLN.pdf", "Melting_Curves/meltCurve_Q01995_TAGLN.pdf")</f>
        <v>Melting_Curves/meltCurve_Q01995_TAGLN.pdf</v>
      </c>
    </row>
    <row r="3067" spans="1:28" x14ac:dyDescent="0.25">
      <c r="A3067" t="s">
        <v>3071</v>
      </c>
      <c r="B3067">
        <v>0.99673306730245903</v>
      </c>
      <c r="C3067">
        <v>0.96432794732003202</v>
      </c>
      <c r="D3067">
        <v>0.98268148746397299</v>
      </c>
      <c r="E3067">
        <v>0.87926429155309005</v>
      </c>
      <c r="F3067">
        <v>0.65088303313066997</v>
      </c>
      <c r="G3067">
        <v>0.50875987992175098</v>
      </c>
      <c r="H3067">
        <v>0.29981818710740599</v>
      </c>
      <c r="I3067">
        <v>0.25595910439008002</v>
      </c>
      <c r="J3067">
        <v>0.23229626511568699</v>
      </c>
      <c r="K3067">
        <v>0.18901641997493701</v>
      </c>
      <c r="L3067">
        <v>853.64830934020301</v>
      </c>
      <c r="M3067">
        <v>15.5689804593899</v>
      </c>
      <c r="N3067">
        <v>56.361732342356497</v>
      </c>
      <c r="O3067">
        <v>53.9493848712183</v>
      </c>
      <c r="P3067">
        <v>-5.9706805592624E-2</v>
      </c>
      <c r="Q3067">
        <v>0.17249197804334301</v>
      </c>
      <c r="R3067">
        <v>0.99606830944278302</v>
      </c>
      <c r="S3067" t="s">
        <v>9519</v>
      </c>
      <c r="T3067" t="s">
        <v>12902</v>
      </c>
      <c r="U3067" t="s">
        <v>12902</v>
      </c>
      <c r="V3067" t="s">
        <v>12902</v>
      </c>
      <c r="W3067" t="s">
        <v>15928</v>
      </c>
      <c r="X3067">
        <v>5</v>
      </c>
      <c r="Y3067" t="s">
        <v>22260</v>
      </c>
      <c r="Z3067" t="s">
        <v>28642</v>
      </c>
      <c r="AA3067">
        <v>0.59704292237084633</v>
      </c>
      <c r="AB3067" t="str">
        <f>HYPERLINK("Melting_Curves/meltCurve_Q02083_2_NAAA.pdf", "Melting_Curves/meltCurve_Q02083_2_NAAA.pdf")</f>
        <v>Melting_Curves/meltCurve_Q02083_2_NAAA.pdf</v>
      </c>
    </row>
    <row r="3068" spans="1:28" x14ac:dyDescent="0.25">
      <c r="A3068" t="s">
        <v>3072</v>
      </c>
      <c r="B3068">
        <v>0.99673306730245903</v>
      </c>
      <c r="C3068">
        <v>1.00438840465115</v>
      </c>
      <c r="D3068">
        <v>0.94819658103307802</v>
      </c>
      <c r="E3068">
        <v>0.82786473679899997</v>
      </c>
      <c r="F3068">
        <v>0.77826853989521105</v>
      </c>
      <c r="G3068">
        <v>0.69461700259935999</v>
      </c>
      <c r="H3068">
        <v>0.54206826360389004</v>
      </c>
      <c r="I3068">
        <v>0.50362709528935901</v>
      </c>
      <c r="J3068">
        <v>0.24138566834285599</v>
      </c>
      <c r="K3068">
        <v>0.12520301492074001</v>
      </c>
      <c r="L3068">
        <v>596.22490632630002</v>
      </c>
      <c r="M3068">
        <v>9.7647743054462008</v>
      </c>
      <c r="N3068">
        <v>61.058726744588398</v>
      </c>
      <c r="O3068">
        <v>58.663117085240302</v>
      </c>
      <c r="P3068">
        <v>-4.1635937950910702E-2</v>
      </c>
      <c r="Q3068">
        <v>0</v>
      </c>
      <c r="R3068">
        <v>0.96018809607298305</v>
      </c>
      <c r="S3068" t="s">
        <v>9520</v>
      </c>
      <c r="T3068" t="s">
        <v>12902</v>
      </c>
      <c r="U3068" t="s">
        <v>12902</v>
      </c>
      <c r="V3068" t="s">
        <v>12902</v>
      </c>
      <c r="W3068" t="s">
        <v>15929</v>
      </c>
      <c r="X3068">
        <v>23</v>
      </c>
      <c r="Y3068" t="s">
        <v>22261</v>
      </c>
      <c r="Z3068" t="s">
        <v>28643</v>
      </c>
      <c r="AA3068">
        <v>0.68803326745561588</v>
      </c>
      <c r="AB3068" t="str">
        <f>HYPERLINK("Melting_Curves/meltCurve_Q02127_DHODH.pdf", "Melting_Curves/meltCurve_Q02127_DHODH.pdf")</f>
        <v>Melting_Curves/meltCurve_Q02127_DHODH.pdf</v>
      </c>
    </row>
    <row r="3069" spans="1:28" x14ac:dyDescent="0.25">
      <c r="A3069" t="s">
        <v>3073</v>
      </c>
      <c r="B3069">
        <v>0.99673306730245903</v>
      </c>
      <c r="C3069">
        <v>0.970699117797722</v>
      </c>
      <c r="D3069">
        <v>0.893629485416506</v>
      </c>
      <c r="E3069">
        <v>0.563573986746432</v>
      </c>
      <c r="F3069">
        <v>0.21215577573768901</v>
      </c>
      <c r="G3069">
        <v>0.13799150460360701</v>
      </c>
      <c r="H3069">
        <v>8.25042641928629E-2</v>
      </c>
      <c r="I3069">
        <v>8.1479501253617803E-2</v>
      </c>
      <c r="J3069">
        <v>9.0181077007854493E-2</v>
      </c>
      <c r="K3069">
        <v>8.2585810271751797E-2</v>
      </c>
      <c r="L3069">
        <v>1273.11934286153</v>
      </c>
      <c r="M3069">
        <v>25.606560745309501</v>
      </c>
      <c r="N3069">
        <v>50.073358319938599</v>
      </c>
      <c r="O3069">
        <v>49.418208030750598</v>
      </c>
      <c r="P3069">
        <v>-0.11879228006726</v>
      </c>
      <c r="Q3069">
        <v>8.2979969751356603E-2</v>
      </c>
      <c r="R3069">
        <v>0.99930946786840702</v>
      </c>
      <c r="S3069" t="s">
        <v>9521</v>
      </c>
      <c r="T3069" t="s">
        <v>12902</v>
      </c>
      <c r="U3069" t="s">
        <v>12902</v>
      </c>
      <c r="V3069" t="s">
        <v>12902</v>
      </c>
      <c r="W3069" t="s">
        <v>15930</v>
      </c>
      <c r="X3069">
        <v>11</v>
      </c>
      <c r="Y3069" t="s">
        <v>22262</v>
      </c>
      <c r="Z3069" t="s">
        <v>28644</v>
      </c>
      <c r="AA3069">
        <v>0.38783426754441058</v>
      </c>
      <c r="AB3069" t="str">
        <f>HYPERLINK("Melting_Curves/meltCurve_Q02156_PRKCE.pdf", "Melting_Curves/meltCurve_Q02156_PRKCE.pdf")</f>
        <v>Melting_Curves/meltCurve_Q02156_PRKCE.pdf</v>
      </c>
    </row>
    <row r="3070" spans="1:28" x14ac:dyDescent="0.25">
      <c r="A3070" t="s">
        <v>3074</v>
      </c>
      <c r="B3070">
        <v>0.99673306730245903</v>
      </c>
      <c r="C3070">
        <v>0.81064166442127705</v>
      </c>
      <c r="D3070">
        <v>0.74195795138742504</v>
      </c>
      <c r="E3070">
        <v>0.45168859354585</v>
      </c>
      <c r="F3070">
        <v>0.225789552007642</v>
      </c>
      <c r="G3070">
        <v>0.125601170330678</v>
      </c>
      <c r="H3070">
        <v>0.10379647614511001</v>
      </c>
      <c r="I3070">
        <v>0.11901831433429801</v>
      </c>
      <c r="J3070">
        <v>0.11926578946015599</v>
      </c>
      <c r="K3070">
        <v>0.11191791163489</v>
      </c>
      <c r="L3070">
        <v>788.01458586938497</v>
      </c>
      <c r="M3070">
        <v>16.3960913377704</v>
      </c>
      <c r="N3070">
        <v>48.6585588929712</v>
      </c>
      <c r="O3070">
        <v>47.363257038600203</v>
      </c>
      <c r="P3070">
        <v>-7.86593375917264E-2</v>
      </c>
      <c r="Q3070">
        <v>9.1174392256180195E-2</v>
      </c>
      <c r="R3070">
        <v>0.98956191593541698</v>
      </c>
      <c r="S3070" t="s">
        <v>9522</v>
      </c>
      <c r="T3070" t="s">
        <v>12902</v>
      </c>
      <c r="U3070" t="s">
        <v>12902</v>
      </c>
      <c r="V3070" t="s">
        <v>12902</v>
      </c>
      <c r="W3070" t="s">
        <v>15931</v>
      </c>
      <c r="X3070">
        <v>7</v>
      </c>
      <c r="Y3070" t="s">
        <v>22263</v>
      </c>
      <c r="Z3070" t="s">
        <v>28645</v>
      </c>
      <c r="AA3070">
        <v>0.35488787581749631</v>
      </c>
      <c r="AB3070" t="str">
        <f>HYPERLINK("Melting_Curves/meltCurve_Q02241_KIF23.pdf", "Melting_Curves/meltCurve_Q02241_KIF23.pdf")</f>
        <v>Melting_Curves/meltCurve_Q02241_KIF23.pdf</v>
      </c>
    </row>
    <row r="3071" spans="1:28" x14ac:dyDescent="0.25">
      <c r="A3071" t="s">
        <v>3075</v>
      </c>
      <c r="B3071">
        <v>0.99673306730245903</v>
      </c>
      <c r="C3071">
        <v>0.99499082542296902</v>
      </c>
      <c r="D3071">
        <v>0.88082417558488202</v>
      </c>
      <c r="E3071">
        <v>0.532237332270589</v>
      </c>
      <c r="F3071">
        <v>0.174189502130499</v>
      </c>
      <c r="G3071">
        <v>0.10968470746961</v>
      </c>
      <c r="H3071">
        <v>6.7884195148953594E-2</v>
      </c>
      <c r="I3071">
        <v>5.8428533784315402E-2</v>
      </c>
      <c r="J3071">
        <v>5.95614231907668E-2</v>
      </c>
      <c r="K3071">
        <v>5.8197383854786101E-2</v>
      </c>
      <c r="L3071">
        <v>1312.8444826283501</v>
      </c>
      <c r="M3071">
        <v>26.5002237361978</v>
      </c>
      <c r="N3071">
        <v>49.782003242663301</v>
      </c>
      <c r="O3071">
        <v>49.261356108189197</v>
      </c>
      <c r="P3071">
        <v>-0.12638920707422899</v>
      </c>
      <c r="Q3071">
        <v>6.0228760996915799E-2</v>
      </c>
      <c r="R3071">
        <v>0.99936998810066202</v>
      </c>
      <c r="S3071" t="s">
        <v>9523</v>
      </c>
      <c r="T3071" t="s">
        <v>12902</v>
      </c>
      <c r="U3071" t="s">
        <v>12902</v>
      </c>
      <c r="V3071" t="s">
        <v>12902</v>
      </c>
      <c r="W3071" t="s">
        <v>15932</v>
      </c>
      <c r="X3071">
        <v>25</v>
      </c>
      <c r="Y3071" t="s">
        <v>22264</v>
      </c>
      <c r="Z3071" t="s">
        <v>28646</v>
      </c>
      <c r="AA3071">
        <v>0.36653148446563538</v>
      </c>
      <c r="AB3071" t="str">
        <f>HYPERLINK("Melting_Curves/meltCurve_Q02252_ALDH6A1.pdf", "Melting_Curves/meltCurve_Q02252_ALDH6A1.pdf")</f>
        <v>Melting_Curves/meltCurve_Q02252_ALDH6A1.pdf</v>
      </c>
    </row>
    <row r="3072" spans="1:28" x14ac:dyDescent="0.25">
      <c r="A3072" t="s">
        <v>3076</v>
      </c>
      <c r="B3072">
        <v>0.99673306730245903</v>
      </c>
      <c r="C3072">
        <v>1.0567197895443701</v>
      </c>
      <c r="D3072">
        <v>0.978251868510017</v>
      </c>
      <c r="E3072">
        <v>0.89604388541237501</v>
      </c>
      <c r="F3072">
        <v>0.65646697654331798</v>
      </c>
      <c r="G3072">
        <v>0.31984923216588301</v>
      </c>
      <c r="H3072">
        <v>0.14026751200478799</v>
      </c>
      <c r="I3072">
        <v>9.3594974734250005E-2</v>
      </c>
      <c r="J3072">
        <v>6.5156818846061698E-2</v>
      </c>
      <c r="K3072">
        <v>5.8540695380679499E-2</v>
      </c>
      <c r="L3072">
        <v>1210.5754730574599</v>
      </c>
      <c r="M3072">
        <v>22.223569079819299</v>
      </c>
      <c r="N3072">
        <v>54.753457150314503</v>
      </c>
      <c r="O3072">
        <v>54.037296196876603</v>
      </c>
      <c r="P3072">
        <v>-9.7279324287040697E-2</v>
      </c>
      <c r="Q3072">
        <v>5.38697465190296E-2</v>
      </c>
      <c r="R3072">
        <v>0.99776650941529099</v>
      </c>
      <c r="S3072" t="s">
        <v>9524</v>
      </c>
      <c r="T3072" t="s">
        <v>12902</v>
      </c>
      <c r="U3072" t="s">
        <v>12902</v>
      </c>
      <c r="V3072" t="s">
        <v>12902</v>
      </c>
      <c r="W3072" t="s">
        <v>15933</v>
      </c>
      <c r="X3072">
        <v>7</v>
      </c>
      <c r="Y3072" t="s">
        <v>22265</v>
      </c>
      <c r="Z3072" t="s">
        <v>28647</v>
      </c>
      <c r="AA3072">
        <v>0.52105032394924811</v>
      </c>
      <c r="AB3072" t="str">
        <f>HYPERLINK("Melting_Curves/meltCurve_Q02318_CYP27A1.pdf", "Melting_Curves/meltCurve_Q02318_CYP27A1.pdf")</f>
        <v>Melting_Curves/meltCurve_Q02318_CYP27A1.pdf</v>
      </c>
    </row>
    <row r="3073" spans="1:28" x14ac:dyDescent="0.25">
      <c r="A3073" t="s">
        <v>3077</v>
      </c>
      <c r="B3073">
        <v>0.99673306730245903</v>
      </c>
      <c r="C3073">
        <v>0.94151585104490598</v>
      </c>
      <c r="D3073">
        <v>0.73400350669981795</v>
      </c>
      <c r="E3073">
        <v>0.38065850933203599</v>
      </c>
      <c r="F3073">
        <v>0.17224495922258001</v>
      </c>
      <c r="G3073">
        <v>0.123179534820075</v>
      </c>
      <c r="H3073">
        <v>8.0418808148922397E-2</v>
      </c>
      <c r="I3073">
        <v>8.2349945619098405E-2</v>
      </c>
      <c r="J3073">
        <v>6.3114908320492297E-2</v>
      </c>
      <c r="K3073">
        <v>5.0667535866004698E-2</v>
      </c>
      <c r="L3073">
        <v>1018.0120099615</v>
      </c>
      <c r="M3073">
        <v>21.195004013101801</v>
      </c>
      <c r="N3073">
        <v>48.366968177509499</v>
      </c>
      <c r="O3073">
        <v>47.609320840904601</v>
      </c>
      <c r="P3073">
        <v>-0.103675444754584</v>
      </c>
      <c r="Q3073">
        <v>6.8499403797883093E-2</v>
      </c>
      <c r="R3073">
        <v>0.99912450100863803</v>
      </c>
      <c r="S3073" t="s">
        <v>9525</v>
      </c>
      <c r="T3073" t="s">
        <v>12902</v>
      </c>
      <c r="U3073" t="s">
        <v>12902</v>
      </c>
      <c r="V3073" t="s">
        <v>12902</v>
      </c>
      <c r="W3073" t="s">
        <v>15934</v>
      </c>
      <c r="X3073">
        <v>15</v>
      </c>
      <c r="Y3073" t="s">
        <v>22266</v>
      </c>
      <c r="Z3073" t="s">
        <v>28648</v>
      </c>
      <c r="AA3073">
        <v>0.3295508490385648</v>
      </c>
      <c r="AB3073" t="str">
        <f>HYPERLINK("Melting_Curves/meltCurve_Q02338_BDH1.pdf", "Melting_Curves/meltCurve_Q02338_BDH1.pdf")</f>
        <v>Melting_Curves/meltCurve_Q02338_BDH1.pdf</v>
      </c>
    </row>
    <row r="3074" spans="1:28" x14ac:dyDescent="0.25">
      <c r="A3074" t="s">
        <v>3078</v>
      </c>
      <c r="B3074">
        <v>0.99673306730245903</v>
      </c>
      <c r="C3074">
        <v>0.71404298411207201</v>
      </c>
      <c r="D3074">
        <v>1.0946586742487301</v>
      </c>
      <c r="E3074">
        <v>1.1805455770587501</v>
      </c>
      <c r="F3074">
        <v>0.67080401036875004</v>
      </c>
      <c r="G3074">
        <v>0.56735454974914001</v>
      </c>
      <c r="H3074">
        <v>0.52101119408425201</v>
      </c>
      <c r="I3074">
        <v>0.73153971956628805</v>
      </c>
      <c r="J3074">
        <v>0.34886645321527798</v>
      </c>
      <c r="K3074">
        <v>0.70418143924610099</v>
      </c>
      <c r="L3074">
        <v>13234.559506473401</v>
      </c>
      <c r="M3074">
        <v>250</v>
      </c>
      <c r="O3074">
        <v>52.9348504437203</v>
      </c>
      <c r="P3074">
        <v>-0.50227937792045196</v>
      </c>
      <c r="Q3074">
        <v>0.57459066139525505</v>
      </c>
      <c r="R3074">
        <v>0.64829376749855006</v>
      </c>
      <c r="S3074" t="s">
        <v>9526</v>
      </c>
      <c r="T3074" t="s">
        <v>12902</v>
      </c>
      <c r="U3074" t="s">
        <v>12902</v>
      </c>
      <c r="V3074" t="s">
        <v>12902</v>
      </c>
      <c r="W3074" t="s">
        <v>15935</v>
      </c>
      <c r="X3074">
        <v>2</v>
      </c>
      <c r="Y3074" t="s">
        <v>22267</v>
      </c>
      <c r="Z3074" t="s">
        <v>28649</v>
      </c>
      <c r="AA3074">
        <v>0.75809842709351472</v>
      </c>
      <c r="AB3074" t="str">
        <f>HYPERLINK("Melting_Curves/meltCurve_Q02383_SEMG2.pdf", "Melting_Curves/meltCurve_Q02383_SEMG2.pdf")</f>
        <v>Melting_Curves/meltCurve_Q02383_SEMG2.pdf</v>
      </c>
    </row>
    <row r="3075" spans="1:28" x14ac:dyDescent="0.25">
      <c r="A3075" t="s">
        <v>3079</v>
      </c>
      <c r="B3075">
        <v>0.99673306730245903</v>
      </c>
      <c r="C3075">
        <v>0.95943064315369597</v>
      </c>
      <c r="D3075">
        <v>0.91494175842027803</v>
      </c>
      <c r="E3075">
        <v>0.78000970423270299</v>
      </c>
      <c r="F3075">
        <v>0.53942643002491197</v>
      </c>
      <c r="G3075">
        <v>0.35673907060149501</v>
      </c>
      <c r="H3075">
        <v>0.23319126343681501</v>
      </c>
      <c r="I3075">
        <v>0.218050298507344</v>
      </c>
      <c r="J3075">
        <v>0.288932882916769</v>
      </c>
      <c r="K3075">
        <v>0.38017254533141798</v>
      </c>
      <c r="L3075">
        <v>1092.6356388315401</v>
      </c>
      <c r="M3075">
        <v>21.216638623807199</v>
      </c>
      <c r="N3075">
        <v>53.476024093889897</v>
      </c>
      <c r="O3075">
        <v>51.048043425989498</v>
      </c>
      <c r="P3075">
        <v>-7.5665718168660606E-2</v>
      </c>
      <c r="Q3075">
        <v>0.27180035286332199</v>
      </c>
      <c r="R3075">
        <v>0.97503273673369995</v>
      </c>
      <c r="S3075" t="s">
        <v>9527</v>
      </c>
      <c r="T3075" t="s">
        <v>12902</v>
      </c>
      <c r="U3075" t="s">
        <v>12902</v>
      </c>
      <c r="V3075" t="s">
        <v>12902</v>
      </c>
      <c r="W3075" t="s">
        <v>15936</v>
      </c>
      <c r="X3075">
        <v>6</v>
      </c>
      <c r="Y3075" t="s">
        <v>22268</v>
      </c>
      <c r="Z3075" t="s">
        <v>28650</v>
      </c>
      <c r="AA3075">
        <v>0.55996896103994553</v>
      </c>
      <c r="AB3075" t="str">
        <f>HYPERLINK("Melting_Curves/meltCurve_Q02446_SP4.pdf", "Melting_Curves/meltCurve_Q02446_SP4.pdf")</f>
        <v>Melting_Curves/meltCurve_Q02446_SP4.pdf</v>
      </c>
    </row>
    <row r="3076" spans="1:28" x14ac:dyDescent="0.25">
      <c r="A3076" t="s">
        <v>3080</v>
      </c>
      <c r="B3076">
        <v>0.99673306730245903</v>
      </c>
      <c r="C3076">
        <v>0.96613839005116298</v>
      </c>
      <c r="D3076">
        <v>0.89086638208224</v>
      </c>
      <c r="E3076">
        <v>0.87430526944592601</v>
      </c>
      <c r="F3076">
        <v>0.43928994327023801</v>
      </c>
      <c r="G3076">
        <v>0.16631123073979501</v>
      </c>
      <c r="H3076">
        <v>8.2942042088685802E-2</v>
      </c>
      <c r="I3076">
        <v>9.0965853168174696E-2</v>
      </c>
      <c r="J3076">
        <v>8.4417529206644706E-2</v>
      </c>
      <c r="K3076">
        <v>6.7553237083528894E-2</v>
      </c>
      <c r="L3076">
        <v>1492.94051245883</v>
      </c>
      <c r="M3076">
        <v>28.464235658008299</v>
      </c>
      <c r="N3076">
        <v>52.7473821044034</v>
      </c>
      <c r="O3076">
        <v>52.1928670431301</v>
      </c>
      <c r="P3076">
        <v>-0.12622591809849901</v>
      </c>
      <c r="Q3076">
        <v>7.4201133156748006E-2</v>
      </c>
      <c r="R3076">
        <v>0.99321206346158597</v>
      </c>
      <c r="S3076" t="s">
        <v>9528</v>
      </c>
      <c r="T3076" t="s">
        <v>12902</v>
      </c>
      <c r="U3076" t="s">
        <v>12902</v>
      </c>
      <c r="V3076" t="s">
        <v>12902</v>
      </c>
      <c r="W3076" t="s">
        <v>15937</v>
      </c>
      <c r="X3076">
        <v>3</v>
      </c>
      <c r="Y3076" t="s">
        <v>22269</v>
      </c>
      <c r="Z3076" t="s">
        <v>28651</v>
      </c>
      <c r="AA3076">
        <v>0.46500237801047067</v>
      </c>
      <c r="AB3076" t="str">
        <f>HYPERLINK("Melting_Curves/meltCurve_Q02487_2_DSC2.pdf", "Melting_Curves/meltCurve_Q02487_2_DSC2.pdf")</f>
        <v>Melting_Curves/meltCurve_Q02487_2_DSC2.pdf</v>
      </c>
    </row>
    <row r="3077" spans="1:28" x14ac:dyDescent="0.25">
      <c r="A3077" t="s">
        <v>3081</v>
      </c>
      <c r="B3077">
        <v>0.99673306730245903</v>
      </c>
      <c r="C3077">
        <v>1.0467626880494301</v>
      </c>
      <c r="D3077">
        <v>0.97738923501416297</v>
      </c>
      <c r="E3077">
        <v>0.98649611941231596</v>
      </c>
      <c r="F3077">
        <v>0.79776001973973898</v>
      </c>
      <c r="G3077">
        <v>0.69077639730823803</v>
      </c>
      <c r="H3077">
        <v>0.24218238397800301</v>
      </c>
      <c r="I3077">
        <v>0.20536781628554501</v>
      </c>
      <c r="J3077">
        <v>0.27472735248894498</v>
      </c>
      <c r="K3077">
        <v>0.26053787403226403</v>
      </c>
      <c r="L3077">
        <v>1530.04889942563</v>
      </c>
      <c r="M3077">
        <v>26.9729805236611</v>
      </c>
      <c r="N3077">
        <v>57.945401657236303</v>
      </c>
      <c r="O3077">
        <v>56.416198453307302</v>
      </c>
      <c r="P3077">
        <v>-9.3630678561978695E-2</v>
      </c>
      <c r="Q3077">
        <v>0.21666285258305301</v>
      </c>
      <c r="R3077">
        <v>0.97305694987443803</v>
      </c>
      <c r="S3077" t="s">
        <v>9529</v>
      </c>
      <c r="T3077" t="s">
        <v>12902</v>
      </c>
      <c r="U3077" t="s">
        <v>12902</v>
      </c>
      <c r="V3077" t="s">
        <v>12902</v>
      </c>
      <c r="W3077" t="s">
        <v>15938</v>
      </c>
      <c r="X3077">
        <v>5</v>
      </c>
      <c r="Y3077" t="s">
        <v>22270</v>
      </c>
      <c r="Z3077" t="s">
        <v>28652</v>
      </c>
      <c r="AA3077">
        <v>0.65965647506413205</v>
      </c>
      <c r="AB3077" t="str">
        <f>HYPERLINK("Melting_Curves/meltCurve_Q02543_RPL18A.pdf", "Melting_Curves/meltCurve_Q02543_RPL18A.pdf")</f>
        <v>Melting_Curves/meltCurve_Q02543_RPL18A.pdf</v>
      </c>
    </row>
    <row r="3078" spans="1:28" x14ac:dyDescent="0.25">
      <c r="A3078" t="s">
        <v>3082</v>
      </c>
      <c r="B3078">
        <v>0.99673306730245903</v>
      </c>
      <c r="C3078">
        <v>0.83200960719143302</v>
      </c>
      <c r="D3078">
        <v>0.76708017076470802</v>
      </c>
      <c r="E3078">
        <v>0.60839492427397401</v>
      </c>
      <c r="F3078">
        <v>0.31223245622370799</v>
      </c>
      <c r="G3078">
        <v>0.20862188067102</v>
      </c>
      <c r="H3078">
        <v>0.15675272069940499</v>
      </c>
      <c r="I3078">
        <v>0.12449600387590901</v>
      </c>
      <c r="J3078">
        <v>0.151655810842758</v>
      </c>
      <c r="K3078">
        <v>0.115891605883994</v>
      </c>
      <c r="L3078">
        <v>676.53368099586805</v>
      </c>
      <c r="M3078">
        <v>13.652057255603401</v>
      </c>
      <c r="N3078">
        <v>50.3340561084283</v>
      </c>
      <c r="O3078">
        <v>48.528435432986498</v>
      </c>
      <c r="P3078">
        <v>-6.3644941595352097E-2</v>
      </c>
      <c r="Q3078">
        <v>9.5187319897302405E-2</v>
      </c>
      <c r="R3078">
        <v>0.98740690781818197</v>
      </c>
      <c r="S3078" t="s">
        <v>9530</v>
      </c>
      <c r="T3078" t="s">
        <v>12902</v>
      </c>
      <c r="U3078" t="s">
        <v>12902</v>
      </c>
      <c r="V3078" t="s">
        <v>12902</v>
      </c>
      <c r="W3078" t="s">
        <v>15939</v>
      </c>
      <c r="X3078">
        <v>1</v>
      </c>
      <c r="Y3078" t="s">
        <v>22271</v>
      </c>
      <c r="Z3078" t="s">
        <v>28653</v>
      </c>
      <c r="AA3078">
        <v>0.40927824224076492</v>
      </c>
      <c r="AB3078" t="str">
        <f>HYPERLINK("Melting_Curves/meltCurve_Q02742_GCNT1.pdf", "Melting_Curves/meltCurve_Q02742_GCNT1.pdf")</f>
        <v>Melting_Curves/meltCurve_Q02742_GCNT1.pdf</v>
      </c>
    </row>
    <row r="3079" spans="1:28" x14ac:dyDescent="0.25">
      <c r="A3079" t="s">
        <v>3083</v>
      </c>
      <c r="B3079">
        <v>0.99673306730245903</v>
      </c>
      <c r="C3079">
        <v>1.00552129183342</v>
      </c>
      <c r="D3079">
        <v>0.98669247235693802</v>
      </c>
      <c r="E3079">
        <v>0.95778806024200502</v>
      </c>
      <c r="F3079">
        <v>0.54328726230963797</v>
      </c>
      <c r="G3079">
        <v>0.16815298950910601</v>
      </c>
      <c r="H3079">
        <v>9.5885300616456004E-2</v>
      </c>
      <c r="I3079">
        <v>7.6680197635111205E-2</v>
      </c>
      <c r="J3079">
        <v>7.9838940141801595E-2</v>
      </c>
      <c r="K3079">
        <v>6.2771759269251007E-2</v>
      </c>
      <c r="L3079">
        <v>1978.17987662412</v>
      </c>
      <c r="M3079">
        <v>37.137979290548699</v>
      </c>
      <c r="N3079">
        <v>53.507070425865301</v>
      </c>
      <c r="O3079">
        <v>53.1119503970164</v>
      </c>
      <c r="P3079">
        <v>-0.16132717372844699</v>
      </c>
      <c r="Q3079">
        <v>7.7130566241034398E-2</v>
      </c>
      <c r="R3079">
        <v>0.99957861486312904</v>
      </c>
      <c r="S3079" t="s">
        <v>9531</v>
      </c>
      <c r="T3079" t="s">
        <v>12902</v>
      </c>
      <c r="U3079" t="s">
        <v>12902</v>
      </c>
      <c r="V3079" t="s">
        <v>12902</v>
      </c>
      <c r="W3079" t="s">
        <v>15940</v>
      </c>
      <c r="X3079">
        <v>19</v>
      </c>
      <c r="Y3079" t="s">
        <v>22272</v>
      </c>
      <c r="Z3079" t="s">
        <v>28654</v>
      </c>
      <c r="AA3079">
        <v>0.48915092322471548</v>
      </c>
      <c r="AB3079" t="str">
        <f>HYPERLINK("Melting_Curves/meltCurve_Q02750_MAP2K1.pdf", "Melting_Curves/meltCurve_Q02750_MAP2K1.pdf")</f>
        <v>Melting_Curves/meltCurve_Q02750_MAP2K1.pdf</v>
      </c>
    </row>
    <row r="3080" spans="1:28" x14ac:dyDescent="0.25">
      <c r="A3080" t="s">
        <v>3084</v>
      </c>
      <c r="B3080">
        <v>0.99673306730245903</v>
      </c>
      <c r="C3080">
        <v>0.99057996859110897</v>
      </c>
      <c r="D3080">
        <v>0.68792086184604795</v>
      </c>
      <c r="E3080">
        <v>0.54649871643594405</v>
      </c>
      <c r="F3080">
        <v>0.15819836168823601</v>
      </c>
      <c r="G3080">
        <v>0.102455776302128</v>
      </c>
      <c r="H3080">
        <v>6.28056061307561E-2</v>
      </c>
      <c r="I3080">
        <v>5.5493295204047902E-2</v>
      </c>
      <c r="J3080">
        <v>5.3110280445329797E-2</v>
      </c>
      <c r="K3080">
        <v>4.5267552573054898E-2</v>
      </c>
      <c r="L3080">
        <v>902.17659431928405</v>
      </c>
      <c r="M3080">
        <v>18.424652612969599</v>
      </c>
      <c r="N3080">
        <v>49.168787169673003</v>
      </c>
      <c r="O3080">
        <v>48.399851750842799</v>
      </c>
      <c r="P3080">
        <v>-9.1686738595204903E-2</v>
      </c>
      <c r="Q3080">
        <v>3.6633360418075897E-2</v>
      </c>
      <c r="R3080">
        <v>0.98472095455832898</v>
      </c>
      <c r="S3080" t="s">
        <v>9532</v>
      </c>
      <c r="T3080" t="s">
        <v>12902</v>
      </c>
      <c r="U3080" t="s">
        <v>12902</v>
      </c>
      <c r="V3080" t="s">
        <v>12902</v>
      </c>
      <c r="W3080" t="s">
        <v>15941</v>
      </c>
      <c r="X3080">
        <v>42</v>
      </c>
      <c r="Y3080" t="s">
        <v>22273</v>
      </c>
      <c r="Z3080" t="s">
        <v>28655</v>
      </c>
      <c r="AA3080">
        <v>0.34047838058809321</v>
      </c>
      <c r="AB3080" t="str">
        <f>HYPERLINK("Melting_Curves/meltCurve_Q02790_FKBP4.pdf", "Melting_Curves/meltCurve_Q02790_FKBP4.pdf")</f>
        <v>Melting_Curves/meltCurve_Q02790_FKBP4.pdf</v>
      </c>
    </row>
    <row r="3081" spans="1:28" x14ac:dyDescent="0.25">
      <c r="A3081" t="s">
        <v>3085</v>
      </c>
      <c r="B3081">
        <v>0.99673306730245903</v>
      </c>
      <c r="C3081">
        <v>0.96998708702025305</v>
      </c>
      <c r="D3081">
        <v>1.0077802197433801</v>
      </c>
      <c r="E3081">
        <v>0.86473819996470902</v>
      </c>
      <c r="F3081">
        <v>0.35996129693892898</v>
      </c>
      <c r="G3081">
        <v>0.241541806050692</v>
      </c>
      <c r="H3081">
        <v>0.18508063272523101</v>
      </c>
      <c r="I3081">
        <v>0.14738597448555901</v>
      </c>
      <c r="J3081">
        <v>0.13585741419540101</v>
      </c>
      <c r="K3081">
        <v>9.7919335370765803E-2</v>
      </c>
      <c r="L3081">
        <v>1868.6136335738599</v>
      </c>
      <c r="M3081">
        <v>36.113229067822097</v>
      </c>
      <c r="N3081">
        <v>52.263096573721697</v>
      </c>
      <c r="O3081">
        <v>51.585316927584401</v>
      </c>
      <c r="P3081">
        <v>-0.14860812039712901</v>
      </c>
      <c r="Q3081">
        <v>0.15089623044931399</v>
      </c>
      <c r="R3081">
        <v>0.99378001950321804</v>
      </c>
      <c r="S3081" t="s">
        <v>9533</v>
      </c>
      <c r="T3081" t="s">
        <v>12902</v>
      </c>
      <c r="U3081" t="s">
        <v>12902</v>
      </c>
      <c r="V3081" t="s">
        <v>12902</v>
      </c>
      <c r="W3081" t="s">
        <v>15942</v>
      </c>
      <c r="X3081">
        <v>26</v>
      </c>
      <c r="Y3081" t="s">
        <v>22274</v>
      </c>
      <c r="Z3081" t="s">
        <v>28656</v>
      </c>
      <c r="AA3081">
        <v>0.48699761347104492</v>
      </c>
      <c r="AB3081" t="str">
        <f>HYPERLINK("Melting_Curves/meltCurve_Q02809_PLOD1.pdf", "Melting_Curves/meltCurve_Q02809_PLOD1.pdf")</f>
        <v>Melting_Curves/meltCurve_Q02809_PLOD1.pdf</v>
      </c>
    </row>
    <row r="3082" spans="1:28" x14ac:dyDescent="0.25">
      <c r="A3082" t="s">
        <v>3086</v>
      </c>
      <c r="B3082">
        <v>0.99673306730245903</v>
      </c>
      <c r="C3082">
        <v>0.98431026799098598</v>
      </c>
      <c r="D3082">
        <v>0.96578117832879296</v>
      </c>
      <c r="E3082">
        <v>0.87945260148976301</v>
      </c>
      <c r="F3082">
        <v>0.77207994763961096</v>
      </c>
      <c r="G3082">
        <v>0.63023652872406</v>
      </c>
      <c r="H3082">
        <v>0.52866995585819798</v>
      </c>
      <c r="I3082">
        <v>0.72900970627498496</v>
      </c>
      <c r="J3082">
        <v>1.0150327046244401</v>
      </c>
      <c r="K3082">
        <v>0.99547003575232096</v>
      </c>
      <c r="L3082">
        <v>2307.0990681677999</v>
      </c>
      <c r="M3082">
        <v>46.804197514645203</v>
      </c>
      <c r="O3082">
        <v>49.202834202544203</v>
      </c>
      <c r="P3082">
        <v>-5.2847693150120202E-2</v>
      </c>
      <c r="Q3082">
        <v>0.77777604936887101</v>
      </c>
      <c r="R3082">
        <v>0.30346781708871101</v>
      </c>
      <c r="S3082" t="s">
        <v>9534</v>
      </c>
      <c r="T3082" t="s">
        <v>12902</v>
      </c>
      <c r="U3082" t="s">
        <v>12902</v>
      </c>
      <c r="V3082" t="s">
        <v>12902</v>
      </c>
      <c r="W3082" t="s">
        <v>15943</v>
      </c>
      <c r="X3082">
        <v>48</v>
      </c>
      <c r="Y3082" t="s">
        <v>22275</v>
      </c>
      <c r="Z3082" t="s">
        <v>28657</v>
      </c>
      <c r="AA3082">
        <v>0.84716235842520715</v>
      </c>
      <c r="AB3082" t="str">
        <f>HYPERLINK("Melting_Curves/meltCurve_Q02818_NUCB1.pdf", "Melting_Curves/meltCurve_Q02818_NUCB1.pdf")</f>
        <v>Melting_Curves/meltCurve_Q02818_NUCB1.pdf</v>
      </c>
    </row>
    <row r="3083" spans="1:28" x14ac:dyDescent="0.25">
      <c r="A3083" t="s">
        <v>3087</v>
      </c>
      <c r="B3083">
        <v>0.99673306730245903</v>
      </c>
      <c r="C3083">
        <v>1.1137820220703201</v>
      </c>
      <c r="D3083">
        <v>1.10596649184423</v>
      </c>
      <c r="E3083">
        <v>1.1112134833015099</v>
      </c>
      <c r="F3083">
        <v>0.95597747296700297</v>
      </c>
      <c r="G3083">
        <v>0.69843162091605604</v>
      </c>
      <c r="H3083">
        <v>0.307876524280282</v>
      </c>
      <c r="I3083">
        <v>0.245443282555456</v>
      </c>
      <c r="J3083">
        <v>0.32359179993121701</v>
      </c>
      <c r="K3083">
        <v>0.26214656463991598</v>
      </c>
      <c r="L3083">
        <v>2757.1072101300401</v>
      </c>
      <c r="M3083">
        <v>48.222185197989397</v>
      </c>
      <c r="N3083">
        <v>58.1335868218681</v>
      </c>
      <c r="O3083">
        <v>57.077001765560702</v>
      </c>
      <c r="P3083">
        <v>-0.15329320750498801</v>
      </c>
      <c r="Q3083">
        <v>0.27423369643477302</v>
      </c>
      <c r="R3083">
        <v>0.96970285363568698</v>
      </c>
      <c r="S3083" t="s">
        <v>9535</v>
      </c>
      <c r="T3083" t="s">
        <v>12902</v>
      </c>
      <c r="U3083" t="s">
        <v>12902</v>
      </c>
      <c r="V3083" t="s">
        <v>12902</v>
      </c>
      <c r="W3083" t="s">
        <v>15944</v>
      </c>
      <c r="X3083">
        <v>12</v>
      </c>
      <c r="Y3083" t="s">
        <v>22276</v>
      </c>
      <c r="Z3083" t="s">
        <v>28658</v>
      </c>
      <c r="AA3083">
        <v>0.69169887545401243</v>
      </c>
      <c r="AB3083" t="str">
        <f>HYPERLINK("Melting_Curves/meltCurve_Q02878_RPL6.pdf", "Melting_Curves/meltCurve_Q02878_RPL6.pdf")</f>
        <v>Melting_Curves/meltCurve_Q02878_RPL6.pdf</v>
      </c>
    </row>
    <row r="3084" spans="1:28" x14ac:dyDescent="0.25">
      <c r="A3084" t="s">
        <v>3088</v>
      </c>
      <c r="B3084">
        <v>0.99673306730245903</v>
      </c>
      <c r="C3084">
        <v>0.84083833460247903</v>
      </c>
      <c r="D3084">
        <v>0.75159791916955698</v>
      </c>
      <c r="E3084">
        <v>0.38704491487998399</v>
      </c>
      <c r="F3084">
        <v>0.229303992864275</v>
      </c>
      <c r="G3084">
        <v>0.13020125639209801</v>
      </c>
      <c r="H3084">
        <v>8.3263819505579303E-2</v>
      </c>
      <c r="I3084">
        <v>7.3640249790107096E-2</v>
      </c>
      <c r="J3084">
        <v>8.7050308523502096E-2</v>
      </c>
      <c r="K3084">
        <v>7.9431493261666403E-2</v>
      </c>
      <c r="L3084">
        <v>830.67504854412596</v>
      </c>
      <c r="M3084">
        <v>17.2811427505595</v>
      </c>
      <c r="N3084">
        <v>48.487836314022402</v>
      </c>
      <c r="O3084">
        <v>47.438472489008802</v>
      </c>
      <c r="P3084">
        <v>-8.4751837455814799E-2</v>
      </c>
      <c r="Q3084">
        <v>6.9444678056269707E-2</v>
      </c>
      <c r="R3084">
        <v>0.99411567971641102</v>
      </c>
      <c r="S3084" t="s">
        <v>9536</v>
      </c>
      <c r="T3084" t="s">
        <v>12902</v>
      </c>
      <c r="U3084" t="s">
        <v>12902</v>
      </c>
      <c r="V3084" t="s">
        <v>12902</v>
      </c>
      <c r="W3084" t="s">
        <v>15945</v>
      </c>
      <c r="X3084">
        <v>20</v>
      </c>
      <c r="Y3084" t="s">
        <v>22277</v>
      </c>
      <c r="Z3084" t="s">
        <v>28659</v>
      </c>
      <c r="AA3084">
        <v>0.33764059244015088</v>
      </c>
      <c r="AB3084" t="str">
        <f>HYPERLINK("Melting_Curves/meltCurve_Q02880_2_TOP2B.pdf", "Melting_Curves/meltCurve_Q02880_2_TOP2B.pdf")</f>
        <v>Melting_Curves/meltCurve_Q02880_2_TOP2B.pdf</v>
      </c>
    </row>
    <row r="3085" spans="1:28" x14ac:dyDescent="0.25">
      <c r="A3085" t="s">
        <v>3089</v>
      </c>
      <c r="B3085">
        <v>0.99673306730245903</v>
      </c>
      <c r="C3085">
        <v>0.98278908743259197</v>
      </c>
      <c r="D3085">
        <v>0.96196924622249003</v>
      </c>
      <c r="E3085">
        <v>0.88693693799365603</v>
      </c>
      <c r="F3085">
        <v>0.78142633245711401</v>
      </c>
      <c r="G3085">
        <v>0.64312862079968602</v>
      </c>
      <c r="H3085">
        <v>0.60172146951438399</v>
      </c>
      <c r="I3085">
        <v>0.84096705927751003</v>
      </c>
      <c r="J3085">
        <v>1.1707846892762801</v>
      </c>
      <c r="K3085">
        <v>1.15222995980017</v>
      </c>
      <c r="L3085">
        <v>2159.1322739684301</v>
      </c>
      <c r="M3085">
        <v>46.0062036896569</v>
      </c>
      <c r="O3085">
        <v>46.842915307285999</v>
      </c>
      <c r="P3085">
        <v>-3.2775818338882601E-2</v>
      </c>
      <c r="Q3085">
        <v>0.86651252234943299</v>
      </c>
      <c r="R3085">
        <v>8.2010074127270599E-2</v>
      </c>
      <c r="S3085" t="s">
        <v>9537</v>
      </c>
      <c r="T3085" t="s">
        <v>12902</v>
      </c>
      <c r="U3085" t="s">
        <v>12902</v>
      </c>
      <c r="V3085" t="s">
        <v>12902</v>
      </c>
      <c r="W3085" t="s">
        <v>15946</v>
      </c>
      <c r="X3085">
        <v>38</v>
      </c>
      <c r="Y3085" t="s">
        <v>22278</v>
      </c>
      <c r="Z3085" t="s">
        <v>28660</v>
      </c>
      <c r="AA3085">
        <v>0.89768187252936316</v>
      </c>
      <c r="AB3085" t="str">
        <f>HYPERLINK("Melting_Curves/meltCurve_Q02952_3_AKAP12.pdf", "Melting_Curves/meltCurve_Q02952_3_AKAP12.pdf")</f>
        <v>Melting_Curves/meltCurve_Q02952_3_AKAP12.pdf</v>
      </c>
    </row>
    <row r="3086" spans="1:28" x14ac:dyDescent="0.25">
      <c r="A3086" t="s">
        <v>3090</v>
      </c>
      <c r="B3086">
        <v>0.99673306730245903</v>
      </c>
      <c r="C3086">
        <v>0.85947350492712205</v>
      </c>
      <c r="D3086">
        <v>0.61486351631915204</v>
      </c>
      <c r="E3086">
        <v>0.34172843382023299</v>
      </c>
      <c r="F3086">
        <v>0.25176816411263198</v>
      </c>
      <c r="G3086">
        <v>0.17495894061296299</v>
      </c>
      <c r="H3086">
        <v>0.120983083894113</v>
      </c>
      <c r="I3086">
        <v>0.12507271976809001</v>
      </c>
      <c r="J3086">
        <v>8.7294242177733794E-2</v>
      </c>
      <c r="K3086">
        <v>6.7619732412332004E-2</v>
      </c>
      <c r="L3086">
        <v>782.36323028679499</v>
      </c>
      <c r="M3086">
        <v>16.640271713156999</v>
      </c>
      <c r="N3086">
        <v>47.653348105534</v>
      </c>
      <c r="O3086">
        <v>46.352957425179703</v>
      </c>
      <c r="P3086">
        <v>-8.0802170644541593E-2</v>
      </c>
      <c r="Q3086">
        <v>9.9733511189051702E-2</v>
      </c>
      <c r="R3086">
        <v>0.99337884190710202</v>
      </c>
      <c r="S3086" t="s">
        <v>9538</v>
      </c>
      <c r="T3086" t="s">
        <v>12902</v>
      </c>
      <c r="U3086" t="s">
        <v>12902</v>
      </c>
      <c r="V3086" t="s">
        <v>12902</v>
      </c>
      <c r="W3086" t="s">
        <v>15947</v>
      </c>
      <c r="X3086">
        <v>44</v>
      </c>
      <c r="Y3086" t="s">
        <v>22279</v>
      </c>
      <c r="Z3086" t="s">
        <v>28661</v>
      </c>
      <c r="AA3086">
        <v>0.32994067938671762</v>
      </c>
      <c r="AB3086" t="str">
        <f>HYPERLINK("Melting_Curves/meltCurve_Q03001_DST.pdf", "Melting_Curves/meltCurve_Q03001_DST.pdf")</f>
        <v>Melting_Curves/meltCurve_Q03001_DST.pdf</v>
      </c>
    </row>
    <row r="3087" spans="1:28" x14ac:dyDescent="0.25">
      <c r="A3087" t="s">
        <v>3091</v>
      </c>
      <c r="B3087">
        <v>0.99673306730245903</v>
      </c>
      <c r="C3087">
        <v>0.86569640948053905</v>
      </c>
      <c r="D3087">
        <v>0.69233808606042102</v>
      </c>
      <c r="E3087">
        <v>0.50957068624241197</v>
      </c>
      <c r="F3087">
        <v>0.21285601584877101</v>
      </c>
      <c r="G3087">
        <v>0.123625546557522</v>
      </c>
      <c r="H3087">
        <v>6.4152850518285301E-2</v>
      </c>
      <c r="I3087">
        <v>5.6996927731917099E-2</v>
      </c>
      <c r="J3087">
        <v>4.1279047778916798E-2</v>
      </c>
      <c r="K3087">
        <v>3.2679531864485301E-2</v>
      </c>
      <c r="L3087">
        <v>714.29750706525397</v>
      </c>
      <c r="M3087">
        <v>14.614109230047401</v>
      </c>
      <c r="N3087">
        <v>48.996632564875704</v>
      </c>
      <c r="O3087">
        <v>47.989406966158803</v>
      </c>
      <c r="P3087">
        <v>-7.4808735310103402E-2</v>
      </c>
      <c r="Q3087">
        <v>1.7490365463229601E-2</v>
      </c>
      <c r="R3087">
        <v>0.99486707424522602</v>
      </c>
      <c r="S3087" t="s">
        <v>9539</v>
      </c>
      <c r="T3087" t="s">
        <v>12902</v>
      </c>
      <c r="U3087" t="s">
        <v>12902</v>
      </c>
      <c r="V3087" t="s">
        <v>12902</v>
      </c>
      <c r="W3087" t="s">
        <v>15948</v>
      </c>
      <c r="X3087">
        <v>2</v>
      </c>
      <c r="Y3087" t="s">
        <v>22280</v>
      </c>
      <c r="Z3087" t="s">
        <v>28662</v>
      </c>
      <c r="AA3087">
        <v>0.33381031710755382</v>
      </c>
      <c r="AB3087" t="str">
        <f>HYPERLINK("Melting_Curves/meltCurve_Q03111_MLLT1.pdf", "Melting_Curves/meltCurve_Q03111_MLLT1.pdf")</f>
        <v>Melting_Curves/meltCurve_Q03111_MLLT1.pdf</v>
      </c>
    </row>
    <row r="3088" spans="1:28" x14ac:dyDescent="0.25">
      <c r="A3088" t="s">
        <v>3092</v>
      </c>
      <c r="B3088">
        <v>0.99673306730245903</v>
      </c>
      <c r="C3088">
        <v>0.95843453897769904</v>
      </c>
      <c r="D3088">
        <v>0.72833675315479296</v>
      </c>
      <c r="E3088">
        <v>0.31589112902900202</v>
      </c>
      <c r="F3088">
        <v>0.15167927252148</v>
      </c>
      <c r="G3088">
        <v>7.7464521709952702E-2</v>
      </c>
      <c r="H3088">
        <v>4.4322689382954999E-2</v>
      </c>
      <c r="I3088">
        <v>4.2010179770883102E-2</v>
      </c>
      <c r="J3088">
        <v>4.3482138090113601E-2</v>
      </c>
      <c r="K3088">
        <v>3.6860893064583497E-2</v>
      </c>
      <c r="L3088">
        <v>1131.8881777141301</v>
      </c>
      <c r="M3088">
        <v>23.6759952141743</v>
      </c>
      <c r="N3088">
        <v>48.000704786871196</v>
      </c>
      <c r="O3088">
        <v>47.470274809474603</v>
      </c>
      <c r="P3088">
        <v>-0.119021544562271</v>
      </c>
      <c r="Q3088">
        <v>4.5465065527786799E-2</v>
      </c>
      <c r="R3088">
        <v>0.99890083029876597</v>
      </c>
      <c r="S3088" t="s">
        <v>9540</v>
      </c>
      <c r="T3088" t="s">
        <v>12902</v>
      </c>
      <c r="U3088" t="s">
        <v>12902</v>
      </c>
      <c r="V3088" t="s">
        <v>12902</v>
      </c>
      <c r="W3088" t="s">
        <v>15949</v>
      </c>
      <c r="X3088">
        <v>4</v>
      </c>
      <c r="Y3088" t="s">
        <v>22281</v>
      </c>
      <c r="Z3088" t="s">
        <v>28663</v>
      </c>
      <c r="AA3088">
        <v>0.30336612807092878</v>
      </c>
      <c r="AB3088" t="str">
        <f>HYPERLINK("Melting_Curves/meltCurve_Q03113_GNA12.pdf", "Melting_Curves/meltCurve_Q03113_GNA12.pdf")</f>
        <v>Melting_Curves/meltCurve_Q03113_GNA12.pdf</v>
      </c>
    </row>
    <row r="3089" spans="1:28" x14ac:dyDescent="0.25">
      <c r="A3089" t="s">
        <v>3093</v>
      </c>
      <c r="B3089">
        <v>0.99673306730245903</v>
      </c>
      <c r="C3089">
        <v>1.0021745433399301</v>
      </c>
      <c r="D3089">
        <v>0.99311437372411504</v>
      </c>
      <c r="E3089">
        <v>0.96904535315806895</v>
      </c>
      <c r="F3089">
        <v>0.86308944229337903</v>
      </c>
      <c r="G3089">
        <v>0.752850992532893</v>
      </c>
      <c r="H3089">
        <v>0.63938905074443497</v>
      </c>
      <c r="I3089">
        <v>0.719249179757393</v>
      </c>
      <c r="J3089">
        <v>0.68906594959740497</v>
      </c>
      <c r="K3089">
        <v>0.53379986065234797</v>
      </c>
      <c r="L3089">
        <v>964.42130174239003</v>
      </c>
      <c r="M3089">
        <v>17.4848665624903</v>
      </c>
      <c r="O3089">
        <v>54.451167236806903</v>
      </c>
      <c r="P3089">
        <v>-3.0961222584317501E-2</v>
      </c>
      <c r="Q3089">
        <v>0.61434502424052095</v>
      </c>
      <c r="R3089">
        <v>0.92931797911843494</v>
      </c>
      <c r="S3089" t="s">
        <v>9541</v>
      </c>
      <c r="T3089" t="s">
        <v>12902</v>
      </c>
      <c r="U3089" t="s">
        <v>12902</v>
      </c>
      <c r="V3089" t="s">
        <v>12902</v>
      </c>
      <c r="W3089" t="s">
        <v>15950</v>
      </c>
      <c r="X3089">
        <v>29</v>
      </c>
      <c r="Y3089" t="s">
        <v>22282</v>
      </c>
      <c r="Z3089" t="s">
        <v>28664</v>
      </c>
      <c r="AA3089">
        <v>0.81535272110996337</v>
      </c>
      <c r="AB3089" t="str">
        <f>HYPERLINK("Melting_Curves/meltCurve_Q03154_ACY1.pdf", "Melting_Curves/meltCurve_Q03154_ACY1.pdf")</f>
        <v>Melting_Curves/meltCurve_Q03154_ACY1.pdf</v>
      </c>
    </row>
    <row r="3090" spans="1:28" x14ac:dyDescent="0.25">
      <c r="A3090" t="s">
        <v>3094</v>
      </c>
      <c r="B3090">
        <v>0.99673306730245903</v>
      </c>
      <c r="C3090">
        <v>0.88718517483466997</v>
      </c>
      <c r="D3090">
        <v>0.76150465940631396</v>
      </c>
      <c r="E3090">
        <v>0.732725635658526</v>
      </c>
      <c r="F3090">
        <v>0.59213445737174197</v>
      </c>
      <c r="G3090">
        <v>0.38244530662191201</v>
      </c>
      <c r="H3090">
        <v>0.25152591293350302</v>
      </c>
      <c r="I3090">
        <v>0.33047835197358799</v>
      </c>
      <c r="J3090">
        <v>0.48023611096445301</v>
      </c>
      <c r="K3090">
        <v>0.72921796863281896</v>
      </c>
      <c r="L3090">
        <v>763.88982077072001</v>
      </c>
      <c r="M3090">
        <v>15.922000643723001</v>
      </c>
      <c r="N3090">
        <v>55.164780004990902</v>
      </c>
      <c r="O3090">
        <v>47.239318861485202</v>
      </c>
      <c r="P3090">
        <v>-4.7427056462068302E-2</v>
      </c>
      <c r="Q3090">
        <v>0.43719566195360798</v>
      </c>
      <c r="R3090">
        <v>0.70263214031226096</v>
      </c>
      <c r="S3090" t="s">
        <v>9542</v>
      </c>
      <c r="T3090" t="s">
        <v>12902</v>
      </c>
      <c r="U3090" t="s">
        <v>12902</v>
      </c>
      <c r="V3090" t="s">
        <v>12902</v>
      </c>
      <c r="W3090" t="s">
        <v>15951</v>
      </c>
      <c r="X3090">
        <v>2</v>
      </c>
      <c r="Y3090" t="s">
        <v>22283</v>
      </c>
      <c r="Z3090" t="s">
        <v>28665</v>
      </c>
      <c r="AA3090">
        <v>0.59971086206534741</v>
      </c>
      <c r="AB3090" t="str">
        <f>HYPERLINK("Melting_Curves/meltCurve_Q03164_2_MLL.pdf", "Melting_Curves/meltCurve_Q03164_2_MLL.pdf")</f>
        <v>Melting_Curves/meltCurve_Q03164_2_MLL.pdf</v>
      </c>
    </row>
    <row r="3091" spans="1:28" x14ac:dyDescent="0.25">
      <c r="A3091" t="s">
        <v>3095</v>
      </c>
      <c r="B3091">
        <v>0.99673306730245903</v>
      </c>
      <c r="C3091">
        <v>1.1339289137693001</v>
      </c>
      <c r="D3091">
        <v>0.954378443654467</v>
      </c>
      <c r="E3091">
        <v>0.91861371442752404</v>
      </c>
      <c r="F3091">
        <v>0.69412031736296798</v>
      </c>
      <c r="G3091">
        <v>0.41257496367837798</v>
      </c>
      <c r="H3091">
        <v>0.272586949260825</v>
      </c>
      <c r="I3091">
        <v>0.22343031550943601</v>
      </c>
      <c r="J3091">
        <v>0.242508853433789</v>
      </c>
      <c r="K3091">
        <v>0.29631740760360897</v>
      </c>
      <c r="L3091">
        <v>1394.7516296645899</v>
      </c>
      <c r="M3091">
        <v>25.861754323637999</v>
      </c>
      <c r="N3091">
        <v>55.380519310353201</v>
      </c>
      <c r="O3091">
        <v>53.611696177900797</v>
      </c>
      <c r="P3091">
        <v>-9.0943807417522907E-2</v>
      </c>
      <c r="Q3091">
        <v>0.24589894767836601</v>
      </c>
      <c r="R3091">
        <v>0.98007304406127504</v>
      </c>
      <c r="S3091" t="s">
        <v>9543</v>
      </c>
      <c r="T3091" t="s">
        <v>12902</v>
      </c>
      <c r="U3091" t="s">
        <v>12902</v>
      </c>
      <c r="V3091" t="s">
        <v>12902</v>
      </c>
      <c r="W3091" t="s">
        <v>15952</v>
      </c>
      <c r="X3091">
        <v>2</v>
      </c>
      <c r="Y3091" t="s">
        <v>22284</v>
      </c>
      <c r="Z3091" t="s">
        <v>28666</v>
      </c>
      <c r="AA3091">
        <v>0.60263527666029049</v>
      </c>
      <c r="AB3091" t="str">
        <f>HYPERLINK("Melting_Curves/meltCurve_Q03167_2_TGFBR3.pdf", "Melting_Curves/meltCurve_Q03167_2_TGFBR3.pdf")</f>
        <v>Melting_Curves/meltCurve_Q03167_2_TGFBR3.pdf</v>
      </c>
    </row>
    <row r="3092" spans="1:28" x14ac:dyDescent="0.25">
      <c r="A3092" t="s">
        <v>3096</v>
      </c>
      <c r="B3092">
        <v>0.99673306730245903</v>
      </c>
      <c r="C3092">
        <v>0.89607808408134804</v>
      </c>
      <c r="D3092">
        <v>0.46765974516132502</v>
      </c>
      <c r="E3092">
        <v>0.21727978708117299</v>
      </c>
      <c r="F3092">
        <v>0.156471061854666</v>
      </c>
      <c r="G3092">
        <v>0.101009913073838</v>
      </c>
      <c r="H3092">
        <v>6.9546813786601699E-2</v>
      </c>
      <c r="I3092">
        <v>6.8575705991972796E-2</v>
      </c>
      <c r="J3092">
        <v>7.1974936555016897E-2</v>
      </c>
      <c r="K3092">
        <v>6.51292488812652E-2</v>
      </c>
      <c r="L3092">
        <v>1212.8161746860301</v>
      </c>
      <c r="M3092">
        <v>26.540758084515598</v>
      </c>
      <c r="N3092">
        <v>46.024108444590901</v>
      </c>
      <c r="O3092">
        <v>45.439308919046603</v>
      </c>
      <c r="P3092">
        <v>-0.133450969503248</v>
      </c>
      <c r="Q3092">
        <v>8.6106677333263298E-2</v>
      </c>
      <c r="R3092">
        <v>0.99353416807240003</v>
      </c>
      <c r="S3092" t="s">
        <v>9544</v>
      </c>
      <c r="T3092" t="s">
        <v>12902</v>
      </c>
      <c r="U3092" t="s">
        <v>12902</v>
      </c>
      <c r="V3092" t="s">
        <v>12902</v>
      </c>
      <c r="W3092" t="s">
        <v>15953</v>
      </c>
      <c r="X3092">
        <v>18</v>
      </c>
      <c r="Y3092" t="s">
        <v>22285</v>
      </c>
      <c r="Z3092" t="s">
        <v>28667</v>
      </c>
      <c r="AA3092">
        <v>0.26710913236744382</v>
      </c>
      <c r="AB3092" t="str">
        <f>HYPERLINK("Melting_Curves/meltCurve_Q03169_TNFAIP2.pdf", "Melting_Curves/meltCurve_Q03169_TNFAIP2.pdf")</f>
        <v>Melting_Curves/meltCurve_Q03169_TNFAIP2.pdf</v>
      </c>
    </row>
    <row r="3093" spans="1:28" x14ac:dyDescent="0.25">
      <c r="A3093" t="s">
        <v>3097</v>
      </c>
      <c r="B3093">
        <v>0.99673306730245903</v>
      </c>
      <c r="C3093">
        <v>1.01612600338512</v>
      </c>
      <c r="D3093">
        <v>0.997628039117742</v>
      </c>
      <c r="E3093">
        <v>0.93852206975753305</v>
      </c>
      <c r="F3093">
        <v>0.73960561130074598</v>
      </c>
      <c r="G3093">
        <v>0.62547197200031002</v>
      </c>
      <c r="H3093">
        <v>0.34590489891212001</v>
      </c>
      <c r="I3093">
        <v>0.28211505467672299</v>
      </c>
      <c r="J3093">
        <v>0.28072874842168499</v>
      </c>
      <c r="K3093">
        <v>0.176488286539737</v>
      </c>
      <c r="L3093">
        <v>893.43000186650295</v>
      </c>
      <c r="M3093">
        <v>15.746741589489501</v>
      </c>
      <c r="N3093">
        <v>58.228289974058903</v>
      </c>
      <c r="O3093">
        <v>55.846056833570202</v>
      </c>
      <c r="P3093">
        <v>-5.8802041995732697E-2</v>
      </c>
      <c r="Q3093">
        <v>0.1659003679887</v>
      </c>
      <c r="R3093">
        <v>0.99095105433377695</v>
      </c>
      <c r="S3093" t="s">
        <v>9545</v>
      </c>
      <c r="T3093" t="s">
        <v>12902</v>
      </c>
      <c r="U3093" t="s">
        <v>12902</v>
      </c>
      <c r="V3093" t="s">
        <v>12902</v>
      </c>
      <c r="W3093" t="s">
        <v>15954</v>
      </c>
      <c r="X3093">
        <v>3</v>
      </c>
      <c r="Y3093" t="s">
        <v>22286</v>
      </c>
      <c r="Z3093" t="s">
        <v>28668</v>
      </c>
      <c r="AA3093">
        <v>0.64444769272903957</v>
      </c>
      <c r="AB3093" t="str">
        <f>HYPERLINK("Melting_Curves/meltCurve_Q03393_PTS.pdf", "Melting_Curves/meltCurve_Q03393_PTS.pdf")</f>
        <v>Melting_Curves/meltCurve_Q03393_PTS.pdf</v>
      </c>
    </row>
    <row r="3094" spans="1:28" x14ac:dyDescent="0.25">
      <c r="A3094" t="s">
        <v>3098</v>
      </c>
      <c r="B3094">
        <v>0.99673306730245903</v>
      </c>
      <c r="C3094">
        <v>0.87727205885786297</v>
      </c>
      <c r="D3094">
        <v>0.75107538024671805</v>
      </c>
      <c r="E3094">
        <v>0.36500421214684198</v>
      </c>
      <c r="F3094">
        <v>0.17840635318544901</v>
      </c>
      <c r="G3094">
        <v>0.12030567930259101</v>
      </c>
      <c r="H3094">
        <v>7.7278832388031099E-2</v>
      </c>
      <c r="I3094">
        <v>7.3889312699076795E-2</v>
      </c>
      <c r="J3094">
        <v>0.104117150681068</v>
      </c>
      <c r="K3094">
        <v>9.4483919150643705E-2</v>
      </c>
      <c r="L3094">
        <v>1003.4150322271699</v>
      </c>
      <c r="M3094">
        <v>20.9821208185617</v>
      </c>
      <c r="N3094">
        <v>48.2392275725933</v>
      </c>
      <c r="O3094">
        <v>47.3943480786169</v>
      </c>
      <c r="P3094">
        <v>-0.101504718484034</v>
      </c>
      <c r="Q3094">
        <v>8.2910551191879706E-2</v>
      </c>
      <c r="R3094">
        <v>0.99647459406121497</v>
      </c>
      <c r="S3094" t="s">
        <v>9546</v>
      </c>
      <c r="T3094" t="s">
        <v>12902</v>
      </c>
      <c r="U3094" t="s">
        <v>12902</v>
      </c>
      <c r="V3094" t="s">
        <v>12902</v>
      </c>
      <c r="W3094" t="s">
        <v>15955</v>
      </c>
      <c r="X3094">
        <v>5</v>
      </c>
      <c r="Y3094" t="s">
        <v>22287</v>
      </c>
      <c r="Z3094" t="s">
        <v>28669</v>
      </c>
      <c r="AA3094">
        <v>0.3338463864827162</v>
      </c>
      <c r="AB3094" t="str">
        <f>HYPERLINK("Melting_Curves/meltCurve_Q03519_TAP2.pdf", "Melting_Curves/meltCurve_Q03519_TAP2.pdf")</f>
        <v>Melting_Curves/meltCurve_Q03519_TAP2.pdf</v>
      </c>
    </row>
    <row r="3095" spans="1:28" x14ac:dyDescent="0.25">
      <c r="A3095" t="s">
        <v>3099</v>
      </c>
      <c r="B3095">
        <v>0.99673306730245903</v>
      </c>
      <c r="C3095">
        <v>0.91503511280635397</v>
      </c>
      <c r="D3095">
        <v>0.82056710469322802</v>
      </c>
      <c r="E3095">
        <v>0.40320599020625603</v>
      </c>
      <c r="F3095">
        <v>0.25193491599565998</v>
      </c>
      <c r="G3095">
        <v>0.18410712637570101</v>
      </c>
      <c r="H3095">
        <v>0.138227672075623</v>
      </c>
      <c r="I3095">
        <v>7.1630406368633395E-2</v>
      </c>
      <c r="J3095">
        <v>7.5237627744928107E-2</v>
      </c>
      <c r="K3095">
        <v>8.2547247082891698E-2</v>
      </c>
      <c r="L3095">
        <v>966.02091527687003</v>
      </c>
      <c r="M3095">
        <v>19.8925757572908</v>
      </c>
      <c r="N3095">
        <v>49.075620278999303</v>
      </c>
      <c r="O3095">
        <v>48.0791125841534</v>
      </c>
      <c r="P3095">
        <v>-9.3717311793372296E-2</v>
      </c>
      <c r="Q3095">
        <v>9.3994502060421106E-2</v>
      </c>
      <c r="R3095">
        <v>0.99205084288179601</v>
      </c>
      <c r="S3095" t="s">
        <v>9547</v>
      </c>
      <c r="T3095" t="s">
        <v>12902</v>
      </c>
      <c r="U3095" t="s">
        <v>12902</v>
      </c>
      <c r="V3095" t="s">
        <v>12902</v>
      </c>
      <c r="W3095" t="s">
        <v>15956</v>
      </c>
      <c r="X3095">
        <v>3</v>
      </c>
      <c r="Y3095" t="s">
        <v>22288</v>
      </c>
      <c r="Z3095" t="s">
        <v>28670</v>
      </c>
      <c r="AA3095">
        <v>0.3654619427087899</v>
      </c>
      <c r="AB3095" t="str">
        <f>HYPERLINK("Melting_Curves/meltCurve_Q03701_CEBPZ.pdf", "Melting_Curves/meltCurve_Q03701_CEBPZ.pdf")</f>
        <v>Melting_Curves/meltCurve_Q03701_CEBPZ.pdf</v>
      </c>
    </row>
    <row r="3096" spans="1:28" x14ac:dyDescent="0.25">
      <c r="A3096" t="s">
        <v>3100</v>
      </c>
      <c r="B3096">
        <v>0.99673306730245903</v>
      </c>
      <c r="C3096">
        <v>0.99130040326146696</v>
      </c>
      <c r="D3096">
        <v>0.47085936903181802</v>
      </c>
      <c r="E3096">
        <v>0.22710585901703101</v>
      </c>
      <c r="F3096">
        <v>0.13708676126507</v>
      </c>
      <c r="G3096">
        <v>8.5093700979435097E-2</v>
      </c>
      <c r="H3096">
        <v>5.6962747934357003E-2</v>
      </c>
      <c r="I3096">
        <v>4.7351969456753802E-2</v>
      </c>
      <c r="J3096">
        <v>5.12972624611314E-2</v>
      </c>
      <c r="K3096">
        <v>4.6282574492344297E-2</v>
      </c>
      <c r="L3096">
        <v>1486.7481120274199</v>
      </c>
      <c r="M3096">
        <v>32.389434076269197</v>
      </c>
      <c r="N3096">
        <v>46.139207519452903</v>
      </c>
      <c r="O3096">
        <v>45.728344362420003</v>
      </c>
      <c r="P3096">
        <v>-0.163508554476054</v>
      </c>
      <c r="Q3096">
        <v>7.6619988558529306E-2</v>
      </c>
      <c r="R3096">
        <v>0.98506464667612104</v>
      </c>
      <c r="S3096" t="s">
        <v>9548</v>
      </c>
      <c r="T3096" t="s">
        <v>12902</v>
      </c>
      <c r="U3096" t="s">
        <v>12902</v>
      </c>
      <c r="V3096" t="s">
        <v>12902</v>
      </c>
      <c r="W3096" t="s">
        <v>15957</v>
      </c>
      <c r="X3096">
        <v>23</v>
      </c>
      <c r="Y3096" t="s">
        <v>22289</v>
      </c>
      <c r="Z3096" t="s">
        <v>28671</v>
      </c>
      <c r="AA3096">
        <v>0.26304001110785191</v>
      </c>
      <c r="AB3096" t="str">
        <f>HYPERLINK("Melting_Curves/meltCurve_Q04446_GBE1.pdf", "Melting_Curves/meltCurve_Q04446_GBE1.pdf")</f>
        <v>Melting_Curves/meltCurve_Q04446_GBE1.pdf</v>
      </c>
    </row>
    <row r="3097" spans="1:28" x14ac:dyDescent="0.25">
      <c r="A3097" t="s">
        <v>3101</v>
      </c>
      <c r="B3097">
        <v>0.99673306730245903</v>
      </c>
      <c r="C3097">
        <v>0.90007498221158899</v>
      </c>
      <c r="D3097">
        <v>0.481913519711125</v>
      </c>
      <c r="E3097">
        <v>0.233653962538483</v>
      </c>
      <c r="F3097">
        <v>0.146932769723993</v>
      </c>
      <c r="G3097">
        <v>9.4127463513210802E-2</v>
      </c>
      <c r="H3097">
        <v>6.4869253906290794E-2</v>
      </c>
      <c r="I3097">
        <v>6.6532667922796801E-2</v>
      </c>
      <c r="J3097">
        <v>8.12542700576349E-2</v>
      </c>
      <c r="K3097">
        <v>7.1901754792433201E-2</v>
      </c>
      <c r="L3097">
        <v>1166.87226688544</v>
      </c>
      <c r="M3097">
        <v>25.457630986119199</v>
      </c>
      <c r="N3097">
        <v>46.169218875951401</v>
      </c>
      <c r="O3097">
        <v>45.555812050655099</v>
      </c>
      <c r="P3097">
        <v>-0.127978162136342</v>
      </c>
      <c r="Q3097">
        <v>8.3955800234548905E-2</v>
      </c>
      <c r="R3097">
        <v>0.99425232877546499</v>
      </c>
      <c r="S3097" t="s">
        <v>9549</v>
      </c>
      <c r="T3097" t="s">
        <v>12902</v>
      </c>
      <c r="U3097" t="s">
        <v>12902</v>
      </c>
      <c r="V3097" t="s">
        <v>12902</v>
      </c>
      <c r="W3097" t="s">
        <v>15958</v>
      </c>
      <c r="X3097">
        <v>60</v>
      </c>
      <c r="Y3097" t="s">
        <v>22290</v>
      </c>
      <c r="Z3097" t="s">
        <v>28672</v>
      </c>
      <c r="AA3097">
        <v>0.27033930140236168</v>
      </c>
      <c r="AB3097" t="str">
        <f>HYPERLINK("Melting_Curves/meltCurve_Q04637_5_EIF4G1.pdf", "Melting_Curves/meltCurve_Q04637_5_EIF4G1.pdf")</f>
        <v>Melting_Curves/meltCurve_Q04637_5_EIF4G1.pdf</v>
      </c>
    </row>
    <row r="3098" spans="1:28" x14ac:dyDescent="0.25">
      <c r="A3098" t="s">
        <v>3102</v>
      </c>
      <c r="B3098">
        <v>0.99673306730245903</v>
      </c>
      <c r="C3098">
        <v>1.04710856298985</v>
      </c>
      <c r="D3098">
        <v>0.88664136519569903</v>
      </c>
      <c r="E3098">
        <v>0.76977830349893095</v>
      </c>
      <c r="F3098">
        <v>0.34505149904063698</v>
      </c>
      <c r="G3098">
        <v>0.249877196319929</v>
      </c>
      <c r="H3098">
        <v>0.16852510037694801</v>
      </c>
      <c r="I3098">
        <v>0.111991158993326</v>
      </c>
      <c r="J3098">
        <v>8.8152378708979198E-2</v>
      </c>
      <c r="K3098">
        <v>8.5487566232625406E-2</v>
      </c>
      <c r="L3098">
        <v>1109.2642907479999</v>
      </c>
      <c r="M3098">
        <v>21.549035226307801</v>
      </c>
      <c r="N3098">
        <v>52.031077805942097</v>
      </c>
      <c r="O3098">
        <v>51.039135591087103</v>
      </c>
      <c r="P3098">
        <v>-9.4719784479247102E-2</v>
      </c>
      <c r="Q3098">
        <v>0.1026422524724</v>
      </c>
      <c r="R3098">
        <v>0.98978129810082804</v>
      </c>
      <c r="S3098" t="s">
        <v>9550</v>
      </c>
      <c r="T3098" t="s">
        <v>12902</v>
      </c>
      <c r="U3098" t="s">
        <v>12902</v>
      </c>
      <c r="V3098" t="s">
        <v>12902</v>
      </c>
      <c r="W3098" t="s">
        <v>15959</v>
      </c>
      <c r="X3098">
        <v>7</v>
      </c>
      <c r="Y3098" t="s">
        <v>22291</v>
      </c>
      <c r="Z3098" t="s">
        <v>28673</v>
      </c>
      <c r="AA3098">
        <v>0.45675122876084739</v>
      </c>
      <c r="AB3098" t="str">
        <f>HYPERLINK("Melting_Curves/meltCurve_Q04656_5_ATP7A.pdf", "Melting_Curves/meltCurve_Q04656_5_ATP7A.pdf")</f>
        <v>Melting_Curves/meltCurve_Q04656_5_ATP7A.pdf</v>
      </c>
    </row>
    <row r="3099" spans="1:28" x14ac:dyDescent="0.25">
      <c r="A3099" t="s">
        <v>3103</v>
      </c>
      <c r="B3099">
        <v>0.99673306730245903</v>
      </c>
      <c r="C3099">
        <v>0.88965475848389797</v>
      </c>
      <c r="D3099">
        <v>0.78692622947197499</v>
      </c>
      <c r="E3099">
        <v>0.61830359744406505</v>
      </c>
      <c r="F3099">
        <v>0.39803716730613198</v>
      </c>
      <c r="G3099">
        <v>0.31110626103146699</v>
      </c>
      <c r="H3099">
        <v>0.246856212016101</v>
      </c>
      <c r="I3099">
        <v>0.27469375827755799</v>
      </c>
      <c r="J3099">
        <v>0.31253941263951102</v>
      </c>
      <c r="K3099">
        <v>0.29103174405030902</v>
      </c>
      <c r="L3099">
        <v>790.23808580805598</v>
      </c>
      <c r="M3099">
        <v>16.225113425355801</v>
      </c>
      <c r="N3099">
        <v>51.071188031293097</v>
      </c>
      <c r="O3099">
        <v>47.982797712266098</v>
      </c>
      <c r="P3099">
        <v>-6.2201857145546102E-2</v>
      </c>
      <c r="Q3099">
        <v>0.26425227989664302</v>
      </c>
      <c r="R3099">
        <v>0.98903176461978504</v>
      </c>
      <c r="S3099" t="s">
        <v>9551</v>
      </c>
      <c r="T3099" t="s">
        <v>12902</v>
      </c>
      <c r="U3099" t="s">
        <v>12902</v>
      </c>
      <c r="V3099" t="s">
        <v>12902</v>
      </c>
      <c r="W3099" t="s">
        <v>15960</v>
      </c>
      <c r="X3099">
        <v>10</v>
      </c>
      <c r="Y3099" t="s">
        <v>22292</v>
      </c>
      <c r="Z3099" t="s">
        <v>28674</v>
      </c>
      <c r="AA3099">
        <v>0.49350398833315429</v>
      </c>
      <c r="AB3099" t="str">
        <f>HYPERLINK("Melting_Curves/meltCurve_Q04721_NOTCH2.pdf", "Melting_Curves/meltCurve_Q04721_NOTCH2.pdf")</f>
        <v>Melting_Curves/meltCurve_Q04721_NOTCH2.pdf</v>
      </c>
    </row>
    <row r="3100" spans="1:28" x14ac:dyDescent="0.25">
      <c r="A3100" t="s">
        <v>3104</v>
      </c>
      <c r="B3100">
        <v>0.99673306730245903</v>
      </c>
      <c r="C3100">
        <v>0.95385869081569397</v>
      </c>
      <c r="D3100">
        <v>0.92601907899166902</v>
      </c>
      <c r="E3100">
        <v>0.84853490141370302</v>
      </c>
      <c r="F3100">
        <v>0.56155721966882599</v>
      </c>
      <c r="G3100">
        <v>0.35253308948362999</v>
      </c>
      <c r="H3100">
        <v>0.177487167445008</v>
      </c>
      <c r="I3100">
        <v>0.19172423238973299</v>
      </c>
      <c r="J3100">
        <v>0.25833845232936198</v>
      </c>
      <c r="K3100">
        <v>0.26240297482490299</v>
      </c>
      <c r="L3100">
        <v>1204.32087967076</v>
      </c>
      <c r="M3100">
        <v>22.9024572300908</v>
      </c>
      <c r="N3100">
        <v>53.898524085894699</v>
      </c>
      <c r="O3100">
        <v>52.188801470159397</v>
      </c>
      <c r="P3100">
        <v>-8.6245543062292707E-2</v>
      </c>
      <c r="Q3100">
        <v>0.21388944291661799</v>
      </c>
      <c r="R3100">
        <v>0.98686556861901997</v>
      </c>
      <c r="S3100" t="s">
        <v>9552</v>
      </c>
      <c r="T3100" t="s">
        <v>12902</v>
      </c>
      <c r="U3100" t="s">
        <v>12902</v>
      </c>
      <c r="V3100" t="s">
        <v>12902</v>
      </c>
      <c r="W3100" t="s">
        <v>15961</v>
      </c>
      <c r="X3100">
        <v>14</v>
      </c>
      <c r="Y3100" t="s">
        <v>22293</v>
      </c>
      <c r="Z3100" t="s">
        <v>28675</v>
      </c>
      <c r="AA3100">
        <v>0.55215890213791574</v>
      </c>
      <c r="AB3100" t="str">
        <f>HYPERLINK("Melting_Curves/meltCurve_Q04724_TLE1.pdf", "Melting_Curves/meltCurve_Q04724_TLE1.pdf")</f>
        <v>Melting_Curves/meltCurve_Q04724_TLE1.pdf</v>
      </c>
    </row>
    <row r="3101" spans="1:28" x14ac:dyDescent="0.25">
      <c r="A3101" t="s">
        <v>3105</v>
      </c>
      <c r="B3101">
        <v>0.99673306730245903</v>
      </c>
      <c r="C3101">
        <v>0.981714093693693</v>
      </c>
      <c r="D3101">
        <v>0.99184931394148801</v>
      </c>
      <c r="E3101">
        <v>1.0023874322925299</v>
      </c>
      <c r="F3101">
        <v>0.71644360634161397</v>
      </c>
      <c r="G3101">
        <v>0.40218568833199803</v>
      </c>
      <c r="H3101">
        <v>0.12722258027952299</v>
      </c>
      <c r="I3101">
        <v>9.8503132404524796E-2</v>
      </c>
      <c r="J3101">
        <v>5.9231616807964703E-2</v>
      </c>
      <c r="K3101">
        <v>5.3233732079037699E-2</v>
      </c>
      <c r="L3101">
        <v>1380.02992501575</v>
      </c>
      <c r="M3101">
        <v>24.923499498245601</v>
      </c>
      <c r="N3101">
        <v>55.612655201266598</v>
      </c>
      <c r="O3101">
        <v>55.017861665427098</v>
      </c>
      <c r="P3101">
        <v>-0.107432385844379</v>
      </c>
      <c r="Q3101">
        <v>5.13981141775645E-2</v>
      </c>
      <c r="R3101">
        <v>0.99708276670338603</v>
      </c>
      <c r="S3101" t="s">
        <v>9553</v>
      </c>
      <c r="T3101" t="s">
        <v>12902</v>
      </c>
      <c r="U3101" t="s">
        <v>12902</v>
      </c>
      <c r="V3101" t="s">
        <v>12902</v>
      </c>
      <c r="W3101" t="s">
        <v>15962</v>
      </c>
      <c r="X3101">
        <v>18</v>
      </c>
      <c r="Y3101" t="s">
        <v>20164</v>
      </c>
      <c r="Z3101" t="s">
        <v>28676</v>
      </c>
      <c r="AA3101">
        <v>0.54622466522938806</v>
      </c>
      <c r="AB3101" t="str">
        <f>HYPERLINK("Melting_Curves/meltCurve_Q04726_5_TLE3.pdf", "Melting_Curves/meltCurve_Q04726_5_TLE3.pdf")</f>
        <v>Melting_Curves/meltCurve_Q04726_5_TLE3.pdf</v>
      </c>
    </row>
    <row r="3102" spans="1:28" x14ac:dyDescent="0.25">
      <c r="A3102" t="s">
        <v>3106</v>
      </c>
      <c r="B3102">
        <v>0.99673306730245903</v>
      </c>
      <c r="C3102">
        <v>0.98826017677418598</v>
      </c>
      <c r="D3102">
        <v>0.85154457232954095</v>
      </c>
      <c r="E3102">
        <v>0.60330872539333802</v>
      </c>
      <c r="F3102">
        <v>0.28093418563038702</v>
      </c>
      <c r="G3102">
        <v>0.20224020438509899</v>
      </c>
      <c r="H3102">
        <v>0.12013809734084401</v>
      </c>
      <c r="I3102">
        <v>0.12663889633210601</v>
      </c>
      <c r="J3102">
        <v>0.149547638896186</v>
      </c>
      <c r="K3102">
        <v>0.122587730205599</v>
      </c>
      <c r="L3102">
        <v>1070.8206631994999</v>
      </c>
      <c r="M3102">
        <v>21.492768850426302</v>
      </c>
      <c r="N3102">
        <v>50.493461836450798</v>
      </c>
      <c r="O3102">
        <v>49.397074281336202</v>
      </c>
      <c r="P3102">
        <v>-9.5263935059347105E-2</v>
      </c>
      <c r="Q3102">
        <v>0.124236715360827</v>
      </c>
      <c r="R3102">
        <v>0.997660105321032</v>
      </c>
      <c r="S3102" t="s">
        <v>9554</v>
      </c>
      <c r="T3102" t="s">
        <v>12902</v>
      </c>
      <c r="U3102" t="s">
        <v>12902</v>
      </c>
      <c r="V3102" t="s">
        <v>12902</v>
      </c>
      <c r="W3102" t="s">
        <v>15963</v>
      </c>
      <c r="X3102">
        <v>7</v>
      </c>
      <c r="Y3102" t="s">
        <v>22294</v>
      </c>
      <c r="Z3102" t="s">
        <v>28677</v>
      </c>
      <c r="AA3102">
        <v>0.42155417107213627</v>
      </c>
      <c r="AB3102" t="str">
        <f>HYPERLINK("Melting_Curves/meltCurve_Q04759_PRKCQ.pdf", "Melting_Curves/meltCurve_Q04759_PRKCQ.pdf")</f>
        <v>Melting_Curves/meltCurve_Q04759_PRKCQ.pdf</v>
      </c>
    </row>
    <row r="3103" spans="1:28" x14ac:dyDescent="0.25">
      <c r="A3103" t="s">
        <v>3107</v>
      </c>
      <c r="B3103">
        <v>0.99673306730245903</v>
      </c>
      <c r="C3103">
        <v>1.01257742042336</v>
      </c>
      <c r="D3103">
        <v>0.94289944095131495</v>
      </c>
      <c r="E3103">
        <v>0.96714793837156499</v>
      </c>
      <c r="F3103">
        <v>0.82807002296768994</v>
      </c>
      <c r="G3103">
        <v>0.811120829905977</v>
      </c>
      <c r="H3103">
        <v>0.55903941918507205</v>
      </c>
      <c r="I3103">
        <v>0.31819265622042497</v>
      </c>
      <c r="J3103">
        <v>0.15406369577103601</v>
      </c>
      <c r="K3103">
        <v>0.101352172642994</v>
      </c>
      <c r="L3103">
        <v>1004.04086844777</v>
      </c>
      <c r="M3103">
        <v>16.422791244647598</v>
      </c>
      <c r="N3103">
        <v>61.137041523994498</v>
      </c>
      <c r="O3103">
        <v>60.252122565110099</v>
      </c>
      <c r="P3103">
        <v>-6.8146788305102596E-2</v>
      </c>
      <c r="Q3103">
        <v>0</v>
      </c>
      <c r="R3103">
        <v>0.98670861247637498</v>
      </c>
      <c r="S3103" t="s">
        <v>9555</v>
      </c>
      <c r="T3103" t="s">
        <v>12902</v>
      </c>
      <c r="U3103" t="s">
        <v>12902</v>
      </c>
      <c r="V3103" t="s">
        <v>12902</v>
      </c>
      <c r="W3103" t="s">
        <v>15964</v>
      </c>
      <c r="X3103">
        <v>15</v>
      </c>
      <c r="Y3103" t="s">
        <v>22295</v>
      </c>
      <c r="Z3103" t="s">
        <v>28678</v>
      </c>
      <c r="AA3103">
        <v>0.70813157905586899</v>
      </c>
      <c r="AB3103" t="str">
        <f>HYPERLINK("Melting_Curves/meltCurve_Q04760_GLO1.pdf", "Melting_Curves/meltCurve_Q04760_GLO1.pdf")</f>
        <v>Melting_Curves/meltCurve_Q04760_GLO1.pdf</v>
      </c>
    </row>
    <row r="3104" spans="1:28" x14ac:dyDescent="0.25">
      <c r="A3104" t="s">
        <v>3108</v>
      </c>
      <c r="B3104">
        <v>0.99673306730245903</v>
      </c>
      <c r="C3104">
        <v>1.0319714667945199</v>
      </c>
      <c r="D3104">
        <v>0.47608736431237902</v>
      </c>
      <c r="E3104">
        <v>0.263360019752995</v>
      </c>
      <c r="F3104">
        <v>0.16418984454136201</v>
      </c>
      <c r="G3104">
        <v>0.110949130318779</v>
      </c>
      <c r="H3104">
        <v>6.9369135637553106E-2</v>
      </c>
      <c r="I3104">
        <v>5.9800222778678601E-2</v>
      </c>
      <c r="J3104">
        <v>5.5616806894792703E-2</v>
      </c>
      <c r="K3104">
        <v>4.2963577778410499E-2</v>
      </c>
      <c r="L3104">
        <v>1521.0086395666401</v>
      </c>
      <c r="M3104">
        <v>33.083274768438201</v>
      </c>
      <c r="N3104">
        <v>46.2611091494161</v>
      </c>
      <c r="O3104">
        <v>45.808148661525799</v>
      </c>
      <c r="P3104">
        <v>-0.16385802273922101</v>
      </c>
      <c r="Q3104">
        <v>9.2472016047783295E-2</v>
      </c>
      <c r="R3104">
        <v>0.97366352369685905</v>
      </c>
      <c r="S3104" t="s">
        <v>9556</v>
      </c>
      <c r="T3104" t="s">
        <v>12902</v>
      </c>
      <c r="U3104" t="s">
        <v>12902</v>
      </c>
      <c r="V3104" t="s">
        <v>12902</v>
      </c>
      <c r="W3104" t="s">
        <v>15965</v>
      </c>
      <c r="X3104">
        <v>22</v>
      </c>
      <c r="Y3104" t="s">
        <v>22296</v>
      </c>
      <c r="Z3104" t="s">
        <v>28679</v>
      </c>
      <c r="AA3104">
        <v>0.27767489043883747</v>
      </c>
      <c r="AB3104" t="str">
        <f>HYPERLINK("Melting_Curves/meltCurve_Q04828_AKR1C1.pdf", "Melting_Curves/meltCurve_Q04828_AKR1C1.pdf")</f>
        <v>Melting_Curves/meltCurve_Q04828_AKR1C1.pdf</v>
      </c>
    </row>
    <row r="3105" spans="1:28" x14ac:dyDescent="0.25">
      <c r="A3105" t="s">
        <v>3109</v>
      </c>
      <c r="B3105">
        <v>0.99673306730245903</v>
      </c>
      <c r="C3105">
        <v>0.97071032328391305</v>
      </c>
      <c r="D3105">
        <v>0.95398997495016102</v>
      </c>
      <c r="E3105">
        <v>0.88755666596045502</v>
      </c>
      <c r="F3105">
        <v>0.74193532675905205</v>
      </c>
      <c r="G3105">
        <v>0.73498829017061096</v>
      </c>
      <c r="H3105">
        <v>0.62452002108689297</v>
      </c>
      <c r="I3105">
        <v>0.86337767694248002</v>
      </c>
      <c r="J3105">
        <v>1.11737931477548</v>
      </c>
      <c r="K3105">
        <v>0.93706466419092005</v>
      </c>
      <c r="L3105">
        <v>1748.0631945221201</v>
      </c>
      <c r="M3105">
        <v>36.984776090396601</v>
      </c>
      <c r="O3105">
        <v>47.126855605208398</v>
      </c>
      <c r="P3105">
        <v>-3.1483066401963002E-2</v>
      </c>
      <c r="Q3105">
        <v>0.839534653952413</v>
      </c>
      <c r="R3105">
        <v>0.190792411611799</v>
      </c>
      <c r="S3105" t="s">
        <v>9557</v>
      </c>
      <c r="T3105" t="s">
        <v>12902</v>
      </c>
      <c r="U3105" t="s">
        <v>12902</v>
      </c>
      <c r="V3105" t="s">
        <v>12902</v>
      </c>
      <c r="W3105" t="s">
        <v>15966</v>
      </c>
      <c r="X3105">
        <v>12</v>
      </c>
      <c r="Y3105" t="s">
        <v>22297</v>
      </c>
      <c r="Z3105" t="s">
        <v>28680</v>
      </c>
      <c r="AA3105">
        <v>0.87901068404560556</v>
      </c>
      <c r="AB3105" t="str">
        <f>HYPERLINK("Melting_Curves/meltCurve_Q04837_SSBP1.pdf", "Melting_Curves/meltCurve_Q04837_SSBP1.pdf")</f>
        <v>Melting_Curves/meltCurve_Q04837_SSBP1.pdf</v>
      </c>
    </row>
    <row r="3106" spans="1:28" x14ac:dyDescent="0.25">
      <c r="A3106" t="s">
        <v>3110</v>
      </c>
      <c r="B3106">
        <v>0.99673306730245903</v>
      </c>
      <c r="C3106">
        <v>0.85534600204623201</v>
      </c>
      <c r="D3106">
        <v>0.95564394465469304</v>
      </c>
      <c r="E3106">
        <v>0.99666415509130601</v>
      </c>
      <c r="F3106">
        <v>0.65344779311532497</v>
      </c>
      <c r="G3106">
        <v>0.34511252461787201</v>
      </c>
      <c r="H3106">
        <v>0.105350860577533</v>
      </c>
      <c r="I3106">
        <v>9.7715943366598904E-2</v>
      </c>
      <c r="J3106">
        <v>9.1992417087497003E-2</v>
      </c>
      <c r="K3106">
        <v>8.5220967952472804E-2</v>
      </c>
      <c r="L3106">
        <v>1456.78413218068</v>
      </c>
      <c r="M3106">
        <v>26.718936346508201</v>
      </c>
      <c r="N3106">
        <v>54.876024049277</v>
      </c>
      <c r="O3106">
        <v>54.219866584769299</v>
      </c>
      <c r="P3106">
        <v>-0.113458069137172</v>
      </c>
      <c r="Q3106">
        <v>7.90624639670022E-2</v>
      </c>
      <c r="R3106">
        <v>0.98138041948767596</v>
      </c>
      <c r="S3106" t="s">
        <v>9558</v>
      </c>
      <c r="T3106" t="s">
        <v>12902</v>
      </c>
      <c r="U3106" t="s">
        <v>12902</v>
      </c>
      <c r="V3106" t="s">
        <v>12902</v>
      </c>
      <c r="W3106" t="s">
        <v>15967</v>
      </c>
      <c r="X3106">
        <v>23</v>
      </c>
      <c r="Y3106" t="s">
        <v>22298</v>
      </c>
      <c r="Z3106" t="s">
        <v>28681</v>
      </c>
      <c r="AA3106">
        <v>0.53243329179089038</v>
      </c>
      <c r="AB3106" t="str">
        <f>HYPERLINK("Melting_Curves/meltCurve_Q04917_YWHAH.pdf", "Melting_Curves/meltCurve_Q04917_YWHAH.pdf")</f>
        <v>Melting_Curves/meltCurve_Q04917_YWHAH.pdf</v>
      </c>
    </row>
    <row r="3107" spans="1:28" x14ac:dyDescent="0.25">
      <c r="A3107" t="s">
        <v>3111</v>
      </c>
      <c r="B3107">
        <v>0.99673306730245903</v>
      </c>
      <c r="C3107">
        <v>0.98408126860122402</v>
      </c>
      <c r="D3107">
        <v>0.88069639616790396</v>
      </c>
      <c r="E3107">
        <v>0.86814648427713303</v>
      </c>
      <c r="F3107">
        <v>0.70354060810138397</v>
      </c>
      <c r="G3107">
        <v>0.528455565571196</v>
      </c>
      <c r="H3107">
        <v>0.42594128779496998</v>
      </c>
      <c r="I3107">
        <v>0.53668782758886302</v>
      </c>
      <c r="J3107">
        <v>0.67169186280011195</v>
      </c>
      <c r="K3107">
        <v>0.781608438012795</v>
      </c>
      <c r="L3107">
        <v>1311.7927454170399</v>
      </c>
      <c r="M3107">
        <v>26.027750123926999</v>
      </c>
      <c r="O3107">
        <v>50.105088291647697</v>
      </c>
      <c r="P3107">
        <v>-5.3197400641353601E-2</v>
      </c>
      <c r="Q3107">
        <v>0.59037110790813196</v>
      </c>
      <c r="R3107">
        <v>0.74246597978818196</v>
      </c>
      <c r="S3107" t="s">
        <v>9559</v>
      </c>
      <c r="T3107" t="s">
        <v>12902</v>
      </c>
      <c r="U3107" t="s">
        <v>12902</v>
      </c>
      <c r="V3107" t="s">
        <v>12902</v>
      </c>
      <c r="W3107" t="s">
        <v>15968</v>
      </c>
      <c r="X3107">
        <v>1</v>
      </c>
      <c r="Y3107" t="s">
        <v>22299</v>
      </c>
      <c r="Z3107" t="s">
        <v>28682</v>
      </c>
      <c r="AA3107">
        <v>0.73576502850016534</v>
      </c>
      <c r="AB3107" t="str">
        <f>HYPERLINK("Melting_Curves/meltCurve_Q04941_PLP2.pdf", "Melting_Curves/meltCurve_Q04941_PLP2.pdf")</f>
        <v>Melting_Curves/meltCurve_Q04941_PLP2.pdf</v>
      </c>
    </row>
    <row r="3108" spans="1:28" x14ac:dyDescent="0.25">
      <c r="A3108" t="s">
        <v>3112</v>
      </c>
      <c r="B3108">
        <v>0.99673306730245903</v>
      </c>
      <c r="C3108">
        <v>0.957406426606629</v>
      </c>
      <c r="D3108">
        <v>0.99936987868483296</v>
      </c>
      <c r="E3108">
        <v>1.04714036994319</v>
      </c>
      <c r="F3108">
        <v>0.67387444516389405</v>
      </c>
      <c r="G3108">
        <v>0.42165667937846102</v>
      </c>
      <c r="H3108">
        <v>0.246047325500244</v>
      </c>
      <c r="I3108">
        <v>0.18907109638938099</v>
      </c>
      <c r="J3108">
        <v>0.139825499076322</v>
      </c>
      <c r="K3108">
        <v>9.7955571673011096E-2</v>
      </c>
      <c r="L3108">
        <v>1301.2020536838099</v>
      </c>
      <c r="M3108">
        <v>23.658888933456701</v>
      </c>
      <c r="N3108">
        <v>55.7344215416989</v>
      </c>
      <c r="O3108">
        <v>54.6100554337783</v>
      </c>
      <c r="P3108">
        <v>-9.3778864464041503E-2</v>
      </c>
      <c r="Q3108">
        <v>0.13416368476533599</v>
      </c>
      <c r="R3108">
        <v>0.98588272510054697</v>
      </c>
      <c r="S3108" t="s">
        <v>9560</v>
      </c>
      <c r="T3108" t="s">
        <v>12902</v>
      </c>
      <c r="U3108" t="s">
        <v>12902</v>
      </c>
      <c r="V3108" t="s">
        <v>12902</v>
      </c>
      <c r="W3108" t="s">
        <v>15969</v>
      </c>
      <c r="X3108">
        <v>14</v>
      </c>
      <c r="Y3108" t="s">
        <v>22300</v>
      </c>
      <c r="Z3108" t="s">
        <v>28683</v>
      </c>
      <c r="AA3108">
        <v>0.57584650120575476</v>
      </c>
      <c r="AB3108" t="str">
        <f>HYPERLINK("Melting_Curves/meltCurve_Q05048_CSTF1.pdf", "Melting_Curves/meltCurve_Q05048_CSTF1.pdf")</f>
        <v>Melting_Curves/meltCurve_Q05048_CSTF1.pdf</v>
      </c>
    </row>
    <row r="3109" spans="1:28" x14ac:dyDescent="0.25">
      <c r="A3109" t="s">
        <v>3113</v>
      </c>
      <c r="B3109">
        <v>0.99673306730245903</v>
      </c>
      <c r="C3109">
        <v>0.92623195631502397</v>
      </c>
      <c r="D3109">
        <v>0.73968258486998895</v>
      </c>
      <c r="E3109">
        <v>0.35652194187548703</v>
      </c>
      <c r="F3109">
        <v>0.170798549709053</v>
      </c>
      <c r="G3109">
        <v>9.7483326568994E-2</v>
      </c>
      <c r="H3109">
        <v>6.7414403014628602E-2</v>
      </c>
      <c r="I3109">
        <v>6.1214200752070097E-2</v>
      </c>
      <c r="J3109">
        <v>5.7775448849126297E-2</v>
      </c>
      <c r="K3109">
        <v>4.2570134545314199E-2</v>
      </c>
      <c r="L3109">
        <v>1026.8689993199901</v>
      </c>
      <c r="M3109">
        <v>21.400164490754801</v>
      </c>
      <c r="N3109">
        <v>48.251089584316702</v>
      </c>
      <c r="O3109">
        <v>47.571058545942101</v>
      </c>
      <c r="P3109">
        <v>-0.106188467863644</v>
      </c>
      <c r="Q3109">
        <v>5.5825574668410899E-2</v>
      </c>
      <c r="R3109">
        <v>0.99941804221877895</v>
      </c>
      <c r="S3109" t="s">
        <v>9561</v>
      </c>
      <c r="T3109" t="s">
        <v>12902</v>
      </c>
      <c r="U3109" t="s">
        <v>12902</v>
      </c>
      <c r="V3109" t="s">
        <v>12902</v>
      </c>
      <c r="W3109" t="s">
        <v>15970</v>
      </c>
      <c r="X3109">
        <v>4</v>
      </c>
      <c r="Y3109" t="s">
        <v>22301</v>
      </c>
      <c r="Z3109" t="s">
        <v>28684</v>
      </c>
      <c r="AA3109">
        <v>0.31873005708124102</v>
      </c>
      <c r="AB3109" t="str">
        <f>HYPERLINK("Melting_Curves/meltCurve_Q05084_ICA1.pdf", "Melting_Curves/meltCurve_Q05084_ICA1.pdf")</f>
        <v>Melting_Curves/meltCurve_Q05084_ICA1.pdf</v>
      </c>
    </row>
    <row r="3110" spans="1:28" x14ac:dyDescent="0.25">
      <c r="A3110" t="s">
        <v>3114</v>
      </c>
      <c r="B3110">
        <v>0.99673306730245903</v>
      </c>
      <c r="C3110">
        <v>0.94291049661534698</v>
      </c>
      <c r="D3110">
        <v>0.90573813809409698</v>
      </c>
      <c r="E3110">
        <v>0.879317057685439</v>
      </c>
      <c r="F3110">
        <v>0.35448587835150602</v>
      </c>
      <c r="G3110">
        <v>0.16737605698788299</v>
      </c>
      <c r="H3110">
        <v>9.9603692781224495E-2</v>
      </c>
      <c r="I3110">
        <v>9.1075794881434705E-2</v>
      </c>
      <c r="J3110">
        <v>0.106340723998417</v>
      </c>
      <c r="K3110">
        <v>8.5430444313012596E-2</v>
      </c>
      <c r="L3110">
        <v>1841.7994702820999</v>
      </c>
      <c r="M3110">
        <v>35.462920155019603</v>
      </c>
      <c r="N3110">
        <v>52.259292094783802</v>
      </c>
      <c r="O3110">
        <v>51.7716050270583</v>
      </c>
      <c r="P3110">
        <v>-0.15437712977656301</v>
      </c>
      <c r="Q3110">
        <v>9.8514736218967197E-2</v>
      </c>
      <c r="R3110">
        <v>0.99195772096231505</v>
      </c>
      <c r="S3110" t="s">
        <v>9562</v>
      </c>
      <c r="T3110" t="s">
        <v>12902</v>
      </c>
      <c r="U3110" t="s">
        <v>12902</v>
      </c>
      <c r="V3110" t="s">
        <v>12902</v>
      </c>
      <c r="W3110" t="s">
        <v>15971</v>
      </c>
      <c r="X3110">
        <v>14</v>
      </c>
      <c r="Y3110" t="s">
        <v>22302</v>
      </c>
      <c r="Z3110" t="s">
        <v>28685</v>
      </c>
      <c r="AA3110">
        <v>0.46130337003003918</v>
      </c>
      <c r="AB3110" t="str">
        <f>HYPERLINK("Melting_Curves/meltCurve_Q05086_3_UBE3A.pdf", "Melting_Curves/meltCurve_Q05086_3_UBE3A.pdf")</f>
        <v>Melting_Curves/meltCurve_Q05086_3_UBE3A.pdf</v>
      </c>
    </row>
    <row r="3111" spans="1:28" x14ac:dyDescent="0.25">
      <c r="A3111" t="s">
        <v>3115</v>
      </c>
      <c r="B3111">
        <v>0.99673306730245903</v>
      </c>
      <c r="C3111">
        <v>0.943736672413369</v>
      </c>
      <c r="D3111">
        <v>0.89403466645736096</v>
      </c>
      <c r="E3111">
        <v>0.91819472020497295</v>
      </c>
      <c r="F3111">
        <v>0.15646164228475401</v>
      </c>
      <c r="G3111">
        <v>0.129063146502197</v>
      </c>
      <c r="H3111">
        <v>7.5779820369196504E-2</v>
      </c>
      <c r="I3111">
        <v>9.4901655778505997E-2</v>
      </c>
      <c r="J3111">
        <v>0.150494152678875</v>
      </c>
      <c r="K3111">
        <v>0.23997678196677</v>
      </c>
      <c r="L3111">
        <v>4431.3252852381802</v>
      </c>
      <c r="M3111">
        <v>87.089260932562098</v>
      </c>
      <c r="N3111">
        <v>51.071851255678403</v>
      </c>
      <c r="O3111">
        <v>50.855751529742498</v>
      </c>
      <c r="P3111">
        <v>-0.36906558743170498</v>
      </c>
      <c r="Q3111">
        <v>0.13793696452301399</v>
      </c>
      <c r="R3111">
        <v>0.98012308049997698</v>
      </c>
      <c r="S3111" t="s">
        <v>9563</v>
      </c>
      <c r="T3111" t="s">
        <v>12902</v>
      </c>
      <c r="U3111" t="s">
        <v>12902</v>
      </c>
      <c r="V3111" t="s">
        <v>12902</v>
      </c>
      <c r="W3111" t="s">
        <v>15972</v>
      </c>
      <c r="X3111">
        <v>12</v>
      </c>
      <c r="Y3111" t="s">
        <v>22303</v>
      </c>
      <c r="Z3111" t="s">
        <v>28686</v>
      </c>
      <c r="AA3111">
        <v>0.45128767365590722</v>
      </c>
      <c r="AB3111" t="str">
        <f>HYPERLINK("Melting_Curves/meltCurve_Q05193_5_DNM1.pdf", "Melting_Curves/meltCurve_Q05193_5_DNM1.pdf")</f>
        <v>Melting_Curves/meltCurve_Q05193_5_DNM1.pdf</v>
      </c>
    </row>
    <row r="3112" spans="1:28" x14ac:dyDescent="0.25">
      <c r="A3112" t="s">
        <v>3116</v>
      </c>
      <c r="B3112">
        <v>0.99673306730245903</v>
      </c>
      <c r="C3112">
        <v>0.97666523146459905</v>
      </c>
      <c r="D3112">
        <v>0.85348430326292302</v>
      </c>
      <c r="E3112">
        <v>0.44533955056424601</v>
      </c>
      <c r="F3112">
        <v>0.22846826948756399</v>
      </c>
      <c r="G3112">
        <v>0.14792308405495699</v>
      </c>
      <c r="H3112">
        <v>9.22271439930967E-2</v>
      </c>
      <c r="I3112">
        <v>0.102751160936637</v>
      </c>
      <c r="J3112">
        <v>9.0029463283831504E-2</v>
      </c>
      <c r="K3112">
        <v>8.1048448648069593E-2</v>
      </c>
      <c r="L3112">
        <v>1183.6596052846101</v>
      </c>
      <c r="M3112">
        <v>24.218989650894599</v>
      </c>
      <c r="N3112">
        <v>49.307011667568801</v>
      </c>
      <c r="O3112">
        <v>48.543659954619699</v>
      </c>
      <c r="P3112">
        <v>-0.11276141036179101</v>
      </c>
      <c r="Q3112">
        <v>9.5954436666090007E-2</v>
      </c>
      <c r="R3112">
        <v>0.99834067014124195</v>
      </c>
      <c r="S3112" t="s">
        <v>9564</v>
      </c>
      <c r="T3112" t="s">
        <v>12902</v>
      </c>
      <c r="U3112" t="s">
        <v>12902</v>
      </c>
      <c r="V3112" t="s">
        <v>12902</v>
      </c>
      <c r="W3112" t="s">
        <v>15973</v>
      </c>
      <c r="X3112">
        <v>9</v>
      </c>
      <c r="Y3112" t="s">
        <v>22304</v>
      </c>
      <c r="Z3112" t="s">
        <v>28687</v>
      </c>
      <c r="AA3112">
        <v>0.37189512779299272</v>
      </c>
      <c r="AB3112" t="str">
        <f>HYPERLINK("Melting_Curves/meltCurve_Q05209_PTPN12.pdf", "Melting_Curves/meltCurve_Q05209_PTPN12.pdf")</f>
        <v>Melting_Curves/meltCurve_Q05209_PTPN12.pdf</v>
      </c>
    </row>
    <row r="3113" spans="1:28" x14ac:dyDescent="0.25">
      <c r="A3113" t="s">
        <v>3117</v>
      </c>
      <c r="B3113">
        <v>0.99673306730245903</v>
      </c>
      <c r="C3113">
        <v>1.0011377579273599</v>
      </c>
      <c r="D3113">
        <v>0.87027533081267106</v>
      </c>
      <c r="E3113">
        <v>0.945801890802074</v>
      </c>
      <c r="F3113">
        <v>0.77949836560565999</v>
      </c>
      <c r="G3113">
        <v>0.19419488569711399</v>
      </c>
      <c r="H3113">
        <v>0.10948446293690101</v>
      </c>
      <c r="I3113">
        <v>7.9320001483704106E-2</v>
      </c>
      <c r="J3113">
        <v>5.6999055860238297E-2</v>
      </c>
      <c r="K3113">
        <v>3.3809619947786897E-2</v>
      </c>
      <c r="L3113">
        <v>2396.7265810331</v>
      </c>
      <c r="M3113">
        <v>43.926457198749603</v>
      </c>
      <c r="N3113">
        <v>54.735209953147702</v>
      </c>
      <c r="O3113">
        <v>54.449537583023499</v>
      </c>
      <c r="P3113">
        <v>-0.188615731820339</v>
      </c>
      <c r="Q3113">
        <v>6.4798309453745706E-2</v>
      </c>
      <c r="R3113">
        <v>0.98787274662739599</v>
      </c>
      <c r="S3113" t="s">
        <v>9565</v>
      </c>
      <c r="T3113" t="s">
        <v>12902</v>
      </c>
      <c r="U3113" t="s">
        <v>12902</v>
      </c>
      <c r="V3113" t="s">
        <v>12902</v>
      </c>
      <c r="W3113" t="s">
        <v>15974</v>
      </c>
      <c r="X3113">
        <v>4</v>
      </c>
      <c r="Y3113" t="s">
        <v>22305</v>
      </c>
      <c r="Z3113" t="s">
        <v>28688</v>
      </c>
      <c r="AA3113">
        <v>0.52167011194920265</v>
      </c>
      <c r="AB3113" t="str">
        <f>HYPERLINK("Melting_Curves/meltCurve_Q05513_PRKCZ.pdf", "Melting_Curves/meltCurve_Q05513_PRKCZ.pdf")</f>
        <v>Melting_Curves/meltCurve_Q05513_PRKCZ.pdf</v>
      </c>
    </row>
    <row r="3114" spans="1:28" x14ac:dyDescent="0.25">
      <c r="A3114" t="s">
        <v>3118</v>
      </c>
      <c r="B3114">
        <v>0.99673306730245903</v>
      </c>
      <c r="C3114">
        <v>0.89215488476748905</v>
      </c>
      <c r="D3114">
        <v>0.78615371871840001</v>
      </c>
      <c r="E3114">
        <v>0.53707414727276503</v>
      </c>
      <c r="F3114">
        <v>0.18695661839015801</v>
      </c>
      <c r="G3114">
        <v>0.111761107081603</v>
      </c>
      <c r="H3114">
        <v>7.3543976651204795E-2</v>
      </c>
      <c r="I3114">
        <v>8.5322387506896205E-2</v>
      </c>
      <c r="J3114">
        <v>0.12938459630102001</v>
      </c>
      <c r="K3114">
        <v>0.25515990636791103</v>
      </c>
      <c r="L3114">
        <v>1059.8293830068001</v>
      </c>
      <c r="M3114">
        <v>21.758223028434699</v>
      </c>
      <c r="N3114">
        <v>49.314141809273799</v>
      </c>
      <c r="O3114">
        <v>48.303522344219999</v>
      </c>
      <c r="P3114">
        <v>-9.9427446736358199E-2</v>
      </c>
      <c r="Q3114">
        <v>0.117099981014908</v>
      </c>
      <c r="R3114">
        <v>0.96953929807985895</v>
      </c>
      <c r="S3114" t="s">
        <v>9566</v>
      </c>
      <c r="T3114" t="s">
        <v>12902</v>
      </c>
      <c r="U3114" t="s">
        <v>12902</v>
      </c>
      <c r="V3114" t="s">
        <v>12902</v>
      </c>
      <c r="W3114" t="s">
        <v>15975</v>
      </c>
      <c r="X3114">
        <v>11</v>
      </c>
      <c r="Y3114" t="s">
        <v>22306</v>
      </c>
      <c r="Z3114" t="s">
        <v>28689</v>
      </c>
      <c r="AA3114">
        <v>0.38384000330453838</v>
      </c>
      <c r="AB3114" t="str">
        <f>HYPERLINK("Melting_Curves/meltCurve_Q05519_2_SRSF11.pdf", "Melting_Curves/meltCurve_Q05519_2_SRSF11.pdf")</f>
        <v>Melting_Curves/meltCurve_Q05519_2_SRSF11.pdf</v>
      </c>
    </row>
    <row r="3115" spans="1:28" x14ac:dyDescent="0.25">
      <c r="A3115" t="s">
        <v>3119</v>
      </c>
      <c r="B3115">
        <v>0.99673306730245903</v>
      </c>
      <c r="C3115">
        <v>0.98269066696618901</v>
      </c>
      <c r="D3115">
        <v>0.93383668979198498</v>
      </c>
      <c r="E3115">
        <v>0.80153081890434597</v>
      </c>
      <c r="F3115">
        <v>0.33739782172855498</v>
      </c>
      <c r="G3115">
        <v>0.149584384429652</v>
      </c>
      <c r="H3115">
        <v>0.10058544007832</v>
      </c>
      <c r="I3115">
        <v>9.4401742524564305E-2</v>
      </c>
      <c r="J3115">
        <v>0.113604228263656</v>
      </c>
      <c r="K3115">
        <v>0.101336991399397</v>
      </c>
      <c r="L3115">
        <v>1588.5092628075299</v>
      </c>
      <c r="M3115">
        <v>30.845968411135502</v>
      </c>
      <c r="N3115">
        <v>51.871354694250698</v>
      </c>
      <c r="O3115">
        <v>51.2831181402019</v>
      </c>
      <c r="P3115">
        <v>-0.13540640679334301</v>
      </c>
      <c r="Q3115">
        <v>9.9522794414278401E-2</v>
      </c>
      <c r="R3115">
        <v>0.99822850666008101</v>
      </c>
      <c r="S3115" t="s">
        <v>9567</v>
      </c>
      <c r="T3115" t="s">
        <v>12902</v>
      </c>
      <c r="U3115" t="s">
        <v>12902</v>
      </c>
      <c r="V3115" t="s">
        <v>12902</v>
      </c>
      <c r="W3115" t="s">
        <v>15976</v>
      </c>
      <c r="X3115">
        <v>25</v>
      </c>
      <c r="Y3115" t="s">
        <v>22307</v>
      </c>
      <c r="Z3115" t="s">
        <v>28690</v>
      </c>
      <c r="AA3115">
        <v>0.45004890397791708</v>
      </c>
      <c r="AB3115" t="str">
        <f>HYPERLINK("Melting_Curves/meltCurve_Q05655_PRKCD.pdf", "Melting_Curves/meltCurve_Q05655_PRKCD.pdf")</f>
        <v>Melting_Curves/meltCurve_Q05655_PRKCD.pdf</v>
      </c>
    </row>
    <row r="3116" spans="1:28" x14ac:dyDescent="0.25">
      <c r="A3116" t="s">
        <v>3120</v>
      </c>
      <c r="B3116">
        <v>0.99673306730245903</v>
      </c>
      <c r="C3116">
        <v>0.98439526683942902</v>
      </c>
      <c r="D3116">
        <v>1.0092807707729401</v>
      </c>
      <c r="E3116">
        <v>0.945473004344065</v>
      </c>
      <c r="F3116">
        <v>0.88946321641395598</v>
      </c>
      <c r="G3116">
        <v>0.78250525304853003</v>
      </c>
      <c r="H3116">
        <v>0.67419818692481603</v>
      </c>
      <c r="I3116">
        <v>1.0181503284736599</v>
      </c>
      <c r="J3116">
        <v>1.67190892899552</v>
      </c>
      <c r="K3116">
        <v>1.62930546544595</v>
      </c>
      <c r="L3116">
        <v>15000</v>
      </c>
      <c r="M3116">
        <v>231.20880440401399</v>
      </c>
      <c r="O3116">
        <v>64.871568126447102</v>
      </c>
      <c r="P3116">
        <v>0.44551259278473399</v>
      </c>
      <c r="Q3116">
        <v>1.5</v>
      </c>
      <c r="R3116">
        <v>0.78040576674723205</v>
      </c>
      <c r="S3116" t="s">
        <v>9568</v>
      </c>
      <c r="T3116" t="s">
        <v>12902</v>
      </c>
      <c r="U3116" t="s">
        <v>12902</v>
      </c>
      <c r="V3116" t="s">
        <v>12902</v>
      </c>
      <c r="W3116" t="s">
        <v>15977</v>
      </c>
      <c r="X3116">
        <v>25</v>
      </c>
      <c r="Y3116" t="s">
        <v>22308</v>
      </c>
      <c r="Z3116" t="s">
        <v>28691</v>
      </c>
      <c r="AA3116">
        <v>1.085326403690297</v>
      </c>
      <c r="AB3116" t="str">
        <f>HYPERLINK("Melting_Curves/meltCurve_Q05682_5_CALD1.pdf", "Melting_Curves/meltCurve_Q05682_5_CALD1.pdf")</f>
        <v>Melting_Curves/meltCurve_Q05682_5_CALD1.pdf</v>
      </c>
    </row>
    <row r="3117" spans="1:28" x14ac:dyDescent="0.25">
      <c r="A3117" t="s">
        <v>3121</v>
      </c>
      <c r="B3117">
        <v>0.99673306730245903</v>
      </c>
      <c r="C3117">
        <v>0.88123956128299097</v>
      </c>
      <c r="D3117">
        <v>0.73694275719218505</v>
      </c>
      <c r="E3117">
        <v>0.51186819347557899</v>
      </c>
      <c r="F3117">
        <v>0.25539482800897301</v>
      </c>
      <c r="G3117">
        <v>0.19260285138574701</v>
      </c>
      <c r="H3117">
        <v>0.121632951779093</v>
      </c>
      <c r="I3117">
        <v>0.103310991176679</v>
      </c>
      <c r="J3117">
        <v>8.9101148505055502E-2</v>
      </c>
      <c r="K3117">
        <v>9.3953912006474197E-2</v>
      </c>
      <c r="L3117">
        <v>745.40124355389901</v>
      </c>
      <c r="M3117">
        <v>15.256973270727499</v>
      </c>
      <c r="N3117">
        <v>49.4177614749415</v>
      </c>
      <c r="O3117">
        <v>48.040161187974498</v>
      </c>
      <c r="P3117">
        <v>-7.3087184413763703E-2</v>
      </c>
      <c r="Q3117">
        <v>7.9558386788638705E-2</v>
      </c>
      <c r="R3117">
        <v>0.99739262831477105</v>
      </c>
      <c r="S3117" t="s">
        <v>9569</v>
      </c>
      <c r="T3117" t="s">
        <v>12902</v>
      </c>
      <c r="U3117" t="s">
        <v>12902</v>
      </c>
      <c r="V3117" t="s">
        <v>12902</v>
      </c>
      <c r="W3117" t="s">
        <v>15978</v>
      </c>
      <c r="X3117">
        <v>4</v>
      </c>
      <c r="Y3117" t="s">
        <v>22309</v>
      </c>
      <c r="Z3117" t="s">
        <v>28692</v>
      </c>
      <c r="AA3117">
        <v>0.37340026926696163</v>
      </c>
      <c r="AB3117" t="str">
        <f>HYPERLINK("Melting_Curves/meltCurve_Q05932_3_FPGS.pdf", "Melting_Curves/meltCurve_Q05932_3_FPGS.pdf")</f>
        <v>Melting_Curves/meltCurve_Q05932_3_FPGS.pdf</v>
      </c>
    </row>
    <row r="3118" spans="1:28" x14ac:dyDescent="0.25">
      <c r="A3118" t="s">
        <v>3122</v>
      </c>
      <c r="B3118">
        <v>0.99673306730245903</v>
      </c>
      <c r="C3118">
        <v>0.84935271972177295</v>
      </c>
      <c r="D3118">
        <v>0.64856907443732803</v>
      </c>
      <c r="E3118">
        <v>0.42300900418369097</v>
      </c>
      <c r="F3118">
        <v>0.407895442311631</v>
      </c>
      <c r="G3118">
        <v>0.26882533449093299</v>
      </c>
      <c r="H3118">
        <v>0.17046053156948299</v>
      </c>
      <c r="I3118">
        <v>0.108022295859067</v>
      </c>
      <c r="J3118">
        <v>0.114883763281788</v>
      </c>
      <c r="K3118">
        <v>0.116747487357102</v>
      </c>
      <c r="L3118">
        <v>551.36702054128602</v>
      </c>
      <c r="M3118">
        <v>11.353561528056099</v>
      </c>
      <c r="N3118">
        <v>49.3973579683068</v>
      </c>
      <c r="O3118">
        <v>47.129962656451802</v>
      </c>
      <c r="P3118">
        <v>-5.4988486961237197E-2</v>
      </c>
      <c r="Q3118">
        <v>8.7218143136670395E-2</v>
      </c>
      <c r="R3118">
        <v>0.97997485613907198</v>
      </c>
      <c r="S3118" t="s">
        <v>9570</v>
      </c>
      <c r="T3118" t="s">
        <v>12902</v>
      </c>
      <c r="U3118" t="s">
        <v>12902</v>
      </c>
      <c r="V3118" t="s">
        <v>12902</v>
      </c>
      <c r="W3118" t="s">
        <v>15979</v>
      </c>
      <c r="X3118">
        <v>3</v>
      </c>
      <c r="Y3118" t="s">
        <v>22310</v>
      </c>
      <c r="Z3118" t="s">
        <v>28693</v>
      </c>
      <c r="AA3118">
        <v>0.38558815616483022</v>
      </c>
      <c r="AB3118" t="str">
        <f>HYPERLINK("Melting_Curves/meltCurve_Q05BQ5_3_MBTD1.pdf", "Melting_Curves/meltCurve_Q05BQ5_3_MBTD1.pdf")</f>
        <v>Melting_Curves/meltCurve_Q05BQ5_3_MBTD1.pdf</v>
      </c>
    </row>
    <row r="3119" spans="1:28" x14ac:dyDescent="0.25">
      <c r="A3119" t="s">
        <v>3123</v>
      </c>
      <c r="B3119">
        <v>0.99673306730245903</v>
      </c>
      <c r="C3119">
        <v>0.92351467782944296</v>
      </c>
      <c r="D3119">
        <v>0.78661045884125802</v>
      </c>
      <c r="E3119">
        <v>1.00058084445804</v>
      </c>
      <c r="F3119">
        <v>0.27154901676139698</v>
      </c>
      <c r="G3119">
        <v>0.13281709440711301</v>
      </c>
      <c r="H3119">
        <v>7.2181865179765395E-2</v>
      </c>
      <c r="I3119">
        <v>6.3063609654031405E-2</v>
      </c>
      <c r="J3119">
        <v>6.4861151130347003E-2</v>
      </c>
      <c r="K3119">
        <v>5.4430957943550101E-2</v>
      </c>
      <c r="L3119">
        <v>4499.5939978759998</v>
      </c>
      <c r="M3119">
        <v>85.8945811329219</v>
      </c>
      <c r="N3119">
        <v>52.487429319322899</v>
      </c>
      <c r="O3119">
        <v>52.356698975647497</v>
      </c>
      <c r="P3119">
        <v>-0.37851410145809999</v>
      </c>
      <c r="Q3119">
        <v>7.7113060227915795E-2</v>
      </c>
      <c r="R3119">
        <v>0.96682603841058401</v>
      </c>
      <c r="S3119" t="s">
        <v>9571</v>
      </c>
      <c r="T3119" t="s">
        <v>12902</v>
      </c>
      <c r="U3119" t="s">
        <v>12902</v>
      </c>
      <c r="V3119" t="s">
        <v>12902</v>
      </c>
      <c r="W3119" t="s">
        <v>15980</v>
      </c>
      <c r="X3119">
        <v>39</v>
      </c>
      <c r="Y3119" t="s">
        <v>22311</v>
      </c>
      <c r="Z3119" t="s">
        <v>28694</v>
      </c>
      <c r="AA3119">
        <v>0.45883377405708042</v>
      </c>
      <c r="AB3119" t="str">
        <f>HYPERLINK("Melting_Curves/meltCurve_Q06124_2_PTPN11.pdf", "Melting_Curves/meltCurve_Q06124_2_PTPN11.pdf")</f>
        <v>Melting_Curves/meltCurve_Q06124_2_PTPN11.pdf</v>
      </c>
    </row>
    <row r="3120" spans="1:28" x14ac:dyDescent="0.25">
      <c r="A3120" t="s">
        <v>3124</v>
      </c>
      <c r="B3120">
        <v>0.99673306730245903</v>
      </c>
      <c r="C3120">
        <v>0.96101337485800797</v>
      </c>
      <c r="D3120">
        <v>1.00103366794283</v>
      </c>
      <c r="E3120">
        <v>0.87143954154061598</v>
      </c>
      <c r="F3120">
        <v>0.82510229199139395</v>
      </c>
      <c r="G3120">
        <v>0.80924094639910604</v>
      </c>
      <c r="H3120">
        <v>0.78351152775257704</v>
      </c>
      <c r="I3120">
        <v>0.72453361289821405</v>
      </c>
      <c r="J3120">
        <v>0.50522283688400904</v>
      </c>
      <c r="K3120">
        <v>0.236724704619834</v>
      </c>
      <c r="L3120">
        <v>704.950206513019</v>
      </c>
      <c r="M3120">
        <v>10.5985829564073</v>
      </c>
      <c r="N3120">
        <v>66.513624733175703</v>
      </c>
      <c r="O3120">
        <v>64.2767316371052</v>
      </c>
      <c r="P3120">
        <v>-4.12385181665565E-2</v>
      </c>
      <c r="Q3120">
        <v>0</v>
      </c>
      <c r="R3120">
        <v>0.87744602411146</v>
      </c>
      <c r="S3120" t="s">
        <v>9572</v>
      </c>
      <c r="T3120" t="s">
        <v>12902</v>
      </c>
      <c r="U3120" t="s">
        <v>12902</v>
      </c>
      <c r="V3120" t="s">
        <v>12902</v>
      </c>
      <c r="W3120" t="s">
        <v>15981</v>
      </c>
      <c r="X3120">
        <v>5</v>
      </c>
      <c r="Y3120" t="s">
        <v>22312</v>
      </c>
      <c r="Z3120" t="s">
        <v>28695</v>
      </c>
      <c r="AA3120">
        <v>0.81438008056317068</v>
      </c>
      <c r="AB3120" t="str">
        <f>HYPERLINK("Melting_Curves/meltCurve_Q06136_KDSR.pdf", "Melting_Curves/meltCurve_Q06136_KDSR.pdf")</f>
        <v>Melting_Curves/meltCurve_Q06136_KDSR.pdf</v>
      </c>
    </row>
    <row r="3121" spans="1:28" x14ac:dyDescent="0.25">
      <c r="A3121" t="s">
        <v>3125</v>
      </c>
      <c r="B3121">
        <v>0.99673306730245903</v>
      </c>
      <c r="C3121">
        <v>0.97102055980935698</v>
      </c>
      <c r="D3121">
        <v>1.0218573967554401</v>
      </c>
      <c r="E3121">
        <v>1.11554665424623</v>
      </c>
      <c r="F3121">
        <v>1.0995835778222101</v>
      </c>
      <c r="G3121">
        <v>1.10857769357952</v>
      </c>
      <c r="H3121">
        <v>1.0113426598835999</v>
      </c>
      <c r="I3121">
        <v>0.97171301196794202</v>
      </c>
      <c r="J3121">
        <v>0.78469486082572204</v>
      </c>
      <c r="K3121">
        <v>0.184992338468773</v>
      </c>
      <c r="L3121">
        <v>4459.2853491933201</v>
      </c>
      <c r="M3121">
        <v>65.177763301461496</v>
      </c>
      <c r="N3121">
        <v>68.417262257699207</v>
      </c>
      <c r="O3121">
        <v>68.352961066105095</v>
      </c>
      <c r="P3121">
        <v>-0.23838682894086999</v>
      </c>
      <c r="Q3121">
        <v>0</v>
      </c>
      <c r="R3121">
        <v>0.946938492835665</v>
      </c>
      <c r="S3121" t="s">
        <v>9573</v>
      </c>
      <c r="T3121" t="s">
        <v>12902</v>
      </c>
      <c r="U3121" t="s">
        <v>12902</v>
      </c>
      <c r="V3121" t="s">
        <v>12902</v>
      </c>
      <c r="W3121" t="s">
        <v>15982</v>
      </c>
      <c r="X3121">
        <v>22</v>
      </c>
      <c r="Y3121" t="s">
        <v>22313</v>
      </c>
      <c r="Z3121" t="s">
        <v>28696</v>
      </c>
      <c r="AA3121">
        <v>0.94119698927823658</v>
      </c>
      <c r="AB3121" t="str">
        <f>HYPERLINK("Melting_Curves/meltCurve_Q06203_PPAT.pdf", "Melting_Curves/meltCurve_Q06203_PPAT.pdf")</f>
        <v>Melting_Curves/meltCurve_Q06203_PPAT.pdf</v>
      </c>
    </row>
    <row r="3122" spans="1:28" x14ac:dyDescent="0.25">
      <c r="A3122" t="s">
        <v>3126</v>
      </c>
      <c r="B3122">
        <v>0.99673306730245903</v>
      </c>
      <c r="C3122">
        <v>0.95403097685153804</v>
      </c>
      <c r="D3122">
        <v>1.0620826043120399</v>
      </c>
      <c r="E3122">
        <v>1.27418507036916</v>
      </c>
      <c r="F3122">
        <v>1.2022503981557999</v>
      </c>
      <c r="G3122">
        <v>0.98002642577541998</v>
      </c>
      <c r="H3122">
        <v>0.31667669619941602</v>
      </c>
      <c r="I3122">
        <v>0.11132952164529999</v>
      </c>
      <c r="J3122">
        <v>0.10548284336524499</v>
      </c>
      <c r="K3122">
        <v>9.0495054718262594E-2</v>
      </c>
      <c r="L3122">
        <v>4314.7556120816698</v>
      </c>
      <c r="M3122">
        <v>72.111598381282306</v>
      </c>
      <c r="N3122">
        <v>60.019152102793903</v>
      </c>
      <c r="O3122">
        <v>59.788452517610899</v>
      </c>
      <c r="P3122">
        <v>-0.27151915455236503</v>
      </c>
      <c r="Q3122">
        <v>9.9523115319745795E-2</v>
      </c>
      <c r="R3122">
        <v>0.94345169718446498</v>
      </c>
      <c r="S3122" t="s">
        <v>9574</v>
      </c>
      <c r="T3122" t="s">
        <v>12902</v>
      </c>
      <c r="U3122" t="s">
        <v>12902</v>
      </c>
      <c r="V3122" t="s">
        <v>12902</v>
      </c>
      <c r="W3122" t="s">
        <v>15983</v>
      </c>
      <c r="X3122">
        <v>34</v>
      </c>
      <c r="Y3122" t="s">
        <v>22314</v>
      </c>
      <c r="Z3122" t="s">
        <v>28697</v>
      </c>
      <c r="AA3122">
        <v>0.69600926555533915</v>
      </c>
      <c r="AB3122" t="str">
        <f>HYPERLINK("Melting_Curves/meltCurve_Q06210_2_GFPT1.pdf", "Melting_Curves/meltCurve_Q06210_2_GFPT1.pdf")</f>
        <v>Melting_Curves/meltCurve_Q06210_2_GFPT1.pdf</v>
      </c>
    </row>
    <row r="3123" spans="1:28" x14ac:dyDescent="0.25">
      <c r="A3123" t="s">
        <v>3127</v>
      </c>
      <c r="B3123">
        <v>0.99673306730245903</v>
      </c>
      <c r="C3123">
        <v>1.06895432076175</v>
      </c>
      <c r="D3123">
        <v>1.4109590901025499</v>
      </c>
      <c r="E3123">
        <v>1.6529093141754301</v>
      </c>
      <c r="F3123">
        <v>1.9875576982890399</v>
      </c>
      <c r="G3123">
        <v>1.8263921600089901</v>
      </c>
      <c r="H3123">
        <v>1.31229625701227</v>
      </c>
      <c r="I3123">
        <v>0.59331522982542795</v>
      </c>
      <c r="J3123">
        <v>0.232938472861662</v>
      </c>
      <c r="K3123">
        <v>0.16815189376601999</v>
      </c>
      <c r="L3123">
        <v>15000</v>
      </c>
      <c r="M3123">
        <v>234.40974942066899</v>
      </c>
      <c r="N3123">
        <v>64.130734014258394</v>
      </c>
      <c r="O3123">
        <v>63.985837679950599</v>
      </c>
      <c r="P3123">
        <v>-0.73220163854189002</v>
      </c>
      <c r="Q3123">
        <v>0.200535851336476</v>
      </c>
      <c r="R3123">
        <v>0.353170337600763</v>
      </c>
      <c r="S3123" t="s">
        <v>9575</v>
      </c>
      <c r="T3123" t="s">
        <v>12902</v>
      </c>
      <c r="U3123" t="s">
        <v>12902</v>
      </c>
      <c r="V3123" t="s">
        <v>12902</v>
      </c>
      <c r="W3123" t="s">
        <v>15984</v>
      </c>
      <c r="X3123">
        <v>14</v>
      </c>
      <c r="Y3123" t="s">
        <v>22315</v>
      </c>
      <c r="Z3123" t="s">
        <v>28698</v>
      </c>
      <c r="AA3123">
        <v>0.83995646411674429</v>
      </c>
      <c r="AB3123" t="str">
        <f>HYPERLINK("Melting_Curves/meltCurve_Q06265_EXOSC9.pdf", "Melting_Curves/meltCurve_Q06265_EXOSC9.pdf")</f>
        <v>Melting_Curves/meltCurve_Q06265_EXOSC9.pdf</v>
      </c>
    </row>
    <row r="3124" spans="1:28" x14ac:dyDescent="0.25">
      <c r="A3124" t="s">
        <v>3128</v>
      </c>
      <c r="B3124">
        <v>0.99673306730245903</v>
      </c>
      <c r="C3124">
        <v>0.99902720777868603</v>
      </c>
      <c r="D3124">
        <v>1.0749502388043699</v>
      </c>
      <c r="E3124">
        <v>1.21225571915233</v>
      </c>
      <c r="F3124">
        <v>0.88793215830653605</v>
      </c>
      <c r="G3124">
        <v>0.33235253129415898</v>
      </c>
      <c r="H3124">
        <v>0.18255789948829901</v>
      </c>
      <c r="I3124">
        <v>0.195043355770607</v>
      </c>
      <c r="J3124">
        <v>0.19034266956137599</v>
      </c>
      <c r="K3124">
        <v>0.16596557128637399</v>
      </c>
      <c r="L3124">
        <v>2933.5968416731098</v>
      </c>
      <c r="M3124">
        <v>53.182327777882499</v>
      </c>
      <c r="N3124">
        <v>55.6366877959614</v>
      </c>
      <c r="O3124">
        <v>55.083312331355202</v>
      </c>
      <c r="P3124">
        <v>-0.19728705818436501</v>
      </c>
      <c r="Q3124">
        <v>0.18264475140081499</v>
      </c>
      <c r="R3124">
        <v>0.97032504620879201</v>
      </c>
      <c r="S3124" t="s">
        <v>9576</v>
      </c>
      <c r="T3124" t="s">
        <v>12902</v>
      </c>
      <c r="U3124" t="s">
        <v>12902</v>
      </c>
      <c r="V3124" t="s">
        <v>12902</v>
      </c>
      <c r="W3124" t="s">
        <v>15985</v>
      </c>
      <c r="X3124">
        <v>17</v>
      </c>
      <c r="Y3124" t="s">
        <v>22316</v>
      </c>
      <c r="Z3124" t="s">
        <v>28699</v>
      </c>
      <c r="AA3124">
        <v>0.59746828724397683</v>
      </c>
      <c r="AB3124" t="str">
        <f>HYPERLINK("Melting_Curves/meltCurve_Q06323_PSME1.pdf", "Melting_Curves/meltCurve_Q06323_PSME1.pdf")</f>
        <v>Melting_Curves/meltCurve_Q06323_PSME1.pdf</v>
      </c>
    </row>
    <row r="3125" spans="1:28" x14ac:dyDescent="0.25">
      <c r="A3125" t="s">
        <v>3129</v>
      </c>
      <c r="B3125">
        <v>0.99673306730245903</v>
      </c>
      <c r="C3125">
        <v>1.00980072388473</v>
      </c>
      <c r="D3125">
        <v>1.0075939295867899</v>
      </c>
      <c r="E3125">
        <v>0.99709720578790295</v>
      </c>
      <c r="F3125">
        <v>0.83495296587623502</v>
      </c>
      <c r="G3125">
        <v>0.67488950093011801</v>
      </c>
      <c r="H3125">
        <v>0.26104771717193498</v>
      </c>
      <c r="I3125">
        <v>0.134367139586549</v>
      </c>
      <c r="J3125">
        <v>0.12681151313247899</v>
      </c>
      <c r="K3125">
        <v>0.11287069189616</v>
      </c>
      <c r="L3125">
        <v>1420.1271197317899</v>
      </c>
      <c r="M3125">
        <v>24.625793623853301</v>
      </c>
      <c r="N3125">
        <v>58.108353861935598</v>
      </c>
      <c r="O3125">
        <v>57.292028364552003</v>
      </c>
      <c r="P3125">
        <v>-9.8317081879606305E-2</v>
      </c>
      <c r="Q3125">
        <v>8.5072384219006397E-2</v>
      </c>
      <c r="R3125">
        <v>0.99456027373002798</v>
      </c>
      <c r="S3125" t="s">
        <v>9577</v>
      </c>
      <c r="T3125" t="s">
        <v>12902</v>
      </c>
      <c r="U3125" t="s">
        <v>12902</v>
      </c>
      <c r="V3125" t="s">
        <v>12902</v>
      </c>
      <c r="W3125" t="s">
        <v>15986</v>
      </c>
      <c r="X3125">
        <v>9</v>
      </c>
      <c r="Y3125" t="s">
        <v>22317</v>
      </c>
      <c r="Z3125" t="s">
        <v>28700</v>
      </c>
      <c r="AA3125">
        <v>0.63215811566844737</v>
      </c>
      <c r="AB3125" t="str">
        <f>HYPERLINK("Melting_Curves/meltCurve_Q06330_5_RBPJ.pdf", "Melting_Curves/meltCurve_Q06330_5_RBPJ.pdf")</f>
        <v>Melting_Curves/meltCurve_Q06330_5_RBPJ.pdf</v>
      </c>
    </row>
    <row r="3126" spans="1:28" x14ac:dyDescent="0.25">
      <c r="A3126" t="s">
        <v>3130</v>
      </c>
      <c r="B3126">
        <v>0.99673306730245903</v>
      </c>
      <c r="C3126">
        <v>0.96621898770729997</v>
      </c>
      <c r="D3126">
        <v>0.92838406175966204</v>
      </c>
      <c r="E3126">
        <v>0.74458221898099397</v>
      </c>
      <c r="F3126">
        <v>0.58006278018202995</v>
      </c>
      <c r="G3126">
        <v>0.38757265750222603</v>
      </c>
      <c r="H3126">
        <v>0.25525343815125301</v>
      </c>
      <c r="I3126">
        <v>0.237432131296514</v>
      </c>
      <c r="J3126">
        <v>0.24465828866447001</v>
      </c>
      <c r="K3126">
        <v>0.20001366240054799</v>
      </c>
      <c r="L3126">
        <v>795.98721254174495</v>
      </c>
      <c r="M3126">
        <v>15.1432406849627</v>
      </c>
      <c r="N3126">
        <v>54.265562580696297</v>
      </c>
      <c r="O3126">
        <v>51.672781348114903</v>
      </c>
      <c r="P3126">
        <v>-5.9422436453757103E-2</v>
      </c>
      <c r="Q3126">
        <v>0.18901804852048401</v>
      </c>
      <c r="R3126">
        <v>0.99732814474008302</v>
      </c>
      <c r="S3126" t="s">
        <v>9578</v>
      </c>
      <c r="T3126" t="s">
        <v>12902</v>
      </c>
      <c r="U3126" t="s">
        <v>12902</v>
      </c>
      <c r="V3126" t="s">
        <v>12902</v>
      </c>
      <c r="W3126" t="s">
        <v>15987</v>
      </c>
      <c r="X3126">
        <v>20</v>
      </c>
      <c r="Y3126" t="s">
        <v>22318</v>
      </c>
      <c r="Z3126" t="s">
        <v>28701</v>
      </c>
      <c r="AA3126">
        <v>0.54616962840423844</v>
      </c>
      <c r="AB3126" t="str">
        <f>HYPERLINK("Melting_Curves/meltCurve_Q06481_APLP2.pdf", "Melting_Curves/meltCurve_Q06481_APLP2.pdf")</f>
        <v>Melting_Curves/meltCurve_Q06481_APLP2.pdf</v>
      </c>
    </row>
    <row r="3127" spans="1:28" x14ac:dyDescent="0.25">
      <c r="A3127" t="s">
        <v>3131</v>
      </c>
      <c r="B3127">
        <v>0.99673306730245903</v>
      </c>
      <c r="C3127">
        <v>0.94675337161256501</v>
      </c>
      <c r="D3127">
        <v>0.63989822586761502</v>
      </c>
      <c r="E3127">
        <v>0.37391618320409198</v>
      </c>
      <c r="F3127">
        <v>0.17609079326886001</v>
      </c>
      <c r="G3127">
        <v>0.116046264793133</v>
      </c>
      <c r="H3127">
        <v>7.3672687288842895E-2</v>
      </c>
      <c r="I3127">
        <v>5.8572012553203899E-2</v>
      </c>
      <c r="J3127">
        <v>6.8366632024064705E-2</v>
      </c>
      <c r="K3127">
        <v>6.0773437947874799E-2</v>
      </c>
      <c r="L3127">
        <v>922.90528004198904</v>
      </c>
      <c r="M3127">
        <v>19.3951988453335</v>
      </c>
      <c r="N3127">
        <v>47.9232857962553</v>
      </c>
      <c r="O3127">
        <v>47.087037225228499</v>
      </c>
      <c r="P3127">
        <v>-9.6376685027771303E-2</v>
      </c>
      <c r="Q3127">
        <v>6.4113923842419998E-2</v>
      </c>
      <c r="R3127">
        <v>0.99593584181194195</v>
      </c>
      <c r="S3127" t="s">
        <v>9579</v>
      </c>
      <c r="T3127" t="s">
        <v>12902</v>
      </c>
      <c r="U3127" t="s">
        <v>12902</v>
      </c>
      <c r="V3127" t="s">
        <v>12902</v>
      </c>
      <c r="W3127" t="s">
        <v>15988</v>
      </c>
      <c r="X3127">
        <v>4</v>
      </c>
      <c r="Y3127" t="s">
        <v>22319</v>
      </c>
      <c r="Z3127" t="s">
        <v>28702</v>
      </c>
      <c r="AA3127">
        <v>0.31506542271835958</v>
      </c>
      <c r="AB3127" t="str">
        <f>HYPERLINK("Melting_Curves/meltCurve_Q06546_GABPA.pdf", "Melting_Curves/meltCurve_Q06546_GABPA.pdf")</f>
        <v>Melting_Curves/meltCurve_Q06546_GABPA.pdf</v>
      </c>
    </row>
    <row r="3128" spans="1:28" x14ac:dyDescent="0.25">
      <c r="A3128" t="s">
        <v>3132</v>
      </c>
      <c r="B3128">
        <v>0.99673306730245903</v>
      </c>
      <c r="C3128">
        <v>0.90130365871639895</v>
      </c>
      <c r="D3128">
        <v>0.77863920668332398</v>
      </c>
      <c r="E3128">
        <v>0.48145833404430199</v>
      </c>
      <c r="F3128">
        <v>0.237678850097613</v>
      </c>
      <c r="G3128">
        <v>0.16263749578122</v>
      </c>
      <c r="H3128">
        <v>9.2803948440152897E-2</v>
      </c>
      <c r="I3128">
        <v>9.2773740007526195E-2</v>
      </c>
      <c r="J3128">
        <v>9.1464069953627603E-2</v>
      </c>
      <c r="K3128">
        <v>8.8245355610690801E-2</v>
      </c>
      <c r="L3128">
        <v>869.96283734309804</v>
      </c>
      <c r="M3128">
        <v>17.819863539438199</v>
      </c>
      <c r="N3128">
        <v>49.300365259350599</v>
      </c>
      <c r="O3128">
        <v>48.217479661673401</v>
      </c>
      <c r="P3128">
        <v>-8.5031860955017802E-2</v>
      </c>
      <c r="Q3128">
        <v>7.97209445432812E-2</v>
      </c>
      <c r="R3128">
        <v>0.99865942208685399</v>
      </c>
      <c r="S3128" t="s">
        <v>9580</v>
      </c>
      <c r="T3128" t="s">
        <v>12902</v>
      </c>
      <c r="U3128" t="s">
        <v>12902</v>
      </c>
      <c r="V3128" t="s">
        <v>12902</v>
      </c>
      <c r="W3128" t="s">
        <v>15989</v>
      </c>
      <c r="X3128">
        <v>7</v>
      </c>
      <c r="Y3128" t="s">
        <v>22320</v>
      </c>
      <c r="Z3128" t="s">
        <v>28703</v>
      </c>
      <c r="AA3128">
        <v>0.36660095819938338</v>
      </c>
      <c r="AB3128" t="str">
        <f>HYPERLINK("Melting_Curves/meltCurve_Q06587_RING1.pdf", "Melting_Curves/meltCurve_Q06587_RING1.pdf")</f>
        <v>Melting_Curves/meltCurve_Q06587_RING1.pdf</v>
      </c>
    </row>
    <row r="3129" spans="1:28" x14ac:dyDescent="0.25">
      <c r="A3129" t="s">
        <v>3133</v>
      </c>
      <c r="B3129">
        <v>0.99673306730245903</v>
      </c>
      <c r="C3129">
        <v>1.01031447868091</v>
      </c>
      <c r="D3129">
        <v>0.97969352658512499</v>
      </c>
      <c r="E3129">
        <v>0.90334529609548297</v>
      </c>
      <c r="F3129">
        <v>0.57591407329591005</v>
      </c>
      <c r="G3129">
        <v>0.28570001461675198</v>
      </c>
      <c r="H3129">
        <v>0.16165989140763001</v>
      </c>
      <c r="I3129">
        <v>0.14737207049113701</v>
      </c>
      <c r="J3129">
        <v>0.17875592852313699</v>
      </c>
      <c r="K3129">
        <v>0.115928373668071</v>
      </c>
      <c r="L3129">
        <v>1429.1427964619099</v>
      </c>
      <c r="M3129">
        <v>26.8155288940487</v>
      </c>
      <c r="N3129">
        <v>53.961135962123798</v>
      </c>
      <c r="O3129">
        <v>53.001595646496398</v>
      </c>
      <c r="P3129">
        <v>-0.10867095858579</v>
      </c>
      <c r="Q3129">
        <v>0.14084476519685901</v>
      </c>
      <c r="R3129">
        <v>0.998389163319922</v>
      </c>
      <c r="S3129" t="s">
        <v>9581</v>
      </c>
      <c r="T3129" t="s">
        <v>12902</v>
      </c>
      <c r="U3129" t="s">
        <v>12902</v>
      </c>
      <c r="V3129" t="s">
        <v>12902</v>
      </c>
      <c r="W3129" t="s">
        <v>15990</v>
      </c>
      <c r="X3129">
        <v>4</v>
      </c>
      <c r="Y3129" t="s">
        <v>22321</v>
      </c>
      <c r="Z3129" t="s">
        <v>28704</v>
      </c>
      <c r="AA3129">
        <v>0.52854911394844883</v>
      </c>
      <c r="AB3129" t="str">
        <f>HYPERLINK("Melting_Curves/meltCurve_Q06609_3_RAD51.pdf", "Melting_Curves/meltCurve_Q06609_3_RAD51.pdf")</f>
        <v>Melting_Curves/meltCurve_Q06609_3_RAD51.pdf</v>
      </c>
    </row>
    <row r="3130" spans="1:28" x14ac:dyDescent="0.25">
      <c r="A3130" t="s">
        <v>3134</v>
      </c>
      <c r="B3130">
        <v>0.99673306730245903</v>
      </c>
      <c r="C3130">
        <v>0.85308175877145898</v>
      </c>
      <c r="D3130">
        <v>0.81966990721494903</v>
      </c>
      <c r="E3130">
        <v>0.71202012717665297</v>
      </c>
      <c r="F3130">
        <v>0.21591288040756201</v>
      </c>
      <c r="G3130">
        <v>0.15728265671889199</v>
      </c>
      <c r="H3130">
        <v>0.104583720225365</v>
      </c>
      <c r="I3130">
        <v>4.47264824774544E-2</v>
      </c>
      <c r="J3130">
        <v>5.6547323417462103E-2</v>
      </c>
      <c r="K3130">
        <v>3.6567437885344702E-2</v>
      </c>
      <c r="L3130">
        <v>919.04667585288905</v>
      </c>
      <c r="M3130">
        <v>18.179314642071802</v>
      </c>
      <c r="N3130">
        <v>50.749581171101198</v>
      </c>
      <c r="O3130">
        <v>49.954714705978098</v>
      </c>
      <c r="P3130">
        <v>-8.7913068700372299E-2</v>
      </c>
      <c r="Q3130">
        <v>3.3744927703586301E-2</v>
      </c>
      <c r="R3130">
        <v>0.97345553634030801</v>
      </c>
      <c r="S3130" t="s">
        <v>9582</v>
      </c>
      <c r="T3130" t="s">
        <v>12902</v>
      </c>
      <c r="U3130" t="s">
        <v>12902</v>
      </c>
      <c r="V3130" t="s">
        <v>12902</v>
      </c>
      <c r="W3130" t="s">
        <v>15991</v>
      </c>
      <c r="X3130">
        <v>6</v>
      </c>
      <c r="Y3130" t="s">
        <v>22322</v>
      </c>
      <c r="Z3130" t="s">
        <v>28705</v>
      </c>
      <c r="AA3130">
        <v>0.38975890359589221</v>
      </c>
      <c r="AB3130" t="str">
        <f>HYPERLINK("Melting_Curves/meltCurve_Q06787_8_FMR1.pdf", "Melting_Curves/meltCurve_Q06787_8_FMR1.pdf")</f>
        <v>Melting_Curves/meltCurve_Q06787_8_FMR1.pdf</v>
      </c>
    </row>
    <row r="3131" spans="1:28" x14ac:dyDescent="0.25">
      <c r="A3131" t="s">
        <v>3135</v>
      </c>
      <c r="B3131">
        <v>0.99673306730245903</v>
      </c>
      <c r="C3131">
        <v>0.81638004016927501</v>
      </c>
      <c r="D3131">
        <v>1.11859089170897</v>
      </c>
      <c r="E3131">
        <v>1.24717012189549</v>
      </c>
      <c r="F3131">
        <v>0.80381000860979601</v>
      </c>
      <c r="G3131">
        <v>0.66352950677406497</v>
      </c>
      <c r="H3131">
        <v>0.19754541064384501</v>
      </c>
      <c r="I3131">
        <v>0.153383296630167</v>
      </c>
      <c r="J3131">
        <v>0.170087420958001</v>
      </c>
      <c r="K3131">
        <v>0.13151645876200499</v>
      </c>
      <c r="L3131">
        <v>1799.0296759422599</v>
      </c>
      <c r="M3131">
        <v>31.4576695123375</v>
      </c>
      <c r="N3131">
        <v>57.737525914424801</v>
      </c>
      <c r="O3131">
        <v>56.959287204291002</v>
      </c>
      <c r="P3131">
        <v>-0.12023453404713801</v>
      </c>
      <c r="Q3131">
        <v>0.129187059980092</v>
      </c>
      <c r="R3131">
        <v>0.92135195908525302</v>
      </c>
      <c r="S3131" t="s">
        <v>9583</v>
      </c>
      <c r="T3131" t="s">
        <v>12902</v>
      </c>
      <c r="U3131" t="s">
        <v>12902</v>
      </c>
      <c r="V3131" t="s">
        <v>12902</v>
      </c>
      <c r="W3131" t="s">
        <v>15992</v>
      </c>
      <c r="X3131">
        <v>22</v>
      </c>
      <c r="Y3131" t="s">
        <v>22323</v>
      </c>
      <c r="Z3131" t="s">
        <v>28706</v>
      </c>
      <c r="AA3131">
        <v>0.6334579583168598</v>
      </c>
      <c r="AB3131" t="str">
        <f>HYPERLINK("Melting_Curves/meltCurve_Q06830_PRDX1.pdf", "Melting_Curves/meltCurve_Q06830_PRDX1.pdf")</f>
        <v>Melting_Curves/meltCurve_Q06830_PRDX1.pdf</v>
      </c>
    </row>
    <row r="3132" spans="1:28" x14ac:dyDescent="0.25">
      <c r="A3132" t="s">
        <v>3136</v>
      </c>
      <c r="B3132">
        <v>0.99673306730245903</v>
      </c>
      <c r="C3132">
        <v>1.3583032932867101</v>
      </c>
      <c r="D3132">
        <v>0.48902294113357597</v>
      </c>
      <c r="E3132">
        <v>0.81993822456666299</v>
      </c>
      <c r="F3132">
        <v>0.239844632902487</v>
      </c>
      <c r="G3132">
        <v>0.15214105495175101</v>
      </c>
      <c r="H3132">
        <v>8.8025681033504694E-2</v>
      </c>
      <c r="I3132">
        <v>9.1919219804378199E-2</v>
      </c>
      <c r="J3132">
        <v>0.114444355444319</v>
      </c>
      <c r="K3132">
        <v>9.8404443673240499E-2</v>
      </c>
      <c r="L3132">
        <v>942.56813421398795</v>
      </c>
      <c r="M3132">
        <v>18.700169665489899</v>
      </c>
      <c r="N3132">
        <v>50.837528725073703</v>
      </c>
      <c r="O3132">
        <v>49.838462581473799</v>
      </c>
      <c r="P3132">
        <v>-8.6897804027796094E-2</v>
      </c>
      <c r="Q3132">
        <v>7.3662067949301399E-2</v>
      </c>
      <c r="R3132">
        <v>0.81356530803676197</v>
      </c>
      <c r="S3132" t="s">
        <v>9584</v>
      </c>
      <c r="T3132" t="s">
        <v>12902</v>
      </c>
      <c r="U3132" t="s">
        <v>12902</v>
      </c>
      <c r="V3132" t="s">
        <v>12902</v>
      </c>
      <c r="W3132" t="s">
        <v>15993</v>
      </c>
      <c r="X3132">
        <v>6</v>
      </c>
      <c r="Y3132" t="s">
        <v>22324</v>
      </c>
      <c r="Z3132" t="s">
        <v>28707</v>
      </c>
      <c r="AA3132">
        <v>0.4095580145406898</v>
      </c>
      <c r="AB3132" t="str">
        <f>HYPERLINK("Melting_Curves/meltCurve_Q07021_C1QBP.pdf", "Melting_Curves/meltCurve_Q07021_C1QBP.pdf")</f>
        <v>Melting_Curves/meltCurve_Q07021_C1QBP.pdf</v>
      </c>
    </row>
    <row r="3133" spans="1:28" x14ac:dyDescent="0.25">
      <c r="A3133" t="s">
        <v>3137</v>
      </c>
      <c r="B3133">
        <v>0.99673306730245903</v>
      </c>
      <c r="C3133">
        <v>0.92194815074188896</v>
      </c>
      <c r="D3133">
        <v>0.59535967716317195</v>
      </c>
      <c r="E3133">
        <v>0.390583983878176</v>
      </c>
      <c r="F3133">
        <v>0.19872337609160301</v>
      </c>
      <c r="G3133">
        <v>0.116654865453502</v>
      </c>
      <c r="H3133">
        <v>8.6206540014430094E-2</v>
      </c>
      <c r="I3133">
        <v>0.109975830995014</v>
      </c>
      <c r="J3133">
        <v>0.16170264100437301</v>
      </c>
      <c r="K3133">
        <v>0.19435818486301101</v>
      </c>
      <c r="L3133">
        <v>965.94952654322105</v>
      </c>
      <c r="M3133">
        <v>20.6215418714804</v>
      </c>
      <c r="N3133">
        <v>47.543130715703597</v>
      </c>
      <c r="O3133">
        <v>46.407948544632497</v>
      </c>
      <c r="P3133">
        <v>-9.6522283341039697E-2</v>
      </c>
      <c r="Q3133">
        <v>0.13114702780159401</v>
      </c>
      <c r="R3133">
        <v>0.98467554987195505</v>
      </c>
      <c r="S3133" t="s">
        <v>9585</v>
      </c>
      <c r="T3133" t="s">
        <v>12902</v>
      </c>
      <c r="U3133" t="s">
        <v>12902</v>
      </c>
      <c r="V3133" t="s">
        <v>12902</v>
      </c>
      <c r="W3133" t="s">
        <v>15994</v>
      </c>
      <c r="X3133">
        <v>54</v>
      </c>
      <c r="Y3133" t="s">
        <v>22325</v>
      </c>
      <c r="Z3133" t="s">
        <v>28708</v>
      </c>
      <c r="AA3133">
        <v>0.34125787134837798</v>
      </c>
      <c r="AB3133" t="str">
        <f>HYPERLINK("Melting_Curves/meltCurve_Q07065_CKAP4.pdf", "Melting_Curves/meltCurve_Q07065_CKAP4.pdf")</f>
        <v>Melting_Curves/meltCurve_Q07065_CKAP4.pdf</v>
      </c>
    </row>
    <row r="3134" spans="1:28" x14ac:dyDescent="0.25">
      <c r="A3134" t="s">
        <v>3138</v>
      </c>
      <c r="B3134">
        <v>0.99673306730245903</v>
      </c>
      <c r="C3134">
        <v>1.0653243018016101</v>
      </c>
      <c r="D3134">
        <v>1.1303567879099501</v>
      </c>
      <c r="E3134">
        <v>0.90669488317015501</v>
      </c>
      <c r="F3134">
        <v>0.89999679748287198</v>
      </c>
      <c r="G3134">
        <v>0.78158103060969297</v>
      </c>
      <c r="H3134">
        <v>0.67900726211486895</v>
      </c>
      <c r="I3134">
        <v>0.69587619397322098</v>
      </c>
      <c r="J3134">
        <v>1.48514013272441</v>
      </c>
      <c r="K3134">
        <v>1.20035272751815</v>
      </c>
      <c r="L3134">
        <v>2878.77152601227</v>
      </c>
      <c r="M3134">
        <v>43.3155230938751</v>
      </c>
      <c r="O3134">
        <v>66.319318673916598</v>
      </c>
      <c r="P3134">
        <v>5.6960940649948201E-2</v>
      </c>
      <c r="Q3134">
        <v>1.34884537592265</v>
      </c>
      <c r="R3134">
        <v>0.25802737694146799</v>
      </c>
      <c r="S3134" t="s">
        <v>9586</v>
      </c>
      <c r="T3134" t="s">
        <v>12902</v>
      </c>
      <c r="U3134" t="s">
        <v>12902</v>
      </c>
      <c r="V3134" t="s">
        <v>12902</v>
      </c>
      <c r="W3134" t="s">
        <v>15995</v>
      </c>
      <c r="X3134">
        <v>6</v>
      </c>
      <c r="Y3134" t="s">
        <v>22326</v>
      </c>
      <c r="Z3134" t="s">
        <v>28709</v>
      </c>
      <c r="AA3134">
        <v>1.0420053616242171</v>
      </c>
      <c r="AB3134" t="str">
        <f>HYPERLINK("Melting_Curves/meltCurve_Q07654_TFF3.pdf", "Melting_Curves/meltCurve_Q07654_TFF3.pdf")</f>
        <v>Melting_Curves/meltCurve_Q07654_TFF3.pdf</v>
      </c>
    </row>
    <row r="3135" spans="1:28" x14ac:dyDescent="0.25">
      <c r="A3135" t="s">
        <v>3139</v>
      </c>
      <c r="B3135">
        <v>0.99673306730245903</v>
      </c>
      <c r="C3135">
        <v>0.72484163613367203</v>
      </c>
      <c r="D3135">
        <v>0.88556742278808198</v>
      </c>
      <c r="E3135">
        <v>0.69055224130969495</v>
      </c>
      <c r="F3135">
        <v>0.26805616186056902</v>
      </c>
      <c r="G3135">
        <v>0.10997251286000501</v>
      </c>
      <c r="H3135">
        <v>7.0666368055112894E-2</v>
      </c>
      <c r="I3135">
        <v>6.9635401018202606E-2</v>
      </c>
      <c r="J3135">
        <v>8.2152400591247093E-2</v>
      </c>
      <c r="K3135">
        <v>8.4313486842036101E-2</v>
      </c>
      <c r="L3135">
        <v>978.00378929498697</v>
      </c>
      <c r="M3135">
        <v>19.351213612593</v>
      </c>
      <c r="N3135">
        <v>50.818315082066199</v>
      </c>
      <c r="O3135">
        <v>50.009226225071203</v>
      </c>
      <c r="P3135">
        <v>-9.1872398804106706E-2</v>
      </c>
      <c r="Q3135">
        <v>5.0334038440947901E-2</v>
      </c>
      <c r="R3135">
        <v>0.94463840520978803</v>
      </c>
      <c r="S3135" t="s">
        <v>9587</v>
      </c>
      <c r="T3135" t="s">
        <v>12902</v>
      </c>
      <c r="U3135" t="s">
        <v>12902</v>
      </c>
      <c r="V3135" t="s">
        <v>12902</v>
      </c>
      <c r="W3135" t="s">
        <v>15996</v>
      </c>
      <c r="X3135">
        <v>14</v>
      </c>
      <c r="Y3135" t="s">
        <v>22327</v>
      </c>
      <c r="Z3135" t="s">
        <v>28710</v>
      </c>
      <c r="AA3135">
        <v>0.39802384292519721</v>
      </c>
      <c r="AB3135" t="str">
        <f>HYPERLINK("Melting_Curves/meltCurve_Q07666_KHDRBS1.pdf", "Melting_Curves/meltCurve_Q07666_KHDRBS1.pdf")</f>
        <v>Melting_Curves/meltCurve_Q07666_KHDRBS1.pdf</v>
      </c>
    </row>
    <row r="3136" spans="1:28" x14ac:dyDescent="0.25">
      <c r="A3136" t="s">
        <v>3140</v>
      </c>
      <c r="B3136">
        <v>0.99673306730245903</v>
      </c>
      <c r="C3136">
        <v>1.0101030401050699</v>
      </c>
      <c r="D3136">
        <v>1.0023748962593599</v>
      </c>
      <c r="E3136">
        <v>0.89366525536346397</v>
      </c>
      <c r="F3136">
        <v>0.782373105856768</v>
      </c>
      <c r="G3136">
        <v>0.72308319839942004</v>
      </c>
      <c r="H3136">
        <v>0.621762331101543</v>
      </c>
      <c r="I3136">
        <v>0.85769563340671495</v>
      </c>
      <c r="J3136">
        <v>0.96165014151817996</v>
      </c>
      <c r="K3136">
        <v>1.0039769684811199</v>
      </c>
      <c r="L3136">
        <v>12378.2422758461</v>
      </c>
      <c r="M3136">
        <v>250</v>
      </c>
      <c r="O3136">
        <v>49.509802562343999</v>
      </c>
      <c r="P3136">
        <v>-0.22080195283491699</v>
      </c>
      <c r="Q3136">
        <v>0.825090229683348</v>
      </c>
      <c r="R3136">
        <v>0.37559512390390598</v>
      </c>
      <c r="S3136" t="s">
        <v>9588</v>
      </c>
      <c r="T3136" t="s">
        <v>12902</v>
      </c>
      <c r="U3136" t="s">
        <v>12902</v>
      </c>
      <c r="V3136" t="s">
        <v>12902</v>
      </c>
      <c r="W3136" t="s">
        <v>15997</v>
      </c>
      <c r="X3136">
        <v>6</v>
      </c>
      <c r="Y3136" t="s">
        <v>22328</v>
      </c>
      <c r="Z3136" t="s">
        <v>28711</v>
      </c>
      <c r="AA3136">
        <v>0.88056913640874734</v>
      </c>
      <c r="AB3136" t="str">
        <f>HYPERLINK("Melting_Curves/meltCurve_Q07812_5_BAX.pdf", "Melting_Curves/meltCurve_Q07812_5_BAX.pdf")</f>
        <v>Melting_Curves/meltCurve_Q07812_5_BAX.pdf</v>
      </c>
    </row>
    <row r="3137" spans="1:28" x14ac:dyDescent="0.25">
      <c r="A3137" t="s">
        <v>3141</v>
      </c>
      <c r="B3137">
        <v>0.99673306730245903</v>
      </c>
      <c r="C3137">
        <v>0.74349681974124004</v>
      </c>
      <c r="D3137">
        <v>0.98221485318811996</v>
      </c>
      <c r="E3137">
        <v>1.04760663753461</v>
      </c>
      <c r="F3137">
        <v>0.22468719377885199</v>
      </c>
      <c r="G3137">
        <v>0.149269821607075</v>
      </c>
      <c r="H3137">
        <v>0.100060442445969</v>
      </c>
      <c r="I3137">
        <v>8.3331855720767803E-2</v>
      </c>
      <c r="J3137">
        <v>9.2140509112841301E-2</v>
      </c>
      <c r="K3137">
        <v>8.7652686048766998E-2</v>
      </c>
      <c r="L3137">
        <v>13201.705626012001</v>
      </c>
      <c r="M3137">
        <v>250</v>
      </c>
      <c r="N3137">
        <v>52.855321021452198</v>
      </c>
      <c r="O3137">
        <v>52.803442211768001</v>
      </c>
      <c r="P3137">
        <v>-1.0623229468770301</v>
      </c>
      <c r="Q3137">
        <v>0.102491050578863</v>
      </c>
      <c r="R3137">
        <v>0.95764716516584403</v>
      </c>
      <c r="S3137" t="s">
        <v>9589</v>
      </c>
      <c r="T3137" t="s">
        <v>12902</v>
      </c>
      <c r="U3137" t="s">
        <v>12902</v>
      </c>
      <c r="V3137" t="s">
        <v>12902</v>
      </c>
      <c r="W3137" t="s">
        <v>15998</v>
      </c>
      <c r="X3137">
        <v>36</v>
      </c>
      <c r="Y3137" t="s">
        <v>22329</v>
      </c>
      <c r="Z3137" t="s">
        <v>28712</v>
      </c>
      <c r="AA3137">
        <v>0.48571548772455109</v>
      </c>
      <c r="AB3137" t="str">
        <f>HYPERLINK("Melting_Curves/meltCurve_Q07866_6_KLC1.pdf", "Melting_Curves/meltCurve_Q07866_6_KLC1.pdf")</f>
        <v>Melting_Curves/meltCurve_Q07866_6_KLC1.pdf</v>
      </c>
    </row>
    <row r="3138" spans="1:28" x14ac:dyDescent="0.25">
      <c r="A3138" t="s">
        <v>3142</v>
      </c>
      <c r="B3138">
        <v>0.99673306730245903</v>
      </c>
      <c r="C3138">
        <v>0.89837218758603199</v>
      </c>
      <c r="D3138">
        <v>0.885216877059819</v>
      </c>
      <c r="E3138">
        <v>0.73665037247264997</v>
      </c>
      <c r="F3138">
        <v>0.65789915971719704</v>
      </c>
      <c r="G3138">
        <v>0.40628913647141501</v>
      </c>
      <c r="H3138">
        <v>0.418721385091751</v>
      </c>
      <c r="I3138">
        <v>0.23979769813181101</v>
      </c>
      <c r="J3138">
        <v>0.149902905322396</v>
      </c>
      <c r="K3138">
        <v>6.9967558477118802E-2</v>
      </c>
      <c r="L3138">
        <v>518.31200149708195</v>
      </c>
      <c r="M3138">
        <v>9.27134044973565</v>
      </c>
      <c r="N3138">
        <v>55.904753395147402</v>
      </c>
      <c r="O3138">
        <v>53.488559725860497</v>
      </c>
      <c r="P3138">
        <v>-4.3361405284640199E-2</v>
      </c>
      <c r="Q3138">
        <v>0</v>
      </c>
      <c r="R3138">
        <v>0.97757646925023201</v>
      </c>
      <c r="S3138" t="s">
        <v>9590</v>
      </c>
      <c r="T3138" t="s">
        <v>12902</v>
      </c>
      <c r="U3138" t="s">
        <v>12902</v>
      </c>
      <c r="V3138" t="s">
        <v>12902</v>
      </c>
      <c r="W3138" t="s">
        <v>15999</v>
      </c>
      <c r="X3138">
        <v>4</v>
      </c>
      <c r="Y3138" t="s">
        <v>22330</v>
      </c>
      <c r="Z3138" t="s">
        <v>28713</v>
      </c>
      <c r="AA3138">
        <v>0.55164618089466255</v>
      </c>
      <c r="AB3138" t="str">
        <f>HYPERLINK("Melting_Curves/meltCurve_Q07954_LRP1.pdf", "Melting_Curves/meltCurve_Q07954_LRP1.pdf")</f>
        <v>Melting_Curves/meltCurve_Q07954_LRP1.pdf</v>
      </c>
    </row>
    <row r="3139" spans="1:28" x14ac:dyDescent="0.25">
      <c r="A3139" t="s">
        <v>3143</v>
      </c>
      <c r="B3139">
        <v>0.99673306730245903</v>
      </c>
      <c r="C3139">
        <v>0.98915956939944005</v>
      </c>
      <c r="D3139">
        <v>0.982064490767943</v>
      </c>
      <c r="E3139">
        <v>0.83211579224866095</v>
      </c>
      <c r="F3139">
        <v>0.32013986482544299</v>
      </c>
      <c r="G3139">
        <v>0.203455565467627</v>
      </c>
      <c r="H3139">
        <v>0.12526189563305301</v>
      </c>
      <c r="I3139">
        <v>0.113425757980901</v>
      </c>
      <c r="J3139">
        <v>9.0769133847197397E-2</v>
      </c>
      <c r="K3139">
        <v>8.2267784101274499E-2</v>
      </c>
      <c r="L3139">
        <v>1764.3059775890799</v>
      </c>
      <c r="M3139">
        <v>34.207784231855598</v>
      </c>
      <c r="N3139">
        <v>51.957987556876098</v>
      </c>
      <c r="O3139">
        <v>51.400850053371201</v>
      </c>
      <c r="P3139">
        <v>-0.14788681320953001</v>
      </c>
      <c r="Q3139">
        <v>0.111140495084845</v>
      </c>
      <c r="R3139">
        <v>0.99666072939988204</v>
      </c>
      <c r="S3139" t="s">
        <v>9591</v>
      </c>
      <c r="T3139" t="s">
        <v>12902</v>
      </c>
      <c r="U3139" t="s">
        <v>12902</v>
      </c>
      <c r="V3139" t="s">
        <v>12902</v>
      </c>
      <c r="W3139" t="s">
        <v>16000</v>
      </c>
      <c r="X3139">
        <v>14</v>
      </c>
      <c r="Y3139" t="s">
        <v>22331</v>
      </c>
      <c r="Z3139" t="s">
        <v>28714</v>
      </c>
      <c r="AA3139">
        <v>0.45846499535247731</v>
      </c>
      <c r="AB3139" t="str">
        <f>HYPERLINK("Melting_Curves/meltCurve_Q07960_ARHGAP1.pdf", "Melting_Curves/meltCurve_Q07960_ARHGAP1.pdf")</f>
        <v>Melting_Curves/meltCurve_Q07960_ARHGAP1.pdf</v>
      </c>
    </row>
    <row r="3140" spans="1:28" x14ac:dyDescent="0.25">
      <c r="A3140" t="s">
        <v>3144</v>
      </c>
      <c r="B3140">
        <v>0.99673306730245903</v>
      </c>
      <c r="C3140">
        <v>1.0508441964247599</v>
      </c>
      <c r="D3140">
        <v>1.00055206266278</v>
      </c>
      <c r="E3140">
        <v>0.80369074015598496</v>
      </c>
      <c r="F3140">
        <v>0.38538755999023799</v>
      </c>
      <c r="G3140">
        <v>0.26335046016164798</v>
      </c>
      <c r="H3140">
        <v>0.23398428882229499</v>
      </c>
      <c r="I3140">
        <v>0.26238511236475198</v>
      </c>
      <c r="J3140">
        <v>0.41797260172554901</v>
      </c>
      <c r="K3140">
        <v>0.62222433942704203</v>
      </c>
      <c r="L3140">
        <v>3143.5137372454601</v>
      </c>
      <c r="M3140">
        <v>62.560840936732298</v>
      </c>
      <c r="N3140">
        <v>51.296348925350699</v>
      </c>
      <c r="O3140">
        <v>50.196034257600402</v>
      </c>
      <c r="P3140">
        <v>-0.19913371334913599</v>
      </c>
      <c r="Q3140">
        <v>0.36089603031321499</v>
      </c>
      <c r="R3140">
        <v>0.89077120187283498</v>
      </c>
      <c r="S3140" t="s">
        <v>9592</v>
      </c>
      <c r="T3140" t="s">
        <v>12902</v>
      </c>
      <c r="U3140" t="s">
        <v>12902</v>
      </c>
      <c r="V3140" t="s">
        <v>12902</v>
      </c>
      <c r="W3140" t="s">
        <v>16001</v>
      </c>
      <c r="X3140">
        <v>8</v>
      </c>
      <c r="Y3140" t="s">
        <v>22332</v>
      </c>
      <c r="Z3140" t="s">
        <v>28715</v>
      </c>
      <c r="AA3140">
        <v>0.58010215104021434</v>
      </c>
      <c r="AB3140" t="str">
        <f>HYPERLINK("Melting_Curves/meltCurve_Q08170_SRSF4.pdf", "Melting_Curves/meltCurve_Q08170_SRSF4.pdf")</f>
        <v>Melting_Curves/meltCurve_Q08170_SRSF4.pdf</v>
      </c>
    </row>
    <row r="3141" spans="1:28" x14ac:dyDescent="0.25">
      <c r="A3141" t="s">
        <v>3145</v>
      </c>
      <c r="B3141">
        <v>0.99673306730245903</v>
      </c>
      <c r="C3141">
        <v>0.735244350959806</v>
      </c>
      <c r="D3141">
        <v>1.0775598371669799</v>
      </c>
      <c r="E3141">
        <v>0.84566623596389101</v>
      </c>
      <c r="F3141">
        <v>0.64986720180086099</v>
      </c>
      <c r="G3141">
        <v>0.24763067557826501</v>
      </c>
      <c r="H3141">
        <v>0.111254310190077</v>
      </c>
      <c r="I3141">
        <v>8.50586937007171E-2</v>
      </c>
      <c r="J3141">
        <v>8.0874366374810797E-2</v>
      </c>
      <c r="K3141">
        <v>6.6961083038772198E-2</v>
      </c>
      <c r="L3141">
        <v>1327.9167146847501</v>
      </c>
      <c r="M3141">
        <v>24.613953390651702</v>
      </c>
      <c r="N3141">
        <v>54.2436877738064</v>
      </c>
      <c r="O3141">
        <v>53.597437828375497</v>
      </c>
      <c r="P3141">
        <v>-0.10764307501546699</v>
      </c>
      <c r="Q3141">
        <v>6.24326712427314E-2</v>
      </c>
      <c r="R3141">
        <v>0.94560655852230202</v>
      </c>
      <c r="S3141" t="s">
        <v>9593</v>
      </c>
      <c r="T3141" t="s">
        <v>12902</v>
      </c>
      <c r="U3141" t="s">
        <v>12902</v>
      </c>
      <c r="V3141" t="s">
        <v>12902</v>
      </c>
      <c r="W3141" t="s">
        <v>16002</v>
      </c>
      <c r="X3141">
        <v>22</v>
      </c>
      <c r="Y3141" t="s">
        <v>22333</v>
      </c>
      <c r="Z3141" t="s">
        <v>28716</v>
      </c>
      <c r="AA3141">
        <v>0.50731749667109505</v>
      </c>
      <c r="AB3141" t="str">
        <f>HYPERLINK("Melting_Curves/meltCurve_Q08209_2_PPP3CA.pdf", "Melting_Curves/meltCurve_Q08209_2_PPP3CA.pdf")</f>
        <v>Melting_Curves/meltCurve_Q08209_2_PPP3CA.pdf</v>
      </c>
    </row>
    <row r="3142" spans="1:28" x14ac:dyDescent="0.25">
      <c r="A3142" t="s">
        <v>3146</v>
      </c>
      <c r="B3142">
        <v>0.99673306730245903</v>
      </c>
      <c r="C3142">
        <v>0.82059361424044097</v>
      </c>
      <c r="D3142">
        <v>0.77917544347745804</v>
      </c>
      <c r="E3142">
        <v>0.64935839440952503</v>
      </c>
      <c r="F3142">
        <v>0.26876805460727399</v>
      </c>
      <c r="G3142">
        <v>0.16667874720791701</v>
      </c>
      <c r="H3142">
        <v>0.11401175901688899</v>
      </c>
      <c r="I3142">
        <v>0.10405144793012799</v>
      </c>
      <c r="J3142">
        <v>0.105776000270141</v>
      </c>
      <c r="K3142">
        <v>9.4214353603846404E-2</v>
      </c>
      <c r="L3142">
        <v>732.18037397514297</v>
      </c>
      <c r="M3142">
        <v>14.684632185734699</v>
      </c>
      <c r="N3142">
        <v>50.325732529059003</v>
      </c>
      <c r="O3142">
        <v>48.963039446420602</v>
      </c>
      <c r="P3142">
        <v>-7.0225221529340798E-2</v>
      </c>
      <c r="Q3142">
        <v>6.3493653076231601E-2</v>
      </c>
      <c r="R3142">
        <v>0.97749259363315</v>
      </c>
      <c r="S3142" t="s">
        <v>9594</v>
      </c>
      <c r="T3142" t="s">
        <v>12902</v>
      </c>
      <c r="U3142" t="s">
        <v>12902</v>
      </c>
      <c r="V3142" t="s">
        <v>12902</v>
      </c>
      <c r="W3142" t="s">
        <v>16003</v>
      </c>
      <c r="X3142">
        <v>38</v>
      </c>
      <c r="Y3142" t="s">
        <v>22334</v>
      </c>
      <c r="Z3142" t="s">
        <v>28717</v>
      </c>
      <c r="AA3142">
        <v>0.39459952498882439</v>
      </c>
      <c r="AB3142" t="str">
        <f>HYPERLINK("Melting_Curves/meltCurve_Q08211_DHX9.pdf", "Melting_Curves/meltCurve_Q08211_DHX9.pdf")</f>
        <v>Melting_Curves/meltCurve_Q08211_DHX9.pdf</v>
      </c>
    </row>
    <row r="3143" spans="1:28" x14ac:dyDescent="0.25">
      <c r="A3143" t="s">
        <v>3147</v>
      </c>
      <c r="B3143">
        <v>0.99673306730245903</v>
      </c>
      <c r="C3143">
        <v>0.973761606733761</v>
      </c>
      <c r="D3143">
        <v>1.0507151171600599</v>
      </c>
      <c r="E3143">
        <v>1.1315994303067201</v>
      </c>
      <c r="F3143">
        <v>0.945909542054856</v>
      </c>
      <c r="G3143">
        <v>0.64609223728037202</v>
      </c>
      <c r="H3143">
        <v>0.155581821472496</v>
      </c>
      <c r="I3143">
        <v>8.6822283203741704E-2</v>
      </c>
      <c r="J3143">
        <v>8.2948564449984594E-2</v>
      </c>
      <c r="K3143">
        <v>7.1418036398533197E-2</v>
      </c>
      <c r="L3143">
        <v>2373.8329157745802</v>
      </c>
      <c r="M3143">
        <v>41.329128558777398</v>
      </c>
      <c r="N3143">
        <v>57.661043168383898</v>
      </c>
      <c r="O3143">
        <v>57.303308839239797</v>
      </c>
      <c r="P3143">
        <v>-0.166949813867103</v>
      </c>
      <c r="Q3143">
        <v>7.4090510367594301E-2</v>
      </c>
      <c r="R3143">
        <v>0.98876198214664301</v>
      </c>
      <c r="S3143" t="s">
        <v>9595</v>
      </c>
      <c r="T3143" t="s">
        <v>12902</v>
      </c>
      <c r="U3143" t="s">
        <v>12902</v>
      </c>
      <c r="V3143" t="s">
        <v>12902</v>
      </c>
      <c r="W3143" t="s">
        <v>16004</v>
      </c>
      <c r="X3143">
        <v>20</v>
      </c>
      <c r="Y3143" t="s">
        <v>22335</v>
      </c>
      <c r="Z3143" t="s">
        <v>28718</v>
      </c>
      <c r="AA3143">
        <v>0.61567048702877336</v>
      </c>
      <c r="AB3143" t="str">
        <f>HYPERLINK("Melting_Curves/meltCurve_Q08257_CRYZ.pdf", "Melting_Curves/meltCurve_Q08257_CRYZ.pdf")</f>
        <v>Melting_Curves/meltCurve_Q08257_CRYZ.pdf</v>
      </c>
    </row>
    <row r="3144" spans="1:28" x14ac:dyDescent="0.25">
      <c r="A3144" t="s">
        <v>3148</v>
      </c>
      <c r="B3144">
        <v>0.99673306730245903</v>
      </c>
      <c r="C3144">
        <v>0.93386877301868298</v>
      </c>
      <c r="D3144">
        <v>0.82940891508421</v>
      </c>
      <c r="E3144">
        <v>0.70324624942376102</v>
      </c>
      <c r="F3144">
        <v>0.56335830610516802</v>
      </c>
      <c r="G3144">
        <v>0.52011009155733401</v>
      </c>
      <c r="H3144">
        <v>0.48371281488404</v>
      </c>
      <c r="I3144">
        <v>0.54970225009402596</v>
      </c>
      <c r="J3144">
        <v>0.67847568864682395</v>
      </c>
      <c r="K3144">
        <v>0.71827690702995395</v>
      </c>
      <c r="L3144">
        <v>1117.38376167877</v>
      </c>
      <c r="M3144">
        <v>23.925316197287799</v>
      </c>
      <c r="O3144">
        <v>46.380385825782298</v>
      </c>
      <c r="P3144">
        <v>-5.3446846457183297E-2</v>
      </c>
      <c r="Q3144">
        <v>0.58556942906877996</v>
      </c>
      <c r="R3144">
        <v>0.83287253347005197</v>
      </c>
      <c r="S3144" t="s">
        <v>9596</v>
      </c>
      <c r="T3144" t="s">
        <v>12902</v>
      </c>
      <c r="U3144" t="s">
        <v>12902</v>
      </c>
      <c r="V3144" t="s">
        <v>12902</v>
      </c>
      <c r="W3144" t="s">
        <v>16005</v>
      </c>
      <c r="X3144">
        <v>3</v>
      </c>
      <c r="Y3144" t="s">
        <v>22336</v>
      </c>
      <c r="Z3144" t="s">
        <v>28719</v>
      </c>
      <c r="AA3144">
        <v>0.68227798092569258</v>
      </c>
      <c r="AB3144" t="str">
        <f>HYPERLINK("Melting_Curves/meltCurve_Q08357_SLC20A2.pdf", "Melting_Curves/meltCurve_Q08357_SLC20A2.pdf")</f>
        <v>Melting_Curves/meltCurve_Q08357_SLC20A2.pdf</v>
      </c>
    </row>
    <row r="3145" spans="1:28" x14ac:dyDescent="0.25">
      <c r="A3145" t="s">
        <v>3149</v>
      </c>
      <c r="B3145">
        <v>0.99673306730245903</v>
      </c>
      <c r="C3145">
        <v>0.93220138228456795</v>
      </c>
      <c r="D3145">
        <v>0.82868480873464301</v>
      </c>
      <c r="E3145">
        <v>0.72208811573364895</v>
      </c>
      <c r="F3145">
        <v>0.31191023633424902</v>
      </c>
      <c r="G3145">
        <v>0.23962791340922901</v>
      </c>
      <c r="H3145">
        <v>0.16746794740765999</v>
      </c>
      <c r="I3145">
        <v>0.27077802740329099</v>
      </c>
      <c r="J3145">
        <v>0.29935458170596702</v>
      </c>
      <c r="K3145">
        <v>0.30064976266802801</v>
      </c>
      <c r="L3145">
        <v>1269.9864742756999</v>
      </c>
      <c r="M3145">
        <v>25.485017817988599</v>
      </c>
      <c r="N3145">
        <v>51.168997379831801</v>
      </c>
      <c r="O3145">
        <v>49.528883193203903</v>
      </c>
      <c r="P3145">
        <v>-9.7378436918831995E-2</v>
      </c>
      <c r="Q3145">
        <v>0.24300863234683701</v>
      </c>
      <c r="R3145">
        <v>0.96189332445672104</v>
      </c>
      <c r="S3145" t="s">
        <v>9597</v>
      </c>
      <c r="T3145" t="s">
        <v>12902</v>
      </c>
      <c r="U3145" t="s">
        <v>12902</v>
      </c>
      <c r="V3145" t="s">
        <v>12902</v>
      </c>
      <c r="W3145" t="s">
        <v>16006</v>
      </c>
      <c r="X3145">
        <v>27</v>
      </c>
      <c r="Y3145" t="s">
        <v>22337</v>
      </c>
      <c r="Z3145" t="s">
        <v>28720</v>
      </c>
      <c r="AA3145">
        <v>0.49761428254088907</v>
      </c>
      <c r="AB3145" t="str">
        <f>HYPERLINK("Melting_Curves/meltCurve_Q08378_GOLGA3.pdf", "Melting_Curves/meltCurve_Q08378_GOLGA3.pdf")</f>
        <v>Melting_Curves/meltCurve_Q08378_GOLGA3.pdf</v>
      </c>
    </row>
    <row r="3146" spans="1:28" x14ac:dyDescent="0.25">
      <c r="A3146" t="s">
        <v>3150</v>
      </c>
      <c r="B3146">
        <v>0.99673306730245903</v>
      </c>
      <c r="C3146">
        <v>0.73844723451791305</v>
      </c>
      <c r="D3146">
        <v>0.48030498065229399</v>
      </c>
      <c r="E3146">
        <v>0.27438439404089499</v>
      </c>
      <c r="F3146">
        <v>0.19960299092918099</v>
      </c>
      <c r="G3146">
        <v>0.141449882820431</v>
      </c>
      <c r="H3146">
        <v>9.9467075285404605E-2</v>
      </c>
      <c r="I3146">
        <v>9.7613157165019102E-2</v>
      </c>
      <c r="J3146">
        <v>0.104443256356046</v>
      </c>
      <c r="K3146">
        <v>8.7423165474597594E-2</v>
      </c>
      <c r="L3146">
        <v>815.70364505923999</v>
      </c>
      <c r="M3146">
        <v>17.979563801960399</v>
      </c>
      <c r="N3146">
        <v>45.965818627818997</v>
      </c>
      <c r="O3146">
        <v>44.818318384161202</v>
      </c>
      <c r="P3146">
        <v>-8.9845646370038598E-2</v>
      </c>
      <c r="Q3146">
        <v>0.104198418720629</v>
      </c>
      <c r="R3146">
        <v>0.99091182526501698</v>
      </c>
      <c r="S3146" t="s">
        <v>9598</v>
      </c>
      <c r="T3146" t="s">
        <v>12902</v>
      </c>
      <c r="U3146" t="s">
        <v>12902</v>
      </c>
      <c r="V3146" t="s">
        <v>12902</v>
      </c>
      <c r="W3146" t="s">
        <v>16007</v>
      </c>
      <c r="X3146">
        <v>19</v>
      </c>
      <c r="Y3146" t="s">
        <v>22338</v>
      </c>
      <c r="Z3146" t="s">
        <v>28721</v>
      </c>
      <c r="AA3146">
        <v>0.28312963127076057</v>
      </c>
      <c r="AB3146" t="str">
        <f>HYPERLINK("Melting_Curves/meltCurve_Q08379_GOLGA2.pdf", "Melting_Curves/meltCurve_Q08379_GOLGA2.pdf")</f>
        <v>Melting_Curves/meltCurve_Q08379_GOLGA2.pdf</v>
      </c>
    </row>
    <row r="3147" spans="1:28" x14ac:dyDescent="0.25">
      <c r="A3147" t="s">
        <v>3151</v>
      </c>
      <c r="B3147">
        <v>0.99673306730245903</v>
      </c>
      <c r="C3147">
        <v>0.95513684421684997</v>
      </c>
      <c r="D3147">
        <v>1.1003826419315901</v>
      </c>
      <c r="E3147">
        <v>1.19204219550808</v>
      </c>
      <c r="F3147">
        <v>1.1147108260902701</v>
      </c>
      <c r="G3147">
        <v>1.10105748122367</v>
      </c>
      <c r="H3147">
        <v>1.0352331452447601</v>
      </c>
      <c r="I3147">
        <v>0.92873314993511102</v>
      </c>
      <c r="J3147">
        <v>0.82815956391630297</v>
      </c>
      <c r="K3147">
        <v>0.38218705014123699</v>
      </c>
      <c r="L3147">
        <v>3140.4811862894098</v>
      </c>
      <c r="M3147">
        <v>45.324977559383299</v>
      </c>
      <c r="N3147">
        <v>69.28809513169</v>
      </c>
      <c r="O3147">
        <v>69.153619061055196</v>
      </c>
      <c r="P3147">
        <v>-0.16385633909223199</v>
      </c>
      <c r="Q3147">
        <v>0</v>
      </c>
      <c r="R3147">
        <v>0.83995357373206103</v>
      </c>
      <c r="S3147" t="s">
        <v>9599</v>
      </c>
      <c r="T3147" t="s">
        <v>12902</v>
      </c>
      <c r="U3147" t="s">
        <v>12902</v>
      </c>
      <c r="V3147" t="s">
        <v>12902</v>
      </c>
      <c r="W3147" t="s">
        <v>16008</v>
      </c>
      <c r="X3147">
        <v>15</v>
      </c>
      <c r="Y3147" t="s">
        <v>22339</v>
      </c>
      <c r="Z3147" t="s">
        <v>28722</v>
      </c>
      <c r="AA3147">
        <v>0.95318083500338979</v>
      </c>
      <c r="AB3147" t="str">
        <f>HYPERLINK("Melting_Curves/meltCurve_Q08380_LGALS3BP.pdf", "Melting_Curves/meltCurve_Q08380_LGALS3BP.pdf")</f>
        <v>Melting_Curves/meltCurve_Q08380_LGALS3BP.pdf</v>
      </c>
    </row>
    <row r="3148" spans="1:28" x14ac:dyDescent="0.25">
      <c r="A3148" t="s">
        <v>3152</v>
      </c>
      <c r="B3148">
        <v>0.99673306730245903</v>
      </c>
      <c r="C3148">
        <v>0.93574125542628495</v>
      </c>
      <c r="D3148">
        <v>0.93806021289980901</v>
      </c>
      <c r="E3148">
        <v>0.73294149682241505</v>
      </c>
      <c r="F3148">
        <v>0.41797923784614899</v>
      </c>
      <c r="G3148">
        <v>0.25199812556978102</v>
      </c>
      <c r="H3148">
        <v>0.158258860809288</v>
      </c>
      <c r="I3148">
        <v>0.102073811027587</v>
      </c>
      <c r="J3148">
        <v>0.105418603946526</v>
      </c>
      <c r="K3148">
        <v>5.9991890729467201E-2</v>
      </c>
      <c r="L3148">
        <v>927.47384523745995</v>
      </c>
      <c r="M3148">
        <v>17.854868697814101</v>
      </c>
      <c r="N3148">
        <v>52.428285308630898</v>
      </c>
      <c r="O3148">
        <v>51.306701104184299</v>
      </c>
      <c r="P3148">
        <v>-8.0405264150952796E-2</v>
      </c>
      <c r="Q3148">
        <v>7.5855836343892702E-2</v>
      </c>
      <c r="R3148">
        <v>0.99682342539197699</v>
      </c>
      <c r="S3148" t="s">
        <v>9600</v>
      </c>
      <c r="T3148" t="s">
        <v>12902</v>
      </c>
      <c r="U3148" t="s">
        <v>12902</v>
      </c>
      <c r="V3148" t="s">
        <v>12902</v>
      </c>
      <c r="W3148" t="s">
        <v>16009</v>
      </c>
      <c r="X3148">
        <v>6</v>
      </c>
      <c r="Y3148" t="s">
        <v>22340</v>
      </c>
      <c r="Z3148" t="s">
        <v>28723</v>
      </c>
      <c r="AA3148">
        <v>0.45942823374151992</v>
      </c>
      <c r="AB3148" t="str">
        <f>HYPERLINK("Melting_Curves/meltCurve_Q08426_EHHADH.pdf", "Melting_Curves/meltCurve_Q08426_EHHADH.pdf")</f>
        <v>Melting_Curves/meltCurve_Q08426_EHHADH.pdf</v>
      </c>
    </row>
    <row r="3149" spans="1:28" x14ac:dyDescent="0.25">
      <c r="A3149" t="s">
        <v>3153</v>
      </c>
      <c r="B3149">
        <v>0.99673306730245903</v>
      </c>
      <c r="C3149">
        <v>0.99174382710573195</v>
      </c>
      <c r="D3149">
        <v>0.93412400512379401</v>
      </c>
      <c r="E3149">
        <v>0.84602626292990302</v>
      </c>
      <c r="F3149">
        <v>0.71961128970848898</v>
      </c>
      <c r="G3149">
        <v>0.64215901484655302</v>
      </c>
      <c r="H3149">
        <v>0.50718069592107795</v>
      </c>
      <c r="I3149">
        <v>0.74142841490113698</v>
      </c>
      <c r="J3149">
        <v>0.69479855527058199</v>
      </c>
      <c r="K3149">
        <v>0.75623523986972796</v>
      </c>
      <c r="L3149">
        <v>1331.7210854161101</v>
      </c>
      <c r="M3149">
        <v>26.900038232060201</v>
      </c>
      <c r="O3149">
        <v>49.2351239598391</v>
      </c>
      <c r="P3149">
        <v>-4.5313287123878797E-2</v>
      </c>
      <c r="Q3149">
        <v>0.66825581520036303</v>
      </c>
      <c r="R3149">
        <v>0.81103673738881399</v>
      </c>
      <c r="S3149" t="s">
        <v>9601</v>
      </c>
      <c r="T3149" t="s">
        <v>12902</v>
      </c>
      <c r="U3149" t="s">
        <v>12902</v>
      </c>
      <c r="V3149" t="s">
        <v>12902</v>
      </c>
      <c r="W3149" t="s">
        <v>16010</v>
      </c>
      <c r="X3149">
        <v>4</v>
      </c>
      <c r="Y3149" t="s">
        <v>22341</v>
      </c>
      <c r="Z3149" t="s">
        <v>28724</v>
      </c>
      <c r="AA3149">
        <v>0.77591997050207095</v>
      </c>
      <c r="AB3149" t="str">
        <f>HYPERLINK("Melting_Curves/meltCurve_Q08722_CD47.pdf", "Melting_Curves/meltCurve_Q08722_CD47.pdf")</f>
        <v>Melting_Curves/meltCurve_Q08722_CD47.pdf</v>
      </c>
    </row>
    <row r="3150" spans="1:28" x14ac:dyDescent="0.25">
      <c r="A3150" t="s">
        <v>3154</v>
      </c>
      <c r="B3150">
        <v>0.99673306730245903</v>
      </c>
      <c r="C3150">
        <v>1.0409458377524601</v>
      </c>
      <c r="D3150">
        <v>0.446068898533382</v>
      </c>
      <c r="E3150">
        <v>0.225441595128936</v>
      </c>
      <c r="F3150">
        <v>0.120425578957229</v>
      </c>
      <c r="G3150">
        <v>7.6939315372834105E-2</v>
      </c>
      <c r="H3150">
        <v>4.8264177700355702E-2</v>
      </c>
      <c r="I3150">
        <v>5.9144971983947803E-2</v>
      </c>
      <c r="J3150">
        <v>5.8795072168108399E-2</v>
      </c>
      <c r="K3150">
        <v>5.2769335306211598E-2</v>
      </c>
      <c r="L3150">
        <v>2749.2744900556299</v>
      </c>
      <c r="M3150">
        <v>60.165498354922498</v>
      </c>
      <c r="N3150">
        <v>45.845929419248201</v>
      </c>
      <c r="O3150">
        <v>45.6448041593992</v>
      </c>
      <c r="P3150">
        <v>-0.29996014857438902</v>
      </c>
      <c r="Q3150">
        <v>8.9736434281302194E-2</v>
      </c>
      <c r="R3150">
        <v>0.981235801736143</v>
      </c>
      <c r="S3150" t="s">
        <v>9602</v>
      </c>
      <c r="T3150" t="s">
        <v>12902</v>
      </c>
      <c r="U3150" t="s">
        <v>12902</v>
      </c>
      <c r="V3150" t="s">
        <v>12902</v>
      </c>
      <c r="W3150" t="s">
        <v>16011</v>
      </c>
      <c r="X3150">
        <v>18</v>
      </c>
      <c r="Y3150" t="s">
        <v>22342</v>
      </c>
      <c r="Z3150" t="s">
        <v>28725</v>
      </c>
      <c r="AA3150">
        <v>0.26380907979565238</v>
      </c>
      <c r="AB3150" t="str">
        <f>HYPERLINK("Melting_Curves/meltCurve_Q08752_PPID.pdf", "Melting_Curves/meltCurve_Q08752_PPID.pdf")</f>
        <v>Melting_Curves/meltCurve_Q08752_PPID.pdf</v>
      </c>
    </row>
    <row r="3151" spans="1:28" x14ac:dyDescent="0.25">
      <c r="A3151" t="s">
        <v>3155</v>
      </c>
      <c r="B3151">
        <v>0.99673306730245903</v>
      </c>
      <c r="C3151">
        <v>0.83833578272654496</v>
      </c>
      <c r="D3151">
        <v>0.50761044036834702</v>
      </c>
      <c r="E3151">
        <v>0.435132530477715</v>
      </c>
      <c r="F3151">
        <v>0.27195535123398201</v>
      </c>
      <c r="G3151">
        <v>0.16084866647502799</v>
      </c>
      <c r="H3151">
        <v>8.2067227535671694E-2</v>
      </c>
      <c r="I3151">
        <v>5.7263221613979502E-2</v>
      </c>
      <c r="J3151">
        <v>5.6645134169053701E-2</v>
      </c>
      <c r="K3151">
        <v>4.7192700283456901E-2</v>
      </c>
      <c r="L3151">
        <v>596.64182005174598</v>
      </c>
      <c r="M3151">
        <v>12.5434147372506</v>
      </c>
      <c r="N3151">
        <v>47.845752166948202</v>
      </c>
      <c r="O3151">
        <v>46.405724470524397</v>
      </c>
      <c r="P3151">
        <v>-6.5199888108483095E-2</v>
      </c>
      <c r="Q3151">
        <v>3.5339606345337699E-2</v>
      </c>
      <c r="R3151">
        <v>0.97822239850463399</v>
      </c>
      <c r="S3151" t="s">
        <v>9603</v>
      </c>
      <c r="T3151" t="s">
        <v>12902</v>
      </c>
      <c r="U3151" t="s">
        <v>12902</v>
      </c>
      <c r="V3151" t="s">
        <v>12902</v>
      </c>
      <c r="W3151" t="s">
        <v>16012</v>
      </c>
      <c r="X3151">
        <v>23</v>
      </c>
      <c r="Y3151" t="s">
        <v>22343</v>
      </c>
      <c r="Z3151" t="s">
        <v>28726</v>
      </c>
      <c r="AA3151">
        <v>0.31449411365772029</v>
      </c>
      <c r="AB3151" t="str">
        <f>HYPERLINK("Melting_Curves/meltCurve_Q08945_SSRP1.pdf", "Melting_Curves/meltCurve_Q08945_SSRP1.pdf")</f>
        <v>Melting_Curves/meltCurve_Q08945_SSRP1.pdf</v>
      </c>
    </row>
    <row r="3152" spans="1:28" x14ac:dyDescent="0.25">
      <c r="A3152" t="s">
        <v>3156</v>
      </c>
      <c r="B3152">
        <v>0.99673306730245903</v>
      </c>
      <c r="C3152">
        <v>0.94538112366840099</v>
      </c>
      <c r="D3152">
        <v>0.84655523436809399</v>
      </c>
      <c r="E3152">
        <v>0.69140447861925702</v>
      </c>
      <c r="F3152">
        <v>0.21991175755728401</v>
      </c>
      <c r="G3152">
        <v>0.121981042251882</v>
      </c>
      <c r="H3152">
        <v>7.0209144539936402E-2</v>
      </c>
      <c r="I3152">
        <v>7.1492501498252495E-2</v>
      </c>
      <c r="J3152">
        <v>8.1988761772507204E-2</v>
      </c>
      <c r="K3152">
        <v>8.4013081428058897E-2</v>
      </c>
      <c r="L3152">
        <v>1268.5711687466301</v>
      </c>
      <c r="M3152">
        <v>25.147709902351501</v>
      </c>
      <c r="N3152">
        <v>50.7367628912287</v>
      </c>
      <c r="O3152">
        <v>50.129058333669299</v>
      </c>
      <c r="P3152">
        <v>-0.11696763496677499</v>
      </c>
      <c r="Q3152">
        <v>6.7366337140226495E-2</v>
      </c>
      <c r="R3152">
        <v>0.990289935130795</v>
      </c>
      <c r="S3152" t="s">
        <v>9604</v>
      </c>
      <c r="T3152" t="s">
        <v>12902</v>
      </c>
      <c r="U3152" t="s">
        <v>12902</v>
      </c>
      <c r="V3152" t="s">
        <v>12902</v>
      </c>
      <c r="W3152" t="s">
        <v>16013</v>
      </c>
      <c r="X3152">
        <v>16</v>
      </c>
      <c r="Y3152" t="s">
        <v>22344</v>
      </c>
      <c r="Z3152" t="s">
        <v>28727</v>
      </c>
      <c r="AA3152">
        <v>0.40034895822555239</v>
      </c>
      <c r="AB3152" t="str">
        <f>HYPERLINK("Melting_Curves/meltCurve_Q08AF3_SLFN5.pdf", "Melting_Curves/meltCurve_Q08AF3_SLFN5.pdf")</f>
        <v>Melting_Curves/meltCurve_Q08AF3_SLFN5.pdf</v>
      </c>
    </row>
    <row r="3153" spans="1:28" x14ac:dyDescent="0.25">
      <c r="A3153" t="s">
        <v>3157</v>
      </c>
      <c r="B3153">
        <v>0.99673306730245903</v>
      </c>
      <c r="C3153">
        <v>0.92599591770800205</v>
      </c>
      <c r="D3153">
        <v>0.89007424450561401</v>
      </c>
      <c r="E3153">
        <v>0.80357853760675002</v>
      </c>
      <c r="F3153">
        <v>0.78160089026756496</v>
      </c>
      <c r="G3153">
        <v>0.74538663083000101</v>
      </c>
      <c r="H3153">
        <v>0.526835069815075</v>
      </c>
      <c r="I3153">
        <v>0.51778317490931403</v>
      </c>
      <c r="J3153">
        <v>0.56262305846330796</v>
      </c>
      <c r="K3153">
        <v>0.54920435780759203</v>
      </c>
      <c r="L3153">
        <v>457.76485804332702</v>
      </c>
      <c r="M3153">
        <v>8.4141451791014905</v>
      </c>
      <c r="O3153">
        <v>51.591718490461098</v>
      </c>
      <c r="P3153">
        <v>-2.2696037645073198E-2</v>
      </c>
      <c r="Q3153">
        <v>0.44387339299949902</v>
      </c>
      <c r="R3153">
        <v>0.93673345772813199</v>
      </c>
      <c r="S3153" t="s">
        <v>9605</v>
      </c>
      <c r="T3153" t="s">
        <v>12902</v>
      </c>
      <c r="U3153" t="s">
        <v>12902</v>
      </c>
      <c r="V3153" t="s">
        <v>12902</v>
      </c>
      <c r="W3153" t="s">
        <v>16014</v>
      </c>
      <c r="X3153">
        <v>5</v>
      </c>
      <c r="Y3153" t="s">
        <v>22345</v>
      </c>
      <c r="Z3153" t="s">
        <v>28728</v>
      </c>
      <c r="AA3153">
        <v>0.72804408003278198</v>
      </c>
      <c r="AB3153" t="str">
        <f>HYPERLINK("Melting_Curves/meltCurve_Q08AG7_MZT1.pdf", "Melting_Curves/meltCurve_Q08AG7_MZT1.pdf")</f>
        <v>Melting_Curves/meltCurve_Q08AG7_MZT1.pdf</v>
      </c>
    </row>
    <row r="3154" spans="1:28" x14ac:dyDescent="0.25">
      <c r="A3154" t="s">
        <v>3158</v>
      </c>
      <c r="B3154">
        <v>0.99673306730245903</v>
      </c>
      <c r="C3154">
        <v>0.95203849049248401</v>
      </c>
      <c r="D3154">
        <v>1.0456619756343599</v>
      </c>
      <c r="E3154">
        <v>1.3595428035739301</v>
      </c>
      <c r="F3154">
        <v>0.72465721921085002</v>
      </c>
      <c r="G3154">
        <v>0.168238639304401</v>
      </c>
      <c r="H3154">
        <v>8.0335113338588796E-2</v>
      </c>
      <c r="I3154">
        <v>6.1340377680291297E-2</v>
      </c>
      <c r="J3154">
        <v>7.1267256739494397E-2</v>
      </c>
      <c r="K3154">
        <v>6.0532246361555901E-2</v>
      </c>
      <c r="L3154">
        <v>3163.3602166535102</v>
      </c>
      <c r="M3154">
        <v>58.500773240908302</v>
      </c>
      <c r="N3154">
        <v>54.2274169922186</v>
      </c>
      <c r="O3154">
        <v>54.010740965666201</v>
      </c>
      <c r="P3154">
        <v>-0.25010868572806</v>
      </c>
      <c r="Q3154">
        <v>7.6350721598204496E-2</v>
      </c>
      <c r="R3154">
        <v>0.94104711724950796</v>
      </c>
      <c r="S3154" t="s">
        <v>9606</v>
      </c>
      <c r="T3154" t="s">
        <v>12902</v>
      </c>
      <c r="U3154" t="s">
        <v>12902</v>
      </c>
      <c r="V3154" t="s">
        <v>12902</v>
      </c>
      <c r="W3154" t="s">
        <v>16015</v>
      </c>
      <c r="X3154">
        <v>12</v>
      </c>
      <c r="Y3154" t="s">
        <v>22346</v>
      </c>
      <c r="Z3154" t="s">
        <v>28729</v>
      </c>
      <c r="AA3154">
        <v>0.51126664729270788</v>
      </c>
      <c r="AB3154" t="str">
        <f>HYPERLINK("Melting_Curves/meltCurve_Q08AM6_VAC14.pdf", "Melting_Curves/meltCurve_Q08AM6_VAC14.pdf")</f>
        <v>Melting_Curves/meltCurve_Q08AM6_VAC14.pdf</v>
      </c>
    </row>
    <row r="3155" spans="1:28" x14ac:dyDescent="0.25">
      <c r="A3155" t="s">
        <v>3159</v>
      </c>
      <c r="B3155">
        <v>0.99673306730245903</v>
      </c>
      <c r="C3155">
        <v>0.91083131116332405</v>
      </c>
      <c r="D3155">
        <v>0.98473344652752104</v>
      </c>
      <c r="E3155">
        <v>0.85061553863042705</v>
      </c>
      <c r="F3155">
        <v>0.560513769569988</v>
      </c>
      <c r="G3155">
        <v>0.29376754839305902</v>
      </c>
      <c r="H3155">
        <v>0.19620499506604999</v>
      </c>
      <c r="I3155">
        <v>0.146751596973656</v>
      </c>
      <c r="J3155">
        <v>9.3923483291214097E-2</v>
      </c>
      <c r="K3155">
        <v>8.7898793420922106E-2</v>
      </c>
      <c r="L3155">
        <v>1053.8902857134899</v>
      </c>
      <c r="M3155">
        <v>19.723027643511902</v>
      </c>
      <c r="N3155">
        <v>54.004909619701898</v>
      </c>
      <c r="O3155">
        <v>52.894300015612302</v>
      </c>
      <c r="P3155">
        <v>-8.4457261104919398E-2</v>
      </c>
      <c r="Q3155">
        <v>9.4022915747219202E-2</v>
      </c>
      <c r="R3155">
        <v>0.99335089501477303</v>
      </c>
      <c r="S3155" t="s">
        <v>9607</v>
      </c>
      <c r="T3155" t="s">
        <v>12902</v>
      </c>
      <c r="U3155" t="s">
        <v>12902</v>
      </c>
      <c r="V3155" t="s">
        <v>12902</v>
      </c>
      <c r="W3155" t="s">
        <v>16016</v>
      </c>
      <c r="X3155">
        <v>8</v>
      </c>
      <c r="Y3155" t="s">
        <v>22347</v>
      </c>
      <c r="Z3155" t="s">
        <v>28730</v>
      </c>
      <c r="AA3155">
        <v>0.51243247959949534</v>
      </c>
      <c r="AB3155" t="str">
        <f>HYPERLINK("Melting_Curves/meltCurve_Q08E86_KIAA0100.pdf", "Melting_Curves/meltCurve_Q08E86_KIAA0100.pdf")</f>
        <v>Melting_Curves/meltCurve_Q08E86_KIAA0100.pdf</v>
      </c>
    </row>
    <row r="3156" spans="1:28" x14ac:dyDescent="0.25">
      <c r="A3156" t="s">
        <v>3160</v>
      </c>
      <c r="B3156">
        <v>0.99673306730245903</v>
      </c>
      <c r="C3156">
        <v>0.77349316079836405</v>
      </c>
      <c r="D3156">
        <v>0.35554505684918503</v>
      </c>
      <c r="E3156">
        <v>0.17570594187385799</v>
      </c>
      <c r="F3156">
        <v>0.119487630267069</v>
      </c>
      <c r="G3156">
        <v>7.4473073147285504E-2</v>
      </c>
      <c r="H3156">
        <v>4.6435254462770303E-2</v>
      </c>
      <c r="I3156">
        <v>4.3161593742479999E-2</v>
      </c>
      <c r="J3156">
        <v>3.97096944477155E-2</v>
      </c>
      <c r="K3156">
        <v>3.0448633648862699E-2</v>
      </c>
      <c r="L3156">
        <v>1120.39168277065</v>
      </c>
      <c r="M3156">
        <v>24.991964260810398</v>
      </c>
      <c r="N3156">
        <v>45.052496142594798</v>
      </c>
      <c r="O3156">
        <v>44.545994009573697</v>
      </c>
      <c r="P3156">
        <v>-0.132120097237584</v>
      </c>
      <c r="Q3156">
        <v>5.80422578765038E-2</v>
      </c>
      <c r="R3156">
        <v>0.99291138542979496</v>
      </c>
      <c r="S3156" t="s">
        <v>9608</v>
      </c>
      <c r="T3156" t="s">
        <v>12902</v>
      </c>
      <c r="U3156" t="s">
        <v>12902</v>
      </c>
      <c r="V3156" t="s">
        <v>12902</v>
      </c>
      <c r="W3156" t="s">
        <v>16017</v>
      </c>
      <c r="X3156">
        <v>32</v>
      </c>
      <c r="Y3156" t="s">
        <v>22348</v>
      </c>
      <c r="Z3156" t="s">
        <v>28731</v>
      </c>
      <c r="AA3156">
        <v>0.21926813162701861</v>
      </c>
      <c r="AB3156" t="str">
        <f>HYPERLINK("Melting_Curves/meltCurve_Q08J23_NSUN2.pdf", "Melting_Curves/meltCurve_Q08J23_NSUN2.pdf")</f>
        <v>Melting_Curves/meltCurve_Q08J23_NSUN2.pdf</v>
      </c>
    </row>
    <row r="3157" spans="1:28" x14ac:dyDescent="0.25">
      <c r="A3157" t="s">
        <v>3161</v>
      </c>
      <c r="B3157">
        <v>0.99673306730245903</v>
      </c>
      <c r="C3157">
        <v>0.96289309397382905</v>
      </c>
      <c r="D3157">
        <v>0.93441202747612095</v>
      </c>
      <c r="E3157">
        <v>0.941146536811862</v>
      </c>
      <c r="F3157">
        <v>1.1636954591248201</v>
      </c>
      <c r="G3157">
        <v>0.976626623074486</v>
      </c>
      <c r="H3157">
        <v>0.82416021165550801</v>
      </c>
      <c r="I3157">
        <v>0.244588662971605</v>
      </c>
      <c r="J3157">
        <v>0.13485558597966699</v>
      </c>
      <c r="K3157">
        <v>0.102476394469912</v>
      </c>
      <c r="L3157">
        <v>3778.2905162642301</v>
      </c>
      <c r="M3157">
        <v>60.754844554511202</v>
      </c>
      <c r="N3157">
        <v>62.449927029656102</v>
      </c>
      <c r="O3157">
        <v>62.121868109506302</v>
      </c>
      <c r="P3157">
        <v>-0.217103648735927</v>
      </c>
      <c r="Q3157">
        <v>0.112046087348007</v>
      </c>
      <c r="R3157">
        <v>0.97477101842555902</v>
      </c>
      <c r="S3157" t="s">
        <v>9609</v>
      </c>
      <c r="T3157" t="s">
        <v>12902</v>
      </c>
      <c r="U3157" t="s">
        <v>12902</v>
      </c>
      <c r="V3157" t="s">
        <v>12902</v>
      </c>
      <c r="W3157" t="s">
        <v>16018</v>
      </c>
      <c r="X3157">
        <v>13</v>
      </c>
      <c r="Y3157" t="s">
        <v>22349</v>
      </c>
      <c r="Z3157" t="s">
        <v>28732</v>
      </c>
      <c r="AA3157">
        <v>0.77041149453645064</v>
      </c>
      <c r="AB3157" t="str">
        <f>HYPERLINK("Melting_Curves/meltCurve_Q09028_3_RBBP4.pdf", "Melting_Curves/meltCurve_Q09028_3_RBBP4.pdf")</f>
        <v>Melting_Curves/meltCurve_Q09028_3_RBBP4.pdf</v>
      </c>
    </row>
    <row r="3158" spans="1:28" x14ac:dyDescent="0.25">
      <c r="A3158" t="s">
        <v>3162</v>
      </c>
      <c r="B3158">
        <v>0.99673306730245903</v>
      </c>
      <c r="C3158">
        <v>0.72597450087271698</v>
      </c>
      <c r="D3158">
        <v>1.1051441664708801</v>
      </c>
      <c r="E3158">
        <v>0.96230790387801002</v>
      </c>
      <c r="F3158">
        <v>0.41116190243225098</v>
      </c>
      <c r="G3158">
        <v>0.17950142411832801</v>
      </c>
      <c r="H3158">
        <v>9.4814864879724306E-2</v>
      </c>
      <c r="I3158">
        <v>7.8825579337377202E-2</v>
      </c>
      <c r="J3158">
        <v>9.2533919136509601E-2</v>
      </c>
      <c r="K3158">
        <v>7.6297108131403404E-2</v>
      </c>
      <c r="L3158">
        <v>2397.7260220295698</v>
      </c>
      <c r="M3158">
        <v>45.635946446675703</v>
      </c>
      <c r="N3158">
        <v>52.788522529310001</v>
      </c>
      <c r="O3158">
        <v>52.439714915925101</v>
      </c>
      <c r="P3158">
        <v>-0.196553215075539</v>
      </c>
      <c r="Q3158">
        <v>9.6573584167379906E-2</v>
      </c>
      <c r="R3158">
        <v>0.94563626293349701</v>
      </c>
      <c r="S3158" t="s">
        <v>9610</v>
      </c>
      <c r="T3158" t="s">
        <v>12902</v>
      </c>
      <c r="U3158" t="s">
        <v>12902</v>
      </c>
      <c r="V3158" t="s">
        <v>12902</v>
      </c>
      <c r="W3158" t="s">
        <v>16019</v>
      </c>
      <c r="X3158">
        <v>21</v>
      </c>
      <c r="Y3158" t="s">
        <v>22350</v>
      </c>
      <c r="Z3158" t="s">
        <v>28733</v>
      </c>
      <c r="AA3158">
        <v>0.47673012685115701</v>
      </c>
      <c r="AB3158" t="str">
        <f>HYPERLINK("Melting_Curves/meltCurve_Q09161_NCBP1.pdf", "Melting_Curves/meltCurve_Q09161_NCBP1.pdf")</f>
        <v>Melting_Curves/meltCurve_Q09161_NCBP1.pdf</v>
      </c>
    </row>
    <row r="3159" spans="1:28" x14ac:dyDescent="0.25">
      <c r="A3159" t="s">
        <v>3163</v>
      </c>
      <c r="B3159">
        <v>0.99673306730245903</v>
      </c>
      <c r="C3159">
        <v>0.98151719017362105</v>
      </c>
      <c r="D3159">
        <v>0.91933148690823097</v>
      </c>
      <c r="E3159">
        <v>0.81441170787632899</v>
      </c>
      <c r="F3159">
        <v>0.59438966590492004</v>
      </c>
      <c r="G3159">
        <v>0.28248507299578701</v>
      </c>
      <c r="H3159">
        <v>0.13101364966819701</v>
      </c>
      <c r="I3159">
        <v>0.113837999894778</v>
      </c>
      <c r="J3159">
        <v>0.108443441062444</v>
      </c>
      <c r="K3159">
        <v>9.5277426978662899E-2</v>
      </c>
      <c r="L3159">
        <v>1012.56995004517</v>
      </c>
      <c r="M3159">
        <v>18.9442133477447</v>
      </c>
      <c r="N3159">
        <v>53.904881865022702</v>
      </c>
      <c r="O3159">
        <v>52.865188951040999</v>
      </c>
      <c r="P3159">
        <v>-8.2974228695787397E-2</v>
      </c>
      <c r="Q3159">
        <v>7.3855150080755605E-2</v>
      </c>
      <c r="R3159">
        <v>0.99666754747403397</v>
      </c>
      <c r="S3159" t="s">
        <v>9611</v>
      </c>
      <c r="T3159" t="s">
        <v>12902</v>
      </c>
      <c r="U3159" t="s">
        <v>12902</v>
      </c>
      <c r="V3159" t="s">
        <v>12902</v>
      </c>
      <c r="W3159" t="s">
        <v>16020</v>
      </c>
      <c r="X3159">
        <v>9</v>
      </c>
      <c r="Y3159" t="s">
        <v>22351</v>
      </c>
      <c r="Z3159" t="s">
        <v>28734</v>
      </c>
      <c r="AA3159">
        <v>0.50293785977793104</v>
      </c>
      <c r="AB3159" t="str">
        <f>HYPERLINK("Melting_Curves/meltCurve_Q09328_MGAT5.pdf", "Melting_Curves/meltCurve_Q09328_MGAT5.pdf")</f>
        <v>Melting_Curves/meltCurve_Q09328_MGAT5.pdf</v>
      </c>
    </row>
    <row r="3160" spans="1:28" x14ac:dyDescent="0.25">
      <c r="A3160" t="s">
        <v>3164</v>
      </c>
      <c r="B3160">
        <v>0.99673306730245903</v>
      </c>
      <c r="C3160">
        <v>0.92188941398439905</v>
      </c>
      <c r="D3160">
        <v>0.91232089525820803</v>
      </c>
      <c r="E3160">
        <v>0.78683628629386004</v>
      </c>
      <c r="F3160">
        <v>0.22655578354088299</v>
      </c>
      <c r="G3160">
        <v>0.18082045952721801</v>
      </c>
      <c r="H3160">
        <v>0.115764353298295</v>
      </c>
      <c r="I3160">
        <v>8.6597959081955805E-2</v>
      </c>
      <c r="J3160">
        <v>7.9264895254532106E-2</v>
      </c>
      <c r="K3160">
        <v>5.9270660223902399E-2</v>
      </c>
      <c r="L3160">
        <v>1889.99475291064</v>
      </c>
      <c r="M3160">
        <v>37.0574170090566</v>
      </c>
      <c r="N3160">
        <v>51.294878131830799</v>
      </c>
      <c r="O3160">
        <v>50.853953759411802</v>
      </c>
      <c r="P3160">
        <v>-0.16479444655480399</v>
      </c>
      <c r="Q3160">
        <v>9.54117927748067E-2</v>
      </c>
      <c r="R3160">
        <v>0.98752430815243197</v>
      </c>
      <c r="S3160" t="s">
        <v>9612</v>
      </c>
      <c r="T3160" t="s">
        <v>12902</v>
      </c>
      <c r="U3160" t="s">
        <v>12902</v>
      </c>
      <c r="V3160" t="s">
        <v>12902</v>
      </c>
      <c r="W3160" t="s">
        <v>16021</v>
      </c>
      <c r="X3160">
        <v>16</v>
      </c>
      <c r="Y3160" t="s">
        <v>22352</v>
      </c>
      <c r="Z3160" t="s">
        <v>28735</v>
      </c>
      <c r="AA3160">
        <v>0.43086767064176479</v>
      </c>
      <c r="AB3160" t="str">
        <f>HYPERLINK("Melting_Curves/meltCurve_Q09472_EP300.pdf", "Melting_Curves/meltCurve_Q09472_EP300.pdf")</f>
        <v>Melting_Curves/meltCurve_Q09472_EP300.pdf</v>
      </c>
    </row>
    <row r="3161" spans="1:28" x14ac:dyDescent="0.25">
      <c r="A3161" t="s">
        <v>3165</v>
      </c>
      <c r="B3161">
        <v>0.99673306730245903</v>
      </c>
      <c r="C3161">
        <v>0.94882825908496105</v>
      </c>
      <c r="D3161">
        <v>0.90312801217712202</v>
      </c>
      <c r="E3161">
        <v>0.82919838356325903</v>
      </c>
      <c r="F3161">
        <v>0.58350231260784802</v>
      </c>
      <c r="G3161">
        <v>0.46701074117460301</v>
      </c>
      <c r="H3161">
        <v>0.44336563830730702</v>
      </c>
      <c r="I3161">
        <v>0.76412211079768699</v>
      </c>
      <c r="J3161">
        <v>1.04021216891541</v>
      </c>
      <c r="K3161">
        <v>1.1249359846385101</v>
      </c>
      <c r="L3161">
        <v>1548.71205245496</v>
      </c>
      <c r="M3161">
        <v>33.146432583215898</v>
      </c>
      <c r="O3161">
        <v>46.554262457947701</v>
      </c>
      <c r="P3161">
        <v>-4.5541934787226603E-2</v>
      </c>
      <c r="Q3161">
        <v>0.74414601112853596</v>
      </c>
      <c r="R3161">
        <v>0.17003483500878999</v>
      </c>
      <c r="S3161" t="s">
        <v>9613</v>
      </c>
      <c r="T3161" t="s">
        <v>12902</v>
      </c>
      <c r="U3161" t="s">
        <v>12902</v>
      </c>
      <c r="V3161" t="s">
        <v>12902</v>
      </c>
      <c r="W3161" t="s">
        <v>16022</v>
      </c>
      <c r="X3161">
        <v>258</v>
      </c>
      <c r="Y3161" t="s">
        <v>22353</v>
      </c>
      <c r="Z3161" t="s">
        <v>28736</v>
      </c>
      <c r="AA3161">
        <v>0.80272580817278594</v>
      </c>
      <c r="AB3161" t="str">
        <f>HYPERLINK("Melting_Curves/meltCurve_Q09666_AHNAK.pdf", "Melting_Curves/meltCurve_Q09666_AHNAK.pdf")</f>
        <v>Melting_Curves/meltCurve_Q09666_AHNAK.pdf</v>
      </c>
    </row>
    <row r="3162" spans="1:28" x14ac:dyDescent="0.25">
      <c r="A3162" t="s">
        <v>3166</v>
      </c>
      <c r="B3162">
        <v>0.99673306730245903</v>
      </c>
      <c r="C3162">
        <v>0.99040999842658695</v>
      </c>
      <c r="D3162">
        <v>1.17171987869008</v>
      </c>
      <c r="E3162">
        <v>1.1211695511409701</v>
      </c>
      <c r="F3162">
        <v>1.0624935675885001</v>
      </c>
      <c r="G3162">
        <v>1.0664515851115299</v>
      </c>
      <c r="H3162">
        <v>1.0545339557050499</v>
      </c>
      <c r="I3162">
        <v>1.7277137803760501</v>
      </c>
      <c r="J3162">
        <v>3.0127546902809899</v>
      </c>
      <c r="K3162">
        <v>2.7430303081824801</v>
      </c>
      <c r="L3162">
        <v>15000</v>
      </c>
      <c r="M3162">
        <v>244.61195340592499</v>
      </c>
      <c r="O3162">
        <v>61.317502080806499</v>
      </c>
      <c r="P3162">
        <v>0.49865839678451901</v>
      </c>
      <c r="Q3162">
        <v>1.5</v>
      </c>
      <c r="R3162">
        <v>0.24662885489880701</v>
      </c>
      <c r="S3162" t="s">
        <v>9614</v>
      </c>
      <c r="T3162" t="s">
        <v>12902</v>
      </c>
      <c r="U3162" t="s">
        <v>12902</v>
      </c>
      <c r="V3162" t="s">
        <v>12902</v>
      </c>
      <c r="W3162" t="s">
        <v>16023</v>
      </c>
      <c r="X3162">
        <v>1</v>
      </c>
      <c r="Y3162" t="s">
        <v>22354</v>
      </c>
      <c r="Z3162" t="s">
        <v>28737</v>
      </c>
      <c r="AA3162">
        <v>1.1445835457185869</v>
      </c>
      <c r="AB3162" t="str">
        <f>HYPERLINK("Melting_Curves/meltCurve_Q0D2K5_EGFEM1P.pdf", "Melting_Curves/meltCurve_Q0D2K5_EGFEM1P.pdf")</f>
        <v>Melting_Curves/meltCurve_Q0D2K5_EGFEM1P.pdf</v>
      </c>
    </row>
    <row r="3163" spans="1:28" x14ac:dyDescent="0.25">
      <c r="A3163" t="s">
        <v>3167</v>
      </c>
      <c r="B3163">
        <v>0.99673306730245903</v>
      </c>
      <c r="C3163">
        <v>0.98100376373912501</v>
      </c>
      <c r="D3163">
        <v>0.91649073939666603</v>
      </c>
      <c r="E3163">
        <v>0.81313210602424602</v>
      </c>
      <c r="F3163">
        <v>0.267340563140332</v>
      </c>
      <c r="G3163">
        <v>0.165735392914382</v>
      </c>
      <c r="H3163">
        <v>8.7706442744031901E-2</v>
      </c>
      <c r="I3163">
        <v>7.6052389378542501E-2</v>
      </c>
      <c r="J3163">
        <v>7.4334331539335705E-2</v>
      </c>
      <c r="K3163">
        <v>6.5676138447900906E-2</v>
      </c>
      <c r="L3163">
        <v>1780.7409257559</v>
      </c>
      <c r="M3163">
        <v>34.686289494342098</v>
      </c>
      <c r="N3163">
        <v>51.608541976748597</v>
      </c>
      <c r="O3163">
        <v>51.168724753520998</v>
      </c>
      <c r="P3163">
        <v>-0.155404940462783</v>
      </c>
      <c r="Q3163">
        <v>8.2998649333201793E-2</v>
      </c>
      <c r="R3163">
        <v>0.99430861015303396</v>
      </c>
      <c r="S3163" t="s">
        <v>9615</v>
      </c>
      <c r="T3163" t="s">
        <v>12902</v>
      </c>
      <c r="U3163" t="s">
        <v>12902</v>
      </c>
      <c r="V3163" t="s">
        <v>12902</v>
      </c>
      <c r="W3163" t="s">
        <v>16024</v>
      </c>
      <c r="X3163">
        <v>12</v>
      </c>
      <c r="Y3163" t="s">
        <v>22355</v>
      </c>
      <c r="Z3163" t="s">
        <v>28738</v>
      </c>
      <c r="AA3163">
        <v>0.433912460027577</v>
      </c>
      <c r="AB3163" t="str">
        <f>HYPERLINK("Melting_Curves/meltCurve_Q0JRZ9_FCHO2.pdf", "Melting_Curves/meltCurve_Q0JRZ9_FCHO2.pdf")</f>
        <v>Melting_Curves/meltCurve_Q0JRZ9_FCHO2.pdf</v>
      </c>
    </row>
    <row r="3164" spans="1:28" x14ac:dyDescent="0.25">
      <c r="A3164" t="s">
        <v>3168</v>
      </c>
      <c r="B3164">
        <v>0.99673306730245903</v>
      </c>
      <c r="C3164">
        <v>0.95932176980221395</v>
      </c>
      <c r="D3164">
        <v>1.0255401631505201</v>
      </c>
      <c r="E3164">
        <v>1.1404937486464399</v>
      </c>
      <c r="F3164">
        <v>0.81174001782071503</v>
      </c>
      <c r="G3164">
        <v>0.832694937952839</v>
      </c>
      <c r="H3164">
        <v>0.68300185525073998</v>
      </c>
      <c r="I3164">
        <v>0.74030392192925398</v>
      </c>
      <c r="J3164">
        <v>0.64475492522237599</v>
      </c>
      <c r="K3164">
        <v>0.451655361359109</v>
      </c>
      <c r="L3164">
        <v>530.73020589548901</v>
      </c>
      <c r="M3164">
        <v>7.5719562760352499</v>
      </c>
      <c r="O3164">
        <v>65.703480450843898</v>
      </c>
      <c r="P3164">
        <v>-2.8851078303474099E-2</v>
      </c>
      <c r="Q3164">
        <v>0</v>
      </c>
      <c r="R3164">
        <v>0.83231580518956005</v>
      </c>
      <c r="S3164" t="s">
        <v>9616</v>
      </c>
      <c r="T3164" t="s">
        <v>12902</v>
      </c>
      <c r="U3164" t="s">
        <v>12902</v>
      </c>
      <c r="V3164" t="s">
        <v>12902</v>
      </c>
      <c r="W3164" t="s">
        <v>16025</v>
      </c>
      <c r="X3164">
        <v>2</v>
      </c>
      <c r="Y3164" t="s">
        <v>22356</v>
      </c>
      <c r="Z3164" t="s">
        <v>28739</v>
      </c>
      <c r="AA3164">
        <v>0.83576219013509701</v>
      </c>
      <c r="AB3164" t="str">
        <f>HYPERLINK("Melting_Curves/meltCurve_Q0PNE2_ELP6.pdf", "Melting_Curves/meltCurve_Q0PNE2_ELP6.pdf")</f>
        <v>Melting_Curves/meltCurve_Q0PNE2_ELP6.pdf</v>
      </c>
    </row>
    <row r="3165" spans="1:28" x14ac:dyDescent="0.25">
      <c r="A3165" t="s">
        <v>3169</v>
      </c>
      <c r="B3165">
        <v>0.99673306730245903</v>
      </c>
      <c r="C3165">
        <v>0.89444294754014497</v>
      </c>
      <c r="D3165">
        <v>0.52705153424112305</v>
      </c>
      <c r="E3165">
        <v>0.27466834158967901</v>
      </c>
      <c r="F3165">
        <v>0.14581566474624899</v>
      </c>
      <c r="G3165">
        <v>8.6958588460406896E-2</v>
      </c>
      <c r="H3165">
        <v>5.8819840870064997E-2</v>
      </c>
      <c r="I3165">
        <v>4.8924194454587899E-2</v>
      </c>
      <c r="J3165">
        <v>6.4456172935916101E-2</v>
      </c>
      <c r="K3165">
        <v>4.7308020451192402E-2</v>
      </c>
      <c r="L3165">
        <v>981.65822458127695</v>
      </c>
      <c r="M3165">
        <v>21.164861838773302</v>
      </c>
      <c r="N3165">
        <v>46.669563860121102</v>
      </c>
      <c r="O3165">
        <v>45.973403642574802</v>
      </c>
      <c r="P3165">
        <v>-0.108048587697214</v>
      </c>
      <c r="Q3165">
        <v>6.1230433518858998E-2</v>
      </c>
      <c r="R3165">
        <v>0.99502058621656797</v>
      </c>
      <c r="S3165" t="s">
        <v>9617</v>
      </c>
      <c r="T3165" t="s">
        <v>12902</v>
      </c>
      <c r="U3165" t="s">
        <v>12902</v>
      </c>
      <c r="V3165" t="s">
        <v>12902</v>
      </c>
      <c r="W3165" t="s">
        <v>16026</v>
      </c>
      <c r="X3165">
        <v>11</v>
      </c>
      <c r="Y3165" t="s">
        <v>22357</v>
      </c>
      <c r="Z3165" t="s">
        <v>28740</v>
      </c>
      <c r="AA3165">
        <v>0.2733780768171693</v>
      </c>
      <c r="AB3165" t="str">
        <f>HYPERLINK("Melting_Curves/meltCurve_Q0VDF9_HSPA14.pdf", "Melting_Curves/meltCurve_Q0VDF9_HSPA14.pdf")</f>
        <v>Melting_Curves/meltCurve_Q0VDF9_HSPA14.pdf</v>
      </c>
    </row>
    <row r="3166" spans="1:28" x14ac:dyDescent="0.25">
      <c r="A3166" t="s">
        <v>3170</v>
      </c>
      <c r="B3166">
        <v>0.99673306730245903</v>
      </c>
      <c r="C3166">
        <v>1.01170844468633</v>
      </c>
      <c r="D3166">
        <v>0.89483241587889095</v>
      </c>
      <c r="E3166">
        <v>0.618797413801211</v>
      </c>
      <c r="F3166">
        <v>0.238240472227844</v>
      </c>
      <c r="G3166">
        <v>0.151013787718906</v>
      </c>
      <c r="H3166">
        <v>9.7049487035039003E-2</v>
      </c>
      <c r="I3166">
        <v>9.1184978275710302E-2</v>
      </c>
      <c r="J3166">
        <v>0.11245651671823299</v>
      </c>
      <c r="K3166">
        <v>0.106448309327193</v>
      </c>
      <c r="L3166">
        <v>1322.2360023029801</v>
      </c>
      <c r="M3166">
        <v>26.418505216085599</v>
      </c>
      <c r="N3166">
        <v>50.474209448641702</v>
      </c>
      <c r="O3166">
        <v>49.765481064001101</v>
      </c>
      <c r="P3166">
        <v>-0.11949341961632</v>
      </c>
      <c r="Q3166">
        <v>9.9633638212757003E-2</v>
      </c>
      <c r="R3166">
        <v>0.99842700612008095</v>
      </c>
      <c r="S3166" t="s">
        <v>9618</v>
      </c>
      <c r="T3166" t="s">
        <v>12902</v>
      </c>
      <c r="U3166" t="s">
        <v>12902</v>
      </c>
      <c r="V3166" t="s">
        <v>12902</v>
      </c>
      <c r="W3166" t="s">
        <v>16027</v>
      </c>
      <c r="X3166">
        <v>2</v>
      </c>
      <c r="Y3166" t="s">
        <v>22358</v>
      </c>
      <c r="Z3166" t="s">
        <v>28741</v>
      </c>
      <c r="AA3166">
        <v>0.40844985918800769</v>
      </c>
      <c r="AB3166" t="str">
        <f>HYPERLINK("Melting_Curves/meltCurve_Q0VDG4_2_SCRN3.pdf", "Melting_Curves/meltCurve_Q0VDG4_2_SCRN3.pdf")</f>
        <v>Melting_Curves/meltCurve_Q0VDG4_2_SCRN3.pdf</v>
      </c>
    </row>
    <row r="3167" spans="1:28" x14ac:dyDescent="0.25">
      <c r="A3167" t="s">
        <v>3171</v>
      </c>
      <c r="B3167">
        <v>0.99673306730245903</v>
      </c>
      <c r="C3167">
        <v>0.99281789219762195</v>
      </c>
      <c r="D3167">
        <v>0.76553171188938796</v>
      </c>
      <c r="E3167">
        <v>0.59328583720539096</v>
      </c>
      <c r="F3167">
        <v>0.40160455468464201</v>
      </c>
      <c r="G3167">
        <v>0.32314671346132201</v>
      </c>
      <c r="H3167">
        <v>0.16370945960723299</v>
      </c>
      <c r="I3167">
        <v>0.12484843189134701</v>
      </c>
      <c r="J3167">
        <v>0.130719154294649</v>
      </c>
      <c r="K3167">
        <v>9.9200304197200703E-2</v>
      </c>
      <c r="L3167">
        <v>653.39486080388804</v>
      </c>
      <c r="M3167">
        <v>12.872851431036</v>
      </c>
      <c r="N3167">
        <v>51.476882316166098</v>
      </c>
      <c r="O3167">
        <v>49.579487288850402</v>
      </c>
      <c r="P3167">
        <v>-5.9578176267546502E-2</v>
      </c>
      <c r="Q3167">
        <v>8.2312605753152995E-2</v>
      </c>
      <c r="R3167">
        <v>0.98975458284262796</v>
      </c>
      <c r="S3167" t="s">
        <v>9619</v>
      </c>
      <c r="T3167" t="s">
        <v>12902</v>
      </c>
      <c r="U3167" t="s">
        <v>12902</v>
      </c>
      <c r="V3167" t="s">
        <v>12902</v>
      </c>
      <c r="W3167" t="s">
        <v>16028</v>
      </c>
      <c r="X3167">
        <v>2</v>
      </c>
      <c r="Y3167" t="s">
        <v>22359</v>
      </c>
      <c r="Z3167" t="s">
        <v>28742</v>
      </c>
      <c r="AA3167">
        <v>0.43871762158061928</v>
      </c>
      <c r="AB3167" t="str">
        <f>HYPERLINK("Melting_Curves/meltCurve_Q0VG06_FAAP100.pdf", "Melting_Curves/meltCurve_Q0VG06_FAAP100.pdf")</f>
        <v>Melting_Curves/meltCurve_Q0VG06_FAAP100.pdf</v>
      </c>
    </row>
    <row r="3168" spans="1:28" x14ac:dyDescent="0.25">
      <c r="A3168" t="s">
        <v>3172</v>
      </c>
      <c r="B3168">
        <v>0.99673306730245903</v>
      </c>
      <c r="C3168">
        <v>0.98122672557791402</v>
      </c>
      <c r="D3168">
        <v>0.915856455547994</v>
      </c>
      <c r="E3168">
        <v>0.77303198772622705</v>
      </c>
      <c r="F3168">
        <v>0.74889013742719901</v>
      </c>
      <c r="G3168">
        <v>0.53684026437599797</v>
      </c>
      <c r="H3168">
        <v>0.45177779593787099</v>
      </c>
      <c r="I3168">
        <v>0.31698392541347598</v>
      </c>
      <c r="J3168">
        <v>0.18668908932319001</v>
      </c>
      <c r="K3168">
        <v>8.7701212683461802E-2</v>
      </c>
      <c r="L3168">
        <v>568.28945549868899</v>
      </c>
      <c r="M3168">
        <v>9.7834603748011304</v>
      </c>
      <c r="N3168">
        <v>58.086753647116602</v>
      </c>
      <c r="O3168">
        <v>55.815871753728103</v>
      </c>
      <c r="P3168">
        <v>-4.3843417024526203E-2</v>
      </c>
      <c r="Q3168">
        <v>0</v>
      </c>
      <c r="R3168">
        <v>0.98288894447188502</v>
      </c>
      <c r="S3168" t="s">
        <v>9620</v>
      </c>
      <c r="T3168" t="s">
        <v>12902</v>
      </c>
      <c r="U3168" t="s">
        <v>12902</v>
      </c>
      <c r="V3168" t="s">
        <v>12902</v>
      </c>
      <c r="W3168" t="s">
        <v>16029</v>
      </c>
      <c r="X3168">
        <v>3</v>
      </c>
      <c r="Y3168" t="s">
        <v>22360</v>
      </c>
      <c r="Z3168" t="s">
        <v>28743</v>
      </c>
      <c r="AA3168">
        <v>0.61176279095114761</v>
      </c>
      <c r="AB3168" t="str">
        <f>HYPERLINK("Melting_Curves/meltCurve_Q0VGL1_LAMTOR4.pdf", "Melting_Curves/meltCurve_Q0VGL1_LAMTOR4.pdf")</f>
        <v>Melting_Curves/meltCurve_Q0VGL1_LAMTOR4.pdf</v>
      </c>
    </row>
    <row r="3169" spans="1:28" x14ac:dyDescent="0.25">
      <c r="A3169" t="s">
        <v>3173</v>
      </c>
      <c r="B3169">
        <v>0.99673306730245903</v>
      </c>
      <c r="C3169">
        <v>0.89164926578911696</v>
      </c>
      <c r="D3169">
        <v>0.84153901894105099</v>
      </c>
      <c r="E3169">
        <v>0.60974740386649195</v>
      </c>
      <c r="F3169">
        <v>0.39863201789529501</v>
      </c>
      <c r="G3169">
        <v>0.170621058310442</v>
      </c>
      <c r="H3169">
        <v>0.103553462622957</v>
      </c>
      <c r="I3169">
        <v>0.10179279064752</v>
      </c>
      <c r="J3169">
        <v>0.13832927854801999</v>
      </c>
      <c r="K3169">
        <v>0.120288101228159</v>
      </c>
      <c r="L3169">
        <v>807.87942363597199</v>
      </c>
      <c r="M3169">
        <v>16.023105003881302</v>
      </c>
      <c r="N3169">
        <v>51.015967673957398</v>
      </c>
      <c r="O3169">
        <v>49.653924765973201</v>
      </c>
      <c r="P3169">
        <v>-7.37902469480652E-2</v>
      </c>
      <c r="Q3169">
        <v>8.5398335939709802E-2</v>
      </c>
      <c r="R3169">
        <v>0.99149863678665595</v>
      </c>
      <c r="S3169" t="s">
        <v>9621</v>
      </c>
      <c r="T3169" t="s">
        <v>12902</v>
      </c>
      <c r="U3169" t="s">
        <v>12902</v>
      </c>
      <c r="V3169" t="s">
        <v>12902</v>
      </c>
      <c r="W3169" t="s">
        <v>16030</v>
      </c>
      <c r="X3169">
        <v>3</v>
      </c>
      <c r="Y3169" t="s">
        <v>22361</v>
      </c>
      <c r="Z3169" t="s">
        <v>28744</v>
      </c>
      <c r="AA3169">
        <v>0.42223291495609871</v>
      </c>
      <c r="AB3169" t="str">
        <f>HYPERLINK("Melting_Curves/meltCurve_Q10469_MGAT2.pdf", "Melting_Curves/meltCurve_Q10469_MGAT2.pdf")</f>
        <v>Melting_Curves/meltCurve_Q10469_MGAT2.pdf</v>
      </c>
    </row>
    <row r="3170" spans="1:28" x14ac:dyDescent="0.25">
      <c r="A3170" t="s">
        <v>3174</v>
      </c>
      <c r="B3170">
        <v>0.99673306730245903</v>
      </c>
      <c r="C3170">
        <v>0.90748395322745401</v>
      </c>
      <c r="D3170">
        <v>0.53692517645975701</v>
      </c>
      <c r="E3170">
        <v>0.41072772418603998</v>
      </c>
      <c r="F3170">
        <v>0.14357214607248001</v>
      </c>
      <c r="G3170">
        <v>8.4557158886473194E-2</v>
      </c>
      <c r="H3170">
        <v>5.4631164455327799E-2</v>
      </c>
      <c r="I3170">
        <v>5.1068015320738902E-2</v>
      </c>
      <c r="J3170">
        <v>5.48338088252373E-2</v>
      </c>
      <c r="K3170">
        <v>4.3734045037850403E-2</v>
      </c>
      <c r="L3170">
        <v>804.26284618160003</v>
      </c>
      <c r="M3170">
        <v>17.027756094383601</v>
      </c>
      <c r="N3170">
        <v>47.470010959002003</v>
      </c>
      <c r="O3170">
        <v>46.595441056226001</v>
      </c>
      <c r="P3170">
        <v>-8.7633620344398006E-2</v>
      </c>
      <c r="Q3170">
        <v>4.0841934177159499E-2</v>
      </c>
      <c r="R3170">
        <v>0.98468401360936397</v>
      </c>
      <c r="S3170" t="s">
        <v>9622</v>
      </c>
      <c r="T3170" t="s">
        <v>12902</v>
      </c>
      <c r="U3170" t="s">
        <v>12902</v>
      </c>
      <c r="V3170" t="s">
        <v>12902</v>
      </c>
      <c r="W3170" t="s">
        <v>16031</v>
      </c>
      <c r="X3170">
        <v>16</v>
      </c>
      <c r="Y3170" t="s">
        <v>22362</v>
      </c>
      <c r="Z3170" t="s">
        <v>28745</v>
      </c>
      <c r="AA3170">
        <v>0.29179626911699658</v>
      </c>
      <c r="AB3170" t="str">
        <f>HYPERLINK("Melting_Curves/meltCurve_Q10471_GALNT2.pdf", "Melting_Curves/meltCurve_Q10471_GALNT2.pdf")</f>
        <v>Melting_Curves/meltCurve_Q10471_GALNT2.pdf</v>
      </c>
    </row>
    <row r="3171" spans="1:28" x14ac:dyDescent="0.25">
      <c r="A3171" t="s">
        <v>3175</v>
      </c>
      <c r="B3171">
        <v>0.99673306730245903</v>
      </c>
      <c r="C3171">
        <v>0.910254254114507</v>
      </c>
      <c r="D3171">
        <v>0.77361948069999398</v>
      </c>
      <c r="E3171">
        <v>0.71629549035865303</v>
      </c>
      <c r="F3171">
        <v>0.49812921955676698</v>
      </c>
      <c r="G3171">
        <v>0.26263776551242202</v>
      </c>
      <c r="H3171">
        <v>9.68268342422786E-2</v>
      </c>
      <c r="I3171">
        <v>5.7429132838347198E-2</v>
      </c>
      <c r="J3171">
        <v>5.3205349171689599E-2</v>
      </c>
      <c r="K3171">
        <v>4.5769309702884897E-2</v>
      </c>
      <c r="L3171">
        <v>671.89935257757804</v>
      </c>
      <c r="M3171">
        <v>12.8269424732426</v>
      </c>
      <c r="N3171">
        <v>52.381900932330801</v>
      </c>
      <c r="O3171">
        <v>51.157719680362597</v>
      </c>
      <c r="P3171">
        <v>-6.2695011340462098E-2</v>
      </c>
      <c r="Q3171">
        <v>0</v>
      </c>
      <c r="R3171">
        <v>0.98813622785022004</v>
      </c>
      <c r="S3171" t="s">
        <v>9623</v>
      </c>
      <c r="T3171" t="s">
        <v>12902</v>
      </c>
      <c r="U3171" t="s">
        <v>12902</v>
      </c>
      <c r="V3171" t="s">
        <v>12902</v>
      </c>
      <c r="W3171" t="s">
        <v>16032</v>
      </c>
      <c r="X3171">
        <v>35</v>
      </c>
      <c r="Y3171" t="s">
        <v>22363</v>
      </c>
      <c r="Z3171" t="s">
        <v>28746</v>
      </c>
      <c r="AA3171">
        <v>0.44013577418290067</v>
      </c>
      <c r="AB3171" t="str">
        <f>HYPERLINK("Melting_Curves/meltCurve_Q10567_3_AP1B1.pdf", "Melting_Curves/meltCurve_Q10567_3_AP1B1.pdf")</f>
        <v>Melting_Curves/meltCurve_Q10567_3_AP1B1.pdf</v>
      </c>
    </row>
    <row r="3172" spans="1:28" x14ac:dyDescent="0.25">
      <c r="A3172" t="s">
        <v>3176</v>
      </c>
      <c r="B3172">
        <v>0.99673306730245903</v>
      </c>
      <c r="C3172">
        <v>0.90099007737027503</v>
      </c>
      <c r="D3172">
        <v>0.882071303573145</v>
      </c>
      <c r="E3172">
        <v>0.86368133641222</v>
      </c>
      <c r="F3172">
        <v>0.31425664521633101</v>
      </c>
      <c r="G3172">
        <v>0.187632475112507</v>
      </c>
      <c r="H3172">
        <v>0.12167052397310001</v>
      </c>
      <c r="I3172">
        <v>9.1301420122818194E-2</v>
      </c>
      <c r="J3172">
        <v>9.1780143029255495E-2</v>
      </c>
      <c r="K3172">
        <v>8.7717056687650397E-2</v>
      </c>
      <c r="L3172">
        <v>1827.37041345426</v>
      </c>
      <c r="M3172">
        <v>35.373499372167998</v>
      </c>
      <c r="N3172">
        <v>52.003763739008498</v>
      </c>
      <c r="O3172">
        <v>51.495046048695002</v>
      </c>
      <c r="P3172">
        <v>-0.15379739073748899</v>
      </c>
      <c r="Q3172">
        <v>0.104439633938371</v>
      </c>
      <c r="R3172">
        <v>0.98207974142484</v>
      </c>
      <c r="S3172" t="s">
        <v>9624</v>
      </c>
      <c r="T3172" t="s">
        <v>12902</v>
      </c>
      <c r="U3172" t="s">
        <v>12902</v>
      </c>
      <c r="V3172" t="s">
        <v>12902</v>
      </c>
      <c r="W3172" t="s">
        <v>16033</v>
      </c>
      <c r="X3172">
        <v>16</v>
      </c>
      <c r="Y3172" t="s">
        <v>22364</v>
      </c>
      <c r="Z3172" t="s">
        <v>28747</v>
      </c>
      <c r="AA3172">
        <v>0.45658650095142439</v>
      </c>
      <c r="AB3172" t="str">
        <f>HYPERLINK("Melting_Curves/meltCurve_Q10570_CPSF1.pdf", "Melting_Curves/meltCurve_Q10570_CPSF1.pdf")</f>
        <v>Melting_Curves/meltCurve_Q10570_CPSF1.pdf</v>
      </c>
    </row>
    <row r="3173" spans="1:28" x14ac:dyDescent="0.25">
      <c r="A3173" t="s">
        <v>3177</v>
      </c>
      <c r="B3173">
        <v>0.99673306730245903</v>
      </c>
      <c r="C3173">
        <v>0.95087623567544299</v>
      </c>
      <c r="D3173">
        <v>0.94708711212285501</v>
      </c>
      <c r="E3173">
        <v>0.88051920633277403</v>
      </c>
      <c r="F3173">
        <v>0.34257628339993601</v>
      </c>
      <c r="G3173">
        <v>0.16568975475664199</v>
      </c>
      <c r="H3173">
        <v>9.64214890529419E-2</v>
      </c>
      <c r="I3173">
        <v>8.3760880428403406E-2</v>
      </c>
      <c r="J3173">
        <v>7.2782723466923702E-2</v>
      </c>
      <c r="K3173">
        <v>5.7583156573987403E-2</v>
      </c>
      <c r="L3173">
        <v>1870.0647756605599</v>
      </c>
      <c r="M3173">
        <v>35.984025768897403</v>
      </c>
      <c r="N3173">
        <v>52.2339134292504</v>
      </c>
      <c r="O3173">
        <v>51.809606198917201</v>
      </c>
      <c r="P3173">
        <v>-0.159169086357836</v>
      </c>
      <c r="Q3173">
        <v>8.3320115799180597E-2</v>
      </c>
      <c r="R3173">
        <v>0.99530370553071301</v>
      </c>
      <c r="S3173" t="s">
        <v>9625</v>
      </c>
      <c r="T3173" t="s">
        <v>12902</v>
      </c>
      <c r="U3173" t="s">
        <v>12902</v>
      </c>
      <c r="V3173" t="s">
        <v>12902</v>
      </c>
      <c r="W3173" t="s">
        <v>16034</v>
      </c>
      <c r="X3173">
        <v>29</v>
      </c>
      <c r="Y3173" t="s">
        <v>22365</v>
      </c>
      <c r="Z3173" t="s">
        <v>28748</v>
      </c>
      <c r="AA3173">
        <v>0.4531252184710311</v>
      </c>
      <c r="AB3173" t="str">
        <f>HYPERLINK("Melting_Curves/meltCurve_Q10713_PMPCA.pdf", "Melting_Curves/meltCurve_Q10713_PMPCA.pdf")</f>
        <v>Melting_Curves/meltCurve_Q10713_PMPCA.pdf</v>
      </c>
    </row>
    <row r="3174" spans="1:28" x14ac:dyDescent="0.25">
      <c r="A3174" t="s">
        <v>3178</v>
      </c>
      <c r="B3174">
        <v>0.99673306730245903</v>
      </c>
      <c r="C3174">
        <v>0.99839552999435</v>
      </c>
      <c r="D3174">
        <v>0.98540544896159799</v>
      </c>
      <c r="E3174">
        <v>0.77235920478057096</v>
      </c>
      <c r="F3174">
        <v>0.27595484460387698</v>
      </c>
      <c r="G3174">
        <v>0.151033878356713</v>
      </c>
      <c r="H3174">
        <v>7.6148396966537898E-2</v>
      </c>
      <c r="I3174">
        <v>7.3601710305545104E-2</v>
      </c>
      <c r="J3174">
        <v>8.8694590572080206E-2</v>
      </c>
      <c r="K3174">
        <v>7.58138476246496E-2</v>
      </c>
      <c r="L3174">
        <v>1716.16538929837</v>
      </c>
      <c r="M3174">
        <v>33.513136397884097</v>
      </c>
      <c r="N3174">
        <v>51.489659041046203</v>
      </c>
      <c r="O3174">
        <v>51.027434588593401</v>
      </c>
      <c r="P3174">
        <v>-0.15047399116086899</v>
      </c>
      <c r="Q3174">
        <v>8.3551080497268504E-2</v>
      </c>
      <c r="R3174">
        <v>0.99895263789995503</v>
      </c>
      <c r="S3174" t="s">
        <v>9626</v>
      </c>
      <c r="T3174" t="s">
        <v>12902</v>
      </c>
      <c r="U3174" t="s">
        <v>12902</v>
      </c>
      <c r="V3174" t="s">
        <v>12902</v>
      </c>
      <c r="W3174" t="s">
        <v>16035</v>
      </c>
      <c r="X3174">
        <v>10</v>
      </c>
      <c r="Y3174" t="s">
        <v>22366</v>
      </c>
      <c r="Z3174" t="s">
        <v>28749</v>
      </c>
      <c r="AA3174">
        <v>0.43058965688709139</v>
      </c>
      <c r="AB3174" t="str">
        <f>HYPERLINK("Melting_Curves/meltCurve_Q12765_SCRN1.pdf", "Melting_Curves/meltCurve_Q12765_SCRN1.pdf")</f>
        <v>Melting_Curves/meltCurve_Q12765_SCRN1.pdf</v>
      </c>
    </row>
    <row r="3175" spans="1:28" x14ac:dyDescent="0.25">
      <c r="A3175" t="s">
        <v>3179</v>
      </c>
      <c r="B3175">
        <v>0.99673306730245903</v>
      </c>
      <c r="C3175">
        <v>0.93676625485655995</v>
      </c>
      <c r="D3175">
        <v>0.96732338005377605</v>
      </c>
      <c r="E3175">
        <v>0.678492297527719</v>
      </c>
      <c r="F3175">
        <v>0.275350770018643</v>
      </c>
      <c r="G3175">
        <v>0.18879039442715401</v>
      </c>
      <c r="H3175">
        <v>0.15825815846198399</v>
      </c>
      <c r="I3175">
        <v>9.7225012948569903E-2</v>
      </c>
      <c r="J3175">
        <v>5.7913339302525901E-2</v>
      </c>
      <c r="K3175">
        <v>5.2033240775697299E-2</v>
      </c>
      <c r="L3175">
        <v>1291.04396262869</v>
      </c>
      <c r="M3175">
        <v>25.445119918100499</v>
      </c>
      <c r="N3175">
        <v>51.141317473347797</v>
      </c>
      <c r="O3175">
        <v>50.428112448358902</v>
      </c>
      <c r="P3175">
        <v>-0.114688875120633</v>
      </c>
      <c r="Q3175">
        <v>9.08324496654664E-2</v>
      </c>
      <c r="R3175">
        <v>0.99176007461764504</v>
      </c>
      <c r="S3175" t="s">
        <v>9627</v>
      </c>
      <c r="T3175" t="s">
        <v>12902</v>
      </c>
      <c r="U3175" t="s">
        <v>12902</v>
      </c>
      <c r="V3175" t="s">
        <v>12902</v>
      </c>
      <c r="W3175" t="s">
        <v>16036</v>
      </c>
      <c r="X3175">
        <v>11</v>
      </c>
      <c r="Y3175" t="s">
        <v>22367</v>
      </c>
      <c r="Z3175" t="s">
        <v>28750</v>
      </c>
      <c r="AA3175">
        <v>0.42417370001401739</v>
      </c>
      <c r="AB3175" t="str">
        <f>HYPERLINK("Melting_Curves/meltCurve_Q12768_KIAA0196.pdf", "Melting_Curves/meltCurve_Q12768_KIAA0196.pdf")</f>
        <v>Melting_Curves/meltCurve_Q12768_KIAA0196.pdf</v>
      </c>
    </row>
    <row r="3176" spans="1:28" x14ac:dyDescent="0.25">
      <c r="A3176" t="s">
        <v>3180</v>
      </c>
      <c r="B3176">
        <v>0.99673306730245903</v>
      </c>
      <c r="C3176">
        <v>0.97121405148361795</v>
      </c>
      <c r="D3176">
        <v>0.96956469428973502</v>
      </c>
      <c r="E3176">
        <v>1.0308018525509901</v>
      </c>
      <c r="F3176">
        <v>0.544708621902256</v>
      </c>
      <c r="G3176">
        <v>0.27703314226659498</v>
      </c>
      <c r="H3176">
        <v>0.19976391363176599</v>
      </c>
      <c r="I3176">
        <v>0.123142275554776</v>
      </c>
      <c r="J3176">
        <v>0.362936060339897</v>
      </c>
      <c r="K3176">
        <v>0.174762474427548</v>
      </c>
      <c r="L3176">
        <v>3748.5952322503199</v>
      </c>
      <c r="M3176">
        <v>70.804125490803301</v>
      </c>
      <c r="N3176">
        <v>53.3965743914966</v>
      </c>
      <c r="O3176">
        <v>52.900988644147098</v>
      </c>
      <c r="P3176">
        <v>-0.25901054886844999</v>
      </c>
      <c r="Q3176">
        <v>0.22592582816743301</v>
      </c>
      <c r="R3176">
        <v>0.97171801884176501</v>
      </c>
      <c r="S3176" t="s">
        <v>9628</v>
      </c>
      <c r="T3176" t="s">
        <v>12902</v>
      </c>
      <c r="U3176" t="s">
        <v>12902</v>
      </c>
      <c r="V3176" t="s">
        <v>12902</v>
      </c>
      <c r="W3176" t="s">
        <v>16037</v>
      </c>
      <c r="X3176">
        <v>6</v>
      </c>
      <c r="Y3176" t="s">
        <v>22368</v>
      </c>
      <c r="Z3176" t="s">
        <v>28751</v>
      </c>
      <c r="AA3176">
        <v>0.56079070204998938</v>
      </c>
      <c r="AB3176" t="str">
        <f>HYPERLINK("Melting_Curves/meltCurve_Q12769_NUP160.pdf", "Melting_Curves/meltCurve_Q12769_NUP160.pdf")</f>
        <v>Melting_Curves/meltCurve_Q12769_NUP160.pdf</v>
      </c>
    </row>
    <row r="3177" spans="1:28" x14ac:dyDescent="0.25">
      <c r="A3177" t="s">
        <v>3181</v>
      </c>
      <c r="B3177">
        <v>0.99673306730245903</v>
      </c>
      <c r="C3177">
        <v>0.96535691700994597</v>
      </c>
      <c r="D3177">
        <v>0.89904636335270804</v>
      </c>
      <c r="E3177">
        <v>0.73714804050117</v>
      </c>
      <c r="F3177">
        <v>0.63604159098471702</v>
      </c>
      <c r="G3177">
        <v>0.28102005375734201</v>
      </c>
      <c r="H3177">
        <v>0.18735304583510901</v>
      </c>
      <c r="I3177">
        <v>0.12952626660348601</v>
      </c>
      <c r="J3177">
        <v>9.2168935120349099E-2</v>
      </c>
      <c r="K3177">
        <v>0.101226680866431</v>
      </c>
      <c r="L3177">
        <v>775.37434439696301</v>
      </c>
      <c r="M3177">
        <v>14.465247282237</v>
      </c>
      <c r="N3177">
        <v>53.977291463204402</v>
      </c>
      <c r="O3177">
        <v>52.6093471114566</v>
      </c>
      <c r="P3177">
        <v>-6.5462861810738293E-2</v>
      </c>
      <c r="Q3177">
        <v>4.7770556457732101E-2</v>
      </c>
      <c r="R3177">
        <v>0.98975735827620503</v>
      </c>
      <c r="S3177" t="s">
        <v>9629</v>
      </c>
      <c r="T3177" t="s">
        <v>12902</v>
      </c>
      <c r="U3177" t="s">
        <v>12902</v>
      </c>
      <c r="V3177" t="s">
        <v>12902</v>
      </c>
      <c r="W3177" t="s">
        <v>16038</v>
      </c>
      <c r="X3177">
        <v>2</v>
      </c>
      <c r="Y3177" t="s">
        <v>22369</v>
      </c>
      <c r="Z3177" t="s">
        <v>28752</v>
      </c>
      <c r="AA3177">
        <v>0.50041566189294107</v>
      </c>
      <c r="AB3177" t="str">
        <f>HYPERLINK("Melting_Curves/meltCurve_Q12770_SCAP.pdf", "Melting_Curves/meltCurve_Q12770_SCAP.pdf")</f>
        <v>Melting_Curves/meltCurve_Q12770_SCAP.pdf</v>
      </c>
    </row>
    <row r="3178" spans="1:28" x14ac:dyDescent="0.25">
      <c r="A3178" t="s">
        <v>3182</v>
      </c>
      <c r="B3178">
        <v>0.99673306730245903</v>
      </c>
      <c r="C3178">
        <v>0.92068830505513999</v>
      </c>
      <c r="D3178">
        <v>0.79215630829418304</v>
      </c>
      <c r="E3178">
        <v>0.45484589155250299</v>
      </c>
      <c r="F3178">
        <v>0.22758430172863101</v>
      </c>
      <c r="G3178">
        <v>0.163182349913994</v>
      </c>
      <c r="H3178">
        <v>0.120339128849925</v>
      </c>
      <c r="I3178">
        <v>0.12221916695945199</v>
      </c>
      <c r="J3178">
        <v>0.13730197671260799</v>
      </c>
      <c r="K3178">
        <v>0.132230405855323</v>
      </c>
      <c r="L3178">
        <v>1026.3560201555399</v>
      </c>
      <c r="M3178">
        <v>21.200626965850301</v>
      </c>
      <c r="N3178">
        <v>49.063203233004401</v>
      </c>
      <c r="O3178">
        <v>47.987029959182102</v>
      </c>
      <c r="P3178">
        <v>-9.6900044224305398E-2</v>
      </c>
      <c r="Q3178">
        <v>0.122700349934835</v>
      </c>
      <c r="R3178">
        <v>0.998880064785585</v>
      </c>
      <c r="S3178" t="s">
        <v>9630</v>
      </c>
      <c r="T3178" t="s">
        <v>12902</v>
      </c>
      <c r="U3178" t="s">
        <v>12902</v>
      </c>
      <c r="V3178" t="s">
        <v>12902</v>
      </c>
      <c r="W3178" t="s">
        <v>16039</v>
      </c>
      <c r="X3178">
        <v>4</v>
      </c>
      <c r="Y3178" t="s">
        <v>22370</v>
      </c>
      <c r="Z3178" t="s">
        <v>28753</v>
      </c>
      <c r="AA3178">
        <v>0.37964033363190569</v>
      </c>
      <c r="AB3178" t="str">
        <f>HYPERLINK("Melting_Curves/meltCurve_Q12774_ARHGEF5.pdf", "Melting_Curves/meltCurve_Q12774_ARHGEF5.pdf")</f>
        <v>Melting_Curves/meltCurve_Q12774_ARHGEF5.pdf</v>
      </c>
    </row>
    <row r="3179" spans="1:28" x14ac:dyDescent="0.25">
      <c r="A3179" t="s">
        <v>3183</v>
      </c>
      <c r="B3179">
        <v>0.99673306730245903</v>
      </c>
      <c r="C3179">
        <v>0.626658522544281</v>
      </c>
      <c r="D3179">
        <v>0.62856861224372296</v>
      </c>
      <c r="E3179">
        <v>0.59284049259224203</v>
      </c>
      <c r="F3179">
        <v>0.25940881286309903</v>
      </c>
      <c r="G3179">
        <v>0.17479328479971001</v>
      </c>
      <c r="H3179">
        <v>8.3889492864338305E-2</v>
      </c>
      <c r="I3179">
        <v>6.1022105945315E-2</v>
      </c>
      <c r="J3179">
        <v>4.7760165586785301E-2</v>
      </c>
      <c r="K3179">
        <v>4.1449794810057103E-2</v>
      </c>
      <c r="L3179">
        <v>485.26541100049002</v>
      </c>
      <c r="M3179">
        <v>9.9881849016461199</v>
      </c>
      <c r="N3179">
        <v>48.583943667876198</v>
      </c>
      <c r="O3179">
        <v>46.756895597937799</v>
      </c>
      <c r="P3179">
        <v>-5.3430968994905001E-2</v>
      </c>
      <c r="Q3179">
        <v>0</v>
      </c>
      <c r="R3179">
        <v>0.93957461896942596</v>
      </c>
      <c r="S3179" t="s">
        <v>9631</v>
      </c>
      <c r="T3179" t="s">
        <v>12902</v>
      </c>
      <c r="U3179" t="s">
        <v>12902</v>
      </c>
      <c r="V3179" t="s">
        <v>12902</v>
      </c>
      <c r="W3179" t="s">
        <v>16040</v>
      </c>
      <c r="X3179">
        <v>14</v>
      </c>
      <c r="Y3179" t="s">
        <v>22371</v>
      </c>
      <c r="Z3179" t="s">
        <v>28754</v>
      </c>
      <c r="AA3179">
        <v>0.33679794238303662</v>
      </c>
      <c r="AB3179" t="str">
        <f>HYPERLINK("Melting_Curves/meltCurve_Q12788_TBL3.pdf", "Melting_Curves/meltCurve_Q12788_TBL3.pdf")</f>
        <v>Melting_Curves/meltCurve_Q12788_TBL3.pdf</v>
      </c>
    </row>
    <row r="3180" spans="1:28" x14ac:dyDescent="0.25">
      <c r="A3180" t="s">
        <v>3184</v>
      </c>
      <c r="B3180">
        <v>0.99673306730245903</v>
      </c>
      <c r="C3180">
        <v>0.64711723781891495</v>
      </c>
      <c r="D3180">
        <v>0.50310773071199</v>
      </c>
      <c r="E3180">
        <v>0.42898402247765999</v>
      </c>
      <c r="F3180">
        <v>0.40969996725652302</v>
      </c>
      <c r="G3180">
        <v>0.22385993612709801</v>
      </c>
      <c r="H3180">
        <v>0.10452796051699</v>
      </c>
      <c r="I3180">
        <v>9.49286380582582E-2</v>
      </c>
      <c r="J3180">
        <v>9.9497130290199506E-2</v>
      </c>
      <c r="K3180">
        <v>8.4538760097913307E-2</v>
      </c>
      <c r="L3180">
        <v>422.46413433484099</v>
      </c>
      <c r="M3180">
        <v>8.8787699441384405</v>
      </c>
      <c r="N3180">
        <v>47.880359325738098</v>
      </c>
      <c r="O3180">
        <v>45.353251007527</v>
      </c>
      <c r="P3180">
        <v>-4.7658943757833798E-2</v>
      </c>
      <c r="Q3180">
        <v>2.6966138897528299E-2</v>
      </c>
      <c r="R3180">
        <v>0.93703192971462801</v>
      </c>
      <c r="S3180" t="s">
        <v>9632</v>
      </c>
      <c r="T3180" t="s">
        <v>12902</v>
      </c>
      <c r="U3180" t="s">
        <v>12902</v>
      </c>
      <c r="V3180" t="s">
        <v>12902</v>
      </c>
      <c r="W3180" t="s">
        <v>16041</v>
      </c>
      <c r="X3180">
        <v>7</v>
      </c>
      <c r="Y3180" t="s">
        <v>22372</v>
      </c>
      <c r="Z3180" t="s">
        <v>28755</v>
      </c>
      <c r="AA3180">
        <v>0.33660106946556739</v>
      </c>
      <c r="AB3180" t="str">
        <f>HYPERLINK("Melting_Curves/meltCurve_Q12789_3_GTF3C1.pdf", "Melting_Curves/meltCurve_Q12789_3_GTF3C1.pdf")</f>
        <v>Melting_Curves/meltCurve_Q12789_3_GTF3C1.pdf</v>
      </c>
    </row>
    <row r="3181" spans="1:28" x14ac:dyDescent="0.25">
      <c r="A3181" t="s">
        <v>3185</v>
      </c>
      <c r="B3181">
        <v>0.99673306730245903</v>
      </c>
      <c r="C3181">
        <v>0.98224004103775098</v>
      </c>
      <c r="D3181">
        <v>0.97418474739264704</v>
      </c>
      <c r="E3181">
        <v>0.92409520760333796</v>
      </c>
      <c r="F3181">
        <v>0.50064388992490005</v>
      </c>
      <c r="G3181">
        <v>0.20475871225936201</v>
      </c>
      <c r="H3181">
        <v>0.11377369295116201</v>
      </c>
      <c r="I3181">
        <v>9.9142019573964998E-2</v>
      </c>
      <c r="J3181">
        <v>0.102821803974062</v>
      </c>
      <c r="K3181">
        <v>8.5566816677257906E-2</v>
      </c>
      <c r="L3181">
        <v>1701.1747502425601</v>
      </c>
      <c r="M3181">
        <v>32.139601158539897</v>
      </c>
      <c r="N3181">
        <v>53.2926747931308</v>
      </c>
      <c r="O3181">
        <v>52.727121803142801</v>
      </c>
      <c r="P3181">
        <v>-0.13744734240140299</v>
      </c>
      <c r="Q3181">
        <v>9.8038618155341706E-2</v>
      </c>
      <c r="R3181">
        <v>0.99904020919541603</v>
      </c>
      <c r="S3181" t="s">
        <v>9633</v>
      </c>
      <c r="T3181" t="s">
        <v>12902</v>
      </c>
      <c r="U3181" t="s">
        <v>12902</v>
      </c>
      <c r="V3181" t="s">
        <v>12902</v>
      </c>
      <c r="W3181" t="s">
        <v>16042</v>
      </c>
      <c r="X3181">
        <v>17</v>
      </c>
      <c r="Y3181" t="s">
        <v>22373</v>
      </c>
      <c r="Z3181" t="s">
        <v>28756</v>
      </c>
      <c r="AA3181">
        <v>0.49190978421534859</v>
      </c>
      <c r="AB3181" t="str">
        <f>HYPERLINK("Melting_Curves/meltCurve_Q12792_TWF1.pdf", "Melting_Curves/meltCurve_Q12792_TWF1.pdf")</f>
        <v>Melting_Curves/meltCurve_Q12792_TWF1.pdf</v>
      </c>
    </row>
    <row r="3182" spans="1:28" x14ac:dyDescent="0.25">
      <c r="A3182" t="s">
        <v>3186</v>
      </c>
      <c r="B3182">
        <v>0.99673306730245903</v>
      </c>
      <c r="C3182">
        <v>1.0984570383433401</v>
      </c>
      <c r="D3182">
        <v>0.58478346391339897</v>
      </c>
      <c r="E3182">
        <v>0.73324908849498804</v>
      </c>
      <c r="F3182">
        <v>0.28777331924777</v>
      </c>
      <c r="G3182">
        <v>0.16907938031250999</v>
      </c>
      <c r="H3182">
        <v>0.121812434378541</v>
      </c>
      <c r="I3182">
        <v>0.108794488981756</v>
      </c>
      <c r="J3182">
        <v>0.114361635949302</v>
      </c>
      <c r="K3182">
        <v>0.10104364940548</v>
      </c>
      <c r="L3182">
        <v>778.18302960324797</v>
      </c>
      <c r="M3182">
        <v>15.549509807143099</v>
      </c>
      <c r="N3182">
        <v>50.5886222417558</v>
      </c>
      <c r="O3182">
        <v>49.239711205646998</v>
      </c>
      <c r="P3182">
        <v>-7.2885322721094797E-2</v>
      </c>
      <c r="Q3182">
        <v>7.6874622291069505E-2</v>
      </c>
      <c r="R3182">
        <v>0.92048973875531803</v>
      </c>
      <c r="S3182" t="s">
        <v>9634</v>
      </c>
      <c r="T3182" t="s">
        <v>12902</v>
      </c>
      <c r="U3182" t="s">
        <v>12902</v>
      </c>
      <c r="V3182" t="s">
        <v>12902</v>
      </c>
      <c r="W3182" t="s">
        <v>16043</v>
      </c>
      <c r="X3182">
        <v>26</v>
      </c>
      <c r="Y3182" t="s">
        <v>22374</v>
      </c>
      <c r="Z3182" t="s">
        <v>28757</v>
      </c>
      <c r="AA3182">
        <v>0.40660004788224913</v>
      </c>
      <c r="AB3182" t="str">
        <f>HYPERLINK("Melting_Curves/meltCurve_Q12797_ASPH.pdf", "Melting_Curves/meltCurve_Q12797_ASPH.pdf")</f>
        <v>Melting_Curves/meltCurve_Q12797_ASPH.pdf</v>
      </c>
    </row>
    <row r="3183" spans="1:28" x14ac:dyDescent="0.25">
      <c r="A3183" t="s">
        <v>3187</v>
      </c>
      <c r="B3183">
        <v>0.99673306730245903</v>
      </c>
      <c r="C3183">
        <v>0.85091701517160001</v>
      </c>
      <c r="D3183">
        <v>0.49730628969976198</v>
      </c>
      <c r="E3183">
        <v>0.245877671632379</v>
      </c>
      <c r="F3183">
        <v>0.18367693063412599</v>
      </c>
      <c r="G3183">
        <v>0.13025556069986199</v>
      </c>
      <c r="H3183">
        <v>6.60888075321477E-2</v>
      </c>
      <c r="I3183">
        <v>5.5218043581428997E-2</v>
      </c>
      <c r="J3183">
        <v>5.5370710566290199E-2</v>
      </c>
      <c r="K3183">
        <v>5.06128982252151E-2</v>
      </c>
      <c r="L3183">
        <v>939.20163829356602</v>
      </c>
      <c r="M3183">
        <v>20.4270398858108</v>
      </c>
      <c r="N3183">
        <v>46.340035556923603</v>
      </c>
      <c r="O3183">
        <v>45.544506596245498</v>
      </c>
      <c r="P3183">
        <v>-0.103867880676901</v>
      </c>
      <c r="Q3183">
        <v>7.3684723030829499E-2</v>
      </c>
      <c r="R3183">
        <v>0.99130687700826003</v>
      </c>
      <c r="S3183" t="s">
        <v>9635</v>
      </c>
      <c r="T3183" t="s">
        <v>12902</v>
      </c>
      <c r="U3183" t="s">
        <v>12902</v>
      </c>
      <c r="V3183" t="s">
        <v>12902</v>
      </c>
      <c r="W3183" t="s">
        <v>16044</v>
      </c>
      <c r="X3183">
        <v>7</v>
      </c>
      <c r="Y3183" t="s">
        <v>22375</v>
      </c>
      <c r="Z3183" t="s">
        <v>28758</v>
      </c>
      <c r="AA3183">
        <v>0.27194244205129209</v>
      </c>
      <c r="AB3183" t="str">
        <f>HYPERLINK("Melting_Curves/meltCurve_Q12800_4_TFCP2.pdf", "Melting_Curves/meltCurve_Q12800_4_TFCP2.pdf")</f>
        <v>Melting_Curves/meltCurve_Q12800_4_TFCP2.pdf</v>
      </c>
    </row>
    <row r="3184" spans="1:28" x14ac:dyDescent="0.25">
      <c r="A3184" t="s">
        <v>3188</v>
      </c>
      <c r="B3184">
        <v>0.99673306730245903</v>
      </c>
      <c r="C3184">
        <v>0.92957244717653298</v>
      </c>
      <c r="D3184">
        <v>0.76066998868037605</v>
      </c>
      <c r="E3184">
        <v>0.47751943210688003</v>
      </c>
      <c r="F3184">
        <v>0.26415014563669398</v>
      </c>
      <c r="G3184">
        <v>0.16351948415109299</v>
      </c>
      <c r="H3184">
        <v>0.111078116907396</v>
      </c>
      <c r="I3184">
        <v>0.117965941661114</v>
      </c>
      <c r="J3184">
        <v>0.142721329109708</v>
      </c>
      <c r="K3184">
        <v>0.125340967285027</v>
      </c>
      <c r="L3184">
        <v>908.25207188321701</v>
      </c>
      <c r="M3184">
        <v>18.706985460806798</v>
      </c>
      <c r="N3184">
        <v>49.239532586929201</v>
      </c>
      <c r="O3184">
        <v>48.006886480548403</v>
      </c>
      <c r="P3184">
        <v>-8.6217526488284194E-2</v>
      </c>
      <c r="Q3184">
        <v>0.115013027682264</v>
      </c>
      <c r="R3184">
        <v>0.99868571832778497</v>
      </c>
      <c r="S3184" t="s">
        <v>9636</v>
      </c>
      <c r="T3184" t="s">
        <v>12902</v>
      </c>
      <c r="U3184" t="s">
        <v>12902</v>
      </c>
      <c r="V3184" t="s">
        <v>12902</v>
      </c>
      <c r="W3184" t="s">
        <v>16045</v>
      </c>
      <c r="X3184">
        <v>17</v>
      </c>
      <c r="Y3184" t="s">
        <v>22376</v>
      </c>
      <c r="Z3184" t="s">
        <v>28759</v>
      </c>
      <c r="AA3184">
        <v>0.38157967706109458</v>
      </c>
      <c r="AB3184" t="str">
        <f>HYPERLINK("Melting_Curves/meltCurve_Q12802_4_AKAP13.pdf", "Melting_Curves/meltCurve_Q12802_4_AKAP13.pdf")</f>
        <v>Melting_Curves/meltCurve_Q12802_4_AKAP13.pdf</v>
      </c>
    </row>
    <row r="3185" spans="1:28" x14ac:dyDescent="0.25">
      <c r="A3185" t="s">
        <v>3189</v>
      </c>
      <c r="B3185">
        <v>0.99673306730245903</v>
      </c>
      <c r="C3185">
        <v>0.82590750401365798</v>
      </c>
      <c r="D3185">
        <v>0.59922878506284205</v>
      </c>
      <c r="E3185">
        <v>0.27886877424279799</v>
      </c>
      <c r="F3185">
        <v>0.22168547871963701</v>
      </c>
      <c r="G3185">
        <v>0.16325237897103101</v>
      </c>
      <c r="H3185">
        <v>0.11638494603486201</v>
      </c>
      <c r="I3185">
        <v>0.125293381173888</v>
      </c>
      <c r="J3185">
        <v>0.148347586595102</v>
      </c>
      <c r="K3185">
        <v>0.147232012285823</v>
      </c>
      <c r="L3185">
        <v>947.84199323108703</v>
      </c>
      <c r="M3185">
        <v>20.541512302937299</v>
      </c>
      <c r="N3185">
        <v>46.875230404166999</v>
      </c>
      <c r="O3185">
        <v>45.712121458876602</v>
      </c>
      <c r="P3185">
        <v>-9.6922049856924694E-2</v>
      </c>
      <c r="Q3185">
        <v>0.13728202400324299</v>
      </c>
      <c r="R3185">
        <v>0.99511061765476505</v>
      </c>
      <c r="S3185" t="s">
        <v>9637</v>
      </c>
      <c r="T3185" t="s">
        <v>12902</v>
      </c>
      <c r="U3185" t="s">
        <v>12902</v>
      </c>
      <c r="V3185" t="s">
        <v>12902</v>
      </c>
      <c r="W3185" t="s">
        <v>16046</v>
      </c>
      <c r="X3185">
        <v>11</v>
      </c>
      <c r="Y3185" t="s">
        <v>22377</v>
      </c>
      <c r="Z3185" t="s">
        <v>28760</v>
      </c>
      <c r="AA3185">
        <v>0.32635675118848911</v>
      </c>
      <c r="AB3185" t="str">
        <f>HYPERLINK("Melting_Curves/meltCurve_Q12830_4_BPTF.pdf", "Melting_Curves/meltCurve_Q12830_4_BPTF.pdf")</f>
        <v>Melting_Curves/meltCurve_Q12830_4_BPTF.pdf</v>
      </c>
    </row>
    <row r="3186" spans="1:28" x14ac:dyDescent="0.25">
      <c r="A3186" t="s">
        <v>3190</v>
      </c>
      <c r="B3186">
        <v>0.99673306730245903</v>
      </c>
      <c r="C3186">
        <v>0.932670838933917</v>
      </c>
      <c r="D3186">
        <v>0.90267197523432197</v>
      </c>
      <c r="E3186">
        <v>0.65981816940369098</v>
      </c>
      <c r="F3186">
        <v>0.217765442881899</v>
      </c>
      <c r="G3186">
        <v>9.1529199711120404E-2</v>
      </c>
      <c r="H3186">
        <v>6.9089692390336604E-2</v>
      </c>
      <c r="I3186">
        <v>7.3463357483589703E-2</v>
      </c>
      <c r="J3186">
        <v>8.6740172547598998E-2</v>
      </c>
      <c r="K3186">
        <v>6.66387624866836E-2</v>
      </c>
      <c r="L3186">
        <v>1424.3420357682201</v>
      </c>
      <c r="M3186">
        <v>28.274060316605301</v>
      </c>
      <c r="N3186">
        <v>50.631507028148199</v>
      </c>
      <c r="O3186">
        <v>50.126307092335402</v>
      </c>
      <c r="P3186">
        <v>-0.13164945375784401</v>
      </c>
      <c r="Q3186">
        <v>6.6416975506272499E-2</v>
      </c>
      <c r="R3186">
        <v>0.99559692955781798</v>
      </c>
      <c r="S3186" t="s">
        <v>9638</v>
      </c>
      <c r="T3186" t="s">
        <v>12902</v>
      </c>
      <c r="U3186" t="s">
        <v>12902</v>
      </c>
      <c r="V3186" t="s">
        <v>12902</v>
      </c>
      <c r="W3186" t="s">
        <v>16047</v>
      </c>
      <c r="X3186">
        <v>3</v>
      </c>
      <c r="Y3186" t="s">
        <v>22378</v>
      </c>
      <c r="Z3186" t="s">
        <v>28761</v>
      </c>
      <c r="AA3186">
        <v>0.39586716414879869</v>
      </c>
      <c r="AB3186" t="str">
        <f>HYPERLINK("Melting_Curves/meltCurve_Q12834_CDC20.pdf", "Melting_Curves/meltCurve_Q12834_CDC20.pdf")</f>
        <v>Melting_Curves/meltCurve_Q12834_CDC20.pdf</v>
      </c>
    </row>
    <row r="3187" spans="1:28" x14ac:dyDescent="0.25">
      <c r="A3187" t="s">
        <v>3191</v>
      </c>
      <c r="B3187">
        <v>0.99673306730245903</v>
      </c>
      <c r="C3187">
        <v>0.92829900500572704</v>
      </c>
      <c r="D3187">
        <v>0.85329519678889298</v>
      </c>
      <c r="E3187">
        <v>0.59088000741951496</v>
      </c>
      <c r="F3187">
        <v>0.392571402167879</v>
      </c>
      <c r="G3187">
        <v>0.244925889918575</v>
      </c>
      <c r="H3187">
        <v>0.129458441106299</v>
      </c>
      <c r="I3187">
        <v>0.111808461400548</v>
      </c>
      <c r="J3187">
        <v>0.11578251189883899</v>
      </c>
      <c r="K3187">
        <v>0.100417560473748</v>
      </c>
      <c r="L3187">
        <v>762.21468712271599</v>
      </c>
      <c r="M3187">
        <v>15.057273713300001</v>
      </c>
      <c r="N3187">
        <v>51.234014951096398</v>
      </c>
      <c r="O3187">
        <v>49.753335323410397</v>
      </c>
      <c r="P3187">
        <v>-6.9430040345838398E-2</v>
      </c>
      <c r="Q3187">
        <v>8.2428238875811799E-2</v>
      </c>
      <c r="R3187">
        <v>0.998214063039641</v>
      </c>
      <c r="S3187" t="s">
        <v>9639</v>
      </c>
      <c r="T3187" t="s">
        <v>12902</v>
      </c>
      <c r="U3187" t="s">
        <v>12902</v>
      </c>
      <c r="V3187" t="s">
        <v>12902</v>
      </c>
      <c r="W3187" t="s">
        <v>16048</v>
      </c>
      <c r="X3187">
        <v>9</v>
      </c>
      <c r="Y3187" t="s">
        <v>22379</v>
      </c>
      <c r="Z3187" t="s">
        <v>28762</v>
      </c>
      <c r="AA3187">
        <v>0.42859588281358479</v>
      </c>
      <c r="AB3187" t="str">
        <f>HYPERLINK("Melting_Curves/meltCurve_Q12846_STX4.pdf", "Melting_Curves/meltCurve_Q12846_STX4.pdf")</f>
        <v>Melting_Curves/meltCurve_Q12846_STX4.pdf</v>
      </c>
    </row>
    <row r="3188" spans="1:28" x14ac:dyDescent="0.25">
      <c r="A3188" t="s">
        <v>3192</v>
      </c>
      <c r="B3188">
        <v>0.99673306730245903</v>
      </c>
      <c r="C3188">
        <v>0.933989026264195</v>
      </c>
      <c r="D3188">
        <v>0.77220679785617397</v>
      </c>
      <c r="E3188">
        <v>0.48111531156981802</v>
      </c>
      <c r="F3188">
        <v>0.23200609523778801</v>
      </c>
      <c r="G3188">
        <v>0.13704926806088999</v>
      </c>
      <c r="H3188">
        <v>8.1405544224847901E-2</v>
      </c>
      <c r="I3188">
        <v>7.2006807471543297E-2</v>
      </c>
      <c r="J3188">
        <v>8.9655487596786307E-2</v>
      </c>
      <c r="K3188">
        <v>7.5826620481516699E-2</v>
      </c>
      <c r="L3188">
        <v>910.85979674364501</v>
      </c>
      <c r="M3188">
        <v>18.632414021788598</v>
      </c>
      <c r="N3188">
        <v>49.279838058546602</v>
      </c>
      <c r="O3188">
        <v>48.333096019453102</v>
      </c>
      <c r="P3188">
        <v>-8.9708383974256706E-2</v>
      </c>
      <c r="Q3188">
        <v>6.9214123519785606E-2</v>
      </c>
      <c r="R3188">
        <v>0.99944289200877101</v>
      </c>
      <c r="S3188" t="s">
        <v>9640</v>
      </c>
      <c r="T3188" t="s">
        <v>12902</v>
      </c>
      <c r="U3188" t="s">
        <v>12902</v>
      </c>
      <c r="V3188" t="s">
        <v>12902</v>
      </c>
      <c r="W3188" t="s">
        <v>16049</v>
      </c>
      <c r="X3188">
        <v>7</v>
      </c>
      <c r="Y3188" t="s">
        <v>22380</v>
      </c>
      <c r="Z3188" t="s">
        <v>28763</v>
      </c>
      <c r="AA3188">
        <v>0.35997861123745628</v>
      </c>
      <c r="AB3188" t="str">
        <f>HYPERLINK("Melting_Curves/meltCurve_Q12872_SFSWAP.pdf", "Melting_Curves/meltCurve_Q12872_SFSWAP.pdf")</f>
        <v>Melting_Curves/meltCurve_Q12872_SFSWAP.pdf</v>
      </c>
    </row>
    <row r="3189" spans="1:28" x14ac:dyDescent="0.25">
      <c r="A3189" t="s">
        <v>3193</v>
      </c>
      <c r="B3189">
        <v>0.99673306730245903</v>
      </c>
      <c r="C3189">
        <v>0.96380667471616699</v>
      </c>
      <c r="D3189">
        <v>0.69818232773016797</v>
      </c>
      <c r="E3189">
        <v>0.330709763445594</v>
      </c>
      <c r="F3189">
        <v>0.195594794083843</v>
      </c>
      <c r="G3189">
        <v>0.126893545102298</v>
      </c>
      <c r="H3189">
        <v>8.1005005901248303E-2</v>
      </c>
      <c r="I3189">
        <v>8.13543782351452E-2</v>
      </c>
      <c r="J3189">
        <v>8.4626138234297696E-2</v>
      </c>
      <c r="K3189">
        <v>7.2584920938193395E-2</v>
      </c>
      <c r="L3189">
        <v>1081.8189123853799</v>
      </c>
      <c r="M3189">
        <v>22.7468212472936</v>
      </c>
      <c r="N3189">
        <v>47.9605991685685</v>
      </c>
      <c r="O3189">
        <v>47.196117915281803</v>
      </c>
      <c r="P3189">
        <v>-0.110047626486177</v>
      </c>
      <c r="Q3189">
        <v>8.6690803640629199E-2</v>
      </c>
      <c r="R3189">
        <v>0.99722082727567496</v>
      </c>
      <c r="S3189" t="s">
        <v>9641</v>
      </c>
      <c r="T3189" t="s">
        <v>12902</v>
      </c>
      <c r="U3189" t="s">
        <v>12902</v>
      </c>
      <c r="V3189" t="s">
        <v>12902</v>
      </c>
      <c r="W3189" t="s">
        <v>16050</v>
      </c>
      <c r="X3189">
        <v>17</v>
      </c>
      <c r="Y3189" t="s">
        <v>22381</v>
      </c>
      <c r="Z3189" t="s">
        <v>28764</v>
      </c>
      <c r="AA3189">
        <v>0.32674432932259673</v>
      </c>
      <c r="AB3189" t="str">
        <f>HYPERLINK("Melting_Curves/meltCurve_Q12874_SF3A3.pdf", "Melting_Curves/meltCurve_Q12874_SF3A3.pdf")</f>
        <v>Melting_Curves/meltCurve_Q12874_SF3A3.pdf</v>
      </c>
    </row>
    <row r="3190" spans="1:28" x14ac:dyDescent="0.25">
      <c r="A3190" t="s">
        <v>3194</v>
      </c>
      <c r="B3190">
        <v>0.99673306730245903</v>
      </c>
      <c r="C3190">
        <v>0.956318430233284</v>
      </c>
      <c r="D3190">
        <v>0.69727072078924202</v>
      </c>
      <c r="E3190">
        <v>0.447781775601863</v>
      </c>
      <c r="F3190">
        <v>0.31972035019617501</v>
      </c>
      <c r="G3190">
        <v>0.241303195553386</v>
      </c>
      <c r="H3190">
        <v>0.16584562479189399</v>
      </c>
      <c r="I3190">
        <v>0.162317031831999</v>
      </c>
      <c r="J3190">
        <v>0.19470054010689</v>
      </c>
      <c r="K3190">
        <v>0.17743020294492701</v>
      </c>
      <c r="L3190">
        <v>877.14047261788198</v>
      </c>
      <c r="M3190">
        <v>18.350382079038599</v>
      </c>
      <c r="N3190">
        <v>48.965734678973398</v>
      </c>
      <c r="O3190">
        <v>47.242773138545402</v>
      </c>
      <c r="P3190">
        <v>-7.9920332059290305E-2</v>
      </c>
      <c r="Q3190">
        <v>0.17702311058783801</v>
      </c>
      <c r="R3190">
        <v>0.99324288860444798</v>
      </c>
      <c r="S3190" t="s">
        <v>9642</v>
      </c>
      <c r="T3190" t="s">
        <v>12902</v>
      </c>
      <c r="U3190" t="s">
        <v>12902</v>
      </c>
      <c r="V3190" t="s">
        <v>12902</v>
      </c>
      <c r="W3190" t="s">
        <v>16051</v>
      </c>
      <c r="X3190">
        <v>21</v>
      </c>
      <c r="Y3190" t="s">
        <v>22382</v>
      </c>
      <c r="Z3190" t="s">
        <v>28765</v>
      </c>
      <c r="AA3190">
        <v>0.40509478689328132</v>
      </c>
      <c r="AB3190" t="str">
        <f>HYPERLINK("Melting_Curves/meltCurve_Q12888_TP53BP1.pdf", "Melting_Curves/meltCurve_Q12888_TP53BP1.pdf")</f>
        <v>Melting_Curves/meltCurve_Q12888_TP53BP1.pdf</v>
      </c>
    </row>
    <row r="3191" spans="1:28" x14ac:dyDescent="0.25">
      <c r="A3191" t="s">
        <v>3195</v>
      </c>
      <c r="B3191">
        <v>0.99673306730245903</v>
      </c>
      <c r="C3191">
        <v>0.90329559378004798</v>
      </c>
      <c r="D3191">
        <v>0.82546005797431699</v>
      </c>
      <c r="E3191">
        <v>0.78948733818276795</v>
      </c>
      <c r="F3191">
        <v>0.61979154199198805</v>
      </c>
      <c r="G3191">
        <v>0.350383126378704</v>
      </c>
      <c r="H3191">
        <v>0.151585492615985</v>
      </c>
      <c r="I3191">
        <v>0.12502249340744601</v>
      </c>
      <c r="J3191">
        <v>0.130077139124818</v>
      </c>
      <c r="K3191">
        <v>9.9805165818462993E-2</v>
      </c>
      <c r="L3191">
        <v>667.17471020399296</v>
      </c>
      <c r="M3191">
        <v>12.3419119381744</v>
      </c>
      <c r="N3191">
        <v>54.217533653683603</v>
      </c>
      <c r="O3191">
        <v>52.697246544051602</v>
      </c>
      <c r="P3191">
        <v>-5.7517093483651201E-2</v>
      </c>
      <c r="Q3191">
        <v>1.78709993233424E-2</v>
      </c>
      <c r="R3191">
        <v>0.98296233550408396</v>
      </c>
      <c r="S3191" t="s">
        <v>9643</v>
      </c>
      <c r="T3191" t="s">
        <v>12902</v>
      </c>
      <c r="U3191" t="s">
        <v>12902</v>
      </c>
      <c r="V3191" t="s">
        <v>12902</v>
      </c>
      <c r="W3191" t="s">
        <v>16052</v>
      </c>
      <c r="X3191">
        <v>4</v>
      </c>
      <c r="Y3191" t="s">
        <v>22383</v>
      </c>
      <c r="Z3191" t="s">
        <v>28766</v>
      </c>
      <c r="AA3191">
        <v>0.50293544482202368</v>
      </c>
      <c r="AB3191" t="str">
        <f>HYPERLINK("Melting_Curves/meltCurve_Q12894_IFRD2.pdf", "Melting_Curves/meltCurve_Q12894_IFRD2.pdf")</f>
        <v>Melting_Curves/meltCurve_Q12894_IFRD2.pdf</v>
      </c>
    </row>
    <row r="3192" spans="1:28" x14ac:dyDescent="0.25">
      <c r="A3192" t="s">
        <v>3196</v>
      </c>
      <c r="B3192">
        <v>0.99673306730245903</v>
      </c>
      <c r="C3192">
        <v>0.89991479423725895</v>
      </c>
      <c r="D3192">
        <v>0.82087774718233797</v>
      </c>
      <c r="E3192">
        <v>0.78533224889396502</v>
      </c>
      <c r="F3192">
        <v>0.34132119995026</v>
      </c>
      <c r="G3192">
        <v>0.21636550098468499</v>
      </c>
      <c r="H3192">
        <v>0.13948586806348201</v>
      </c>
      <c r="I3192">
        <v>0.118623689160646</v>
      </c>
      <c r="J3192">
        <v>8.4704045785061396E-2</v>
      </c>
      <c r="K3192">
        <v>5.6036474258766997E-2</v>
      </c>
      <c r="L3192">
        <v>865.60322057022995</v>
      </c>
      <c r="M3192">
        <v>16.806137343735401</v>
      </c>
      <c r="N3192">
        <v>51.910486169271302</v>
      </c>
      <c r="O3192">
        <v>50.792522973275098</v>
      </c>
      <c r="P3192">
        <v>-7.7638450582570198E-2</v>
      </c>
      <c r="Q3192">
        <v>6.1486069614416897E-2</v>
      </c>
      <c r="R3192">
        <v>0.97973465202937904</v>
      </c>
      <c r="S3192" t="s">
        <v>9644</v>
      </c>
      <c r="T3192" t="s">
        <v>12902</v>
      </c>
      <c r="U3192" t="s">
        <v>12902</v>
      </c>
      <c r="V3192" t="s">
        <v>12902</v>
      </c>
      <c r="W3192" t="s">
        <v>16053</v>
      </c>
      <c r="X3192">
        <v>7</v>
      </c>
      <c r="Y3192" t="s">
        <v>22384</v>
      </c>
      <c r="Z3192" t="s">
        <v>28767</v>
      </c>
      <c r="AA3192">
        <v>0.43910748731559118</v>
      </c>
      <c r="AB3192" t="str">
        <f>HYPERLINK("Melting_Curves/meltCurve_Q12899_TRIM26.pdf", "Melting_Curves/meltCurve_Q12899_TRIM26.pdf")</f>
        <v>Melting_Curves/meltCurve_Q12899_TRIM26.pdf</v>
      </c>
    </row>
    <row r="3193" spans="1:28" x14ac:dyDescent="0.25">
      <c r="A3193" t="s">
        <v>3197</v>
      </c>
      <c r="B3193">
        <v>0.99673306730245903</v>
      </c>
      <c r="C3193">
        <v>0.93575556161000095</v>
      </c>
      <c r="D3193">
        <v>0.64914181342678601</v>
      </c>
      <c r="E3193">
        <v>0.36181135804756598</v>
      </c>
      <c r="F3193">
        <v>0.247065883451592</v>
      </c>
      <c r="G3193">
        <v>0.16232851532176401</v>
      </c>
      <c r="H3193">
        <v>0.13648400725027099</v>
      </c>
      <c r="I3193">
        <v>0.259417434014519</v>
      </c>
      <c r="J3193">
        <v>0.50884776509429297</v>
      </c>
      <c r="K3193">
        <v>0.50360549268471</v>
      </c>
      <c r="L3193">
        <v>1622.23204336666</v>
      </c>
      <c r="M3193">
        <v>35.301840365475002</v>
      </c>
      <c r="N3193">
        <v>47.202976280221698</v>
      </c>
      <c r="O3193">
        <v>45.806474377470501</v>
      </c>
      <c r="P3193">
        <v>-0.13416584750494701</v>
      </c>
      <c r="Q3193">
        <v>0.30364610787340302</v>
      </c>
      <c r="R3193">
        <v>0.837741475948516</v>
      </c>
      <c r="S3193" t="s">
        <v>9645</v>
      </c>
      <c r="T3193" t="s">
        <v>12902</v>
      </c>
      <c r="U3193" t="s">
        <v>12902</v>
      </c>
      <c r="V3193" t="s">
        <v>12902</v>
      </c>
      <c r="W3193" t="s">
        <v>16054</v>
      </c>
      <c r="X3193">
        <v>7</v>
      </c>
      <c r="Y3193" t="s">
        <v>22385</v>
      </c>
      <c r="Z3193" t="s">
        <v>28768</v>
      </c>
      <c r="AA3193">
        <v>0.4447915720351997</v>
      </c>
      <c r="AB3193" t="str">
        <f>HYPERLINK("Melting_Curves/meltCurve_Q12904_AIMP1.pdf", "Melting_Curves/meltCurve_Q12904_AIMP1.pdf")</f>
        <v>Melting_Curves/meltCurve_Q12904_AIMP1.pdf</v>
      </c>
    </row>
    <row r="3194" spans="1:28" x14ac:dyDescent="0.25">
      <c r="A3194" t="s">
        <v>3198</v>
      </c>
      <c r="B3194">
        <v>0.99673306730245903</v>
      </c>
      <c r="C3194">
        <v>0.90552324453031097</v>
      </c>
      <c r="D3194">
        <v>0.94835744566270797</v>
      </c>
      <c r="E3194">
        <v>1.0474074739524699</v>
      </c>
      <c r="F3194">
        <v>1.09325059196057</v>
      </c>
      <c r="G3194">
        <v>0.71775055156797496</v>
      </c>
      <c r="H3194">
        <v>0.21557426119451301</v>
      </c>
      <c r="I3194">
        <v>8.0776707208467205E-2</v>
      </c>
      <c r="J3194">
        <v>6.3803754913142996E-2</v>
      </c>
      <c r="K3194">
        <v>5.7035006437294401E-2</v>
      </c>
      <c r="L3194">
        <v>2414.46545614768</v>
      </c>
      <c r="M3194">
        <v>41.540344594067498</v>
      </c>
      <c r="N3194">
        <v>58.315438141106497</v>
      </c>
      <c r="O3194">
        <v>57.989174206743499</v>
      </c>
      <c r="P3194">
        <v>-0.167637945717868</v>
      </c>
      <c r="Q3194">
        <v>6.3929933480620205E-2</v>
      </c>
      <c r="R3194">
        <v>0.98476984672363799</v>
      </c>
      <c r="S3194" t="s">
        <v>9646</v>
      </c>
      <c r="T3194" t="s">
        <v>12902</v>
      </c>
      <c r="U3194" t="s">
        <v>12902</v>
      </c>
      <c r="V3194" t="s">
        <v>12902</v>
      </c>
      <c r="W3194" t="s">
        <v>16055</v>
      </c>
      <c r="X3194">
        <v>6</v>
      </c>
      <c r="Y3194" t="s">
        <v>22386</v>
      </c>
      <c r="Z3194" t="s">
        <v>28769</v>
      </c>
      <c r="AA3194">
        <v>0.63284918113725019</v>
      </c>
      <c r="AB3194" t="str">
        <f>HYPERLINK("Melting_Curves/meltCurve_Q12905_ILF2.pdf", "Melting_Curves/meltCurve_Q12905_ILF2.pdf")</f>
        <v>Melting_Curves/meltCurve_Q12905_ILF2.pdf</v>
      </c>
    </row>
    <row r="3195" spans="1:28" x14ac:dyDescent="0.25">
      <c r="A3195" t="s">
        <v>3199</v>
      </c>
      <c r="B3195">
        <v>0.99673306730245903</v>
      </c>
      <c r="C3195">
        <v>0.978850569774664</v>
      </c>
      <c r="D3195">
        <v>1.01242387355945</v>
      </c>
      <c r="E3195">
        <v>1.0826998704006301</v>
      </c>
      <c r="F3195">
        <v>1.03041672203809</v>
      </c>
      <c r="G3195">
        <v>0.62497952156029202</v>
      </c>
      <c r="H3195">
        <v>0.21547135875558801</v>
      </c>
      <c r="I3195">
        <v>0.15523434495292601</v>
      </c>
      <c r="J3195">
        <v>0.146984029174346</v>
      </c>
      <c r="K3195">
        <v>0.13483084521432101</v>
      </c>
      <c r="L3195">
        <v>2996.0893437734298</v>
      </c>
      <c r="M3195">
        <v>52.476804108609798</v>
      </c>
      <c r="N3195">
        <v>57.493933860893399</v>
      </c>
      <c r="O3195">
        <v>57.010861525267501</v>
      </c>
      <c r="P3195">
        <v>-0.19490001796505499</v>
      </c>
      <c r="Q3195">
        <v>0.15304212536499601</v>
      </c>
      <c r="R3195">
        <v>0.99322419669194495</v>
      </c>
      <c r="S3195" t="s">
        <v>9647</v>
      </c>
      <c r="T3195" t="s">
        <v>12902</v>
      </c>
      <c r="U3195" t="s">
        <v>12902</v>
      </c>
      <c r="V3195" t="s">
        <v>12902</v>
      </c>
      <c r="W3195" t="s">
        <v>16056</v>
      </c>
      <c r="X3195">
        <v>24</v>
      </c>
      <c r="Y3195" t="s">
        <v>22387</v>
      </c>
      <c r="Z3195" t="s">
        <v>28770</v>
      </c>
      <c r="AA3195">
        <v>0.63755961080088197</v>
      </c>
      <c r="AB3195" t="str">
        <f>HYPERLINK("Melting_Curves/meltCurve_Q12906_ILF3.pdf", "Melting_Curves/meltCurve_Q12906_ILF3.pdf")</f>
        <v>Melting_Curves/meltCurve_Q12906_ILF3.pdf</v>
      </c>
    </row>
    <row r="3196" spans="1:28" x14ac:dyDescent="0.25">
      <c r="A3196" t="s">
        <v>3200</v>
      </c>
      <c r="B3196">
        <v>0.99673306730245903</v>
      </c>
      <c r="C3196">
        <v>0.93014669195874</v>
      </c>
      <c r="D3196">
        <v>0.80271222512624996</v>
      </c>
      <c r="E3196">
        <v>0.65911617126205702</v>
      </c>
      <c r="F3196">
        <v>0.29270883325313102</v>
      </c>
      <c r="G3196">
        <v>0.15940056592254401</v>
      </c>
      <c r="H3196">
        <v>8.50785429603792E-2</v>
      </c>
      <c r="I3196">
        <v>7.0721099622484102E-2</v>
      </c>
      <c r="J3196">
        <v>6.6513430530987003E-2</v>
      </c>
      <c r="K3196">
        <v>5.57440485152201E-2</v>
      </c>
      <c r="L3196">
        <v>855.78674416324395</v>
      </c>
      <c r="M3196">
        <v>16.937576048614002</v>
      </c>
      <c r="N3196">
        <v>50.7807031938883</v>
      </c>
      <c r="O3196">
        <v>49.837390451048599</v>
      </c>
      <c r="P3196">
        <v>-8.1508376832572796E-2</v>
      </c>
      <c r="Q3196">
        <v>4.07340728187367E-2</v>
      </c>
      <c r="R3196">
        <v>0.99396449682216004</v>
      </c>
      <c r="S3196" t="s">
        <v>9648</v>
      </c>
      <c r="T3196" t="s">
        <v>12902</v>
      </c>
      <c r="U3196" t="s">
        <v>12902</v>
      </c>
      <c r="V3196" t="s">
        <v>12902</v>
      </c>
      <c r="W3196" t="s">
        <v>16057</v>
      </c>
      <c r="X3196">
        <v>14</v>
      </c>
      <c r="Y3196" t="s">
        <v>22388</v>
      </c>
      <c r="Z3196" t="s">
        <v>28771</v>
      </c>
      <c r="AA3196">
        <v>0.39547139504864948</v>
      </c>
      <c r="AB3196" t="str">
        <f>HYPERLINK("Melting_Curves/meltCurve_Q12907_LMAN2.pdf", "Melting_Curves/meltCurve_Q12907_LMAN2.pdf")</f>
        <v>Melting_Curves/meltCurve_Q12907_LMAN2.pdf</v>
      </c>
    </row>
    <row r="3197" spans="1:28" x14ac:dyDescent="0.25">
      <c r="A3197" t="s">
        <v>3201</v>
      </c>
      <c r="B3197">
        <v>0.99673306730245903</v>
      </c>
      <c r="C3197">
        <v>0.927104976023441</v>
      </c>
      <c r="D3197">
        <v>0.75248509925014595</v>
      </c>
      <c r="E3197">
        <v>0.346297151691706</v>
      </c>
      <c r="F3197">
        <v>0.20756254797003201</v>
      </c>
      <c r="G3197">
        <v>0.126607307775534</v>
      </c>
      <c r="H3197">
        <v>9.2383946120682098E-2</v>
      </c>
      <c r="I3197">
        <v>0.11735608339980901</v>
      </c>
      <c r="J3197">
        <v>0.12971730115556299</v>
      </c>
      <c r="K3197">
        <v>0.12883359117842899</v>
      </c>
      <c r="L3197">
        <v>1155.5117950209799</v>
      </c>
      <c r="M3197">
        <v>24.2502168887628</v>
      </c>
      <c r="N3197">
        <v>48.179048070913403</v>
      </c>
      <c r="O3197">
        <v>47.3290568675869</v>
      </c>
      <c r="P3197">
        <v>-0.113110954489964</v>
      </c>
      <c r="Q3197">
        <v>0.11698034722188599</v>
      </c>
      <c r="R3197">
        <v>0.99783414190661401</v>
      </c>
      <c r="S3197" t="s">
        <v>9649</v>
      </c>
      <c r="T3197" t="s">
        <v>12902</v>
      </c>
      <c r="U3197" t="s">
        <v>12902</v>
      </c>
      <c r="V3197" t="s">
        <v>12902</v>
      </c>
      <c r="W3197" t="s">
        <v>16058</v>
      </c>
      <c r="X3197">
        <v>12</v>
      </c>
      <c r="Y3197" t="s">
        <v>22389</v>
      </c>
      <c r="Z3197" t="s">
        <v>28772</v>
      </c>
      <c r="AA3197">
        <v>0.35048395059249432</v>
      </c>
      <c r="AB3197" t="str">
        <f>HYPERLINK("Melting_Curves/meltCurve_Q12929_EPS8.pdf", "Melting_Curves/meltCurve_Q12929_EPS8.pdf")</f>
        <v>Melting_Curves/meltCurve_Q12929_EPS8.pdf</v>
      </c>
    </row>
    <row r="3198" spans="1:28" x14ac:dyDescent="0.25">
      <c r="A3198" t="s">
        <v>3202</v>
      </c>
      <c r="B3198">
        <v>0.99673306730245903</v>
      </c>
      <c r="C3198">
        <v>0.93797502626718698</v>
      </c>
      <c r="D3198">
        <v>0.98391106005620899</v>
      </c>
      <c r="E3198">
        <v>1.0444757344675599</v>
      </c>
      <c r="F3198">
        <v>0.51141342071226703</v>
      </c>
      <c r="G3198">
        <v>0.14127069277191201</v>
      </c>
      <c r="H3198">
        <v>9.1401744215455702E-2</v>
      </c>
      <c r="I3198">
        <v>7.28487756625327E-2</v>
      </c>
      <c r="J3198">
        <v>8.2613332755741703E-2</v>
      </c>
      <c r="K3198">
        <v>6.9737908297183293E-2</v>
      </c>
      <c r="L3198">
        <v>3605.4234322305501</v>
      </c>
      <c r="M3198">
        <v>67.900469869332198</v>
      </c>
      <c r="N3198">
        <v>53.252344317653403</v>
      </c>
      <c r="O3198">
        <v>53.052650260481101</v>
      </c>
      <c r="P3198">
        <v>-0.291496568425263</v>
      </c>
      <c r="Q3198">
        <v>8.8980572844782696E-2</v>
      </c>
      <c r="R3198">
        <v>0.99488933732798501</v>
      </c>
      <c r="S3198" t="s">
        <v>9650</v>
      </c>
      <c r="T3198" t="s">
        <v>12902</v>
      </c>
      <c r="U3198" t="s">
        <v>12902</v>
      </c>
      <c r="V3198" t="s">
        <v>12902</v>
      </c>
      <c r="W3198" t="s">
        <v>16059</v>
      </c>
      <c r="X3198">
        <v>12</v>
      </c>
      <c r="Y3198" t="s">
        <v>22390</v>
      </c>
      <c r="Z3198" t="s">
        <v>28773</v>
      </c>
      <c r="AA3198">
        <v>0.4879055241573802</v>
      </c>
      <c r="AB3198" t="str">
        <f>HYPERLINK("Melting_Curves/meltCurve_Q12933_3_TRAF2.pdf", "Melting_Curves/meltCurve_Q12933_3_TRAF2.pdf")</f>
        <v>Melting_Curves/meltCurve_Q12933_3_TRAF2.pdf</v>
      </c>
    </row>
    <row r="3199" spans="1:28" x14ac:dyDescent="0.25">
      <c r="A3199" t="s">
        <v>3203</v>
      </c>
      <c r="B3199">
        <v>0.99673306730245903</v>
      </c>
      <c r="C3199">
        <v>0.96366217937399901</v>
      </c>
      <c r="D3199">
        <v>0.95243154113266204</v>
      </c>
      <c r="E3199">
        <v>0.88390354127648696</v>
      </c>
      <c r="F3199">
        <v>0.61848792519474904</v>
      </c>
      <c r="G3199">
        <v>0.61453818274026895</v>
      </c>
      <c r="H3199">
        <v>0.70850985791850496</v>
      </c>
      <c r="I3199">
        <v>0.67947298492302299</v>
      </c>
      <c r="J3199">
        <v>0.56200656062647203</v>
      </c>
      <c r="K3199">
        <v>0.28684019664914701</v>
      </c>
      <c r="L3199">
        <v>332.36582065200099</v>
      </c>
      <c r="M3199">
        <v>4.9929196792470698</v>
      </c>
      <c r="N3199">
        <v>66.567429370331098</v>
      </c>
      <c r="O3199">
        <v>58.0790694237607</v>
      </c>
      <c r="P3199">
        <v>-2.1624243165171801E-2</v>
      </c>
      <c r="Q3199">
        <v>0</v>
      </c>
      <c r="R3199">
        <v>0.79604921265343498</v>
      </c>
      <c r="S3199" t="s">
        <v>9651</v>
      </c>
      <c r="T3199" t="s">
        <v>12902</v>
      </c>
      <c r="U3199" t="s">
        <v>12902</v>
      </c>
      <c r="V3199" t="s">
        <v>12902</v>
      </c>
      <c r="W3199" t="s">
        <v>16060</v>
      </c>
      <c r="X3199">
        <v>9</v>
      </c>
      <c r="Y3199" t="s">
        <v>22391</v>
      </c>
      <c r="Z3199" t="s">
        <v>28774</v>
      </c>
      <c r="AA3199">
        <v>0.72767402877597342</v>
      </c>
      <c r="AB3199" t="str">
        <f>HYPERLINK("Melting_Curves/meltCurve_Q12955_ANK3.pdf", "Melting_Curves/meltCurve_Q12955_ANK3.pdf")</f>
        <v>Melting_Curves/meltCurve_Q12955_ANK3.pdf</v>
      </c>
    </row>
    <row r="3200" spans="1:28" x14ac:dyDescent="0.25">
      <c r="A3200" t="s">
        <v>3204</v>
      </c>
      <c r="B3200">
        <v>0.99673306730245903</v>
      </c>
      <c r="C3200">
        <v>0.96493767695377197</v>
      </c>
      <c r="D3200">
        <v>0.910034320585689</v>
      </c>
      <c r="E3200">
        <v>0.79448747195557601</v>
      </c>
      <c r="F3200">
        <v>0.35467993253185498</v>
      </c>
      <c r="G3200">
        <v>0.18421768074838599</v>
      </c>
      <c r="H3200">
        <v>0.13600662429319499</v>
      </c>
      <c r="I3200">
        <v>0.10673013616163</v>
      </c>
      <c r="J3200">
        <v>0.108386258678053</v>
      </c>
      <c r="K3200">
        <v>9.1806789292699906E-2</v>
      </c>
      <c r="L3200">
        <v>1360.6660679730701</v>
      </c>
      <c r="M3200">
        <v>26.405916651768301</v>
      </c>
      <c r="N3200">
        <v>51.989978836422601</v>
      </c>
      <c r="O3200">
        <v>51.236009290552701</v>
      </c>
      <c r="P3200">
        <v>-0.115393684960523</v>
      </c>
      <c r="Q3200">
        <v>0.104405279290489</v>
      </c>
      <c r="R3200">
        <v>0.99595458119129399</v>
      </c>
      <c r="S3200" t="s">
        <v>9652</v>
      </c>
      <c r="T3200" t="s">
        <v>12902</v>
      </c>
      <c r="U3200" t="s">
        <v>12902</v>
      </c>
      <c r="V3200" t="s">
        <v>12902</v>
      </c>
      <c r="W3200" t="s">
        <v>16061</v>
      </c>
      <c r="X3200">
        <v>18</v>
      </c>
      <c r="Y3200" t="s">
        <v>22392</v>
      </c>
      <c r="Z3200" t="s">
        <v>28775</v>
      </c>
      <c r="AA3200">
        <v>0.45588897627603941</v>
      </c>
      <c r="AB3200" t="str">
        <f>HYPERLINK("Melting_Curves/meltCurve_Q12959_5_DLG1.pdf", "Melting_Curves/meltCurve_Q12959_5_DLG1.pdf")</f>
        <v>Melting_Curves/meltCurve_Q12959_5_DLG1.pdf</v>
      </c>
    </row>
    <row r="3201" spans="1:28" x14ac:dyDescent="0.25">
      <c r="A3201" t="s">
        <v>3205</v>
      </c>
      <c r="B3201">
        <v>0.99673306730245903</v>
      </c>
      <c r="C3201">
        <v>0.95044262013208403</v>
      </c>
      <c r="D3201">
        <v>0.90897344213230802</v>
      </c>
      <c r="E3201">
        <v>0.78673083112214703</v>
      </c>
      <c r="F3201">
        <v>0.64853482832976606</v>
      </c>
      <c r="G3201">
        <v>0.50094375883937003</v>
      </c>
      <c r="H3201">
        <v>0.38685294648121599</v>
      </c>
      <c r="I3201">
        <v>0.48643905968030099</v>
      </c>
      <c r="J3201">
        <v>0.64925528370513896</v>
      </c>
      <c r="K3201">
        <v>0.60030639667243202</v>
      </c>
      <c r="L3201">
        <v>1110.2827931894899</v>
      </c>
      <c r="M3201">
        <v>22.304113890515598</v>
      </c>
      <c r="O3201">
        <v>49.384308557696897</v>
      </c>
      <c r="P3201">
        <v>-5.3819680073657103E-2</v>
      </c>
      <c r="Q3201">
        <v>0.52335403185155105</v>
      </c>
      <c r="R3201">
        <v>0.87548455415958104</v>
      </c>
      <c r="S3201" t="s">
        <v>9653</v>
      </c>
      <c r="T3201" t="s">
        <v>12902</v>
      </c>
      <c r="U3201" t="s">
        <v>12902</v>
      </c>
      <c r="V3201" t="s">
        <v>12902</v>
      </c>
      <c r="W3201" t="s">
        <v>16062</v>
      </c>
      <c r="X3201">
        <v>5</v>
      </c>
      <c r="Y3201" t="s">
        <v>22393</v>
      </c>
      <c r="Z3201" t="s">
        <v>28776</v>
      </c>
      <c r="AA3201">
        <v>0.68407747140863717</v>
      </c>
      <c r="AB3201" t="str">
        <f>HYPERLINK("Melting_Curves/meltCurve_Q12962_TAF10.pdf", "Melting_Curves/meltCurve_Q12962_TAF10.pdf")</f>
        <v>Melting_Curves/meltCurve_Q12962_TAF10.pdf</v>
      </c>
    </row>
    <row r="3202" spans="1:28" x14ac:dyDescent="0.25">
      <c r="A3202" t="s">
        <v>3206</v>
      </c>
      <c r="B3202">
        <v>0.99673306730245903</v>
      </c>
      <c r="C3202">
        <v>0.98532253685600701</v>
      </c>
      <c r="D3202">
        <v>0.90338793072617496</v>
      </c>
      <c r="E3202">
        <v>0.41915212733263502</v>
      </c>
      <c r="F3202">
        <v>0.21748198633905499</v>
      </c>
      <c r="G3202">
        <v>0.124358716240002</v>
      </c>
      <c r="H3202">
        <v>8.7398129830066298E-2</v>
      </c>
      <c r="I3202">
        <v>8.98542741180898E-2</v>
      </c>
      <c r="J3202">
        <v>0.10867440271171</v>
      </c>
      <c r="K3202">
        <v>9.2488807039248305E-2</v>
      </c>
      <c r="L3202">
        <v>1482.12216061818</v>
      </c>
      <c r="M3202">
        <v>30.365485626822601</v>
      </c>
      <c r="N3202">
        <v>49.184860079434202</v>
      </c>
      <c r="O3202">
        <v>48.599197935050398</v>
      </c>
      <c r="P3202">
        <v>-0.14004680662546701</v>
      </c>
      <c r="Q3202">
        <v>0.103439706668828</v>
      </c>
      <c r="R3202">
        <v>0.99706389464481204</v>
      </c>
      <c r="S3202" t="s">
        <v>9654</v>
      </c>
      <c r="T3202" t="s">
        <v>12902</v>
      </c>
      <c r="U3202" t="s">
        <v>12902</v>
      </c>
      <c r="V3202" t="s">
        <v>12902</v>
      </c>
      <c r="W3202" t="s">
        <v>16063</v>
      </c>
      <c r="X3202">
        <v>18</v>
      </c>
      <c r="Y3202" t="s">
        <v>22394</v>
      </c>
      <c r="Z3202" t="s">
        <v>28777</v>
      </c>
      <c r="AA3202">
        <v>0.3720249784344915</v>
      </c>
      <c r="AB3202" t="str">
        <f>HYPERLINK("Melting_Curves/meltCurve_Q12965_MYO1E.pdf", "Melting_Curves/meltCurve_Q12965_MYO1E.pdf")</f>
        <v>Melting_Curves/meltCurve_Q12965_MYO1E.pdf</v>
      </c>
    </row>
    <row r="3203" spans="1:28" x14ac:dyDescent="0.25">
      <c r="A3203" t="s">
        <v>3207</v>
      </c>
      <c r="B3203">
        <v>0.99673306730245903</v>
      </c>
      <c r="C3203">
        <v>1.21038653835233</v>
      </c>
      <c r="D3203">
        <v>0.58045263662258195</v>
      </c>
      <c r="E3203">
        <v>0.869842020898558</v>
      </c>
      <c r="F3203">
        <v>0.38428369225853498</v>
      </c>
      <c r="G3203">
        <v>0.188444599046865</v>
      </c>
      <c r="H3203">
        <v>0.14000991062062501</v>
      </c>
      <c r="I3203">
        <v>0.120588671617553</v>
      </c>
      <c r="J3203">
        <v>0.111629842792766</v>
      </c>
      <c r="K3203">
        <v>0.10951673999144799</v>
      </c>
      <c r="L3203">
        <v>887.39795662393703</v>
      </c>
      <c r="M3203">
        <v>17.2105316861199</v>
      </c>
      <c r="N3203">
        <v>52.103771209839998</v>
      </c>
      <c r="O3203">
        <v>50.8803106945536</v>
      </c>
      <c r="P3203">
        <v>-7.7632522348530006E-2</v>
      </c>
      <c r="Q3203">
        <v>8.2019223275240902E-2</v>
      </c>
      <c r="R3203">
        <v>0.87684456581530701</v>
      </c>
      <c r="S3203" t="s">
        <v>9655</v>
      </c>
      <c r="T3203" t="s">
        <v>12902</v>
      </c>
      <c r="U3203" t="s">
        <v>12902</v>
      </c>
      <c r="V3203" t="s">
        <v>12902</v>
      </c>
      <c r="W3203" t="s">
        <v>16064</v>
      </c>
      <c r="X3203">
        <v>12</v>
      </c>
      <c r="Y3203" t="s">
        <v>22395</v>
      </c>
      <c r="Z3203" t="s">
        <v>28778</v>
      </c>
      <c r="AA3203">
        <v>0.45239252583505019</v>
      </c>
      <c r="AB3203" t="str">
        <f>HYPERLINK("Melting_Curves/meltCurve_Q12972_PPP1R8.pdf", "Melting_Curves/meltCurve_Q12972_PPP1R8.pdf")</f>
        <v>Melting_Curves/meltCurve_Q12972_PPP1R8.pdf</v>
      </c>
    </row>
    <row r="3204" spans="1:28" x14ac:dyDescent="0.25">
      <c r="A3204" t="s">
        <v>3208</v>
      </c>
      <c r="B3204">
        <v>0.99673306730245903</v>
      </c>
      <c r="C3204">
        <v>0.93176695959922595</v>
      </c>
      <c r="D3204">
        <v>0.69700459959164196</v>
      </c>
      <c r="E3204">
        <v>0.65131670255226204</v>
      </c>
      <c r="F3204">
        <v>0.37791806090665803</v>
      </c>
      <c r="G3204">
        <v>0.18387471044339901</v>
      </c>
      <c r="H3204">
        <v>9.0277581827129402E-2</v>
      </c>
      <c r="I3204">
        <v>7.35199394924098E-2</v>
      </c>
      <c r="J3204">
        <v>7.9335425364900194E-2</v>
      </c>
      <c r="K3204">
        <v>6.4857550145691306E-2</v>
      </c>
      <c r="L3204">
        <v>646.062917890481</v>
      </c>
      <c r="M3204">
        <v>12.737725815911199</v>
      </c>
      <c r="N3204">
        <v>50.8501852851861</v>
      </c>
      <c r="O3204">
        <v>49.519063498295601</v>
      </c>
      <c r="P3204">
        <v>-6.3291074907300807E-2</v>
      </c>
      <c r="Q3204">
        <v>1.59890254217054E-2</v>
      </c>
      <c r="R3204">
        <v>0.98532837057118305</v>
      </c>
      <c r="S3204" t="s">
        <v>9656</v>
      </c>
      <c r="T3204" t="s">
        <v>12902</v>
      </c>
      <c r="U3204" t="s">
        <v>12902</v>
      </c>
      <c r="V3204" t="s">
        <v>12902</v>
      </c>
      <c r="W3204" t="s">
        <v>16065</v>
      </c>
      <c r="X3204">
        <v>6</v>
      </c>
      <c r="Y3204" t="s">
        <v>22396</v>
      </c>
      <c r="Z3204" t="s">
        <v>28779</v>
      </c>
      <c r="AA3204">
        <v>0.39746863390501391</v>
      </c>
      <c r="AB3204" t="str">
        <f>HYPERLINK("Melting_Curves/meltCurve_Q12981_BNIP1.pdf", "Melting_Curves/meltCurve_Q12981_BNIP1.pdf")</f>
        <v>Melting_Curves/meltCurve_Q12981_BNIP1.pdf</v>
      </c>
    </row>
    <row r="3205" spans="1:28" x14ac:dyDescent="0.25">
      <c r="A3205" t="s">
        <v>3209</v>
      </c>
      <c r="B3205">
        <v>0.99673306730245903</v>
      </c>
      <c r="C3205">
        <v>0.87195285363491104</v>
      </c>
      <c r="D3205">
        <v>0.85852990994158296</v>
      </c>
      <c r="E3205">
        <v>0.61432109439855398</v>
      </c>
      <c r="F3205">
        <v>0.20909693980253399</v>
      </c>
      <c r="G3205">
        <v>9.8351780635335798E-2</v>
      </c>
      <c r="H3205">
        <v>6.8503376690058099E-2</v>
      </c>
      <c r="I3205">
        <v>7.1765009556993303E-2</v>
      </c>
      <c r="J3205">
        <v>0.123667210401017</v>
      </c>
      <c r="K3205">
        <v>4.8915164360204898E-2</v>
      </c>
      <c r="L3205">
        <v>1124.6736893320401</v>
      </c>
      <c r="M3205">
        <v>22.535044332585699</v>
      </c>
      <c r="N3205">
        <v>50.207114257808001</v>
      </c>
      <c r="O3205">
        <v>49.519741113165097</v>
      </c>
      <c r="P3205">
        <v>-0.106618407681227</v>
      </c>
      <c r="Q3205">
        <v>6.2862499264094304E-2</v>
      </c>
      <c r="R3205">
        <v>0.98567390477622696</v>
      </c>
      <c r="S3205" t="s">
        <v>9657</v>
      </c>
      <c r="T3205" t="s">
        <v>12902</v>
      </c>
      <c r="U3205" t="s">
        <v>12902</v>
      </c>
      <c r="V3205" t="s">
        <v>12902</v>
      </c>
      <c r="W3205" t="s">
        <v>16066</v>
      </c>
      <c r="X3205">
        <v>3</v>
      </c>
      <c r="Y3205" t="s">
        <v>22397</v>
      </c>
      <c r="Z3205" t="s">
        <v>28780</v>
      </c>
      <c r="AA3205">
        <v>0.38266640725678891</v>
      </c>
      <c r="AB3205" t="str">
        <f>HYPERLINK("Melting_Curves/meltCurve_Q12986_NFX1.pdf", "Melting_Curves/meltCurve_Q12986_NFX1.pdf")</f>
        <v>Melting_Curves/meltCurve_Q12986_NFX1.pdf</v>
      </c>
    </row>
    <row r="3206" spans="1:28" x14ac:dyDescent="0.25">
      <c r="A3206" t="s">
        <v>3210</v>
      </c>
      <c r="B3206">
        <v>0.99673306730245903</v>
      </c>
      <c r="C3206">
        <v>0.90889353167368903</v>
      </c>
      <c r="D3206">
        <v>0.97369534590900297</v>
      </c>
      <c r="E3206">
        <v>1.11225493491745</v>
      </c>
      <c r="F3206">
        <v>0.31396171645305099</v>
      </c>
      <c r="G3206">
        <v>0.136591065875552</v>
      </c>
      <c r="H3206">
        <v>6.7344182930930793E-2</v>
      </c>
      <c r="I3206">
        <v>5.5618392214270403E-2</v>
      </c>
      <c r="J3206">
        <v>6.1353594653422001E-2</v>
      </c>
      <c r="K3206">
        <v>5.5009726576739901E-2</v>
      </c>
      <c r="L3206">
        <v>13243.8528512546</v>
      </c>
      <c r="M3206">
        <v>250</v>
      </c>
      <c r="N3206">
        <v>53.009963666235599</v>
      </c>
      <c r="O3206">
        <v>52.971996699888997</v>
      </c>
      <c r="P3206">
        <v>-1.09116166176827</v>
      </c>
      <c r="Q3206">
        <v>7.5183376809134797E-2</v>
      </c>
      <c r="R3206">
        <v>0.98641633652208605</v>
      </c>
      <c r="S3206" t="s">
        <v>9658</v>
      </c>
      <c r="T3206" t="s">
        <v>12902</v>
      </c>
      <c r="U3206" t="s">
        <v>12902</v>
      </c>
      <c r="V3206" t="s">
        <v>12902</v>
      </c>
      <c r="W3206" t="s">
        <v>16067</v>
      </c>
      <c r="X3206">
        <v>15</v>
      </c>
      <c r="Y3206" t="s">
        <v>22398</v>
      </c>
      <c r="Z3206" t="s">
        <v>28781</v>
      </c>
      <c r="AA3206">
        <v>0.47526522995963039</v>
      </c>
      <c r="AB3206" t="str">
        <f>HYPERLINK("Melting_Curves/meltCurve_Q12996_CSTF3.pdf", "Melting_Curves/meltCurve_Q12996_CSTF3.pdf")</f>
        <v>Melting_Curves/meltCurve_Q12996_CSTF3.pdf</v>
      </c>
    </row>
    <row r="3207" spans="1:28" x14ac:dyDescent="0.25">
      <c r="A3207" t="s">
        <v>3211</v>
      </c>
      <c r="B3207">
        <v>0.99673306730245903</v>
      </c>
      <c r="C3207">
        <v>0.91642201680565105</v>
      </c>
      <c r="D3207">
        <v>1.03361162679017</v>
      </c>
      <c r="E3207">
        <v>1.14956446810295</v>
      </c>
      <c r="F3207">
        <v>0.67555989888810697</v>
      </c>
      <c r="G3207">
        <v>0.18640413983944901</v>
      </c>
      <c r="H3207">
        <v>9.5530163048413497E-2</v>
      </c>
      <c r="I3207">
        <v>6.9440961512345398E-2</v>
      </c>
      <c r="J3207">
        <v>7.3432597697529106E-2</v>
      </c>
      <c r="K3207">
        <v>6.5294057558588303E-2</v>
      </c>
      <c r="L3207">
        <v>2646.99208534032</v>
      </c>
      <c r="M3207">
        <v>49.051570288576201</v>
      </c>
      <c r="N3207">
        <v>54.158989818769498</v>
      </c>
      <c r="O3207">
        <v>53.873987921630203</v>
      </c>
      <c r="P3207">
        <v>-0.20915220380812699</v>
      </c>
      <c r="Q3207">
        <v>8.1142329542563799E-2</v>
      </c>
      <c r="R3207">
        <v>0.98156145096411096</v>
      </c>
      <c r="S3207" t="s">
        <v>9659</v>
      </c>
      <c r="T3207" t="s">
        <v>12902</v>
      </c>
      <c r="U3207" t="s">
        <v>12902</v>
      </c>
      <c r="V3207" t="s">
        <v>12902</v>
      </c>
      <c r="W3207" t="s">
        <v>16068</v>
      </c>
      <c r="X3207">
        <v>20</v>
      </c>
      <c r="Y3207" t="s">
        <v>22399</v>
      </c>
      <c r="Z3207" t="s">
        <v>28782</v>
      </c>
      <c r="AA3207">
        <v>0.51109549324062808</v>
      </c>
      <c r="AB3207" t="str">
        <f>HYPERLINK("Melting_Curves/meltCurve_Q13011_ECH1.pdf", "Melting_Curves/meltCurve_Q13011_ECH1.pdf")</f>
        <v>Melting_Curves/meltCurve_Q13011_ECH1.pdf</v>
      </c>
    </row>
    <row r="3208" spans="1:28" x14ac:dyDescent="0.25">
      <c r="A3208" t="s">
        <v>3212</v>
      </c>
      <c r="B3208">
        <v>0.99673306730245903</v>
      </c>
      <c r="C3208">
        <v>0.92904612227775896</v>
      </c>
      <c r="D3208">
        <v>0.82149630697629195</v>
      </c>
      <c r="E3208">
        <v>0.27132334500802702</v>
      </c>
      <c r="F3208">
        <v>0.19710595333280201</v>
      </c>
      <c r="G3208">
        <v>0.12505266182940999</v>
      </c>
      <c r="H3208">
        <v>8.2077064472127703E-2</v>
      </c>
      <c r="I3208">
        <v>7.0809263454448004E-2</v>
      </c>
      <c r="J3208">
        <v>9.58555261760414E-2</v>
      </c>
      <c r="K3208">
        <v>9.3925128943881303E-2</v>
      </c>
      <c r="L3208">
        <v>1574.9329974006</v>
      </c>
      <c r="M3208">
        <v>33.003711734185401</v>
      </c>
      <c r="N3208">
        <v>48.0501132573335</v>
      </c>
      <c r="O3208">
        <v>47.545699833888797</v>
      </c>
      <c r="P3208">
        <v>-0.155928550233564</v>
      </c>
      <c r="Q3208">
        <v>0.101470880899592</v>
      </c>
      <c r="R3208">
        <v>0.99236072059895197</v>
      </c>
      <c r="S3208" t="s">
        <v>9660</v>
      </c>
      <c r="T3208" t="s">
        <v>12902</v>
      </c>
      <c r="U3208" t="s">
        <v>12902</v>
      </c>
      <c r="V3208" t="s">
        <v>12902</v>
      </c>
      <c r="W3208" t="s">
        <v>16069</v>
      </c>
      <c r="X3208">
        <v>12</v>
      </c>
      <c r="Y3208" t="s">
        <v>22400</v>
      </c>
      <c r="Z3208" t="s">
        <v>28783</v>
      </c>
      <c r="AA3208">
        <v>0.33710865179095401</v>
      </c>
      <c r="AB3208" t="str">
        <f>HYPERLINK("Melting_Curves/meltCurve_Q13017_2_ARHGAP5.pdf", "Melting_Curves/meltCurve_Q13017_2_ARHGAP5.pdf")</f>
        <v>Melting_Curves/meltCurve_Q13017_2_ARHGAP5.pdf</v>
      </c>
    </row>
    <row r="3209" spans="1:28" x14ac:dyDescent="0.25">
      <c r="A3209" t="s">
        <v>3213</v>
      </c>
      <c r="B3209">
        <v>0.99673306730245903</v>
      </c>
      <c r="C3209">
        <v>0.93991394743752898</v>
      </c>
      <c r="D3209">
        <v>0.93921049818876401</v>
      </c>
      <c r="E3209">
        <v>0.95779481894108798</v>
      </c>
      <c r="F3209">
        <v>0.61685198224819304</v>
      </c>
      <c r="G3209">
        <v>0.30523128706668301</v>
      </c>
      <c r="H3209">
        <v>0.14315816307566501</v>
      </c>
      <c r="I3209">
        <v>0.117624789668635</v>
      </c>
      <c r="J3209">
        <v>0.129227476123393</v>
      </c>
      <c r="K3209">
        <v>0.11695596114415401</v>
      </c>
      <c r="L3209">
        <v>1477.92780141667</v>
      </c>
      <c r="M3209">
        <v>27.430505830171899</v>
      </c>
      <c r="N3209">
        <v>54.399179487431297</v>
      </c>
      <c r="O3209">
        <v>53.595070919727199</v>
      </c>
      <c r="P3209">
        <v>-0.11319274000368</v>
      </c>
      <c r="Q3209">
        <v>0.11536206147445199</v>
      </c>
      <c r="R3209">
        <v>0.99426113058439902</v>
      </c>
      <c r="S3209" t="s">
        <v>9661</v>
      </c>
      <c r="T3209" t="s">
        <v>12902</v>
      </c>
      <c r="U3209" t="s">
        <v>12902</v>
      </c>
      <c r="V3209" t="s">
        <v>12902</v>
      </c>
      <c r="W3209" t="s">
        <v>16070</v>
      </c>
      <c r="X3209">
        <v>11</v>
      </c>
      <c r="Y3209" t="s">
        <v>22401</v>
      </c>
      <c r="Z3209" t="s">
        <v>28784</v>
      </c>
      <c r="AA3209">
        <v>0.53151080392793149</v>
      </c>
      <c r="AB3209" t="str">
        <f>HYPERLINK("Melting_Curves/meltCurve_Q13033_2_STRN3.pdf", "Melting_Curves/meltCurve_Q13033_2_STRN3.pdf")</f>
        <v>Melting_Curves/meltCurve_Q13033_2_STRN3.pdf</v>
      </c>
    </row>
    <row r="3210" spans="1:28" x14ac:dyDescent="0.25">
      <c r="A3210" t="s">
        <v>3214</v>
      </c>
      <c r="B3210">
        <v>0.99673306730245903</v>
      </c>
      <c r="C3210">
        <v>0.93244451606635703</v>
      </c>
      <c r="D3210">
        <v>0.79805348736898796</v>
      </c>
      <c r="E3210">
        <v>0.84898463222587595</v>
      </c>
      <c r="F3210">
        <v>0.499763428326091</v>
      </c>
      <c r="G3210">
        <v>0.204934385235675</v>
      </c>
      <c r="H3210">
        <v>0.111812914101747</v>
      </c>
      <c r="I3210">
        <v>0.10462563501597801</v>
      </c>
      <c r="J3210">
        <v>0.120239410795223</v>
      </c>
      <c r="K3210">
        <v>0.10385929709832201</v>
      </c>
      <c r="L3210">
        <v>1033.42506605775</v>
      </c>
      <c r="M3210">
        <v>19.6742335529818</v>
      </c>
      <c r="N3210">
        <v>52.991468768980397</v>
      </c>
      <c r="O3210">
        <v>51.993186971177003</v>
      </c>
      <c r="P3210">
        <v>-8.7108461280494501E-2</v>
      </c>
      <c r="Q3210">
        <v>7.9224260181179104E-2</v>
      </c>
      <c r="R3210">
        <v>0.97433353088508001</v>
      </c>
      <c r="S3210" t="s">
        <v>9662</v>
      </c>
      <c r="T3210" t="s">
        <v>12902</v>
      </c>
      <c r="U3210" t="s">
        <v>12902</v>
      </c>
      <c r="V3210" t="s">
        <v>12902</v>
      </c>
      <c r="W3210" t="s">
        <v>16071</v>
      </c>
      <c r="X3210">
        <v>14</v>
      </c>
      <c r="Y3210" t="s">
        <v>22402</v>
      </c>
      <c r="Z3210" t="s">
        <v>28785</v>
      </c>
      <c r="AA3210">
        <v>0.47678093477532452</v>
      </c>
      <c r="AB3210" t="str">
        <f>HYPERLINK("Melting_Curves/meltCurve_Q13043_STK4.pdf", "Melting_Curves/meltCurve_Q13043_STK4.pdf")</f>
        <v>Melting_Curves/meltCurve_Q13043_STK4.pdf</v>
      </c>
    </row>
    <row r="3211" spans="1:28" x14ac:dyDescent="0.25">
      <c r="A3211" t="s">
        <v>3215</v>
      </c>
      <c r="B3211">
        <v>0.99673306730245903</v>
      </c>
      <c r="C3211">
        <v>0.95399658392354503</v>
      </c>
      <c r="D3211">
        <v>0.87501749667700401</v>
      </c>
      <c r="E3211">
        <v>0.45691629809445899</v>
      </c>
      <c r="F3211">
        <v>0.20897815833118699</v>
      </c>
      <c r="G3211">
        <v>0.121168889089381</v>
      </c>
      <c r="H3211">
        <v>7.7271593092443497E-2</v>
      </c>
      <c r="I3211">
        <v>7.2475494765397497E-2</v>
      </c>
      <c r="J3211">
        <v>7.4439395530115804E-2</v>
      </c>
      <c r="K3211">
        <v>6.03647046177078E-2</v>
      </c>
      <c r="L3211">
        <v>1207.28275379352</v>
      </c>
      <c r="M3211">
        <v>24.5975162496369</v>
      </c>
      <c r="N3211">
        <v>49.399565276761898</v>
      </c>
      <c r="O3211">
        <v>48.760521668380598</v>
      </c>
      <c r="P3211">
        <v>-0.116879390649343</v>
      </c>
      <c r="Q3211">
        <v>7.3236521078087993E-2</v>
      </c>
      <c r="R3211">
        <v>0.99850930573480701</v>
      </c>
      <c r="S3211" t="s">
        <v>9663</v>
      </c>
      <c r="T3211" t="s">
        <v>12902</v>
      </c>
      <c r="U3211" t="s">
        <v>12902</v>
      </c>
      <c r="V3211" t="s">
        <v>12902</v>
      </c>
      <c r="W3211" t="s">
        <v>16072</v>
      </c>
      <c r="X3211">
        <v>24</v>
      </c>
      <c r="Y3211" t="s">
        <v>22403</v>
      </c>
      <c r="Z3211" t="s">
        <v>28786</v>
      </c>
      <c r="AA3211">
        <v>0.36227867260986818</v>
      </c>
      <c r="AB3211" t="str">
        <f>HYPERLINK("Melting_Curves/meltCurve_Q13045_FLII.pdf", "Melting_Curves/meltCurve_Q13045_FLII.pdf")</f>
        <v>Melting_Curves/meltCurve_Q13045_FLII.pdf</v>
      </c>
    </row>
    <row r="3212" spans="1:28" x14ac:dyDescent="0.25">
      <c r="A3212" t="s">
        <v>3216</v>
      </c>
      <c r="B3212">
        <v>0.99673306730245903</v>
      </c>
      <c r="C3212">
        <v>0.80602327277183905</v>
      </c>
      <c r="D3212">
        <v>0.80524513604563996</v>
      </c>
      <c r="E3212">
        <v>0.62714366356628604</v>
      </c>
      <c r="F3212">
        <v>0.38608025295813903</v>
      </c>
      <c r="G3212">
        <v>0.21104119458899301</v>
      </c>
      <c r="H3212">
        <v>8.1230109320892196E-2</v>
      </c>
      <c r="I3212">
        <v>8.4457056202103906E-2</v>
      </c>
      <c r="J3212">
        <v>6.3574367464033804E-2</v>
      </c>
      <c r="K3212">
        <v>0.11323156639788499</v>
      </c>
      <c r="L3212">
        <v>632.00103458338594</v>
      </c>
      <c r="M3212">
        <v>12.445865567843001</v>
      </c>
      <c r="N3212">
        <v>50.979511278702297</v>
      </c>
      <c r="O3212">
        <v>49.522451348004203</v>
      </c>
      <c r="P3212">
        <v>-6.1348734690076297E-2</v>
      </c>
      <c r="Q3212">
        <v>2.3770390307420099E-2</v>
      </c>
      <c r="R3212">
        <v>0.98229778658822398</v>
      </c>
      <c r="S3212" t="s">
        <v>9664</v>
      </c>
      <c r="T3212" t="s">
        <v>12902</v>
      </c>
      <c r="U3212" t="s">
        <v>12902</v>
      </c>
      <c r="V3212" t="s">
        <v>12902</v>
      </c>
      <c r="W3212" t="s">
        <v>16073</v>
      </c>
      <c r="X3212">
        <v>3</v>
      </c>
      <c r="Y3212" t="s">
        <v>22404</v>
      </c>
      <c r="Z3212" t="s">
        <v>28787</v>
      </c>
      <c r="AA3212">
        <v>0.40513215175592521</v>
      </c>
      <c r="AB3212" t="str">
        <f>HYPERLINK("Melting_Curves/meltCurve_Q13049_TRIM32.pdf", "Melting_Curves/meltCurve_Q13049_TRIM32.pdf")</f>
        <v>Melting_Curves/meltCurve_Q13049_TRIM32.pdf</v>
      </c>
    </row>
    <row r="3213" spans="1:28" x14ac:dyDescent="0.25">
      <c r="A3213" t="s">
        <v>3217</v>
      </c>
      <c r="B3213">
        <v>0.99673306730245903</v>
      </c>
      <c r="C3213">
        <v>0.97441973786981395</v>
      </c>
      <c r="D3213">
        <v>0.97582412669791097</v>
      </c>
      <c r="E3213">
        <v>0.65079053708822998</v>
      </c>
      <c r="F3213">
        <v>0.20808684645672701</v>
      </c>
      <c r="G3213">
        <v>0.133371208674716</v>
      </c>
      <c r="H3213">
        <v>7.8654329688687796E-2</v>
      </c>
      <c r="I3213">
        <v>6.5746806054515494E-2</v>
      </c>
      <c r="J3213">
        <v>7.9700598856183594E-2</v>
      </c>
      <c r="K3213">
        <v>7.18693614242535E-2</v>
      </c>
      <c r="L3213">
        <v>1659.43482399658</v>
      </c>
      <c r="M3213">
        <v>32.9550862633129</v>
      </c>
      <c r="N3213">
        <v>50.620369007151602</v>
      </c>
      <c r="O3213">
        <v>50.170091066811104</v>
      </c>
      <c r="P3213">
        <v>-0.15116469264841101</v>
      </c>
      <c r="Q3213">
        <v>7.9484763306840206E-2</v>
      </c>
      <c r="R3213">
        <v>0.99867844529486705</v>
      </c>
      <c r="S3213" t="s">
        <v>9665</v>
      </c>
      <c r="T3213" t="s">
        <v>12902</v>
      </c>
      <c r="U3213" t="s">
        <v>12902</v>
      </c>
      <c r="V3213" t="s">
        <v>12902</v>
      </c>
      <c r="W3213" t="s">
        <v>16074</v>
      </c>
      <c r="X3213">
        <v>16</v>
      </c>
      <c r="Y3213" t="s">
        <v>22405</v>
      </c>
      <c r="Z3213" t="s">
        <v>28788</v>
      </c>
      <c r="AA3213">
        <v>0.40193641645246941</v>
      </c>
      <c r="AB3213" t="str">
        <f>HYPERLINK("Melting_Curves/meltCurve_Q13057_COASY.pdf", "Melting_Curves/meltCurve_Q13057_COASY.pdf")</f>
        <v>Melting_Curves/meltCurve_Q13057_COASY.pdf</v>
      </c>
    </row>
    <row r="3214" spans="1:28" x14ac:dyDescent="0.25">
      <c r="A3214" t="s">
        <v>3218</v>
      </c>
      <c r="B3214">
        <v>0.99673306730245903</v>
      </c>
      <c r="C3214">
        <v>0.87299657040586298</v>
      </c>
      <c r="D3214">
        <v>0.66208609915047401</v>
      </c>
      <c r="E3214">
        <v>0.328232860709674</v>
      </c>
      <c r="F3214">
        <v>0.21561483019250499</v>
      </c>
      <c r="G3214">
        <v>0.12933867523975701</v>
      </c>
      <c r="H3214">
        <v>8.5696841206980706E-2</v>
      </c>
      <c r="I3214">
        <v>7.9966159491641306E-2</v>
      </c>
      <c r="J3214">
        <v>9.2202646600438698E-2</v>
      </c>
      <c r="K3214">
        <v>7.6747595890799797E-2</v>
      </c>
      <c r="L3214">
        <v>880.16378863251305</v>
      </c>
      <c r="M3214">
        <v>18.624902929356001</v>
      </c>
      <c r="N3214">
        <v>47.718935470140401</v>
      </c>
      <c r="O3214">
        <v>46.722677835892902</v>
      </c>
      <c r="P3214">
        <v>-9.1446156548757596E-2</v>
      </c>
      <c r="Q3214">
        <v>8.2427420529644801E-2</v>
      </c>
      <c r="R3214">
        <v>0.99761598918398797</v>
      </c>
      <c r="S3214" t="s">
        <v>9666</v>
      </c>
      <c r="T3214" t="s">
        <v>12902</v>
      </c>
      <c r="U3214" t="s">
        <v>12902</v>
      </c>
      <c r="V3214" t="s">
        <v>12902</v>
      </c>
      <c r="W3214" t="s">
        <v>16075</v>
      </c>
      <c r="X3214">
        <v>22</v>
      </c>
      <c r="Y3214" t="s">
        <v>22406</v>
      </c>
      <c r="Z3214" t="s">
        <v>28789</v>
      </c>
      <c r="AA3214">
        <v>0.3199378304476404</v>
      </c>
      <c r="AB3214" t="str">
        <f>HYPERLINK("Melting_Curves/meltCurve_Q13085_3_ACACA.pdf", "Melting_Curves/meltCurve_Q13085_3_ACACA.pdf")</f>
        <v>Melting_Curves/meltCurve_Q13085_3_ACACA.pdf</v>
      </c>
    </row>
    <row r="3215" spans="1:28" x14ac:dyDescent="0.25">
      <c r="A3215" t="s">
        <v>3219</v>
      </c>
      <c r="B3215">
        <v>0.99673306730245903</v>
      </c>
      <c r="C3215">
        <v>0.88768439831396795</v>
      </c>
      <c r="D3215">
        <v>0.99333750533499499</v>
      </c>
      <c r="E3215">
        <v>1.0701590350474299</v>
      </c>
      <c r="F3215">
        <v>0.617684628056965</v>
      </c>
      <c r="G3215">
        <v>0.22159786685300101</v>
      </c>
      <c r="H3215">
        <v>0.11348238633618001</v>
      </c>
      <c r="I3215">
        <v>9.9008144870838796E-2</v>
      </c>
      <c r="J3215">
        <v>0.1136856173244</v>
      </c>
      <c r="K3215">
        <v>9.3628594826982506E-2</v>
      </c>
      <c r="L3215">
        <v>2347.4922215708398</v>
      </c>
      <c r="M3215">
        <v>43.741526466193001</v>
      </c>
      <c r="N3215">
        <v>53.9756389711428</v>
      </c>
      <c r="O3215">
        <v>53.555527713229303</v>
      </c>
      <c r="P3215">
        <v>-0.18161990592462299</v>
      </c>
      <c r="Q3215">
        <v>0.110525771780461</v>
      </c>
      <c r="R3215">
        <v>0.98575486545105095</v>
      </c>
      <c r="S3215" t="s">
        <v>9667</v>
      </c>
      <c r="T3215" t="s">
        <v>12902</v>
      </c>
      <c r="U3215" t="s">
        <v>12902</v>
      </c>
      <c r="V3215" t="s">
        <v>12902</v>
      </c>
      <c r="W3215" t="s">
        <v>16076</v>
      </c>
      <c r="X3215">
        <v>14</v>
      </c>
      <c r="Y3215" t="s">
        <v>22407</v>
      </c>
      <c r="Z3215" t="s">
        <v>28790</v>
      </c>
      <c r="AA3215">
        <v>0.51850487733640926</v>
      </c>
      <c r="AB3215" t="str">
        <f>HYPERLINK("Melting_Curves/meltCurve_Q13098_GPS1.pdf", "Melting_Curves/meltCurve_Q13098_GPS1.pdf")</f>
        <v>Melting_Curves/meltCurve_Q13098_GPS1.pdf</v>
      </c>
    </row>
    <row r="3216" spans="1:28" x14ac:dyDescent="0.25">
      <c r="A3216" t="s">
        <v>3220</v>
      </c>
      <c r="B3216">
        <v>0.99673306730245903</v>
      </c>
      <c r="C3216">
        <v>0.77428735271648597</v>
      </c>
      <c r="D3216">
        <v>0.52096018894728902</v>
      </c>
      <c r="E3216">
        <v>0.39613876061864001</v>
      </c>
      <c r="F3216">
        <v>0.31205048305788302</v>
      </c>
      <c r="G3216">
        <v>0.19908984349338399</v>
      </c>
      <c r="H3216">
        <v>0.159937160675693</v>
      </c>
      <c r="I3216">
        <v>0.143884574244871</v>
      </c>
      <c r="J3216">
        <v>0.12958666522753701</v>
      </c>
      <c r="K3216">
        <v>9.6334946566964494E-2</v>
      </c>
      <c r="L3216">
        <v>622.53208696747004</v>
      </c>
      <c r="M3216">
        <v>13.4074787802909</v>
      </c>
      <c r="N3216">
        <v>47.419899617530298</v>
      </c>
      <c r="O3216">
        <v>45.435265360531702</v>
      </c>
      <c r="P3216">
        <v>-6.4790911583915201E-2</v>
      </c>
      <c r="Q3216">
        <v>0.121883774955433</v>
      </c>
      <c r="R3216">
        <v>0.97992513583902896</v>
      </c>
      <c r="S3216" t="s">
        <v>9668</v>
      </c>
      <c r="T3216" t="s">
        <v>12902</v>
      </c>
      <c r="U3216" t="s">
        <v>12902</v>
      </c>
      <c r="V3216" t="s">
        <v>12902</v>
      </c>
      <c r="W3216" t="s">
        <v>16077</v>
      </c>
      <c r="X3216">
        <v>6</v>
      </c>
      <c r="Y3216" t="s">
        <v>22408</v>
      </c>
      <c r="Z3216" t="s">
        <v>28791</v>
      </c>
      <c r="AA3216">
        <v>0.34130083169903941</v>
      </c>
      <c r="AB3216" t="str">
        <f>HYPERLINK("Melting_Curves/meltCurve_Q13107_2_USP4.pdf", "Melting_Curves/meltCurve_Q13107_2_USP4.pdf")</f>
        <v>Melting_Curves/meltCurve_Q13107_2_USP4.pdf</v>
      </c>
    </row>
    <row r="3217" spans="1:28" x14ac:dyDescent="0.25">
      <c r="A3217" t="s">
        <v>3221</v>
      </c>
      <c r="B3217">
        <v>0.99673306730245903</v>
      </c>
      <c r="C3217">
        <v>0.82990283121985098</v>
      </c>
      <c r="D3217">
        <v>0.68329330017157497</v>
      </c>
      <c r="E3217">
        <v>0.47479256266431102</v>
      </c>
      <c r="F3217">
        <v>0.38975064147674598</v>
      </c>
      <c r="G3217">
        <v>0.31355128505875002</v>
      </c>
      <c r="H3217">
        <v>0.22102361092914</v>
      </c>
      <c r="I3217">
        <v>0.22699923837938801</v>
      </c>
      <c r="J3217">
        <v>0.30101584475732401</v>
      </c>
      <c r="K3217">
        <v>0.34411463464875602</v>
      </c>
      <c r="L3217">
        <v>753.52271495116804</v>
      </c>
      <c r="M3217">
        <v>16.134410247487299</v>
      </c>
      <c r="N3217">
        <v>49.0849623028327</v>
      </c>
      <c r="O3217">
        <v>46.003064816598297</v>
      </c>
      <c r="P3217">
        <v>-6.3881791214692701E-2</v>
      </c>
      <c r="Q3217">
        <v>0.27148620339372198</v>
      </c>
      <c r="R3217">
        <v>0.97480208378136901</v>
      </c>
      <c r="S3217" t="s">
        <v>9669</v>
      </c>
      <c r="T3217" t="s">
        <v>12902</v>
      </c>
      <c r="U3217" t="s">
        <v>12902</v>
      </c>
      <c r="V3217" t="s">
        <v>12902</v>
      </c>
      <c r="W3217" t="s">
        <v>16078</v>
      </c>
      <c r="X3217">
        <v>4</v>
      </c>
      <c r="Y3217" t="s">
        <v>22409</v>
      </c>
      <c r="Z3217" t="s">
        <v>28792</v>
      </c>
      <c r="AA3217">
        <v>0.4515653354737601</v>
      </c>
      <c r="AB3217" t="str">
        <f>HYPERLINK("Melting_Curves/meltCurve_Q13111_CHAF1A.pdf", "Melting_Curves/meltCurve_Q13111_CHAF1A.pdf")</f>
        <v>Melting_Curves/meltCurve_Q13111_CHAF1A.pdf</v>
      </c>
    </row>
    <row r="3218" spans="1:28" x14ac:dyDescent="0.25">
      <c r="A3218" t="s">
        <v>3222</v>
      </c>
      <c r="B3218">
        <v>0.99673306730245903</v>
      </c>
      <c r="C3218">
        <v>0.95277863174656396</v>
      </c>
      <c r="D3218">
        <v>1.0660087374873499</v>
      </c>
      <c r="E3218">
        <v>1.1526931574435</v>
      </c>
      <c r="F3218">
        <v>1.1934700432048699</v>
      </c>
      <c r="G3218">
        <v>0.89734704977109903</v>
      </c>
      <c r="H3218">
        <v>0.48082168324897301</v>
      </c>
      <c r="I3218">
        <v>0.194355199557428</v>
      </c>
      <c r="J3218">
        <v>0.175427644666211</v>
      </c>
      <c r="K3218">
        <v>0.15250094397638</v>
      </c>
      <c r="L3218">
        <v>2517.3153737443299</v>
      </c>
      <c r="M3218">
        <v>41.9144341171978</v>
      </c>
      <c r="N3218">
        <v>60.582534277453</v>
      </c>
      <c r="O3218">
        <v>59.922210731501004</v>
      </c>
      <c r="P3218">
        <v>-0.148277763660463</v>
      </c>
      <c r="Q3218">
        <v>0.15207101031822601</v>
      </c>
      <c r="R3218">
        <v>0.957138797861389</v>
      </c>
      <c r="S3218" t="s">
        <v>9670</v>
      </c>
      <c r="T3218" t="s">
        <v>12902</v>
      </c>
      <c r="U3218" t="s">
        <v>12902</v>
      </c>
      <c r="V3218" t="s">
        <v>12902</v>
      </c>
      <c r="W3218" t="s">
        <v>16079</v>
      </c>
      <c r="X3218">
        <v>10</v>
      </c>
      <c r="Y3218" t="s">
        <v>22410</v>
      </c>
      <c r="Z3218" t="s">
        <v>28793</v>
      </c>
      <c r="AA3218">
        <v>0.7220614529074183</v>
      </c>
      <c r="AB3218" t="str">
        <f>HYPERLINK("Melting_Curves/meltCurve_Q13112_CHAF1B.pdf", "Melting_Curves/meltCurve_Q13112_CHAF1B.pdf")</f>
        <v>Melting_Curves/meltCurve_Q13112_CHAF1B.pdf</v>
      </c>
    </row>
    <row r="3219" spans="1:28" x14ac:dyDescent="0.25">
      <c r="A3219" t="s">
        <v>3223</v>
      </c>
      <c r="B3219">
        <v>0.99673306730245903</v>
      </c>
      <c r="C3219">
        <v>0.89917331778432197</v>
      </c>
      <c r="D3219">
        <v>0.90223554238242298</v>
      </c>
      <c r="E3219">
        <v>0.474229142746524</v>
      </c>
      <c r="F3219">
        <v>0.22232673560892499</v>
      </c>
      <c r="G3219">
        <v>0.13310946781663599</v>
      </c>
      <c r="H3219">
        <v>9.1474088920150506E-2</v>
      </c>
      <c r="I3219">
        <v>0.105605727315795</v>
      </c>
      <c r="J3219">
        <v>0.145490156834095</v>
      </c>
      <c r="K3219">
        <v>0.15347192427466499</v>
      </c>
      <c r="L3219">
        <v>1352.46830169334</v>
      </c>
      <c r="M3219">
        <v>27.617410821872401</v>
      </c>
      <c r="N3219">
        <v>49.473859007949798</v>
      </c>
      <c r="O3219">
        <v>48.716979060173799</v>
      </c>
      <c r="P3219">
        <v>-0.124398678259328</v>
      </c>
      <c r="Q3219">
        <v>0.122253281424969</v>
      </c>
      <c r="R3219">
        <v>0.99123831955838604</v>
      </c>
      <c r="S3219" t="s">
        <v>9671</v>
      </c>
      <c r="T3219" t="s">
        <v>12902</v>
      </c>
      <c r="U3219" t="s">
        <v>12902</v>
      </c>
      <c r="V3219" t="s">
        <v>12902</v>
      </c>
      <c r="W3219" t="s">
        <v>16080</v>
      </c>
      <c r="X3219">
        <v>14</v>
      </c>
      <c r="Y3219" t="s">
        <v>22411</v>
      </c>
      <c r="Z3219" t="s">
        <v>28794</v>
      </c>
      <c r="AA3219">
        <v>0.39108001621812011</v>
      </c>
      <c r="AB3219" t="str">
        <f>HYPERLINK("Melting_Curves/meltCurve_Q13123_IK.pdf", "Melting_Curves/meltCurve_Q13123_IK.pdf")</f>
        <v>Melting_Curves/meltCurve_Q13123_IK.pdf</v>
      </c>
    </row>
    <row r="3220" spans="1:28" x14ac:dyDescent="0.25">
      <c r="A3220" t="s">
        <v>3224</v>
      </c>
      <c r="B3220">
        <v>0.99673306730245903</v>
      </c>
      <c r="C3220">
        <v>1.0159380803892799</v>
      </c>
      <c r="D3220">
        <v>0.94885429971005697</v>
      </c>
      <c r="E3220">
        <v>0.89380518839553802</v>
      </c>
      <c r="F3220">
        <v>0.85546338938020505</v>
      </c>
      <c r="G3220">
        <v>0.71738346444405598</v>
      </c>
      <c r="H3220">
        <v>0.57656771306051002</v>
      </c>
      <c r="I3220">
        <v>0.73050469713414201</v>
      </c>
      <c r="J3220">
        <v>0.93297310229395103</v>
      </c>
      <c r="K3220">
        <v>0.80560322309782495</v>
      </c>
      <c r="L3220">
        <v>1261.4796985323701</v>
      </c>
      <c r="M3220">
        <v>25.102687080109099</v>
      </c>
      <c r="O3220">
        <v>49.937118612124898</v>
      </c>
      <c r="P3220">
        <v>-3.0515262929758102E-2</v>
      </c>
      <c r="Q3220">
        <v>0.75718549711803096</v>
      </c>
      <c r="R3220">
        <v>0.57946746895490597</v>
      </c>
      <c r="S3220" t="s">
        <v>9672</v>
      </c>
      <c r="T3220" t="s">
        <v>12902</v>
      </c>
      <c r="U3220" t="s">
        <v>12902</v>
      </c>
      <c r="V3220" t="s">
        <v>12902</v>
      </c>
      <c r="W3220" t="s">
        <v>16081</v>
      </c>
      <c r="X3220">
        <v>14</v>
      </c>
      <c r="Y3220" t="s">
        <v>22412</v>
      </c>
      <c r="Z3220" t="s">
        <v>28795</v>
      </c>
      <c r="AA3220">
        <v>0.84232771927438965</v>
      </c>
      <c r="AB3220" t="str">
        <f>HYPERLINK("Melting_Curves/meltCurve_Q13126_MTAP.pdf", "Melting_Curves/meltCurve_Q13126_MTAP.pdf")</f>
        <v>Melting_Curves/meltCurve_Q13126_MTAP.pdf</v>
      </c>
    </row>
    <row r="3221" spans="1:28" x14ac:dyDescent="0.25">
      <c r="A3221" t="s">
        <v>3225</v>
      </c>
      <c r="B3221">
        <v>0.99673306730245903</v>
      </c>
      <c r="C3221">
        <v>0.94607008772557699</v>
      </c>
      <c r="D3221">
        <v>0.95026436831260197</v>
      </c>
      <c r="E3221">
        <v>0.81402304615656096</v>
      </c>
      <c r="F3221">
        <v>0.43558785215894602</v>
      </c>
      <c r="G3221">
        <v>0.21623158893886299</v>
      </c>
      <c r="H3221">
        <v>0.14268799396542001</v>
      </c>
      <c r="I3221">
        <v>0.134036706095915</v>
      </c>
      <c r="J3221">
        <v>0.145139443465125</v>
      </c>
      <c r="K3221">
        <v>0.13747247443029001</v>
      </c>
      <c r="L3221">
        <v>1349.75765592178</v>
      </c>
      <c r="M3221">
        <v>25.980090129612499</v>
      </c>
      <c r="N3221">
        <v>52.574986621441397</v>
      </c>
      <c r="O3221">
        <v>51.648668518685803</v>
      </c>
      <c r="P3221">
        <v>-0.109129565531542</v>
      </c>
      <c r="Q3221">
        <v>0.13220769441552399</v>
      </c>
      <c r="R3221">
        <v>0.99755388358671304</v>
      </c>
      <c r="S3221" t="s">
        <v>9673</v>
      </c>
      <c r="T3221" t="s">
        <v>12902</v>
      </c>
      <c r="U3221" t="s">
        <v>12902</v>
      </c>
      <c r="V3221" t="s">
        <v>12902</v>
      </c>
      <c r="W3221" t="s">
        <v>16082</v>
      </c>
      <c r="X3221">
        <v>16</v>
      </c>
      <c r="Y3221" t="s">
        <v>22413</v>
      </c>
      <c r="Z3221" t="s">
        <v>28796</v>
      </c>
      <c r="AA3221">
        <v>0.48533144041057419</v>
      </c>
      <c r="AB3221" t="str">
        <f>HYPERLINK("Melting_Curves/meltCurve_Q13131_PRKAA1.pdf", "Melting_Curves/meltCurve_Q13131_PRKAA1.pdf")</f>
        <v>Melting_Curves/meltCurve_Q13131_PRKAA1.pdf</v>
      </c>
    </row>
    <row r="3222" spans="1:28" x14ac:dyDescent="0.25">
      <c r="A3222" t="s">
        <v>3226</v>
      </c>
      <c r="B3222">
        <v>0.99673306730245903</v>
      </c>
      <c r="C3222">
        <v>0.930130899624378</v>
      </c>
      <c r="D3222">
        <v>0.87400554355913096</v>
      </c>
      <c r="E3222">
        <v>0.46152836870389102</v>
      </c>
      <c r="F3222">
        <v>0.30454818099942799</v>
      </c>
      <c r="G3222">
        <v>0.201674554158705</v>
      </c>
      <c r="H3222">
        <v>0.13763903875143099</v>
      </c>
      <c r="I3222">
        <v>0.145568371174807</v>
      </c>
      <c r="J3222">
        <v>0.16388195923981599</v>
      </c>
      <c r="K3222">
        <v>0.14827999557160401</v>
      </c>
      <c r="L3222">
        <v>1105.66717102861</v>
      </c>
      <c r="M3222">
        <v>22.640600505217598</v>
      </c>
      <c r="N3222">
        <v>49.632193796129101</v>
      </c>
      <c r="O3222">
        <v>48.459412372536598</v>
      </c>
      <c r="P3222">
        <v>-9.9010321981230595E-2</v>
      </c>
      <c r="Q3222">
        <v>0.152339705250399</v>
      </c>
      <c r="R3222">
        <v>0.99376693653460502</v>
      </c>
      <c r="S3222" t="s">
        <v>9674</v>
      </c>
      <c r="T3222" t="s">
        <v>12902</v>
      </c>
      <c r="U3222" t="s">
        <v>12902</v>
      </c>
      <c r="V3222" t="s">
        <v>12902</v>
      </c>
      <c r="W3222" t="s">
        <v>16083</v>
      </c>
      <c r="X3222">
        <v>14</v>
      </c>
      <c r="Y3222" t="s">
        <v>22414</v>
      </c>
      <c r="Z3222" t="s">
        <v>28797</v>
      </c>
      <c r="AA3222">
        <v>0.41120549811317358</v>
      </c>
      <c r="AB3222" t="str">
        <f>HYPERLINK("Melting_Curves/meltCurve_Q13136_PPFIA1.pdf", "Melting_Curves/meltCurve_Q13136_PPFIA1.pdf")</f>
        <v>Melting_Curves/meltCurve_Q13136_PPFIA1.pdf</v>
      </c>
    </row>
    <row r="3223" spans="1:28" x14ac:dyDescent="0.25">
      <c r="A3223" t="s">
        <v>3227</v>
      </c>
      <c r="B3223">
        <v>0.99673306730245903</v>
      </c>
      <c r="C3223">
        <v>0.97682672670748305</v>
      </c>
      <c r="D3223">
        <v>1.1654770261166301</v>
      </c>
      <c r="E3223">
        <v>0.70180447725928696</v>
      </c>
      <c r="F3223">
        <v>0.563059495173033</v>
      </c>
      <c r="G3223">
        <v>0.411601202914331</v>
      </c>
      <c r="H3223">
        <v>0.28381628675982701</v>
      </c>
      <c r="I3223">
        <v>0.31055077077852999</v>
      </c>
      <c r="J3223">
        <v>0.34805729792632301</v>
      </c>
      <c r="K3223">
        <v>0.334492383910798</v>
      </c>
      <c r="L3223">
        <v>1305.7494383995199</v>
      </c>
      <c r="M3223">
        <v>25.471111084566701</v>
      </c>
      <c r="N3223">
        <v>53.4810603288064</v>
      </c>
      <c r="O3223">
        <v>50.951082307194604</v>
      </c>
      <c r="P3223">
        <v>-8.4228064178814704E-2</v>
      </c>
      <c r="Q3223">
        <v>0.326066707887056</v>
      </c>
      <c r="R3223">
        <v>0.94215139062131303</v>
      </c>
      <c r="S3223" t="s">
        <v>9675</v>
      </c>
      <c r="T3223" t="s">
        <v>12902</v>
      </c>
      <c r="U3223" t="s">
        <v>12902</v>
      </c>
      <c r="V3223" t="s">
        <v>12902</v>
      </c>
      <c r="W3223" t="s">
        <v>16084</v>
      </c>
      <c r="X3223">
        <v>1</v>
      </c>
      <c r="Y3223" t="s">
        <v>22415</v>
      </c>
      <c r="Z3223" t="s">
        <v>28798</v>
      </c>
      <c r="AA3223">
        <v>0.58499120825052553</v>
      </c>
      <c r="AB3223" t="str">
        <f>HYPERLINK("Melting_Curves/meltCurve_Q13145_BAMBI.pdf", "Melting_Curves/meltCurve_Q13145_BAMBI.pdf")</f>
        <v>Melting_Curves/meltCurve_Q13145_BAMBI.pdf</v>
      </c>
    </row>
    <row r="3224" spans="1:28" x14ac:dyDescent="0.25">
      <c r="A3224" t="s">
        <v>3228</v>
      </c>
      <c r="B3224">
        <v>0.99673306730245903</v>
      </c>
      <c r="C3224">
        <v>0.48728294236730402</v>
      </c>
      <c r="D3224">
        <v>0.21710309981068299</v>
      </c>
      <c r="E3224">
        <v>0.12574185131599</v>
      </c>
      <c r="F3224">
        <v>9.2413709636675695E-2</v>
      </c>
      <c r="G3224">
        <v>6.7917830184856004E-2</v>
      </c>
      <c r="H3224">
        <v>4.4089766293416197E-2</v>
      </c>
      <c r="I3224">
        <v>4.9312156431104898E-2</v>
      </c>
      <c r="J3224">
        <v>5.7476697123770501E-2</v>
      </c>
      <c r="K3224">
        <v>4.8576018536466099E-2</v>
      </c>
      <c r="L3224">
        <v>1446.7107700403001</v>
      </c>
      <c r="M3224">
        <v>33.7487580245582</v>
      </c>
      <c r="N3224">
        <v>43.0689267747602</v>
      </c>
      <c r="O3224">
        <v>42.717404484094097</v>
      </c>
      <c r="P3224">
        <v>-0.18306529644051101</v>
      </c>
      <c r="Q3224">
        <v>7.3145899166865494E-2</v>
      </c>
      <c r="R3224">
        <v>0.98195463214366696</v>
      </c>
      <c r="S3224" t="s">
        <v>9676</v>
      </c>
      <c r="T3224" t="s">
        <v>12902</v>
      </c>
      <c r="U3224" t="s">
        <v>12902</v>
      </c>
      <c r="V3224" t="s">
        <v>12902</v>
      </c>
      <c r="W3224" t="s">
        <v>16085</v>
      </c>
      <c r="X3224">
        <v>9</v>
      </c>
      <c r="Y3224" t="s">
        <v>22416</v>
      </c>
      <c r="Z3224" t="s">
        <v>28799</v>
      </c>
      <c r="AA3224">
        <v>0.16835907623894719</v>
      </c>
      <c r="AB3224" t="str">
        <f>HYPERLINK("Melting_Curves/meltCurve_Q13148_TARDBP.pdf", "Melting_Curves/meltCurve_Q13148_TARDBP.pdf")</f>
        <v>Melting_Curves/meltCurve_Q13148_TARDBP.pdf</v>
      </c>
    </row>
    <row r="3225" spans="1:28" x14ac:dyDescent="0.25">
      <c r="A3225" t="s">
        <v>3229</v>
      </c>
      <c r="B3225">
        <v>0.99673306730245903</v>
      </c>
      <c r="C3225">
        <v>0.86097248234938495</v>
      </c>
      <c r="D3225">
        <v>0.56631291550578899</v>
      </c>
      <c r="E3225">
        <v>0.34751762263386798</v>
      </c>
      <c r="F3225">
        <v>0.24415645828011701</v>
      </c>
      <c r="G3225">
        <v>0.16217573525881701</v>
      </c>
      <c r="H3225">
        <v>9.8773835900312801E-2</v>
      </c>
      <c r="I3225">
        <v>9.19045714705468E-2</v>
      </c>
      <c r="J3225">
        <v>0.110113525779667</v>
      </c>
      <c r="K3225">
        <v>0.103472141887718</v>
      </c>
      <c r="L3225">
        <v>799.08049789276299</v>
      </c>
      <c r="M3225">
        <v>17.114259490925701</v>
      </c>
      <c r="N3225">
        <v>47.335810552557597</v>
      </c>
      <c r="O3225">
        <v>46.067423526225703</v>
      </c>
      <c r="P3225">
        <v>-8.3223265978517202E-2</v>
      </c>
      <c r="Q3225">
        <v>0.103986830442303</v>
      </c>
      <c r="R3225">
        <v>0.99275269745902905</v>
      </c>
      <c r="S3225" t="s">
        <v>9677</v>
      </c>
      <c r="T3225" t="s">
        <v>12902</v>
      </c>
      <c r="U3225" t="s">
        <v>12902</v>
      </c>
      <c r="V3225" t="s">
        <v>12902</v>
      </c>
      <c r="W3225" t="s">
        <v>16086</v>
      </c>
      <c r="X3225">
        <v>8</v>
      </c>
      <c r="Y3225" t="s">
        <v>22417</v>
      </c>
      <c r="Z3225" t="s">
        <v>28800</v>
      </c>
      <c r="AA3225">
        <v>0.32258888932703372</v>
      </c>
      <c r="AB3225" t="str">
        <f>HYPERLINK("Melting_Curves/meltCurve_Q13151_HNRNPA0.pdf", "Melting_Curves/meltCurve_Q13151_HNRNPA0.pdf")</f>
        <v>Melting_Curves/meltCurve_Q13151_HNRNPA0.pdf</v>
      </c>
    </row>
    <row r="3226" spans="1:28" x14ac:dyDescent="0.25">
      <c r="A3226" t="s">
        <v>3230</v>
      </c>
      <c r="B3226">
        <v>0.99673306730245903</v>
      </c>
      <c r="C3226">
        <v>0.9882726551205</v>
      </c>
      <c r="D3226">
        <v>0.99089930538001003</v>
      </c>
      <c r="E3226">
        <v>0.98633992977259199</v>
      </c>
      <c r="F3226">
        <v>0.87092850170185299</v>
      </c>
      <c r="G3226">
        <v>0.47170757585435702</v>
      </c>
      <c r="H3226">
        <v>9.9302854895391299E-2</v>
      </c>
      <c r="I3226">
        <v>9.0611427694559196E-2</v>
      </c>
      <c r="J3226">
        <v>8.9216324379789699E-2</v>
      </c>
      <c r="K3226">
        <v>8.1012697100155698E-2</v>
      </c>
      <c r="L3226">
        <v>1964.11979587157</v>
      </c>
      <c r="M3226">
        <v>34.932810073047698</v>
      </c>
      <c r="N3226">
        <v>56.479133961669397</v>
      </c>
      <c r="O3226">
        <v>56.0423338044234</v>
      </c>
      <c r="P3226">
        <v>-0.14452616864682999</v>
      </c>
      <c r="Q3226">
        <v>7.2555956970701094E-2</v>
      </c>
      <c r="R3226">
        <v>0.99863883619063398</v>
      </c>
      <c r="S3226" t="s">
        <v>9678</v>
      </c>
      <c r="T3226" t="s">
        <v>12902</v>
      </c>
      <c r="U3226" t="s">
        <v>12902</v>
      </c>
      <c r="V3226" t="s">
        <v>12902</v>
      </c>
      <c r="W3226" t="s">
        <v>16087</v>
      </c>
      <c r="X3226">
        <v>31</v>
      </c>
      <c r="Y3226" t="s">
        <v>22418</v>
      </c>
      <c r="Z3226" t="s">
        <v>28801</v>
      </c>
      <c r="AA3226">
        <v>0.57882304384430916</v>
      </c>
      <c r="AB3226" t="str">
        <f>HYPERLINK("Melting_Curves/meltCurve_Q13153_PAK1.pdf", "Melting_Curves/meltCurve_Q13153_PAK1.pdf")</f>
        <v>Melting_Curves/meltCurve_Q13153_PAK1.pdf</v>
      </c>
    </row>
    <row r="3227" spans="1:28" x14ac:dyDescent="0.25">
      <c r="A3227" t="s">
        <v>3231</v>
      </c>
      <c r="B3227">
        <v>0.99673306730245903</v>
      </c>
      <c r="C3227">
        <v>0.90798546362230503</v>
      </c>
      <c r="D3227">
        <v>0.61470847737129397</v>
      </c>
      <c r="E3227">
        <v>0.33278889621109797</v>
      </c>
      <c r="F3227">
        <v>0.19549892895291099</v>
      </c>
      <c r="G3227">
        <v>0.12943424564123299</v>
      </c>
      <c r="H3227">
        <v>9.62255519125889E-2</v>
      </c>
      <c r="I3227">
        <v>0.107412122733732</v>
      </c>
      <c r="J3227">
        <v>9.8049049863999399E-2</v>
      </c>
      <c r="K3227">
        <v>7.0887579318914803E-2</v>
      </c>
      <c r="L3227">
        <v>938.19054340323305</v>
      </c>
      <c r="M3227">
        <v>19.972924080656199</v>
      </c>
      <c r="N3227">
        <v>47.471671444524603</v>
      </c>
      <c r="O3227">
        <v>46.509836446628697</v>
      </c>
      <c r="P3227">
        <v>-9.7204623204766805E-2</v>
      </c>
      <c r="Q3227">
        <v>9.4609649752554301E-2</v>
      </c>
      <c r="R3227">
        <v>0.99714183534309297</v>
      </c>
      <c r="S3227" t="s">
        <v>9679</v>
      </c>
      <c r="T3227" t="s">
        <v>12902</v>
      </c>
      <c r="U3227" t="s">
        <v>12902</v>
      </c>
      <c r="V3227" t="s">
        <v>12902</v>
      </c>
      <c r="W3227" t="s">
        <v>16088</v>
      </c>
      <c r="X3227">
        <v>6</v>
      </c>
      <c r="Y3227" t="s">
        <v>22419</v>
      </c>
      <c r="Z3227" t="s">
        <v>28802</v>
      </c>
      <c r="AA3227">
        <v>0.3183648363316679</v>
      </c>
      <c r="AB3227" t="str">
        <f>HYPERLINK("Melting_Curves/meltCurve_Q13155_AIMP2.pdf", "Melting_Curves/meltCurve_Q13155_AIMP2.pdf")</f>
        <v>Melting_Curves/meltCurve_Q13155_AIMP2.pdf</v>
      </c>
    </row>
    <row r="3228" spans="1:28" x14ac:dyDescent="0.25">
      <c r="A3228" t="s">
        <v>3232</v>
      </c>
      <c r="B3228">
        <v>0.99673306730245903</v>
      </c>
      <c r="C3228">
        <v>1.0237618874330801</v>
      </c>
      <c r="D3228">
        <v>0.75137611601627796</v>
      </c>
      <c r="E3228">
        <v>0.36663522021914502</v>
      </c>
      <c r="F3228">
        <v>0.18644752107933901</v>
      </c>
      <c r="G3228">
        <v>0.119057897117627</v>
      </c>
      <c r="H3228">
        <v>8.5402195321998997E-2</v>
      </c>
      <c r="I3228">
        <v>8.5437626695106295E-2</v>
      </c>
      <c r="J3228">
        <v>6.5050123490720202E-2</v>
      </c>
      <c r="K3228">
        <v>5.1564647868076303E-2</v>
      </c>
      <c r="L3228">
        <v>1178.3303453905301</v>
      </c>
      <c r="M3228">
        <v>24.5009586906653</v>
      </c>
      <c r="N3228">
        <v>48.431888828193202</v>
      </c>
      <c r="O3228">
        <v>47.776289368813799</v>
      </c>
      <c r="P3228">
        <v>-0.118115454573392</v>
      </c>
      <c r="Q3228">
        <v>7.8724138605982805E-2</v>
      </c>
      <c r="R3228">
        <v>0.99477507469550197</v>
      </c>
      <c r="S3228" t="s">
        <v>9680</v>
      </c>
      <c r="T3228" t="s">
        <v>12902</v>
      </c>
      <c r="U3228" t="s">
        <v>12902</v>
      </c>
      <c r="V3228" t="s">
        <v>12902</v>
      </c>
      <c r="W3228" t="s">
        <v>16089</v>
      </c>
      <c r="X3228">
        <v>7</v>
      </c>
      <c r="Y3228" t="s">
        <v>22420</v>
      </c>
      <c r="Z3228" t="s">
        <v>28803</v>
      </c>
      <c r="AA3228">
        <v>0.335757559096096</v>
      </c>
      <c r="AB3228" t="str">
        <f>HYPERLINK("Melting_Curves/meltCurve_Q13158_FADD.pdf", "Melting_Curves/meltCurve_Q13158_FADD.pdf")</f>
        <v>Melting_Curves/meltCurve_Q13158_FADD.pdf</v>
      </c>
    </row>
    <row r="3229" spans="1:28" x14ac:dyDescent="0.25">
      <c r="A3229" t="s">
        <v>3233</v>
      </c>
      <c r="B3229">
        <v>0.99673306730245903</v>
      </c>
      <c r="C3229">
        <v>0.94128793231162899</v>
      </c>
      <c r="D3229">
        <v>1.0816114362148499</v>
      </c>
      <c r="E3229">
        <v>1.01732395363952</v>
      </c>
      <c r="F3229">
        <v>0.88732494811500995</v>
      </c>
      <c r="G3229">
        <v>0.80288161180852002</v>
      </c>
      <c r="H3229">
        <v>0.65565967620078403</v>
      </c>
      <c r="I3229">
        <v>0.65488957481232701</v>
      </c>
      <c r="J3229">
        <v>0.77451495500950995</v>
      </c>
      <c r="K3229">
        <v>0.59982449704236196</v>
      </c>
      <c r="L3229">
        <v>1528.1218019354501</v>
      </c>
      <c r="M3229">
        <v>27.635958484529599</v>
      </c>
      <c r="O3229">
        <v>55.007597080014399</v>
      </c>
      <c r="P3229">
        <v>-4.1936561096290702E-2</v>
      </c>
      <c r="Q3229">
        <v>0.66611490905987703</v>
      </c>
      <c r="R3229">
        <v>0.88301796240027797</v>
      </c>
      <c r="S3229" t="s">
        <v>9681</v>
      </c>
      <c r="T3229" t="s">
        <v>12902</v>
      </c>
      <c r="U3229" t="s">
        <v>12902</v>
      </c>
      <c r="V3229" t="s">
        <v>12902</v>
      </c>
      <c r="W3229" t="s">
        <v>16090</v>
      </c>
      <c r="X3229">
        <v>15</v>
      </c>
      <c r="Y3229" t="s">
        <v>22421</v>
      </c>
      <c r="Z3229" t="s">
        <v>28804</v>
      </c>
      <c r="AA3229">
        <v>0.83891967652237021</v>
      </c>
      <c r="AB3229" t="str">
        <f>HYPERLINK("Melting_Curves/meltCurve_Q13162_PRDX4.pdf", "Melting_Curves/meltCurve_Q13162_PRDX4.pdf")</f>
        <v>Melting_Curves/meltCurve_Q13162_PRDX4.pdf</v>
      </c>
    </row>
    <row r="3230" spans="1:28" x14ac:dyDescent="0.25">
      <c r="A3230" t="s">
        <v>3234</v>
      </c>
      <c r="B3230">
        <v>0.99673306730245903</v>
      </c>
      <c r="C3230">
        <v>0.92532601777834</v>
      </c>
      <c r="D3230">
        <v>0.79260055305612498</v>
      </c>
      <c r="E3230">
        <v>0.55512055298180796</v>
      </c>
      <c r="F3230">
        <v>0.42234410514965398</v>
      </c>
      <c r="G3230">
        <v>0.31513716462797398</v>
      </c>
      <c r="H3230">
        <v>0.191614953871071</v>
      </c>
      <c r="I3230">
        <v>0.19028529766025201</v>
      </c>
      <c r="J3230">
        <v>0.25449942956812299</v>
      </c>
      <c r="K3230">
        <v>0.179645713630191</v>
      </c>
      <c r="L3230">
        <v>718.95959923052499</v>
      </c>
      <c r="M3230">
        <v>14.5540373052234</v>
      </c>
      <c r="N3230">
        <v>51.0168168318257</v>
      </c>
      <c r="O3230">
        <v>48.494802908120299</v>
      </c>
      <c r="P3230">
        <v>-6.1169647650440001E-2</v>
      </c>
      <c r="Q3230">
        <v>0.18481098624994999</v>
      </c>
      <c r="R3230">
        <v>0.99142738516753404</v>
      </c>
      <c r="S3230" t="s">
        <v>9682</v>
      </c>
      <c r="T3230" t="s">
        <v>12902</v>
      </c>
      <c r="U3230" t="s">
        <v>12902</v>
      </c>
      <c r="V3230" t="s">
        <v>12902</v>
      </c>
      <c r="W3230" t="s">
        <v>16091</v>
      </c>
      <c r="X3230">
        <v>2</v>
      </c>
      <c r="Y3230" t="s">
        <v>22422</v>
      </c>
      <c r="Z3230" t="s">
        <v>28805</v>
      </c>
      <c r="AA3230">
        <v>0.46117491264334848</v>
      </c>
      <c r="AB3230" t="str">
        <f>HYPERLINK("Melting_Curves/meltCurve_Q13164_3_MAPK7.pdf", "Melting_Curves/meltCurve_Q13164_3_MAPK7.pdf")</f>
        <v>Melting_Curves/meltCurve_Q13164_3_MAPK7.pdf</v>
      </c>
    </row>
    <row r="3231" spans="1:28" x14ac:dyDescent="0.25">
      <c r="A3231" t="s">
        <v>3235</v>
      </c>
      <c r="B3231">
        <v>0.99673306730245903</v>
      </c>
      <c r="C3231">
        <v>0.97999666879153502</v>
      </c>
      <c r="D3231">
        <v>0.94533015009707799</v>
      </c>
      <c r="E3231">
        <v>0.95546039810646799</v>
      </c>
      <c r="F3231">
        <v>0.758009296436295</v>
      </c>
      <c r="G3231">
        <v>0.40691256907026602</v>
      </c>
      <c r="H3231">
        <v>9.7150620959767606E-2</v>
      </c>
      <c r="I3231">
        <v>9.4874148908048794E-2</v>
      </c>
      <c r="J3231">
        <v>0.103787466167872</v>
      </c>
      <c r="K3231">
        <v>9.3808106394895896E-2</v>
      </c>
      <c r="L3231">
        <v>1515.1684106093001</v>
      </c>
      <c r="M3231">
        <v>27.387156918413801</v>
      </c>
      <c r="N3231">
        <v>55.658695504444303</v>
      </c>
      <c r="O3231">
        <v>55.031605325628199</v>
      </c>
      <c r="P3231">
        <v>-0.114972161483583</v>
      </c>
      <c r="Q3231">
        <v>7.5910885434739103E-2</v>
      </c>
      <c r="R3231">
        <v>0.99551053670913003</v>
      </c>
      <c r="S3231" t="s">
        <v>9683</v>
      </c>
      <c r="T3231" t="s">
        <v>12902</v>
      </c>
      <c r="U3231" t="s">
        <v>12902</v>
      </c>
      <c r="V3231" t="s">
        <v>12902</v>
      </c>
      <c r="W3231" t="s">
        <v>16092</v>
      </c>
      <c r="X3231">
        <v>29</v>
      </c>
      <c r="Y3231" t="s">
        <v>22423</v>
      </c>
      <c r="Z3231" t="s">
        <v>28806</v>
      </c>
      <c r="AA3231">
        <v>0.55520282147893951</v>
      </c>
      <c r="AB3231" t="str">
        <f>HYPERLINK("Melting_Curves/meltCurve_Q13177_PAK2.pdf", "Melting_Curves/meltCurve_Q13177_PAK2.pdf")</f>
        <v>Melting_Curves/meltCurve_Q13177_PAK2.pdf</v>
      </c>
    </row>
    <row r="3232" spans="1:28" x14ac:dyDescent="0.25">
      <c r="A3232" t="s">
        <v>3236</v>
      </c>
      <c r="B3232">
        <v>0.99673306730245903</v>
      </c>
      <c r="C3232">
        <v>0.98799610781911895</v>
      </c>
      <c r="D3232">
        <v>0.78350653940576398</v>
      </c>
      <c r="E3232">
        <v>0.58861374530872701</v>
      </c>
      <c r="F3232">
        <v>0.28172002891513098</v>
      </c>
      <c r="G3232">
        <v>0.19609201602551901</v>
      </c>
      <c r="H3232">
        <v>0.119215216219832</v>
      </c>
      <c r="I3232">
        <v>0.14070139589761901</v>
      </c>
      <c r="J3232">
        <v>0.156206038922411</v>
      </c>
      <c r="K3232">
        <v>0.14126989415214</v>
      </c>
      <c r="L3232">
        <v>952.862978775128</v>
      </c>
      <c r="M3232">
        <v>19.283568140695198</v>
      </c>
      <c r="N3232">
        <v>50.184831042866797</v>
      </c>
      <c r="O3232">
        <v>48.8910232974427</v>
      </c>
      <c r="P3232">
        <v>-8.5958049025107799E-2</v>
      </c>
      <c r="Q3232">
        <v>0.128290318565357</v>
      </c>
      <c r="R3232">
        <v>0.99399161375369305</v>
      </c>
      <c r="S3232" t="s">
        <v>9684</v>
      </c>
      <c r="T3232" t="s">
        <v>12902</v>
      </c>
      <c r="U3232" t="s">
        <v>12902</v>
      </c>
      <c r="V3232" t="s">
        <v>12902</v>
      </c>
      <c r="W3232" t="s">
        <v>16093</v>
      </c>
      <c r="X3232">
        <v>10</v>
      </c>
      <c r="Y3232" t="s">
        <v>22424</v>
      </c>
      <c r="Z3232" t="s">
        <v>28807</v>
      </c>
      <c r="AA3232">
        <v>0.41489835718694318</v>
      </c>
      <c r="AB3232" t="str">
        <f>HYPERLINK("Melting_Curves/meltCurve_Q13185_CBX3.pdf", "Melting_Curves/meltCurve_Q13185_CBX3.pdf")</f>
        <v>Melting_Curves/meltCurve_Q13185_CBX3.pdf</v>
      </c>
    </row>
    <row r="3233" spans="1:28" x14ac:dyDescent="0.25">
      <c r="A3233" t="s">
        <v>3237</v>
      </c>
      <c r="B3233">
        <v>0.99673306730245903</v>
      </c>
      <c r="C3233">
        <v>0.89572299667551203</v>
      </c>
      <c r="D3233">
        <v>0.84373676488954596</v>
      </c>
      <c r="E3233">
        <v>0.80768193037296998</v>
      </c>
      <c r="F3233">
        <v>0.59854481957961703</v>
      </c>
      <c r="G3233">
        <v>0.30428469830409799</v>
      </c>
      <c r="H3233">
        <v>0.23536125773154901</v>
      </c>
      <c r="I3233">
        <v>9.0272432928805699E-2</v>
      </c>
      <c r="J3233">
        <v>8.5804152905232606E-2</v>
      </c>
      <c r="K3233">
        <v>6.77147346215181E-2</v>
      </c>
      <c r="L3233">
        <v>676.59929331635306</v>
      </c>
      <c r="M3233">
        <v>12.4866393632431</v>
      </c>
      <c r="N3233">
        <v>54.185859911118001</v>
      </c>
      <c r="O3233">
        <v>52.852390091174598</v>
      </c>
      <c r="P3233">
        <v>-5.9075944866571403E-2</v>
      </c>
      <c r="Q3233">
        <v>0</v>
      </c>
      <c r="R3233">
        <v>0.98592626798262895</v>
      </c>
      <c r="S3233" t="s">
        <v>9685</v>
      </c>
      <c r="T3233" t="s">
        <v>12902</v>
      </c>
      <c r="U3233" t="s">
        <v>12902</v>
      </c>
      <c r="V3233" t="s">
        <v>12902</v>
      </c>
      <c r="W3233" t="s">
        <v>16094</v>
      </c>
      <c r="X3233">
        <v>8</v>
      </c>
      <c r="Y3233" t="s">
        <v>22425</v>
      </c>
      <c r="Z3233" t="s">
        <v>28808</v>
      </c>
      <c r="AA3233">
        <v>0.49759672935822219</v>
      </c>
      <c r="AB3233" t="str">
        <f>HYPERLINK("Melting_Curves/meltCurve_Q13188_STK3.pdf", "Melting_Curves/meltCurve_Q13188_STK3.pdf")</f>
        <v>Melting_Curves/meltCurve_Q13188_STK3.pdf</v>
      </c>
    </row>
    <row r="3234" spans="1:28" x14ac:dyDescent="0.25">
      <c r="A3234" t="s">
        <v>3238</v>
      </c>
      <c r="B3234">
        <v>0.99673306730245903</v>
      </c>
      <c r="C3234">
        <v>0.88110963532721598</v>
      </c>
      <c r="D3234">
        <v>0.95826409463201201</v>
      </c>
      <c r="E3234">
        <v>0.98489771125680803</v>
      </c>
      <c r="F3234">
        <v>0.70956915265058396</v>
      </c>
      <c r="G3234">
        <v>0.32865958836070203</v>
      </c>
      <c r="H3234">
        <v>0.12091242642665601</v>
      </c>
      <c r="I3234">
        <v>0.101437915469546</v>
      </c>
      <c r="J3234">
        <v>9.1792211476505098E-2</v>
      </c>
      <c r="K3234">
        <v>8.6088487542253303E-2</v>
      </c>
      <c r="L3234">
        <v>1589.7467181831801</v>
      </c>
      <c r="M3234">
        <v>29.0567143132185</v>
      </c>
      <c r="N3234">
        <v>55.064027195388199</v>
      </c>
      <c r="O3234">
        <v>54.454675106084203</v>
      </c>
      <c r="P3234">
        <v>-0.122087863146858</v>
      </c>
      <c r="Q3234">
        <v>8.4795947778435896E-2</v>
      </c>
      <c r="R3234">
        <v>0.98917935166917104</v>
      </c>
      <c r="S3234" t="s">
        <v>9686</v>
      </c>
      <c r="T3234" t="s">
        <v>12902</v>
      </c>
      <c r="U3234" t="s">
        <v>12902</v>
      </c>
      <c r="V3234" t="s">
        <v>12902</v>
      </c>
      <c r="W3234" t="s">
        <v>16095</v>
      </c>
      <c r="X3234">
        <v>38</v>
      </c>
      <c r="Y3234" t="s">
        <v>22426</v>
      </c>
      <c r="Z3234" t="s">
        <v>28809</v>
      </c>
      <c r="AA3234">
        <v>0.54004102847527169</v>
      </c>
      <c r="AB3234" t="str">
        <f>HYPERLINK("Melting_Curves/meltCurve_Q13200_PSMD2.pdf", "Melting_Curves/meltCurve_Q13200_PSMD2.pdf")</f>
        <v>Melting_Curves/meltCurve_Q13200_PSMD2.pdf</v>
      </c>
    </row>
    <row r="3235" spans="1:28" x14ac:dyDescent="0.25">
      <c r="A3235" t="s">
        <v>3239</v>
      </c>
      <c r="B3235">
        <v>0.99673306730245903</v>
      </c>
      <c r="C3235">
        <v>1.0249388712739</v>
      </c>
      <c r="D3235">
        <v>0.99648456582907496</v>
      </c>
      <c r="E3235">
        <v>0.70593387217392101</v>
      </c>
      <c r="F3235">
        <v>0.48534703917349498</v>
      </c>
      <c r="G3235">
        <v>0.36774357088139797</v>
      </c>
      <c r="H3235">
        <v>0.29451989169847298</v>
      </c>
      <c r="I3235">
        <v>0.31396868063670702</v>
      </c>
      <c r="J3235">
        <v>0.49594565943095498</v>
      </c>
      <c r="K3235">
        <v>0.40458620140421198</v>
      </c>
      <c r="L3235">
        <v>1645.6341545279899</v>
      </c>
      <c r="M3235">
        <v>32.943999424521799</v>
      </c>
      <c r="N3235">
        <v>52.179669701752303</v>
      </c>
      <c r="O3235">
        <v>49.769480844793897</v>
      </c>
      <c r="P3235">
        <v>-0.103020450034915</v>
      </c>
      <c r="Q3235">
        <v>0.37745844880822499</v>
      </c>
      <c r="R3235">
        <v>0.96267581612851105</v>
      </c>
      <c r="S3235" t="s">
        <v>9687</v>
      </c>
      <c r="T3235" t="s">
        <v>12902</v>
      </c>
      <c r="U3235" t="s">
        <v>12902</v>
      </c>
      <c r="V3235" t="s">
        <v>12902</v>
      </c>
      <c r="W3235" t="s">
        <v>16096</v>
      </c>
      <c r="X3235">
        <v>3</v>
      </c>
      <c r="Y3235" t="s">
        <v>22427</v>
      </c>
      <c r="Z3235" t="s">
        <v>28810</v>
      </c>
      <c r="AA3235">
        <v>0.58716927037663424</v>
      </c>
      <c r="AB3235" t="str">
        <f>HYPERLINK("Melting_Curves/meltCurve_Q13206_DDX10.pdf", "Melting_Curves/meltCurve_Q13206_DDX10.pdf")</f>
        <v>Melting_Curves/meltCurve_Q13206_DDX10.pdf</v>
      </c>
    </row>
    <row r="3236" spans="1:28" x14ac:dyDescent="0.25">
      <c r="A3236" t="s">
        <v>3240</v>
      </c>
      <c r="B3236">
        <v>0.99673306730245903</v>
      </c>
      <c r="C3236">
        <v>0.98512036905743405</v>
      </c>
      <c r="D3236">
        <v>1.19978334388876</v>
      </c>
      <c r="E3236">
        <v>1.04709874447889</v>
      </c>
      <c r="F3236">
        <v>0.63511128752074497</v>
      </c>
      <c r="G3236">
        <v>0.49300591101450902</v>
      </c>
      <c r="H3236">
        <v>0.453768911303364</v>
      </c>
      <c r="I3236">
        <v>0.64718261799128196</v>
      </c>
      <c r="J3236">
        <v>0.52931516859253702</v>
      </c>
      <c r="K3236">
        <v>0.31207521440673702</v>
      </c>
      <c r="L3236">
        <v>13252.008379917301</v>
      </c>
      <c r="M3236">
        <v>250</v>
      </c>
      <c r="N3236">
        <v>53.794514774869498</v>
      </c>
      <c r="O3236">
        <v>53.004620091816697</v>
      </c>
      <c r="P3236">
        <v>-0.60481783824823199</v>
      </c>
      <c r="Q3236">
        <v>0.48706955766603999</v>
      </c>
      <c r="R3236">
        <v>0.87626929054703295</v>
      </c>
      <c r="S3236" t="s">
        <v>9688</v>
      </c>
      <c r="T3236" t="s">
        <v>12902</v>
      </c>
      <c r="U3236" t="s">
        <v>12902</v>
      </c>
      <c r="V3236" t="s">
        <v>12902</v>
      </c>
      <c r="W3236" t="s">
        <v>16097</v>
      </c>
      <c r="X3236">
        <v>2</v>
      </c>
      <c r="Y3236" t="s">
        <v>22428</v>
      </c>
      <c r="Z3236" t="s">
        <v>28811</v>
      </c>
      <c r="AA3236">
        <v>0.70952448760432019</v>
      </c>
      <c r="AB3236" t="str">
        <f>HYPERLINK("Melting_Curves/meltCurve_Q13214_2_SEMA3B.pdf", "Melting_Curves/meltCurve_Q13214_2_SEMA3B.pdf")</f>
        <v>Melting_Curves/meltCurve_Q13214_2_SEMA3B.pdf</v>
      </c>
    </row>
    <row r="3237" spans="1:28" x14ac:dyDescent="0.25">
      <c r="A3237" t="s">
        <v>3241</v>
      </c>
      <c r="B3237">
        <v>0.99673306730245903</v>
      </c>
      <c r="C3237">
        <v>0.91348258235246005</v>
      </c>
      <c r="D3237">
        <v>0.80941451132541897</v>
      </c>
      <c r="E3237">
        <v>0.74185975065505105</v>
      </c>
      <c r="F3237">
        <v>0.37745779990485201</v>
      </c>
      <c r="G3237">
        <v>0.26172691472679299</v>
      </c>
      <c r="H3237">
        <v>0.15949067794389701</v>
      </c>
      <c r="I3237">
        <v>0.12706312882986801</v>
      </c>
      <c r="J3237">
        <v>0.15405529408659999</v>
      </c>
      <c r="K3237">
        <v>0.173852869382428</v>
      </c>
      <c r="L3237">
        <v>824.10747422975703</v>
      </c>
      <c r="M3237">
        <v>16.173073005096299</v>
      </c>
      <c r="N3237">
        <v>51.861207213373802</v>
      </c>
      <c r="O3237">
        <v>50.195592385256298</v>
      </c>
      <c r="P3237">
        <v>-7.0645614998830694E-2</v>
      </c>
      <c r="Q3237">
        <v>0.123028289495449</v>
      </c>
      <c r="R3237">
        <v>0.98416144776833703</v>
      </c>
      <c r="S3237" t="s">
        <v>9689</v>
      </c>
      <c r="T3237" t="s">
        <v>12902</v>
      </c>
      <c r="U3237" t="s">
        <v>12902</v>
      </c>
      <c r="V3237" t="s">
        <v>12902</v>
      </c>
      <c r="W3237" t="s">
        <v>16098</v>
      </c>
      <c r="X3237">
        <v>2</v>
      </c>
      <c r="Y3237" t="s">
        <v>22429</v>
      </c>
      <c r="Z3237" t="s">
        <v>28812</v>
      </c>
      <c r="AA3237">
        <v>0.46114743256429969</v>
      </c>
      <c r="AB3237" t="str">
        <f>HYPERLINK("Melting_Curves/meltCurve_Q13216_ERCC8.pdf", "Melting_Curves/meltCurve_Q13216_ERCC8.pdf")</f>
        <v>Melting_Curves/meltCurve_Q13216_ERCC8.pdf</v>
      </c>
    </row>
    <row r="3238" spans="1:28" x14ac:dyDescent="0.25">
      <c r="A3238" t="s">
        <v>3242</v>
      </c>
      <c r="B3238">
        <v>0.99673306730245903</v>
      </c>
      <c r="C3238">
        <v>0.96138462280470005</v>
      </c>
      <c r="D3238">
        <v>0.90343418579515899</v>
      </c>
      <c r="E3238">
        <v>0.61241282834465904</v>
      </c>
      <c r="F3238">
        <v>0.24590547944890701</v>
      </c>
      <c r="G3238">
        <v>0.152997773693022</v>
      </c>
      <c r="H3238">
        <v>0.120812993669032</v>
      </c>
      <c r="I3238">
        <v>0.104893354691258</v>
      </c>
      <c r="J3238">
        <v>0.102651071703692</v>
      </c>
      <c r="K3238">
        <v>7.8595567966629906E-2</v>
      </c>
      <c r="L3238">
        <v>1248.0849457612701</v>
      </c>
      <c r="M3238">
        <v>24.936611046449698</v>
      </c>
      <c r="N3238">
        <v>50.488766680007103</v>
      </c>
      <c r="O3238">
        <v>49.731759993781999</v>
      </c>
      <c r="P3238">
        <v>-0.113153020958198</v>
      </c>
      <c r="Q3238">
        <v>9.73556953642392E-2</v>
      </c>
      <c r="R3238">
        <v>0.99865839616112295</v>
      </c>
      <c r="S3238" t="s">
        <v>9690</v>
      </c>
      <c r="T3238" t="s">
        <v>12902</v>
      </c>
      <c r="U3238" t="s">
        <v>12902</v>
      </c>
      <c r="V3238" t="s">
        <v>12902</v>
      </c>
      <c r="W3238" t="s">
        <v>16099</v>
      </c>
      <c r="X3238">
        <v>34</v>
      </c>
      <c r="Y3238" t="s">
        <v>22430</v>
      </c>
      <c r="Z3238" t="s">
        <v>28813</v>
      </c>
      <c r="AA3238">
        <v>0.40786365875071789</v>
      </c>
      <c r="AB3238" t="str">
        <f>HYPERLINK("Melting_Curves/meltCurve_Q13217_DNAJC3.pdf", "Melting_Curves/meltCurve_Q13217_DNAJC3.pdf")</f>
        <v>Melting_Curves/meltCurve_Q13217_DNAJC3.pdf</v>
      </c>
    </row>
    <row r="3239" spans="1:28" x14ac:dyDescent="0.25">
      <c r="A3239" t="s">
        <v>3243</v>
      </c>
      <c r="B3239">
        <v>0.99673306730245903</v>
      </c>
      <c r="C3239">
        <v>1.00413168807275</v>
      </c>
      <c r="D3239">
        <v>1.1202636924435601</v>
      </c>
      <c r="E3239">
        <v>0.99580680557927104</v>
      </c>
      <c r="F3239">
        <v>0.90640024305762701</v>
      </c>
      <c r="G3239">
        <v>0.77530586625858</v>
      </c>
      <c r="H3239">
        <v>0.53161077592066797</v>
      </c>
      <c r="I3239">
        <v>0.70898866476252997</v>
      </c>
      <c r="J3239">
        <v>1.3030680856473</v>
      </c>
      <c r="K3239">
        <v>0.65768357997853799</v>
      </c>
      <c r="L3239">
        <v>13309.103705711101</v>
      </c>
      <c r="M3239">
        <v>250</v>
      </c>
      <c r="O3239">
        <v>53.233008058745398</v>
      </c>
      <c r="P3239">
        <v>-0.24029805223049999</v>
      </c>
      <c r="Q3239">
        <v>0.79533138987699703</v>
      </c>
      <c r="R3239">
        <v>0.24279056411605399</v>
      </c>
      <c r="S3239" t="s">
        <v>9691</v>
      </c>
      <c r="T3239" t="s">
        <v>12902</v>
      </c>
      <c r="U3239" t="s">
        <v>12902</v>
      </c>
      <c r="V3239" t="s">
        <v>12902</v>
      </c>
      <c r="W3239" t="s">
        <v>16100</v>
      </c>
      <c r="X3239">
        <v>24</v>
      </c>
      <c r="Y3239" t="s">
        <v>22431</v>
      </c>
      <c r="Z3239" t="s">
        <v>28814</v>
      </c>
      <c r="AA3239">
        <v>0.88565313270360713</v>
      </c>
      <c r="AB3239" t="str">
        <f>HYPERLINK("Melting_Curves/meltCurve_Q13228_SELENBP1.pdf", "Melting_Curves/meltCurve_Q13228_SELENBP1.pdf")</f>
        <v>Melting_Curves/meltCurve_Q13228_SELENBP1.pdf</v>
      </c>
    </row>
    <row r="3240" spans="1:28" x14ac:dyDescent="0.25">
      <c r="A3240" t="s">
        <v>3244</v>
      </c>
      <c r="B3240">
        <v>0.99673306730245903</v>
      </c>
      <c r="C3240">
        <v>1.002316564437</v>
      </c>
      <c r="D3240">
        <v>1.0014891708759699</v>
      </c>
      <c r="E3240">
        <v>0.98011190837982098</v>
      </c>
      <c r="F3240">
        <v>1.0171471712644899</v>
      </c>
      <c r="G3240">
        <v>0.88127777026059295</v>
      </c>
      <c r="H3240">
        <v>0.781849874831266</v>
      </c>
      <c r="I3240">
        <v>0.94974149135892405</v>
      </c>
      <c r="J3240">
        <v>0.47048236333488602</v>
      </c>
      <c r="K3240">
        <v>0.17293454001318001</v>
      </c>
      <c r="L3240">
        <v>3818.9382296162698</v>
      </c>
      <c r="M3240">
        <v>57.297238597240998</v>
      </c>
      <c r="N3240">
        <v>66.965074334416698</v>
      </c>
      <c r="O3240">
        <v>66.570308438128194</v>
      </c>
      <c r="P3240">
        <v>-0.18984710335062799</v>
      </c>
      <c r="Q3240">
        <v>0.117711527208578</v>
      </c>
      <c r="R3240">
        <v>0.91511958763041501</v>
      </c>
      <c r="S3240" t="s">
        <v>9692</v>
      </c>
      <c r="T3240" t="s">
        <v>12902</v>
      </c>
      <c r="U3240" t="s">
        <v>12902</v>
      </c>
      <c r="V3240" t="s">
        <v>12902</v>
      </c>
      <c r="W3240" t="s">
        <v>16101</v>
      </c>
      <c r="X3240">
        <v>14</v>
      </c>
      <c r="Y3240" t="s">
        <v>22432</v>
      </c>
      <c r="Z3240" t="s">
        <v>28815</v>
      </c>
      <c r="AA3240">
        <v>0.90103812586757925</v>
      </c>
      <c r="AB3240" t="str">
        <f>HYPERLINK("Melting_Curves/meltCurve_Q13232_NME3.pdf", "Melting_Curves/meltCurve_Q13232_NME3.pdf")</f>
        <v>Melting_Curves/meltCurve_Q13232_NME3.pdf</v>
      </c>
    </row>
    <row r="3241" spans="1:28" x14ac:dyDescent="0.25">
      <c r="A3241" t="s">
        <v>3245</v>
      </c>
      <c r="B3241">
        <v>0.99673306730245903</v>
      </c>
      <c r="C3241">
        <v>0.93685989317543905</v>
      </c>
      <c r="D3241">
        <v>0.87224068862279203</v>
      </c>
      <c r="E3241">
        <v>0.66180507220475104</v>
      </c>
      <c r="F3241">
        <v>0.41764996981070002</v>
      </c>
      <c r="G3241">
        <v>0.310667286576915</v>
      </c>
      <c r="H3241">
        <v>0.25907981379164902</v>
      </c>
      <c r="I3241">
        <v>0.53428689024339504</v>
      </c>
      <c r="J3241">
        <v>1.5132723488048301</v>
      </c>
      <c r="K3241">
        <v>4.1827655620326096</v>
      </c>
      <c r="L3241">
        <v>15000</v>
      </c>
      <c r="M3241">
        <v>227.44702432936401</v>
      </c>
      <c r="O3241">
        <v>65.944326572966503</v>
      </c>
      <c r="P3241">
        <v>0.431134573103233</v>
      </c>
      <c r="Q3241">
        <v>1.5</v>
      </c>
      <c r="R3241">
        <v>0.26101952173493198</v>
      </c>
      <c r="S3241" t="s">
        <v>9693</v>
      </c>
      <c r="T3241" t="s">
        <v>12902</v>
      </c>
      <c r="U3241" t="s">
        <v>12902</v>
      </c>
      <c r="V3241" t="s">
        <v>12902</v>
      </c>
      <c r="W3241" t="s">
        <v>16102</v>
      </c>
      <c r="X3241">
        <v>11</v>
      </c>
      <c r="Y3241" t="s">
        <v>22433</v>
      </c>
      <c r="Z3241" t="s">
        <v>28816</v>
      </c>
      <c r="AA3241">
        <v>1.067439709758484</v>
      </c>
      <c r="AB3241" t="str">
        <f>HYPERLINK("Melting_Curves/meltCurve_Q13242_SRSF9.pdf", "Melting_Curves/meltCurve_Q13242_SRSF9.pdf")</f>
        <v>Melting_Curves/meltCurve_Q13242_SRSF9.pdf</v>
      </c>
    </row>
    <row r="3242" spans="1:28" x14ac:dyDescent="0.25">
      <c r="A3242" t="s">
        <v>3246</v>
      </c>
      <c r="B3242">
        <v>0.99673306730245903</v>
      </c>
      <c r="C3242">
        <v>0.94492028211704804</v>
      </c>
      <c r="D3242">
        <v>0.81514061783650305</v>
      </c>
      <c r="E3242">
        <v>0.74549766678101503</v>
      </c>
      <c r="F3242">
        <v>0.58330397331443595</v>
      </c>
      <c r="G3242">
        <v>0.44879236891014301</v>
      </c>
      <c r="H3242">
        <v>0.43487714559079599</v>
      </c>
      <c r="I3242">
        <v>0.61241474714972499</v>
      </c>
      <c r="J3242">
        <v>1.37986685273194</v>
      </c>
      <c r="K3242">
        <v>2.5501292766705599</v>
      </c>
      <c r="L3242">
        <v>15000</v>
      </c>
      <c r="M3242">
        <v>224.69859943138499</v>
      </c>
      <c r="O3242">
        <v>66.750801767823404</v>
      </c>
      <c r="P3242">
        <v>0.42077883733967703</v>
      </c>
      <c r="Q3242">
        <v>1.5</v>
      </c>
      <c r="R3242">
        <v>0.39763984115905998</v>
      </c>
      <c r="S3242" t="s">
        <v>9694</v>
      </c>
      <c r="T3242" t="s">
        <v>12902</v>
      </c>
      <c r="U3242" t="s">
        <v>12902</v>
      </c>
      <c r="V3242" t="s">
        <v>12902</v>
      </c>
      <c r="W3242" t="s">
        <v>16103</v>
      </c>
      <c r="X3242">
        <v>7</v>
      </c>
      <c r="Y3242" t="s">
        <v>22434</v>
      </c>
      <c r="Z3242" t="s">
        <v>28817</v>
      </c>
      <c r="AA3242">
        <v>1.0539928099157549</v>
      </c>
      <c r="AB3242" t="str">
        <f>HYPERLINK("Melting_Curves/meltCurve_Q13243_3_SRSF5.pdf", "Melting_Curves/meltCurve_Q13243_3_SRSF5.pdf")</f>
        <v>Melting_Curves/meltCurve_Q13243_3_SRSF5.pdf</v>
      </c>
    </row>
    <row r="3243" spans="1:28" x14ac:dyDescent="0.25">
      <c r="A3243" t="s">
        <v>3247</v>
      </c>
      <c r="B3243">
        <v>0.99673306730245903</v>
      </c>
      <c r="C3243">
        <v>0.99549403682589299</v>
      </c>
      <c r="D3243">
        <v>0.97874065590576997</v>
      </c>
      <c r="E3243">
        <v>0.89260898026394597</v>
      </c>
      <c r="F3243">
        <v>0.48214039396515002</v>
      </c>
      <c r="G3243">
        <v>0.29066772104775102</v>
      </c>
      <c r="H3243">
        <v>0.20687299968165601</v>
      </c>
      <c r="I3243">
        <v>0.28948111957084299</v>
      </c>
      <c r="J3243">
        <v>0.38114666142619502</v>
      </c>
      <c r="K3243">
        <v>0.45218676827006399</v>
      </c>
      <c r="L3243">
        <v>2217.8787785048098</v>
      </c>
      <c r="M3243">
        <v>42.969026781007003</v>
      </c>
      <c r="N3243">
        <v>52.894287713102699</v>
      </c>
      <c r="O3243">
        <v>51.504334689140002</v>
      </c>
      <c r="P3243">
        <v>-0.141195771505846</v>
      </c>
      <c r="Q3243">
        <v>0.32303024061595698</v>
      </c>
      <c r="R3243">
        <v>0.96143909729058497</v>
      </c>
      <c r="S3243" t="s">
        <v>9695</v>
      </c>
      <c r="T3243" t="s">
        <v>12902</v>
      </c>
      <c r="U3243" t="s">
        <v>12902</v>
      </c>
      <c r="V3243" t="s">
        <v>12902</v>
      </c>
      <c r="W3243" t="s">
        <v>16104</v>
      </c>
      <c r="X3243">
        <v>13</v>
      </c>
      <c r="Y3243" t="s">
        <v>22435</v>
      </c>
      <c r="Z3243" t="s">
        <v>28818</v>
      </c>
      <c r="AA3243">
        <v>0.58723798634358237</v>
      </c>
      <c r="AB3243" t="str">
        <f>HYPERLINK("Melting_Curves/meltCurve_Q13247_3_SRSF6.pdf", "Melting_Curves/meltCurve_Q13247_3_SRSF6.pdf")</f>
        <v>Melting_Curves/meltCurve_Q13247_3_SRSF6.pdf</v>
      </c>
    </row>
    <row r="3244" spans="1:28" x14ac:dyDescent="0.25">
      <c r="A3244" t="s">
        <v>3248</v>
      </c>
      <c r="B3244">
        <v>0.99673306730245903</v>
      </c>
      <c r="C3244">
        <v>0.91876358542527503</v>
      </c>
      <c r="D3244">
        <v>0.67751549368311403</v>
      </c>
      <c r="E3244">
        <v>0.40181441263223899</v>
      </c>
      <c r="F3244">
        <v>0.189541247874113</v>
      </c>
      <c r="G3244">
        <v>0.13354147524918</v>
      </c>
      <c r="H3244">
        <v>9.0671192877269893E-2</v>
      </c>
      <c r="I3244">
        <v>0.102481435838645</v>
      </c>
      <c r="J3244">
        <v>9.1904218893915604E-2</v>
      </c>
      <c r="K3244">
        <v>6.3297293427369894E-2</v>
      </c>
      <c r="L3244">
        <v>898.36305836022802</v>
      </c>
      <c r="M3244">
        <v>18.808738091175499</v>
      </c>
      <c r="N3244">
        <v>48.2162433845998</v>
      </c>
      <c r="O3244">
        <v>47.2329703617186</v>
      </c>
      <c r="P3244">
        <v>-9.1491222454899102E-2</v>
      </c>
      <c r="Q3244">
        <v>8.1017783747561106E-2</v>
      </c>
      <c r="R3244">
        <v>0.998167736192622</v>
      </c>
      <c r="S3244" t="s">
        <v>9696</v>
      </c>
      <c r="T3244" t="s">
        <v>12902</v>
      </c>
      <c r="U3244" t="s">
        <v>12902</v>
      </c>
      <c r="V3244" t="s">
        <v>12902</v>
      </c>
      <c r="W3244" t="s">
        <v>16105</v>
      </c>
      <c r="X3244">
        <v>6</v>
      </c>
      <c r="Y3244" t="s">
        <v>22436</v>
      </c>
      <c r="Z3244" t="s">
        <v>28819</v>
      </c>
      <c r="AA3244">
        <v>0.33379096927937751</v>
      </c>
      <c r="AB3244" t="str">
        <f>HYPERLINK("Melting_Curves/meltCurve_Q13257_MAD2L1.pdf", "Melting_Curves/meltCurve_Q13257_MAD2L1.pdf")</f>
        <v>Melting_Curves/meltCurve_Q13257_MAD2L1.pdf</v>
      </c>
    </row>
    <row r="3245" spans="1:28" x14ac:dyDescent="0.25">
      <c r="A3245" t="s">
        <v>3249</v>
      </c>
      <c r="B3245">
        <v>0.99673306730245903</v>
      </c>
      <c r="C3245">
        <v>0.99684716454037603</v>
      </c>
      <c r="D3245">
        <v>0.57527077092797996</v>
      </c>
      <c r="E3245">
        <v>0.29039213969983102</v>
      </c>
      <c r="F3245">
        <v>0.173062132049979</v>
      </c>
      <c r="G3245">
        <v>0.114134234561583</v>
      </c>
      <c r="H3245">
        <v>7.8438781806772495E-2</v>
      </c>
      <c r="I3245">
        <v>6.7645145428732206E-2</v>
      </c>
      <c r="J3245">
        <v>6.3741349847346099E-2</v>
      </c>
      <c r="K3245">
        <v>5.0338787025454697E-2</v>
      </c>
      <c r="L3245">
        <v>1130.9542584279</v>
      </c>
      <c r="M3245">
        <v>24.166429395066999</v>
      </c>
      <c r="N3245">
        <v>47.140291284344002</v>
      </c>
      <c r="O3245">
        <v>46.481650742562998</v>
      </c>
      <c r="P3245">
        <v>-0.11953658208725</v>
      </c>
      <c r="Q3245">
        <v>8.0348712514862405E-2</v>
      </c>
      <c r="R3245">
        <v>0.987654238038296</v>
      </c>
      <c r="S3245" t="s">
        <v>9697</v>
      </c>
      <c r="T3245" t="s">
        <v>12902</v>
      </c>
      <c r="U3245" t="s">
        <v>12902</v>
      </c>
      <c r="V3245" t="s">
        <v>12902</v>
      </c>
      <c r="W3245" t="s">
        <v>16106</v>
      </c>
      <c r="X3245">
        <v>31</v>
      </c>
      <c r="Y3245" t="s">
        <v>22437</v>
      </c>
      <c r="Z3245" t="s">
        <v>28820</v>
      </c>
      <c r="AA3245">
        <v>0.29765419888804628</v>
      </c>
      <c r="AB3245" t="str">
        <f>HYPERLINK("Melting_Curves/meltCurve_Q13263_TRIM28.pdf", "Melting_Curves/meltCurve_Q13263_TRIM28.pdf")</f>
        <v>Melting_Curves/meltCurve_Q13263_TRIM28.pdf</v>
      </c>
    </row>
    <row r="3246" spans="1:28" x14ac:dyDescent="0.25">
      <c r="A3246" t="s">
        <v>3250</v>
      </c>
      <c r="B3246">
        <v>0.99673306730245903</v>
      </c>
      <c r="C3246">
        <v>0.98091274832928899</v>
      </c>
      <c r="D3246">
        <v>0.90317211244155604</v>
      </c>
      <c r="E3246">
        <v>0.76232247708546197</v>
      </c>
      <c r="F3246">
        <v>0.620644761287376</v>
      </c>
      <c r="G3246">
        <v>0.45507825466746499</v>
      </c>
      <c r="H3246">
        <v>0.32411599134313002</v>
      </c>
      <c r="I3246">
        <v>0.37303709494521498</v>
      </c>
      <c r="J3246">
        <v>0.35786835029311198</v>
      </c>
      <c r="K3246">
        <v>0.35713728892101898</v>
      </c>
      <c r="L3246">
        <v>828.13320330868203</v>
      </c>
      <c r="M3246">
        <v>16.026987086037899</v>
      </c>
      <c r="N3246">
        <v>55.387171108134098</v>
      </c>
      <c r="O3246">
        <v>50.886818787257099</v>
      </c>
      <c r="P3246">
        <v>-5.2806219201925797E-2</v>
      </c>
      <c r="Q3246">
        <v>0.329398490450998</v>
      </c>
      <c r="R3246">
        <v>0.99161001506144497</v>
      </c>
      <c r="S3246" t="s">
        <v>9698</v>
      </c>
      <c r="T3246" t="s">
        <v>12902</v>
      </c>
      <c r="U3246" t="s">
        <v>12902</v>
      </c>
      <c r="V3246" t="s">
        <v>12902</v>
      </c>
      <c r="W3246" t="s">
        <v>16107</v>
      </c>
      <c r="X3246">
        <v>8</v>
      </c>
      <c r="Y3246" t="s">
        <v>22438</v>
      </c>
      <c r="Z3246" t="s">
        <v>28821</v>
      </c>
      <c r="AA3246">
        <v>0.60392308742575096</v>
      </c>
      <c r="AB3246" t="str">
        <f>HYPERLINK("Melting_Curves/meltCurve_Q13277_2_STX3.pdf", "Melting_Curves/meltCurve_Q13277_2_STX3.pdf")</f>
        <v>Melting_Curves/meltCurve_Q13277_2_STX3.pdf</v>
      </c>
    </row>
    <row r="3247" spans="1:28" x14ac:dyDescent="0.25">
      <c r="A3247" t="s">
        <v>3251</v>
      </c>
      <c r="B3247">
        <v>0.99673306730245903</v>
      </c>
      <c r="C3247">
        <v>0.92881094053100799</v>
      </c>
      <c r="D3247">
        <v>0.89577768679324699</v>
      </c>
      <c r="E3247">
        <v>0.80761146847129295</v>
      </c>
      <c r="F3247">
        <v>0.40724249277170299</v>
      </c>
      <c r="G3247">
        <v>0.18290289375201599</v>
      </c>
      <c r="H3247">
        <v>0.111346200170228</v>
      </c>
      <c r="I3247">
        <v>9.9135295120830996E-2</v>
      </c>
      <c r="J3247">
        <v>0.108587911294761</v>
      </c>
      <c r="K3247">
        <v>0.101408369916015</v>
      </c>
      <c r="L3247">
        <v>1248.25620839057</v>
      </c>
      <c r="M3247">
        <v>24.0581743365439</v>
      </c>
      <c r="N3247">
        <v>52.3302171555695</v>
      </c>
      <c r="O3247">
        <v>51.5304048966183</v>
      </c>
      <c r="P3247">
        <v>-0.10591559755641</v>
      </c>
      <c r="Q3247">
        <v>9.2568022994277993E-2</v>
      </c>
      <c r="R3247">
        <v>0.99293089688768099</v>
      </c>
      <c r="S3247" t="s">
        <v>9699</v>
      </c>
      <c r="T3247" t="s">
        <v>12902</v>
      </c>
      <c r="U3247" t="s">
        <v>12902</v>
      </c>
      <c r="V3247" t="s">
        <v>12902</v>
      </c>
      <c r="W3247" t="s">
        <v>16108</v>
      </c>
      <c r="X3247">
        <v>24</v>
      </c>
      <c r="Y3247" t="s">
        <v>22439</v>
      </c>
      <c r="Z3247" t="s">
        <v>28822</v>
      </c>
      <c r="AA3247">
        <v>0.46096778938628302</v>
      </c>
      <c r="AB3247" t="str">
        <f>HYPERLINK("Melting_Curves/meltCurve_Q13283_G3BP1.pdf", "Melting_Curves/meltCurve_Q13283_G3BP1.pdf")</f>
        <v>Melting_Curves/meltCurve_Q13283_G3BP1.pdf</v>
      </c>
    </row>
    <row r="3248" spans="1:28" x14ac:dyDescent="0.25">
      <c r="A3248" t="s">
        <v>3252</v>
      </c>
      <c r="B3248">
        <v>0.99673306730245903</v>
      </c>
      <c r="C3248">
        <v>1.03801385582836</v>
      </c>
      <c r="D3248">
        <v>1.0174518143248199</v>
      </c>
      <c r="E3248">
        <v>1.0227562572644799</v>
      </c>
      <c r="F3248">
        <v>0.79821756019464996</v>
      </c>
      <c r="G3248">
        <v>0.58524617774398802</v>
      </c>
      <c r="H3248">
        <v>0.23437647381889001</v>
      </c>
      <c r="I3248">
        <v>0.1561901191225</v>
      </c>
      <c r="J3248">
        <v>0.1666169141986</v>
      </c>
      <c r="K3248">
        <v>0.17425672347744101</v>
      </c>
      <c r="L3248">
        <v>1433.5382692332</v>
      </c>
      <c r="M3248">
        <v>25.3737106278783</v>
      </c>
      <c r="N3248">
        <v>57.248019252515597</v>
      </c>
      <c r="O3248">
        <v>56.149567869570603</v>
      </c>
      <c r="P3248">
        <v>-9.6981292555858203E-2</v>
      </c>
      <c r="Q3248">
        <v>0.14156991210783701</v>
      </c>
      <c r="R3248">
        <v>0.99212117581352299</v>
      </c>
      <c r="S3248" t="s">
        <v>9700</v>
      </c>
      <c r="T3248" t="s">
        <v>12902</v>
      </c>
      <c r="U3248" t="s">
        <v>12902</v>
      </c>
      <c r="V3248" t="s">
        <v>12902</v>
      </c>
      <c r="W3248" t="s">
        <v>16109</v>
      </c>
      <c r="X3248">
        <v>6</v>
      </c>
      <c r="Y3248" t="s">
        <v>22440</v>
      </c>
      <c r="Z3248" t="s">
        <v>28823</v>
      </c>
      <c r="AA3248">
        <v>0.62125454033015937</v>
      </c>
      <c r="AB3248" t="str">
        <f>HYPERLINK("Melting_Curves/meltCurve_Q13287_NMI.pdf", "Melting_Curves/meltCurve_Q13287_NMI.pdf")</f>
        <v>Melting_Curves/meltCurve_Q13287_NMI.pdf</v>
      </c>
    </row>
    <row r="3249" spans="1:28" x14ac:dyDescent="0.25">
      <c r="A3249" t="s">
        <v>3253</v>
      </c>
      <c r="B3249">
        <v>0.99673306730245903</v>
      </c>
      <c r="C3249">
        <v>0.95277819828881705</v>
      </c>
      <c r="D3249">
        <v>0.91742761834831998</v>
      </c>
      <c r="E3249">
        <v>0.80088189660424203</v>
      </c>
      <c r="F3249">
        <v>0.50398392324025498</v>
      </c>
      <c r="G3249">
        <v>0.25319318162418802</v>
      </c>
      <c r="H3249">
        <v>0.114188507416222</v>
      </c>
      <c r="I3249">
        <v>0.101016331018388</v>
      </c>
      <c r="J3249">
        <v>9.2119742009321201E-2</v>
      </c>
      <c r="K3249">
        <v>7.4746309572731803E-2</v>
      </c>
      <c r="L3249">
        <v>998.92950181119704</v>
      </c>
      <c r="M3249">
        <v>18.920135576222499</v>
      </c>
      <c r="N3249">
        <v>53.177873391184797</v>
      </c>
      <c r="O3249">
        <v>52.217961351280003</v>
      </c>
      <c r="P3249">
        <v>-8.4848248939757398E-2</v>
      </c>
      <c r="Q3249">
        <v>6.3342227552698402E-2</v>
      </c>
      <c r="R3249">
        <v>0.997920181320467</v>
      </c>
      <c r="S3249" t="s">
        <v>9701</v>
      </c>
      <c r="T3249" t="s">
        <v>12902</v>
      </c>
      <c r="U3249" t="s">
        <v>12902</v>
      </c>
      <c r="V3249" t="s">
        <v>12902</v>
      </c>
      <c r="W3249" t="s">
        <v>16110</v>
      </c>
      <c r="X3249">
        <v>38</v>
      </c>
      <c r="Y3249" t="s">
        <v>22441</v>
      </c>
      <c r="Z3249" t="s">
        <v>28824</v>
      </c>
      <c r="AA3249">
        <v>0.47707408668733081</v>
      </c>
      <c r="AB3249" t="str">
        <f>HYPERLINK("Melting_Curves/meltCurve_Q13308_PTK7.pdf", "Melting_Curves/meltCurve_Q13308_PTK7.pdf")</f>
        <v>Melting_Curves/meltCurve_Q13308_PTK7.pdf</v>
      </c>
    </row>
    <row r="3250" spans="1:28" x14ac:dyDescent="0.25">
      <c r="A3250" t="s">
        <v>3254</v>
      </c>
      <c r="B3250">
        <v>0.99673306730245903</v>
      </c>
      <c r="C3250">
        <v>0.72546577118257705</v>
      </c>
      <c r="D3250">
        <v>0.34641883792006201</v>
      </c>
      <c r="E3250">
        <v>0.23263390482566501</v>
      </c>
      <c r="F3250">
        <v>0.184171347018834</v>
      </c>
      <c r="G3250">
        <v>0.121542933439424</v>
      </c>
      <c r="H3250">
        <v>7.0315538779506595E-2</v>
      </c>
      <c r="I3250">
        <v>5.2450493308436603E-2</v>
      </c>
      <c r="J3250">
        <v>4.7770740447371902E-2</v>
      </c>
      <c r="K3250">
        <v>4.14749603326744E-2</v>
      </c>
      <c r="L3250">
        <v>957.79301363233196</v>
      </c>
      <c r="M3250">
        <v>21.462713618658501</v>
      </c>
      <c r="N3250">
        <v>45.001719779726002</v>
      </c>
      <c r="O3250">
        <v>44.2439147376991</v>
      </c>
      <c r="P3250">
        <v>-0.11132806678263001</v>
      </c>
      <c r="Q3250">
        <v>8.2041830816417596E-2</v>
      </c>
      <c r="R3250">
        <v>0.97830045917505204</v>
      </c>
      <c r="S3250" t="s">
        <v>9702</v>
      </c>
      <c r="T3250" t="s">
        <v>12902</v>
      </c>
      <c r="U3250" t="s">
        <v>12902</v>
      </c>
      <c r="V3250" t="s">
        <v>12902</v>
      </c>
      <c r="W3250" t="s">
        <v>16111</v>
      </c>
      <c r="X3250">
        <v>3</v>
      </c>
      <c r="Y3250" t="s">
        <v>22442</v>
      </c>
      <c r="Z3250" t="s">
        <v>28825</v>
      </c>
      <c r="AA3250">
        <v>0.23736838888414979</v>
      </c>
      <c r="AB3250" t="str">
        <f>HYPERLINK("Melting_Curves/meltCurve_Q13309_2_SKP2.pdf", "Melting_Curves/meltCurve_Q13309_2_SKP2.pdf")</f>
        <v>Melting_Curves/meltCurve_Q13309_2_SKP2.pdf</v>
      </c>
    </row>
    <row r="3251" spans="1:28" x14ac:dyDescent="0.25">
      <c r="A3251" t="s">
        <v>3255</v>
      </c>
      <c r="B3251">
        <v>0.99673306730245903</v>
      </c>
      <c r="C3251">
        <v>0.93058610844800804</v>
      </c>
      <c r="D3251">
        <v>0.83950259932179605</v>
      </c>
      <c r="E3251">
        <v>0.493606211538682</v>
      </c>
      <c r="F3251">
        <v>0.16043786662190701</v>
      </c>
      <c r="G3251">
        <v>0.102255638645179</v>
      </c>
      <c r="H3251">
        <v>6.1414425146051797E-2</v>
      </c>
      <c r="I3251">
        <v>5.0201094615552701E-2</v>
      </c>
      <c r="J3251">
        <v>5.9514213595987797E-2</v>
      </c>
      <c r="K3251">
        <v>4.5392525061801997E-2</v>
      </c>
      <c r="L3251">
        <v>1133.5698532173999</v>
      </c>
      <c r="M3251">
        <v>23.054669619535598</v>
      </c>
      <c r="N3251">
        <v>49.3864545722139</v>
      </c>
      <c r="O3251">
        <v>48.803323057328697</v>
      </c>
      <c r="P3251">
        <v>-0.112396275969052</v>
      </c>
      <c r="Q3251">
        <v>4.8312506825131801E-2</v>
      </c>
      <c r="R3251">
        <v>0.99805236077169202</v>
      </c>
      <c r="S3251" t="s">
        <v>9703</v>
      </c>
      <c r="T3251" t="s">
        <v>12902</v>
      </c>
      <c r="U3251" t="s">
        <v>12902</v>
      </c>
      <c r="V3251" t="s">
        <v>12902</v>
      </c>
      <c r="W3251" t="s">
        <v>16112</v>
      </c>
      <c r="X3251">
        <v>18</v>
      </c>
      <c r="Y3251" t="s">
        <v>22443</v>
      </c>
      <c r="Z3251" t="s">
        <v>28826</v>
      </c>
      <c r="AA3251">
        <v>0.3491407689942912</v>
      </c>
      <c r="AB3251" t="str">
        <f>HYPERLINK("Melting_Curves/meltCurve_Q13310_2_PABPC4.pdf", "Melting_Curves/meltCurve_Q13310_2_PABPC4.pdf")</f>
        <v>Melting_Curves/meltCurve_Q13310_2_PABPC4.pdf</v>
      </c>
    </row>
    <row r="3252" spans="1:28" x14ac:dyDescent="0.25">
      <c r="A3252" t="s">
        <v>3256</v>
      </c>
      <c r="B3252">
        <v>0.99673306730245903</v>
      </c>
      <c r="C3252">
        <v>0.94659761295705203</v>
      </c>
      <c r="D3252">
        <v>0.97155095291404703</v>
      </c>
      <c r="E3252">
        <v>1.0904397846037801</v>
      </c>
      <c r="F3252">
        <v>0.50104597303871901</v>
      </c>
      <c r="G3252">
        <v>0.229016253821585</v>
      </c>
      <c r="H3252">
        <v>0.12471620982501801</v>
      </c>
      <c r="I3252">
        <v>8.7158104474149706E-2</v>
      </c>
      <c r="J3252">
        <v>9.0248658700251602E-2</v>
      </c>
      <c r="K3252">
        <v>8.7609839720644095E-2</v>
      </c>
      <c r="L3252">
        <v>3534.7333842044</v>
      </c>
      <c r="M3252">
        <v>66.674147935691906</v>
      </c>
      <c r="N3252">
        <v>53.235627421908802</v>
      </c>
      <c r="O3252">
        <v>52.967420069943699</v>
      </c>
      <c r="P3252">
        <v>-0.27671559994836198</v>
      </c>
      <c r="Q3252">
        <v>0.12068422793674601</v>
      </c>
      <c r="R3252">
        <v>0.98482194185274297</v>
      </c>
      <c r="S3252" t="s">
        <v>9704</v>
      </c>
      <c r="T3252" t="s">
        <v>12902</v>
      </c>
      <c r="U3252" t="s">
        <v>12902</v>
      </c>
      <c r="V3252" t="s">
        <v>12902</v>
      </c>
      <c r="W3252" t="s">
        <v>16113</v>
      </c>
      <c r="X3252">
        <v>18</v>
      </c>
      <c r="Y3252" t="s">
        <v>22444</v>
      </c>
      <c r="Z3252" t="s">
        <v>28827</v>
      </c>
      <c r="AA3252">
        <v>0.50331579420795503</v>
      </c>
      <c r="AB3252" t="str">
        <f>HYPERLINK("Melting_Curves/meltCurve_Q13315_ATM.pdf", "Melting_Curves/meltCurve_Q13315_ATM.pdf")</f>
        <v>Melting_Curves/meltCurve_Q13315_ATM.pdf</v>
      </c>
    </row>
    <row r="3253" spans="1:28" x14ac:dyDescent="0.25">
      <c r="A3253" t="s">
        <v>3257</v>
      </c>
      <c r="B3253">
        <v>0.99673306730245903</v>
      </c>
      <c r="C3253">
        <v>0.95707285628249095</v>
      </c>
      <c r="D3253">
        <v>0.49313287028870101</v>
      </c>
      <c r="E3253">
        <v>0.28082396392283199</v>
      </c>
      <c r="F3253">
        <v>0.22690170522613801</v>
      </c>
      <c r="G3253">
        <v>0.12510982770072299</v>
      </c>
      <c r="H3253">
        <v>0.10744200960815201</v>
      </c>
      <c r="I3253">
        <v>7.6101144423298794E-2</v>
      </c>
      <c r="J3253">
        <v>5.8774983460442999E-2</v>
      </c>
      <c r="K3253">
        <v>7.2781673750777598E-2</v>
      </c>
      <c r="L3253">
        <v>1100.60835941081</v>
      </c>
      <c r="M3253">
        <v>23.8508662406831</v>
      </c>
      <c r="N3253">
        <v>46.595650696624702</v>
      </c>
      <c r="O3253">
        <v>45.824686781493597</v>
      </c>
      <c r="P3253">
        <v>-0.116730776466062</v>
      </c>
      <c r="Q3253">
        <v>0.10291452257879399</v>
      </c>
      <c r="R3253">
        <v>0.978006020393002</v>
      </c>
      <c r="S3253" t="s">
        <v>9705</v>
      </c>
      <c r="T3253" t="s">
        <v>12902</v>
      </c>
      <c r="U3253" t="s">
        <v>12902</v>
      </c>
      <c r="V3253" t="s">
        <v>12902</v>
      </c>
      <c r="W3253" t="s">
        <v>16114</v>
      </c>
      <c r="X3253">
        <v>8</v>
      </c>
      <c r="Y3253" t="s">
        <v>22445</v>
      </c>
      <c r="Z3253" t="s">
        <v>28828</v>
      </c>
      <c r="AA3253">
        <v>0.29584754036798872</v>
      </c>
      <c r="AB3253" t="str">
        <f>HYPERLINK("Melting_Curves/meltCurve_Q13322_3_GRB10.pdf", "Melting_Curves/meltCurve_Q13322_3_GRB10.pdf")</f>
        <v>Melting_Curves/meltCurve_Q13322_3_GRB10.pdf</v>
      </c>
    </row>
    <row r="3254" spans="1:28" x14ac:dyDescent="0.25">
      <c r="A3254" t="s">
        <v>3258</v>
      </c>
      <c r="B3254">
        <v>0.99673306730245903</v>
      </c>
      <c r="C3254">
        <v>0.86018020155284303</v>
      </c>
      <c r="D3254">
        <v>0.68920024930075496</v>
      </c>
      <c r="E3254">
        <v>0.46511408093886097</v>
      </c>
      <c r="F3254">
        <v>0.24018099403491699</v>
      </c>
      <c r="G3254">
        <v>0.13346371834399601</v>
      </c>
      <c r="H3254">
        <v>8.0465533693990093E-2</v>
      </c>
      <c r="I3254">
        <v>7.9065171955845101E-2</v>
      </c>
      <c r="J3254">
        <v>7.7178515124201805E-2</v>
      </c>
      <c r="K3254">
        <v>7.0343796420055005E-2</v>
      </c>
      <c r="L3254">
        <v>729.37561578397697</v>
      </c>
      <c r="M3254">
        <v>15.0748525203702</v>
      </c>
      <c r="N3254">
        <v>48.749362342099502</v>
      </c>
      <c r="O3254">
        <v>47.556134993246602</v>
      </c>
      <c r="P3254">
        <v>-7.5017652774657495E-2</v>
      </c>
      <c r="Q3254">
        <v>5.34710134907396E-2</v>
      </c>
      <c r="R3254">
        <v>0.99743715993259696</v>
      </c>
      <c r="S3254" t="s">
        <v>9706</v>
      </c>
      <c r="T3254" t="s">
        <v>12902</v>
      </c>
      <c r="U3254" t="s">
        <v>12902</v>
      </c>
      <c r="V3254" t="s">
        <v>12902</v>
      </c>
      <c r="W3254" t="s">
        <v>16115</v>
      </c>
      <c r="X3254">
        <v>14</v>
      </c>
      <c r="Y3254" t="s">
        <v>22446</v>
      </c>
      <c r="Z3254" t="s">
        <v>28829</v>
      </c>
      <c r="AA3254">
        <v>0.34169263420497958</v>
      </c>
      <c r="AB3254" t="str">
        <f>HYPERLINK("Melting_Curves/meltCurve_Q13330_3_MTA1.pdf", "Melting_Curves/meltCurve_Q13330_3_MTA1.pdf")</f>
        <v>Melting_Curves/meltCurve_Q13330_3_MTA1.pdf</v>
      </c>
    </row>
    <row r="3255" spans="1:28" x14ac:dyDescent="0.25">
      <c r="A3255" t="s">
        <v>3259</v>
      </c>
      <c r="B3255">
        <v>0.99673306730245903</v>
      </c>
      <c r="C3255">
        <v>0.90676237497428103</v>
      </c>
      <c r="D3255">
        <v>0.816586938354119</v>
      </c>
      <c r="E3255">
        <v>0.55184555387385903</v>
      </c>
      <c r="F3255">
        <v>0.25819756474411898</v>
      </c>
      <c r="G3255">
        <v>0.160143329169981</v>
      </c>
      <c r="H3255">
        <v>0.119587761142293</v>
      </c>
      <c r="I3255">
        <v>0.113112174739285</v>
      </c>
      <c r="J3255">
        <v>8.6717405972083994E-2</v>
      </c>
      <c r="K3255">
        <v>7.7514008441933693E-2</v>
      </c>
      <c r="L3255">
        <v>889.85573653014796</v>
      </c>
      <c r="M3255">
        <v>17.987510843432801</v>
      </c>
      <c r="N3255">
        <v>49.962504731420303</v>
      </c>
      <c r="O3255">
        <v>48.871455356083501</v>
      </c>
      <c r="P3255">
        <v>-8.4553737121129097E-2</v>
      </c>
      <c r="Q3255">
        <v>8.1126741057064605E-2</v>
      </c>
      <c r="R3255">
        <v>0.99747714594364201</v>
      </c>
      <c r="S3255" t="s">
        <v>9707</v>
      </c>
      <c r="T3255" t="s">
        <v>12902</v>
      </c>
      <c r="U3255" t="s">
        <v>12902</v>
      </c>
      <c r="V3255" t="s">
        <v>12902</v>
      </c>
      <c r="W3255" t="s">
        <v>16116</v>
      </c>
      <c r="X3255">
        <v>16</v>
      </c>
      <c r="Y3255" t="s">
        <v>22447</v>
      </c>
      <c r="Z3255" t="s">
        <v>28830</v>
      </c>
      <c r="AA3255">
        <v>0.38701700914020909</v>
      </c>
      <c r="AB3255" t="str">
        <f>HYPERLINK("Melting_Curves/meltCurve_Q13347_EIF3I.pdf", "Melting_Curves/meltCurve_Q13347_EIF3I.pdf")</f>
        <v>Melting_Curves/meltCurve_Q13347_EIF3I.pdf</v>
      </c>
    </row>
    <row r="3256" spans="1:28" x14ac:dyDescent="0.25">
      <c r="A3256" t="s">
        <v>3260</v>
      </c>
      <c r="B3256">
        <v>0.99673306730245903</v>
      </c>
      <c r="C3256">
        <v>0.96432390806494805</v>
      </c>
      <c r="D3256">
        <v>0.84154060469651903</v>
      </c>
      <c r="E3256">
        <v>0.38010329814537303</v>
      </c>
      <c r="F3256">
        <v>0.192144178009335</v>
      </c>
      <c r="G3256">
        <v>0.12181175379334599</v>
      </c>
      <c r="H3256">
        <v>8.2819565870167297E-2</v>
      </c>
      <c r="I3256">
        <v>7.1504691844184204E-2</v>
      </c>
      <c r="J3256">
        <v>7.55844881490466E-2</v>
      </c>
      <c r="K3256">
        <v>6.8052574113857206E-2</v>
      </c>
      <c r="L3256">
        <v>1288.26370260057</v>
      </c>
      <c r="M3256">
        <v>26.583541430015899</v>
      </c>
      <c r="N3256">
        <v>48.790478011762602</v>
      </c>
      <c r="O3256">
        <v>48.189210720853801</v>
      </c>
      <c r="P3256">
        <v>-0.12658083121507199</v>
      </c>
      <c r="Q3256">
        <v>8.2174043792701101E-2</v>
      </c>
      <c r="R3256">
        <v>0.99791426488687396</v>
      </c>
      <c r="S3256" t="s">
        <v>9708</v>
      </c>
      <c r="T3256" t="s">
        <v>12902</v>
      </c>
      <c r="U3256" t="s">
        <v>12902</v>
      </c>
      <c r="V3256" t="s">
        <v>12902</v>
      </c>
      <c r="W3256" t="s">
        <v>16117</v>
      </c>
      <c r="X3256">
        <v>9</v>
      </c>
      <c r="Y3256" t="s">
        <v>22448</v>
      </c>
      <c r="Z3256" t="s">
        <v>28831</v>
      </c>
      <c r="AA3256">
        <v>0.34816601435682049</v>
      </c>
      <c r="AB3256" t="str">
        <f>HYPERLINK("Melting_Curves/meltCurve_Q13356_PPIL2.pdf", "Melting_Curves/meltCurve_Q13356_PPIL2.pdf")</f>
        <v>Melting_Curves/meltCurve_Q13356_PPIL2.pdf</v>
      </c>
    </row>
    <row r="3257" spans="1:28" x14ac:dyDescent="0.25">
      <c r="A3257" t="s">
        <v>3261</v>
      </c>
      <c r="B3257">
        <v>0.99673306730245903</v>
      </c>
      <c r="C3257">
        <v>0.95933408842544898</v>
      </c>
      <c r="D3257">
        <v>0.87636437322652805</v>
      </c>
      <c r="E3257">
        <v>0.64249408295881005</v>
      </c>
      <c r="F3257">
        <v>0.24331392862579199</v>
      </c>
      <c r="G3257">
        <v>0.15469029692421199</v>
      </c>
      <c r="H3257">
        <v>9.6550560102978106E-2</v>
      </c>
      <c r="I3257">
        <v>7.9649150111529399E-2</v>
      </c>
      <c r="J3257">
        <v>0.102145889078608</v>
      </c>
      <c r="K3257">
        <v>7.7739774661773703E-2</v>
      </c>
      <c r="L3257">
        <v>1181.02504466343</v>
      </c>
      <c r="M3257">
        <v>23.5091877140642</v>
      </c>
      <c r="N3257">
        <v>50.624345959624698</v>
      </c>
      <c r="O3257">
        <v>49.877483738357199</v>
      </c>
      <c r="P3257">
        <v>-0.108131294309738</v>
      </c>
      <c r="Q3257">
        <v>8.2363124421804906E-2</v>
      </c>
      <c r="R3257">
        <v>0.99695747704851101</v>
      </c>
      <c r="S3257" t="s">
        <v>9709</v>
      </c>
      <c r="T3257" t="s">
        <v>12902</v>
      </c>
      <c r="U3257" t="s">
        <v>12902</v>
      </c>
      <c r="V3257" t="s">
        <v>12902</v>
      </c>
      <c r="W3257" t="s">
        <v>16118</v>
      </c>
      <c r="X3257">
        <v>11</v>
      </c>
      <c r="Y3257" t="s">
        <v>22449</v>
      </c>
      <c r="Z3257" t="s">
        <v>28832</v>
      </c>
      <c r="AA3257">
        <v>0.40477775583467479</v>
      </c>
      <c r="AB3257" t="str">
        <f>HYPERLINK("Melting_Curves/meltCurve_Q13362_3_PPP2R5C.pdf", "Melting_Curves/meltCurve_Q13362_3_PPP2R5C.pdf")</f>
        <v>Melting_Curves/meltCurve_Q13362_3_PPP2R5C.pdf</v>
      </c>
    </row>
    <row r="3258" spans="1:28" x14ac:dyDescent="0.25">
      <c r="A3258" t="s">
        <v>3262</v>
      </c>
      <c r="B3258">
        <v>0.99673306730245903</v>
      </c>
      <c r="C3258">
        <v>1.00961755774465</v>
      </c>
      <c r="D3258">
        <v>1.0856657007415</v>
      </c>
      <c r="E3258">
        <v>1.04748363065275</v>
      </c>
      <c r="F3258">
        <v>1.0318717216878499</v>
      </c>
      <c r="G3258">
        <v>0.73792191709559296</v>
      </c>
      <c r="H3258">
        <v>0.40313882915772498</v>
      </c>
      <c r="I3258">
        <v>0.207353802431085</v>
      </c>
      <c r="J3258">
        <v>0.20493521582580701</v>
      </c>
      <c r="K3258">
        <v>0.173720035785148</v>
      </c>
      <c r="L3258">
        <v>1818.9019469135301</v>
      </c>
      <c r="M3258">
        <v>31.060524795967702</v>
      </c>
      <c r="N3258">
        <v>59.387250806728801</v>
      </c>
      <c r="O3258">
        <v>58.318790974638503</v>
      </c>
      <c r="P3258">
        <v>-0.109766004026361</v>
      </c>
      <c r="Q3258">
        <v>0.175624447130417</v>
      </c>
      <c r="R3258">
        <v>0.98786936435980799</v>
      </c>
      <c r="S3258" t="s">
        <v>9710</v>
      </c>
      <c r="T3258" t="s">
        <v>12902</v>
      </c>
      <c r="U3258" t="s">
        <v>12902</v>
      </c>
      <c r="V3258" t="s">
        <v>12902</v>
      </c>
      <c r="W3258" t="s">
        <v>16119</v>
      </c>
      <c r="X3258">
        <v>18</v>
      </c>
      <c r="Y3258" t="s">
        <v>22450</v>
      </c>
      <c r="Z3258" t="s">
        <v>28833</v>
      </c>
      <c r="AA3258">
        <v>0.6907035394816371</v>
      </c>
      <c r="AB3258" t="str">
        <f>HYPERLINK("Melting_Curves/meltCurve_Q13363_CTBP1.pdf", "Melting_Curves/meltCurve_Q13363_CTBP1.pdf")</f>
        <v>Melting_Curves/meltCurve_Q13363_CTBP1.pdf</v>
      </c>
    </row>
    <row r="3259" spans="1:28" x14ac:dyDescent="0.25">
      <c r="A3259" t="s">
        <v>3263</v>
      </c>
      <c r="B3259">
        <v>0.99673306730245903</v>
      </c>
      <c r="C3259">
        <v>1.01686823207689</v>
      </c>
      <c r="D3259">
        <v>0.95725960607813798</v>
      </c>
      <c r="E3259">
        <v>0.76783642286197795</v>
      </c>
      <c r="F3259">
        <v>0.32548208708611698</v>
      </c>
      <c r="G3259">
        <v>0.20439458752496401</v>
      </c>
      <c r="H3259">
        <v>0.137797252167528</v>
      </c>
      <c r="I3259">
        <v>0.17361538200253199</v>
      </c>
      <c r="J3259">
        <v>0.16101626692690299</v>
      </c>
      <c r="K3259">
        <v>0.154580158682564</v>
      </c>
      <c r="L3259">
        <v>1659.3560177427601</v>
      </c>
      <c r="M3259">
        <v>32.5272755896235</v>
      </c>
      <c r="N3259">
        <v>51.617391838709501</v>
      </c>
      <c r="O3259">
        <v>50.822634763627498</v>
      </c>
      <c r="P3259">
        <v>-0.13471001469249699</v>
      </c>
      <c r="Q3259">
        <v>0.15808681586506201</v>
      </c>
      <c r="R3259">
        <v>0.99859296542447096</v>
      </c>
      <c r="S3259" t="s">
        <v>9711</v>
      </c>
      <c r="T3259" t="s">
        <v>12902</v>
      </c>
      <c r="U3259" t="s">
        <v>12902</v>
      </c>
      <c r="V3259" t="s">
        <v>12902</v>
      </c>
      <c r="W3259" t="s">
        <v>16120</v>
      </c>
      <c r="X3259">
        <v>4</v>
      </c>
      <c r="Y3259" t="s">
        <v>22451</v>
      </c>
      <c r="Z3259" t="s">
        <v>28834</v>
      </c>
      <c r="AA3259">
        <v>0.47169100381956891</v>
      </c>
      <c r="AB3259" t="str">
        <f>HYPERLINK("Melting_Curves/meltCurve_Q13371_PDCL.pdf", "Melting_Curves/meltCurve_Q13371_PDCL.pdf")</f>
        <v>Melting_Curves/meltCurve_Q13371_PDCL.pdf</v>
      </c>
    </row>
    <row r="3260" spans="1:28" x14ac:dyDescent="0.25">
      <c r="A3260" t="s">
        <v>3264</v>
      </c>
      <c r="B3260">
        <v>0.99673306730245903</v>
      </c>
      <c r="C3260">
        <v>0.92289133523165401</v>
      </c>
      <c r="D3260">
        <v>1.0021834158990599</v>
      </c>
      <c r="E3260">
        <v>0.97377433315581396</v>
      </c>
      <c r="F3260">
        <v>0.56335646895501801</v>
      </c>
      <c r="G3260">
        <v>0.28127907962120802</v>
      </c>
      <c r="H3260">
        <v>0.14684266474709901</v>
      </c>
      <c r="I3260">
        <v>0.115914023435847</v>
      </c>
      <c r="J3260">
        <v>9.4164099607441903E-2</v>
      </c>
      <c r="K3260">
        <v>0.101293207767922</v>
      </c>
      <c r="L3260">
        <v>1575.60749115827</v>
      </c>
      <c r="M3260">
        <v>29.420118953684799</v>
      </c>
      <c r="N3260">
        <v>54.008395913044403</v>
      </c>
      <c r="O3260">
        <v>53.309846532528098</v>
      </c>
      <c r="P3260">
        <v>-0.122884821368843</v>
      </c>
      <c r="Q3260">
        <v>0.109327448147702</v>
      </c>
      <c r="R3260">
        <v>0.99263814382246096</v>
      </c>
      <c r="S3260" t="s">
        <v>9712</v>
      </c>
      <c r="T3260" t="s">
        <v>12902</v>
      </c>
      <c r="U3260" t="s">
        <v>12902</v>
      </c>
      <c r="V3260" t="s">
        <v>12902</v>
      </c>
      <c r="W3260" t="s">
        <v>16121</v>
      </c>
      <c r="X3260">
        <v>2</v>
      </c>
      <c r="Y3260" t="s">
        <v>22452</v>
      </c>
      <c r="Z3260" t="s">
        <v>28835</v>
      </c>
      <c r="AA3260">
        <v>0.51781975515058376</v>
      </c>
      <c r="AB3260" t="str">
        <f>HYPERLINK("Melting_Curves/meltCurve_Q13395_TARBP1.pdf", "Melting_Curves/meltCurve_Q13395_TARBP1.pdf")</f>
        <v>Melting_Curves/meltCurve_Q13395_TARBP1.pdf</v>
      </c>
    </row>
    <row r="3261" spans="1:28" x14ac:dyDescent="0.25">
      <c r="A3261" t="s">
        <v>3265</v>
      </c>
      <c r="B3261">
        <v>0.99673306730245903</v>
      </c>
      <c r="C3261">
        <v>0.97360056549249097</v>
      </c>
      <c r="D3261">
        <v>0.95240187660600995</v>
      </c>
      <c r="E3261">
        <v>0.81890023787801003</v>
      </c>
      <c r="F3261">
        <v>0.725472122742294</v>
      </c>
      <c r="G3261">
        <v>0.50630748337714704</v>
      </c>
      <c r="H3261">
        <v>0.32197461332296601</v>
      </c>
      <c r="I3261">
        <v>0.36488408598595201</v>
      </c>
      <c r="J3261">
        <v>0.45644844080365499</v>
      </c>
      <c r="K3261">
        <v>0.43313041793449603</v>
      </c>
      <c r="L3261">
        <v>1037.3213336061699</v>
      </c>
      <c r="M3261">
        <v>19.6620088694334</v>
      </c>
      <c r="N3261">
        <v>56.955235081366297</v>
      </c>
      <c r="O3261">
        <v>52.221009434257397</v>
      </c>
      <c r="P3261">
        <v>-5.8116471821087298E-2</v>
      </c>
      <c r="Q3261">
        <v>0.38260733279433101</v>
      </c>
      <c r="R3261">
        <v>0.96220788736575902</v>
      </c>
      <c r="S3261" t="s">
        <v>9713</v>
      </c>
      <c r="T3261" t="s">
        <v>12902</v>
      </c>
      <c r="U3261" t="s">
        <v>12902</v>
      </c>
      <c r="V3261" t="s">
        <v>12902</v>
      </c>
      <c r="W3261" t="s">
        <v>16122</v>
      </c>
      <c r="X3261">
        <v>7</v>
      </c>
      <c r="Y3261" t="s">
        <v>22453</v>
      </c>
      <c r="Z3261" t="s">
        <v>28836</v>
      </c>
      <c r="AA3261">
        <v>0.65391757222386326</v>
      </c>
      <c r="AB3261" t="str">
        <f>HYPERLINK("Melting_Curves/meltCurve_Q13405_MRPL49.pdf", "Melting_Curves/meltCurve_Q13405_MRPL49.pdf")</f>
        <v>Melting_Curves/meltCurve_Q13405_MRPL49.pdf</v>
      </c>
    </row>
    <row r="3262" spans="1:28" x14ac:dyDescent="0.25">
      <c r="A3262" t="s">
        <v>3266</v>
      </c>
      <c r="B3262">
        <v>0.99673306730245903</v>
      </c>
      <c r="C3262">
        <v>0.96149680923980196</v>
      </c>
      <c r="D3262">
        <v>1.10020149912385</v>
      </c>
      <c r="E3262">
        <v>1.22970100630665</v>
      </c>
      <c r="F3262">
        <v>1.17461687371609</v>
      </c>
      <c r="G3262">
        <v>0.90219937888553003</v>
      </c>
      <c r="H3262">
        <v>0.409408463365032</v>
      </c>
      <c r="I3262">
        <v>0.30981810917131503</v>
      </c>
      <c r="J3262">
        <v>0.31770477274570502</v>
      </c>
      <c r="K3262">
        <v>0.300794375984271</v>
      </c>
      <c r="L3262">
        <v>3245.5531104772699</v>
      </c>
      <c r="M3262">
        <v>55.206920476967497</v>
      </c>
      <c r="N3262">
        <v>59.825776519445</v>
      </c>
      <c r="O3262">
        <v>58.711874605593998</v>
      </c>
      <c r="P3262">
        <v>-0.16268479345947401</v>
      </c>
      <c r="Q3262">
        <v>0.30794713172473398</v>
      </c>
      <c r="R3262">
        <v>0.92933184914085998</v>
      </c>
      <c r="S3262" t="s">
        <v>9714</v>
      </c>
      <c r="T3262" t="s">
        <v>12902</v>
      </c>
      <c r="U3262" t="s">
        <v>12902</v>
      </c>
      <c r="V3262" t="s">
        <v>12902</v>
      </c>
      <c r="W3262" t="s">
        <v>16123</v>
      </c>
      <c r="X3262">
        <v>19</v>
      </c>
      <c r="Y3262" t="s">
        <v>22454</v>
      </c>
      <c r="Z3262" t="s">
        <v>28837</v>
      </c>
      <c r="AA3262">
        <v>0.74284242796065347</v>
      </c>
      <c r="AB3262" t="str">
        <f>HYPERLINK("Melting_Curves/meltCurve_Q13409_3_DYNC1I2.pdf", "Melting_Curves/meltCurve_Q13409_3_DYNC1I2.pdf")</f>
        <v>Melting_Curves/meltCurve_Q13409_3_DYNC1I2.pdf</v>
      </c>
    </row>
    <row r="3263" spans="1:28" x14ac:dyDescent="0.25">
      <c r="A3263" t="s">
        <v>3267</v>
      </c>
      <c r="B3263">
        <v>0.99673306730245903</v>
      </c>
      <c r="C3263">
        <v>0.88214960513816798</v>
      </c>
      <c r="D3263">
        <v>0.69646954170678299</v>
      </c>
      <c r="E3263">
        <v>0.31179763706283897</v>
      </c>
      <c r="F3263">
        <v>0.186621740667262</v>
      </c>
      <c r="G3263">
        <v>0.13931532064060301</v>
      </c>
      <c r="H3263">
        <v>0.13024708401297599</v>
      </c>
      <c r="I3263">
        <v>0.191982849785862</v>
      </c>
      <c r="J3263">
        <v>0.31835267259607503</v>
      </c>
      <c r="K3263">
        <v>0.29737455090864801</v>
      </c>
      <c r="L3263">
        <v>1355.67102140562</v>
      </c>
      <c r="M3263">
        <v>29.130013616329698</v>
      </c>
      <c r="N3263">
        <v>47.406406952155301</v>
      </c>
      <c r="O3263">
        <v>46.3209636997099</v>
      </c>
      <c r="P3263">
        <v>-0.124731349978679</v>
      </c>
      <c r="Q3263">
        <v>0.20664176721337699</v>
      </c>
      <c r="R3263">
        <v>0.95964645975636997</v>
      </c>
      <c r="S3263" t="s">
        <v>9715</v>
      </c>
      <c r="T3263" t="s">
        <v>12902</v>
      </c>
      <c r="U3263" t="s">
        <v>12902</v>
      </c>
      <c r="V3263" t="s">
        <v>12902</v>
      </c>
      <c r="W3263" t="s">
        <v>16124</v>
      </c>
      <c r="X3263">
        <v>8</v>
      </c>
      <c r="Y3263" t="s">
        <v>22455</v>
      </c>
      <c r="Z3263" t="s">
        <v>28838</v>
      </c>
      <c r="AA3263">
        <v>0.38465512669171992</v>
      </c>
      <c r="AB3263" t="str">
        <f>HYPERLINK("Melting_Curves/meltCurve_Q13416_ORC2.pdf", "Melting_Curves/meltCurve_Q13416_ORC2.pdf")</f>
        <v>Melting_Curves/meltCurve_Q13416_ORC2.pdf</v>
      </c>
    </row>
    <row r="3264" spans="1:28" x14ac:dyDescent="0.25">
      <c r="A3264" t="s">
        <v>3268</v>
      </c>
      <c r="B3264">
        <v>0.99673306730245903</v>
      </c>
      <c r="C3264">
        <v>0.84828756982193398</v>
      </c>
      <c r="D3264">
        <v>0.68126762028402998</v>
      </c>
      <c r="E3264">
        <v>0.41106813709717299</v>
      </c>
      <c r="F3264">
        <v>0.16850310084460299</v>
      </c>
      <c r="G3264">
        <v>0.11217291125911701</v>
      </c>
      <c r="H3264">
        <v>6.9634500589702206E-2</v>
      </c>
      <c r="I3264">
        <v>5.8889524702680003E-2</v>
      </c>
      <c r="J3264">
        <v>5.9577290737840599E-2</v>
      </c>
      <c r="K3264">
        <v>5.0132547738963501E-2</v>
      </c>
      <c r="L3264">
        <v>795.67565291221399</v>
      </c>
      <c r="M3264">
        <v>16.6161653464066</v>
      </c>
      <c r="N3264">
        <v>48.1512377145377</v>
      </c>
      <c r="O3264">
        <v>47.208178156074801</v>
      </c>
      <c r="P3264">
        <v>-8.4146440001336698E-2</v>
      </c>
      <c r="Q3264">
        <v>4.3790907833114998E-2</v>
      </c>
      <c r="R3264">
        <v>0.99725033840960398</v>
      </c>
      <c r="S3264" t="s">
        <v>9716</v>
      </c>
      <c r="T3264" t="s">
        <v>12902</v>
      </c>
      <c r="U3264" t="s">
        <v>12902</v>
      </c>
      <c r="V3264" t="s">
        <v>12902</v>
      </c>
      <c r="W3264" t="s">
        <v>16125</v>
      </c>
      <c r="X3264">
        <v>14</v>
      </c>
      <c r="Y3264" t="s">
        <v>22456</v>
      </c>
      <c r="Z3264" t="s">
        <v>28839</v>
      </c>
      <c r="AA3264">
        <v>0.31524386543309929</v>
      </c>
      <c r="AB3264" t="str">
        <f>HYPERLINK("Melting_Curves/meltCurve_Q13418_ILK.pdf", "Melting_Curves/meltCurve_Q13418_ILK.pdf")</f>
        <v>Melting_Curves/meltCurve_Q13418_ILK.pdf</v>
      </c>
    </row>
    <row r="3265" spans="1:28" x14ac:dyDescent="0.25">
      <c r="A3265" t="s">
        <v>3269</v>
      </c>
      <c r="B3265">
        <v>0.99673306730245903</v>
      </c>
      <c r="C3265">
        <v>0.962240514640188</v>
      </c>
      <c r="D3265">
        <v>0.73759301078015305</v>
      </c>
      <c r="E3265">
        <v>0.78013430482938895</v>
      </c>
      <c r="F3265">
        <v>0.54485619868408597</v>
      </c>
      <c r="G3265">
        <v>0.20116265963787799</v>
      </c>
      <c r="H3265">
        <v>7.5047072099669099E-2</v>
      </c>
      <c r="I3265">
        <v>6.5031754480085205E-2</v>
      </c>
      <c r="J3265">
        <v>6.8985405187918902E-2</v>
      </c>
      <c r="K3265">
        <v>6.2095906915675902E-2</v>
      </c>
      <c r="L3265">
        <v>750.97992239647294</v>
      </c>
      <c r="M3265">
        <v>14.237428098070501</v>
      </c>
      <c r="N3265">
        <v>52.746892634368798</v>
      </c>
      <c r="O3265">
        <v>51.739003577710797</v>
      </c>
      <c r="P3265">
        <v>-6.8802988896226797E-2</v>
      </c>
      <c r="Q3265">
        <v>0</v>
      </c>
      <c r="R3265">
        <v>0.969681984519419</v>
      </c>
      <c r="S3265" t="s">
        <v>9717</v>
      </c>
      <c r="T3265" t="s">
        <v>12902</v>
      </c>
      <c r="U3265" t="s">
        <v>12902</v>
      </c>
      <c r="V3265" t="s">
        <v>12902</v>
      </c>
      <c r="W3265" t="s">
        <v>16126</v>
      </c>
      <c r="X3265">
        <v>33</v>
      </c>
      <c r="Y3265" t="s">
        <v>22457</v>
      </c>
      <c r="Z3265" t="s">
        <v>28840</v>
      </c>
      <c r="AA3265">
        <v>0.44828346059886132</v>
      </c>
      <c r="AB3265" t="str">
        <f>HYPERLINK("Melting_Curves/meltCurve_Q13423_NNT.pdf", "Melting_Curves/meltCurve_Q13423_NNT.pdf")</f>
        <v>Melting_Curves/meltCurve_Q13423_NNT.pdf</v>
      </c>
    </row>
    <row r="3266" spans="1:28" x14ac:dyDescent="0.25">
      <c r="A3266" t="s">
        <v>3270</v>
      </c>
      <c r="B3266">
        <v>0.99673306730245903</v>
      </c>
      <c r="C3266">
        <v>0.93022897586004605</v>
      </c>
      <c r="D3266">
        <v>0.60185163162995803</v>
      </c>
      <c r="E3266">
        <v>0.33195178839303102</v>
      </c>
      <c r="F3266">
        <v>0.20756790187421101</v>
      </c>
      <c r="G3266">
        <v>0.143904813036247</v>
      </c>
      <c r="H3266">
        <v>7.7593667374586894E-2</v>
      </c>
      <c r="I3266">
        <v>5.9105598889767803E-2</v>
      </c>
      <c r="J3266">
        <v>6.0171042552454597E-2</v>
      </c>
      <c r="K3266">
        <v>5.8087792657008898E-2</v>
      </c>
      <c r="L3266">
        <v>886.76442868711104</v>
      </c>
      <c r="M3266">
        <v>18.790558926915999</v>
      </c>
      <c r="N3266">
        <v>47.580063909941799</v>
      </c>
      <c r="O3266">
        <v>46.667274681057201</v>
      </c>
      <c r="P3266">
        <v>-9.3515298057946505E-2</v>
      </c>
      <c r="Q3266">
        <v>7.1039370380027195E-2</v>
      </c>
      <c r="R3266">
        <v>0.992493383640077</v>
      </c>
      <c r="S3266" t="s">
        <v>9718</v>
      </c>
      <c r="T3266" t="s">
        <v>12902</v>
      </c>
      <c r="U3266" t="s">
        <v>12902</v>
      </c>
      <c r="V3266" t="s">
        <v>12902</v>
      </c>
      <c r="W3266" t="s">
        <v>16127</v>
      </c>
      <c r="X3266">
        <v>7</v>
      </c>
      <c r="Y3266" t="s">
        <v>22458</v>
      </c>
      <c r="Z3266" t="s">
        <v>28841</v>
      </c>
      <c r="AA3266">
        <v>0.30921572786257678</v>
      </c>
      <c r="AB3266" t="str">
        <f>HYPERLINK("Melting_Curves/meltCurve_Q13425_SNTB2.pdf", "Melting_Curves/meltCurve_Q13425_SNTB2.pdf")</f>
        <v>Melting_Curves/meltCurve_Q13425_SNTB2.pdf</v>
      </c>
    </row>
    <row r="3267" spans="1:28" x14ac:dyDescent="0.25">
      <c r="A3267" t="s">
        <v>3271</v>
      </c>
      <c r="B3267">
        <v>0.99673306730245903</v>
      </c>
      <c r="C3267">
        <v>1.0206556026635201</v>
      </c>
      <c r="D3267">
        <v>1.0640457787223201</v>
      </c>
      <c r="E3267">
        <v>1.38555281242005</v>
      </c>
      <c r="F3267">
        <v>1.14487026394874</v>
      </c>
      <c r="G3267">
        <v>0.96068251760238099</v>
      </c>
      <c r="H3267">
        <v>0.67403358803611402</v>
      </c>
      <c r="I3267">
        <v>0.75805122810308001</v>
      </c>
      <c r="J3267">
        <v>0.60384904010800899</v>
      </c>
      <c r="K3267">
        <v>0.31043508012955201</v>
      </c>
      <c r="L3267">
        <v>1050.12661873098</v>
      </c>
      <c r="M3267">
        <v>15.548607543745501</v>
      </c>
      <c r="N3267">
        <v>67.538309751345906</v>
      </c>
      <c r="O3267">
        <v>66.450727837756702</v>
      </c>
      <c r="P3267">
        <v>-5.8501888966714197E-2</v>
      </c>
      <c r="Q3267">
        <v>0</v>
      </c>
      <c r="R3267">
        <v>0.73767918352107897</v>
      </c>
      <c r="S3267" t="s">
        <v>9719</v>
      </c>
      <c r="T3267" t="s">
        <v>12902</v>
      </c>
      <c r="U3267" t="s">
        <v>12902</v>
      </c>
      <c r="V3267" t="s">
        <v>12902</v>
      </c>
      <c r="W3267" t="s">
        <v>16128</v>
      </c>
      <c r="X3267">
        <v>13</v>
      </c>
      <c r="Y3267" t="s">
        <v>22459</v>
      </c>
      <c r="Z3267" t="s">
        <v>28842</v>
      </c>
      <c r="AA3267">
        <v>0.86575022908575405</v>
      </c>
      <c r="AB3267" t="str">
        <f>HYPERLINK("Melting_Curves/meltCurve_Q13426_XRCC4.pdf", "Melting_Curves/meltCurve_Q13426_XRCC4.pdf")</f>
        <v>Melting_Curves/meltCurve_Q13426_XRCC4.pdf</v>
      </c>
    </row>
    <row r="3268" spans="1:28" x14ac:dyDescent="0.25">
      <c r="A3268" t="s">
        <v>3272</v>
      </c>
      <c r="B3268">
        <v>0.99673306730245903</v>
      </c>
      <c r="C3268">
        <v>0.88206033395371697</v>
      </c>
      <c r="D3268">
        <v>0.61642391924572004</v>
      </c>
      <c r="E3268">
        <v>0.36205870827686598</v>
      </c>
      <c r="F3268">
        <v>0.2831475366731</v>
      </c>
      <c r="G3268">
        <v>0.16107385953879899</v>
      </c>
      <c r="H3268">
        <v>0.100711345747206</v>
      </c>
      <c r="I3268">
        <v>0.106197724443139</v>
      </c>
      <c r="J3268">
        <v>0.147360640356931</v>
      </c>
      <c r="K3268">
        <v>0.147402055953265</v>
      </c>
      <c r="L3268">
        <v>831.23569738415597</v>
      </c>
      <c r="M3268">
        <v>17.695200975129001</v>
      </c>
      <c r="N3268">
        <v>47.762614745643297</v>
      </c>
      <c r="O3268">
        <v>46.387581831415702</v>
      </c>
      <c r="P3268">
        <v>-8.3305522143080402E-2</v>
      </c>
      <c r="Q3268">
        <v>0.12651163828565701</v>
      </c>
      <c r="R3268">
        <v>0.99102362128033805</v>
      </c>
      <c r="S3268" t="s">
        <v>9720</v>
      </c>
      <c r="T3268" t="s">
        <v>12902</v>
      </c>
      <c r="U3268" t="s">
        <v>12902</v>
      </c>
      <c r="V3268" t="s">
        <v>12902</v>
      </c>
      <c r="W3268" t="s">
        <v>16129</v>
      </c>
      <c r="X3268">
        <v>8</v>
      </c>
      <c r="Y3268" t="s">
        <v>22460</v>
      </c>
      <c r="Z3268" t="s">
        <v>28843</v>
      </c>
      <c r="AA3268">
        <v>0.34634924835230058</v>
      </c>
      <c r="AB3268" t="str">
        <f>HYPERLINK("Melting_Curves/meltCurve_Q13427_PPIG.pdf", "Melting_Curves/meltCurve_Q13427_PPIG.pdf")</f>
        <v>Melting_Curves/meltCurve_Q13427_PPIG.pdf</v>
      </c>
    </row>
    <row r="3269" spans="1:28" x14ac:dyDescent="0.25">
      <c r="A3269" t="s">
        <v>3273</v>
      </c>
      <c r="B3269">
        <v>0.99673306730245903</v>
      </c>
      <c r="C3269">
        <v>0.78750387437607305</v>
      </c>
      <c r="D3269">
        <v>1.06630167070603</v>
      </c>
      <c r="E3269">
        <v>0.92728622374578595</v>
      </c>
      <c r="F3269">
        <v>0.65534596239189802</v>
      </c>
      <c r="G3269">
        <v>0.41686855948101298</v>
      </c>
      <c r="H3269">
        <v>0.30314384481691797</v>
      </c>
      <c r="I3269">
        <v>0.29971546955839301</v>
      </c>
      <c r="J3269">
        <v>0.34396936089597901</v>
      </c>
      <c r="K3269">
        <v>0.33805546663847302</v>
      </c>
      <c r="L3269">
        <v>1647.0483928582501</v>
      </c>
      <c r="M3269">
        <v>30.969165152428101</v>
      </c>
      <c r="N3269">
        <v>54.991755805224599</v>
      </c>
      <c r="O3269">
        <v>52.963208556846801</v>
      </c>
      <c r="P3269">
        <v>-9.9491645970793505E-2</v>
      </c>
      <c r="Q3269">
        <v>0.31940468765024499</v>
      </c>
      <c r="R3269">
        <v>0.93900771157396601</v>
      </c>
      <c r="S3269" t="s">
        <v>9721</v>
      </c>
      <c r="T3269" t="s">
        <v>12902</v>
      </c>
      <c r="U3269" t="s">
        <v>12902</v>
      </c>
      <c r="V3269" t="s">
        <v>12902</v>
      </c>
      <c r="W3269" t="s">
        <v>16130</v>
      </c>
      <c r="X3269">
        <v>36</v>
      </c>
      <c r="Y3269" t="s">
        <v>22461</v>
      </c>
      <c r="Z3269" t="s">
        <v>28844</v>
      </c>
      <c r="AA3269">
        <v>0.62264979821762279</v>
      </c>
      <c r="AB3269" t="str">
        <f>HYPERLINK("Melting_Curves/meltCurve_Q13428_3_TCOF1.pdf", "Melting_Curves/meltCurve_Q13428_3_TCOF1.pdf")</f>
        <v>Melting_Curves/meltCurve_Q13428_3_TCOF1.pdf</v>
      </c>
    </row>
    <row r="3270" spans="1:28" x14ac:dyDescent="0.25">
      <c r="A3270" t="s">
        <v>3274</v>
      </c>
      <c r="B3270">
        <v>0.99673306730245903</v>
      </c>
      <c r="C3270">
        <v>1.0039587330706301</v>
      </c>
      <c r="D3270">
        <v>0.77957385245066801</v>
      </c>
      <c r="E3270">
        <v>0.41817346403190098</v>
      </c>
      <c r="F3270">
        <v>0.178679123327498</v>
      </c>
      <c r="G3270">
        <v>0.13843033269621599</v>
      </c>
      <c r="H3270">
        <v>9.4636332043004701E-2</v>
      </c>
      <c r="I3270">
        <v>8.6153426363191496E-2</v>
      </c>
      <c r="J3270">
        <v>9.18160994786342E-2</v>
      </c>
      <c r="K3270">
        <v>6.9193941980177198E-2</v>
      </c>
      <c r="L3270">
        <v>1161.48870134238</v>
      </c>
      <c r="M3270">
        <v>23.999616949543</v>
      </c>
      <c r="N3270">
        <v>48.790155867095002</v>
      </c>
      <c r="O3270">
        <v>48.063861182408203</v>
      </c>
      <c r="P3270">
        <v>-0.113836543074109</v>
      </c>
      <c r="Q3270">
        <v>8.8095560261445896E-2</v>
      </c>
      <c r="R3270">
        <v>0.99759514663022897</v>
      </c>
      <c r="S3270" t="s">
        <v>9722</v>
      </c>
      <c r="T3270" t="s">
        <v>12902</v>
      </c>
      <c r="U3270" t="s">
        <v>12902</v>
      </c>
      <c r="V3270" t="s">
        <v>12902</v>
      </c>
      <c r="W3270" t="s">
        <v>16131</v>
      </c>
      <c r="X3270">
        <v>3</v>
      </c>
      <c r="Y3270" t="s">
        <v>22462</v>
      </c>
      <c r="Z3270" t="s">
        <v>28845</v>
      </c>
      <c r="AA3270">
        <v>0.35209197126565561</v>
      </c>
      <c r="AB3270" t="str">
        <f>HYPERLINK("Melting_Curves/meltCurve_Q13432_2_UNC119.pdf", "Melting_Curves/meltCurve_Q13432_2_UNC119.pdf")</f>
        <v>Melting_Curves/meltCurve_Q13432_2_UNC119.pdf</v>
      </c>
    </row>
    <row r="3271" spans="1:28" x14ac:dyDescent="0.25">
      <c r="A3271" t="s">
        <v>3275</v>
      </c>
      <c r="B3271">
        <v>0.99673306730245903</v>
      </c>
      <c r="C3271">
        <v>0.81979053459650997</v>
      </c>
      <c r="D3271">
        <v>0.80487295519720903</v>
      </c>
      <c r="E3271">
        <v>0.67981074939889796</v>
      </c>
      <c r="F3271">
        <v>0.71853525618605496</v>
      </c>
      <c r="G3271">
        <v>0.48024686021139401</v>
      </c>
      <c r="H3271">
        <v>0.448954479390482</v>
      </c>
      <c r="I3271">
        <v>0.63046922700626795</v>
      </c>
      <c r="J3271">
        <v>0.71140401772025996</v>
      </c>
      <c r="K3271">
        <v>0.67658408955790095</v>
      </c>
      <c r="L3271">
        <v>727.29678870417695</v>
      </c>
      <c r="M3271">
        <v>16.1127062729838</v>
      </c>
      <c r="O3271">
        <v>44.459985857360699</v>
      </c>
      <c r="P3271">
        <v>-3.6029944865165198E-2</v>
      </c>
      <c r="Q3271">
        <v>0.602358884511906</v>
      </c>
      <c r="R3271">
        <v>0.67528537892553198</v>
      </c>
      <c r="S3271" t="s">
        <v>9723</v>
      </c>
      <c r="T3271" t="s">
        <v>12902</v>
      </c>
      <c r="U3271" t="s">
        <v>12902</v>
      </c>
      <c r="V3271" t="s">
        <v>12902</v>
      </c>
      <c r="W3271" t="s">
        <v>16132</v>
      </c>
      <c r="X3271">
        <v>3</v>
      </c>
      <c r="Y3271" t="s">
        <v>22463</v>
      </c>
      <c r="Z3271" t="s">
        <v>28846</v>
      </c>
      <c r="AA3271">
        <v>0.68126363201090523</v>
      </c>
      <c r="AB3271" t="str">
        <f>HYPERLINK("Melting_Curves/meltCurve_Q13433_SLC39A6.pdf", "Melting_Curves/meltCurve_Q13433_SLC39A6.pdf")</f>
        <v>Melting_Curves/meltCurve_Q13433_SLC39A6.pdf</v>
      </c>
    </row>
    <row r="3272" spans="1:28" x14ac:dyDescent="0.25">
      <c r="A3272" t="s">
        <v>3276</v>
      </c>
      <c r="B3272">
        <v>0.99673306730245903</v>
      </c>
      <c r="C3272">
        <v>0.91021193831875002</v>
      </c>
      <c r="D3272">
        <v>0.87217430949114105</v>
      </c>
      <c r="E3272">
        <v>0.807363862617133</v>
      </c>
      <c r="F3272">
        <v>0.59518893942442397</v>
      </c>
      <c r="G3272">
        <v>0.38374653827128502</v>
      </c>
      <c r="H3272">
        <v>0.27999862182431001</v>
      </c>
      <c r="I3272">
        <v>0.37315956447869703</v>
      </c>
      <c r="J3272">
        <v>0.70553483413028795</v>
      </c>
      <c r="K3272">
        <v>1.0599412203057199</v>
      </c>
      <c r="L3272">
        <v>1304.6715619532799</v>
      </c>
      <c r="M3272">
        <v>26.704553692011199</v>
      </c>
      <c r="O3272">
        <v>48.584290872845799</v>
      </c>
      <c r="P3272">
        <v>-6.0074402957593302E-2</v>
      </c>
      <c r="Q3272">
        <v>0.562824990451679</v>
      </c>
      <c r="R3272">
        <v>0.37575304466941001</v>
      </c>
      <c r="S3272" t="s">
        <v>9724</v>
      </c>
      <c r="T3272" t="s">
        <v>12902</v>
      </c>
      <c r="U3272" t="s">
        <v>12902</v>
      </c>
      <c r="V3272" t="s">
        <v>12902</v>
      </c>
      <c r="W3272" t="s">
        <v>16133</v>
      </c>
      <c r="X3272">
        <v>27</v>
      </c>
      <c r="Y3272" t="s">
        <v>19822</v>
      </c>
      <c r="Z3272" t="s">
        <v>28847</v>
      </c>
      <c r="AA3272">
        <v>0.6952529787875914</v>
      </c>
      <c r="AB3272" t="str">
        <f>HYPERLINK("Melting_Curves/meltCurve_Q13435_SF3B2.pdf", "Melting_Curves/meltCurve_Q13435_SF3B2.pdf")</f>
        <v>Melting_Curves/meltCurve_Q13435_SF3B2.pdf</v>
      </c>
    </row>
    <row r="3273" spans="1:28" x14ac:dyDescent="0.25">
      <c r="A3273" t="s">
        <v>3277</v>
      </c>
      <c r="B3273">
        <v>0.99673306730245903</v>
      </c>
      <c r="C3273">
        <v>0.93138198376215997</v>
      </c>
      <c r="D3273">
        <v>0.89698502984878603</v>
      </c>
      <c r="E3273">
        <v>0.70388710134140298</v>
      </c>
      <c r="F3273">
        <v>0.43315798296879299</v>
      </c>
      <c r="G3273">
        <v>0.26549508267704902</v>
      </c>
      <c r="H3273">
        <v>0.2172291840459</v>
      </c>
      <c r="I3273">
        <v>0.20428212212374999</v>
      </c>
      <c r="J3273">
        <v>0.21740940737564499</v>
      </c>
      <c r="K3273">
        <v>0.163822613915655</v>
      </c>
      <c r="L3273">
        <v>940.65874099711402</v>
      </c>
      <c r="M3273">
        <v>18.476327550295199</v>
      </c>
      <c r="N3273">
        <v>52.165658994729597</v>
      </c>
      <c r="O3273">
        <v>50.326419515392601</v>
      </c>
      <c r="P3273">
        <v>-7.5326856340071899E-2</v>
      </c>
      <c r="Q3273">
        <v>0.179325745804056</v>
      </c>
      <c r="R3273">
        <v>0.99637042287334499</v>
      </c>
      <c r="S3273" t="s">
        <v>9725</v>
      </c>
      <c r="T3273" t="s">
        <v>12902</v>
      </c>
      <c r="U3273" t="s">
        <v>12902</v>
      </c>
      <c r="V3273" t="s">
        <v>12902</v>
      </c>
      <c r="W3273" t="s">
        <v>16134</v>
      </c>
      <c r="X3273">
        <v>8</v>
      </c>
      <c r="Y3273" t="s">
        <v>22464</v>
      </c>
      <c r="Z3273" t="s">
        <v>28848</v>
      </c>
      <c r="AA3273">
        <v>0.49101951701623842</v>
      </c>
      <c r="AB3273" t="str">
        <f>HYPERLINK("Melting_Curves/meltCurve_Q13438_4_OS9.pdf", "Melting_Curves/meltCurve_Q13438_4_OS9.pdf")</f>
        <v>Melting_Curves/meltCurve_Q13438_4_OS9.pdf</v>
      </c>
    </row>
    <row r="3274" spans="1:28" x14ac:dyDescent="0.25">
      <c r="A3274" t="s">
        <v>3278</v>
      </c>
      <c r="B3274">
        <v>0.99673306730245903</v>
      </c>
      <c r="C3274">
        <v>0.73717889160148198</v>
      </c>
      <c r="D3274">
        <v>0.30631162547365598</v>
      </c>
      <c r="E3274">
        <v>0.214516591754462</v>
      </c>
      <c r="F3274">
        <v>0.18799213257585401</v>
      </c>
      <c r="G3274">
        <v>9.2394080792080904E-2</v>
      </c>
      <c r="H3274">
        <v>6.3613726242352495E-2</v>
      </c>
      <c r="I3274">
        <v>6.2569722667599803E-2</v>
      </c>
      <c r="J3274">
        <v>7.8080115506122705E-2</v>
      </c>
      <c r="K3274">
        <v>6.97220424096614E-2</v>
      </c>
      <c r="L3274">
        <v>1190.4228306964401</v>
      </c>
      <c r="M3274">
        <v>26.869562204116001</v>
      </c>
      <c r="N3274">
        <v>44.6626533597438</v>
      </c>
      <c r="O3274">
        <v>44.060560495942902</v>
      </c>
      <c r="P3274">
        <v>-0.13765672859230599</v>
      </c>
      <c r="Q3274">
        <v>9.7094328331678706E-2</v>
      </c>
      <c r="R3274">
        <v>0.98101988062637901</v>
      </c>
      <c r="S3274" t="s">
        <v>9726</v>
      </c>
      <c r="T3274" t="s">
        <v>12902</v>
      </c>
      <c r="U3274" t="s">
        <v>12902</v>
      </c>
      <c r="V3274" t="s">
        <v>12902</v>
      </c>
      <c r="W3274" t="s">
        <v>16135</v>
      </c>
      <c r="X3274">
        <v>52</v>
      </c>
      <c r="Y3274" t="s">
        <v>22465</v>
      </c>
      <c r="Z3274" t="s">
        <v>28849</v>
      </c>
      <c r="AA3274">
        <v>0.2348648386380488</v>
      </c>
      <c r="AB3274" t="str">
        <f>HYPERLINK("Melting_Curves/meltCurve_Q13439_3_GOLGA4.pdf", "Melting_Curves/meltCurve_Q13439_3_GOLGA4.pdf")</f>
        <v>Melting_Curves/meltCurve_Q13439_3_GOLGA4.pdf</v>
      </c>
    </row>
    <row r="3275" spans="1:28" x14ac:dyDescent="0.25">
      <c r="A3275" t="s">
        <v>3279</v>
      </c>
      <c r="B3275">
        <v>0.99673306730245903</v>
      </c>
      <c r="C3275">
        <v>1.0352623335501701</v>
      </c>
      <c r="D3275">
        <v>1.0271802388301401</v>
      </c>
      <c r="E3275">
        <v>0.98818384661257996</v>
      </c>
      <c r="F3275">
        <v>1.2838245261007599</v>
      </c>
      <c r="G3275">
        <v>1.5975191119267</v>
      </c>
      <c r="H3275">
        <v>1.64059639852122</v>
      </c>
      <c r="I3275">
        <v>1.8701823768179799</v>
      </c>
      <c r="J3275">
        <v>4.03387741827816</v>
      </c>
      <c r="K3275">
        <v>3.6238358698877602</v>
      </c>
      <c r="L3275">
        <v>13285.515447400299</v>
      </c>
      <c r="M3275">
        <v>250</v>
      </c>
      <c r="O3275">
        <v>53.138666493499699</v>
      </c>
      <c r="P3275">
        <v>0.58808406937546798</v>
      </c>
      <c r="Q3275">
        <v>1.5</v>
      </c>
      <c r="R3275">
        <v>3.6006613954749898E-3</v>
      </c>
      <c r="S3275" t="s">
        <v>9727</v>
      </c>
      <c r="T3275" t="s">
        <v>12902</v>
      </c>
      <c r="U3275" t="s">
        <v>12902</v>
      </c>
      <c r="V3275" t="s">
        <v>12902</v>
      </c>
      <c r="W3275" t="s">
        <v>16136</v>
      </c>
      <c r="X3275">
        <v>19</v>
      </c>
      <c r="Y3275" t="s">
        <v>22466</v>
      </c>
      <c r="Z3275" t="s">
        <v>28850</v>
      </c>
      <c r="AA3275">
        <v>1.280919005094296</v>
      </c>
      <c r="AB3275" t="str">
        <f>HYPERLINK("Melting_Curves/meltCurve_Q13442_PDAP1.pdf", "Melting_Curves/meltCurve_Q13442_PDAP1.pdf")</f>
        <v>Melting_Curves/meltCurve_Q13442_PDAP1.pdf</v>
      </c>
    </row>
    <row r="3276" spans="1:28" x14ac:dyDescent="0.25">
      <c r="A3276" t="s">
        <v>3280</v>
      </c>
      <c r="B3276">
        <v>0.99673306730245903</v>
      </c>
      <c r="C3276">
        <v>0.94454063823076395</v>
      </c>
      <c r="D3276">
        <v>0.97743530439569404</v>
      </c>
      <c r="E3276">
        <v>0.80515977070268996</v>
      </c>
      <c r="F3276">
        <v>0.65881538498255698</v>
      </c>
      <c r="G3276">
        <v>0.54807199273896001</v>
      </c>
      <c r="H3276">
        <v>0.34005952933594202</v>
      </c>
      <c r="I3276">
        <v>0.22863604478557101</v>
      </c>
      <c r="J3276">
        <v>0.19229047505666899</v>
      </c>
      <c r="K3276">
        <v>0.158229152710573</v>
      </c>
      <c r="L3276">
        <v>624.06127035424299</v>
      </c>
      <c r="M3276">
        <v>11.0504595474303</v>
      </c>
      <c r="N3276">
        <v>56.996337789592602</v>
      </c>
      <c r="O3276">
        <v>54.718934085391503</v>
      </c>
      <c r="P3276">
        <v>-4.8071174554805002E-2</v>
      </c>
      <c r="Q3276">
        <v>4.81728750823779E-2</v>
      </c>
      <c r="R3276">
        <v>0.99372326654575505</v>
      </c>
      <c r="S3276" t="s">
        <v>9728</v>
      </c>
      <c r="T3276" t="s">
        <v>12902</v>
      </c>
      <c r="U3276" t="s">
        <v>12902</v>
      </c>
      <c r="V3276" t="s">
        <v>12902</v>
      </c>
      <c r="W3276" t="s">
        <v>16137</v>
      </c>
      <c r="X3276">
        <v>20</v>
      </c>
      <c r="Y3276" t="s">
        <v>22467</v>
      </c>
      <c r="Z3276" t="s">
        <v>28851</v>
      </c>
      <c r="AA3276">
        <v>0.58886131847199363</v>
      </c>
      <c r="AB3276" t="str">
        <f>HYPERLINK("Melting_Curves/meltCurve_Q13443_ADAM9.pdf", "Melting_Curves/meltCurve_Q13443_ADAM9.pdf")</f>
        <v>Melting_Curves/meltCurve_Q13443_ADAM9.pdf</v>
      </c>
    </row>
    <row r="3277" spans="1:28" x14ac:dyDescent="0.25">
      <c r="A3277" t="s">
        <v>3281</v>
      </c>
      <c r="B3277">
        <v>0.99673306730245903</v>
      </c>
      <c r="C3277">
        <v>0.94043821946696504</v>
      </c>
      <c r="D3277">
        <v>0.87643890696281501</v>
      </c>
      <c r="E3277">
        <v>0.78130176593132805</v>
      </c>
      <c r="F3277">
        <v>0.55412493507832306</v>
      </c>
      <c r="G3277">
        <v>0.36689997068777702</v>
      </c>
      <c r="H3277">
        <v>0.14660881863245501</v>
      </c>
      <c r="I3277">
        <v>0.13227983604622301</v>
      </c>
      <c r="J3277">
        <v>0.159044417816256</v>
      </c>
      <c r="K3277">
        <v>0.142604662860606</v>
      </c>
      <c r="L3277">
        <v>784.60488963684804</v>
      </c>
      <c r="M3277">
        <v>14.7665557946712</v>
      </c>
      <c r="N3277">
        <v>53.850373490139297</v>
      </c>
      <c r="O3277">
        <v>52.187996462548597</v>
      </c>
      <c r="P3277">
        <v>-6.4435568354404907E-2</v>
      </c>
      <c r="Q3277">
        <v>8.9184495498442706E-2</v>
      </c>
      <c r="R3277">
        <v>0.99127570641955998</v>
      </c>
      <c r="S3277" t="s">
        <v>9729</v>
      </c>
      <c r="T3277" t="s">
        <v>12902</v>
      </c>
      <c r="U3277" t="s">
        <v>12902</v>
      </c>
      <c r="V3277" t="s">
        <v>12902</v>
      </c>
      <c r="W3277" t="s">
        <v>16138</v>
      </c>
      <c r="X3277">
        <v>4</v>
      </c>
      <c r="Y3277" t="s">
        <v>22468</v>
      </c>
      <c r="Z3277" t="s">
        <v>28852</v>
      </c>
      <c r="AA3277">
        <v>0.50784545593235819</v>
      </c>
      <c r="AB3277" t="str">
        <f>HYPERLINK("Melting_Curves/meltCurve_Q13445_TMED1.pdf", "Melting_Curves/meltCurve_Q13445_TMED1.pdf")</f>
        <v>Melting_Curves/meltCurve_Q13445_TMED1.pdf</v>
      </c>
    </row>
    <row r="3278" spans="1:28" x14ac:dyDescent="0.25">
      <c r="A3278" t="s">
        <v>3282</v>
      </c>
      <c r="B3278">
        <v>0.99673306730245903</v>
      </c>
      <c r="C3278">
        <v>0.90988605695271296</v>
      </c>
      <c r="D3278">
        <v>0.483628942042237</v>
      </c>
      <c r="E3278">
        <v>0.27454058042854701</v>
      </c>
      <c r="F3278">
        <v>0.19841592592340501</v>
      </c>
      <c r="G3278">
        <v>0.125881207581726</v>
      </c>
      <c r="H3278">
        <v>8.6355118783505602E-2</v>
      </c>
      <c r="I3278">
        <v>8.0587747262910403E-2</v>
      </c>
      <c r="J3278">
        <v>9.1473146164961203E-2</v>
      </c>
      <c r="K3278">
        <v>7.3815818888712706E-2</v>
      </c>
      <c r="L3278">
        <v>1066.3830046824</v>
      </c>
      <c r="M3278">
        <v>23.2116026102366</v>
      </c>
      <c r="N3278">
        <v>46.396873915982503</v>
      </c>
      <c r="O3278">
        <v>45.604881099149601</v>
      </c>
      <c r="P3278">
        <v>-0.114291274768136</v>
      </c>
      <c r="Q3278">
        <v>0.101803205778199</v>
      </c>
      <c r="R3278">
        <v>0.98725193930524602</v>
      </c>
      <c r="S3278" t="s">
        <v>9730</v>
      </c>
      <c r="T3278" t="s">
        <v>12902</v>
      </c>
      <c r="U3278" t="s">
        <v>12902</v>
      </c>
      <c r="V3278" t="s">
        <v>12902</v>
      </c>
      <c r="W3278" t="s">
        <v>16139</v>
      </c>
      <c r="X3278">
        <v>18</v>
      </c>
      <c r="Y3278" t="s">
        <v>22469</v>
      </c>
      <c r="Z3278" t="s">
        <v>28853</v>
      </c>
      <c r="AA3278">
        <v>0.28958451829946391</v>
      </c>
      <c r="AB3278" t="str">
        <f>HYPERLINK("Melting_Curves/meltCurve_Q13451_FKBP5.pdf", "Melting_Curves/meltCurve_Q13451_FKBP5.pdf")</f>
        <v>Melting_Curves/meltCurve_Q13451_FKBP5.pdf</v>
      </c>
    </row>
    <row r="3279" spans="1:28" x14ac:dyDescent="0.25">
      <c r="A3279" t="s">
        <v>3283</v>
      </c>
      <c r="B3279">
        <v>0.99673306730245903</v>
      </c>
      <c r="C3279">
        <v>0.70873605334765799</v>
      </c>
      <c r="D3279">
        <v>1.00407235863883</v>
      </c>
      <c r="E3279">
        <v>0.63669546026415902</v>
      </c>
      <c r="F3279">
        <v>0.19583220944695601</v>
      </c>
      <c r="G3279">
        <v>0.13538480426628599</v>
      </c>
      <c r="H3279">
        <v>8.6473960164783495E-2</v>
      </c>
      <c r="I3279">
        <v>8.4450742613438906E-2</v>
      </c>
      <c r="J3279">
        <v>0.11351761635488999</v>
      </c>
      <c r="K3279">
        <v>0.14966587829137601</v>
      </c>
      <c r="L3279">
        <v>1919.2637974530501</v>
      </c>
      <c r="M3279">
        <v>38.315406084637303</v>
      </c>
      <c r="N3279">
        <v>50.422963522064002</v>
      </c>
      <c r="O3279">
        <v>49.955314029874799</v>
      </c>
      <c r="P3279">
        <v>-0.17038361274910799</v>
      </c>
      <c r="Q3279">
        <v>0.111423158587368</v>
      </c>
      <c r="R3279">
        <v>0.93348243142739296</v>
      </c>
      <c r="S3279" t="s">
        <v>9731</v>
      </c>
      <c r="T3279" t="s">
        <v>12902</v>
      </c>
      <c r="U3279" t="s">
        <v>12902</v>
      </c>
      <c r="V3279" t="s">
        <v>12902</v>
      </c>
      <c r="W3279" t="s">
        <v>16140</v>
      </c>
      <c r="X3279">
        <v>27</v>
      </c>
      <c r="Y3279" t="s">
        <v>22470</v>
      </c>
      <c r="Z3279" t="s">
        <v>28854</v>
      </c>
      <c r="AA3279">
        <v>0.4136728218057133</v>
      </c>
      <c r="AB3279" t="str">
        <f>HYPERLINK("Melting_Curves/meltCurve_Q13464_ROCK1.pdf", "Melting_Curves/meltCurve_Q13464_ROCK1.pdf")</f>
        <v>Melting_Curves/meltCurve_Q13464_ROCK1.pdf</v>
      </c>
    </row>
    <row r="3280" spans="1:28" x14ac:dyDescent="0.25">
      <c r="A3280" t="s">
        <v>3284</v>
      </c>
      <c r="B3280">
        <v>0.99673306730245903</v>
      </c>
      <c r="C3280">
        <v>0.937497693970061</v>
      </c>
      <c r="D3280">
        <v>0.78701603820465804</v>
      </c>
      <c r="E3280">
        <v>0.56011700128146802</v>
      </c>
      <c r="F3280">
        <v>0.41313517507754399</v>
      </c>
      <c r="G3280">
        <v>0.18795389485546299</v>
      </c>
      <c r="H3280">
        <v>4.7363949236056399E-2</v>
      </c>
      <c r="I3280">
        <v>4.4687609962895697E-2</v>
      </c>
      <c r="J3280">
        <v>4.14159544083334E-2</v>
      </c>
      <c r="K3280">
        <v>3.6981648180543399E-2</v>
      </c>
      <c r="L3280">
        <v>692.98796100937</v>
      </c>
      <c r="M3280">
        <v>13.627236723734701</v>
      </c>
      <c r="N3280">
        <v>50.853152427956303</v>
      </c>
      <c r="O3280">
        <v>49.7955648422557</v>
      </c>
      <c r="P3280">
        <v>-6.84260010876028E-2</v>
      </c>
      <c r="Q3280">
        <v>0</v>
      </c>
      <c r="R3280">
        <v>0.99417273205694301</v>
      </c>
      <c r="S3280" t="s">
        <v>9732</v>
      </c>
      <c r="T3280" t="s">
        <v>12902</v>
      </c>
      <c r="U3280" t="s">
        <v>12902</v>
      </c>
      <c r="V3280" t="s">
        <v>12902</v>
      </c>
      <c r="W3280" t="s">
        <v>16141</v>
      </c>
      <c r="X3280">
        <v>1</v>
      </c>
      <c r="Y3280" t="s">
        <v>22471</v>
      </c>
      <c r="Z3280" t="s">
        <v>28855</v>
      </c>
      <c r="AA3280">
        <v>0.38890612967869032</v>
      </c>
      <c r="AB3280" t="str">
        <f>HYPERLINK("Melting_Curves/meltCurve_Q13488_TCIRG1.pdf", "Melting_Curves/meltCurve_Q13488_TCIRG1.pdf")</f>
        <v>Melting_Curves/meltCurve_Q13488_TCIRG1.pdf</v>
      </c>
    </row>
    <row r="3281" spans="1:28" x14ac:dyDescent="0.25">
      <c r="A3281" t="s">
        <v>3285</v>
      </c>
      <c r="B3281">
        <v>0.99673306730245903</v>
      </c>
      <c r="C3281">
        <v>0.96385706683714201</v>
      </c>
      <c r="D3281">
        <v>0.97848603235236697</v>
      </c>
      <c r="E3281">
        <v>0.95204883855482303</v>
      </c>
      <c r="F3281">
        <v>0.58898509128799104</v>
      </c>
      <c r="G3281">
        <v>0.16992101730593301</v>
      </c>
      <c r="H3281">
        <v>0.104952118241856</v>
      </c>
      <c r="I3281">
        <v>0.104470106031384</v>
      </c>
      <c r="J3281">
        <v>0.12681711627523701</v>
      </c>
      <c r="K3281">
        <v>0.13289853959786399</v>
      </c>
      <c r="L3281">
        <v>2265.8303493498802</v>
      </c>
      <c r="M3281">
        <v>42.467274046604899</v>
      </c>
      <c r="N3281">
        <v>53.683665837288999</v>
      </c>
      <c r="O3281">
        <v>53.236838430339503</v>
      </c>
      <c r="P3281">
        <v>-0.17658172236196601</v>
      </c>
      <c r="Q3281">
        <v>0.114552343035904</v>
      </c>
      <c r="R3281">
        <v>0.99824339261990902</v>
      </c>
      <c r="S3281" t="s">
        <v>9733</v>
      </c>
      <c r="T3281" t="s">
        <v>12902</v>
      </c>
      <c r="U3281" t="s">
        <v>12902</v>
      </c>
      <c r="V3281" t="s">
        <v>12902</v>
      </c>
      <c r="W3281" t="s">
        <v>16142</v>
      </c>
      <c r="X3281">
        <v>15</v>
      </c>
      <c r="Y3281" t="s">
        <v>22472</v>
      </c>
      <c r="Z3281" t="s">
        <v>28856</v>
      </c>
      <c r="AA3281">
        <v>0.51160871168688438</v>
      </c>
      <c r="AB3281" t="str">
        <f>HYPERLINK("Melting_Curves/meltCurve_Q13492_2_PICALM.pdf", "Melting_Curves/meltCurve_Q13492_2_PICALM.pdf")</f>
        <v>Melting_Curves/meltCurve_Q13492_2_PICALM.pdf</v>
      </c>
    </row>
    <row r="3282" spans="1:28" x14ac:dyDescent="0.25">
      <c r="A3282" t="s">
        <v>3286</v>
      </c>
      <c r="B3282">
        <v>0.99673306730245903</v>
      </c>
      <c r="C3282">
        <v>0.95313185569790904</v>
      </c>
      <c r="D3282">
        <v>0.998503417855645</v>
      </c>
      <c r="E3282">
        <v>1.05050717230181</v>
      </c>
      <c r="F3282">
        <v>0.80970553759115005</v>
      </c>
      <c r="G3282">
        <v>0.71988112875233301</v>
      </c>
      <c r="H3282">
        <v>0.43035775102680401</v>
      </c>
      <c r="I3282">
        <v>0.16481332966296799</v>
      </c>
      <c r="J3282">
        <v>0.16224958115885299</v>
      </c>
      <c r="K3282">
        <v>0.12709678125627599</v>
      </c>
      <c r="L3282">
        <v>1119.48909320246</v>
      </c>
      <c r="M3282">
        <v>19.008162293172401</v>
      </c>
      <c r="N3282">
        <v>59.324595255745699</v>
      </c>
      <c r="O3282">
        <v>58.254940376785299</v>
      </c>
      <c r="P3282">
        <v>-7.6333461706544106E-2</v>
      </c>
      <c r="Q3282">
        <v>6.4270552502220996E-2</v>
      </c>
      <c r="R3282">
        <v>0.983362231264576</v>
      </c>
      <c r="S3282" t="s">
        <v>9734</v>
      </c>
      <c r="T3282" t="s">
        <v>12902</v>
      </c>
      <c r="U3282" t="s">
        <v>12902</v>
      </c>
      <c r="V3282" t="s">
        <v>12902</v>
      </c>
      <c r="W3282" t="s">
        <v>16143</v>
      </c>
      <c r="X3282">
        <v>8</v>
      </c>
      <c r="Y3282" t="s">
        <v>22473</v>
      </c>
      <c r="Z3282" t="s">
        <v>28857</v>
      </c>
      <c r="AA3282">
        <v>0.66349121302400627</v>
      </c>
      <c r="AB3282" t="str">
        <f>HYPERLINK("Melting_Curves/meltCurve_Q13496_MTM1.pdf", "Melting_Curves/meltCurve_Q13496_MTM1.pdf")</f>
        <v>Melting_Curves/meltCurve_Q13496_MTM1.pdf</v>
      </c>
    </row>
    <row r="3283" spans="1:28" x14ac:dyDescent="0.25">
      <c r="A3283" t="s">
        <v>3287</v>
      </c>
      <c r="B3283">
        <v>0.99673306730245903</v>
      </c>
      <c r="C3283">
        <v>0.98231196117807995</v>
      </c>
      <c r="D3283">
        <v>1.0095142079548101</v>
      </c>
      <c r="E3283">
        <v>0.95842123199307505</v>
      </c>
      <c r="F3283">
        <v>0.44849266372073199</v>
      </c>
      <c r="G3283">
        <v>0.29430448921406999</v>
      </c>
      <c r="H3283">
        <v>0.170371530814487</v>
      </c>
      <c r="I3283">
        <v>0.183217314367661</v>
      </c>
      <c r="J3283">
        <v>0.240479927829896</v>
      </c>
      <c r="K3283">
        <v>0.214254861028389</v>
      </c>
      <c r="L3283">
        <v>2438.9743939936602</v>
      </c>
      <c r="M3283">
        <v>46.635400813691703</v>
      </c>
      <c r="N3283">
        <v>52.936192718643902</v>
      </c>
      <c r="O3283">
        <v>52.202882412699203</v>
      </c>
      <c r="P3283">
        <v>-0.17535638669238299</v>
      </c>
      <c r="Q3283">
        <v>0.21483693727584</v>
      </c>
      <c r="R3283">
        <v>0.99380215741372802</v>
      </c>
      <c r="S3283" t="s">
        <v>9735</v>
      </c>
      <c r="T3283" t="s">
        <v>12902</v>
      </c>
      <c r="U3283" t="s">
        <v>12902</v>
      </c>
      <c r="V3283" t="s">
        <v>12902</v>
      </c>
      <c r="W3283" t="s">
        <v>16144</v>
      </c>
      <c r="X3283">
        <v>8</v>
      </c>
      <c r="Y3283" t="s">
        <v>22474</v>
      </c>
      <c r="Z3283" t="s">
        <v>28858</v>
      </c>
      <c r="AA3283">
        <v>0.5388052109326209</v>
      </c>
      <c r="AB3283" t="str">
        <f>HYPERLINK("Melting_Curves/meltCurve_Q13501_SQSTM1.pdf", "Melting_Curves/meltCurve_Q13501_SQSTM1.pdf")</f>
        <v>Melting_Curves/meltCurve_Q13501_SQSTM1.pdf</v>
      </c>
    </row>
    <row r="3284" spans="1:28" x14ac:dyDescent="0.25">
      <c r="A3284" t="s">
        <v>3288</v>
      </c>
      <c r="B3284">
        <v>0.99673306730245903</v>
      </c>
      <c r="C3284">
        <v>1.0920049010039801</v>
      </c>
      <c r="D3284">
        <v>0.51752883346085399</v>
      </c>
      <c r="E3284">
        <v>0.80347030542846098</v>
      </c>
      <c r="F3284">
        <v>0.66665496391414603</v>
      </c>
      <c r="G3284">
        <v>0.302122233864076</v>
      </c>
      <c r="H3284">
        <v>0.11418478964435901</v>
      </c>
      <c r="I3284">
        <v>9.46501790548952E-2</v>
      </c>
      <c r="J3284">
        <v>0.100548874368975</v>
      </c>
      <c r="K3284">
        <v>8.6390807096125705E-2</v>
      </c>
      <c r="L3284">
        <v>599.49586385912505</v>
      </c>
      <c r="M3284">
        <v>11.214883281534201</v>
      </c>
      <c r="N3284">
        <v>53.4553805203808</v>
      </c>
      <c r="O3284">
        <v>51.840276362582003</v>
      </c>
      <c r="P3284">
        <v>-5.4100768353376801E-2</v>
      </c>
      <c r="Q3284">
        <v>0</v>
      </c>
      <c r="R3284">
        <v>0.86675079738279603</v>
      </c>
      <c r="S3284" t="s">
        <v>9736</v>
      </c>
      <c r="T3284" t="s">
        <v>12902</v>
      </c>
      <c r="U3284" t="s">
        <v>12902</v>
      </c>
      <c r="V3284" t="s">
        <v>12902</v>
      </c>
      <c r="W3284" t="s">
        <v>16145</v>
      </c>
      <c r="X3284">
        <v>12</v>
      </c>
      <c r="Y3284" t="s">
        <v>22475</v>
      </c>
      <c r="Z3284" t="s">
        <v>28859</v>
      </c>
      <c r="AA3284">
        <v>0.47784367530137323</v>
      </c>
      <c r="AB3284" t="str">
        <f>HYPERLINK("Melting_Curves/meltCurve_Q13505_3_MTX1.pdf", "Melting_Curves/meltCurve_Q13505_3_MTX1.pdf")</f>
        <v>Melting_Curves/meltCurve_Q13505_3_MTX1.pdf</v>
      </c>
    </row>
    <row r="3285" spans="1:28" x14ac:dyDescent="0.25">
      <c r="A3285" t="s">
        <v>3289</v>
      </c>
      <c r="B3285">
        <v>0.99673306730245903</v>
      </c>
      <c r="C3285">
        <v>1.0094366158098</v>
      </c>
      <c r="D3285">
        <v>1.0209293339105501</v>
      </c>
      <c r="E3285">
        <v>1.02890825183427</v>
      </c>
      <c r="F3285">
        <v>0.94179304471186298</v>
      </c>
      <c r="G3285">
        <v>0.71725556163364901</v>
      </c>
      <c r="H3285">
        <v>0.38157827650863402</v>
      </c>
      <c r="I3285">
        <v>0.12558471172057301</v>
      </c>
      <c r="J3285">
        <v>9.7955207057434102E-2</v>
      </c>
      <c r="K3285">
        <v>8.0843439335930703E-2</v>
      </c>
      <c r="L3285">
        <v>1482.75772705594</v>
      </c>
      <c r="M3285">
        <v>25.159687094275</v>
      </c>
      <c r="N3285">
        <v>59.184386376432798</v>
      </c>
      <c r="O3285">
        <v>58.565340711785403</v>
      </c>
      <c r="P3285">
        <v>-0.10197654619810199</v>
      </c>
      <c r="Q3285">
        <v>5.0510784621198901E-2</v>
      </c>
      <c r="R3285">
        <v>0.99691723936100096</v>
      </c>
      <c r="S3285" t="s">
        <v>9737</v>
      </c>
      <c r="T3285" t="s">
        <v>12902</v>
      </c>
      <c r="U3285" t="s">
        <v>12902</v>
      </c>
      <c r="V3285" t="s">
        <v>12902</v>
      </c>
      <c r="W3285" t="s">
        <v>16146</v>
      </c>
      <c r="X3285">
        <v>34</v>
      </c>
      <c r="Y3285" t="s">
        <v>22476</v>
      </c>
      <c r="Z3285" t="s">
        <v>28860</v>
      </c>
      <c r="AA3285">
        <v>0.65752014207868315</v>
      </c>
      <c r="AB3285" t="str">
        <f>HYPERLINK("Melting_Curves/meltCurve_Q13509_TUBB3.pdf", "Melting_Curves/meltCurve_Q13509_TUBB3.pdf")</f>
        <v>Melting_Curves/meltCurve_Q13509_TUBB3.pdf</v>
      </c>
    </row>
    <row r="3286" spans="1:28" x14ac:dyDescent="0.25">
      <c r="A3286" t="s">
        <v>3290</v>
      </c>
      <c r="B3286">
        <v>0.99673306730245903</v>
      </c>
      <c r="C3286">
        <v>0.98338969618787997</v>
      </c>
      <c r="D3286">
        <v>0.91819062438699695</v>
      </c>
      <c r="E3286">
        <v>0.67711270363487697</v>
      </c>
      <c r="F3286">
        <v>0.33234862563023199</v>
      </c>
      <c r="G3286">
        <v>0.207753692883166</v>
      </c>
      <c r="H3286">
        <v>0.13657045263792</v>
      </c>
      <c r="I3286">
        <v>0.155110996298811</v>
      </c>
      <c r="J3286">
        <v>0.21387307151524801</v>
      </c>
      <c r="K3286">
        <v>0.21749659319405601</v>
      </c>
      <c r="L3286">
        <v>1349.96456189531</v>
      </c>
      <c r="M3286">
        <v>26.828091583393899</v>
      </c>
      <c r="N3286">
        <v>51.151543785110299</v>
      </c>
      <c r="O3286">
        <v>50.041988435586298</v>
      </c>
      <c r="P3286">
        <v>-0.11032069581963901</v>
      </c>
      <c r="Q3286">
        <v>0.17689110792945401</v>
      </c>
      <c r="R3286">
        <v>0.994655317732272</v>
      </c>
      <c r="S3286" t="s">
        <v>9738</v>
      </c>
      <c r="T3286" t="s">
        <v>12902</v>
      </c>
      <c r="U3286" t="s">
        <v>12902</v>
      </c>
      <c r="V3286" t="s">
        <v>12902</v>
      </c>
      <c r="W3286" t="s">
        <v>16147</v>
      </c>
      <c r="X3286">
        <v>8</v>
      </c>
      <c r="Y3286" t="s">
        <v>22477</v>
      </c>
      <c r="Z3286" t="s">
        <v>28861</v>
      </c>
      <c r="AA3286">
        <v>0.46642342966922151</v>
      </c>
      <c r="AB3286" t="str">
        <f>HYPERLINK("Melting_Curves/meltCurve_Q13526_PIN1.pdf", "Melting_Curves/meltCurve_Q13526_PIN1.pdf")</f>
        <v>Melting_Curves/meltCurve_Q13526_PIN1.pdf</v>
      </c>
    </row>
    <row r="3287" spans="1:28" x14ac:dyDescent="0.25">
      <c r="A3287" t="s">
        <v>3291</v>
      </c>
      <c r="B3287">
        <v>0.99673306730245903</v>
      </c>
      <c r="C3287">
        <v>0.91692543139107696</v>
      </c>
      <c r="D3287">
        <v>0.936221989064558</v>
      </c>
      <c r="E3287">
        <v>0.83620039882958697</v>
      </c>
      <c r="F3287">
        <v>0.2130688242504</v>
      </c>
      <c r="G3287">
        <v>0.141124256283783</v>
      </c>
      <c r="H3287">
        <v>8.9917093410381899E-2</v>
      </c>
      <c r="I3287">
        <v>9.0692436780405894E-2</v>
      </c>
      <c r="J3287">
        <v>0.119853087941931</v>
      </c>
      <c r="K3287">
        <v>0.10299749284019</v>
      </c>
      <c r="L3287">
        <v>2484.6442193093899</v>
      </c>
      <c r="M3287">
        <v>48.637289008703597</v>
      </c>
      <c r="N3287">
        <v>51.337949510746299</v>
      </c>
      <c r="O3287">
        <v>50.999033018832897</v>
      </c>
      <c r="P3287">
        <v>-0.21303316769897601</v>
      </c>
      <c r="Q3287">
        <v>0.106490066072974</v>
      </c>
      <c r="R3287">
        <v>0.99219359650318295</v>
      </c>
      <c r="S3287" t="s">
        <v>9739</v>
      </c>
      <c r="T3287" t="s">
        <v>12902</v>
      </c>
      <c r="U3287" t="s">
        <v>12902</v>
      </c>
      <c r="V3287" t="s">
        <v>12902</v>
      </c>
      <c r="W3287" t="s">
        <v>16148</v>
      </c>
      <c r="X3287">
        <v>9</v>
      </c>
      <c r="Y3287" t="s">
        <v>22478</v>
      </c>
      <c r="Z3287" t="s">
        <v>28862</v>
      </c>
      <c r="AA3287">
        <v>0.43877549187201681</v>
      </c>
      <c r="AB3287" t="str">
        <f>HYPERLINK("Melting_Curves/meltCurve_Q13535_3_ATR.pdf", "Melting_Curves/meltCurve_Q13535_3_ATR.pdf")</f>
        <v>Melting_Curves/meltCurve_Q13535_3_ATR.pdf</v>
      </c>
    </row>
    <row r="3288" spans="1:28" x14ac:dyDescent="0.25">
      <c r="A3288" t="s">
        <v>3292</v>
      </c>
      <c r="B3288">
        <v>0.99673306730245903</v>
      </c>
      <c r="C3288">
        <v>1.01108503205916</v>
      </c>
      <c r="D3288">
        <v>1.0113297213852801</v>
      </c>
      <c r="E3288">
        <v>0.89743220866653794</v>
      </c>
      <c r="F3288">
        <v>0.85991485670432299</v>
      </c>
      <c r="G3288">
        <v>0.66732568977639894</v>
      </c>
      <c r="H3288">
        <v>0.53021573151615897</v>
      </c>
      <c r="I3288">
        <v>0.66121063084143095</v>
      </c>
      <c r="J3288">
        <v>1.13868840311021</v>
      </c>
      <c r="K3288">
        <v>1.0300835736973899</v>
      </c>
      <c r="L3288">
        <v>2240.3035823912001</v>
      </c>
      <c r="M3288">
        <v>45.218974918306401</v>
      </c>
      <c r="O3288">
        <v>49.446837104795698</v>
      </c>
      <c r="P3288">
        <v>-4.2872613036834699E-2</v>
      </c>
      <c r="Q3288">
        <v>0.81247585368929598</v>
      </c>
      <c r="R3288">
        <v>0.20940053538265299</v>
      </c>
      <c r="S3288" t="s">
        <v>9740</v>
      </c>
      <c r="T3288" t="s">
        <v>12902</v>
      </c>
      <c r="U3288" t="s">
        <v>12902</v>
      </c>
      <c r="V3288" t="s">
        <v>12902</v>
      </c>
      <c r="W3288" t="s">
        <v>16149</v>
      </c>
      <c r="X3288">
        <v>9</v>
      </c>
      <c r="Y3288" t="s">
        <v>22479</v>
      </c>
      <c r="Z3288" t="s">
        <v>28863</v>
      </c>
      <c r="AA3288">
        <v>0.87263178244877182</v>
      </c>
      <c r="AB3288" t="str">
        <f>HYPERLINK("Melting_Curves/meltCurve_Q13541_EIF4EBP1.pdf", "Melting_Curves/meltCurve_Q13541_EIF4EBP1.pdf")</f>
        <v>Melting_Curves/meltCurve_Q13541_EIF4EBP1.pdf</v>
      </c>
    </row>
    <row r="3289" spans="1:28" x14ac:dyDescent="0.25">
      <c r="A3289" t="s">
        <v>3293</v>
      </c>
      <c r="B3289">
        <v>0.99673306730245903</v>
      </c>
      <c r="C3289">
        <v>1.0453008498938601</v>
      </c>
      <c r="D3289">
        <v>0.99857194399902804</v>
      </c>
      <c r="E3289">
        <v>0.84760324820524602</v>
      </c>
      <c r="F3289">
        <v>1.0140971357633899</v>
      </c>
      <c r="G3289">
        <v>0.73263595018406302</v>
      </c>
      <c r="H3289">
        <v>0.48614728179048</v>
      </c>
      <c r="I3289">
        <v>0.63805317665674799</v>
      </c>
      <c r="J3289">
        <v>0.89090679432279696</v>
      </c>
      <c r="K3289">
        <v>0.77376460147450099</v>
      </c>
      <c r="L3289">
        <v>14085.1850434879</v>
      </c>
      <c r="M3289">
        <v>250</v>
      </c>
      <c r="O3289">
        <v>56.337135081256399</v>
      </c>
      <c r="P3289">
        <v>-0.33590415652460898</v>
      </c>
      <c r="Q3289">
        <v>0.69721795673958598</v>
      </c>
      <c r="R3289">
        <v>0.61876091220088203</v>
      </c>
      <c r="S3289" t="s">
        <v>9741</v>
      </c>
      <c r="T3289" t="s">
        <v>12902</v>
      </c>
      <c r="U3289" t="s">
        <v>12902</v>
      </c>
      <c r="V3289" t="s">
        <v>12902</v>
      </c>
      <c r="W3289" t="s">
        <v>16150</v>
      </c>
      <c r="X3289">
        <v>4</v>
      </c>
      <c r="Y3289" t="s">
        <v>22480</v>
      </c>
      <c r="Z3289" t="s">
        <v>28864</v>
      </c>
      <c r="AA3289">
        <v>0.86217065156521577</v>
      </c>
      <c r="AB3289" t="str">
        <f>HYPERLINK("Melting_Curves/meltCurve_Q13542_EIF4EBP2.pdf", "Melting_Curves/meltCurve_Q13542_EIF4EBP2.pdf")</f>
        <v>Melting_Curves/meltCurve_Q13542_EIF4EBP2.pdf</v>
      </c>
    </row>
    <row r="3290" spans="1:28" x14ac:dyDescent="0.25">
      <c r="A3290" t="s">
        <v>3294</v>
      </c>
      <c r="B3290">
        <v>0.99673306730245903</v>
      </c>
      <c r="C3290">
        <v>0.86371385485861296</v>
      </c>
      <c r="D3290">
        <v>0.61435396524889796</v>
      </c>
      <c r="E3290">
        <v>0.19500143123313901</v>
      </c>
      <c r="F3290">
        <v>0.112143454325386</v>
      </c>
      <c r="G3290">
        <v>7.0141279490251798E-2</v>
      </c>
      <c r="H3290">
        <v>4.1128719288992602E-2</v>
      </c>
      <c r="I3290">
        <v>5.3815439777150899E-2</v>
      </c>
      <c r="J3290">
        <v>5.5450089312587401E-2</v>
      </c>
      <c r="K3290">
        <v>5.51999850688508E-2</v>
      </c>
      <c r="L3290">
        <v>1140.4445551552899</v>
      </c>
      <c r="M3290">
        <v>24.518907017362601</v>
      </c>
      <c r="N3290">
        <v>46.724138813954497</v>
      </c>
      <c r="O3290">
        <v>46.2067961921924</v>
      </c>
      <c r="P3290">
        <v>-0.12569964259154101</v>
      </c>
      <c r="Q3290">
        <v>5.2471558364523899E-2</v>
      </c>
      <c r="R3290">
        <v>0.99764712275019596</v>
      </c>
      <c r="S3290" t="s">
        <v>9742</v>
      </c>
      <c r="T3290" t="s">
        <v>12902</v>
      </c>
      <c r="U3290" t="s">
        <v>12902</v>
      </c>
      <c r="V3290" t="s">
        <v>12902</v>
      </c>
      <c r="W3290" t="s">
        <v>16151</v>
      </c>
      <c r="X3290">
        <v>7</v>
      </c>
      <c r="Y3290" t="s">
        <v>22481</v>
      </c>
      <c r="Z3290" t="s">
        <v>28865</v>
      </c>
      <c r="AA3290">
        <v>0.26712725276165739</v>
      </c>
      <c r="AB3290" t="str">
        <f>HYPERLINK("Melting_Curves/meltCurve_Q13546_RIPK1.pdf", "Melting_Curves/meltCurve_Q13546_RIPK1.pdf")</f>
        <v>Melting_Curves/meltCurve_Q13546_RIPK1.pdf</v>
      </c>
    </row>
    <row r="3291" spans="1:28" x14ac:dyDescent="0.25">
      <c r="A3291" t="s">
        <v>3295</v>
      </c>
      <c r="B3291">
        <v>0.99673306730245903</v>
      </c>
      <c r="C3291">
        <v>0.86624595068502497</v>
      </c>
      <c r="D3291">
        <v>0.78562134563742703</v>
      </c>
      <c r="E3291">
        <v>0.59286653739248896</v>
      </c>
      <c r="F3291">
        <v>0.23821649903789199</v>
      </c>
      <c r="G3291">
        <v>0.161932325779617</v>
      </c>
      <c r="H3291">
        <v>0.11342738916419901</v>
      </c>
      <c r="I3291">
        <v>0.12886112591173801</v>
      </c>
      <c r="J3291">
        <v>0.16940480606469299</v>
      </c>
      <c r="K3291">
        <v>0.15421040608946701</v>
      </c>
      <c r="L3291">
        <v>894.71872629675204</v>
      </c>
      <c r="M3291">
        <v>18.225172845097202</v>
      </c>
      <c r="N3291">
        <v>49.845210227686898</v>
      </c>
      <c r="O3291">
        <v>48.512871637932697</v>
      </c>
      <c r="P3291">
        <v>-8.2624593629986698E-2</v>
      </c>
      <c r="Q3291">
        <v>0.120300707656359</v>
      </c>
      <c r="R3291">
        <v>0.98297059037341805</v>
      </c>
      <c r="S3291" t="s">
        <v>9743</v>
      </c>
      <c r="T3291" t="s">
        <v>12902</v>
      </c>
      <c r="U3291" t="s">
        <v>12902</v>
      </c>
      <c r="V3291" t="s">
        <v>12902</v>
      </c>
      <c r="W3291" t="s">
        <v>16152</v>
      </c>
      <c r="X3291">
        <v>13</v>
      </c>
      <c r="Y3291" t="s">
        <v>22482</v>
      </c>
      <c r="Z3291" t="s">
        <v>28866</v>
      </c>
      <c r="AA3291">
        <v>0.40176173931013809</v>
      </c>
      <c r="AB3291" t="str">
        <f>HYPERLINK("Melting_Curves/meltCurve_Q13547_HDAC1.pdf", "Melting_Curves/meltCurve_Q13547_HDAC1.pdf")</f>
        <v>Melting_Curves/meltCurve_Q13547_HDAC1.pdf</v>
      </c>
    </row>
    <row r="3292" spans="1:28" x14ac:dyDescent="0.25">
      <c r="A3292" t="s">
        <v>3296</v>
      </c>
      <c r="B3292">
        <v>0.99673306730245903</v>
      </c>
      <c r="C3292">
        <v>0.99575097856828299</v>
      </c>
      <c r="D3292">
        <v>0.819184821021542</v>
      </c>
      <c r="E3292">
        <v>0.68734564742217696</v>
      </c>
      <c r="F3292">
        <v>0.22235389321385299</v>
      </c>
      <c r="G3292">
        <v>0.143654957778826</v>
      </c>
      <c r="H3292">
        <v>7.3047668900513799E-2</v>
      </c>
      <c r="I3292">
        <v>6.1145803204790898E-2</v>
      </c>
      <c r="J3292">
        <v>6.0692154050262397E-2</v>
      </c>
      <c r="K3292">
        <v>5.0010281411424197E-2</v>
      </c>
      <c r="L3292">
        <v>1116.7538762484601</v>
      </c>
      <c r="M3292">
        <v>22.123006742606901</v>
      </c>
      <c r="N3292">
        <v>50.721924140520201</v>
      </c>
      <c r="O3292">
        <v>50.072275415889202</v>
      </c>
      <c r="P3292">
        <v>-0.104911866798245</v>
      </c>
      <c r="Q3292">
        <v>5.0208481787888101E-2</v>
      </c>
      <c r="R3292">
        <v>0.98961173178683703</v>
      </c>
      <c r="S3292" t="s">
        <v>9744</v>
      </c>
      <c r="T3292" t="s">
        <v>12902</v>
      </c>
      <c r="U3292" t="s">
        <v>12902</v>
      </c>
      <c r="V3292" t="s">
        <v>12902</v>
      </c>
      <c r="W3292" t="s">
        <v>16153</v>
      </c>
      <c r="X3292">
        <v>24</v>
      </c>
      <c r="Y3292" t="s">
        <v>22483</v>
      </c>
      <c r="Z3292" t="s">
        <v>28867</v>
      </c>
      <c r="AA3292">
        <v>0.39284067061281808</v>
      </c>
      <c r="AB3292" t="str">
        <f>HYPERLINK("Melting_Curves/meltCurve_Q13564_NAE1.pdf", "Melting_Curves/meltCurve_Q13564_NAE1.pdf")</f>
        <v>Melting_Curves/meltCurve_Q13564_NAE1.pdf</v>
      </c>
    </row>
    <row r="3293" spans="1:28" x14ac:dyDescent="0.25">
      <c r="A3293" t="s">
        <v>3297</v>
      </c>
      <c r="B3293">
        <v>0.99673306730245903</v>
      </c>
      <c r="C3293">
        <v>1.0026488805059901</v>
      </c>
      <c r="D3293">
        <v>0.82371184266256303</v>
      </c>
      <c r="E3293">
        <v>0.570741675483739</v>
      </c>
      <c r="F3293">
        <v>0.289363817590295</v>
      </c>
      <c r="G3293">
        <v>0.18735337547630401</v>
      </c>
      <c r="H3293">
        <v>9.1164339799855804E-2</v>
      </c>
      <c r="I3293">
        <v>5.7278863743934302E-2</v>
      </c>
      <c r="J3293">
        <v>4.2064993754548897E-2</v>
      </c>
      <c r="K3293">
        <v>3.02127410388826E-2</v>
      </c>
      <c r="L3293">
        <v>866.48530641649995</v>
      </c>
      <c r="M3293">
        <v>17.237004559955398</v>
      </c>
      <c r="N3293">
        <v>50.493575832232999</v>
      </c>
      <c r="O3293">
        <v>49.606946626954098</v>
      </c>
      <c r="P3293">
        <v>-8.36661002973213E-2</v>
      </c>
      <c r="Q3293">
        <v>3.6914636607397702E-2</v>
      </c>
      <c r="R3293">
        <v>0.99690596637829698</v>
      </c>
      <c r="S3293" t="s">
        <v>9745</v>
      </c>
      <c r="T3293" t="s">
        <v>12902</v>
      </c>
      <c r="U3293" t="s">
        <v>12902</v>
      </c>
      <c r="V3293" t="s">
        <v>12902</v>
      </c>
      <c r="W3293" t="s">
        <v>16154</v>
      </c>
      <c r="X3293">
        <v>4</v>
      </c>
      <c r="Y3293" t="s">
        <v>22484</v>
      </c>
      <c r="Z3293" t="s">
        <v>28868</v>
      </c>
      <c r="AA3293">
        <v>0.38431686219234518</v>
      </c>
      <c r="AB3293" t="str">
        <f>HYPERLINK("Melting_Curves/meltCurve_Q13572_ITPK1.pdf", "Melting_Curves/meltCurve_Q13572_ITPK1.pdf")</f>
        <v>Melting_Curves/meltCurve_Q13572_ITPK1.pdf</v>
      </c>
    </row>
    <row r="3294" spans="1:28" x14ac:dyDescent="0.25">
      <c r="A3294" t="s">
        <v>3298</v>
      </c>
      <c r="B3294">
        <v>0.99673306730245903</v>
      </c>
      <c r="C3294">
        <v>0.996822726939672</v>
      </c>
      <c r="D3294">
        <v>1.00898581094873</v>
      </c>
      <c r="E3294">
        <v>0.94096113085644695</v>
      </c>
      <c r="F3294">
        <v>0.67051263797924199</v>
      </c>
      <c r="G3294">
        <v>0.45306587236482498</v>
      </c>
      <c r="H3294">
        <v>0.26994877255517502</v>
      </c>
      <c r="I3294">
        <v>0.36024669382686902</v>
      </c>
      <c r="J3294">
        <v>0.62039948635453102</v>
      </c>
      <c r="K3294">
        <v>0.842041676152396</v>
      </c>
      <c r="L3294">
        <v>2547.7326142432598</v>
      </c>
      <c r="M3294">
        <v>48.747530933575803</v>
      </c>
      <c r="O3294">
        <v>52.176100582576602</v>
      </c>
      <c r="P3294">
        <v>-0.11464601378087</v>
      </c>
      <c r="Q3294">
        <v>0.50916272468158497</v>
      </c>
      <c r="R3294">
        <v>0.70917597997126502</v>
      </c>
      <c r="S3294" t="s">
        <v>9746</v>
      </c>
      <c r="T3294" t="s">
        <v>12902</v>
      </c>
      <c r="U3294" t="s">
        <v>12902</v>
      </c>
      <c r="V3294" t="s">
        <v>12902</v>
      </c>
      <c r="W3294" t="s">
        <v>16155</v>
      </c>
      <c r="X3294">
        <v>32</v>
      </c>
      <c r="Y3294" t="s">
        <v>22485</v>
      </c>
      <c r="Z3294" t="s">
        <v>28869</v>
      </c>
      <c r="AA3294">
        <v>0.7110048718919787</v>
      </c>
      <c r="AB3294" t="str">
        <f>HYPERLINK("Melting_Curves/meltCurve_Q13573_SNW1.pdf", "Melting_Curves/meltCurve_Q13573_SNW1.pdf")</f>
        <v>Melting_Curves/meltCurve_Q13573_SNW1.pdf</v>
      </c>
    </row>
    <row r="3295" spans="1:28" x14ac:dyDescent="0.25">
      <c r="A3295" t="s">
        <v>3299</v>
      </c>
      <c r="B3295">
        <v>0.99673306730245903</v>
      </c>
      <c r="C3295">
        <v>0.95429822821926302</v>
      </c>
      <c r="D3295">
        <v>0.80721170344265203</v>
      </c>
      <c r="E3295">
        <v>0.53870497227729197</v>
      </c>
      <c r="F3295">
        <v>0.22462307550299401</v>
      </c>
      <c r="G3295">
        <v>0.137181517153875</v>
      </c>
      <c r="H3295">
        <v>9.4459073454189496E-2</v>
      </c>
      <c r="I3295">
        <v>8.8206083614227604E-2</v>
      </c>
      <c r="J3295">
        <v>0.111595412955979</v>
      </c>
      <c r="K3295">
        <v>9.76821010580875E-2</v>
      </c>
      <c r="L3295">
        <v>1022.54356261414</v>
      </c>
      <c r="M3295">
        <v>20.765296297202902</v>
      </c>
      <c r="N3295">
        <v>49.702979696923599</v>
      </c>
      <c r="O3295">
        <v>48.793045057301001</v>
      </c>
      <c r="P3295">
        <v>-9.7094955607162595E-2</v>
      </c>
      <c r="Q3295">
        <v>8.7434043371376099E-2</v>
      </c>
      <c r="R3295">
        <v>0.99805915474764995</v>
      </c>
      <c r="S3295" t="s">
        <v>9747</v>
      </c>
      <c r="T3295" t="s">
        <v>12902</v>
      </c>
      <c r="U3295" t="s">
        <v>12902</v>
      </c>
      <c r="V3295" t="s">
        <v>12902</v>
      </c>
      <c r="W3295" t="s">
        <v>16156</v>
      </c>
      <c r="X3295">
        <v>5</v>
      </c>
      <c r="Y3295" t="s">
        <v>22486</v>
      </c>
      <c r="Z3295" t="s">
        <v>28870</v>
      </c>
      <c r="AA3295">
        <v>0.38041873637714457</v>
      </c>
      <c r="AB3295" t="str">
        <f>HYPERLINK("Melting_Curves/meltCurve_Q13586_STIM1.pdf", "Melting_Curves/meltCurve_Q13586_STIM1.pdf")</f>
        <v>Melting_Curves/meltCurve_Q13586_STIM1.pdf</v>
      </c>
    </row>
    <row r="3296" spans="1:28" x14ac:dyDescent="0.25">
      <c r="A3296" t="s">
        <v>3300</v>
      </c>
      <c r="B3296">
        <v>0.99673306730245903</v>
      </c>
      <c r="C3296">
        <v>1.0680343280019899</v>
      </c>
      <c r="D3296">
        <v>0.47068523724171701</v>
      </c>
      <c r="E3296">
        <v>0.67529151214110705</v>
      </c>
      <c r="F3296">
        <v>0.21932764822370901</v>
      </c>
      <c r="G3296">
        <v>0.12090844842188</v>
      </c>
      <c r="H3296">
        <v>5.8141578600213198E-2</v>
      </c>
      <c r="I3296">
        <v>4.0033716737839897E-2</v>
      </c>
      <c r="J3296">
        <v>4.2042257441812697E-2</v>
      </c>
      <c r="K3296">
        <v>3.37709778657449E-2</v>
      </c>
      <c r="L3296">
        <v>686.47537640114797</v>
      </c>
      <c r="M3296">
        <v>13.8991381372009</v>
      </c>
      <c r="N3296">
        <v>49.414767143235402</v>
      </c>
      <c r="O3296">
        <v>48.401070812934698</v>
      </c>
      <c r="P3296">
        <v>-7.1549792670718898E-2</v>
      </c>
      <c r="Q3296">
        <v>3.5018193459676402E-3</v>
      </c>
      <c r="R3296">
        <v>0.90475813005167105</v>
      </c>
      <c r="S3296" t="s">
        <v>9748</v>
      </c>
      <c r="T3296" t="s">
        <v>12902</v>
      </c>
      <c r="U3296" t="s">
        <v>12902</v>
      </c>
      <c r="V3296" t="s">
        <v>12902</v>
      </c>
      <c r="W3296" t="s">
        <v>16157</v>
      </c>
      <c r="X3296">
        <v>16</v>
      </c>
      <c r="Y3296" t="s">
        <v>22487</v>
      </c>
      <c r="Z3296" t="s">
        <v>28871</v>
      </c>
      <c r="AA3296">
        <v>0.34323339089097837</v>
      </c>
      <c r="AB3296" t="str">
        <f>HYPERLINK("Melting_Curves/meltCurve_Q13596_SNX1.pdf", "Melting_Curves/meltCurve_Q13596_SNX1.pdf")</f>
        <v>Melting_Curves/meltCurve_Q13596_SNX1.pdf</v>
      </c>
    </row>
    <row r="3297" spans="1:28" x14ac:dyDescent="0.25">
      <c r="A3297" t="s">
        <v>3301</v>
      </c>
      <c r="B3297">
        <v>0.99673306730245903</v>
      </c>
      <c r="C3297">
        <v>0.88864475253229902</v>
      </c>
      <c r="D3297">
        <v>0.64669399404469197</v>
      </c>
      <c r="E3297">
        <v>0.365272798368108</v>
      </c>
      <c r="F3297">
        <v>0.22773899046285301</v>
      </c>
      <c r="G3297">
        <v>0.13974895529517001</v>
      </c>
      <c r="H3297">
        <v>8.3901738146024599E-2</v>
      </c>
      <c r="I3297">
        <v>9.7344066597418594E-2</v>
      </c>
      <c r="J3297">
        <v>0.117360769157016</v>
      </c>
      <c r="K3297">
        <v>0.10781754911038199</v>
      </c>
      <c r="L3297">
        <v>867.62792631235402</v>
      </c>
      <c r="M3297">
        <v>18.3510640401737</v>
      </c>
      <c r="N3297">
        <v>47.855457570695002</v>
      </c>
      <c r="O3297">
        <v>46.728726408468603</v>
      </c>
      <c r="P3297">
        <v>-8.8453837152015796E-2</v>
      </c>
      <c r="Q3297">
        <v>9.9093944409049006E-2</v>
      </c>
      <c r="R3297">
        <v>0.99732010132132398</v>
      </c>
      <c r="S3297" t="s">
        <v>9749</v>
      </c>
      <c r="T3297" t="s">
        <v>12902</v>
      </c>
      <c r="U3297" t="s">
        <v>12902</v>
      </c>
      <c r="V3297" t="s">
        <v>12902</v>
      </c>
      <c r="W3297" t="s">
        <v>16158</v>
      </c>
      <c r="X3297">
        <v>3</v>
      </c>
      <c r="Y3297" t="s">
        <v>22488</v>
      </c>
      <c r="Z3297" t="s">
        <v>28872</v>
      </c>
      <c r="AA3297">
        <v>0.33343593009234679</v>
      </c>
      <c r="AB3297" t="str">
        <f>HYPERLINK("Melting_Curves/meltCurve_Q13601_2_KRR1.pdf", "Melting_Curves/meltCurve_Q13601_2_KRR1.pdf")</f>
        <v>Melting_Curves/meltCurve_Q13601_2_KRR1.pdf</v>
      </c>
    </row>
    <row r="3298" spans="1:28" x14ac:dyDescent="0.25">
      <c r="A3298" t="s">
        <v>3302</v>
      </c>
      <c r="B3298">
        <v>0.99673306730245903</v>
      </c>
      <c r="C3298">
        <v>0.91743934912399105</v>
      </c>
      <c r="D3298">
        <v>0.83721641788233203</v>
      </c>
      <c r="E3298">
        <v>0.79890516290568903</v>
      </c>
      <c r="F3298">
        <v>0.54956479434491901</v>
      </c>
      <c r="G3298">
        <v>0.28683940866588098</v>
      </c>
      <c r="H3298">
        <v>0.151814749621486</v>
      </c>
      <c r="I3298">
        <v>0.122571123173701</v>
      </c>
      <c r="J3298">
        <v>0.137204353963683</v>
      </c>
      <c r="K3298">
        <v>0.103859496697691</v>
      </c>
      <c r="L3298">
        <v>781.54228192054302</v>
      </c>
      <c r="M3298">
        <v>14.7488594466686</v>
      </c>
      <c r="N3298">
        <v>53.495298664690303</v>
      </c>
      <c r="O3298">
        <v>52.044461896071098</v>
      </c>
      <c r="P3298">
        <v>-6.6248033787801794E-2</v>
      </c>
      <c r="Q3298">
        <v>6.5020268120416003E-2</v>
      </c>
      <c r="R3298">
        <v>0.98757721334014703</v>
      </c>
      <c r="S3298" t="s">
        <v>9750</v>
      </c>
      <c r="T3298" t="s">
        <v>12902</v>
      </c>
      <c r="U3298" t="s">
        <v>12902</v>
      </c>
      <c r="V3298" t="s">
        <v>12902</v>
      </c>
      <c r="W3298" t="s">
        <v>16159</v>
      </c>
      <c r="X3298">
        <v>5</v>
      </c>
      <c r="Y3298" t="s">
        <v>22489</v>
      </c>
      <c r="Z3298" t="s">
        <v>28873</v>
      </c>
      <c r="AA3298">
        <v>0.49047055608357393</v>
      </c>
      <c r="AB3298" t="str">
        <f>HYPERLINK("Melting_Curves/meltCurve_Q13608_PEX6.pdf", "Melting_Curves/meltCurve_Q13608_PEX6.pdf")</f>
        <v>Melting_Curves/meltCurve_Q13608_PEX6.pdf</v>
      </c>
    </row>
    <row r="3299" spans="1:28" x14ac:dyDescent="0.25">
      <c r="A3299" t="s">
        <v>3303</v>
      </c>
      <c r="B3299">
        <v>0.99673306730245903</v>
      </c>
      <c r="C3299">
        <v>0.98861219158007196</v>
      </c>
      <c r="D3299">
        <v>1.00536582414681</v>
      </c>
      <c r="E3299">
        <v>0.92311499678397702</v>
      </c>
      <c r="F3299">
        <v>0.49128001685411599</v>
      </c>
      <c r="G3299">
        <v>0.32466488647402397</v>
      </c>
      <c r="H3299">
        <v>0.14456654906535801</v>
      </c>
      <c r="I3299">
        <v>9.3269613046911004E-2</v>
      </c>
      <c r="J3299">
        <v>9.3771710864180305E-2</v>
      </c>
      <c r="K3299">
        <v>7.7717967503850599E-2</v>
      </c>
      <c r="L3299">
        <v>1258.2115257769301</v>
      </c>
      <c r="M3299">
        <v>23.591158008513101</v>
      </c>
      <c r="N3299">
        <v>53.784586163800398</v>
      </c>
      <c r="O3299">
        <v>52.955252796426002</v>
      </c>
      <c r="P3299">
        <v>-0.101388583265818</v>
      </c>
      <c r="Q3299">
        <v>8.9664797094825402E-2</v>
      </c>
      <c r="R3299">
        <v>0.99215139773189498</v>
      </c>
      <c r="S3299" t="s">
        <v>9751</v>
      </c>
      <c r="T3299" t="s">
        <v>12902</v>
      </c>
      <c r="U3299" t="s">
        <v>12902</v>
      </c>
      <c r="V3299" t="s">
        <v>12902</v>
      </c>
      <c r="W3299" t="s">
        <v>16160</v>
      </c>
      <c r="X3299">
        <v>20</v>
      </c>
      <c r="Y3299" t="s">
        <v>22490</v>
      </c>
      <c r="Z3299" t="s">
        <v>28874</v>
      </c>
      <c r="AA3299">
        <v>0.50362528117569072</v>
      </c>
      <c r="AB3299" t="str">
        <f>HYPERLINK("Melting_Curves/meltCurve_Q13614_MTMR2.pdf", "Melting_Curves/meltCurve_Q13614_MTMR2.pdf")</f>
        <v>Melting_Curves/meltCurve_Q13614_MTMR2.pdf</v>
      </c>
    </row>
    <row r="3300" spans="1:28" x14ac:dyDescent="0.25">
      <c r="A3300" t="s">
        <v>3304</v>
      </c>
      <c r="B3300">
        <v>0.99673306730245903</v>
      </c>
      <c r="C3300">
        <v>0.92997365012439703</v>
      </c>
      <c r="D3300">
        <v>1.07352406835369</v>
      </c>
      <c r="E3300">
        <v>1.18933091755827</v>
      </c>
      <c r="F3300">
        <v>1.1428298679767901</v>
      </c>
      <c r="G3300">
        <v>0.98055198654512199</v>
      </c>
      <c r="H3300">
        <v>0.41934207836307302</v>
      </c>
      <c r="I3300">
        <v>0.113654608932432</v>
      </c>
      <c r="J3300">
        <v>0.101692586900125</v>
      </c>
      <c r="K3300">
        <v>8.4876132907301505E-2</v>
      </c>
      <c r="L3300">
        <v>3888.0492140190499</v>
      </c>
      <c r="M3300">
        <v>64.5235638960486</v>
      </c>
      <c r="N3300">
        <v>60.450190232993002</v>
      </c>
      <c r="O3300">
        <v>60.200018931608597</v>
      </c>
      <c r="P3300">
        <v>-0.243088275166952</v>
      </c>
      <c r="Q3300">
        <v>9.2801892976948505E-2</v>
      </c>
      <c r="R3300">
        <v>0.96583426669611505</v>
      </c>
      <c r="S3300" t="s">
        <v>9752</v>
      </c>
      <c r="T3300" t="s">
        <v>12902</v>
      </c>
      <c r="U3300" t="s">
        <v>12902</v>
      </c>
      <c r="V3300" t="s">
        <v>12902</v>
      </c>
      <c r="W3300" t="s">
        <v>16161</v>
      </c>
      <c r="X3300">
        <v>31</v>
      </c>
      <c r="Y3300" t="s">
        <v>22491</v>
      </c>
      <c r="Z3300" t="s">
        <v>28875</v>
      </c>
      <c r="AA3300">
        <v>0.70683679861156912</v>
      </c>
      <c r="AB3300" t="str">
        <f>HYPERLINK("Melting_Curves/meltCurve_Q13616_CUL1.pdf", "Melting_Curves/meltCurve_Q13616_CUL1.pdf")</f>
        <v>Melting_Curves/meltCurve_Q13616_CUL1.pdf</v>
      </c>
    </row>
    <row r="3301" spans="1:28" x14ac:dyDescent="0.25">
      <c r="A3301" t="s">
        <v>3305</v>
      </c>
      <c r="B3301">
        <v>0.99673306730245903</v>
      </c>
      <c r="C3301">
        <v>0.96474447818686404</v>
      </c>
      <c r="D3301">
        <v>1.02755634776177</v>
      </c>
      <c r="E3301">
        <v>1.1081528056571699</v>
      </c>
      <c r="F3301">
        <v>0.77414427729338298</v>
      </c>
      <c r="G3301">
        <v>0.205163807671398</v>
      </c>
      <c r="H3301">
        <v>0.110117956272813</v>
      </c>
      <c r="I3301">
        <v>8.2590907480876205E-2</v>
      </c>
      <c r="J3301">
        <v>8.6490172495425705E-2</v>
      </c>
      <c r="K3301">
        <v>9.1994125257023704E-2</v>
      </c>
      <c r="L3301">
        <v>2701.5419096405599</v>
      </c>
      <c r="M3301">
        <v>49.615472209719101</v>
      </c>
      <c r="N3301">
        <v>54.676287219520297</v>
      </c>
      <c r="O3301">
        <v>54.361359936638401</v>
      </c>
      <c r="P3301">
        <v>-0.20696108336209501</v>
      </c>
      <c r="Q3301">
        <v>9.2970522352973803E-2</v>
      </c>
      <c r="R3301">
        <v>0.991764925461878</v>
      </c>
      <c r="S3301" t="s">
        <v>9753</v>
      </c>
      <c r="T3301" t="s">
        <v>12902</v>
      </c>
      <c r="U3301" t="s">
        <v>12902</v>
      </c>
      <c r="V3301" t="s">
        <v>12902</v>
      </c>
      <c r="W3301" t="s">
        <v>16162</v>
      </c>
      <c r="X3301">
        <v>33</v>
      </c>
      <c r="Y3301" t="s">
        <v>22492</v>
      </c>
      <c r="Z3301" t="s">
        <v>28876</v>
      </c>
      <c r="AA3301">
        <v>0.5320555091951602</v>
      </c>
      <c r="AB3301" t="str">
        <f>HYPERLINK("Melting_Curves/meltCurve_Q13617_CUL2.pdf", "Melting_Curves/meltCurve_Q13617_CUL2.pdf")</f>
        <v>Melting_Curves/meltCurve_Q13617_CUL2.pdf</v>
      </c>
    </row>
    <row r="3302" spans="1:28" x14ac:dyDescent="0.25">
      <c r="A3302" t="s">
        <v>3306</v>
      </c>
      <c r="B3302">
        <v>0.99673306730245903</v>
      </c>
      <c r="C3302">
        <v>0.96018841958631995</v>
      </c>
      <c r="D3302">
        <v>1.05293459438408</v>
      </c>
      <c r="E3302">
        <v>1.1167719154056299</v>
      </c>
      <c r="F3302">
        <v>0.960207028940393</v>
      </c>
      <c r="G3302">
        <v>0.27548921648593999</v>
      </c>
      <c r="H3302">
        <v>0.12595538260964301</v>
      </c>
      <c r="I3302">
        <v>0.10417438565251801</v>
      </c>
      <c r="J3302">
        <v>0.105198400060718</v>
      </c>
      <c r="K3302">
        <v>9.1877166415316E-2</v>
      </c>
      <c r="L3302">
        <v>3800.0063866035198</v>
      </c>
      <c r="M3302">
        <v>68.351504403524402</v>
      </c>
      <c r="N3302">
        <v>55.789626541290303</v>
      </c>
      <c r="O3302">
        <v>55.547534729268797</v>
      </c>
      <c r="P3302">
        <v>-0.27500595717109599</v>
      </c>
      <c r="Q3302">
        <v>0.106038746529465</v>
      </c>
      <c r="R3302">
        <v>0.99053034115167704</v>
      </c>
      <c r="S3302" t="s">
        <v>9754</v>
      </c>
      <c r="T3302" t="s">
        <v>12902</v>
      </c>
      <c r="U3302" t="s">
        <v>12902</v>
      </c>
      <c r="V3302" t="s">
        <v>12902</v>
      </c>
      <c r="W3302" t="s">
        <v>16163</v>
      </c>
      <c r="X3302">
        <v>47</v>
      </c>
      <c r="Y3302" t="s">
        <v>22493</v>
      </c>
      <c r="Z3302" t="s">
        <v>28877</v>
      </c>
      <c r="AA3302">
        <v>0.57192159281991484</v>
      </c>
      <c r="AB3302" t="str">
        <f>HYPERLINK("Melting_Curves/meltCurve_Q13618_CUL3.pdf", "Melting_Curves/meltCurve_Q13618_CUL3.pdf")</f>
        <v>Melting_Curves/meltCurve_Q13618_CUL3.pdf</v>
      </c>
    </row>
    <row r="3303" spans="1:28" x14ac:dyDescent="0.25">
      <c r="A3303" t="s">
        <v>3307</v>
      </c>
      <c r="B3303">
        <v>0.99673306730245903</v>
      </c>
      <c r="C3303">
        <v>0.95146054745132103</v>
      </c>
      <c r="D3303">
        <v>1.01425059949027</v>
      </c>
      <c r="E3303">
        <v>0.87500487728676701</v>
      </c>
      <c r="F3303">
        <v>0.31582403734897802</v>
      </c>
      <c r="G3303">
        <v>0.22597678966859899</v>
      </c>
      <c r="H3303">
        <v>0.13472877689631599</v>
      </c>
      <c r="I3303">
        <v>0.112429658482118</v>
      </c>
      <c r="J3303">
        <v>0.127614324058579</v>
      </c>
      <c r="K3303">
        <v>9.2975299247454707E-2</v>
      </c>
      <c r="L3303">
        <v>2122.2820363025398</v>
      </c>
      <c r="M3303">
        <v>41.090454953725299</v>
      </c>
      <c r="N3303">
        <v>52.035737642937598</v>
      </c>
      <c r="O3303">
        <v>51.527148243564298</v>
      </c>
      <c r="P3303">
        <v>-0.17313372863878901</v>
      </c>
      <c r="Q3303">
        <v>0.13156759087485101</v>
      </c>
      <c r="R3303">
        <v>0.99323880352168603</v>
      </c>
      <c r="S3303" t="s">
        <v>9755</v>
      </c>
      <c r="T3303" t="s">
        <v>12902</v>
      </c>
      <c r="U3303" t="s">
        <v>12902</v>
      </c>
      <c r="V3303" t="s">
        <v>12902</v>
      </c>
      <c r="W3303" t="s">
        <v>16164</v>
      </c>
      <c r="X3303">
        <v>19</v>
      </c>
      <c r="Y3303" t="s">
        <v>22494</v>
      </c>
      <c r="Z3303" t="s">
        <v>28878</v>
      </c>
      <c r="AA3303">
        <v>0.47171683766559541</v>
      </c>
      <c r="AB3303" t="str">
        <f>HYPERLINK("Melting_Curves/meltCurve_Q13619_CUL4A.pdf", "Melting_Curves/meltCurve_Q13619_CUL4A.pdf")</f>
        <v>Melting_Curves/meltCurve_Q13619_CUL4A.pdf</v>
      </c>
    </row>
    <row r="3304" spans="1:28" x14ac:dyDescent="0.25">
      <c r="A3304" t="s">
        <v>3308</v>
      </c>
      <c r="B3304">
        <v>0.99673306730245903</v>
      </c>
      <c r="C3304">
        <v>0.88449683959298497</v>
      </c>
      <c r="D3304">
        <v>0.67582474822761895</v>
      </c>
      <c r="E3304">
        <v>0.37536431615671201</v>
      </c>
      <c r="F3304">
        <v>0.58995241695686795</v>
      </c>
      <c r="G3304">
        <v>0.21490082700774699</v>
      </c>
      <c r="H3304">
        <v>0.13876253890642001</v>
      </c>
      <c r="I3304">
        <v>0.12722659616051299</v>
      </c>
      <c r="J3304">
        <v>0.113175253634346</v>
      </c>
      <c r="K3304">
        <v>0.110660699942736</v>
      </c>
      <c r="L3304">
        <v>509.337925314497</v>
      </c>
      <c r="M3304">
        <v>10.244318776617</v>
      </c>
      <c r="N3304">
        <v>50.2526075487187</v>
      </c>
      <c r="O3304">
        <v>47.936239632338101</v>
      </c>
      <c r="P3304">
        <v>-5.0696179002137402E-2</v>
      </c>
      <c r="Q3304">
        <v>5.1530131850357097E-2</v>
      </c>
      <c r="R3304">
        <v>0.92013705252754696</v>
      </c>
      <c r="S3304" t="s">
        <v>9756</v>
      </c>
      <c r="T3304" t="s">
        <v>12902</v>
      </c>
      <c r="U3304" t="s">
        <v>12902</v>
      </c>
      <c r="V3304" t="s">
        <v>12902</v>
      </c>
      <c r="W3304" t="s">
        <v>16165</v>
      </c>
      <c r="X3304">
        <v>2</v>
      </c>
      <c r="Y3304" t="s">
        <v>22495</v>
      </c>
      <c r="Z3304" t="s">
        <v>28879</v>
      </c>
      <c r="AA3304">
        <v>0.40119218072526808</v>
      </c>
      <c r="AB3304" t="str">
        <f>HYPERLINK("Melting_Curves/meltCurve_Q13625_2_TP53BP2.pdf", "Melting_Curves/meltCurve_Q13625_2_TP53BP2.pdf")</f>
        <v>Melting_Curves/meltCurve_Q13625_2_TP53BP2.pdf</v>
      </c>
    </row>
    <row r="3305" spans="1:28" x14ac:dyDescent="0.25">
      <c r="A3305" t="s">
        <v>3309</v>
      </c>
      <c r="B3305">
        <v>0.99673306730245903</v>
      </c>
      <c r="C3305">
        <v>1.00149901588325</v>
      </c>
      <c r="D3305">
        <v>1.0087376722365899</v>
      </c>
      <c r="E3305">
        <v>0.96803929524755306</v>
      </c>
      <c r="F3305">
        <v>0.87167404310602303</v>
      </c>
      <c r="G3305">
        <v>0.77296899412675202</v>
      </c>
      <c r="H3305">
        <v>0.49905269116703799</v>
      </c>
      <c r="I3305">
        <v>0.114639183892706</v>
      </c>
      <c r="J3305">
        <v>0.123709115835022</v>
      </c>
      <c r="K3305">
        <v>0.105952391912186</v>
      </c>
      <c r="L3305">
        <v>1302.9373264226499</v>
      </c>
      <c r="M3305">
        <v>21.787720373864001</v>
      </c>
      <c r="N3305">
        <v>59.973023801203098</v>
      </c>
      <c r="O3305">
        <v>59.3045250627138</v>
      </c>
      <c r="P3305">
        <v>-8.9073830162022999E-2</v>
      </c>
      <c r="Q3305">
        <v>3.02138207360911E-2</v>
      </c>
      <c r="R3305">
        <v>0.98445060811710206</v>
      </c>
      <c r="S3305" t="s">
        <v>9757</v>
      </c>
      <c r="T3305" t="s">
        <v>12902</v>
      </c>
      <c r="U3305" t="s">
        <v>12902</v>
      </c>
      <c r="V3305" t="s">
        <v>12902</v>
      </c>
      <c r="W3305" t="s">
        <v>16166</v>
      </c>
      <c r="X3305">
        <v>16</v>
      </c>
      <c r="Y3305" t="s">
        <v>22496</v>
      </c>
      <c r="Z3305" t="s">
        <v>28880</v>
      </c>
      <c r="AA3305">
        <v>0.67850142758181486</v>
      </c>
      <c r="AB3305" t="str">
        <f>HYPERLINK("Melting_Curves/meltCurve_Q13630_TSTA3.pdf", "Melting_Curves/meltCurve_Q13630_TSTA3.pdf")</f>
        <v>Melting_Curves/meltCurve_Q13630_TSTA3.pdf</v>
      </c>
    </row>
    <row r="3306" spans="1:28" x14ac:dyDescent="0.25">
      <c r="A3306" t="s">
        <v>3310</v>
      </c>
      <c r="B3306">
        <v>0.99673306730245903</v>
      </c>
      <c r="C3306">
        <v>1.00005621220258</v>
      </c>
      <c r="D3306">
        <v>0.95958725256470101</v>
      </c>
      <c r="E3306">
        <v>0.78469497220159601</v>
      </c>
      <c r="F3306">
        <v>0.73561637209070796</v>
      </c>
      <c r="G3306">
        <v>0.59125290684957499</v>
      </c>
      <c r="H3306">
        <v>0.434589210225719</v>
      </c>
      <c r="I3306">
        <v>0.42949419539658201</v>
      </c>
      <c r="J3306">
        <v>0.39144587700361</v>
      </c>
      <c r="K3306">
        <v>0.35661269164215997</v>
      </c>
      <c r="L3306">
        <v>662.125336013062</v>
      </c>
      <c r="M3306">
        <v>12.166501174951</v>
      </c>
      <c r="N3306">
        <v>59.426420634963399</v>
      </c>
      <c r="O3306">
        <v>53.014350175502599</v>
      </c>
      <c r="P3306">
        <v>-3.8992916761102003E-2</v>
      </c>
      <c r="Q3306">
        <v>0.320523861300054</v>
      </c>
      <c r="R3306">
        <v>0.98860843857473202</v>
      </c>
      <c r="S3306" t="s">
        <v>9758</v>
      </c>
      <c r="T3306" t="s">
        <v>12902</v>
      </c>
      <c r="U3306" t="s">
        <v>12902</v>
      </c>
      <c r="V3306" t="s">
        <v>12902</v>
      </c>
      <c r="W3306" t="s">
        <v>16167</v>
      </c>
      <c r="X3306">
        <v>17</v>
      </c>
      <c r="Y3306" t="s">
        <v>22497</v>
      </c>
      <c r="Z3306" t="s">
        <v>28881</v>
      </c>
      <c r="AA3306">
        <v>0.66398578706100753</v>
      </c>
      <c r="AB3306" t="str">
        <f>HYPERLINK("Melting_Curves/meltCurve_Q13641_TPBG.pdf", "Melting_Curves/meltCurve_Q13641_TPBG.pdf")</f>
        <v>Melting_Curves/meltCurve_Q13641_TPBG.pdf</v>
      </c>
    </row>
    <row r="3307" spans="1:28" x14ac:dyDescent="0.25">
      <c r="A3307" t="s">
        <v>3311</v>
      </c>
      <c r="B3307">
        <v>0.99673306730245903</v>
      </c>
      <c r="C3307">
        <v>1.00807705123872</v>
      </c>
      <c r="D3307">
        <v>0.95084068807022104</v>
      </c>
      <c r="E3307">
        <v>0.93665902189873795</v>
      </c>
      <c r="F3307">
        <v>0.83263428792272098</v>
      </c>
      <c r="G3307">
        <v>0.78220261966064997</v>
      </c>
      <c r="H3307">
        <v>0.59576114639672295</v>
      </c>
      <c r="I3307">
        <v>0.84585598730200595</v>
      </c>
      <c r="J3307">
        <v>0.82974875659464298</v>
      </c>
      <c r="K3307">
        <v>0.54558754983093305</v>
      </c>
      <c r="L3307">
        <v>900.63625516255001</v>
      </c>
      <c r="M3307">
        <v>17.096358693519701</v>
      </c>
      <c r="O3307">
        <v>51.975081492135701</v>
      </c>
      <c r="P3307">
        <v>-2.5034185450121701E-2</v>
      </c>
      <c r="Q3307">
        <v>0.69559006012338398</v>
      </c>
      <c r="R3307">
        <v>0.65937054622895497</v>
      </c>
      <c r="S3307" t="s">
        <v>9759</v>
      </c>
      <c r="T3307" t="s">
        <v>12902</v>
      </c>
      <c r="U3307" t="s">
        <v>12902</v>
      </c>
      <c r="V3307" t="s">
        <v>12902</v>
      </c>
      <c r="W3307" t="s">
        <v>16168</v>
      </c>
      <c r="X3307">
        <v>8</v>
      </c>
      <c r="Y3307" t="s">
        <v>22498</v>
      </c>
      <c r="Z3307" t="s">
        <v>28882</v>
      </c>
      <c r="AA3307">
        <v>0.82970050387943461</v>
      </c>
      <c r="AB3307" t="str">
        <f>HYPERLINK("Melting_Curves/meltCurve_Q13642_1_FHL1.pdf", "Melting_Curves/meltCurve_Q13642_1_FHL1.pdf")</f>
        <v>Melting_Curves/meltCurve_Q13642_1_FHL1.pdf</v>
      </c>
    </row>
    <row r="3308" spans="1:28" x14ac:dyDescent="0.25">
      <c r="A3308" t="s">
        <v>3312</v>
      </c>
      <c r="B3308">
        <v>0.99673306730245903</v>
      </c>
      <c r="C3308">
        <v>0.94422682238991096</v>
      </c>
      <c r="D3308">
        <v>0.94034126236966398</v>
      </c>
      <c r="E3308">
        <v>0.83190595361514696</v>
      </c>
      <c r="F3308">
        <v>0.64706006649207803</v>
      </c>
      <c r="G3308">
        <v>0.45505960146319502</v>
      </c>
      <c r="H3308">
        <v>0.34836877936467597</v>
      </c>
      <c r="I3308">
        <v>0.41619970226700098</v>
      </c>
      <c r="J3308">
        <v>0.31201529126449701</v>
      </c>
      <c r="K3308">
        <v>0.323566091348505</v>
      </c>
      <c r="L3308">
        <v>897.43951545712002</v>
      </c>
      <c r="M3308">
        <v>17.027007165691099</v>
      </c>
      <c r="N3308">
        <v>56.032887092898598</v>
      </c>
      <c r="O3308">
        <v>51.995908782125603</v>
      </c>
      <c r="P3308">
        <v>-5.5835164292951801E-2</v>
      </c>
      <c r="Q3308">
        <v>0.31801927828226201</v>
      </c>
      <c r="R3308">
        <v>0.98827388320830001</v>
      </c>
      <c r="S3308" t="s">
        <v>9760</v>
      </c>
      <c r="T3308" t="s">
        <v>12902</v>
      </c>
      <c r="U3308" t="s">
        <v>12902</v>
      </c>
      <c r="V3308" t="s">
        <v>12902</v>
      </c>
      <c r="W3308" t="s">
        <v>16169</v>
      </c>
      <c r="X3308">
        <v>3</v>
      </c>
      <c r="Y3308" t="s">
        <v>22499</v>
      </c>
      <c r="Z3308" t="s">
        <v>28883</v>
      </c>
      <c r="AA3308">
        <v>0.61915249593940791</v>
      </c>
      <c r="AB3308" t="str">
        <f>HYPERLINK("Melting_Curves/meltCurve_Q13643_FHL3.pdf", "Melting_Curves/meltCurve_Q13643_FHL3.pdf")</f>
        <v>Melting_Curves/meltCurve_Q13643_FHL3.pdf</v>
      </c>
    </row>
    <row r="3309" spans="1:28" x14ac:dyDescent="0.25">
      <c r="A3309" t="s">
        <v>3313</v>
      </c>
      <c r="B3309">
        <v>0.99673306730245903</v>
      </c>
      <c r="C3309">
        <v>0.98842320826257302</v>
      </c>
      <c r="D3309">
        <v>0.73772937803114602</v>
      </c>
      <c r="E3309">
        <v>0.456995105001683</v>
      </c>
      <c r="F3309">
        <v>0.28913710282562199</v>
      </c>
      <c r="G3309">
        <v>0.186381754490896</v>
      </c>
      <c r="H3309">
        <v>0.11092967778644899</v>
      </c>
      <c r="I3309">
        <v>0.102366485067485</v>
      </c>
      <c r="J3309">
        <v>0.114291766897458</v>
      </c>
      <c r="K3309">
        <v>6.8793465114032198E-2</v>
      </c>
      <c r="L3309">
        <v>860.72159394033599</v>
      </c>
      <c r="M3309">
        <v>17.659064573674499</v>
      </c>
      <c r="N3309">
        <v>49.322813245593501</v>
      </c>
      <c r="O3309">
        <v>48.128906759915203</v>
      </c>
      <c r="P3309">
        <v>-8.3108868339290903E-2</v>
      </c>
      <c r="Q3309">
        <v>9.4011744788264004E-2</v>
      </c>
      <c r="R3309">
        <v>0.99358389092255905</v>
      </c>
      <c r="S3309" t="s">
        <v>9761</v>
      </c>
      <c r="T3309" t="s">
        <v>12902</v>
      </c>
      <c r="U3309" t="s">
        <v>12902</v>
      </c>
      <c r="V3309" t="s">
        <v>12902</v>
      </c>
      <c r="W3309" t="s">
        <v>16170</v>
      </c>
      <c r="X3309">
        <v>4</v>
      </c>
      <c r="Y3309" t="s">
        <v>22500</v>
      </c>
      <c r="Z3309" t="s">
        <v>28884</v>
      </c>
      <c r="AA3309">
        <v>0.37438181541178989</v>
      </c>
      <c r="AB3309" t="str">
        <f>HYPERLINK("Melting_Curves/meltCurve_Q13686_ALKBH1.pdf", "Melting_Curves/meltCurve_Q13686_ALKBH1.pdf")</f>
        <v>Melting_Curves/meltCurve_Q13686_ALKBH1.pdf</v>
      </c>
    </row>
    <row r="3310" spans="1:28" x14ac:dyDescent="0.25">
      <c r="A3310" t="s">
        <v>3314</v>
      </c>
      <c r="B3310">
        <v>0.99673306730245903</v>
      </c>
      <c r="C3310">
        <v>0.93321204919497902</v>
      </c>
      <c r="D3310">
        <v>0.88487751627485001</v>
      </c>
      <c r="E3310">
        <v>0.73314166044883</v>
      </c>
      <c r="F3310">
        <v>0.27165179867569</v>
      </c>
      <c r="G3310">
        <v>0.14480116639130899</v>
      </c>
      <c r="H3310">
        <v>9.2776070423548004E-2</v>
      </c>
      <c r="I3310">
        <v>8.0732910479532405E-2</v>
      </c>
      <c r="J3310">
        <v>9.62624943181387E-2</v>
      </c>
      <c r="K3310">
        <v>8.2251307618733699E-2</v>
      </c>
      <c r="L3310">
        <v>1343.83802379236</v>
      </c>
      <c r="M3310">
        <v>26.408073944460199</v>
      </c>
      <c r="N3310">
        <v>51.233553710020303</v>
      </c>
      <c r="O3310">
        <v>50.5982775479401</v>
      </c>
      <c r="P3310">
        <v>-0.119819311647342</v>
      </c>
      <c r="Q3310">
        <v>8.1707328844690105E-2</v>
      </c>
      <c r="R3310">
        <v>0.99277463577356295</v>
      </c>
      <c r="S3310" t="s">
        <v>9762</v>
      </c>
      <c r="T3310" t="s">
        <v>12902</v>
      </c>
      <c r="U3310" t="s">
        <v>12902</v>
      </c>
      <c r="V3310" t="s">
        <v>12902</v>
      </c>
      <c r="W3310" t="s">
        <v>16171</v>
      </c>
      <c r="X3310">
        <v>30</v>
      </c>
      <c r="Y3310" t="s">
        <v>22501</v>
      </c>
      <c r="Z3310" t="s">
        <v>28885</v>
      </c>
      <c r="AA3310">
        <v>0.42240184030603439</v>
      </c>
      <c r="AB3310" t="str">
        <f>HYPERLINK("Melting_Curves/meltCurve_Q13724_MOGS.pdf", "Melting_Curves/meltCurve_Q13724_MOGS.pdf")</f>
        <v>Melting_Curves/meltCurve_Q13724_MOGS.pdf</v>
      </c>
    </row>
    <row r="3311" spans="1:28" x14ac:dyDescent="0.25">
      <c r="A3311" t="s">
        <v>3315</v>
      </c>
      <c r="B3311">
        <v>0.99673306730245903</v>
      </c>
      <c r="C3311">
        <v>1.01303701416286</v>
      </c>
      <c r="D3311">
        <v>0.79329942288569399</v>
      </c>
      <c r="E3311">
        <v>0.64591264210467703</v>
      </c>
      <c r="F3311">
        <v>0.58295143401192295</v>
      </c>
      <c r="G3311">
        <v>0.367976360485812</v>
      </c>
      <c r="H3311">
        <v>0.22157514337977499</v>
      </c>
      <c r="I3311">
        <v>0.109430096758736</v>
      </c>
      <c r="J3311">
        <v>0.106760229593603</v>
      </c>
      <c r="K3311">
        <v>9.1334186119722202E-2</v>
      </c>
      <c r="L3311">
        <v>565.59425894397998</v>
      </c>
      <c r="M3311">
        <v>10.549721267058199</v>
      </c>
      <c r="N3311">
        <v>53.612246074986402</v>
      </c>
      <c r="O3311">
        <v>51.793420981986102</v>
      </c>
      <c r="P3311">
        <v>-5.0942286846359597E-2</v>
      </c>
      <c r="Q3311">
        <v>0</v>
      </c>
      <c r="R3311">
        <v>0.98363816464117604</v>
      </c>
      <c r="S3311" t="s">
        <v>9763</v>
      </c>
      <c r="T3311" t="s">
        <v>12902</v>
      </c>
      <c r="U3311" t="s">
        <v>12902</v>
      </c>
      <c r="V3311" t="s">
        <v>12902</v>
      </c>
      <c r="W3311" t="s">
        <v>16172</v>
      </c>
      <c r="X3311">
        <v>10</v>
      </c>
      <c r="Y3311" t="s">
        <v>22502</v>
      </c>
      <c r="Z3311" t="s">
        <v>28886</v>
      </c>
      <c r="AA3311">
        <v>0.48420138090311599</v>
      </c>
      <c r="AB3311" t="str">
        <f>HYPERLINK("Melting_Curves/meltCurve_Q13733_ATP1A4.pdf", "Melting_Curves/meltCurve_Q13733_ATP1A4.pdf")</f>
        <v>Melting_Curves/meltCurve_Q13733_ATP1A4.pdf</v>
      </c>
    </row>
    <row r="3312" spans="1:28" x14ac:dyDescent="0.25">
      <c r="A3312" t="s">
        <v>3316</v>
      </c>
      <c r="B3312">
        <v>0.99673306730245903</v>
      </c>
      <c r="C3312">
        <v>0.95924696336065696</v>
      </c>
      <c r="D3312">
        <v>0.920861993800836</v>
      </c>
      <c r="E3312">
        <v>0.80667584661680602</v>
      </c>
      <c r="F3312">
        <v>0.63337194871020697</v>
      </c>
      <c r="G3312">
        <v>0.57275069125443401</v>
      </c>
      <c r="H3312">
        <v>0.49071956172597297</v>
      </c>
      <c r="I3312">
        <v>0.55734477397092796</v>
      </c>
      <c r="J3312">
        <v>0.41650794582110701</v>
      </c>
      <c r="K3312">
        <v>0.32323630003124898</v>
      </c>
      <c r="L3312">
        <v>537.24056928282198</v>
      </c>
      <c r="M3312">
        <v>9.9992846703440605</v>
      </c>
      <c r="N3312">
        <v>60.502823374889402</v>
      </c>
      <c r="O3312">
        <v>51.711599323284801</v>
      </c>
      <c r="P3312">
        <v>-3.2075274620024997E-2</v>
      </c>
      <c r="Q3312">
        <v>0.3368094635844</v>
      </c>
      <c r="R3312">
        <v>0.95882238374933104</v>
      </c>
      <c r="S3312" t="s">
        <v>9764</v>
      </c>
      <c r="T3312" t="s">
        <v>12902</v>
      </c>
      <c r="U3312" t="s">
        <v>12902</v>
      </c>
      <c r="V3312" t="s">
        <v>12902</v>
      </c>
      <c r="W3312" t="s">
        <v>16173</v>
      </c>
      <c r="X3312">
        <v>34</v>
      </c>
      <c r="Y3312" t="s">
        <v>22503</v>
      </c>
      <c r="Z3312" t="s">
        <v>28887</v>
      </c>
      <c r="AA3312">
        <v>0.6610612469363103</v>
      </c>
      <c r="AB3312" t="str">
        <f>HYPERLINK("Melting_Curves/meltCurve_Q13740_2_ALCAM.pdf", "Melting_Curves/meltCurve_Q13740_2_ALCAM.pdf")</f>
        <v>Melting_Curves/meltCurve_Q13740_2_ALCAM.pdf</v>
      </c>
    </row>
    <row r="3313" spans="1:28" x14ac:dyDescent="0.25">
      <c r="A3313" t="s">
        <v>3317</v>
      </c>
      <c r="B3313">
        <v>0.99673306730245903</v>
      </c>
      <c r="C3313">
        <v>0.90702602253465603</v>
      </c>
      <c r="D3313">
        <v>0.91513306509804504</v>
      </c>
      <c r="E3313">
        <v>0.73939886631749396</v>
      </c>
      <c r="F3313">
        <v>0.50055530048128505</v>
      </c>
      <c r="G3313">
        <v>0.38524801942819598</v>
      </c>
      <c r="H3313">
        <v>0.28223402218240201</v>
      </c>
      <c r="I3313">
        <v>0.321172085485528</v>
      </c>
      <c r="J3313">
        <v>0.43341881410503202</v>
      </c>
      <c r="K3313">
        <v>0.43468078438831498</v>
      </c>
      <c r="L3313">
        <v>1150.1555670822499</v>
      </c>
      <c r="M3313">
        <v>22.941493013332501</v>
      </c>
      <c r="N3313">
        <v>53.112282820355901</v>
      </c>
      <c r="O3313">
        <v>49.758027611206202</v>
      </c>
      <c r="P3313">
        <v>-7.3557214550482294E-2</v>
      </c>
      <c r="Q3313">
        <v>0.36185622307068399</v>
      </c>
      <c r="R3313">
        <v>0.95825144155374098</v>
      </c>
      <c r="S3313" t="s">
        <v>9765</v>
      </c>
      <c r="T3313" t="s">
        <v>12902</v>
      </c>
      <c r="U3313" t="s">
        <v>12902</v>
      </c>
      <c r="V3313" t="s">
        <v>12902</v>
      </c>
      <c r="W3313" t="s">
        <v>16174</v>
      </c>
      <c r="X3313">
        <v>1</v>
      </c>
      <c r="Y3313" t="s">
        <v>22504</v>
      </c>
      <c r="Z3313" t="s">
        <v>28888</v>
      </c>
      <c r="AA3313">
        <v>0.58420782764987156</v>
      </c>
      <c r="AB3313" t="str">
        <f>HYPERLINK("Melting_Curves/meltCurve_Q13751_LAMB3.pdf", "Melting_Curves/meltCurve_Q13751_LAMB3.pdf")</f>
        <v>Melting_Curves/meltCurve_Q13751_LAMB3.pdf</v>
      </c>
    </row>
    <row r="3314" spans="1:28" x14ac:dyDescent="0.25">
      <c r="A3314" t="s">
        <v>3318</v>
      </c>
      <c r="B3314">
        <v>0.99673306730245903</v>
      </c>
      <c r="C3314">
        <v>0.93617086176648301</v>
      </c>
      <c r="D3314">
        <v>0.97095730672820402</v>
      </c>
      <c r="E3314">
        <v>0.82838469692503902</v>
      </c>
      <c r="F3314">
        <v>0.390162091275635</v>
      </c>
      <c r="G3314">
        <v>0.25107130955679002</v>
      </c>
      <c r="H3314">
        <v>0.19787245032897799</v>
      </c>
      <c r="I3314">
        <v>0.247180648794147</v>
      </c>
      <c r="J3314">
        <v>0.239748861735709</v>
      </c>
      <c r="K3314">
        <v>0.24456359889755899</v>
      </c>
      <c r="L3314">
        <v>1879.79006699049</v>
      </c>
      <c r="M3314">
        <v>36.674878745336201</v>
      </c>
      <c r="N3314">
        <v>52.138376800350699</v>
      </c>
      <c r="O3314">
        <v>51.103862644135297</v>
      </c>
      <c r="P3314">
        <v>-0.13791501215885699</v>
      </c>
      <c r="Q3314">
        <v>0.231303042970083</v>
      </c>
      <c r="R3314">
        <v>0.99455878536527897</v>
      </c>
      <c r="S3314" t="s">
        <v>9766</v>
      </c>
      <c r="T3314" t="s">
        <v>12902</v>
      </c>
      <c r="U3314" t="s">
        <v>12902</v>
      </c>
      <c r="V3314" t="s">
        <v>12902</v>
      </c>
      <c r="W3314" t="s">
        <v>16175</v>
      </c>
      <c r="X3314">
        <v>9</v>
      </c>
      <c r="Y3314" t="s">
        <v>22505</v>
      </c>
      <c r="Z3314" t="s">
        <v>28889</v>
      </c>
      <c r="AA3314">
        <v>0.52294875587292078</v>
      </c>
      <c r="AB3314" t="str">
        <f>HYPERLINK("Melting_Curves/meltCurve_Q13753_LAMC2.pdf", "Melting_Curves/meltCurve_Q13753_LAMC2.pdf")</f>
        <v>Melting_Curves/meltCurve_Q13753_LAMC2.pdf</v>
      </c>
    </row>
    <row r="3315" spans="1:28" x14ac:dyDescent="0.25">
      <c r="A3315" t="s">
        <v>3319</v>
      </c>
      <c r="B3315">
        <v>0.99673306730245903</v>
      </c>
      <c r="C3315">
        <v>1.04622836854088</v>
      </c>
      <c r="D3315">
        <v>1.3739901177470899</v>
      </c>
      <c r="E3315">
        <v>2.4637986241473002</v>
      </c>
      <c r="F3315">
        <v>0.64270951310339897</v>
      </c>
      <c r="G3315">
        <v>0.36501541999937698</v>
      </c>
      <c r="H3315">
        <v>0.18891675151877499</v>
      </c>
      <c r="I3315">
        <v>0.19220346292473101</v>
      </c>
      <c r="J3315">
        <v>0.18507265110750301</v>
      </c>
      <c r="K3315">
        <v>0.15869190873425201</v>
      </c>
      <c r="L3315">
        <v>11992.3277415387</v>
      </c>
      <c r="M3315">
        <v>225.24678625367301</v>
      </c>
      <c r="N3315">
        <v>53.376531231445298</v>
      </c>
      <c r="O3315">
        <v>53.236632674798798</v>
      </c>
      <c r="P3315">
        <v>-0.82719123821855101</v>
      </c>
      <c r="Q3315">
        <v>0.21797981633831801</v>
      </c>
      <c r="R3315">
        <v>0.53077934727925302</v>
      </c>
      <c r="S3315" t="s">
        <v>9767</v>
      </c>
      <c r="T3315" t="s">
        <v>12902</v>
      </c>
      <c r="U3315" t="s">
        <v>12902</v>
      </c>
      <c r="V3315" t="s">
        <v>12902</v>
      </c>
      <c r="W3315" t="s">
        <v>16176</v>
      </c>
      <c r="X3315">
        <v>6</v>
      </c>
      <c r="Y3315" t="s">
        <v>22506</v>
      </c>
      <c r="Z3315" t="s">
        <v>28890</v>
      </c>
      <c r="AA3315">
        <v>0.56322326125780464</v>
      </c>
      <c r="AB3315" t="str">
        <f>HYPERLINK("Melting_Curves/meltCurve_Q13769_THOC5.pdf", "Melting_Curves/meltCurve_Q13769_THOC5.pdf")</f>
        <v>Melting_Curves/meltCurve_Q13769_THOC5.pdf</v>
      </c>
    </row>
    <row r="3316" spans="1:28" x14ac:dyDescent="0.25">
      <c r="A3316" t="s">
        <v>3320</v>
      </c>
      <c r="B3316">
        <v>0.99673306730245903</v>
      </c>
      <c r="C3316">
        <v>0.87749760386698294</v>
      </c>
      <c r="D3316">
        <v>0.782492172939247</v>
      </c>
      <c r="E3316">
        <v>0.63511015287067596</v>
      </c>
      <c r="F3316">
        <v>0.39280262261288201</v>
      </c>
      <c r="G3316">
        <v>0.18686387790849701</v>
      </c>
      <c r="H3316">
        <v>7.3365121018100499E-2</v>
      </c>
      <c r="I3316">
        <v>5.4238110101249098E-2</v>
      </c>
      <c r="J3316">
        <v>7.6748207708133995E-2</v>
      </c>
      <c r="K3316">
        <v>6.1787784036918397E-2</v>
      </c>
      <c r="L3316">
        <v>671.54028575963196</v>
      </c>
      <c r="M3316">
        <v>13.166310734184099</v>
      </c>
      <c r="N3316">
        <v>51.067115404865099</v>
      </c>
      <c r="O3316">
        <v>49.870864243731504</v>
      </c>
      <c r="P3316">
        <v>-6.5484004105200694E-2</v>
      </c>
      <c r="Q3316">
        <v>8.0148546948595207E-3</v>
      </c>
      <c r="R3316">
        <v>0.99251550212016404</v>
      </c>
      <c r="S3316" t="s">
        <v>9768</v>
      </c>
      <c r="T3316" t="s">
        <v>12902</v>
      </c>
      <c r="U3316" t="s">
        <v>12902</v>
      </c>
      <c r="V3316" t="s">
        <v>12902</v>
      </c>
      <c r="W3316" t="s">
        <v>16177</v>
      </c>
      <c r="X3316">
        <v>1</v>
      </c>
      <c r="Y3316" t="s">
        <v>22507</v>
      </c>
      <c r="Z3316" t="s">
        <v>28891</v>
      </c>
      <c r="AA3316">
        <v>0.40008846294816819</v>
      </c>
      <c r="AB3316" t="str">
        <f>HYPERLINK("Melting_Curves/meltCurve_Q13795_ARFRP1.pdf", "Melting_Curves/meltCurve_Q13795_ARFRP1.pdf")</f>
        <v>Melting_Curves/meltCurve_Q13795_ARFRP1.pdf</v>
      </c>
    </row>
    <row r="3317" spans="1:28" x14ac:dyDescent="0.25">
      <c r="A3317" t="s">
        <v>3321</v>
      </c>
      <c r="B3317">
        <v>0.99673306730245903</v>
      </c>
      <c r="C3317">
        <v>0.87363755245109997</v>
      </c>
      <c r="D3317">
        <v>0.93567573381189895</v>
      </c>
      <c r="E3317">
        <v>1.06854828370581</v>
      </c>
      <c r="F3317">
        <v>0.33205006990059999</v>
      </c>
      <c r="G3317">
        <v>0.207260682033067</v>
      </c>
      <c r="H3317">
        <v>0.114924721982961</v>
      </c>
      <c r="I3317">
        <v>9.9627548809091304E-2</v>
      </c>
      <c r="J3317">
        <v>0.10713001296303799</v>
      </c>
      <c r="K3317">
        <v>9.3311122433268903E-2</v>
      </c>
      <c r="L3317">
        <v>13237.830301008</v>
      </c>
      <c r="M3317">
        <v>250</v>
      </c>
      <c r="N3317">
        <v>53.012015363733298</v>
      </c>
      <c r="O3317">
        <v>52.947936190894502</v>
      </c>
      <c r="P3317">
        <v>-1.0335025756923699</v>
      </c>
      <c r="Q3317">
        <v>0.124450804282177</v>
      </c>
      <c r="R3317">
        <v>0.97946632018962199</v>
      </c>
      <c r="S3317" t="s">
        <v>9769</v>
      </c>
      <c r="T3317" t="s">
        <v>12902</v>
      </c>
      <c r="U3317" t="s">
        <v>12902</v>
      </c>
      <c r="V3317" t="s">
        <v>12902</v>
      </c>
      <c r="W3317" t="s">
        <v>16178</v>
      </c>
      <c r="X3317">
        <v>110</v>
      </c>
      <c r="Y3317" t="s">
        <v>22508</v>
      </c>
      <c r="Z3317" t="s">
        <v>28892</v>
      </c>
      <c r="AA3317">
        <v>0.50251613009222618</v>
      </c>
      <c r="AB3317" t="str">
        <f>HYPERLINK("Melting_Curves/meltCurve_Q13813_SPTAN1.pdf", "Melting_Curves/meltCurve_Q13813_SPTAN1.pdf")</f>
        <v>Melting_Curves/meltCurve_Q13813_SPTAN1.pdf</v>
      </c>
    </row>
    <row r="3318" spans="1:28" x14ac:dyDescent="0.25">
      <c r="A3318" t="s">
        <v>3322</v>
      </c>
      <c r="B3318">
        <v>0.99673306730245903</v>
      </c>
      <c r="C3318">
        <v>0.83792121247072104</v>
      </c>
      <c r="D3318">
        <v>0.963057932265868</v>
      </c>
      <c r="E3318">
        <v>1.1877864458407601</v>
      </c>
      <c r="F3318">
        <v>0.28357256778834899</v>
      </c>
      <c r="G3318">
        <v>0.16571557345507801</v>
      </c>
      <c r="H3318">
        <v>7.5260809869452994E-2</v>
      </c>
      <c r="I3318">
        <v>4.7830852773313698E-2</v>
      </c>
      <c r="J3318">
        <v>9.5543319592333698E-2</v>
      </c>
      <c r="K3318">
        <v>7.7278984155295993E-2</v>
      </c>
      <c r="L3318">
        <v>13229.7381052624</v>
      </c>
      <c r="M3318">
        <v>250</v>
      </c>
      <c r="N3318">
        <v>52.962199510237198</v>
      </c>
      <c r="O3318">
        <v>52.915588359990799</v>
      </c>
      <c r="P3318">
        <v>-1.0720783365987301</v>
      </c>
      <c r="Q3318">
        <v>9.23258875865028E-2</v>
      </c>
      <c r="R3318">
        <v>0.963255368856062</v>
      </c>
      <c r="S3318" t="s">
        <v>9770</v>
      </c>
      <c r="T3318" t="s">
        <v>12902</v>
      </c>
      <c r="U3318" t="s">
        <v>12902</v>
      </c>
      <c r="V3318" t="s">
        <v>12902</v>
      </c>
      <c r="W3318" t="s">
        <v>16179</v>
      </c>
      <c r="X3318">
        <v>110</v>
      </c>
      <c r="Y3318" t="s">
        <v>22508</v>
      </c>
      <c r="Z3318" t="s">
        <v>28893</v>
      </c>
      <c r="AA3318">
        <v>0.48328347410991762</v>
      </c>
      <c r="AB3318" t="str">
        <f>HYPERLINK("Melting_Curves/meltCurve_Q13813_2_SPTAN1.pdf", "Melting_Curves/meltCurve_Q13813_2_SPTAN1.pdf")</f>
        <v>Melting_Curves/meltCurve_Q13813_2_SPTAN1.pdf</v>
      </c>
    </row>
    <row r="3319" spans="1:28" x14ac:dyDescent="0.25">
      <c r="A3319" t="s">
        <v>3323</v>
      </c>
      <c r="B3319">
        <v>0.99673306730245903</v>
      </c>
      <c r="C3319">
        <v>0.992653955306803</v>
      </c>
      <c r="D3319">
        <v>0.95234507521863199</v>
      </c>
      <c r="E3319">
        <v>0.838877423812184</v>
      </c>
      <c r="F3319">
        <v>0.24208304777155901</v>
      </c>
      <c r="G3319">
        <v>0.145694744588794</v>
      </c>
      <c r="H3319">
        <v>9.1552930084547998E-2</v>
      </c>
      <c r="I3319">
        <v>8.7021198312560805E-2</v>
      </c>
      <c r="J3319">
        <v>8.6074444561841601E-2</v>
      </c>
      <c r="K3319">
        <v>5.2743452338673197E-2</v>
      </c>
      <c r="L3319">
        <v>2189.27473961952</v>
      </c>
      <c r="M3319">
        <v>42.659640450492901</v>
      </c>
      <c r="N3319">
        <v>51.552684886888201</v>
      </c>
      <c r="O3319">
        <v>51.207194376971501</v>
      </c>
      <c r="P3319">
        <v>-0.19000251791502701</v>
      </c>
      <c r="Q3319">
        <v>8.7711078389198296E-2</v>
      </c>
      <c r="R3319">
        <v>0.99699759394423204</v>
      </c>
      <c r="S3319" t="s">
        <v>9771</v>
      </c>
      <c r="T3319" t="s">
        <v>12902</v>
      </c>
      <c r="U3319" t="s">
        <v>12902</v>
      </c>
      <c r="V3319" t="s">
        <v>12902</v>
      </c>
      <c r="W3319" t="s">
        <v>16180</v>
      </c>
      <c r="X3319">
        <v>11</v>
      </c>
      <c r="Y3319" t="s">
        <v>22509</v>
      </c>
      <c r="Z3319" t="s">
        <v>28894</v>
      </c>
      <c r="AA3319">
        <v>0.43477758372391823</v>
      </c>
      <c r="AB3319" t="str">
        <f>HYPERLINK("Melting_Curves/meltCurve_Q13825_AUH.pdf", "Melting_Curves/meltCurve_Q13825_AUH.pdf")</f>
        <v>Melting_Curves/meltCurve_Q13825_AUH.pdf</v>
      </c>
    </row>
    <row r="3320" spans="1:28" x14ac:dyDescent="0.25">
      <c r="A3320" t="s">
        <v>3324</v>
      </c>
      <c r="B3320">
        <v>0.99673306730245903</v>
      </c>
      <c r="C3320">
        <v>1.0718981127739999</v>
      </c>
      <c r="D3320">
        <v>1.4202026913625501</v>
      </c>
      <c r="E3320">
        <v>1.2027448389806601</v>
      </c>
      <c r="F3320">
        <v>1.36917871739708</v>
      </c>
      <c r="G3320">
        <v>1.1788140548592301</v>
      </c>
      <c r="H3320">
        <v>0.97837552938054495</v>
      </c>
      <c r="I3320">
        <v>1.01944932810186</v>
      </c>
      <c r="J3320">
        <v>1.4687913120401701</v>
      </c>
      <c r="K3320">
        <v>0.32983526638635602</v>
      </c>
      <c r="L3320">
        <v>15000</v>
      </c>
      <c r="M3320">
        <v>214.992796908998</v>
      </c>
      <c r="N3320">
        <v>69.769757026709499</v>
      </c>
      <c r="O3320">
        <v>69.763742425520206</v>
      </c>
      <c r="P3320">
        <v>-0.77043171012300304</v>
      </c>
      <c r="Q3320">
        <v>0</v>
      </c>
      <c r="R3320">
        <v>0.358257045120846</v>
      </c>
      <c r="S3320" t="s">
        <v>9772</v>
      </c>
      <c r="T3320" t="s">
        <v>12902</v>
      </c>
      <c r="U3320" t="s">
        <v>12902</v>
      </c>
      <c r="V3320" t="s">
        <v>12902</v>
      </c>
      <c r="W3320" t="s">
        <v>16181</v>
      </c>
      <c r="X3320">
        <v>7</v>
      </c>
      <c r="Y3320" t="s">
        <v>22510</v>
      </c>
      <c r="Z3320" t="s">
        <v>28895</v>
      </c>
      <c r="AA3320">
        <v>0.98808116110000832</v>
      </c>
      <c r="AB3320" t="str">
        <f>HYPERLINK("Melting_Curves/meltCurve_Q13867_BLMH.pdf", "Melting_Curves/meltCurve_Q13867_BLMH.pdf")</f>
        <v>Melting_Curves/meltCurve_Q13867_BLMH.pdf</v>
      </c>
    </row>
    <row r="3321" spans="1:28" x14ac:dyDescent="0.25">
      <c r="A3321" t="s">
        <v>3325</v>
      </c>
      <c r="B3321">
        <v>0.99673306730245903</v>
      </c>
      <c r="C3321">
        <v>1.0182870608382799</v>
      </c>
      <c r="D3321">
        <v>1.3002391718327899</v>
      </c>
      <c r="E3321">
        <v>1.6695648062512101</v>
      </c>
      <c r="F3321">
        <v>1.9187955260832199</v>
      </c>
      <c r="G3321">
        <v>1.59426039167803</v>
      </c>
      <c r="H3321">
        <v>0.98498637331788497</v>
      </c>
      <c r="I3321">
        <v>0.33989655961689103</v>
      </c>
      <c r="J3321">
        <v>0.184626594494638</v>
      </c>
      <c r="K3321">
        <v>0.12666957050226699</v>
      </c>
      <c r="L3321">
        <v>6218.6900614004098</v>
      </c>
      <c r="M3321">
        <v>98.427930285262605</v>
      </c>
      <c r="N3321">
        <v>63.417241266766702</v>
      </c>
      <c r="O3321">
        <v>63.154068584776802</v>
      </c>
      <c r="P3321">
        <v>-0.32965812609252898</v>
      </c>
      <c r="Q3321">
        <v>0.15392914778500599</v>
      </c>
      <c r="R3321">
        <v>0.51701853290590505</v>
      </c>
      <c r="S3321" t="s">
        <v>9773</v>
      </c>
      <c r="T3321" t="s">
        <v>12902</v>
      </c>
      <c r="U3321" t="s">
        <v>12902</v>
      </c>
      <c r="V3321" t="s">
        <v>12902</v>
      </c>
      <c r="W3321" t="s">
        <v>16182</v>
      </c>
      <c r="X3321">
        <v>12</v>
      </c>
      <c r="Y3321" t="s">
        <v>22511</v>
      </c>
      <c r="Z3321" t="s">
        <v>28896</v>
      </c>
      <c r="AA3321">
        <v>0.80826812233931666</v>
      </c>
      <c r="AB3321" t="str">
        <f>HYPERLINK("Melting_Curves/meltCurve_Q13868_EXOSC2.pdf", "Melting_Curves/meltCurve_Q13868_EXOSC2.pdf")</f>
        <v>Melting_Curves/meltCurve_Q13868_EXOSC2.pdf</v>
      </c>
    </row>
    <row r="3322" spans="1:28" x14ac:dyDescent="0.25">
      <c r="A3322" t="s">
        <v>3326</v>
      </c>
      <c r="B3322">
        <v>0.99673306730245903</v>
      </c>
      <c r="C3322">
        <v>0.825725924654369</v>
      </c>
      <c r="D3322">
        <v>0.48164881432148698</v>
      </c>
      <c r="E3322">
        <v>0.325817014428542</v>
      </c>
      <c r="F3322">
        <v>0.16103412905560199</v>
      </c>
      <c r="G3322">
        <v>0.106757527028962</v>
      </c>
      <c r="H3322">
        <v>7.1321208232856106E-2</v>
      </c>
      <c r="I3322">
        <v>8.1927995891987695E-2</v>
      </c>
      <c r="J3322">
        <v>0.10352869395074001</v>
      </c>
      <c r="K3322">
        <v>8.8623080072048596E-2</v>
      </c>
      <c r="L3322">
        <v>859.78300322985206</v>
      </c>
      <c r="M3322">
        <v>18.711874450524402</v>
      </c>
      <c r="N3322">
        <v>46.425977277148498</v>
      </c>
      <c r="O3322">
        <v>45.433379543035699</v>
      </c>
      <c r="P3322">
        <v>-9.3955158609454595E-2</v>
      </c>
      <c r="Q3322">
        <v>8.7527090083349204E-2</v>
      </c>
      <c r="R3322">
        <v>0.99023340673329896</v>
      </c>
      <c r="S3322" t="s">
        <v>9774</v>
      </c>
      <c r="T3322" t="s">
        <v>12902</v>
      </c>
      <c r="U3322" t="s">
        <v>12902</v>
      </c>
      <c r="V3322" t="s">
        <v>12902</v>
      </c>
      <c r="W3322" t="s">
        <v>16183</v>
      </c>
      <c r="X3322">
        <v>17</v>
      </c>
      <c r="Y3322" t="s">
        <v>22512</v>
      </c>
      <c r="Z3322" t="s">
        <v>28897</v>
      </c>
      <c r="AA3322">
        <v>0.2849348801195089</v>
      </c>
      <c r="AB3322" t="str">
        <f>HYPERLINK("Melting_Curves/meltCurve_Q13884_SNTB1.pdf", "Melting_Curves/meltCurve_Q13884_SNTB1.pdf")</f>
        <v>Melting_Curves/meltCurve_Q13884_SNTB1.pdf</v>
      </c>
    </row>
    <row r="3323" spans="1:28" x14ac:dyDescent="0.25">
      <c r="A3323" t="s">
        <v>3327</v>
      </c>
      <c r="B3323">
        <v>0.99673306730245903</v>
      </c>
      <c r="C3323">
        <v>0.98663020009957003</v>
      </c>
      <c r="D3323">
        <v>1.0078316297849901</v>
      </c>
      <c r="E3323">
        <v>0.93743550877760295</v>
      </c>
      <c r="F3323">
        <v>0.92177421367248003</v>
      </c>
      <c r="G3323">
        <v>0.706188026670866</v>
      </c>
      <c r="H3323">
        <v>0.304656371791937</v>
      </c>
      <c r="I3323">
        <v>7.3239249403369594E-2</v>
      </c>
      <c r="J3323">
        <v>4.9130422221654202E-2</v>
      </c>
      <c r="K3323">
        <v>3.8510481698472397E-2</v>
      </c>
      <c r="L3323">
        <v>1510.81791043573</v>
      </c>
      <c r="M3323">
        <v>25.761788009670301</v>
      </c>
      <c r="N3323">
        <v>58.675036584021598</v>
      </c>
      <c r="O3323">
        <v>58.295731068679999</v>
      </c>
      <c r="P3323">
        <v>-0.109773132812646</v>
      </c>
      <c r="Q3323">
        <v>6.3997711696277496E-3</v>
      </c>
      <c r="R3323">
        <v>0.996946117849695</v>
      </c>
      <c r="S3323" t="s">
        <v>9775</v>
      </c>
      <c r="T3323" t="s">
        <v>12902</v>
      </c>
      <c r="U3323" t="s">
        <v>12902</v>
      </c>
      <c r="V3323" t="s">
        <v>12902</v>
      </c>
      <c r="W3323" t="s">
        <v>16184</v>
      </c>
      <c r="X3323">
        <v>36</v>
      </c>
      <c r="Y3323" t="s">
        <v>22513</v>
      </c>
      <c r="Z3323" t="s">
        <v>28898</v>
      </c>
      <c r="AA3323">
        <v>0.63197337276761789</v>
      </c>
      <c r="AB3323" t="str">
        <f>HYPERLINK("Melting_Curves/meltCurve_Q13885_TUBB2A.pdf", "Melting_Curves/meltCurve_Q13885_TUBB2A.pdf")</f>
        <v>Melting_Curves/meltCurve_Q13885_TUBB2A.pdf</v>
      </c>
    </row>
    <row r="3324" spans="1:28" x14ac:dyDescent="0.25">
      <c r="A3324" t="s">
        <v>3328</v>
      </c>
      <c r="B3324">
        <v>0.99673306730245903</v>
      </c>
      <c r="C3324">
        <v>0.88401277281156998</v>
      </c>
      <c r="D3324">
        <v>0.81232895661984605</v>
      </c>
      <c r="E3324">
        <v>0.59269278901122302</v>
      </c>
      <c r="F3324">
        <v>0.40210965208550697</v>
      </c>
      <c r="G3324">
        <v>0.36386331951790601</v>
      </c>
      <c r="H3324">
        <v>0.264569132822292</v>
      </c>
      <c r="I3324">
        <v>0.248506443290508</v>
      </c>
      <c r="J3324">
        <v>0.32893407111400502</v>
      </c>
      <c r="K3324">
        <v>0.307717634007596</v>
      </c>
      <c r="L3324">
        <v>794.67502606170297</v>
      </c>
      <c r="M3324">
        <v>16.343205751434802</v>
      </c>
      <c r="N3324">
        <v>51.1664904768597</v>
      </c>
      <c r="O3324">
        <v>47.913672399548197</v>
      </c>
      <c r="P3324">
        <v>-6.1570269732815E-2</v>
      </c>
      <c r="Q3324">
        <v>0.27802539537047999</v>
      </c>
      <c r="R3324">
        <v>0.98686464097300897</v>
      </c>
      <c r="S3324" t="s">
        <v>9776</v>
      </c>
      <c r="T3324" t="s">
        <v>12902</v>
      </c>
      <c r="U3324" t="s">
        <v>12902</v>
      </c>
      <c r="V3324" t="s">
        <v>12902</v>
      </c>
      <c r="W3324" t="s">
        <v>16185</v>
      </c>
      <c r="X3324">
        <v>2</v>
      </c>
      <c r="Y3324" t="s">
        <v>22514</v>
      </c>
      <c r="Z3324" t="s">
        <v>28899</v>
      </c>
      <c r="AA3324">
        <v>0.50086881436918684</v>
      </c>
      <c r="AB3324" t="str">
        <f>HYPERLINK("Melting_Curves/meltCurve_Q13887_KLF5.pdf", "Melting_Curves/meltCurve_Q13887_KLF5.pdf")</f>
        <v>Melting_Curves/meltCurve_Q13887_KLF5.pdf</v>
      </c>
    </row>
    <row r="3325" spans="1:28" x14ac:dyDescent="0.25">
      <c r="A3325" t="s">
        <v>3329</v>
      </c>
      <c r="B3325">
        <v>0.99673306730245903</v>
      </c>
      <c r="C3325">
        <v>0.98855162687325104</v>
      </c>
      <c r="D3325">
        <v>0.79037252298306104</v>
      </c>
      <c r="E3325">
        <v>0.43770125473711402</v>
      </c>
      <c r="F3325">
        <v>0.33733105415194697</v>
      </c>
      <c r="G3325">
        <v>0.23532306299521599</v>
      </c>
      <c r="H3325">
        <v>0.13609598801459499</v>
      </c>
      <c r="I3325">
        <v>0.109000760395771</v>
      </c>
      <c r="J3325">
        <v>0.117760530664014</v>
      </c>
      <c r="K3325">
        <v>9.7351740463255995E-2</v>
      </c>
      <c r="L3325">
        <v>860.54415845530195</v>
      </c>
      <c r="M3325">
        <v>17.588909335657402</v>
      </c>
      <c r="N3325">
        <v>49.6654209927433</v>
      </c>
      <c r="O3325">
        <v>48.3061036774603</v>
      </c>
      <c r="P3325">
        <v>-8.05393531961342E-2</v>
      </c>
      <c r="Q3325">
        <v>0.11527607282813999</v>
      </c>
      <c r="R3325">
        <v>0.98851284900792302</v>
      </c>
      <c r="S3325" t="s">
        <v>9777</v>
      </c>
      <c r="T3325" t="s">
        <v>12902</v>
      </c>
      <c r="U3325" t="s">
        <v>12902</v>
      </c>
      <c r="V3325" t="s">
        <v>12902</v>
      </c>
      <c r="W3325" t="s">
        <v>16186</v>
      </c>
      <c r="X3325">
        <v>11</v>
      </c>
      <c r="Y3325" t="s">
        <v>22515</v>
      </c>
      <c r="Z3325" t="s">
        <v>28900</v>
      </c>
      <c r="AA3325">
        <v>0.39456295687669751</v>
      </c>
      <c r="AB3325" t="str">
        <f>HYPERLINK("Melting_Curves/meltCurve_Q13895_BYSL.pdf", "Melting_Curves/meltCurve_Q13895_BYSL.pdf")</f>
        <v>Melting_Curves/meltCurve_Q13895_BYSL.pdf</v>
      </c>
    </row>
    <row r="3326" spans="1:28" x14ac:dyDescent="0.25">
      <c r="A3326" t="s">
        <v>3330</v>
      </c>
      <c r="B3326">
        <v>0.99673306730245903</v>
      </c>
      <c r="C3326">
        <v>0.98297241319120399</v>
      </c>
      <c r="D3326">
        <v>0.94069459210709505</v>
      </c>
      <c r="E3326">
        <v>0.84839144947532197</v>
      </c>
      <c r="F3326">
        <v>0.80216178220410295</v>
      </c>
      <c r="G3326">
        <v>0.67156341892339599</v>
      </c>
      <c r="H3326">
        <v>0.48819411421266801</v>
      </c>
      <c r="I3326">
        <v>0.62751059818461996</v>
      </c>
      <c r="J3326">
        <v>0.68358205185526</v>
      </c>
      <c r="K3326">
        <v>0.52219083990005999</v>
      </c>
      <c r="L3326">
        <v>818.51280120108402</v>
      </c>
      <c r="M3326">
        <v>15.649874473605999</v>
      </c>
      <c r="O3326">
        <v>51.469924798308902</v>
      </c>
      <c r="P3326">
        <v>-3.2962397458355303E-2</v>
      </c>
      <c r="Q3326">
        <v>0.56640503764119499</v>
      </c>
      <c r="R3326">
        <v>0.89398630178935501</v>
      </c>
      <c r="S3326" t="s">
        <v>9778</v>
      </c>
      <c r="T3326" t="s">
        <v>12902</v>
      </c>
      <c r="U3326" t="s">
        <v>12902</v>
      </c>
      <c r="V3326" t="s">
        <v>12902</v>
      </c>
      <c r="W3326" t="s">
        <v>16187</v>
      </c>
      <c r="X3326">
        <v>16</v>
      </c>
      <c r="Y3326" t="s">
        <v>22516</v>
      </c>
      <c r="Z3326" t="s">
        <v>28901</v>
      </c>
      <c r="AA3326">
        <v>0.75319580210126247</v>
      </c>
      <c r="AB3326" t="str">
        <f>HYPERLINK("Melting_Curves/meltCurve_Q13907_IDI1.pdf", "Melting_Curves/meltCurve_Q13907_IDI1.pdf")</f>
        <v>Melting_Curves/meltCurve_Q13907_IDI1.pdf</v>
      </c>
    </row>
    <row r="3327" spans="1:28" x14ac:dyDescent="0.25">
      <c r="A3327" t="s">
        <v>3331</v>
      </c>
      <c r="B3327">
        <v>0.99673306730245903</v>
      </c>
      <c r="C3327">
        <v>0.96834232946004595</v>
      </c>
      <c r="D3327">
        <v>0.77102655908854101</v>
      </c>
      <c r="E3327">
        <v>0.384730916595516</v>
      </c>
      <c r="F3327">
        <v>0.32767251327496499</v>
      </c>
      <c r="G3327">
        <v>0.229916243721801</v>
      </c>
      <c r="H3327">
        <v>0.13141056143752999</v>
      </c>
      <c r="I3327">
        <v>9.5181824286314401E-2</v>
      </c>
      <c r="J3327">
        <v>8.8232682070041799E-2</v>
      </c>
      <c r="K3327">
        <v>6.76933669356376E-2</v>
      </c>
      <c r="L3327">
        <v>832.26789078328204</v>
      </c>
      <c r="M3327">
        <v>17.1165660224462</v>
      </c>
      <c r="N3327">
        <v>49.250980314574001</v>
      </c>
      <c r="O3327">
        <v>47.974397763365602</v>
      </c>
      <c r="P3327">
        <v>-8.0463328853643296E-2</v>
      </c>
      <c r="Q3327">
        <v>9.7962171574551699E-2</v>
      </c>
      <c r="R3327">
        <v>0.98311711537502</v>
      </c>
      <c r="S3327" t="s">
        <v>9779</v>
      </c>
      <c r="T3327" t="s">
        <v>12902</v>
      </c>
      <c r="U3327" t="s">
        <v>12902</v>
      </c>
      <c r="V3327" t="s">
        <v>12902</v>
      </c>
      <c r="W3327" t="s">
        <v>16188</v>
      </c>
      <c r="X3327">
        <v>10</v>
      </c>
      <c r="Y3327" t="s">
        <v>22517</v>
      </c>
      <c r="Z3327" t="s">
        <v>28902</v>
      </c>
      <c r="AA3327">
        <v>0.37468246826762991</v>
      </c>
      <c r="AB3327" t="str">
        <f>HYPERLINK("Melting_Curves/meltCurve_Q13951_CBFB.pdf", "Melting_Curves/meltCurve_Q13951_CBFB.pdf")</f>
        <v>Melting_Curves/meltCurve_Q13951_CBFB.pdf</v>
      </c>
    </row>
    <row r="3328" spans="1:28" x14ac:dyDescent="0.25">
      <c r="A3328" t="s">
        <v>3332</v>
      </c>
      <c r="B3328">
        <v>0.99673306730245903</v>
      </c>
      <c r="C3328">
        <v>1.01992119527701</v>
      </c>
      <c r="D3328">
        <v>0.85002665914245901</v>
      </c>
      <c r="E3328">
        <v>0.430250272876046</v>
      </c>
      <c r="F3328">
        <v>0.238993905724038</v>
      </c>
      <c r="G3328">
        <v>0.16641186703553101</v>
      </c>
      <c r="H3328">
        <v>0.14371471826868501</v>
      </c>
      <c r="I3328">
        <v>0.15795247237632201</v>
      </c>
      <c r="J3328">
        <v>0.179154769586295</v>
      </c>
      <c r="K3328">
        <v>0.166093365986588</v>
      </c>
      <c r="L3328">
        <v>1447.17065060508</v>
      </c>
      <c r="M3328">
        <v>29.9025382978115</v>
      </c>
      <c r="N3328">
        <v>49.046296062605798</v>
      </c>
      <c r="O3328">
        <v>48.181352933688501</v>
      </c>
      <c r="P3328">
        <v>-0.12977306619227699</v>
      </c>
      <c r="Q3328">
        <v>0.16360275451518499</v>
      </c>
      <c r="R3328">
        <v>0.99774159065523704</v>
      </c>
      <c r="S3328" t="s">
        <v>9780</v>
      </c>
      <c r="T3328" t="s">
        <v>12902</v>
      </c>
      <c r="U3328" t="s">
        <v>12902</v>
      </c>
      <c r="V3328" t="s">
        <v>12902</v>
      </c>
      <c r="W3328" t="s">
        <v>16189</v>
      </c>
      <c r="X3328">
        <v>10</v>
      </c>
      <c r="Y3328" t="s">
        <v>22517</v>
      </c>
      <c r="Z3328" t="s">
        <v>28903</v>
      </c>
      <c r="AA3328">
        <v>0.40277792775335319</v>
      </c>
      <c r="AB3328" t="str">
        <f>HYPERLINK("Melting_Curves/meltCurve_Q13951_2_CBFB.pdf", "Melting_Curves/meltCurve_Q13951_2_CBFB.pdf")</f>
        <v>Melting_Curves/meltCurve_Q13951_2_CBFB.pdf</v>
      </c>
    </row>
    <row r="3329" spans="1:28" x14ac:dyDescent="0.25">
      <c r="A3329" t="s">
        <v>3333</v>
      </c>
      <c r="B3329">
        <v>0.99673306730245903</v>
      </c>
      <c r="C3329">
        <v>0.94108735142284095</v>
      </c>
      <c r="D3329">
        <v>0.80117354382594197</v>
      </c>
      <c r="E3329">
        <v>0.77958137972536901</v>
      </c>
      <c r="F3329">
        <v>0.625696017851196</v>
      </c>
      <c r="G3329">
        <v>0.386600948971078</v>
      </c>
      <c r="H3329">
        <v>8.72940144695349E-2</v>
      </c>
      <c r="I3329">
        <v>4.5074737296713401E-2</v>
      </c>
      <c r="J3329">
        <v>4.3324203483449099E-2</v>
      </c>
      <c r="K3329">
        <v>3.9771319642364897E-2</v>
      </c>
      <c r="L3329">
        <v>780.86815957169995</v>
      </c>
      <c r="M3329">
        <v>14.4327108310938</v>
      </c>
      <c r="N3329">
        <v>54.1040538535796</v>
      </c>
      <c r="O3329">
        <v>53.0971767883347</v>
      </c>
      <c r="P3329">
        <v>-6.79622126569802E-2</v>
      </c>
      <c r="Q3329">
        <v>0</v>
      </c>
      <c r="R3329">
        <v>0.976408935940691</v>
      </c>
      <c r="S3329" t="s">
        <v>9781</v>
      </c>
      <c r="T3329" t="s">
        <v>12902</v>
      </c>
      <c r="U3329" t="s">
        <v>12902</v>
      </c>
      <c r="V3329" t="s">
        <v>12902</v>
      </c>
      <c r="W3329" t="s">
        <v>16190</v>
      </c>
      <c r="X3329">
        <v>9</v>
      </c>
      <c r="Y3329" t="s">
        <v>22518</v>
      </c>
      <c r="Z3329" t="s">
        <v>28904</v>
      </c>
      <c r="AA3329">
        <v>0.4914981378582694</v>
      </c>
      <c r="AB3329" t="str">
        <f>HYPERLINK("Melting_Curves/meltCurve_Q13952_3_NFYC.pdf", "Melting_Curves/meltCurve_Q13952_3_NFYC.pdf")</f>
        <v>Melting_Curves/meltCurve_Q13952_3_NFYC.pdf</v>
      </c>
    </row>
    <row r="3330" spans="1:28" x14ac:dyDescent="0.25">
      <c r="A3330" t="s">
        <v>3334</v>
      </c>
      <c r="B3330">
        <v>0.99673306730245903</v>
      </c>
      <c r="C3330">
        <v>0.912930285578469</v>
      </c>
      <c r="D3330">
        <v>0.86457770152590896</v>
      </c>
      <c r="E3330">
        <v>0.59388054131923995</v>
      </c>
      <c r="F3330">
        <v>0.22739109216393599</v>
      </c>
      <c r="G3330">
        <v>0.151495834189285</v>
      </c>
      <c r="H3330">
        <v>9.1805097959095999E-2</v>
      </c>
      <c r="I3330">
        <v>7.6500015180069006E-2</v>
      </c>
      <c r="J3330">
        <v>6.4614830957025096E-2</v>
      </c>
      <c r="K3330">
        <v>6.0728305869758602E-2</v>
      </c>
      <c r="L3330">
        <v>1038.1100702393101</v>
      </c>
      <c r="M3330">
        <v>20.7871641595809</v>
      </c>
      <c r="N3330">
        <v>50.264938012559199</v>
      </c>
      <c r="O3330">
        <v>49.484671020126697</v>
      </c>
      <c r="P3330">
        <v>-9.8417574847506004E-2</v>
      </c>
      <c r="Q3330">
        <v>6.2878381910060996E-2</v>
      </c>
      <c r="R3330">
        <v>0.99556905211441604</v>
      </c>
      <c r="S3330" t="s">
        <v>9782</v>
      </c>
      <c r="T3330" t="s">
        <v>12902</v>
      </c>
      <c r="U3330" t="s">
        <v>12902</v>
      </c>
      <c r="V3330" t="s">
        <v>12902</v>
      </c>
      <c r="W3330" t="s">
        <v>16191</v>
      </c>
      <c r="X3330">
        <v>3</v>
      </c>
      <c r="Y3330" t="s">
        <v>22519</v>
      </c>
      <c r="Z3330" t="s">
        <v>28905</v>
      </c>
      <c r="AA3330">
        <v>0.38547340260150131</v>
      </c>
      <c r="AB3330" t="str">
        <f>HYPERLINK("Melting_Curves/meltCurve_Q13976_PRKG1.pdf", "Melting_Curves/meltCurve_Q13976_PRKG1.pdf")</f>
        <v>Melting_Curves/meltCurve_Q13976_PRKG1.pdf</v>
      </c>
    </row>
    <row r="3331" spans="1:28" x14ac:dyDescent="0.25">
      <c r="A3331" t="s">
        <v>3335</v>
      </c>
      <c r="B3331">
        <v>0.99673306730245903</v>
      </c>
      <c r="C3331">
        <v>0.823246399623905</v>
      </c>
      <c r="D3331">
        <v>0.59083716687445798</v>
      </c>
      <c r="E3331">
        <v>0.28740535721396299</v>
      </c>
      <c r="F3331">
        <v>0.159513557198915</v>
      </c>
      <c r="G3331">
        <v>9.8994515142695097E-2</v>
      </c>
      <c r="H3331">
        <v>6.6365677003008397E-2</v>
      </c>
      <c r="I3331">
        <v>6.3912860516205899E-2</v>
      </c>
      <c r="J3331">
        <v>5.4560775217407098E-2</v>
      </c>
      <c r="K3331">
        <v>4.8280165367033501E-2</v>
      </c>
      <c r="L3331">
        <v>848.97728685204402</v>
      </c>
      <c r="M3331">
        <v>18.197619172882799</v>
      </c>
      <c r="N3331">
        <v>46.956293637513198</v>
      </c>
      <c r="O3331">
        <v>46.100784481236197</v>
      </c>
      <c r="P3331">
        <v>-9.3220078717066404E-2</v>
      </c>
      <c r="Q3331">
        <v>5.5411737779385503E-2</v>
      </c>
      <c r="R3331">
        <v>0.99793663512458497</v>
      </c>
      <c r="S3331" t="s">
        <v>9783</v>
      </c>
      <c r="T3331" t="s">
        <v>12902</v>
      </c>
      <c r="U3331" t="s">
        <v>12902</v>
      </c>
      <c r="V3331" t="s">
        <v>12902</v>
      </c>
      <c r="W3331" t="s">
        <v>16192</v>
      </c>
      <c r="X3331">
        <v>50</v>
      </c>
      <c r="Y3331" t="s">
        <v>22520</v>
      </c>
      <c r="Z3331" t="s">
        <v>28906</v>
      </c>
      <c r="AA3331">
        <v>0.28222648183761678</v>
      </c>
      <c r="AB3331" t="str">
        <f>HYPERLINK("Melting_Curves/meltCurve_Q14008_2_CKAP5.pdf", "Melting_Curves/meltCurve_Q14008_2_CKAP5.pdf")</f>
        <v>Melting_Curves/meltCurve_Q14008_2_CKAP5.pdf</v>
      </c>
    </row>
    <row r="3332" spans="1:28" x14ac:dyDescent="0.25">
      <c r="A3332" t="s">
        <v>3336</v>
      </c>
      <c r="B3332">
        <v>0.99673306730245903</v>
      </c>
      <c r="C3332">
        <v>0.949993433329128</v>
      </c>
      <c r="D3332">
        <v>0.98227012790735102</v>
      </c>
      <c r="E3332">
        <v>0.802741384544155</v>
      </c>
      <c r="F3332">
        <v>0.62263850754235395</v>
      </c>
      <c r="G3332">
        <v>0.416504773019931</v>
      </c>
      <c r="H3332">
        <v>0.285955917877594</v>
      </c>
      <c r="I3332">
        <v>0.31262303478205</v>
      </c>
      <c r="J3332">
        <v>0.55451401622538798</v>
      </c>
      <c r="K3332">
        <v>0.54055634311080203</v>
      </c>
      <c r="L3332">
        <v>1391.864012021</v>
      </c>
      <c r="M3332">
        <v>27.188319640962401</v>
      </c>
      <c r="N3332">
        <v>54.868498754296297</v>
      </c>
      <c r="O3332">
        <v>50.918908750095099</v>
      </c>
      <c r="P3332">
        <v>-7.75478213772961E-2</v>
      </c>
      <c r="Q3332">
        <v>0.41907224610816701</v>
      </c>
      <c r="R3332">
        <v>0.89264490999949897</v>
      </c>
      <c r="S3332" t="s">
        <v>9784</v>
      </c>
      <c r="T3332" t="s">
        <v>12902</v>
      </c>
      <c r="U3332" t="s">
        <v>12902</v>
      </c>
      <c r="V3332" t="s">
        <v>12902</v>
      </c>
      <c r="W3332" t="s">
        <v>16193</v>
      </c>
      <c r="X3332">
        <v>9</v>
      </c>
      <c r="Y3332" t="s">
        <v>22521</v>
      </c>
      <c r="Z3332" t="s">
        <v>28907</v>
      </c>
      <c r="AA3332">
        <v>0.64028252517798967</v>
      </c>
      <c r="AB3332" t="str">
        <f>HYPERLINK("Melting_Curves/meltCurve_Q14011_CIRBP.pdf", "Melting_Curves/meltCurve_Q14011_CIRBP.pdf")</f>
        <v>Melting_Curves/meltCurve_Q14011_CIRBP.pdf</v>
      </c>
    </row>
    <row r="3333" spans="1:28" x14ac:dyDescent="0.25">
      <c r="A3333" t="s">
        <v>3337</v>
      </c>
      <c r="B3333">
        <v>0.99673306730245903</v>
      </c>
      <c r="C3333">
        <v>1.02333484025576</v>
      </c>
      <c r="D3333">
        <v>0.98802165319579804</v>
      </c>
      <c r="E3333">
        <v>0.99999631825439195</v>
      </c>
      <c r="F3333">
        <v>0.41646198454983302</v>
      </c>
      <c r="G3333">
        <v>0.184996672754037</v>
      </c>
      <c r="H3333">
        <v>9.3901274829586504E-2</v>
      </c>
      <c r="I3333">
        <v>9.5552611471885804E-2</v>
      </c>
      <c r="J3333">
        <v>9.6345127980495604E-2</v>
      </c>
      <c r="K3333">
        <v>9.1906399226344804E-2</v>
      </c>
      <c r="L3333">
        <v>2956.2199033175002</v>
      </c>
      <c r="M3333">
        <v>56.168320901537498</v>
      </c>
      <c r="N3333">
        <v>52.861784049341303</v>
      </c>
      <c r="O3333">
        <v>52.564850363224103</v>
      </c>
      <c r="P3333">
        <v>-0.23814085356665601</v>
      </c>
      <c r="Q3333">
        <v>0.10854854065780099</v>
      </c>
      <c r="R3333">
        <v>0.99648637470190704</v>
      </c>
      <c r="S3333" t="s">
        <v>9785</v>
      </c>
      <c r="T3333" t="s">
        <v>12902</v>
      </c>
      <c r="U3333" t="s">
        <v>12902</v>
      </c>
      <c r="V3333" t="s">
        <v>12902</v>
      </c>
      <c r="W3333" t="s">
        <v>16194</v>
      </c>
      <c r="X3333">
        <v>10</v>
      </c>
      <c r="Y3333" t="s">
        <v>22522</v>
      </c>
      <c r="Z3333" t="s">
        <v>28908</v>
      </c>
      <c r="AA3333">
        <v>0.48553058077062788</v>
      </c>
      <c r="AB3333" t="str">
        <f>HYPERLINK("Melting_Curves/meltCurve_Q14019_COTL1.pdf", "Melting_Curves/meltCurve_Q14019_COTL1.pdf")</f>
        <v>Melting_Curves/meltCurve_Q14019_COTL1.pdf</v>
      </c>
    </row>
    <row r="3334" spans="1:28" x14ac:dyDescent="0.25">
      <c r="A3334" t="s">
        <v>3338</v>
      </c>
      <c r="B3334">
        <v>0.99673306730245903</v>
      </c>
      <c r="C3334">
        <v>0.88006000063509005</v>
      </c>
      <c r="D3334">
        <v>0.87125827283921298</v>
      </c>
      <c r="E3334">
        <v>0.76609702561258597</v>
      </c>
      <c r="F3334">
        <v>0.536792879573743</v>
      </c>
      <c r="G3334">
        <v>0.42591471391463598</v>
      </c>
      <c r="H3334">
        <v>0.338070893946189</v>
      </c>
      <c r="I3334">
        <v>0.439001203317261</v>
      </c>
      <c r="J3334">
        <v>0.618814895531686</v>
      </c>
      <c r="K3334">
        <v>0.56568168711623901</v>
      </c>
      <c r="L3334">
        <v>1031.4442870114201</v>
      </c>
      <c r="M3334">
        <v>21.060401921232899</v>
      </c>
      <c r="N3334">
        <v>56.794466091797602</v>
      </c>
      <c r="O3334">
        <v>48.540384847996897</v>
      </c>
      <c r="P3334">
        <v>-5.7221701081411301E-2</v>
      </c>
      <c r="Q3334">
        <v>0.47247177212990898</v>
      </c>
      <c r="R3334">
        <v>0.84232538700579596</v>
      </c>
      <c r="S3334" t="s">
        <v>9786</v>
      </c>
      <c r="T3334" t="s">
        <v>12902</v>
      </c>
      <c r="U3334" t="s">
        <v>12902</v>
      </c>
      <c r="V3334" t="s">
        <v>12902</v>
      </c>
      <c r="W3334" t="s">
        <v>16195</v>
      </c>
      <c r="X3334">
        <v>1</v>
      </c>
      <c r="Y3334" t="s">
        <v>22523</v>
      </c>
      <c r="Z3334" t="s">
        <v>28909</v>
      </c>
      <c r="AA3334">
        <v>0.63695126533097046</v>
      </c>
      <c r="AB3334" t="str">
        <f>HYPERLINK("Melting_Curves/meltCurve_Q14050_COL9A3.pdf", "Melting_Curves/meltCurve_Q14050_COL9A3.pdf")</f>
        <v>Melting_Curves/meltCurve_Q14050_COL9A3.pdf</v>
      </c>
    </row>
    <row r="3335" spans="1:28" x14ac:dyDescent="0.25">
      <c r="A3335" t="s">
        <v>3339</v>
      </c>
      <c r="B3335">
        <v>0.99673306730245903</v>
      </c>
      <c r="C3335">
        <v>0.98632626904168497</v>
      </c>
      <c r="D3335">
        <v>1.1204910612975001</v>
      </c>
      <c r="E3335">
        <v>1.03614734999201</v>
      </c>
      <c r="F3335">
        <v>0.88214301755393099</v>
      </c>
      <c r="G3335">
        <v>0.77837494875254798</v>
      </c>
      <c r="H3335">
        <v>0.83223843969884104</v>
      </c>
      <c r="I3335">
        <v>1.8418335589563799</v>
      </c>
      <c r="J3335">
        <v>2.29255957717867</v>
      </c>
      <c r="K3335">
        <v>2.13559083941816</v>
      </c>
      <c r="L3335">
        <v>6290.4328510825399</v>
      </c>
      <c r="M3335">
        <v>101.186130321684</v>
      </c>
      <c r="O3335">
        <v>62.142676890517698</v>
      </c>
      <c r="P3335">
        <v>0.20353592295025899</v>
      </c>
      <c r="Q3335">
        <v>1.5</v>
      </c>
      <c r="R3335">
        <v>0.55926496563567196</v>
      </c>
      <c r="S3335" t="s">
        <v>9787</v>
      </c>
      <c r="T3335" t="s">
        <v>12902</v>
      </c>
      <c r="U3335" t="s">
        <v>12902</v>
      </c>
      <c r="V3335" t="s">
        <v>12902</v>
      </c>
      <c r="W3335" t="s">
        <v>16196</v>
      </c>
      <c r="X3335">
        <v>7</v>
      </c>
      <c r="Y3335" t="s">
        <v>22524</v>
      </c>
      <c r="Z3335" t="s">
        <v>28910</v>
      </c>
      <c r="AA3335">
        <v>1.130217661240668</v>
      </c>
      <c r="AB3335" t="str">
        <f>HYPERLINK("Melting_Curves/meltCurve_Q14061_COX17.pdf", "Melting_Curves/meltCurve_Q14061_COX17.pdf")</f>
        <v>Melting_Curves/meltCurve_Q14061_COX17.pdf</v>
      </c>
    </row>
    <row r="3336" spans="1:28" x14ac:dyDescent="0.25">
      <c r="A3336" t="s">
        <v>3340</v>
      </c>
      <c r="B3336">
        <v>0.99673306730245903</v>
      </c>
      <c r="C3336">
        <v>0.94933714683598702</v>
      </c>
      <c r="D3336">
        <v>0.97701094703991798</v>
      </c>
      <c r="E3336">
        <v>0.98421252297815198</v>
      </c>
      <c r="F3336">
        <v>0.90172960729671003</v>
      </c>
      <c r="G3336">
        <v>0.73937699867124695</v>
      </c>
      <c r="H3336">
        <v>0.49352213377040899</v>
      </c>
      <c r="I3336">
        <v>0.54107604664591102</v>
      </c>
      <c r="J3336">
        <v>0.66154117260700496</v>
      </c>
      <c r="K3336">
        <v>0.76843181199590704</v>
      </c>
      <c r="L3336">
        <v>2164.84712726208</v>
      </c>
      <c r="M3336">
        <v>39.394137260019498</v>
      </c>
      <c r="O3336">
        <v>54.812499414260898</v>
      </c>
      <c r="P3336">
        <v>-6.8177536766787103E-2</v>
      </c>
      <c r="Q3336">
        <v>0.62055542245859996</v>
      </c>
      <c r="R3336">
        <v>0.83448099399537301</v>
      </c>
      <c r="S3336" t="s">
        <v>9788</v>
      </c>
      <c r="T3336" t="s">
        <v>12902</v>
      </c>
      <c r="U3336" t="s">
        <v>12902</v>
      </c>
      <c r="V3336" t="s">
        <v>12902</v>
      </c>
      <c r="W3336" t="s">
        <v>16197</v>
      </c>
      <c r="X3336">
        <v>25</v>
      </c>
      <c r="Y3336" t="s">
        <v>22525</v>
      </c>
      <c r="Z3336" t="s">
        <v>28911</v>
      </c>
      <c r="AA3336">
        <v>0.81117043125353072</v>
      </c>
      <c r="AB3336" t="str">
        <f>HYPERLINK("Melting_Curves/meltCurve_Q14103_3_HNRNPD.pdf", "Melting_Curves/meltCurve_Q14103_3_HNRNPD.pdf")</f>
        <v>Melting_Curves/meltCurve_Q14103_3_HNRNPD.pdf</v>
      </c>
    </row>
    <row r="3337" spans="1:28" x14ac:dyDescent="0.25">
      <c r="A3337" t="s">
        <v>3341</v>
      </c>
      <c r="B3337">
        <v>0.99673306730245903</v>
      </c>
      <c r="C3337">
        <v>0.97214653641597204</v>
      </c>
      <c r="D3337">
        <v>0.92278939743066402</v>
      </c>
      <c r="E3337">
        <v>0.80744374265638696</v>
      </c>
      <c r="F3337">
        <v>0.71483993845353699</v>
      </c>
      <c r="G3337">
        <v>0.61683595899934596</v>
      </c>
      <c r="H3337">
        <v>0.56262631929964602</v>
      </c>
      <c r="I3337">
        <v>0.521476287462592</v>
      </c>
      <c r="J3337">
        <v>0.37551042309108901</v>
      </c>
      <c r="K3337">
        <v>0.208894316080872</v>
      </c>
      <c r="L3337">
        <v>423.13959503138602</v>
      </c>
      <c r="M3337">
        <v>6.86988394822923</v>
      </c>
      <c r="N3337">
        <v>61.593412372291503</v>
      </c>
      <c r="O3337">
        <v>57.008205220956199</v>
      </c>
      <c r="P3337">
        <v>-3.01865553229822E-2</v>
      </c>
      <c r="Q3337">
        <v>0</v>
      </c>
      <c r="R3337">
        <v>0.96446888880028603</v>
      </c>
      <c r="S3337" t="s">
        <v>9789</v>
      </c>
      <c r="T3337" t="s">
        <v>12902</v>
      </c>
      <c r="U3337" t="s">
        <v>12902</v>
      </c>
      <c r="V3337" t="s">
        <v>12902</v>
      </c>
      <c r="W3337" t="s">
        <v>16198</v>
      </c>
      <c r="X3337">
        <v>9</v>
      </c>
      <c r="Y3337" t="s">
        <v>22526</v>
      </c>
      <c r="Z3337" t="s">
        <v>28912</v>
      </c>
      <c r="AA3337">
        <v>0.67572422571801538</v>
      </c>
      <c r="AB3337" t="str">
        <f>HYPERLINK("Melting_Curves/meltCurve_Q14108_SCARB2.pdf", "Melting_Curves/meltCurve_Q14108_SCARB2.pdf")</f>
        <v>Melting_Curves/meltCurve_Q14108_SCARB2.pdf</v>
      </c>
    </row>
    <row r="3338" spans="1:28" x14ac:dyDescent="0.25">
      <c r="A3338" t="s">
        <v>3342</v>
      </c>
      <c r="B3338">
        <v>0.99673306730245903</v>
      </c>
      <c r="C3338">
        <v>0.95539838130561106</v>
      </c>
      <c r="D3338">
        <v>0.90296732075310204</v>
      </c>
      <c r="E3338">
        <v>0.84294162842702103</v>
      </c>
      <c r="F3338">
        <v>0.75884970490832204</v>
      </c>
      <c r="G3338">
        <v>0.582335281634211</v>
      </c>
      <c r="H3338">
        <v>0.41486290009400001</v>
      </c>
      <c r="I3338">
        <v>0.44665948745664602</v>
      </c>
      <c r="J3338">
        <v>0.39057678792384198</v>
      </c>
      <c r="K3338">
        <v>0.33786084706692898</v>
      </c>
      <c r="L3338">
        <v>617.24526366274097</v>
      </c>
      <c r="M3338">
        <v>11.1803374263646</v>
      </c>
      <c r="N3338">
        <v>59.757842948335899</v>
      </c>
      <c r="O3338">
        <v>53.530235632132097</v>
      </c>
      <c r="P3338">
        <v>-3.7264422890961497E-2</v>
      </c>
      <c r="Q3338">
        <v>0.28655412118715601</v>
      </c>
      <c r="R3338">
        <v>0.98649848407489305</v>
      </c>
      <c r="S3338" t="s">
        <v>9790</v>
      </c>
      <c r="T3338" t="s">
        <v>12902</v>
      </c>
      <c r="U3338" t="s">
        <v>12902</v>
      </c>
      <c r="V3338" t="s">
        <v>12902</v>
      </c>
      <c r="W3338" t="s">
        <v>16199</v>
      </c>
      <c r="X3338">
        <v>6</v>
      </c>
      <c r="Y3338" t="s">
        <v>22527</v>
      </c>
      <c r="Z3338" t="s">
        <v>28913</v>
      </c>
      <c r="AA3338">
        <v>0.66520104321903195</v>
      </c>
      <c r="AB3338" t="str">
        <f>HYPERLINK("Melting_Curves/meltCurve_Q14114_4_LRP8.pdf", "Melting_Curves/meltCurve_Q14114_4_LRP8.pdf")</f>
        <v>Melting_Curves/meltCurve_Q14114_4_LRP8.pdf</v>
      </c>
    </row>
    <row r="3339" spans="1:28" x14ac:dyDescent="0.25">
      <c r="A3339" t="s">
        <v>3343</v>
      </c>
      <c r="B3339">
        <v>0.99673306730245903</v>
      </c>
      <c r="C3339">
        <v>0.97472152576946403</v>
      </c>
      <c r="D3339">
        <v>0.95842977903521598</v>
      </c>
      <c r="E3339">
        <v>0.87084619084585801</v>
      </c>
      <c r="F3339">
        <v>0.77892246377989904</v>
      </c>
      <c r="G3339">
        <v>0.63920620181979804</v>
      </c>
      <c r="H3339">
        <v>0.53223887950196602</v>
      </c>
      <c r="I3339">
        <v>0.67976123280721701</v>
      </c>
      <c r="J3339">
        <v>0.64860937136093799</v>
      </c>
      <c r="K3339">
        <v>0.59709454116348704</v>
      </c>
      <c r="L3339">
        <v>1070.4661692923801</v>
      </c>
      <c r="M3339">
        <v>20.751812050758101</v>
      </c>
      <c r="O3339">
        <v>51.112371653203901</v>
      </c>
      <c r="P3339">
        <v>-3.97591339659851E-2</v>
      </c>
      <c r="Q3339">
        <v>0.60829898606906896</v>
      </c>
      <c r="R3339">
        <v>0.93803206030855202</v>
      </c>
      <c r="S3339" t="s">
        <v>9791</v>
      </c>
      <c r="T3339" t="s">
        <v>12902</v>
      </c>
      <c r="U3339" t="s">
        <v>12902</v>
      </c>
      <c r="V3339" t="s">
        <v>12902</v>
      </c>
      <c r="W3339" t="s">
        <v>16200</v>
      </c>
      <c r="X3339">
        <v>14</v>
      </c>
      <c r="Y3339" t="s">
        <v>22528</v>
      </c>
      <c r="Z3339" t="s">
        <v>28914</v>
      </c>
      <c r="AA3339">
        <v>0.76462359622565879</v>
      </c>
      <c r="AB3339" t="str">
        <f>HYPERLINK("Melting_Curves/meltCurve_Q14118_DAG1.pdf", "Melting_Curves/meltCurve_Q14118_DAG1.pdf")</f>
        <v>Melting_Curves/meltCurve_Q14118_DAG1.pdf</v>
      </c>
    </row>
    <row r="3340" spans="1:28" x14ac:dyDescent="0.25">
      <c r="A3340" t="s">
        <v>3344</v>
      </c>
      <c r="B3340">
        <v>0.99673306730245903</v>
      </c>
      <c r="C3340">
        <v>1.01915054974244</v>
      </c>
      <c r="D3340">
        <v>1.0154267099057599</v>
      </c>
      <c r="E3340">
        <v>0.84050084467297004</v>
      </c>
      <c r="F3340">
        <v>0.56336329888526304</v>
      </c>
      <c r="G3340">
        <v>0.391112171621398</v>
      </c>
      <c r="H3340">
        <v>0.28490756189191802</v>
      </c>
      <c r="I3340">
        <v>0.37314249961836998</v>
      </c>
      <c r="J3340">
        <v>0.53819990907847803</v>
      </c>
      <c r="K3340">
        <v>0.50326186609824897</v>
      </c>
      <c r="L3340">
        <v>1811.96834721816</v>
      </c>
      <c r="M3340">
        <v>35.413244111837301</v>
      </c>
      <c r="N3340">
        <v>53.918557611701502</v>
      </c>
      <c r="O3340">
        <v>51.0040721455605</v>
      </c>
      <c r="P3340">
        <v>-0.101028286415591</v>
      </c>
      <c r="Q3340">
        <v>0.41797636055672699</v>
      </c>
      <c r="R3340">
        <v>0.938306714797844</v>
      </c>
      <c r="S3340" t="s">
        <v>9792</v>
      </c>
      <c r="T3340" t="s">
        <v>12902</v>
      </c>
      <c r="U3340" t="s">
        <v>12902</v>
      </c>
      <c r="V3340" t="s">
        <v>12902</v>
      </c>
      <c r="W3340" t="s">
        <v>16201</v>
      </c>
      <c r="X3340">
        <v>20</v>
      </c>
      <c r="Y3340" t="s">
        <v>22529</v>
      </c>
      <c r="Z3340" t="s">
        <v>28915</v>
      </c>
      <c r="AA3340">
        <v>0.63724357610698645</v>
      </c>
      <c r="AB3340" t="str">
        <f>HYPERLINK("Melting_Curves/meltCurve_Q14126_DSG2.pdf", "Melting_Curves/meltCurve_Q14126_DSG2.pdf")</f>
        <v>Melting_Curves/meltCurve_Q14126_DSG2.pdf</v>
      </c>
    </row>
    <row r="3341" spans="1:28" x14ac:dyDescent="0.25">
      <c r="A3341" t="s">
        <v>3345</v>
      </c>
      <c r="B3341">
        <v>0.99673306730245903</v>
      </c>
      <c r="C3341">
        <v>0.98947942501221298</v>
      </c>
      <c r="D3341">
        <v>0.99861212789396203</v>
      </c>
      <c r="E3341">
        <v>0.89617456117329497</v>
      </c>
      <c r="F3341">
        <v>0.82904752295138096</v>
      </c>
      <c r="G3341">
        <v>0.66771008473049198</v>
      </c>
      <c r="H3341">
        <v>0.54132822371426503</v>
      </c>
      <c r="I3341">
        <v>0.80244911225188498</v>
      </c>
      <c r="J3341">
        <v>1.3102182593930001</v>
      </c>
      <c r="K3341">
        <v>1.2436216867301499</v>
      </c>
      <c r="L3341">
        <v>8767.9552932979695</v>
      </c>
      <c r="M3341">
        <v>133.03003538050001</v>
      </c>
      <c r="O3341">
        <v>65.894702310814694</v>
      </c>
      <c r="P3341">
        <v>0.14431461890973499</v>
      </c>
      <c r="Q3341">
        <v>1.2859374816700699</v>
      </c>
      <c r="R3341">
        <v>0.192386929767461</v>
      </c>
      <c r="S3341" t="s">
        <v>9793</v>
      </c>
      <c r="T3341" t="s">
        <v>12902</v>
      </c>
      <c r="U3341" t="s">
        <v>12902</v>
      </c>
      <c r="V3341" t="s">
        <v>12902</v>
      </c>
      <c r="W3341" t="s">
        <v>16202</v>
      </c>
      <c r="X3341">
        <v>14</v>
      </c>
      <c r="Y3341" t="s">
        <v>22530</v>
      </c>
      <c r="Z3341" t="s">
        <v>28916</v>
      </c>
      <c r="AA3341">
        <v>1.038872106655111</v>
      </c>
      <c r="AB3341" t="str">
        <f>HYPERLINK("Melting_Curves/meltCurve_Q14135_VGLL4.pdf", "Melting_Curves/meltCurve_Q14135_VGLL4.pdf")</f>
        <v>Melting_Curves/meltCurve_Q14135_VGLL4.pdf</v>
      </c>
    </row>
    <row r="3342" spans="1:28" x14ac:dyDescent="0.25">
      <c r="A3342" t="s">
        <v>3346</v>
      </c>
      <c r="B3342">
        <v>0.99673306730245903</v>
      </c>
      <c r="C3342">
        <v>0.98375835977543602</v>
      </c>
      <c r="D3342">
        <v>0.98083949332537401</v>
      </c>
      <c r="E3342">
        <v>1.0254996771368901</v>
      </c>
      <c r="F3342">
        <v>0.678285092902982</v>
      </c>
      <c r="G3342">
        <v>0.46491105715606201</v>
      </c>
      <c r="H3342">
        <v>0.469480613800142</v>
      </c>
      <c r="I3342">
        <v>0.62874218575418706</v>
      </c>
      <c r="J3342">
        <v>0.98119208028159</v>
      </c>
      <c r="K3342">
        <v>0.95535197958655504</v>
      </c>
      <c r="L3342">
        <v>12844.845086600801</v>
      </c>
      <c r="M3342">
        <v>250</v>
      </c>
      <c r="O3342">
        <v>51.376092527154</v>
      </c>
      <c r="P3342">
        <v>-0.36943429852369603</v>
      </c>
      <c r="Q3342">
        <v>0.69631854980850405</v>
      </c>
      <c r="R3342">
        <v>0.45488655225048602</v>
      </c>
      <c r="S3342" t="s">
        <v>9794</v>
      </c>
      <c r="T3342" t="s">
        <v>12902</v>
      </c>
      <c r="U3342" t="s">
        <v>12902</v>
      </c>
      <c r="V3342" t="s">
        <v>12902</v>
      </c>
      <c r="W3342" t="s">
        <v>16203</v>
      </c>
      <c r="X3342">
        <v>1</v>
      </c>
      <c r="Y3342" t="s">
        <v>22531</v>
      </c>
      <c r="Z3342" t="s">
        <v>28917</v>
      </c>
      <c r="AA3342">
        <v>0.81153615696465353</v>
      </c>
      <c r="AB3342" t="str">
        <f>HYPERLINK("Melting_Curves/meltCurve_Q14137_BOP1.pdf", "Melting_Curves/meltCurve_Q14137_BOP1.pdf")</f>
        <v>Melting_Curves/meltCurve_Q14137_BOP1.pdf</v>
      </c>
    </row>
    <row r="3343" spans="1:28" x14ac:dyDescent="0.25">
      <c r="A3343" t="s">
        <v>3347</v>
      </c>
      <c r="B3343">
        <v>0.99673306730245903</v>
      </c>
      <c r="C3343">
        <v>0.95759404368933099</v>
      </c>
      <c r="D3343">
        <v>0.719353305300934</v>
      </c>
      <c r="E3343">
        <v>0.34885647224766603</v>
      </c>
      <c r="F3343">
        <v>0.34666770393975599</v>
      </c>
      <c r="G3343">
        <v>0.209277080523109</v>
      </c>
      <c r="H3343">
        <v>0.12480715353111101</v>
      </c>
      <c r="I3343">
        <v>9.9143746989417206E-2</v>
      </c>
      <c r="J3343">
        <v>0.13223323366418699</v>
      </c>
      <c r="K3343">
        <v>9.7205620286519995E-2</v>
      </c>
      <c r="L3343">
        <v>866.15555076876001</v>
      </c>
      <c r="M3343">
        <v>18.0743851461506</v>
      </c>
      <c r="N3343">
        <v>48.680401372809001</v>
      </c>
      <c r="O3343">
        <v>47.346653207089403</v>
      </c>
      <c r="P3343">
        <v>-8.3726019050899894E-2</v>
      </c>
      <c r="Q3343">
        <v>0.122746587465084</v>
      </c>
      <c r="R3343">
        <v>0.97960634540198599</v>
      </c>
      <c r="S3343" t="s">
        <v>9795</v>
      </c>
      <c r="T3343" t="s">
        <v>12902</v>
      </c>
      <c r="U3343" t="s">
        <v>12902</v>
      </c>
      <c r="V3343" t="s">
        <v>12902</v>
      </c>
      <c r="W3343" t="s">
        <v>16204</v>
      </c>
      <c r="X3343">
        <v>9</v>
      </c>
      <c r="Y3343" t="s">
        <v>22532</v>
      </c>
      <c r="Z3343" t="s">
        <v>28918</v>
      </c>
      <c r="AA3343">
        <v>0.3698597944348328</v>
      </c>
      <c r="AB3343" t="str">
        <f>HYPERLINK("Melting_Curves/meltCurve_Q14139_UBE4A.pdf", "Melting_Curves/meltCurve_Q14139_UBE4A.pdf")</f>
        <v>Melting_Curves/meltCurve_Q14139_UBE4A.pdf</v>
      </c>
    </row>
    <row r="3344" spans="1:28" x14ac:dyDescent="0.25">
      <c r="A3344" t="s">
        <v>3348</v>
      </c>
      <c r="B3344">
        <v>0.99673306730245903</v>
      </c>
      <c r="C3344">
        <v>0.90699412305624705</v>
      </c>
      <c r="D3344">
        <v>0.89420615582502605</v>
      </c>
      <c r="E3344">
        <v>0.80430511813727401</v>
      </c>
      <c r="F3344">
        <v>0.68291454754080705</v>
      </c>
      <c r="G3344">
        <v>0.38112042814951302</v>
      </c>
      <c r="H3344">
        <v>0.22844535037161301</v>
      </c>
      <c r="I3344">
        <v>0.110566139472146</v>
      </c>
      <c r="J3344">
        <v>0.119032120404428</v>
      </c>
      <c r="K3344">
        <v>0.10474508567233801</v>
      </c>
      <c r="L3344">
        <v>728.320711677389</v>
      </c>
      <c r="M3344">
        <v>13.248696041774799</v>
      </c>
      <c r="N3344">
        <v>55.165351949050198</v>
      </c>
      <c r="O3344">
        <v>53.765867945010299</v>
      </c>
      <c r="P3344">
        <v>-6.0223075603325599E-2</v>
      </c>
      <c r="Q3344">
        <v>2.2571306087997602E-2</v>
      </c>
      <c r="R3344">
        <v>0.98834289826292399</v>
      </c>
      <c r="S3344" t="s">
        <v>9796</v>
      </c>
      <c r="T3344" t="s">
        <v>12902</v>
      </c>
      <c r="U3344" t="s">
        <v>12902</v>
      </c>
      <c r="V3344" t="s">
        <v>12902</v>
      </c>
      <c r="W3344" t="s">
        <v>16205</v>
      </c>
      <c r="X3344">
        <v>3</v>
      </c>
      <c r="Y3344" t="s">
        <v>22533</v>
      </c>
      <c r="Z3344" t="s">
        <v>28919</v>
      </c>
      <c r="AA3344">
        <v>0.53169525467057677</v>
      </c>
      <c r="AB3344" t="str">
        <f>HYPERLINK("Melting_Curves/meltCurve_Q14145_KEAP1.pdf", "Melting_Curves/meltCurve_Q14145_KEAP1.pdf")</f>
        <v>Melting_Curves/meltCurve_Q14145_KEAP1.pdf</v>
      </c>
    </row>
    <row r="3345" spans="1:28" x14ac:dyDescent="0.25">
      <c r="A3345" t="s">
        <v>3349</v>
      </c>
      <c r="B3345">
        <v>0.99673306730245903</v>
      </c>
      <c r="C3345">
        <v>1.04390989554567</v>
      </c>
      <c r="D3345">
        <v>1.2771022874459801</v>
      </c>
      <c r="E3345">
        <v>1.1177727835240301</v>
      </c>
      <c r="F3345">
        <v>0.341464442776236</v>
      </c>
      <c r="G3345">
        <v>0.281655109608757</v>
      </c>
      <c r="H3345">
        <v>0.14791427734733101</v>
      </c>
      <c r="I3345">
        <v>8.1055805259459796E-2</v>
      </c>
      <c r="J3345">
        <v>9.2276923204033495E-2</v>
      </c>
      <c r="K3345">
        <v>4.3989308693301199E-2</v>
      </c>
      <c r="L3345">
        <v>12431.348150935</v>
      </c>
      <c r="M3345">
        <v>234.804982308603</v>
      </c>
      <c r="N3345">
        <v>53.0109066859862</v>
      </c>
      <c r="O3345">
        <v>52.939448878607401</v>
      </c>
      <c r="P3345">
        <v>-0.96537805440115698</v>
      </c>
      <c r="Q3345">
        <v>0.129378234932812</v>
      </c>
      <c r="R3345">
        <v>0.94366365689728404</v>
      </c>
      <c r="S3345" t="s">
        <v>9797</v>
      </c>
      <c r="T3345" t="s">
        <v>12902</v>
      </c>
      <c r="U3345" t="s">
        <v>12902</v>
      </c>
      <c r="V3345" t="s">
        <v>12902</v>
      </c>
      <c r="W3345" t="s">
        <v>16206</v>
      </c>
      <c r="X3345">
        <v>3</v>
      </c>
      <c r="Y3345" t="s">
        <v>22534</v>
      </c>
      <c r="Z3345" t="s">
        <v>28920</v>
      </c>
      <c r="AA3345">
        <v>0.50509359095472528</v>
      </c>
      <c r="AB3345" t="str">
        <f>HYPERLINK("Melting_Curves/meltCurve_Q14146_URB2.pdf", "Melting_Curves/meltCurve_Q14146_URB2.pdf")</f>
        <v>Melting_Curves/meltCurve_Q14146_URB2.pdf</v>
      </c>
    </row>
    <row r="3346" spans="1:28" x14ac:dyDescent="0.25">
      <c r="A3346" t="s">
        <v>3350</v>
      </c>
      <c r="B3346">
        <v>0.99673306730245903</v>
      </c>
      <c r="C3346">
        <v>0.99837355830487096</v>
      </c>
      <c r="D3346">
        <v>1.0271562585892999</v>
      </c>
      <c r="E3346">
        <v>0.99221650061998101</v>
      </c>
      <c r="F3346">
        <v>0.68703315788941999</v>
      </c>
      <c r="G3346">
        <v>0.43377074545732502</v>
      </c>
      <c r="H3346">
        <v>0.28941991639632197</v>
      </c>
      <c r="I3346">
        <v>0.31626453455586601</v>
      </c>
      <c r="J3346">
        <v>0.54450537135562604</v>
      </c>
      <c r="K3346">
        <v>0.50107356936806602</v>
      </c>
      <c r="L3346">
        <v>3185.0293202682201</v>
      </c>
      <c r="M3346">
        <v>60.005097208701201</v>
      </c>
      <c r="N3346">
        <v>54.690413844329697</v>
      </c>
      <c r="O3346">
        <v>53.020454734915901</v>
      </c>
      <c r="P3346">
        <v>-0.165619815621393</v>
      </c>
      <c r="Q3346">
        <v>0.41463410712257198</v>
      </c>
      <c r="R3346">
        <v>0.937975103946042</v>
      </c>
      <c r="S3346" t="s">
        <v>9798</v>
      </c>
      <c r="T3346" t="s">
        <v>12902</v>
      </c>
      <c r="U3346" t="s">
        <v>12902</v>
      </c>
      <c r="V3346" t="s">
        <v>12902</v>
      </c>
      <c r="W3346" t="s">
        <v>16207</v>
      </c>
      <c r="X3346">
        <v>2</v>
      </c>
      <c r="Y3346" t="s">
        <v>22535</v>
      </c>
      <c r="Z3346" t="s">
        <v>28921</v>
      </c>
      <c r="AA3346">
        <v>0.67079018453972716</v>
      </c>
      <c r="AB3346" t="str">
        <f>HYPERLINK("Melting_Curves/meltCurve_Q14149_MORC3.pdf", "Melting_Curves/meltCurve_Q14149_MORC3.pdf")</f>
        <v>Melting_Curves/meltCurve_Q14149_MORC3.pdf</v>
      </c>
    </row>
    <row r="3347" spans="1:28" x14ac:dyDescent="0.25">
      <c r="A3347" t="s">
        <v>3351</v>
      </c>
      <c r="B3347">
        <v>0.99673306730245903</v>
      </c>
      <c r="C3347">
        <v>0.97522232841576395</v>
      </c>
      <c r="D3347">
        <v>0.98340646163809198</v>
      </c>
      <c r="E3347">
        <v>0.90260776092568595</v>
      </c>
      <c r="F3347">
        <v>0.96222344528387105</v>
      </c>
      <c r="G3347">
        <v>1.01158576304531</v>
      </c>
      <c r="H3347">
        <v>0.94323802883185304</v>
      </c>
      <c r="I3347">
        <v>1.3134095524759</v>
      </c>
      <c r="J3347">
        <v>2.5224252997116201</v>
      </c>
      <c r="K3347">
        <v>2.82345684046172</v>
      </c>
      <c r="L3347">
        <v>15000</v>
      </c>
      <c r="M3347">
        <v>234.89402064255199</v>
      </c>
      <c r="O3347">
        <v>63.853961078183197</v>
      </c>
      <c r="P3347">
        <v>0.45982667361514301</v>
      </c>
      <c r="Q3347">
        <v>1.5</v>
      </c>
      <c r="R3347">
        <v>0.385570373931021</v>
      </c>
      <c r="S3347" t="s">
        <v>9799</v>
      </c>
      <c r="T3347" t="s">
        <v>12902</v>
      </c>
      <c r="U3347" t="s">
        <v>12902</v>
      </c>
      <c r="V3347" t="s">
        <v>12902</v>
      </c>
      <c r="W3347" t="s">
        <v>16208</v>
      </c>
      <c r="X3347">
        <v>50</v>
      </c>
      <c r="Y3347" t="s">
        <v>22536</v>
      </c>
      <c r="Z3347" t="s">
        <v>28922</v>
      </c>
      <c r="AA3347">
        <v>1.1022934250162111</v>
      </c>
      <c r="AB3347" t="str">
        <f>HYPERLINK("Melting_Curves/meltCurve_Q14151_SAFB2.pdf", "Melting_Curves/meltCurve_Q14151_SAFB2.pdf")</f>
        <v>Melting_Curves/meltCurve_Q14151_SAFB2.pdf</v>
      </c>
    </row>
    <row r="3348" spans="1:28" x14ac:dyDescent="0.25">
      <c r="A3348" t="s">
        <v>3352</v>
      </c>
      <c r="B3348">
        <v>0.99673306730245903</v>
      </c>
      <c r="C3348">
        <v>0.88294654181082299</v>
      </c>
      <c r="D3348">
        <v>0.97835785039079903</v>
      </c>
      <c r="E3348">
        <v>0.60005053700133404</v>
      </c>
      <c r="F3348">
        <v>0.23029206552947901</v>
      </c>
      <c r="G3348">
        <v>0.142863504276277</v>
      </c>
      <c r="H3348">
        <v>8.7020367270346496E-2</v>
      </c>
      <c r="I3348">
        <v>8.7794243676408298E-2</v>
      </c>
      <c r="J3348">
        <v>0.10614858782660599</v>
      </c>
      <c r="K3348">
        <v>9.8062770723184506E-2</v>
      </c>
      <c r="L3348">
        <v>1504.05208379649</v>
      </c>
      <c r="M3348">
        <v>30.052954596717299</v>
      </c>
      <c r="N3348">
        <v>50.412714495855496</v>
      </c>
      <c r="O3348">
        <v>49.826704147368098</v>
      </c>
      <c r="P3348">
        <v>-0.13600908690187899</v>
      </c>
      <c r="Q3348">
        <v>9.8013372985691405E-2</v>
      </c>
      <c r="R3348">
        <v>0.98967416709567402</v>
      </c>
      <c r="S3348" t="s">
        <v>9800</v>
      </c>
      <c r="T3348" t="s">
        <v>12902</v>
      </c>
      <c r="U3348" t="s">
        <v>12902</v>
      </c>
      <c r="V3348" t="s">
        <v>12902</v>
      </c>
      <c r="W3348" t="s">
        <v>16209</v>
      </c>
      <c r="X3348">
        <v>68</v>
      </c>
      <c r="Y3348" t="s">
        <v>22537</v>
      </c>
      <c r="Z3348" t="s">
        <v>28923</v>
      </c>
      <c r="AA3348">
        <v>0.40564382992680748</v>
      </c>
      <c r="AB3348" t="str">
        <f>HYPERLINK("Melting_Curves/meltCurve_Q14152_EIF3A.pdf", "Melting_Curves/meltCurve_Q14152_EIF3A.pdf")</f>
        <v>Melting_Curves/meltCurve_Q14152_EIF3A.pdf</v>
      </c>
    </row>
    <row r="3349" spans="1:28" x14ac:dyDescent="0.25">
      <c r="A3349" t="s">
        <v>3353</v>
      </c>
      <c r="B3349">
        <v>0.99673306730245903</v>
      </c>
      <c r="C3349">
        <v>0.95083554934006898</v>
      </c>
      <c r="D3349">
        <v>1.0557989682532301</v>
      </c>
      <c r="E3349">
        <v>0.90101171268008096</v>
      </c>
      <c r="F3349">
        <v>0.60376876386851797</v>
      </c>
      <c r="G3349">
        <v>0.41284455941348203</v>
      </c>
      <c r="H3349">
        <v>0.38203723137977402</v>
      </c>
      <c r="I3349">
        <v>0.76756298180286697</v>
      </c>
      <c r="J3349">
        <v>1.12901698513338</v>
      </c>
      <c r="K3349">
        <v>1.39905009587624</v>
      </c>
      <c r="L3349">
        <v>15000</v>
      </c>
      <c r="M3349">
        <v>222.80793110988299</v>
      </c>
      <c r="O3349">
        <v>67.317134849274197</v>
      </c>
      <c r="P3349">
        <v>0.33026306962838498</v>
      </c>
      <c r="Q3349">
        <v>1.3991305593431</v>
      </c>
      <c r="R3349">
        <v>-2.1973891571870099E-2</v>
      </c>
      <c r="S3349" t="s">
        <v>9801</v>
      </c>
      <c r="T3349" t="s">
        <v>12902</v>
      </c>
      <c r="U3349" t="s">
        <v>12902</v>
      </c>
      <c r="V3349" t="s">
        <v>12902</v>
      </c>
      <c r="W3349" t="s">
        <v>16210</v>
      </c>
      <c r="X3349">
        <v>28</v>
      </c>
      <c r="Y3349" t="s">
        <v>20010</v>
      </c>
      <c r="Z3349" t="s">
        <v>28924</v>
      </c>
      <c r="AA3349">
        <v>1.035563122194771</v>
      </c>
      <c r="AB3349" t="str">
        <f>HYPERLINK("Melting_Curves/meltCurve_Q14157_1_UBAP2L.pdf", "Melting_Curves/meltCurve_Q14157_1_UBAP2L.pdf")</f>
        <v>Melting_Curves/meltCurve_Q14157_1_UBAP2L.pdf</v>
      </c>
    </row>
    <row r="3350" spans="1:28" x14ac:dyDescent="0.25">
      <c r="A3350" t="s">
        <v>3354</v>
      </c>
      <c r="B3350">
        <v>0.99673306730245903</v>
      </c>
      <c r="C3350">
        <v>0.96767949270186504</v>
      </c>
      <c r="D3350">
        <v>0.997391779773805</v>
      </c>
      <c r="E3350">
        <v>0.910121563665512</v>
      </c>
      <c r="F3350">
        <v>0.75454262334268096</v>
      </c>
      <c r="G3350">
        <v>0.61964847673136603</v>
      </c>
      <c r="H3350">
        <v>0.48838521698528498</v>
      </c>
      <c r="I3350">
        <v>0.75366907933142102</v>
      </c>
      <c r="J3350">
        <v>1.2644051018039</v>
      </c>
      <c r="K3350">
        <v>1.3763390424192199</v>
      </c>
      <c r="L3350">
        <v>15000</v>
      </c>
      <c r="M3350">
        <v>224.40543899962699</v>
      </c>
      <c r="O3350">
        <v>66.837990879575301</v>
      </c>
      <c r="P3350">
        <v>0.31592075741194903</v>
      </c>
      <c r="Q3350">
        <v>1.37638140591461</v>
      </c>
      <c r="R3350">
        <v>0.20182113518800099</v>
      </c>
      <c r="S3350" t="s">
        <v>9802</v>
      </c>
      <c r="T3350" t="s">
        <v>12902</v>
      </c>
      <c r="U3350" t="s">
        <v>12902</v>
      </c>
      <c r="V3350" t="s">
        <v>12902</v>
      </c>
      <c r="W3350" t="s">
        <v>16211</v>
      </c>
      <c r="X3350">
        <v>27</v>
      </c>
      <c r="Y3350" t="s">
        <v>20010</v>
      </c>
      <c r="Z3350" t="s">
        <v>28925</v>
      </c>
      <c r="AA3350">
        <v>1.0395494753606309</v>
      </c>
      <c r="AB3350" t="str">
        <f>HYPERLINK("Melting_Curves/meltCurve_Q14157_5_UBAP2L.pdf", "Melting_Curves/meltCurve_Q14157_5_UBAP2L.pdf")</f>
        <v>Melting_Curves/meltCurve_Q14157_5_UBAP2L.pdf</v>
      </c>
    </row>
    <row r="3351" spans="1:28" x14ac:dyDescent="0.25">
      <c r="A3351" t="s">
        <v>3355</v>
      </c>
      <c r="B3351">
        <v>0.99673306730245903</v>
      </c>
      <c r="C3351">
        <v>0.87398464275144605</v>
      </c>
      <c r="D3351">
        <v>0.425377056693789</v>
      </c>
      <c r="E3351">
        <v>0.25500610279196601</v>
      </c>
      <c r="F3351">
        <v>0.17514523405816099</v>
      </c>
      <c r="G3351">
        <v>0.115585478894591</v>
      </c>
      <c r="H3351">
        <v>7.8746648699280705E-2</v>
      </c>
      <c r="I3351">
        <v>8.1589798268109595E-2</v>
      </c>
      <c r="J3351">
        <v>9.4778645218943497E-2</v>
      </c>
      <c r="K3351">
        <v>8.9493585432188397E-2</v>
      </c>
      <c r="L3351">
        <v>1165.0324710673101</v>
      </c>
      <c r="M3351">
        <v>25.665446851150602</v>
      </c>
      <c r="N3351">
        <v>45.818247476967102</v>
      </c>
      <c r="O3351">
        <v>45.120141612917401</v>
      </c>
      <c r="P3351">
        <v>-0.127137749097744</v>
      </c>
      <c r="Q3351">
        <v>0.10597245364446101</v>
      </c>
      <c r="R3351">
        <v>0.98829892006657505</v>
      </c>
      <c r="S3351" t="s">
        <v>9803</v>
      </c>
      <c r="T3351" t="s">
        <v>12902</v>
      </c>
      <c r="U3351" t="s">
        <v>12902</v>
      </c>
      <c r="V3351" t="s">
        <v>12902</v>
      </c>
      <c r="W3351" t="s">
        <v>16212</v>
      </c>
      <c r="X3351">
        <v>26</v>
      </c>
      <c r="Y3351" t="s">
        <v>22538</v>
      </c>
      <c r="Z3351" t="s">
        <v>28926</v>
      </c>
      <c r="AA3351">
        <v>0.27476411561805247</v>
      </c>
      <c r="AB3351" t="str">
        <f>HYPERLINK("Melting_Curves/meltCurve_Q14160_SCRIB.pdf", "Melting_Curves/meltCurve_Q14160_SCRIB.pdf")</f>
        <v>Melting_Curves/meltCurve_Q14160_SCRIB.pdf</v>
      </c>
    </row>
    <row r="3352" spans="1:28" x14ac:dyDescent="0.25">
      <c r="A3352" t="s">
        <v>3356</v>
      </c>
      <c r="B3352">
        <v>0.99673306730245903</v>
      </c>
      <c r="C3352">
        <v>0.88379602802150703</v>
      </c>
      <c r="D3352">
        <v>0.65003968287251301</v>
      </c>
      <c r="E3352">
        <v>0.79386378708905803</v>
      </c>
      <c r="F3352">
        <v>0.40322231591723401</v>
      </c>
      <c r="G3352">
        <v>0.12943922172067199</v>
      </c>
      <c r="H3352">
        <v>6.8146496736567599E-2</v>
      </c>
      <c r="I3352">
        <v>6.5141693367957304E-2</v>
      </c>
      <c r="J3352">
        <v>6.2551950065082601E-2</v>
      </c>
      <c r="K3352">
        <v>5.1573318756910701E-2</v>
      </c>
      <c r="L3352">
        <v>671.07731885019905</v>
      </c>
      <c r="M3352">
        <v>13.074325967325001</v>
      </c>
      <c r="N3352">
        <v>51.327871202034899</v>
      </c>
      <c r="O3352">
        <v>50.171595760099599</v>
      </c>
      <c r="P3352">
        <v>-6.5159274709594997E-2</v>
      </c>
      <c r="Q3352">
        <v>0</v>
      </c>
      <c r="R3352">
        <v>0.94312602092347597</v>
      </c>
      <c r="S3352" t="s">
        <v>9804</v>
      </c>
      <c r="T3352" t="s">
        <v>12902</v>
      </c>
      <c r="U3352" t="s">
        <v>12902</v>
      </c>
      <c r="V3352" t="s">
        <v>12902</v>
      </c>
      <c r="W3352" t="s">
        <v>16213</v>
      </c>
      <c r="X3352">
        <v>14</v>
      </c>
      <c r="Y3352" t="s">
        <v>22539</v>
      </c>
      <c r="Z3352" t="s">
        <v>28927</v>
      </c>
      <c r="AA3352">
        <v>0.40586913723079499</v>
      </c>
      <c r="AB3352" t="str">
        <f>HYPERLINK("Melting_Curves/meltCurve_Q14165_MLEC.pdf", "Melting_Curves/meltCurve_Q14165_MLEC.pdf")</f>
        <v>Melting_Curves/meltCurve_Q14165_MLEC.pdf</v>
      </c>
    </row>
    <row r="3353" spans="1:28" x14ac:dyDescent="0.25">
      <c r="A3353" t="s">
        <v>3357</v>
      </c>
      <c r="B3353">
        <v>0.99673306730245903</v>
      </c>
      <c r="C3353">
        <v>0.84853891863035802</v>
      </c>
      <c r="D3353">
        <v>0.444723831546393</v>
      </c>
      <c r="E3353">
        <v>0.203230065557298</v>
      </c>
      <c r="F3353">
        <v>0.15183770378516501</v>
      </c>
      <c r="G3353">
        <v>9.3533206968326399E-2</v>
      </c>
      <c r="H3353">
        <v>5.71283424563271E-2</v>
      </c>
      <c r="I3353">
        <v>4.6203179322725503E-2</v>
      </c>
      <c r="J3353">
        <v>4.1612950183800401E-2</v>
      </c>
      <c r="K3353">
        <v>3.3043379293484901E-2</v>
      </c>
      <c r="L3353">
        <v>1072.7639456371601</v>
      </c>
      <c r="M3353">
        <v>23.539323930033401</v>
      </c>
      <c r="N3353">
        <v>45.836662040724597</v>
      </c>
      <c r="O3353">
        <v>45.2481827968194</v>
      </c>
      <c r="P3353">
        <v>-0.12183171978139</v>
      </c>
      <c r="Q3353">
        <v>6.3257733043651607E-2</v>
      </c>
      <c r="R3353">
        <v>0.99230686579621097</v>
      </c>
      <c r="S3353" t="s">
        <v>9805</v>
      </c>
      <c r="T3353" t="s">
        <v>12902</v>
      </c>
      <c r="U3353" t="s">
        <v>12902</v>
      </c>
      <c r="V3353" t="s">
        <v>12902</v>
      </c>
      <c r="W3353" t="s">
        <v>16214</v>
      </c>
      <c r="X3353">
        <v>22</v>
      </c>
      <c r="Y3353" t="s">
        <v>22540</v>
      </c>
      <c r="Z3353" t="s">
        <v>28928</v>
      </c>
      <c r="AA3353">
        <v>0.2475133126814833</v>
      </c>
      <c r="AB3353" t="str">
        <f>HYPERLINK("Melting_Curves/meltCurve_Q14166_TTLL12.pdf", "Melting_Curves/meltCurve_Q14166_TTLL12.pdf")</f>
        <v>Melting_Curves/meltCurve_Q14166_TTLL12.pdf</v>
      </c>
    </row>
    <row r="3354" spans="1:28" x14ac:dyDescent="0.25">
      <c r="A3354" t="s">
        <v>3358</v>
      </c>
      <c r="B3354">
        <v>0.99673306730245903</v>
      </c>
      <c r="C3354">
        <v>0.87776228723531302</v>
      </c>
      <c r="D3354">
        <v>0.66475701105965301</v>
      </c>
      <c r="E3354">
        <v>0.41356978214317502</v>
      </c>
      <c r="F3354">
        <v>0.207792729786722</v>
      </c>
      <c r="G3354">
        <v>0.10925963681767201</v>
      </c>
      <c r="H3354">
        <v>6.9219999004755894E-2</v>
      </c>
      <c r="I3354">
        <v>6.3936789054604301E-2</v>
      </c>
      <c r="J3354">
        <v>7.3906404293728301E-2</v>
      </c>
      <c r="K3354">
        <v>6.7291355048201495E-2</v>
      </c>
      <c r="L3354">
        <v>795.59541779694803</v>
      </c>
      <c r="M3354">
        <v>16.610282336712601</v>
      </c>
      <c r="N3354">
        <v>48.232639305800397</v>
      </c>
      <c r="O3354">
        <v>47.219668977876701</v>
      </c>
      <c r="P3354">
        <v>-8.3157685795016395E-2</v>
      </c>
      <c r="Q3354">
        <v>5.4462083103932399E-2</v>
      </c>
      <c r="R3354">
        <v>0.99824704198248904</v>
      </c>
      <c r="S3354" t="s">
        <v>9806</v>
      </c>
      <c r="T3354" t="s">
        <v>12902</v>
      </c>
      <c r="U3354" t="s">
        <v>12902</v>
      </c>
      <c r="V3354" t="s">
        <v>12902</v>
      </c>
      <c r="W3354" t="s">
        <v>16215</v>
      </c>
      <c r="X3354">
        <v>5</v>
      </c>
      <c r="Y3354" t="s">
        <v>22541</v>
      </c>
      <c r="Z3354" t="s">
        <v>28929</v>
      </c>
      <c r="AA3354">
        <v>0.32327296372434361</v>
      </c>
      <c r="AB3354" t="str">
        <f>HYPERLINK("Melting_Curves/meltCurve_Q14181_POLA2.pdf", "Melting_Curves/meltCurve_Q14181_POLA2.pdf")</f>
        <v>Melting_Curves/meltCurve_Q14181_POLA2.pdf</v>
      </c>
    </row>
    <row r="3355" spans="1:28" x14ac:dyDescent="0.25">
      <c r="A3355" t="s">
        <v>3359</v>
      </c>
      <c r="B3355">
        <v>0.99673306730245903</v>
      </c>
      <c r="C3355">
        <v>0.87423203428534302</v>
      </c>
      <c r="D3355">
        <v>0.72759933043284897</v>
      </c>
      <c r="E3355">
        <v>0.52931724101821398</v>
      </c>
      <c r="F3355">
        <v>0.310971131514447</v>
      </c>
      <c r="G3355">
        <v>0.17547737568364799</v>
      </c>
      <c r="H3355">
        <v>0.138493421523988</v>
      </c>
      <c r="I3355">
        <v>0.19612244737342999</v>
      </c>
      <c r="J3355">
        <v>0.251659283626671</v>
      </c>
      <c r="K3355">
        <v>0.24834431915778701</v>
      </c>
      <c r="L3355">
        <v>841.55960293636394</v>
      </c>
      <c r="M3355">
        <v>17.538811208379901</v>
      </c>
      <c r="N3355">
        <v>49.323661308542199</v>
      </c>
      <c r="O3355">
        <v>47.371970170405</v>
      </c>
      <c r="P3355">
        <v>-7.5011513074066602E-2</v>
      </c>
      <c r="Q3355">
        <v>0.18962628282493799</v>
      </c>
      <c r="R3355">
        <v>0.97827235432863902</v>
      </c>
      <c r="S3355" t="s">
        <v>9807</v>
      </c>
      <c r="T3355" t="s">
        <v>12902</v>
      </c>
      <c r="U3355" t="s">
        <v>12902</v>
      </c>
      <c r="V3355" t="s">
        <v>12902</v>
      </c>
      <c r="W3355" t="s">
        <v>16216</v>
      </c>
      <c r="X3355">
        <v>1</v>
      </c>
      <c r="Y3355" t="s">
        <v>22542</v>
      </c>
      <c r="Z3355" t="s">
        <v>28930</v>
      </c>
      <c r="AA3355">
        <v>0.42044418423802588</v>
      </c>
      <c r="AB3355" t="str">
        <f>HYPERLINK("Melting_Curves/meltCurve_Q14186_TFDP1.pdf", "Melting_Curves/meltCurve_Q14186_TFDP1.pdf")</f>
        <v>Melting_Curves/meltCurve_Q14186_TFDP1.pdf</v>
      </c>
    </row>
    <row r="3356" spans="1:28" x14ac:dyDescent="0.25">
      <c r="A3356" t="s">
        <v>3360</v>
      </c>
      <c r="B3356">
        <v>0.99673306730245903</v>
      </c>
      <c r="C3356">
        <v>0.95827054938642697</v>
      </c>
      <c r="D3356">
        <v>0.96114343015916603</v>
      </c>
      <c r="E3356">
        <v>1.2524763430075401</v>
      </c>
      <c r="F3356">
        <v>1.1341194033401201</v>
      </c>
      <c r="G3356">
        <v>1.0255852451191401</v>
      </c>
      <c r="H3356">
        <v>0.60316127538040798</v>
      </c>
      <c r="I3356">
        <v>0.39805554491047801</v>
      </c>
      <c r="J3356">
        <v>0.29750742025056598</v>
      </c>
      <c r="K3356">
        <v>0.19211437029673301</v>
      </c>
      <c r="L3356">
        <v>2354.6832868835099</v>
      </c>
      <c r="M3356">
        <v>38.6100046266492</v>
      </c>
      <c r="N3356">
        <v>62.063825302405903</v>
      </c>
      <c r="O3356">
        <v>60.823437576627803</v>
      </c>
      <c r="P3356">
        <v>-0.119940021232026</v>
      </c>
      <c r="Q3356">
        <v>0.244222105806013</v>
      </c>
      <c r="R3356">
        <v>0.922747368570911</v>
      </c>
      <c r="S3356" t="s">
        <v>9808</v>
      </c>
      <c r="T3356" t="s">
        <v>12902</v>
      </c>
      <c r="U3356" t="s">
        <v>12902</v>
      </c>
      <c r="V3356" t="s">
        <v>12902</v>
      </c>
      <c r="W3356" t="s">
        <v>16217</v>
      </c>
      <c r="X3356">
        <v>2</v>
      </c>
      <c r="Y3356" t="s">
        <v>22543</v>
      </c>
      <c r="Z3356" t="s">
        <v>28931</v>
      </c>
      <c r="AA3356">
        <v>0.77595965133060141</v>
      </c>
      <c r="AB3356" t="str">
        <f>HYPERLINK("Melting_Curves/meltCurve_Q14191_WRN.pdf", "Melting_Curves/meltCurve_Q14191_WRN.pdf")</f>
        <v>Melting_Curves/meltCurve_Q14191_WRN.pdf</v>
      </c>
    </row>
    <row r="3357" spans="1:28" x14ac:dyDescent="0.25">
      <c r="A3357" t="s">
        <v>3361</v>
      </c>
      <c r="B3357">
        <v>0.99673306730245903</v>
      </c>
      <c r="C3357">
        <v>0.89554097367960706</v>
      </c>
      <c r="D3357">
        <v>0.99816298690758198</v>
      </c>
      <c r="E3357">
        <v>1.19122385360608</v>
      </c>
      <c r="F3357">
        <v>0.66873848814285997</v>
      </c>
      <c r="G3357">
        <v>0.58070449340478403</v>
      </c>
      <c r="H3357">
        <v>0.32718636079424801</v>
      </c>
      <c r="I3357">
        <v>0.13657465752244699</v>
      </c>
      <c r="J3357">
        <v>6.0263992688257703E-2</v>
      </c>
      <c r="K3357">
        <v>4.6542047192359902E-2</v>
      </c>
      <c r="L3357">
        <v>1024.4924801766899</v>
      </c>
      <c r="M3357">
        <v>17.778506049935</v>
      </c>
      <c r="N3357">
        <v>57.641687136287402</v>
      </c>
      <c r="O3357">
        <v>56.911097706127897</v>
      </c>
      <c r="P3357">
        <v>-7.7905387638949206E-2</v>
      </c>
      <c r="Q3357">
        <v>2.5142891501891301E-3</v>
      </c>
      <c r="R3357">
        <v>0.942771274242172</v>
      </c>
      <c r="S3357" t="s">
        <v>9809</v>
      </c>
      <c r="T3357" t="s">
        <v>12902</v>
      </c>
      <c r="U3357" t="s">
        <v>12902</v>
      </c>
      <c r="V3357" t="s">
        <v>12902</v>
      </c>
      <c r="W3357" t="s">
        <v>16218</v>
      </c>
      <c r="X3357">
        <v>29</v>
      </c>
      <c r="Y3357" t="s">
        <v>22544</v>
      </c>
      <c r="Z3357" t="s">
        <v>28932</v>
      </c>
      <c r="AA3357">
        <v>0.60156665927216824</v>
      </c>
      <c r="AB3357" t="str">
        <f>HYPERLINK("Melting_Curves/meltCurve_Q14195_DPYSL3.pdf", "Melting_Curves/meltCurve_Q14195_DPYSL3.pdf")</f>
        <v>Melting_Curves/meltCurve_Q14195_DPYSL3.pdf</v>
      </c>
    </row>
    <row r="3358" spans="1:28" x14ac:dyDescent="0.25">
      <c r="A3358" t="s">
        <v>3362</v>
      </c>
      <c r="B3358">
        <v>0.99673306730245903</v>
      </c>
      <c r="C3358">
        <v>0.94899092554911002</v>
      </c>
      <c r="D3358">
        <v>1.03097201381643</v>
      </c>
      <c r="E3358">
        <v>1.14908180886204</v>
      </c>
      <c r="F3358">
        <v>0.20838012044210799</v>
      </c>
      <c r="G3358">
        <v>0.15122022939193799</v>
      </c>
      <c r="H3358">
        <v>8.5699890606015502E-2</v>
      </c>
      <c r="I3358">
        <v>8.0392847544538598E-2</v>
      </c>
      <c r="J3358">
        <v>8.3247403361521102E-2</v>
      </c>
      <c r="K3358">
        <v>7.4624561139871398E-2</v>
      </c>
      <c r="L3358">
        <v>13196.597308549801</v>
      </c>
      <c r="M3358">
        <v>250</v>
      </c>
      <c r="N3358">
        <v>52.830919393460398</v>
      </c>
      <c r="O3358">
        <v>52.783023632010199</v>
      </c>
      <c r="P3358">
        <v>-1.0715605037665099</v>
      </c>
      <c r="Q3358">
        <v>9.5036958185868603E-2</v>
      </c>
      <c r="R3358">
        <v>0.98550727124084103</v>
      </c>
      <c r="S3358" t="s">
        <v>9810</v>
      </c>
      <c r="T3358" t="s">
        <v>12902</v>
      </c>
      <c r="U3358" t="s">
        <v>12902</v>
      </c>
      <c r="V3358" t="s">
        <v>12902</v>
      </c>
      <c r="W3358" t="s">
        <v>16219</v>
      </c>
      <c r="X3358">
        <v>193</v>
      </c>
      <c r="Y3358" t="s">
        <v>22545</v>
      </c>
      <c r="Z3358" t="s">
        <v>28933</v>
      </c>
      <c r="AA3358">
        <v>0.48082778316097019</v>
      </c>
      <c r="AB3358" t="str">
        <f>HYPERLINK("Melting_Curves/meltCurve_Q14204_DYNC1H1.pdf", "Melting_Curves/meltCurve_Q14204_DYNC1H1.pdf")</f>
        <v>Melting_Curves/meltCurve_Q14204_DYNC1H1.pdf</v>
      </c>
    </row>
    <row r="3359" spans="1:28" x14ac:dyDescent="0.25">
      <c r="A3359" t="s">
        <v>3363</v>
      </c>
      <c r="B3359">
        <v>0.99673306730245903</v>
      </c>
      <c r="C3359">
        <v>0.96613087474774095</v>
      </c>
      <c r="D3359">
        <v>0.99313277995037896</v>
      </c>
      <c r="E3359">
        <v>0.98890657799940496</v>
      </c>
      <c r="F3359">
        <v>0.880251315178185</v>
      </c>
      <c r="G3359">
        <v>0.74594181964177497</v>
      </c>
      <c r="H3359">
        <v>0.12653988422535101</v>
      </c>
      <c r="I3359">
        <v>0.10430027551031899</v>
      </c>
      <c r="J3359">
        <v>9.1953896792672005E-2</v>
      </c>
      <c r="K3359">
        <v>8.2425530739459102E-2</v>
      </c>
      <c r="L3359">
        <v>3006.1689436897</v>
      </c>
      <c r="M3359">
        <v>52.035380622141602</v>
      </c>
      <c r="N3359">
        <v>57.9783990645712</v>
      </c>
      <c r="O3359">
        <v>57.686503729699602</v>
      </c>
      <c r="P3359">
        <v>-0.20641232454084299</v>
      </c>
      <c r="Q3359">
        <v>8.4684655788256097E-2</v>
      </c>
      <c r="R3359">
        <v>0.99163067196023102</v>
      </c>
      <c r="S3359" t="s">
        <v>9811</v>
      </c>
      <c r="T3359" t="s">
        <v>12902</v>
      </c>
      <c r="U3359" t="s">
        <v>12902</v>
      </c>
      <c r="V3359" t="s">
        <v>12902</v>
      </c>
      <c r="W3359" t="s">
        <v>16220</v>
      </c>
      <c r="X3359">
        <v>18</v>
      </c>
      <c r="Y3359" t="s">
        <v>22546</v>
      </c>
      <c r="Z3359" t="s">
        <v>28934</v>
      </c>
      <c r="AA3359">
        <v>0.62905308831575546</v>
      </c>
      <c r="AB3359" t="str">
        <f>HYPERLINK("Melting_Curves/meltCurve_Q14232_EIF2B1.pdf", "Melting_Curves/meltCurve_Q14232_EIF2B1.pdf")</f>
        <v>Melting_Curves/meltCurve_Q14232_EIF2B1.pdf</v>
      </c>
    </row>
    <row r="3360" spans="1:28" x14ac:dyDescent="0.25">
      <c r="A3360" t="s">
        <v>3364</v>
      </c>
      <c r="B3360">
        <v>0.99673306730245903</v>
      </c>
      <c r="C3360">
        <v>1.02079954552676</v>
      </c>
      <c r="D3360">
        <v>1.0300132099789301</v>
      </c>
      <c r="E3360">
        <v>1.04797764395876</v>
      </c>
      <c r="F3360">
        <v>0.83944658794695903</v>
      </c>
      <c r="G3360">
        <v>0.59539407873240402</v>
      </c>
      <c r="H3360">
        <v>0.16094566392165099</v>
      </c>
      <c r="I3360">
        <v>8.7705946486060907E-2</v>
      </c>
      <c r="J3360">
        <v>8.72647755259469E-2</v>
      </c>
      <c r="K3360">
        <v>6.8348425214000197E-2</v>
      </c>
      <c r="L3360">
        <v>1648.4278077834199</v>
      </c>
      <c r="M3360">
        <v>28.888893280238101</v>
      </c>
      <c r="N3360">
        <v>57.300433846762701</v>
      </c>
      <c r="O3360">
        <v>56.789631763228698</v>
      </c>
      <c r="P3360">
        <v>-0.119943724065621</v>
      </c>
      <c r="Q3360">
        <v>5.6868224131108598E-2</v>
      </c>
      <c r="R3360">
        <v>0.99377257246738204</v>
      </c>
      <c r="S3360" t="s">
        <v>9812</v>
      </c>
      <c r="T3360" t="s">
        <v>12902</v>
      </c>
      <c r="U3360" t="s">
        <v>12902</v>
      </c>
      <c r="V3360" t="s">
        <v>12902</v>
      </c>
      <c r="W3360" t="s">
        <v>16221</v>
      </c>
      <c r="X3360">
        <v>26</v>
      </c>
      <c r="Y3360" t="s">
        <v>22547</v>
      </c>
      <c r="Z3360" t="s">
        <v>28935</v>
      </c>
      <c r="AA3360">
        <v>0.59992809683913595</v>
      </c>
      <c r="AB3360" t="str">
        <f>HYPERLINK("Melting_Curves/meltCurve_Q14240_EIF4A2.pdf", "Melting_Curves/meltCurve_Q14240_EIF4A2.pdf")</f>
        <v>Melting_Curves/meltCurve_Q14240_EIF4A2.pdf</v>
      </c>
    </row>
    <row r="3361" spans="1:28" x14ac:dyDescent="0.25">
      <c r="A3361" t="s">
        <v>3365</v>
      </c>
      <c r="B3361">
        <v>0.99673306730245903</v>
      </c>
      <c r="C3361">
        <v>0.858760585491671</v>
      </c>
      <c r="D3361">
        <v>0.79686405526389203</v>
      </c>
      <c r="E3361">
        <v>0.43768491099156698</v>
      </c>
      <c r="F3361">
        <v>0.16626711493773999</v>
      </c>
      <c r="G3361">
        <v>0.11258893163070099</v>
      </c>
      <c r="H3361">
        <v>7.6691788860359003E-2</v>
      </c>
      <c r="I3361">
        <v>9.3503629037662295E-2</v>
      </c>
      <c r="J3361">
        <v>0.160439155629823</v>
      </c>
      <c r="K3361">
        <v>0.19919830149477499</v>
      </c>
      <c r="L3361">
        <v>1106.8269192108801</v>
      </c>
      <c r="M3361">
        <v>22.995493438452101</v>
      </c>
      <c r="N3361">
        <v>48.698471335415597</v>
      </c>
      <c r="O3361">
        <v>47.772772998476299</v>
      </c>
      <c r="P3361">
        <v>-0.10622554893026</v>
      </c>
      <c r="Q3361">
        <v>0.117288966331953</v>
      </c>
      <c r="R3361">
        <v>0.97993715001678205</v>
      </c>
      <c r="S3361" t="s">
        <v>9813</v>
      </c>
      <c r="T3361" t="s">
        <v>12902</v>
      </c>
      <c r="U3361" t="s">
        <v>12902</v>
      </c>
      <c r="V3361" t="s">
        <v>12902</v>
      </c>
      <c r="W3361" t="s">
        <v>16222</v>
      </c>
      <c r="X3361">
        <v>15</v>
      </c>
      <c r="Y3361" t="s">
        <v>22548</v>
      </c>
      <c r="Z3361" t="s">
        <v>28936</v>
      </c>
      <c r="AA3361">
        <v>0.36588344401837553</v>
      </c>
      <c r="AB3361" t="str">
        <f>HYPERLINK("Melting_Curves/meltCurve_Q14241_TCEB3.pdf", "Melting_Curves/meltCurve_Q14241_TCEB3.pdf")</f>
        <v>Melting_Curves/meltCurve_Q14241_TCEB3.pdf</v>
      </c>
    </row>
    <row r="3362" spans="1:28" x14ac:dyDescent="0.25">
      <c r="A3362" t="s">
        <v>3366</v>
      </c>
      <c r="B3362">
        <v>0.99673306730245903</v>
      </c>
      <c r="C3362">
        <v>0.93674475121109102</v>
      </c>
      <c r="D3362">
        <v>0.93412879346585498</v>
      </c>
      <c r="E3362">
        <v>0.91563894220415998</v>
      </c>
      <c r="F3362">
        <v>0.73320164678023403</v>
      </c>
      <c r="G3362">
        <v>0.59787626369894897</v>
      </c>
      <c r="H3362">
        <v>0.46624104089103502</v>
      </c>
      <c r="I3362">
        <v>0.58312849768415997</v>
      </c>
      <c r="J3362">
        <v>0.97128999115370596</v>
      </c>
      <c r="K3362">
        <v>1.2257348301417199</v>
      </c>
      <c r="L3362">
        <v>12429.4398457201</v>
      </c>
      <c r="M3362">
        <v>250</v>
      </c>
      <c r="O3362">
        <v>49.714578056618201</v>
      </c>
      <c r="P3362">
        <v>-0.29806141382970203</v>
      </c>
      <c r="Q3362">
        <v>0.76291204283976999</v>
      </c>
      <c r="R3362">
        <v>0.154372747963437</v>
      </c>
      <c r="S3362" t="s">
        <v>9814</v>
      </c>
      <c r="T3362" t="s">
        <v>12902</v>
      </c>
      <c r="U3362" t="s">
        <v>12902</v>
      </c>
      <c r="V3362" t="s">
        <v>12902</v>
      </c>
      <c r="W3362" t="s">
        <v>16223</v>
      </c>
      <c r="X3362">
        <v>33</v>
      </c>
      <c r="Y3362" t="s">
        <v>22549</v>
      </c>
      <c r="Z3362" t="s">
        <v>28937</v>
      </c>
      <c r="AA3362">
        <v>0.83973152036263021</v>
      </c>
      <c r="AB3362" t="str">
        <f>HYPERLINK("Melting_Curves/meltCurve_Q14244_MAP7.pdf", "Melting_Curves/meltCurve_Q14244_MAP7.pdf")</f>
        <v>Melting_Curves/meltCurve_Q14244_MAP7.pdf</v>
      </c>
    </row>
    <row r="3363" spans="1:28" x14ac:dyDescent="0.25">
      <c r="A3363" t="s">
        <v>3367</v>
      </c>
      <c r="B3363">
        <v>0.99673306730245903</v>
      </c>
      <c r="C3363">
        <v>1.00925063491659</v>
      </c>
      <c r="D3363">
        <v>1.0109834737393999</v>
      </c>
      <c r="E3363">
        <v>0.94474179654354296</v>
      </c>
      <c r="F3363">
        <v>0.79223310115169598</v>
      </c>
      <c r="G3363">
        <v>0.77082559619433799</v>
      </c>
      <c r="H3363">
        <v>0.67278552518043999</v>
      </c>
      <c r="I3363">
        <v>1.03425510355401</v>
      </c>
      <c r="J3363">
        <v>1.5207126025036299</v>
      </c>
      <c r="K3363">
        <v>1.4605177397745399</v>
      </c>
      <c r="L3363">
        <v>15000</v>
      </c>
      <c r="M3363">
        <v>231.78919548363501</v>
      </c>
      <c r="O3363">
        <v>64.709156696317294</v>
      </c>
      <c r="P3363">
        <v>0.43939823662567201</v>
      </c>
      <c r="Q3363">
        <v>1.4906715211424</v>
      </c>
      <c r="R3363">
        <v>0.69696295168658495</v>
      </c>
      <c r="S3363" t="s">
        <v>9815</v>
      </c>
      <c r="T3363" t="s">
        <v>12902</v>
      </c>
      <c r="U3363" t="s">
        <v>12902</v>
      </c>
      <c r="V3363" t="s">
        <v>12902</v>
      </c>
      <c r="W3363" t="s">
        <v>16224</v>
      </c>
      <c r="X3363">
        <v>67</v>
      </c>
      <c r="Y3363" t="s">
        <v>22550</v>
      </c>
      <c r="Z3363" t="s">
        <v>28938</v>
      </c>
      <c r="AA3363">
        <v>1.086391915963685</v>
      </c>
      <c r="AB3363" t="str">
        <f>HYPERLINK("Melting_Curves/meltCurve_Q14247_CTTN.pdf", "Melting_Curves/meltCurve_Q14247_CTTN.pdf")</f>
        <v>Melting_Curves/meltCurve_Q14247_CTTN.pdf</v>
      </c>
    </row>
    <row r="3364" spans="1:28" x14ac:dyDescent="0.25">
      <c r="A3364" t="s">
        <v>3368</v>
      </c>
      <c r="B3364">
        <v>0.99673306730245903</v>
      </c>
      <c r="C3364">
        <v>0.92517079091349197</v>
      </c>
      <c r="D3364">
        <v>0.85549587678842198</v>
      </c>
      <c r="E3364">
        <v>0.58331152932963404</v>
      </c>
      <c r="F3364">
        <v>0.52837988649981504</v>
      </c>
      <c r="G3364">
        <v>0.44381604797734098</v>
      </c>
      <c r="H3364">
        <v>0.33772396866229498</v>
      </c>
      <c r="I3364">
        <v>0.49222257995177399</v>
      </c>
      <c r="J3364">
        <v>0.59138247894624096</v>
      </c>
      <c r="K3364">
        <v>0.64641285433220796</v>
      </c>
      <c r="L3364">
        <v>1412.1200085466501</v>
      </c>
      <c r="M3364">
        <v>29.9785761396681</v>
      </c>
      <c r="O3364">
        <v>46.896195752646001</v>
      </c>
      <c r="P3364">
        <v>-7.9467347516988696E-2</v>
      </c>
      <c r="Q3364">
        <v>0.50275264350045001</v>
      </c>
      <c r="R3364">
        <v>0.85202894043404098</v>
      </c>
      <c r="S3364" t="s">
        <v>9816</v>
      </c>
      <c r="T3364" t="s">
        <v>12902</v>
      </c>
      <c r="U3364" t="s">
        <v>12902</v>
      </c>
      <c r="V3364" t="s">
        <v>12902</v>
      </c>
      <c r="W3364" t="s">
        <v>16225</v>
      </c>
      <c r="X3364">
        <v>57</v>
      </c>
      <c r="Y3364" t="s">
        <v>22550</v>
      </c>
      <c r="Z3364" t="s">
        <v>28939</v>
      </c>
      <c r="AA3364">
        <v>0.62349242981902675</v>
      </c>
      <c r="AB3364" t="str">
        <f>HYPERLINK("Melting_Curves/meltCurve_Q14247_3_CTTN.pdf", "Melting_Curves/meltCurve_Q14247_3_CTTN.pdf")</f>
        <v>Melting_Curves/meltCurve_Q14247_3_CTTN.pdf</v>
      </c>
    </row>
    <row r="3365" spans="1:28" x14ac:dyDescent="0.25">
      <c r="A3365" t="s">
        <v>3369</v>
      </c>
      <c r="B3365">
        <v>0.99673306730245903</v>
      </c>
      <c r="C3365">
        <v>0.96904153832687001</v>
      </c>
      <c r="D3365">
        <v>0.94209481051632904</v>
      </c>
      <c r="E3365">
        <v>0.81441326196136898</v>
      </c>
      <c r="F3365">
        <v>0.38527778148690001</v>
      </c>
      <c r="G3365">
        <v>0.15670955097678299</v>
      </c>
      <c r="H3365">
        <v>9.1789971611176496E-2</v>
      </c>
      <c r="I3365">
        <v>7.3373875252151693E-2</v>
      </c>
      <c r="J3365">
        <v>7.6040997856664905E-2</v>
      </c>
      <c r="K3365">
        <v>6.4150634313434193E-2</v>
      </c>
      <c r="L3365">
        <v>1407.6712690910099</v>
      </c>
      <c r="M3365">
        <v>27.087642904738999</v>
      </c>
      <c r="N3365">
        <v>52.256266177786799</v>
      </c>
      <c r="O3365">
        <v>51.6865072948139</v>
      </c>
      <c r="P3365">
        <v>-0.121906773786217</v>
      </c>
      <c r="Q3365">
        <v>6.9557024595799294E-2</v>
      </c>
      <c r="R3365">
        <v>0.99866560127984405</v>
      </c>
      <c r="S3365" t="s">
        <v>9817</v>
      </c>
      <c r="T3365" t="s">
        <v>12902</v>
      </c>
      <c r="U3365" t="s">
        <v>12902</v>
      </c>
      <c r="V3365" t="s">
        <v>12902</v>
      </c>
      <c r="W3365" t="s">
        <v>16226</v>
      </c>
      <c r="X3365">
        <v>13</v>
      </c>
      <c r="Y3365" t="s">
        <v>22551</v>
      </c>
      <c r="Z3365" t="s">
        <v>28940</v>
      </c>
      <c r="AA3365">
        <v>0.44798618771377807</v>
      </c>
      <c r="AB3365" t="str">
        <f>HYPERLINK("Melting_Curves/meltCurve_Q14249_ENDOG.pdf", "Melting_Curves/meltCurve_Q14249_ENDOG.pdf")</f>
        <v>Melting_Curves/meltCurve_Q14249_ENDOG.pdf</v>
      </c>
    </row>
    <row r="3366" spans="1:28" x14ac:dyDescent="0.25">
      <c r="A3366" t="s">
        <v>3370</v>
      </c>
      <c r="B3366">
        <v>0.99673306730245903</v>
      </c>
      <c r="C3366">
        <v>1.0246094401208601</v>
      </c>
      <c r="D3366">
        <v>0.90504470847349805</v>
      </c>
      <c r="E3366">
        <v>0.82055577421395998</v>
      </c>
      <c r="F3366">
        <v>0.58456193021890701</v>
      </c>
      <c r="G3366">
        <v>0.35070938228017701</v>
      </c>
      <c r="H3366">
        <v>0.220452396869498</v>
      </c>
      <c r="I3366">
        <v>0.17946846020096299</v>
      </c>
      <c r="J3366">
        <v>0.19967367723635501</v>
      </c>
      <c r="K3366">
        <v>0.16814663706173699</v>
      </c>
      <c r="L3366">
        <v>952.808901166341</v>
      </c>
      <c r="M3366">
        <v>17.9409101500177</v>
      </c>
      <c r="N3366">
        <v>54.236563741954903</v>
      </c>
      <c r="O3366">
        <v>52.461538943020798</v>
      </c>
      <c r="P3366">
        <v>-7.2182728165013393E-2</v>
      </c>
      <c r="Q3366">
        <v>0.15575571510847699</v>
      </c>
      <c r="R3366">
        <v>0.99608757806701298</v>
      </c>
      <c r="S3366" t="s">
        <v>9818</v>
      </c>
      <c r="T3366" t="s">
        <v>12902</v>
      </c>
      <c r="U3366" t="s">
        <v>12902</v>
      </c>
      <c r="V3366" t="s">
        <v>12902</v>
      </c>
      <c r="W3366" t="s">
        <v>16227</v>
      </c>
      <c r="X3366">
        <v>9</v>
      </c>
      <c r="Y3366" t="s">
        <v>22552</v>
      </c>
      <c r="Z3366" t="s">
        <v>28941</v>
      </c>
      <c r="AA3366">
        <v>0.53850566093994934</v>
      </c>
      <c r="AB3366" t="str">
        <f>HYPERLINK("Melting_Curves/meltCurve_Q14254_FLOT2.pdf", "Melting_Curves/meltCurve_Q14254_FLOT2.pdf")</f>
        <v>Melting_Curves/meltCurve_Q14254_FLOT2.pdf</v>
      </c>
    </row>
    <row r="3367" spans="1:28" x14ac:dyDescent="0.25">
      <c r="A3367" t="s">
        <v>3371</v>
      </c>
      <c r="B3367">
        <v>0.99673306730245903</v>
      </c>
      <c r="C3367">
        <v>0.970568817907285</v>
      </c>
      <c r="D3367">
        <v>0.95886693971346904</v>
      </c>
      <c r="E3367">
        <v>0.79946891466016201</v>
      </c>
      <c r="F3367">
        <v>0.57353300562425202</v>
      </c>
      <c r="G3367">
        <v>0.35314057945331701</v>
      </c>
      <c r="H3367">
        <v>0.24106424139132601</v>
      </c>
      <c r="I3367">
        <v>0.239632399209146</v>
      </c>
      <c r="J3367">
        <v>0.22021263283772999</v>
      </c>
      <c r="K3367">
        <v>0.21932033530303999</v>
      </c>
      <c r="L3367">
        <v>1014.67753321732</v>
      </c>
      <c r="M3367">
        <v>19.2983379473059</v>
      </c>
      <c r="N3367">
        <v>54.068456324268297</v>
      </c>
      <c r="O3367">
        <v>52.0237009528079</v>
      </c>
      <c r="P3367">
        <v>-7.3615779624038105E-2</v>
      </c>
      <c r="Q3367">
        <v>0.20622790459130499</v>
      </c>
      <c r="R3367">
        <v>0.99876716630454598</v>
      </c>
      <c r="S3367" t="s">
        <v>9819</v>
      </c>
      <c r="T3367" t="s">
        <v>12902</v>
      </c>
      <c r="U3367" t="s">
        <v>12902</v>
      </c>
      <c r="V3367" t="s">
        <v>12902</v>
      </c>
      <c r="W3367" t="s">
        <v>16228</v>
      </c>
      <c r="X3367">
        <v>6</v>
      </c>
      <c r="Y3367" t="s">
        <v>22553</v>
      </c>
      <c r="Z3367" t="s">
        <v>28942</v>
      </c>
      <c r="AA3367">
        <v>0.55069204856786103</v>
      </c>
      <c r="AB3367" t="str">
        <f>HYPERLINK("Melting_Curves/meltCurve_Q14257_RCN2.pdf", "Melting_Curves/meltCurve_Q14257_RCN2.pdf")</f>
        <v>Melting_Curves/meltCurve_Q14257_RCN2.pdf</v>
      </c>
    </row>
    <row r="3368" spans="1:28" x14ac:dyDescent="0.25">
      <c r="A3368" t="s">
        <v>3372</v>
      </c>
      <c r="B3368">
        <v>0.99673306730245903</v>
      </c>
      <c r="C3368">
        <v>0.87163124823932003</v>
      </c>
      <c r="D3368">
        <v>0.67946402606008605</v>
      </c>
      <c r="E3368">
        <v>0.41086961698510099</v>
      </c>
      <c r="F3368">
        <v>0.17996205292637901</v>
      </c>
      <c r="G3368">
        <v>0.109852819453536</v>
      </c>
      <c r="H3368">
        <v>6.8782147682678402E-2</v>
      </c>
      <c r="I3368">
        <v>6.4161123803352094E-2</v>
      </c>
      <c r="J3368">
        <v>6.67650937966386E-2</v>
      </c>
      <c r="K3368">
        <v>5.6005205406956901E-2</v>
      </c>
      <c r="L3368">
        <v>819.99371769254003</v>
      </c>
      <c r="M3368">
        <v>17.115835244549199</v>
      </c>
      <c r="N3368">
        <v>48.207474579736903</v>
      </c>
      <c r="O3368">
        <v>47.268840948805703</v>
      </c>
      <c r="P3368">
        <v>-8.5970382371865703E-2</v>
      </c>
      <c r="Q3368">
        <v>5.0358712689202001E-2</v>
      </c>
      <c r="R3368">
        <v>0.998446460069633</v>
      </c>
      <c r="S3368" t="s">
        <v>9820</v>
      </c>
      <c r="T3368" t="s">
        <v>12902</v>
      </c>
      <c r="U3368" t="s">
        <v>12902</v>
      </c>
      <c r="V3368" t="s">
        <v>12902</v>
      </c>
      <c r="W3368" t="s">
        <v>16229</v>
      </c>
      <c r="X3368">
        <v>15</v>
      </c>
      <c r="Y3368" t="s">
        <v>22554</v>
      </c>
      <c r="Z3368" t="s">
        <v>28943</v>
      </c>
      <c r="AA3368">
        <v>0.31946804515761917</v>
      </c>
      <c r="AB3368" t="str">
        <f>HYPERLINK("Melting_Curves/meltCurve_Q14258_TRIM25.pdf", "Melting_Curves/meltCurve_Q14258_TRIM25.pdf")</f>
        <v>Melting_Curves/meltCurve_Q14258_TRIM25.pdf</v>
      </c>
    </row>
    <row r="3369" spans="1:28" x14ac:dyDescent="0.25">
      <c r="A3369" t="s">
        <v>3373</v>
      </c>
      <c r="B3369">
        <v>0.99673306730245903</v>
      </c>
      <c r="C3369">
        <v>0.88088827250181201</v>
      </c>
      <c r="D3369">
        <v>0.517749144559283</v>
      </c>
      <c r="E3369">
        <v>0.22212619139138301</v>
      </c>
      <c r="F3369">
        <v>0.13018633160052601</v>
      </c>
      <c r="G3369">
        <v>8.6615483253148801E-2</v>
      </c>
      <c r="H3369">
        <v>6.3054369566241303E-2</v>
      </c>
      <c r="I3369">
        <v>5.85447995078811E-2</v>
      </c>
      <c r="J3369">
        <v>5.8669948266271303E-2</v>
      </c>
      <c r="K3369">
        <v>5.0862819247824799E-2</v>
      </c>
      <c r="L3369">
        <v>1094.7925285352001</v>
      </c>
      <c r="M3369">
        <v>23.769863299951201</v>
      </c>
      <c r="N3369">
        <v>46.334534325697099</v>
      </c>
      <c r="O3369">
        <v>45.735750704081802</v>
      </c>
      <c r="P3369">
        <v>-0.12134084167112</v>
      </c>
      <c r="Q3369">
        <v>6.6124867115899502E-2</v>
      </c>
      <c r="R3369">
        <v>0.99770337554934396</v>
      </c>
      <c r="S3369" t="s">
        <v>9821</v>
      </c>
      <c r="T3369" t="s">
        <v>12902</v>
      </c>
      <c r="U3369" t="s">
        <v>12902</v>
      </c>
      <c r="V3369" t="s">
        <v>12902</v>
      </c>
      <c r="W3369" t="s">
        <v>16230</v>
      </c>
      <c r="X3369">
        <v>10</v>
      </c>
      <c r="Y3369" t="s">
        <v>22555</v>
      </c>
      <c r="Z3369" t="s">
        <v>28944</v>
      </c>
      <c r="AA3369">
        <v>0.26436793577044049</v>
      </c>
      <c r="AB3369" t="str">
        <f>HYPERLINK("Melting_Curves/meltCurve_Q14318_2_FKBP8.pdf", "Melting_Curves/meltCurve_Q14318_2_FKBP8.pdf")</f>
        <v>Melting_Curves/meltCurve_Q14318_2_FKBP8.pdf</v>
      </c>
    </row>
    <row r="3370" spans="1:28" x14ac:dyDescent="0.25">
      <c r="A3370" t="s">
        <v>3374</v>
      </c>
      <c r="B3370">
        <v>0.99673306730245903</v>
      </c>
      <c r="C3370">
        <v>0.97925410178311501</v>
      </c>
      <c r="D3370">
        <v>0.80117390982714898</v>
      </c>
      <c r="E3370">
        <v>0.46629981702961198</v>
      </c>
      <c r="F3370">
        <v>0.217792446324102</v>
      </c>
      <c r="G3370">
        <v>0.14355393885932999</v>
      </c>
      <c r="H3370">
        <v>9.5637812821831994E-2</v>
      </c>
      <c r="I3370">
        <v>0.105847360345181</v>
      </c>
      <c r="J3370">
        <v>0.13309438786176001</v>
      </c>
      <c r="K3370">
        <v>0.133889942035543</v>
      </c>
      <c r="L3370">
        <v>1130.71928396113</v>
      </c>
      <c r="M3370">
        <v>23.2511518899728</v>
      </c>
      <c r="N3370">
        <v>49.177409865074303</v>
      </c>
      <c r="O3370">
        <v>48.275243180080302</v>
      </c>
      <c r="P3370">
        <v>-0.106697364780461</v>
      </c>
      <c r="Q3370">
        <v>0.113893679843292</v>
      </c>
      <c r="R3370">
        <v>0.99836992425267201</v>
      </c>
      <c r="S3370" t="s">
        <v>9822</v>
      </c>
      <c r="T3370" t="s">
        <v>12902</v>
      </c>
      <c r="U3370" t="s">
        <v>12902</v>
      </c>
      <c r="V3370" t="s">
        <v>12902</v>
      </c>
      <c r="W3370" t="s">
        <v>16231</v>
      </c>
      <c r="X3370">
        <v>21</v>
      </c>
      <c r="Y3370" t="s">
        <v>22556</v>
      </c>
      <c r="Z3370" t="s">
        <v>28945</v>
      </c>
      <c r="AA3370">
        <v>0.37793203939185133</v>
      </c>
      <c r="AB3370" t="str">
        <f>HYPERLINK("Melting_Curves/meltCurve_Q14320_FAM50A.pdf", "Melting_Curves/meltCurve_Q14320_FAM50A.pdf")</f>
        <v>Melting_Curves/meltCurve_Q14320_FAM50A.pdf</v>
      </c>
    </row>
    <row r="3371" spans="1:28" x14ac:dyDescent="0.25">
      <c r="A3371" t="s">
        <v>3375</v>
      </c>
      <c r="B3371">
        <v>0.99673306730245903</v>
      </c>
      <c r="C3371">
        <v>0.94545519417917301</v>
      </c>
      <c r="D3371">
        <v>0.81537838150284703</v>
      </c>
      <c r="E3371">
        <v>0.60290293699893105</v>
      </c>
      <c r="F3371">
        <v>0.26403382473571002</v>
      </c>
      <c r="G3371">
        <v>0.13694698035047501</v>
      </c>
      <c r="H3371">
        <v>8.1763343012864406E-2</v>
      </c>
      <c r="I3371">
        <v>8.1809240724275603E-2</v>
      </c>
      <c r="J3371">
        <v>9.3117478604804294E-2</v>
      </c>
      <c r="K3371">
        <v>7.7936363472716805E-2</v>
      </c>
      <c r="L3371">
        <v>955.52060392635099</v>
      </c>
      <c r="M3371">
        <v>19.140782818890401</v>
      </c>
      <c r="N3371">
        <v>50.295233067555003</v>
      </c>
      <c r="O3371">
        <v>49.385354135576598</v>
      </c>
      <c r="P3371">
        <v>-9.0462069573469403E-2</v>
      </c>
      <c r="Q3371">
        <v>6.6427343486653495E-2</v>
      </c>
      <c r="R3371">
        <v>0.99686256292060604</v>
      </c>
      <c r="S3371" t="s">
        <v>9823</v>
      </c>
      <c r="T3371" t="s">
        <v>12902</v>
      </c>
      <c r="U3371" t="s">
        <v>12902</v>
      </c>
      <c r="V3371" t="s">
        <v>12902</v>
      </c>
      <c r="W3371" t="s">
        <v>16232</v>
      </c>
      <c r="X3371">
        <v>8</v>
      </c>
      <c r="Y3371" t="s">
        <v>22557</v>
      </c>
      <c r="Z3371" t="s">
        <v>28946</v>
      </c>
      <c r="AA3371">
        <v>0.38931088141156739</v>
      </c>
      <c r="AB3371" t="str">
        <f>HYPERLINK("Melting_Curves/meltCurve_Q14331_FRG1.pdf", "Melting_Curves/meltCurve_Q14331_FRG1.pdf")</f>
        <v>Melting_Curves/meltCurve_Q14331_FRG1.pdf</v>
      </c>
    </row>
    <row r="3372" spans="1:28" x14ac:dyDescent="0.25">
      <c r="A3372" t="s">
        <v>3376</v>
      </c>
      <c r="B3372">
        <v>0.99673306730245903</v>
      </c>
      <c r="C3372">
        <v>0.97816310846760102</v>
      </c>
      <c r="D3372">
        <v>0.87063109951405004</v>
      </c>
      <c r="E3372">
        <v>0.70986935093821202</v>
      </c>
      <c r="F3372">
        <v>0.48485087962634699</v>
      </c>
      <c r="G3372">
        <v>0.18668849356005901</v>
      </c>
      <c r="H3372">
        <v>9.0948088862834203E-2</v>
      </c>
      <c r="I3372">
        <v>6.9697461532827507E-2</v>
      </c>
      <c r="J3372">
        <v>7.5514998622598403E-2</v>
      </c>
      <c r="K3372">
        <v>5.8986432235968E-2</v>
      </c>
      <c r="L3372">
        <v>875.71781614454198</v>
      </c>
      <c r="M3372">
        <v>16.790815030178301</v>
      </c>
      <c r="N3372">
        <v>52.362032675635099</v>
      </c>
      <c r="O3372">
        <v>51.431632524568798</v>
      </c>
      <c r="P3372">
        <v>-7.8995798487049101E-2</v>
      </c>
      <c r="Q3372">
        <v>3.2180276203689899E-2</v>
      </c>
      <c r="R3372">
        <v>0.99553806119188504</v>
      </c>
      <c r="S3372" t="s">
        <v>9824</v>
      </c>
      <c r="T3372" t="s">
        <v>12902</v>
      </c>
      <c r="U3372" t="s">
        <v>12902</v>
      </c>
      <c r="V3372" t="s">
        <v>12902</v>
      </c>
      <c r="W3372" t="s">
        <v>16233</v>
      </c>
      <c r="X3372">
        <v>11</v>
      </c>
      <c r="Y3372" t="s">
        <v>22558</v>
      </c>
      <c r="Z3372" t="s">
        <v>28947</v>
      </c>
      <c r="AA3372">
        <v>0.44232853686507217</v>
      </c>
      <c r="AB3372" t="str">
        <f>HYPERLINK("Melting_Curves/meltCurve_Q14344_GNA13.pdf", "Melting_Curves/meltCurve_Q14344_GNA13.pdf")</f>
        <v>Melting_Curves/meltCurve_Q14344_GNA13.pdf</v>
      </c>
    </row>
    <row r="3373" spans="1:28" x14ac:dyDescent="0.25">
      <c r="A3373" t="s">
        <v>3377</v>
      </c>
      <c r="B3373">
        <v>0.99673306730245903</v>
      </c>
      <c r="C3373">
        <v>1.0011860237712999</v>
      </c>
      <c r="D3373">
        <v>0.93240448590048397</v>
      </c>
      <c r="E3373">
        <v>0.92112807096633298</v>
      </c>
      <c r="F3373">
        <v>0.43351160689277501</v>
      </c>
      <c r="G3373">
        <v>0.21318869527748799</v>
      </c>
      <c r="H3373">
        <v>0.120286226661674</v>
      </c>
      <c r="I3373">
        <v>0.102630540127925</v>
      </c>
      <c r="J3373">
        <v>0.103528659966085</v>
      </c>
      <c r="K3373">
        <v>9.3213318815260807E-2</v>
      </c>
      <c r="L3373">
        <v>1757.3093129828401</v>
      </c>
      <c r="M3373">
        <v>33.474645839325198</v>
      </c>
      <c r="N3373">
        <v>52.882347038331297</v>
      </c>
      <c r="O3373">
        <v>52.310443735230699</v>
      </c>
      <c r="P3373">
        <v>-0.14265621797348399</v>
      </c>
      <c r="Q3373">
        <v>0.108294943880757</v>
      </c>
      <c r="R3373">
        <v>0.99552593329535999</v>
      </c>
      <c r="S3373" t="s">
        <v>9825</v>
      </c>
      <c r="T3373" t="s">
        <v>12902</v>
      </c>
      <c r="U3373" t="s">
        <v>12902</v>
      </c>
      <c r="V3373" t="s">
        <v>12902</v>
      </c>
      <c r="W3373" t="s">
        <v>16234</v>
      </c>
      <c r="X3373">
        <v>11</v>
      </c>
      <c r="Y3373" t="s">
        <v>22559</v>
      </c>
      <c r="Z3373" t="s">
        <v>28948</v>
      </c>
      <c r="AA3373">
        <v>0.48436054678160118</v>
      </c>
      <c r="AB3373" t="str">
        <f>HYPERLINK("Melting_Curves/meltCurve_Q14376_GALE.pdf", "Melting_Curves/meltCurve_Q14376_GALE.pdf")</f>
        <v>Melting_Curves/meltCurve_Q14376_GALE.pdf</v>
      </c>
    </row>
    <row r="3374" spans="1:28" x14ac:dyDescent="0.25">
      <c r="A3374" t="s">
        <v>3378</v>
      </c>
      <c r="B3374">
        <v>0.99673306730245903</v>
      </c>
      <c r="C3374">
        <v>0.90724887473040805</v>
      </c>
      <c r="D3374">
        <v>0.81441737027680206</v>
      </c>
      <c r="E3374">
        <v>0.47514296160645603</v>
      </c>
      <c r="F3374">
        <v>0.219381867612882</v>
      </c>
      <c r="G3374">
        <v>0.146089613025569</v>
      </c>
      <c r="H3374">
        <v>0.111550417931624</v>
      </c>
      <c r="I3374">
        <v>0.105559484181694</v>
      </c>
      <c r="J3374">
        <v>0.10224002916795399</v>
      </c>
      <c r="K3374">
        <v>8.2686641984360904E-2</v>
      </c>
      <c r="L3374">
        <v>993.79138398167697</v>
      </c>
      <c r="M3374">
        <v>20.362903577943001</v>
      </c>
      <c r="N3374">
        <v>49.297246187880397</v>
      </c>
      <c r="O3374">
        <v>48.340648000297797</v>
      </c>
      <c r="P3374">
        <v>-9.5606846920935198E-2</v>
      </c>
      <c r="Q3374">
        <v>9.21616014543232E-2</v>
      </c>
      <c r="R3374">
        <v>0.99797933802304395</v>
      </c>
      <c r="S3374" t="s">
        <v>9826</v>
      </c>
      <c r="T3374" t="s">
        <v>12902</v>
      </c>
      <c r="U3374" t="s">
        <v>12902</v>
      </c>
      <c r="V3374" t="s">
        <v>12902</v>
      </c>
      <c r="W3374" t="s">
        <v>16235</v>
      </c>
      <c r="X3374">
        <v>6</v>
      </c>
      <c r="Y3374" t="s">
        <v>22560</v>
      </c>
      <c r="Z3374" t="s">
        <v>28949</v>
      </c>
      <c r="AA3374">
        <v>0.37086279010596512</v>
      </c>
      <c r="AB3374" t="str">
        <f>HYPERLINK("Melting_Curves/meltCurve_Q14435_GALNT3.pdf", "Melting_Curves/meltCurve_Q14435_GALNT3.pdf")</f>
        <v>Melting_Curves/meltCurve_Q14435_GALNT3.pdf</v>
      </c>
    </row>
    <row r="3375" spans="1:28" x14ac:dyDescent="0.25">
      <c r="A3375" t="s">
        <v>3379</v>
      </c>
      <c r="B3375">
        <v>0.99673306730245903</v>
      </c>
      <c r="C3375">
        <v>0.89391764320637501</v>
      </c>
      <c r="D3375">
        <v>0.93955150898803397</v>
      </c>
      <c r="E3375">
        <v>0.92462079585994095</v>
      </c>
      <c r="F3375">
        <v>0.73791405799647902</v>
      </c>
      <c r="G3375">
        <v>0.44105065759734202</v>
      </c>
      <c r="H3375">
        <v>0.268135849110545</v>
      </c>
      <c r="I3375">
        <v>0.387612586646847</v>
      </c>
      <c r="J3375">
        <v>0.55930859007852296</v>
      </c>
      <c r="K3375">
        <v>0.54505335027992297</v>
      </c>
      <c r="L3375">
        <v>2515.5497997471598</v>
      </c>
      <c r="M3375">
        <v>47.235070824634903</v>
      </c>
      <c r="N3375">
        <v>55.669283415212099</v>
      </c>
      <c r="O3375">
        <v>53.160785581831398</v>
      </c>
      <c r="P3375">
        <v>-0.125398172775912</v>
      </c>
      <c r="Q3375">
        <v>0.435482335110015</v>
      </c>
      <c r="R3375">
        <v>0.87563331163816804</v>
      </c>
      <c r="S3375" t="s">
        <v>9827</v>
      </c>
      <c r="T3375" t="s">
        <v>12902</v>
      </c>
      <c r="U3375" t="s">
        <v>12902</v>
      </c>
      <c r="V3375" t="s">
        <v>12902</v>
      </c>
      <c r="W3375" t="s">
        <v>16236</v>
      </c>
      <c r="X3375">
        <v>24</v>
      </c>
      <c r="Y3375" t="s">
        <v>22561</v>
      </c>
      <c r="Z3375" t="s">
        <v>28950</v>
      </c>
      <c r="AA3375">
        <v>0.68640988372783718</v>
      </c>
      <c r="AB3375" t="str">
        <f>HYPERLINK("Melting_Curves/meltCurve_Q14444_2_CAPRIN1.pdf", "Melting_Curves/meltCurve_Q14444_2_CAPRIN1.pdf")</f>
        <v>Melting_Curves/meltCurve_Q14444_2_CAPRIN1.pdf</v>
      </c>
    </row>
    <row r="3376" spans="1:28" x14ac:dyDescent="0.25">
      <c r="A3376" t="s">
        <v>3380</v>
      </c>
      <c r="B3376">
        <v>0.99673306730245903</v>
      </c>
      <c r="C3376">
        <v>0.89254605810658205</v>
      </c>
      <c r="D3376">
        <v>0.535792393739845</v>
      </c>
      <c r="E3376">
        <v>0.28065959578842298</v>
      </c>
      <c r="F3376">
        <v>0.210591603292139</v>
      </c>
      <c r="G3376">
        <v>0.123429199350428</v>
      </c>
      <c r="H3376">
        <v>7.5611142322554295E-2</v>
      </c>
      <c r="I3376">
        <v>6.34453336986847E-2</v>
      </c>
      <c r="J3376">
        <v>5.3915769534316503E-2</v>
      </c>
      <c r="K3376">
        <v>4.8947661264330901E-2</v>
      </c>
      <c r="L3376">
        <v>903.55254836342397</v>
      </c>
      <c r="M3376">
        <v>19.435072685180501</v>
      </c>
      <c r="N3376">
        <v>46.870271612748297</v>
      </c>
      <c r="O3376">
        <v>46.007012295754201</v>
      </c>
      <c r="P3376">
        <v>-9.7925200123174905E-2</v>
      </c>
      <c r="Q3376">
        <v>7.2793451752717606E-2</v>
      </c>
      <c r="R3376">
        <v>0.98993332923896904</v>
      </c>
      <c r="S3376" t="s">
        <v>9828</v>
      </c>
      <c r="T3376" t="s">
        <v>12902</v>
      </c>
      <c r="U3376" t="s">
        <v>12902</v>
      </c>
      <c r="V3376" t="s">
        <v>12902</v>
      </c>
      <c r="W3376" t="s">
        <v>16237</v>
      </c>
      <c r="X3376">
        <v>7</v>
      </c>
      <c r="Y3376" t="s">
        <v>22562</v>
      </c>
      <c r="Z3376" t="s">
        <v>28951</v>
      </c>
      <c r="AA3376">
        <v>0.28823289650704442</v>
      </c>
      <c r="AB3376" t="str">
        <f>HYPERLINK("Melting_Curves/meltCurve_Q14451_GRB7.pdf", "Melting_Curves/meltCurve_Q14451_GRB7.pdf")</f>
        <v>Melting_Curves/meltCurve_Q14451_GRB7.pdf</v>
      </c>
    </row>
    <row r="3377" spans="1:28" x14ac:dyDescent="0.25">
      <c r="A3377" t="s">
        <v>3381</v>
      </c>
      <c r="B3377">
        <v>0.99673306730245903</v>
      </c>
      <c r="C3377">
        <v>0.87989512528613401</v>
      </c>
      <c r="D3377">
        <v>0.93562760078265705</v>
      </c>
      <c r="E3377">
        <v>1.0423319191776099</v>
      </c>
      <c r="F3377">
        <v>0.302409270082446</v>
      </c>
      <c r="G3377">
        <v>0.12919121343312401</v>
      </c>
      <c r="H3377">
        <v>9.8274623160252997E-2</v>
      </c>
      <c r="I3377">
        <v>8.3651903938747801E-2</v>
      </c>
      <c r="J3377">
        <v>0.142594564951016</v>
      </c>
      <c r="K3377">
        <v>0.118442372457361</v>
      </c>
      <c r="L3377">
        <v>13230.2385368627</v>
      </c>
      <c r="M3377">
        <v>250</v>
      </c>
      <c r="N3377">
        <v>52.976025832923597</v>
      </c>
      <c r="O3377">
        <v>52.917589224873801</v>
      </c>
      <c r="P3377">
        <v>-1.04592991720676</v>
      </c>
      <c r="Q3377">
        <v>0.1144309258545</v>
      </c>
      <c r="R3377">
        <v>0.98631707911197997</v>
      </c>
      <c r="S3377" t="s">
        <v>9829</v>
      </c>
      <c r="T3377" t="s">
        <v>12902</v>
      </c>
      <c r="U3377" t="s">
        <v>12902</v>
      </c>
      <c r="V3377" t="s">
        <v>12902</v>
      </c>
      <c r="W3377" t="s">
        <v>16238</v>
      </c>
      <c r="X3377">
        <v>2</v>
      </c>
      <c r="Y3377" t="s">
        <v>22563</v>
      </c>
      <c r="Z3377" t="s">
        <v>28952</v>
      </c>
      <c r="AA3377">
        <v>0.49592642019604533</v>
      </c>
      <c r="AB3377" t="str">
        <f>HYPERLINK("Melting_Curves/meltCurve_Q14457_BECN1.pdf", "Melting_Curves/meltCurve_Q14457_BECN1.pdf")</f>
        <v>Melting_Curves/meltCurve_Q14457_BECN1.pdf</v>
      </c>
    </row>
    <row r="3378" spans="1:28" x14ac:dyDescent="0.25">
      <c r="A3378" t="s">
        <v>3382</v>
      </c>
      <c r="B3378">
        <v>0.99673306730245903</v>
      </c>
      <c r="C3378">
        <v>0.89754180794785998</v>
      </c>
      <c r="D3378">
        <v>0.64430720946402897</v>
      </c>
      <c r="E3378">
        <v>0.41045738022736</v>
      </c>
      <c r="F3378">
        <v>0.25747846635596</v>
      </c>
      <c r="G3378">
        <v>0.18974756439663101</v>
      </c>
      <c r="H3378">
        <v>0.136358758025203</v>
      </c>
      <c r="I3378">
        <v>0.13648144550448499</v>
      </c>
      <c r="J3378">
        <v>0.220882468387816</v>
      </c>
      <c r="K3378">
        <v>0.27182360234543501</v>
      </c>
      <c r="L3378">
        <v>952.053368086202</v>
      </c>
      <c r="M3378">
        <v>20.3330777124362</v>
      </c>
      <c r="N3378">
        <v>47.930005451737102</v>
      </c>
      <c r="O3378">
        <v>46.377042863860602</v>
      </c>
      <c r="P3378">
        <v>-8.9070634690370201E-2</v>
      </c>
      <c r="Q3378">
        <v>0.18739174637305001</v>
      </c>
      <c r="R3378">
        <v>0.98197239744181397</v>
      </c>
      <c r="S3378" t="s">
        <v>9830</v>
      </c>
      <c r="T3378" t="s">
        <v>12902</v>
      </c>
      <c r="U3378" t="s">
        <v>12902</v>
      </c>
      <c r="V3378" t="s">
        <v>12902</v>
      </c>
      <c r="W3378" t="s">
        <v>16239</v>
      </c>
      <c r="X3378">
        <v>4</v>
      </c>
      <c r="Y3378" t="s">
        <v>22564</v>
      </c>
      <c r="Z3378" t="s">
        <v>28953</v>
      </c>
      <c r="AA3378">
        <v>0.3837558540371655</v>
      </c>
      <c r="AB3378" t="str">
        <f>HYPERLINK("Melting_Curves/meltCurve_Q14469_HES1.pdf", "Melting_Curves/meltCurve_Q14469_HES1.pdf")</f>
        <v>Melting_Curves/meltCurve_Q14469_HES1.pdf</v>
      </c>
    </row>
    <row r="3379" spans="1:28" x14ac:dyDescent="0.25">
      <c r="A3379" t="s">
        <v>3383</v>
      </c>
      <c r="B3379">
        <v>0.99673306730245903</v>
      </c>
      <c r="C3379">
        <v>0.92479409988482297</v>
      </c>
      <c r="D3379">
        <v>0.76330767921436504</v>
      </c>
      <c r="E3379">
        <v>0.43892583887249798</v>
      </c>
      <c r="F3379">
        <v>0.25869707216215398</v>
      </c>
      <c r="G3379">
        <v>0.17179992293934199</v>
      </c>
      <c r="H3379">
        <v>0.103764974610476</v>
      </c>
      <c r="I3379">
        <v>9.42690498810069E-2</v>
      </c>
      <c r="J3379">
        <v>8.6413289746135005E-2</v>
      </c>
      <c r="K3379">
        <v>7.3749222948236201E-2</v>
      </c>
      <c r="L3379">
        <v>860.482067021906</v>
      </c>
      <c r="M3379">
        <v>17.698953361227701</v>
      </c>
      <c r="N3379">
        <v>49.117721507567303</v>
      </c>
      <c r="O3379">
        <v>48.0097514853109</v>
      </c>
      <c r="P3379">
        <v>-8.4569680150730603E-2</v>
      </c>
      <c r="Q3379">
        <v>8.2441440433491997E-2</v>
      </c>
      <c r="R3379">
        <v>0.99857001167602899</v>
      </c>
      <c r="S3379" t="s">
        <v>9831</v>
      </c>
      <c r="T3379" t="s">
        <v>12902</v>
      </c>
      <c r="U3379" t="s">
        <v>12902</v>
      </c>
      <c r="V3379" t="s">
        <v>12902</v>
      </c>
      <c r="W3379" t="s">
        <v>16240</v>
      </c>
      <c r="X3379">
        <v>14</v>
      </c>
      <c r="Y3379" t="s">
        <v>22565</v>
      </c>
      <c r="Z3379" t="s">
        <v>28954</v>
      </c>
      <c r="AA3379">
        <v>0.36259115900627692</v>
      </c>
      <c r="AB3379" t="str">
        <f>HYPERLINK("Melting_Curves/meltCurve_Q14498_2_RBM39.pdf", "Melting_Curves/meltCurve_Q14498_2_RBM39.pdf")</f>
        <v>Melting_Curves/meltCurve_Q14498_2_RBM39.pdf</v>
      </c>
    </row>
    <row r="3380" spans="1:28" x14ac:dyDescent="0.25">
      <c r="A3380" t="s">
        <v>3384</v>
      </c>
      <c r="B3380">
        <v>0.99673306730245903</v>
      </c>
      <c r="C3380">
        <v>0.99225092805693504</v>
      </c>
      <c r="D3380">
        <v>1.0250926189457501</v>
      </c>
      <c r="E3380">
        <v>0.94343763465476504</v>
      </c>
      <c r="F3380">
        <v>1.0096210959613501</v>
      </c>
      <c r="G3380">
        <v>0.93300468265908898</v>
      </c>
      <c r="H3380">
        <v>0.94643865075212097</v>
      </c>
      <c r="I3380">
        <v>1.46179795229104</v>
      </c>
      <c r="J3380">
        <v>2.33432055176179</v>
      </c>
      <c r="K3380">
        <v>2.0739538954477399</v>
      </c>
      <c r="L3380">
        <v>15000</v>
      </c>
      <c r="M3380">
        <v>236.86664706360801</v>
      </c>
      <c r="O3380">
        <v>63.322267218401301</v>
      </c>
      <c r="P3380">
        <v>0.46758173646606499</v>
      </c>
      <c r="Q3380">
        <v>1.5</v>
      </c>
      <c r="R3380">
        <v>0.57160887814613104</v>
      </c>
      <c r="S3380" t="s">
        <v>9832</v>
      </c>
      <c r="T3380" t="s">
        <v>12902</v>
      </c>
      <c r="U3380" t="s">
        <v>12902</v>
      </c>
      <c r="V3380" t="s">
        <v>12902</v>
      </c>
      <c r="W3380" t="s">
        <v>16241</v>
      </c>
      <c r="X3380">
        <v>4</v>
      </c>
      <c r="Y3380" t="s">
        <v>22566</v>
      </c>
      <c r="Z3380" t="s">
        <v>28955</v>
      </c>
      <c r="AA3380">
        <v>1.1111585741385139</v>
      </c>
      <c r="AB3380" t="str">
        <f>HYPERLINK("Melting_Curves/meltCurve_Q14508_WFDC2.pdf", "Melting_Curves/meltCurve_Q14508_WFDC2.pdf")</f>
        <v>Melting_Curves/meltCurve_Q14508_WFDC2.pdf</v>
      </c>
    </row>
    <row r="3381" spans="1:28" x14ac:dyDescent="0.25">
      <c r="A3381" t="s">
        <v>3385</v>
      </c>
      <c r="B3381">
        <v>0.99673306730245903</v>
      </c>
      <c r="C3381">
        <v>0.92963900633831598</v>
      </c>
      <c r="D3381">
        <v>0.67675999405130505</v>
      </c>
      <c r="E3381">
        <v>0.38964527584502001</v>
      </c>
      <c r="F3381">
        <v>0.18266846862403099</v>
      </c>
      <c r="G3381">
        <v>0.129122212976613</v>
      </c>
      <c r="H3381">
        <v>7.6567475136763596E-2</v>
      </c>
      <c r="I3381">
        <v>8.8501885299417798E-2</v>
      </c>
      <c r="J3381">
        <v>0.109272904575655</v>
      </c>
      <c r="K3381">
        <v>9.6162076448428502E-2</v>
      </c>
      <c r="L3381">
        <v>956.78985801548004</v>
      </c>
      <c r="M3381">
        <v>20.087590801793301</v>
      </c>
      <c r="N3381">
        <v>48.101411817510098</v>
      </c>
      <c r="O3381">
        <v>47.166391200917602</v>
      </c>
      <c r="P3381">
        <v>-9.6977970439622099E-2</v>
      </c>
      <c r="Q3381">
        <v>8.9198145723235006E-2</v>
      </c>
      <c r="R3381">
        <v>0.99791244125967404</v>
      </c>
      <c r="S3381" t="s">
        <v>9833</v>
      </c>
      <c r="T3381" t="s">
        <v>12902</v>
      </c>
      <c r="U3381" t="s">
        <v>12902</v>
      </c>
      <c r="V3381" t="s">
        <v>12902</v>
      </c>
      <c r="W3381" t="s">
        <v>16242</v>
      </c>
      <c r="X3381">
        <v>3</v>
      </c>
      <c r="Y3381" t="s">
        <v>22567</v>
      </c>
      <c r="Z3381" t="s">
        <v>28956</v>
      </c>
      <c r="AA3381">
        <v>0.33380734156481617</v>
      </c>
      <c r="AB3381" t="str">
        <f>HYPERLINK("Melting_Curves/meltCurve_Q14511_3_NEDD9.pdf", "Melting_Curves/meltCurve_Q14511_3_NEDD9.pdf")</f>
        <v>Melting_Curves/meltCurve_Q14511_3_NEDD9.pdf</v>
      </c>
    </row>
    <row r="3382" spans="1:28" x14ac:dyDescent="0.25">
      <c r="A3382" t="s">
        <v>3386</v>
      </c>
      <c r="B3382">
        <v>0.99673306730245903</v>
      </c>
      <c r="C3382">
        <v>1.01185508906531</v>
      </c>
      <c r="D3382">
        <v>0.97678357783292602</v>
      </c>
      <c r="E3382">
        <v>1.0890169739759199</v>
      </c>
      <c r="F3382">
        <v>0.71493142742239701</v>
      </c>
      <c r="G3382">
        <v>0.21214182743605201</v>
      </c>
      <c r="H3382">
        <v>7.6904674321458102E-2</v>
      </c>
      <c r="I3382">
        <v>5.1183578819432897E-2</v>
      </c>
      <c r="J3382">
        <v>7.0687665236889796E-2</v>
      </c>
      <c r="K3382">
        <v>5.3556703896740297E-2</v>
      </c>
      <c r="L3382">
        <v>2284.1033636697898</v>
      </c>
      <c r="M3382">
        <v>42.010405083475298</v>
      </c>
      <c r="N3382">
        <v>54.543226550016897</v>
      </c>
      <c r="O3382">
        <v>54.247157459707203</v>
      </c>
      <c r="P3382">
        <v>-0.18151190102720699</v>
      </c>
      <c r="Q3382">
        <v>6.2471112410332597E-2</v>
      </c>
      <c r="R3382">
        <v>0.99356098469228404</v>
      </c>
      <c r="S3382" t="s">
        <v>9834</v>
      </c>
      <c r="T3382" t="s">
        <v>12902</v>
      </c>
      <c r="U3382" t="s">
        <v>12902</v>
      </c>
      <c r="V3382" t="s">
        <v>12902</v>
      </c>
      <c r="W3382" t="s">
        <v>16243</v>
      </c>
      <c r="X3382">
        <v>1</v>
      </c>
      <c r="Y3382" t="s">
        <v>22568</v>
      </c>
      <c r="Z3382" t="s">
        <v>28957</v>
      </c>
      <c r="AA3382">
        <v>0.51473219531104886</v>
      </c>
      <c r="AB3382" t="str">
        <f>HYPERLINK("Melting_Curves/meltCurve_Q14520_2_HABP2.pdf", "Melting_Curves/meltCurve_Q14520_2_HABP2.pdf")</f>
        <v>Melting_Curves/meltCurve_Q14520_2_HABP2.pdf</v>
      </c>
    </row>
    <row r="3383" spans="1:28" x14ac:dyDescent="0.25">
      <c r="A3383" t="s">
        <v>3387</v>
      </c>
      <c r="B3383">
        <v>0.99673306730245903</v>
      </c>
      <c r="C3383">
        <v>1.41173178259391</v>
      </c>
      <c r="D3383">
        <v>0.21103511105234801</v>
      </c>
      <c r="E3383">
        <v>0.14237748482050799</v>
      </c>
      <c r="F3383">
        <v>7.5987369367908397E-2</v>
      </c>
      <c r="G3383">
        <v>3.3073701955229497E-2</v>
      </c>
      <c r="H3383">
        <v>2.22241077911241E-2</v>
      </c>
      <c r="I3383">
        <v>2.19697263029934E-2</v>
      </c>
      <c r="J3383">
        <v>2.5144688144888901E-2</v>
      </c>
      <c r="K3383">
        <v>1.9751652362631399E-2</v>
      </c>
      <c r="L3383">
        <v>11427.2864029764</v>
      </c>
      <c r="M3383">
        <v>250</v>
      </c>
      <c r="N3383">
        <v>45.7278685310662</v>
      </c>
      <c r="O3383">
        <v>45.7062205780216</v>
      </c>
      <c r="P3383">
        <v>-1.30090753789602</v>
      </c>
      <c r="Q3383">
        <v>4.8646932060492802E-2</v>
      </c>
      <c r="R3383">
        <v>0.91661645673001402</v>
      </c>
      <c r="S3383" t="s">
        <v>9835</v>
      </c>
      <c r="T3383" t="s">
        <v>12902</v>
      </c>
      <c r="U3383" t="s">
        <v>12902</v>
      </c>
      <c r="V3383" t="s">
        <v>12902</v>
      </c>
      <c r="W3383" t="s">
        <v>16244</v>
      </c>
      <c r="X3383">
        <v>1</v>
      </c>
      <c r="Y3383" t="s">
        <v>22569</v>
      </c>
      <c r="Z3383" t="s">
        <v>28958</v>
      </c>
      <c r="AA3383">
        <v>0.22977035493922399</v>
      </c>
      <c r="AB3383" t="str">
        <f>HYPERLINK("Melting_Curves/meltCurve_Q14526_HIC1.pdf", "Melting_Curves/meltCurve_Q14526_HIC1.pdf")</f>
        <v>Melting_Curves/meltCurve_Q14526_HIC1.pdf</v>
      </c>
    </row>
    <row r="3384" spans="1:28" x14ac:dyDescent="0.25">
      <c r="A3384" t="s">
        <v>3388</v>
      </c>
      <c r="B3384">
        <v>0.99673306730245903</v>
      </c>
      <c r="C3384">
        <v>1.0117146906218</v>
      </c>
      <c r="D3384">
        <v>0.97359658400018101</v>
      </c>
      <c r="E3384">
        <v>0.81378947672105895</v>
      </c>
      <c r="F3384">
        <v>0.49481907546743498</v>
      </c>
      <c r="G3384">
        <v>0.32201297927660399</v>
      </c>
      <c r="H3384">
        <v>0.161608491838444</v>
      </c>
      <c r="I3384">
        <v>0.10008551220551801</v>
      </c>
      <c r="J3384">
        <v>7.9145412533127901E-2</v>
      </c>
      <c r="K3384">
        <v>6.2797978366149101E-2</v>
      </c>
      <c r="L3384">
        <v>961.51206719884703</v>
      </c>
      <c r="M3384">
        <v>18.059097502030699</v>
      </c>
      <c r="N3384">
        <v>53.629532340856997</v>
      </c>
      <c r="O3384">
        <v>52.602551711204903</v>
      </c>
      <c r="P3384">
        <v>-8.05885823175891E-2</v>
      </c>
      <c r="Q3384">
        <v>6.1091786354767898E-2</v>
      </c>
      <c r="R3384">
        <v>0.99726774433825505</v>
      </c>
      <c r="S3384" t="s">
        <v>9836</v>
      </c>
      <c r="T3384" t="s">
        <v>12902</v>
      </c>
      <c r="U3384" t="s">
        <v>12902</v>
      </c>
      <c r="V3384" t="s">
        <v>12902</v>
      </c>
      <c r="W3384" t="s">
        <v>16245</v>
      </c>
      <c r="X3384">
        <v>11</v>
      </c>
      <c r="Y3384" t="s">
        <v>22570</v>
      </c>
      <c r="Z3384" t="s">
        <v>28959</v>
      </c>
      <c r="AA3384">
        <v>0.49076306207202092</v>
      </c>
      <c r="AB3384" t="str">
        <f>HYPERLINK("Melting_Curves/meltCurve_Q14534_SQLE.pdf", "Melting_Curves/meltCurve_Q14534_SQLE.pdf")</f>
        <v>Melting_Curves/meltCurve_Q14534_SQLE.pdf</v>
      </c>
    </row>
    <row r="3385" spans="1:28" x14ac:dyDescent="0.25">
      <c r="A3385" t="s">
        <v>3389</v>
      </c>
      <c r="B3385">
        <v>0.99673306730245903</v>
      </c>
      <c r="C3385">
        <v>0.99572396919111905</v>
      </c>
      <c r="D3385">
        <v>0.79013745579058003</v>
      </c>
      <c r="E3385">
        <v>0.82054408912537902</v>
      </c>
      <c r="F3385">
        <v>0.34205281206765098</v>
      </c>
      <c r="G3385">
        <v>0.178699644038637</v>
      </c>
      <c r="H3385">
        <v>0.122906493442436</v>
      </c>
      <c r="I3385">
        <v>0.10421350874505</v>
      </c>
      <c r="J3385">
        <v>0.10463608994231099</v>
      </c>
      <c r="K3385">
        <v>9.1492540134949202E-2</v>
      </c>
      <c r="L3385">
        <v>1165.09606010947</v>
      </c>
      <c r="M3385">
        <v>22.630134367312301</v>
      </c>
      <c r="N3385">
        <v>51.937196427923702</v>
      </c>
      <c r="O3385">
        <v>51.087327710415003</v>
      </c>
      <c r="P3385">
        <v>-0.100827613810948</v>
      </c>
      <c r="Q3385">
        <v>8.9548745109381198E-2</v>
      </c>
      <c r="R3385">
        <v>0.97605820632402596</v>
      </c>
      <c r="S3385" t="s">
        <v>9837</v>
      </c>
      <c r="T3385" t="s">
        <v>12902</v>
      </c>
      <c r="U3385" t="s">
        <v>12902</v>
      </c>
      <c r="V3385" t="s">
        <v>12902</v>
      </c>
      <c r="W3385" t="s">
        <v>16246</v>
      </c>
      <c r="X3385">
        <v>26</v>
      </c>
      <c r="Y3385" t="s">
        <v>22571</v>
      </c>
      <c r="Z3385" t="s">
        <v>28960</v>
      </c>
      <c r="AA3385">
        <v>0.44809507635935769</v>
      </c>
      <c r="AB3385" t="str">
        <f>HYPERLINK("Melting_Curves/meltCurve_Q14554_PDIA5.pdf", "Melting_Curves/meltCurve_Q14554_PDIA5.pdf")</f>
        <v>Melting_Curves/meltCurve_Q14554_PDIA5.pdf</v>
      </c>
    </row>
    <row r="3386" spans="1:28" x14ac:dyDescent="0.25">
      <c r="A3386" t="s">
        <v>3390</v>
      </c>
      <c r="B3386">
        <v>0.99673306730245903</v>
      </c>
      <c r="C3386">
        <v>0.94894702654213703</v>
      </c>
      <c r="D3386">
        <v>0.99509846426001602</v>
      </c>
      <c r="E3386">
        <v>1.10982073704045</v>
      </c>
      <c r="F3386">
        <v>1.1944422348145101</v>
      </c>
      <c r="G3386">
        <v>1.2268832488064401</v>
      </c>
      <c r="H3386">
        <v>0.837488979269708</v>
      </c>
      <c r="I3386">
        <v>0.323305106998451</v>
      </c>
      <c r="J3386">
        <v>0.27677367874904302</v>
      </c>
      <c r="K3386">
        <v>0.23243351574007901</v>
      </c>
      <c r="L3386">
        <v>4479.8197399372102</v>
      </c>
      <c r="M3386">
        <v>72.367734564538694</v>
      </c>
      <c r="N3386">
        <v>62.519637395481602</v>
      </c>
      <c r="O3386">
        <v>61.856331115527297</v>
      </c>
      <c r="P3386">
        <v>-0.217915610556524</v>
      </c>
      <c r="Q3386">
        <v>0.25494656381035602</v>
      </c>
      <c r="R3386">
        <v>0.92221698282467401</v>
      </c>
      <c r="S3386" t="s">
        <v>9838</v>
      </c>
      <c r="T3386" t="s">
        <v>12902</v>
      </c>
      <c r="U3386" t="s">
        <v>12902</v>
      </c>
      <c r="V3386" t="s">
        <v>12902</v>
      </c>
      <c r="W3386" t="s">
        <v>16247</v>
      </c>
      <c r="X3386">
        <v>12</v>
      </c>
      <c r="Y3386" t="s">
        <v>22572</v>
      </c>
      <c r="Z3386" t="s">
        <v>28961</v>
      </c>
      <c r="AA3386">
        <v>0.79988558667446497</v>
      </c>
      <c r="AB3386" t="str">
        <f>HYPERLINK("Melting_Curves/meltCurve_Q14558_2_PRPSAP1.pdf", "Melting_Curves/meltCurve_Q14558_2_PRPSAP1.pdf")</f>
        <v>Melting_Curves/meltCurve_Q14558_2_PRPSAP1.pdf</v>
      </c>
    </row>
    <row r="3387" spans="1:28" x14ac:dyDescent="0.25">
      <c r="A3387" t="s">
        <v>3391</v>
      </c>
      <c r="B3387">
        <v>0.99673306730245903</v>
      </c>
      <c r="C3387">
        <v>0.89049547128612205</v>
      </c>
      <c r="D3387">
        <v>0.79732968642961599</v>
      </c>
      <c r="E3387">
        <v>0.61142844551701603</v>
      </c>
      <c r="F3387">
        <v>0.214535726464708</v>
      </c>
      <c r="G3387">
        <v>0.109560541433413</v>
      </c>
      <c r="H3387">
        <v>5.2174085030575801E-2</v>
      </c>
      <c r="I3387">
        <v>3.9756315064686701E-2</v>
      </c>
      <c r="J3387">
        <v>3.44772104558363E-2</v>
      </c>
      <c r="K3387">
        <v>3.2595269592448302E-2</v>
      </c>
      <c r="L3387">
        <v>885.11087766139599</v>
      </c>
      <c r="M3387">
        <v>17.707675129075199</v>
      </c>
      <c r="N3387">
        <v>50.0688308079718</v>
      </c>
      <c r="O3387">
        <v>49.360180938924699</v>
      </c>
      <c r="P3387">
        <v>-8.8374093071544396E-2</v>
      </c>
      <c r="Q3387">
        <v>1.4679874253663801E-2</v>
      </c>
      <c r="R3387">
        <v>0.99138118604950098</v>
      </c>
      <c r="S3387" t="s">
        <v>9839</v>
      </c>
      <c r="T3387" t="s">
        <v>12902</v>
      </c>
      <c r="U3387" t="s">
        <v>12902</v>
      </c>
      <c r="V3387" t="s">
        <v>12902</v>
      </c>
      <c r="W3387" t="s">
        <v>16248</v>
      </c>
      <c r="X3387">
        <v>10</v>
      </c>
      <c r="Y3387" t="s">
        <v>22573</v>
      </c>
      <c r="Z3387" t="s">
        <v>28962</v>
      </c>
      <c r="AA3387">
        <v>0.35995019318235327</v>
      </c>
      <c r="AB3387" t="str">
        <f>HYPERLINK("Melting_Curves/meltCurve_Q14562_DHX8.pdf", "Melting_Curves/meltCurve_Q14562_DHX8.pdf")</f>
        <v>Melting_Curves/meltCurve_Q14562_DHX8.pdf</v>
      </c>
    </row>
    <row r="3388" spans="1:28" x14ac:dyDescent="0.25">
      <c r="A3388" t="s">
        <v>3392</v>
      </c>
      <c r="B3388">
        <v>0.99673306730245903</v>
      </c>
      <c r="C3388">
        <v>0.89220438383842304</v>
      </c>
      <c r="D3388">
        <v>0.97884686577128199</v>
      </c>
      <c r="E3388">
        <v>0.96264332025169996</v>
      </c>
      <c r="F3388">
        <v>0.27267605858924698</v>
      </c>
      <c r="G3388">
        <v>0.16285410999835201</v>
      </c>
      <c r="H3388">
        <v>9.4534385860559303E-2</v>
      </c>
      <c r="I3388">
        <v>8.5704022983935396E-2</v>
      </c>
      <c r="J3388">
        <v>8.2374102185737194E-2</v>
      </c>
      <c r="K3388">
        <v>6.7414240483101295E-2</v>
      </c>
      <c r="L3388">
        <v>3200.4527954976702</v>
      </c>
      <c r="M3388">
        <v>61.551656645914697</v>
      </c>
      <c r="N3388">
        <v>52.178894037849297</v>
      </c>
      <c r="O3388">
        <v>51.941410109688803</v>
      </c>
      <c r="P3388">
        <v>-0.26753925569036802</v>
      </c>
      <c r="Q3388">
        <v>9.6930208098143095E-2</v>
      </c>
      <c r="R3388">
        <v>0.98990833068079198</v>
      </c>
      <c r="S3388" t="s">
        <v>9840</v>
      </c>
      <c r="T3388" t="s">
        <v>12902</v>
      </c>
      <c r="U3388" t="s">
        <v>12902</v>
      </c>
      <c r="V3388" t="s">
        <v>12902</v>
      </c>
      <c r="W3388" t="s">
        <v>16249</v>
      </c>
      <c r="X3388">
        <v>28</v>
      </c>
      <c r="Y3388" t="s">
        <v>22574</v>
      </c>
      <c r="Z3388" t="s">
        <v>28963</v>
      </c>
      <c r="AA3388">
        <v>0.45940815581074068</v>
      </c>
      <c r="AB3388" t="str">
        <f>HYPERLINK("Melting_Curves/meltCurve_Q14566_MCM6.pdf", "Melting_Curves/meltCurve_Q14566_MCM6.pdf")</f>
        <v>Melting_Curves/meltCurve_Q14566_MCM6.pdf</v>
      </c>
    </row>
    <row r="3389" spans="1:28" x14ac:dyDescent="0.25">
      <c r="A3389" t="s">
        <v>3393</v>
      </c>
      <c r="B3389">
        <v>0.99673306730245903</v>
      </c>
      <c r="C3389">
        <v>1.0319215222803999</v>
      </c>
      <c r="D3389">
        <v>0.73040079140855596</v>
      </c>
      <c r="E3389">
        <v>0.48105660672032302</v>
      </c>
      <c r="F3389">
        <v>0.221651328079255</v>
      </c>
      <c r="G3389">
        <v>0.106575996164257</v>
      </c>
      <c r="H3389">
        <v>6.4382280738314396E-2</v>
      </c>
      <c r="I3389">
        <v>3.8916181943484299E-2</v>
      </c>
      <c r="J3389">
        <v>0.10338137396029699</v>
      </c>
      <c r="K3389">
        <v>0.20008601072843801</v>
      </c>
      <c r="L3389">
        <v>1050.8274023291899</v>
      </c>
      <c r="M3389">
        <v>21.630188619714001</v>
      </c>
      <c r="N3389">
        <v>49.057463864514098</v>
      </c>
      <c r="O3389">
        <v>48.172009408486403</v>
      </c>
      <c r="P3389">
        <v>-0.10163274221534099</v>
      </c>
      <c r="Q3389">
        <v>9.4647740871984701E-2</v>
      </c>
      <c r="R3389">
        <v>0.97900785762836995</v>
      </c>
      <c r="S3389" t="s">
        <v>9841</v>
      </c>
      <c r="T3389" t="s">
        <v>12902</v>
      </c>
      <c r="U3389" t="s">
        <v>12902</v>
      </c>
      <c r="V3389" t="s">
        <v>12902</v>
      </c>
      <c r="W3389" t="s">
        <v>16250</v>
      </c>
      <c r="X3389">
        <v>3</v>
      </c>
      <c r="Y3389" t="s">
        <v>22575</v>
      </c>
      <c r="Z3389" t="s">
        <v>28964</v>
      </c>
      <c r="AA3389">
        <v>0.36445253575433989</v>
      </c>
      <c r="AB3389" t="str">
        <f>HYPERLINK("Melting_Curves/meltCurve_Q14571_ITPR2.pdf", "Melting_Curves/meltCurve_Q14571_ITPR2.pdf")</f>
        <v>Melting_Curves/meltCurve_Q14571_ITPR2.pdf</v>
      </c>
    </row>
    <row r="3390" spans="1:28" x14ac:dyDescent="0.25">
      <c r="A3390" t="s">
        <v>3394</v>
      </c>
      <c r="B3390">
        <v>0.99673306730245903</v>
      </c>
      <c r="C3390">
        <v>1.0212885301519401</v>
      </c>
      <c r="D3390">
        <v>0.79321463156814598</v>
      </c>
      <c r="E3390">
        <v>0.46032073422244901</v>
      </c>
      <c r="F3390">
        <v>0.26815191056812199</v>
      </c>
      <c r="G3390">
        <v>0.187320919658334</v>
      </c>
      <c r="H3390">
        <v>0.151680995025745</v>
      </c>
      <c r="I3390">
        <v>0.15655568692650701</v>
      </c>
      <c r="J3390">
        <v>7.5424104810848797E-2</v>
      </c>
      <c r="K3390">
        <v>6.3457070255107398E-2</v>
      </c>
      <c r="L3390">
        <v>1010.5292427253301</v>
      </c>
      <c r="M3390">
        <v>20.700259506077099</v>
      </c>
      <c r="N3390">
        <v>49.427431700889301</v>
      </c>
      <c r="O3390">
        <v>48.368488481200401</v>
      </c>
      <c r="P3390">
        <v>-9.4931080808520807E-2</v>
      </c>
      <c r="Q3390">
        <v>0.112756545397212</v>
      </c>
      <c r="R3390">
        <v>0.98999578954672096</v>
      </c>
      <c r="S3390" t="s">
        <v>9842</v>
      </c>
      <c r="T3390" t="s">
        <v>12902</v>
      </c>
      <c r="U3390" t="s">
        <v>12902</v>
      </c>
      <c r="V3390" t="s">
        <v>12902</v>
      </c>
      <c r="W3390" t="s">
        <v>16251</v>
      </c>
      <c r="X3390">
        <v>14</v>
      </c>
      <c r="Y3390" t="s">
        <v>22576</v>
      </c>
      <c r="Z3390" t="s">
        <v>28965</v>
      </c>
      <c r="AA3390">
        <v>0.38512611371041128</v>
      </c>
      <c r="AB3390" t="str">
        <f>HYPERLINK("Melting_Curves/meltCurve_Q14573_ITPR3.pdf", "Melting_Curves/meltCurve_Q14573_ITPR3.pdf")</f>
        <v>Melting_Curves/meltCurve_Q14573_ITPR3.pdf</v>
      </c>
    </row>
    <row r="3391" spans="1:28" x14ac:dyDescent="0.25">
      <c r="A3391" t="s">
        <v>3395</v>
      </c>
      <c r="B3391">
        <v>0.99673306730245903</v>
      </c>
      <c r="C3391">
        <v>0.89723757675840299</v>
      </c>
      <c r="D3391">
        <v>0.86035091285799103</v>
      </c>
      <c r="E3391">
        <v>0.879500631297499</v>
      </c>
      <c r="F3391">
        <v>0.22200597283639301</v>
      </c>
      <c r="G3391">
        <v>0.132133974986931</v>
      </c>
      <c r="H3391">
        <v>7.0954704921697295E-2</v>
      </c>
      <c r="I3391">
        <v>6.3015765100670501E-2</v>
      </c>
      <c r="J3391">
        <v>6.1938993843315401E-2</v>
      </c>
      <c r="K3391">
        <v>5.22444075475956E-2</v>
      </c>
      <c r="L3391">
        <v>2456.8404012372898</v>
      </c>
      <c r="M3391">
        <v>47.743505642436197</v>
      </c>
      <c r="N3391">
        <v>51.627762572274598</v>
      </c>
      <c r="O3391">
        <v>51.369115810302702</v>
      </c>
      <c r="P3391">
        <v>-0.215582390623792</v>
      </c>
      <c r="Q3391">
        <v>7.2186651782141106E-2</v>
      </c>
      <c r="R3391">
        <v>0.97968633181486997</v>
      </c>
      <c r="S3391" t="s">
        <v>9843</v>
      </c>
      <c r="T3391" t="s">
        <v>12902</v>
      </c>
      <c r="U3391" t="s">
        <v>12902</v>
      </c>
      <c r="V3391" t="s">
        <v>12902</v>
      </c>
      <c r="W3391" t="s">
        <v>16252</v>
      </c>
      <c r="X3391">
        <v>16</v>
      </c>
      <c r="Y3391" t="s">
        <v>22577</v>
      </c>
      <c r="Z3391" t="s">
        <v>28966</v>
      </c>
      <c r="AA3391">
        <v>0.4288960635396078</v>
      </c>
      <c r="AB3391" t="str">
        <f>HYPERLINK("Melting_Curves/meltCurve_Q14651_PLS1.pdf", "Melting_Curves/meltCurve_Q14651_PLS1.pdf")</f>
        <v>Melting_Curves/meltCurve_Q14651_PLS1.pdf</v>
      </c>
    </row>
    <row r="3392" spans="1:28" x14ac:dyDescent="0.25">
      <c r="A3392" t="s">
        <v>3396</v>
      </c>
      <c r="B3392">
        <v>0.99673306730245903</v>
      </c>
      <c r="C3392">
        <v>0.98825251935255898</v>
      </c>
      <c r="D3392">
        <v>0.96230807737641999</v>
      </c>
      <c r="E3392">
        <v>0.79572977655957999</v>
      </c>
      <c r="F3392">
        <v>0.30903863785670699</v>
      </c>
      <c r="G3392">
        <v>0.163361294757219</v>
      </c>
      <c r="H3392">
        <v>8.5368818536556895E-2</v>
      </c>
      <c r="I3392">
        <v>8.5464844979960305E-2</v>
      </c>
      <c r="J3392">
        <v>7.4032429946359696E-2</v>
      </c>
      <c r="K3392">
        <v>6.3083480578336598E-2</v>
      </c>
      <c r="L3392">
        <v>1591.9815574880799</v>
      </c>
      <c r="M3392">
        <v>30.921990140686098</v>
      </c>
      <c r="N3392">
        <v>51.775030837219198</v>
      </c>
      <c r="O3392">
        <v>51.269914500260803</v>
      </c>
      <c r="P3392">
        <v>-0.13874532376405899</v>
      </c>
      <c r="Q3392">
        <v>7.9823804931929199E-2</v>
      </c>
      <c r="R3392">
        <v>0.99849707870148197</v>
      </c>
      <c r="S3392" t="s">
        <v>9844</v>
      </c>
      <c r="T3392" t="s">
        <v>12902</v>
      </c>
      <c r="U3392" t="s">
        <v>12902</v>
      </c>
      <c r="V3392" t="s">
        <v>12902</v>
      </c>
      <c r="W3392" t="s">
        <v>16253</v>
      </c>
      <c r="X3392">
        <v>7</v>
      </c>
      <c r="Y3392" t="s">
        <v>22578</v>
      </c>
      <c r="Z3392" t="s">
        <v>28967</v>
      </c>
      <c r="AA3392">
        <v>0.43755059839612581</v>
      </c>
      <c r="AB3392" t="str">
        <f>HYPERLINK("Melting_Curves/meltCurve_Q14653_IRF3.pdf", "Melting_Curves/meltCurve_Q14653_IRF3.pdf")</f>
        <v>Melting_Curves/meltCurve_Q14653_IRF3.pdf</v>
      </c>
    </row>
    <row r="3393" spans="1:28" x14ac:dyDescent="0.25">
      <c r="A3393" t="s">
        <v>3397</v>
      </c>
      <c r="B3393">
        <v>0.99673306730245903</v>
      </c>
      <c r="C3393">
        <v>0.91850790577709296</v>
      </c>
      <c r="D3393">
        <v>1.0345895216827301</v>
      </c>
      <c r="E3393">
        <v>0.95724088008903796</v>
      </c>
      <c r="F3393">
        <v>0.84090633223656697</v>
      </c>
      <c r="G3393">
        <v>0.680692470810766</v>
      </c>
      <c r="H3393">
        <v>0.46639830882421401</v>
      </c>
      <c r="I3393">
        <v>0.46862184444176802</v>
      </c>
      <c r="J3393">
        <v>0.53317753408512503</v>
      </c>
      <c r="K3393">
        <v>0.48875421307621397</v>
      </c>
      <c r="L3393">
        <v>1436.0513680046299</v>
      </c>
      <c r="M3393">
        <v>26.044049416137501</v>
      </c>
      <c r="N3393">
        <v>62.8528852538347</v>
      </c>
      <c r="O3393">
        <v>54.817322148127801</v>
      </c>
      <c r="P3393">
        <v>-6.18189216150744E-2</v>
      </c>
      <c r="Q3393">
        <v>0.47954191756241699</v>
      </c>
      <c r="R3393">
        <v>0.96835851991261002</v>
      </c>
      <c r="S3393" t="s">
        <v>9845</v>
      </c>
      <c r="T3393" t="s">
        <v>12902</v>
      </c>
      <c r="U3393" t="s">
        <v>12902</v>
      </c>
      <c r="V3393" t="s">
        <v>12902</v>
      </c>
      <c r="W3393" t="s">
        <v>16254</v>
      </c>
      <c r="X3393">
        <v>2</v>
      </c>
      <c r="Y3393" t="s">
        <v>22579</v>
      </c>
      <c r="Z3393" t="s">
        <v>28968</v>
      </c>
      <c r="AA3393">
        <v>0.74666636331558489</v>
      </c>
      <c r="AB3393" t="str">
        <f>HYPERLINK("Melting_Curves/meltCurve_Q14657_LAGE3.pdf", "Melting_Curves/meltCurve_Q14657_LAGE3.pdf")</f>
        <v>Melting_Curves/meltCurve_Q14657_LAGE3.pdf</v>
      </c>
    </row>
    <row r="3394" spans="1:28" x14ac:dyDescent="0.25">
      <c r="A3394" t="s">
        <v>3398</v>
      </c>
      <c r="B3394">
        <v>0.99673306730245903</v>
      </c>
      <c r="C3394">
        <v>0.80925522903305502</v>
      </c>
      <c r="D3394">
        <v>0.494019594455547</v>
      </c>
      <c r="E3394">
        <v>0.34544416927259902</v>
      </c>
      <c r="F3394">
        <v>0.150964668391564</v>
      </c>
      <c r="G3394">
        <v>9.8189771331520806E-2</v>
      </c>
      <c r="H3394">
        <v>5.95738929117701E-2</v>
      </c>
      <c r="I3394">
        <v>6.20244407450403E-2</v>
      </c>
      <c r="J3394">
        <v>8.0743515165793894E-2</v>
      </c>
      <c r="K3394">
        <v>7.5257583079815907E-2</v>
      </c>
      <c r="L3394">
        <v>790.90089810714005</v>
      </c>
      <c r="M3394">
        <v>17.114711507574398</v>
      </c>
      <c r="N3394">
        <v>46.594319014490097</v>
      </c>
      <c r="O3394">
        <v>45.594690415278798</v>
      </c>
      <c r="P3394">
        <v>-8.7695841727508994E-2</v>
      </c>
      <c r="Q3394">
        <v>6.5546829891743305E-2</v>
      </c>
      <c r="R3394">
        <v>0.98974289240086399</v>
      </c>
      <c r="S3394" t="s">
        <v>9846</v>
      </c>
      <c r="T3394" t="s">
        <v>12902</v>
      </c>
      <c r="U3394" t="s">
        <v>12902</v>
      </c>
      <c r="V3394" t="s">
        <v>12902</v>
      </c>
      <c r="W3394" t="s">
        <v>16255</v>
      </c>
      <c r="X3394">
        <v>6</v>
      </c>
      <c r="Y3394" t="s">
        <v>22580</v>
      </c>
      <c r="Z3394" t="s">
        <v>28969</v>
      </c>
      <c r="AA3394">
        <v>0.27923282558497858</v>
      </c>
      <c r="AB3394" t="str">
        <f>HYPERLINK("Melting_Curves/meltCurve_Q14669_2_TRIP12.pdf", "Melting_Curves/meltCurve_Q14669_2_TRIP12.pdf")</f>
        <v>Melting_Curves/meltCurve_Q14669_2_TRIP12.pdf</v>
      </c>
    </row>
    <row r="3395" spans="1:28" x14ac:dyDescent="0.25">
      <c r="A3395" t="s">
        <v>3399</v>
      </c>
      <c r="B3395">
        <v>0.99673306730245903</v>
      </c>
      <c r="C3395">
        <v>0.88395293421674603</v>
      </c>
      <c r="D3395">
        <v>0.83510227765796496</v>
      </c>
      <c r="E3395">
        <v>0.72715796886461503</v>
      </c>
      <c r="F3395">
        <v>0.35864575761697098</v>
      </c>
      <c r="G3395">
        <v>0.193442711756458</v>
      </c>
      <c r="H3395">
        <v>0.113512447535592</v>
      </c>
      <c r="I3395">
        <v>0.11402081623296299</v>
      </c>
      <c r="J3395">
        <v>0.127242146422125</v>
      </c>
      <c r="K3395">
        <v>0.13470188622093501</v>
      </c>
      <c r="L3395">
        <v>914.67944851613697</v>
      </c>
      <c r="M3395">
        <v>17.9633431994368</v>
      </c>
      <c r="N3395">
        <v>51.532440971747803</v>
      </c>
      <c r="O3395">
        <v>50.300769059618403</v>
      </c>
      <c r="P3395">
        <v>-8.0692488454276706E-2</v>
      </c>
      <c r="Q3395">
        <v>9.6228029000828802E-2</v>
      </c>
      <c r="R3395">
        <v>0.98475810099635697</v>
      </c>
      <c r="S3395" t="s">
        <v>9847</v>
      </c>
      <c r="T3395" t="s">
        <v>12902</v>
      </c>
      <c r="U3395" t="s">
        <v>12902</v>
      </c>
      <c r="V3395" t="s">
        <v>12902</v>
      </c>
      <c r="W3395" t="s">
        <v>16256</v>
      </c>
      <c r="X3395">
        <v>41</v>
      </c>
      <c r="Y3395" t="s">
        <v>22581</v>
      </c>
      <c r="Z3395" t="s">
        <v>28970</v>
      </c>
      <c r="AA3395">
        <v>0.44047625285843578</v>
      </c>
      <c r="AB3395" t="str">
        <f>HYPERLINK("Melting_Curves/meltCurve_Q14676_MDC1.pdf", "Melting_Curves/meltCurve_Q14676_MDC1.pdf")</f>
        <v>Melting_Curves/meltCurve_Q14676_MDC1.pdf</v>
      </c>
    </row>
    <row r="3396" spans="1:28" x14ac:dyDescent="0.25">
      <c r="A3396" t="s">
        <v>3400</v>
      </c>
      <c r="B3396">
        <v>0.99673306730245903</v>
      </c>
      <c r="C3396">
        <v>0.96309602358191404</v>
      </c>
      <c r="D3396">
        <v>0.88373847497987501</v>
      </c>
      <c r="E3396">
        <v>0.77147674730582605</v>
      </c>
      <c r="F3396">
        <v>0.56034971595022598</v>
      </c>
      <c r="G3396">
        <v>0.36086220825204202</v>
      </c>
      <c r="H3396">
        <v>0.24755223899374301</v>
      </c>
      <c r="I3396">
        <v>0.31791948496052103</v>
      </c>
      <c r="J3396">
        <v>0.48730219563940003</v>
      </c>
      <c r="K3396">
        <v>0.53957399419627905</v>
      </c>
      <c r="L3396">
        <v>1207.19585236123</v>
      </c>
      <c r="M3396">
        <v>23.9629536361095</v>
      </c>
      <c r="N3396">
        <v>53.724808409269599</v>
      </c>
      <c r="O3396">
        <v>50.030685213519703</v>
      </c>
      <c r="P3396">
        <v>-7.3325072841194994E-2</v>
      </c>
      <c r="Q3396">
        <v>0.38764724740161799</v>
      </c>
      <c r="R3396">
        <v>0.89528987366144797</v>
      </c>
      <c r="S3396" t="s">
        <v>9848</v>
      </c>
      <c r="T3396" t="s">
        <v>12902</v>
      </c>
      <c r="U3396" t="s">
        <v>12902</v>
      </c>
      <c r="V3396" t="s">
        <v>12902</v>
      </c>
      <c r="W3396" t="s">
        <v>16257</v>
      </c>
      <c r="X3396">
        <v>14</v>
      </c>
      <c r="Y3396" t="s">
        <v>22582</v>
      </c>
      <c r="Z3396" t="s">
        <v>28971</v>
      </c>
      <c r="AA3396">
        <v>0.60545001844685187</v>
      </c>
      <c r="AB3396" t="str">
        <f>HYPERLINK("Melting_Curves/meltCurve_Q14677_CLINT1.pdf", "Melting_Curves/meltCurve_Q14677_CLINT1.pdf")</f>
        <v>Melting_Curves/meltCurve_Q14677_CLINT1.pdf</v>
      </c>
    </row>
    <row r="3397" spans="1:28" x14ac:dyDescent="0.25">
      <c r="A3397" t="s">
        <v>3401</v>
      </c>
      <c r="B3397">
        <v>0.99673306730245903</v>
      </c>
      <c r="C3397">
        <v>0.85034269947127605</v>
      </c>
      <c r="D3397">
        <v>0.69244348304342596</v>
      </c>
      <c r="E3397">
        <v>0.28993165841590002</v>
      </c>
      <c r="F3397">
        <v>0.22554662698414699</v>
      </c>
      <c r="G3397">
        <v>0.162012487464056</v>
      </c>
      <c r="H3397">
        <v>7.9029652589215293E-2</v>
      </c>
      <c r="I3397">
        <v>2.6483972710395699E-2</v>
      </c>
      <c r="J3397">
        <v>3.84918444170258E-2</v>
      </c>
      <c r="K3397">
        <v>5.7093440148515799E-2</v>
      </c>
      <c r="L3397">
        <v>820.96619187398301</v>
      </c>
      <c r="M3397">
        <v>17.294047769197501</v>
      </c>
      <c r="N3397">
        <v>47.7878189925745</v>
      </c>
      <c r="O3397">
        <v>46.849915523881002</v>
      </c>
      <c r="P3397">
        <v>-8.7291309727100405E-2</v>
      </c>
      <c r="Q3397">
        <v>5.4158668348458297E-2</v>
      </c>
      <c r="R3397">
        <v>0.98773266476664801</v>
      </c>
      <c r="S3397" t="s">
        <v>9849</v>
      </c>
      <c r="T3397" t="s">
        <v>12902</v>
      </c>
      <c r="U3397" t="s">
        <v>12902</v>
      </c>
      <c r="V3397" t="s">
        <v>12902</v>
      </c>
      <c r="W3397" t="s">
        <v>16258</v>
      </c>
      <c r="X3397">
        <v>4</v>
      </c>
      <c r="Y3397" t="s">
        <v>22583</v>
      </c>
      <c r="Z3397" t="s">
        <v>28972</v>
      </c>
      <c r="AA3397">
        <v>0.30831590939160891</v>
      </c>
      <c r="AB3397" t="str">
        <f>HYPERLINK("Melting_Curves/meltCurve_Q14678_KANK1.pdf", "Melting_Curves/meltCurve_Q14678_KANK1.pdf")</f>
        <v>Melting_Curves/meltCurve_Q14678_KANK1.pdf</v>
      </c>
    </row>
    <row r="3398" spans="1:28" x14ac:dyDescent="0.25">
      <c r="A3398" t="s">
        <v>3402</v>
      </c>
      <c r="B3398">
        <v>0.99673306730245903</v>
      </c>
      <c r="C3398">
        <v>0.85400884179440495</v>
      </c>
      <c r="D3398">
        <v>0.95762562597498901</v>
      </c>
      <c r="E3398">
        <v>0.67953986471540395</v>
      </c>
      <c r="F3398">
        <v>0.55017561105111401</v>
      </c>
      <c r="G3398">
        <v>0.340964110876046</v>
      </c>
      <c r="H3398">
        <v>0.32153941578001399</v>
      </c>
      <c r="I3398">
        <v>0.42671381141789</v>
      </c>
      <c r="J3398">
        <v>0.53577769021404498</v>
      </c>
      <c r="K3398">
        <v>0.45353263592176501</v>
      </c>
      <c r="L3398">
        <v>1258.4750571589</v>
      </c>
      <c r="M3398">
        <v>25.482744783892901</v>
      </c>
      <c r="N3398">
        <v>53.174994964053198</v>
      </c>
      <c r="O3398">
        <v>49.084264875210501</v>
      </c>
      <c r="P3398">
        <v>-7.5452417439321198E-2</v>
      </c>
      <c r="Q3398">
        <v>0.41866856883171299</v>
      </c>
      <c r="R3398">
        <v>0.89830877881428395</v>
      </c>
      <c r="S3398" t="s">
        <v>9850</v>
      </c>
      <c r="T3398" t="s">
        <v>12902</v>
      </c>
      <c r="U3398" t="s">
        <v>12902</v>
      </c>
      <c r="V3398" t="s">
        <v>12902</v>
      </c>
      <c r="W3398" t="s">
        <v>16259</v>
      </c>
      <c r="X3398">
        <v>1</v>
      </c>
      <c r="Y3398" t="s">
        <v>22584</v>
      </c>
      <c r="Z3398" t="s">
        <v>28973</v>
      </c>
      <c r="AA3398">
        <v>0.60550418699437947</v>
      </c>
      <c r="AB3398" t="str">
        <f>HYPERLINK("Melting_Curves/meltCurve_Q14681_KCTD2.pdf", "Melting_Curves/meltCurve_Q14681_KCTD2.pdf")</f>
        <v>Melting_Curves/meltCurve_Q14681_KCTD2.pdf</v>
      </c>
    </row>
    <row r="3399" spans="1:28" x14ac:dyDescent="0.25">
      <c r="A3399" t="s">
        <v>3403</v>
      </c>
      <c r="B3399">
        <v>0.99673306730245903</v>
      </c>
      <c r="C3399">
        <v>0.891502960593614</v>
      </c>
      <c r="D3399">
        <v>1.0071634450284901</v>
      </c>
      <c r="E3399">
        <v>1.1168093850135501</v>
      </c>
      <c r="F3399">
        <v>0.63328319963278801</v>
      </c>
      <c r="G3399">
        <v>0.25692091560331798</v>
      </c>
      <c r="H3399">
        <v>0.13240656393453001</v>
      </c>
      <c r="I3399">
        <v>0.101206350478993</v>
      </c>
      <c r="J3399">
        <v>9.8714295230187807E-2</v>
      </c>
      <c r="K3399">
        <v>8.5801357587697996E-2</v>
      </c>
      <c r="L3399">
        <v>2154.6373492143098</v>
      </c>
      <c r="M3399">
        <v>39.963467980656702</v>
      </c>
      <c r="N3399">
        <v>54.248907171167602</v>
      </c>
      <c r="O3399">
        <v>53.780701040087799</v>
      </c>
      <c r="P3399">
        <v>-0.16552422052589399</v>
      </c>
      <c r="Q3399">
        <v>0.108987226883821</v>
      </c>
      <c r="R3399">
        <v>0.97873907072561195</v>
      </c>
      <c r="S3399" t="s">
        <v>9851</v>
      </c>
      <c r="T3399" t="s">
        <v>12902</v>
      </c>
      <c r="U3399" t="s">
        <v>12902</v>
      </c>
      <c r="V3399" t="s">
        <v>12902</v>
      </c>
      <c r="W3399" t="s">
        <v>16260</v>
      </c>
      <c r="X3399">
        <v>69</v>
      </c>
      <c r="Y3399" t="s">
        <v>22585</v>
      </c>
      <c r="Z3399" t="s">
        <v>28974</v>
      </c>
      <c r="AA3399">
        <v>0.52559409786976374</v>
      </c>
      <c r="AB3399" t="str">
        <f>HYPERLINK("Melting_Curves/meltCurve_Q14683_SMC1A.pdf", "Melting_Curves/meltCurve_Q14683_SMC1A.pdf")</f>
        <v>Melting_Curves/meltCurve_Q14683_SMC1A.pdf</v>
      </c>
    </row>
    <row r="3400" spans="1:28" x14ac:dyDescent="0.25">
      <c r="A3400" t="s">
        <v>3404</v>
      </c>
      <c r="B3400">
        <v>0.99673306730245903</v>
      </c>
      <c r="C3400">
        <v>0.90454519866099103</v>
      </c>
      <c r="D3400">
        <v>0.67031126016862497</v>
      </c>
      <c r="E3400">
        <v>0.44434401314617</v>
      </c>
      <c r="F3400">
        <v>0.35630480911226697</v>
      </c>
      <c r="G3400">
        <v>0.21763238295812801</v>
      </c>
      <c r="H3400">
        <v>0.163143372222808</v>
      </c>
      <c r="I3400">
        <v>0.21722334609920699</v>
      </c>
      <c r="J3400">
        <v>0.29576629392717901</v>
      </c>
      <c r="K3400">
        <v>0.325020967180285</v>
      </c>
      <c r="L3400">
        <v>933.036109968456</v>
      </c>
      <c r="M3400">
        <v>19.9169402383326</v>
      </c>
      <c r="N3400">
        <v>48.493080089794198</v>
      </c>
      <c r="O3400">
        <v>46.3817670244933</v>
      </c>
      <c r="P3400">
        <v>-8.0972613003266705E-2</v>
      </c>
      <c r="Q3400">
        <v>0.245761938098713</v>
      </c>
      <c r="R3400">
        <v>0.97043097659158595</v>
      </c>
      <c r="S3400" t="s">
        <v>9852</v>
      </c>
      <c r="T3400" t="s">
        <v>12902</v>
      </c>
      <c r="U3400" t="s">
        <v>12902</v>
      </c>
      <c r="V3400" t="s">
        <v>12902</v>
      </c>
      <c r="W3400" t="s">
        <v>16261</v>
      </c>
      <c r="X3400">
        <v>3</v>
      </c>
      <c r="Y3400" t="s">
        <v>22586</v>
      </c>
      <c r="Z3400" t="s">
        <v>28975</v>
      </c>
      <c r="AA3400">
        <v>0.4291047984196783</v>
      </c>
      <c r="AB3400" t="str">
        <f>HYPERLINK("Melting_Curves/meltCurve_Q14684_2_RRP1B.pdf", "Melting_Curves/meltCurve_Q14684_2_RRP1B.pdf")</f>
        <v>Melting_Curves/meltCurve_Q14684_2_RRP1B.pdf</v>
      </c>
    </row>
    <row r="3401" spans="1:28" x14ac:dyDescent="0.25">
      <c r="A3401" t="s">
        <v>3405</v>
      </c>
      <c r="B3401">
        <v>0.99673306730245903</v>
      </c>
      <c r="C3401">
        <v>1.0116413868404199</v>
      </c>
      <c r="D3401">
        <v>0.892592489850629</v>
      </c>
      <c r="E3401">
        <v>0.63835545024240503</v>
      </c>
      <c r="F3401">
        <v>0.43469853525913299</v>
      </c>
      <c r="G3401">
        <v>0.32570913889339198</v>
      </c>
      <c r="H3401">
        <v>0.21291629349895599</v>
      </c>
      <c r="I3401">
        <v>0.26811386432134798</v>
      </c>
      <c r="J3401">
        <v>0.49649561224120398</v>
      </c>
      <c r="K3401">
        <v>0.48931076010471602</v>
      </c>
      <c r="L3401">
        <v>1395.6148679297701</v>
      </c>
      <c r="M3401">
        <v>28.460544051061099</v>
      </c>
      <c r="N3401">
        <v>51.314430719933902</v>
      </c>
      <c r="O3401">
        <v>48.796656305077597</v>
      </c>
      <c r="P3401">
        <v>-9.3520404807446195E-2</v>
      </c>
      <c r="Q3401">
        <v>0.35862847549194299</v>
      </c>
      <c r="R3401">
        <v>0.91220855123247002</v>
      </c>
      <c r="S3401" t="s">
        <v>9853</v>
      </c>
      <c r="T3401" t="s">
        <v>12902</v>
      </c>
      <c r="U3401" t="s">
        <v>12902</v>
      </c>
      <c r="V3401" t="s">
        <v>12902</v>
      </c>
      <c r="W3401" t="s">
        <v>16262</v>
      </c>
      <c r="X3401">
        <v>2</v>
      </c>
      <c r="Y3401" t="s">
        <v>22587</v>
      </c>
      <c r="Z3401" t="s">
        <v>28976</v>
      </c>
      <c r="AA3401">
        <v>0.55618165952695409</v>
      </c>
      <c r="AB3401" t="str">
        <f>HYPERLINK("Melting_Curves/meltCurve_Q14686_NCOA6.pdf", "Melting_Curves/meltCurve_Q14686_NCOA6.pdf")</f>
        <v>Melting_Curves/meltCurve_Q14686_NCOA6.pdf</v>
      </c>
    </row>
    <row r="3402" spans="1:28" x14ac:dyDescent="0.25">
      <c r="A3402" t="s">
        <v>3406</v>
      </c>
      <c r="B3402">
        <v>0.99673306730245903</v>
      </c>
      <c r="C3402">
        <v>0.84680463149041596</v>
      </c>
      <c r="D3402">
        <v>0.865126681873014</v>
      </c>
      <c r="E3402">
        <v>0.60505662128330295</v>
      </c>
      <c r="F3402">
        <v>0.47490116275112498</v>
      </c>
      <c r="G3402">
        <v>0.35247895134573898</v>
      </c>
      <c r="H3402">
        <v>0.25096806953272399</v>
      </c>
      <c r="I3402">
        <v>0.179996697382757</v>
      </c>
      <c r="J3402">
        <v>0.31544309444826402</v>
      </c>
      <c r="K3402">
        <v>0.46256406747151002</v>
      </c>
      <c r="L3402">
        <v>811.51529247180304</v>
      </c>
      <c r="M3402">
        <v>16.5566317342006</v>
      </c>
      <c r="N3402">
        <v>51.782922442447997</v>
      </c>
      <c r="O3402">
        <v>48.316213256988298</v>
      </c>
      <c r="P3402">
        <v>-6.0513743712175397E-2</v>
      </c>
      <c r="Q3402">
        <v>0.29367406337637703</v>
      </c>
      <c r="R3402">
        <v>0.91684253513373104</v>
      </c>
      <c r="S3402" t="s">
        <v>9854</v>
      </c>
      <c r="T3402" t="s">
        <v>12902</v>
      </c>
      <c r="U3402" t="s">
        <v>12902</v>
      </c>
      <c r="V3402" t="s">
        <v>12902</v>
      </c>
      <c r="W3402" t="s">
        <v>16263</v>
      </c>
      <c r="X3402">
        <v>4</v>
      </c>
      <c r="Y3402" t="s">
        <v>22588</v>
      </c>
      <c r="Z3402" t="s">
        <v>28977</v>
      </c>
      <c r="AA3402">
        <v>0.52033509526116239</v>
      </c>
      <c r="AB3402" t="str">
        <f>HYPERLINK("Melting_Curves/meltCurve_Q14687_2_GSE1.pdf", "Melting_Curves/meltCurve_Q14687_2_GSE1.pdf")</f>
        <v>Melting_Curves/meltCurve_Q14687_2_GSE1.pdf</v>
      </c>
    </row>
    <row r="3403" spans="1:28" x14ac:dyDescent="0.25">
      <c r="A3403" t="s">
        <v>3407</v>
      </c>
      <c r="B3403">
        <v>0.99673306730245903</v>
      </c>
      <c r="C3403">
        <v>0.98014154176034796</v>
      </c>
      <c r="D3403">
        <v>0.92638314361279805</v>
      </c>
      <c r="E3403">
        <v>0.79076744914680897</v>
      </c>
      <c r="F3403">
        <v>0.18855734542652</v>
      </c>
      <c r="G3403">
        <v>0.110023470182604</v>
      </c>
      <c r="H3403">
        <v>6.6845646694622396E-2</v>
      </c>
      <c r="I3403">
        <v>7.2488184426345401E-2</v>
      </c>
      <c r="J3403">
        <v>7.5437643919674696E-2</v>
      </c>
      <c r="K3403">
        <v>8.14656229406827E-2</v>
      </c>
      <c r="L3403">
        <v>2254.47434303113</v>
      </c>
      <c r="M3403">
        <v>44.275275652516399</v>
      </c>
      <c r="N3403">
        <v>51.114720250768897</v>
      </c>
      <c r="O3403">
        <v>50.8159380406263</v>
      </c>
      <c r="P3403">
        <v>-0.200877216379648</v>
      </c>
      <c r="Q3403">
        <v>7.7792295903637204E-2</v>
      </c>
      <c r="R3403">
        <v>0.99666809083996</v>
      </c>
      <c r="S3403" t="s">
        <v>9855</v>
      </c>
      <c r="T3403" t="s">
        <v>12902</v>
      </c>
      <c r="U3403" t="s">
        <v>12902</v>
      </c>
      <c r="V3403" t="s">
        <v>12902</v>
      </c>
      <c r="W3403" t="s">
        <v>16264</v>
      </c>
      <c r="X3403">
        <v>8</v>
      </c>
      <c r="Y3403" t="s">
        <v>22589</v>
      </c>
      <c r="Z3403" t="s">
        <v>28978</v>
      </c>
      <c r="AA3403">
        <v>0.41610559720450602</v>
      </c>
      <c r="AB3403" t="str">
        <f>HYPERLINK("Melting_Curves/meltCurve_Q14691_GINS1.pdf", "Melting_Curves/meltCurve_Q14691_GINS1.pdf")</f>
        <v>Melting_Curves/meltCurve_Q14691_GINS1.pdf</v>
      </c>
    </row>
    <row r="3404" spans="1:28" x14ac:dyDescent="0.25">
      <c r="A3404" t="s">
        <v>3408</v>
      </c>
      <c r="B3404">
        <v>0.99673306730245903</v>
      </c>
      <c r="C3404">
        <v>0.77213232720922398</v>
      </c>
      <c r="D3404">
        <v>0.472366848064942</v>
      </c>
      <c r="E3404">
        <v>0.283834064877095</v>
      </c>
      <c r="F3404">
        <v>0.19462603881007901</v>
      </c>
      <c r="G3404">
        <v>0.117210743331184</v>
      </c>
      <c r="H3404">
        <v>5.2456172707076601E-2</v>
      </c>
      <c r="I3404">
        <v>4.5137475975199903E-2</v>
      </c>
      <c r="J3404">
        <v>4.6609244275482097E-2</v>
      </c>
      <c r="K3404">
        <v>3.9143733466787602E-2</v>
      </c>
      <c r="L3404">
        <v>750.72849931125904</v>
      </c>
      <c r="M3404">
        <v>16.339193187766401</v>
      </c>
      <c r="N3404">
        <v>46.258224662776001</v>
      </c>
      <c r="O3404">
        <v>45.2747802161796</v>
      </c>
      <c r="P3404">
        <v>-8.5524991151522997E-2</v>
      </c>
      <c r="Q3404">
        <v>5.2132996341357998E-2</v>
      </c>
      <c r="R3404">
        <v>0.988389248019518</v>
      </c>
      <c r="S3404" t="s">
        <v>9856</v>
      </c>
      <c r="T3404" t="s">
        <v>12902</v>
      </c>
      <c r="U3404" t="s">
        <v>12902</v>
      </c>
      <c r="V3404" t="s">
        <v>12902</v>
      </c>
      <c r="W3404" t="s">
        <v>16265</v>
      </c>
      <c r="X3404">
        <v>12</v>
      </c>
      <c r="Y3404" t="s">
        <v>22590</v>
      </c>
      <c r="Z3404" t="s">
        <v>28979</v>
      </c>
      <c r="AA3404">
        <v>0.26316674214404151</v>
      </c>
      <c r="AB3404" t="str">
        <f>HYPERLINK("Melting_Curves/meltCurve_Q14694_USP10.pdf", "Melting_Curves/meltCurve_Q14694_USP10.pdf")</f>
        <v>Melting_Curves/meltCurve_Q14694_USP10.pdf</v>
      </c>
    </row>
    <row r="3405" spans="1:28" x14ac:dyDescent="0.25">
      <c r="A3405" t="s">
        <v>3409</v>
      </c>
      <c r="B3405">
        <v>0.99673306730245903</v>
      </c>
      <c r="C3405">
        <v>0.99786332035172998</v>
      </c>
      <c r="D3405">
        <v>0.940648362074471</v>
      </c>
      <c r="E3405">
        <v>0.91164430184468703</v>
      </c>
      <c r="F3405">
        <v>0.60827314183310999</v>
      </c>
      <c r="G3405">
        <v>0.35563320928067599</v>
      </c>
      <c r="H3405">
        <v>0.21835360715758301</v>
      </c>
      <c r="I3405">
        <v>0.24291826781739601</v>
      </c>
      <c r="J3405">
        <v>0.25945015612705702</v>
      </c>
      <c r="K3405">
        <v>0.209435693889654</v>
      </c>
      <c r="L3405">
        <v>1406.69112593971</v>
      </c>
      <c r="M3405">
        <v>26.444439037057201</v>
      </c>
      <c r="N3405">
        <v>54.419320617548401</v>
      </c>
      <c r="O3405">
        <v>52.892814726245597</v>
      </c>
      <c r="P3405">
        <v>-9.6955225461956701E-2</v>
      </c>
      <c r="Q3405">
        <v>0.22430880842634901</v>
      </c>
      <c r="R3405">
        <v>0.99559921622399805</v>
      </c>
      <c r="S3405" t="s">
        <v>9857</v>
      </c>
      <c r="T3405" t="s">
        <v>12902</v>
      </c>
      <c r="U3405" t="s">
        <v>12902</v>
      </c>
      <c r="V3405" t="s">
        <v>12902</v>
      </c>
      <c r="W3405" t="s">
        <v>16266</v>
      </c>
      <c r="X3405">
        <v>9</v>
      </c>
      <c r="Y3405" t="s">
        <v>22591</v>
      </c>
      <c r="Z3405" t="s">
        <v>28980</v>
      </c>
      <c r="AA3405">
        <v>0.57189648227950785</v>
      </c>
      <c r="AB3405" t="str">
        <f>HYPERLINK("Melting_Curves/meltCurve_Q14696_MESDC2.pdf", "Melting_Curves/meltCurve_Q14696_MESDC2.pdf")</f>
        <v>Melting_Curves/meltCurve_Q14696_MESDC2.pdf</v>
      </c>
    </row>
    <row r="3406" spans="1:28" x14ac:dyDescent="0.25">
      <c r="A3406" t="s">
        <v>3410</v>
      </c>
      <c r="B3406">
        <v>0.99673306730245903</v>
      </c>
      <c r="C3406">
        <v>0.94601927740737202</v>
      </c>
      <c r="D3406">
        <v>0.833160861350007</v>
      </c>
      <c r="E3406">
        <v>0.59457369791657999</v>
      </c>
      <c r="F3406">
        <v>0.19531817238392499</v>
      </c>
      <c r="G3406">
        <v>0.123398926777166</v>
      </c>
      <c r="H3406">
        <v>9.4741080570709901E-2</v>
      </c>
      <c r="I3406">
        <v>8.4061947290663699E-2</v>
      </c>
      <c r="J3406">
        <v>8.3824279904436805E-2</v>
      </c>
      <c r="K3406">
        <v>6.7422849121947195E-2</v>
      </c>
      <c r="L3406">
        <v>1114.5760498341101</v>
      </c>
      <c r="M3406">
        <v>22.426155723586</v>
      </c>
      <c r="N3406">
        <v>50.039818436214397</v>
      </c>
      <c r="O3406">
        <v>49.309707211698402</v>
      </c>
      <c r="P3406">
        <v>-0.10566796864978401</v>
      </c>
      <c r="Q3406">
        <v>7.0665725328587795E-2</v>
      </c>
      <c r="R3406">
        <v>0.99499185685991598</v>
      </c>
      <c r="S3406" t="s">
        <v>9858</v>
      </c>
      <c r="T3406" t="s">
        <v>12902</v>
      </c>
      <c r="U3406" t="s">
        <v>12902</v>
      </c>
      <c r="V3406" t="s">
        <v>12902</v>
      </c>
      <c r="W3406" t="s">
        <v>16267</v>
      </c>
      <c r="X3406">
        <v>54</v>
      </c>
      <c r="Y3406" t="s">
        <v>22592</v>
      </c>
      <c r="Z3406" t="s">
        <v>28981</v>
      </c>
      <c r="AA3406">
        <v>0.38145661010543419</v>
      </c>
      <c r="AB3406" t="str">
        <f>HYPERLINK("Melting_Curves/meltCurve_Q14697_GANAB.pdf", "Melting_Curves/meltCurve_Q14697_GANAB.pdf")</f>
        <v>Melting_Curves/meltCurve_Q14697_GANAB.pdf</v>
      </c>
    </row>
    <row r="3407" spans="1:28" x14ac:dyDescent="0.25">
      <c r="A3407" t="s">
        <v>3411</v>
      </c>
      <c r="B3407">
        <v>0.99673306730245903</v>
      </c>
      <c r="C3407">
        <v>0.93182481761772895</v>
      </c>
      <c r="D3407">
        <v>0.91418805539360004</v>
      </c>
      <c r="E3407">
        <v>0.82873900289857705</v>
      </c>
      <c r="F3407">
        <v>0.55135585119040897</v>
      </c>
      <c r="G3407">
        <v>0.26509612215110601</v>
      </c>
      <c r="H3407">
        <v>0.167045894659135</v>
      </c>
      <c r="I3407">
        <v>0.19147897246715601</v>
      </c>
      <c r="J3407">
        <v>0.20202221768410999</v>
      </c>
      <c r="K3407">
        <v>0.19224529963866399</v>
      </c>
      <c r="L3407">
        <v>1200.19804911295</v>
      </c>
      <c r="M3407">
        <v>22.869667828122299</v>
      </c>
      <c r="N3407">
        <v>53.463319207285302</v>
      </c>
      <c r="O3407">
        <v>52.083590035253501</v>
      </c>
      <c r="P3407">
        <v>-9.0927877356018205E-2</v>
      </c>
      <c r="Q3407">
        <v>0.17169595043008501</v>
      </c>
      <c r="R3407">
        <v>0.99028772716192404</v>
      </c>
      <c r="S3407" t="s">
        <v>9859</v>
      </c>
      <c r="T3407" t="s">
        <v>12902</v>
      </c>
      <c r="U3407" t="s">
        <v>12902</v>
      </c>
      <c r="V3407" t="s">
        <v>12902</v>
      </c>
      <c r="W3407" t="s">
        <v>16268</v>
      </c>
      <c r="X3407">
        <v>10</v>
      </c>
      <c r="Y3407" t="s">
        <v>22593</v>
      </c>
      <c r="Z3407" t="s">
        <v>28982</v>
      </c>
      <c r="AA3407">
        <v>0.52524607641323828</v>
      </c>
      <c r="AB3407" t="str">
        <f>HYPERLINK("Melting_Curves/meltCurve_Q14699_RFTN1.pdf", "Melting_Curves/meltCurve_Q14699_RFTN1.pdf")</f>
        <v>Melting_Curves/meltCurve_Q14699_RFTN1.pdf</v>
      </c>
    </row>
    <row r="3408" spans="1:28" x14ac:dyDescent="0.25">
      <c r="A3408" t="s">
        <v>3412</v>
      </c>
      <c r="B3408">
        <v>0.99673306730245903</v>
      </c>
      <c r="C3408">
        <v>0.90614316593157096</v>
      </c>
      <c r="D3408">
        <v>0.80877707663394005</v>
      </c>
      <c r="E3408">
        <v>0.70136556405720996</v>
      </c>
      <c r="F3408">
        <v>0.35806335983119197</v>
      </c>
      <c r="G3408">
        <v>0.16282193145857499</v>
      </c>
      <c r="H3408">
        <v>9.2908443658744302E-2</v>
      </c>
      <c r="I3408">
        <v>8.5964527827895598E-2</v>
      </c>
      <c r="J3408">
        <v>8.9252421390157002E-2</v>
      </c>
      <c r="K3408">
        <v>8.9878752885000607E-2</v>
      </c>
      <c r="L3408">
        <v>841.77791430323498</v>
      </c>
      <c r="M3408">
        <v>16.5237161153245</v>
      </c>
      <c r="N3408">
        <v>51.301866018173001</v>
      </c>
      <c r="O3408">
        <v>50.215019927498297</v>
      </c>
      <c r="P3408">
        <v>-7.7787651372339006E-2</v>
      </c>
      <c r="Q3408">
        <v>5.4489264368693398E-2</v>
      </c>
      <c r="R3408">
        <v>0.98956058154313997</v>
      </c>
      <c r="S3408" t="s">
        <v>9860</v>
      </c>
      <c r="T3408" t="s">
        <v>12902</v>
      </c>
      <c r="U3408" t="s">
        <v>12902</v>
      </c>
      <c r="V3408" t="s">
        <v>12902</v>
      </c>
      <c r="W3408" t="s">
        <v>16269</v>
      </c>
      <c r="X3408">
        <v>13</v>
      </c>
      <c r="Y3408" t="s">
        <v>22594</v>
      </c>
      <c r="Z3408" t="s">
        <v>28983</v>
      </c>
      <c r="AA3408">
        <v>0.41795995750747322</v>
      </c>
      <c r="AB3408" t="str">
        <f>HYPERLINK("Melting_Curves/meltCurve_Q14739_LBR.pdf", "Melting_Curves/meltCurve_Q14739_LBR.pdf")</f>
        <v>Melting_Curves/meltCurve_Q14739_LBR.pdf</v>
      </c>
    </row>
    <row r="3409" spans="1:28" x14ac:dyDescent="0.25">
      <c r="A3409" t="s">
        <v>3413</v>
      </c>
      <c r="B3409">
        <v>0.99673306730245903</v>
      </c>
      <c r="C3409">
        <v>0.82782607133404196</v>
      </c>
      <c r="D3409">
        <v>0.56269180110532901</v>
      </c>
      <c r="E3409">
        <v>0.33905887102814802</v>
      </c>
      <c r="F3409">
        <v>0.26222599147487502</v>
      </c>
      <c r="G3409">
        <v>0.16915814834040699</v>
      </c>
      <c r="H3409">
        <v>9.3337843841604595E-2</v>
      </c>
      <c r="I3409">
        <v>8.2578379254341902E-2</v>
      </c>
      <c r="J3409">
        <v>8.4078200964503705E-2</v>
      </c>
      <c r="K3409">
        <v>8.0204142272949697E-2</v>
      </c>
      <c r="L3409">
        <v>718.22437385451201</v>
      </c>
      <c r="M3409">
        <v>15.3539628444186</v>
      </c>
      <c r="N3409">
        <v>47.348236838371399</v>
      </c>
      <c r="O3409">
        <v>46.005821146372902</v>
      </c>
      <c r="P3409">
        <v>-7.6396800587442207E-2</v>
      </c>
      <c r="Q3409">
        <v>8.4438740201975004E-2</v>
      </c>
      <c r="R3409">
        <v>0.99032464582963997</v>
      </c>
      <c r="S3409" t="s">
        <v>9861</v>
      </c>
      <c r="T3409" t="s">
        <v>12902</v>
      </c>
      <c r="U3409" t="s">
        <v>12902</v>
      </c>
      <c r="V3409" t="s">
        <v>12902</v>
      </c>
      <c r="W3409" t="s">
        <v>16270</v>
      </c>
      <c r="X3409">
        <v>8</v>
      </c>
      <c r="Y3409" t="s">
        <v>22595</v>
      </c>
      <c r="Z3409" t="s">
        <v>28984</v>
      </c>
      <c r="AA3409">
        <v>0.31532646599770559</v>
      </c>
      <c r="AB3409" t="str">
        <f>HYPERLINK("Melting_Curves/meltCurve_Q14746_2_COG2.pdf", "Melting_Curves/meltCurve_Q14746_2_COG2.pdf")</f>
        <v>Melting_Curves/meltCurve_Q14746_2_COG2.pdf</v>
      </c>
    </row>
    <row r="3410" spans="1:28" x14ac:dyDescent="0.25">
      <c r="A3410" t="s">
        <v>3414</v>
      </c>
      <c r="B3410">
        <v>0.99673306730245903</v>
      </c>
      <c r="C3410">
        <v>0.70296129866096602</v>
      </c>
      <c r="D3410">
        <v>0.31409077445768901</v>
      </c>
      <c r="E3410">
        <v>0.23519132689105601</v>
      </c>
      <c r="F3410">
        <v>0.14300445484218799</v>
      </c>
      <c r="G3410">
        <v>0.104139035465077</v>
      </c>
      <c r="H3410">
        <v>7.2381367166513499E-2</v>
      </c>
      <c r="I3410">
        <v>7.8827113702468907E-2</v>
      </c>
      <c r="J3410">
        <v>9.8394027139542206E-2</v>
      </c>
      <c r="K3410">
        <v>8.8535509965387699E-2</v>
      </c>
      <c r="L3410">
        <v>1119.85539879045</v>
      </c>
      <c r="M3410">
        <v>25.348387408722001</v>
      </c>
      <c r="N3410">
        <v>44.586543523898499</v>
      </c>
      <c r="O3410">
        <v>43.906345614314901</v>
      </c>
      <c r="P3410">
        <v>-0.12939537747319599</v>
      </c>
      <c r="Q3410">
        <v>0.10349991152270301</v>
      </c>
      <c r="R3410">
        <v>0.98550717394870802</v>
      </c>
      <c r="S3410" t="s">
        <v>9862</v>
      </c>
      <c r="T3410" t="s">
        <v>12902</v>
      </c>
      <c r="U3410" t="s">
        <v>12902</v>
      </c>
      <c r="V3410" t="s">
        <v>12902</v>
      </c>
      <c r="W3410" t="s">
        <v>16271</v>
      </c>
      <c r="X3410">
        <v>34</v>
      </c>
      <c r="Y3410" t="s">
        <v>22596</v>
      </c>
      <c r="Z3410" t="s">
        <v>28985</v>
      </c>
      <c r="AA3410">
        <v>0.23799725163185451</v>
      </c>
      <c r="AB3410" t="str">
        <f>HYPERLINK("Melting_Curves/meltCurve_Q14789_GOLGB1.pdf", "Melting_Curves/meltCurve_Q14789_GOLGB1.pdf")</f>
        <v>Melting_Curves/meltCurve_Q14789_GOLGB1.pdf</v>
      </c>
    </row>
    <row r="3411" spans="1:28" x14ac:dyDescent="0.25">
      <c r="A3411" t="s">
        <v>3415</v>
      </c>
      <c r="B3411">
        <v>0.99673306730245903</v>
      </c>
      <c r="C3411">
        <v>0.98469845268398204</v>
      </c>
      <c r="D3411">
        <v>0.67489216612271397</v>
      </c>
      <c r="E3411">
        <v>0.240322033380171</v>
      </c>
      <c r="F3411">
        <v>0.152784575154189</v>
      </c>
      <c r="G3411">
        <v>9.5395284902642E-2</v>
      </c>
      <c r="H3411">
        <v>6.2611845216019896E-2</v>
      </c>
      <c r="I3411">
        <v>6.24406643957435E-2</v>
      </c>
      <c r="J3411">
        <v>4.3194587256150101E-2</v>
      </c>
      <c r="K3411">
        <v>3.34427955767337E-2</v>
      </c>
      <c r="L3411">
        <v>1317.6464318160699</v>
      </c>
      <c r="M3411">
        <v>27.957947820155098</v>
      </c>
      <c r="N3411">
        <v>47.365466968439499</v>
      </c>
      <c r="O3411">
        <v>46.890433693118297</v>
      </c>
      <c r="P3411">
        <v>-0.13937417523606799</v>
      </c>
      <c r="Q3411">
        <v>6.4987171909299299E-2</v>
      </c>
      <c r="R3411">
        <v>0.99534495254149102</v>
      </c>
      <c r="S3411" t="s">
        <v>9863</v>
      </c>
      <c r="T3411" t="s">
        <v>12902</v>
      </c>
      <c r="U3411" t="s">
        <v>12902</v>
      </c>
      <c r="V3411" t="s">
        <v>12902</v>
      </c>
      <c r="W3411" t="s">
        <v>16272</v>
      </c>
      <c r="X3411">
        <v>9</v>
      </c>
      <c r="Y3411" t="s">
        <v>22597</v>
      </c>
      <c r="Z3411" t="s">
        <v>28986</v>
      </c>
      <c r="AA3411">
        <v>0.29372188446354408</v>
      </c>
      <c r="AB3411" t="str">
        <f>HYPERLINK("Melting_Curves/meltCurve_Q14790_CASP8.pdf", "Melting_Curves/meltCurve_Q14790_CASP8.pdf")</f>
        <v>Melting_Curves/meltCurve_Q14790_CASP8.pdf</v>
      </c>
    </row>
    <row r="3412" spans="1:28" x14ac:dyDescent="0.25">
      <c r="A3412" t="s">
        <v>3416</v>
      </c>
      <c r="B3412">
        <v>0.99673306730245903</v>
      </c>
      <c r="C3412">
        <v>1.00110177823196</v>
      </c>
      <c r="D3412">
        <v>0.93034322529699498</v>
      </c>
      <c r="E3412">
        <v>0.75520874853023101</v>
      </c>
      <c r="F3412">
        <v>0.31676629182008598</v>
      </c>
      <c r="G3412">
        <v>0.203275194938216</v>
      </c>
      <c r="H3412">
        <v>0.15821462833716099</v>
      </c>
      <c r="I3412">
        <v>9.7497769981684301E-2</v>
      </c>
      <c r="J3412">
        <v>7.8559761428293406E-2</v>
      </c>
      <c r="K3412">
        <v>6.1081333158893802E-2</v>
      </c>
      <c r="L3412">
        <v>1284.37545085841</v>
      </c>
      <c r="M3412">
        <v>25.0468700657994</v>
      </c>
      <c r="N3412">
        <v>51.7129140941747</v>
      </c>
      <c r="O3412">
        <v>50.955355149211897</v>
      </c>
      <c r="P3412">
        <v>-0.111238475096078</v>
      </c>
      <c r="Q3412">
        <v>9.4797820714715195E-2</v>
      </c>
      <c r="R3412">
        <v>0.99488826292463495</v>
      </c>
      <c r="S3412" t="s">
        <v>9864</v>
      </c>
      <c r="T3412" t="s">
        <v>12902</v>
      </c>
      <c r="U3412" t="s">
        <v>12902</v>
      </c>
      <c r="V3412" t="s">
        <v>12902</v>
      </c>
      <c r="W3412" t="s">
        <v>16273</v>
      </c>
      <c r="X3412">
        <v>3</v>
      </c>
      <c r="Y3412" t="s">
        <v>22598</v>
      </c>
      <c r="Z3412" t="s">
        <v>28987</v>
      </c>
      <c r="AA3412">
        <v>0.4432923744417811</v>
      </c>
      <c r="AB3412" t="str">
        <f>HYPERLINK("Melting_Curves/meltCurve_Q147X3_NAA30.pdf", "Melting_Curves/meltCurve_Q147X3_NAA30.pdf")</f>
        <v>Melting_Curves/meltCurve_Q147X3_NAA30.pdf</v>
      </c>
    </row>
    <row r="3413" spans="1:28" x14ac:dyDescent="0.25">
      <c r="A3413" t="s">
        <v>3417</v>
      </c>
      <c r="B3413">
        <v>0.99673306730245903</v>
      </c>
      <c r="C3413">
        <v>0.98960379896347095</v>
      </c>
      <c r="D3413">
        <v>1.00514732248147</v>
      </c>
      <c r="E3413">
        <v>0.75017824621123197</v>
      </c>
      <c r="F3413">
        <v>0.63671366208553404</v>
      </c>
      <c r="G3413">
        <v>0.521351798223742</v>
      </c>
      <c r="H3413">
        <v>0.387401656886387</v>
      </c>
      <c r="I3413">
        <v>0.43125257243172199</v>
      </c>
      <c r="J3413">
        <v>0.64991927157062701</v>
      </c>
      <c r="K3413">
        <v>0.62156026904914996</v>
      </c>
      <c r="L3413">
        <v>1507.3633176758401</v>
      </c>
      <c r="M3413">
        <v>30.251991250584499</v>
      </c>
      <c r="O3413">
        <v>49.610706607155599</v>
      </c>
      <c r="P3413">
        <v>-7.2225490358887506E-2</v>
      </c>
      <c r="Q3413">
        <v>0.52622820736735199</v>
      </c>
      <c r="R3413">
        <v>0.87846337347902503</v>
      </c>
      <c r="S3413" t="s">
        <v>9865</v>
      </c>
      <c r="T3413" t="s">
        <v>12902</v>
      </c>
      <c r="U3413" t="s">
        <v>12902</v>
      </c>
      <c r="V3413" t="s">
        <v>12902</v>
      </c>
      <c r="W3413" t="s">
        <v>16274</v>
      </c>
      <c r="X3413">
        <v>2</v>
      </c>
      <c r="Y3413" t="s">
        <v>22599</v>
      </c>
      <c r="Z3413" t="s">
        <v>28988</v>
      </c>
      <c r="AA3413">
        <v>0.68429172588862419</v>
      </c>
      <c r="AB3413" t="str">
        <f>HYPERLINK("Melting_Curves/meltCurve_Q14802_2_FXYD3.pdf", "Melting_Curves/meltCurve_Q14802_2_FXYD3.pdf")</f>
        <v>Melting_Curves/meltCurve_Q14802_2_FXYD3.pdf</v>
      </c>
    </row>
    <row r="3414" spans="1:28" x14ac:dyDescent="0.25">
      <c r="A3414" t="s">
        <v>3418</v>
      </c>
      <c r="B3414">
        <v>0.99673306730245903</v>
      </c>
      <c r="C3414">
        <v>0.82927907149964597</v>
      </c>
      <c r="D3414">
        <v>0.46302175390962402</v>
      </c>
      <c r="E3414">
        <v>0.26459120010213799</v>
      </c>
      <c r="F3414">
        <v>0.196904250039137</v>
      </c>
      <c r="G3414">
        <v>0.162906279143472</v>
      </c>
      <c r="H3414">
        <v>8.1049507791695202E-2</v>
      </c>
      <c r="I3414">
        <v>6.21955000605591E-2</v>
      </c>
      <c r="J3414">
        <v>7.7540343862091299E-2</v>
      </c>
      <c r="K3414">
        <v>2.5009253145974499E-2</v>
      </c>
      <c r="L3414">
        <v>880.89125005174697</v>
      </c>
      <c r="M3414">
        <v>19.248923479862299</v>
      </c>
      <c r="N3414">
        <v>46.197923442630298</v>
      </c>
      <c r="O3414">
        <v>45.277813405436603</v>
      </c>
      <c r="P3414">
        <v>-9.7481013583436804E-2</v>
      </c>
      <c r="Q3414">
        <v>8.2845366622308098E-2</v>
      </c>
      <c r="R3414">
        <v>0.98341161471944205</v>
      </c>
      <c r="S3414" t="s">
        <v>9866</v>
      </c>
      <c r="T3414" t="s">
        <v>12902</v>
      </c>
      <c r="U3414" t="s">
        <v>12902</v>
      </c>
      <c r="V3414" t="s">
        <v>12902</v>
      </c>
      <c r="W3414" t="s">
        <v>16275</v>
      </c>
      <c r="X3414">
        <v>2</v>
      </c>
      <c r="Y3414" t="s">
        <v>22600</v>
      </c>
      <c r="Z3414" t="s">
        <v>28989</v>
      </c>
      <c r="AA3414">
        <v>0.27479389368340568</v>
      </c>
      <c r="AB3414" t="str">
        <f>HYPERLINK("Melting_Curves/meltCurve_Q14807_KIF22.pdf", "Melting_Curves/meltCurve_Q14807_KIF22.pdf")</f>
        <v>Melting_Curves/meltCurve_Q14807_KIF22.pdf</v>
      </c>
    </row>
    <row r="3415" spans="1:28" x14ac:dyDescent="0.25">
      <c r="A3415" t="s">
        <v>3419</v>
      </c>
      <c r="B3415">
        <v>0.99673306730245903</v>
      </c>
      <c r="C3415">
        <v>1.0128123449319799</v>
      </c>
      <c r="D3415">
        <v>1.1032913464790901</v>
      </c>
      <c r="E3415">
        <v>0.99856420413873304</v>
      </c>
      <c r="F3415">
        <v>0.934979052894094</v>
      </c>
      <c r="G3415">
        <v>0.91846270532421903</v>
      </c>
      <c r="H3415">
        <v>0.74875798888551803</v>
      </c>
      <c r="I3415">
        <v>0.978301872293317</v>
      </c>
      <c r="J3415">
        <v>1.1889341535054501</v>
      </c>
      <c r="K3415">
        <v>1.0737605638735399</v>
      </c>
      <c r="L3415">
        <v>1938.9031727200199</v>
      </c>
      <c r="M3415">
        <v>28.8545284680573</v>
      </c>
      <c r="O3415">
        <v>66.875533018934703</v>
      </c>
      <c r="P3415">
        <v>1.64609536412848E-2</v>
      </c>
      <c r="Q3415">
        <v>1.1526036613553201</v>
      </c>
      <c r="R3415">
        <v>0.16060294551815199</v>
      </c>
      <c r="S3415" t="s">
        <v>9867</v>
      </c>
      <c r="T3415" t="s">
        <v>12902</v>
      </c>
      <c r="U3415" t="s">
        <v>12902</v>
      </c>
      <c r="V3415" t="s">
        <v>12902</v>
      </c>
      <c r="W3415" t="s">
        <v>16276</v>
      </c>
      <c r="X3415">
        <v>29</v>
      </c>
      <c r="Y3415" t="s">
        <v>22601</v>
      </c>
      <c r="Z3415" t="s">
        <v>28990</v>
      </c>
      <c r="AA3415">
        <v>1.016716410792738</v>
      </c>
      <c r="AB3415" t="str">
        <f>HYPERLINK("Melting_Curves/meltCurve_Q14847_LASP1.pdf", "Melting_Curves/meltCurve_Q14847_LASP1.pdf")</f>
        <v>Melting_Curves/meltCurve_Q14847_LASP1.pdf</v>
      </c>
    </row>
    <row r="3416" spans="1:28" x14ac:dyDescent="0.25">
      <c r="A3416" t="s">
        <v>3420</v>
      </c>
      <c r="B3416">
        <v>0.99673306730245903</v>
      </c>
      <c r="C3416">
        <v>0.96175062317383597</v>
      </c>
      <c r="D3416">
        <v>1.1459477100951601</v>
      </c>
      <c r="E3416">
        <v>1.08152644494775</v>
      </c>
      <c r="F3416">
        <v>1.17639491150511</v>
      </c>
      <c r="G3416">
        <v>0.84968045656357705</v>
      </c>
      <c r="H3416">
        <v>0.74724606281605999</v>
      </c>
      <c r="I3416">
        <v>1.2281203163515499</v>
      </c>
      <c r="J3416">
        <v>1.10897889823106</v>
      </c>
      <c r="K3416">
        <v>1.3855755709077699</v>
      </c>
      <c r="L3416">
        <v>2243.9048517390902</v>
      </c>
      <c r="M3416">
        <v>32.931785695940803</v>
      </c>
      <c r="O3416">
        <v>67.888183962537198</v>
      </c>
      <c r="P3416">
        <v>6.06363507434362E-2</v>
      </c>
      <c r="Q3416">
        <v>1.5</v>
      </c>
      <c r="R3416">
        <v>0.393712716356864</v>
      </c>
      <c r="S3416" t="s">
        <v>9868</v>
      </c>
      <c r="T3416" t="s">
        <v>12902</v>
      </c>
      <c r="U3416" t="s">
        <v>12902</v>
      </c>
      <c r="V3416" t="s">
        <v>12902</v>
      </c>
      <c r="W3416" t="s">
        <v>16277</v>
      </c>
      <c r="X3416">
        <v>3</v>
      </c>
      <c r="Y3416" t="s">
        <v>22602</v>
      </c>
      <c r="Z3416" t="s">
        <v>28991</v>
      </c>
      <c r="AA3416">
        <v>1.0411738841390099</v>
      </c>
      <c r="AB3416" t="str">
        <f>HYPERLINK("Melting_Curves/meltCurve_Q14849_2_STARD3.pdf", "Melting_Curves/meltCurve_Q14849_2_STARD3.pdf")</f>
        <v>Melting_Curves/meltCurve_Q14849_2_STARD3.pdf</v>
      </c>
    </row>
    <row r="3417" spans="1:28" x14ac:dyDescent="0.25">
      <c r="A3417" t="s">
        <v>3421</v>
      </c>
      <c r="B3417">
        <v>0.99673306730245903</v>
      </c>
      <c r="C3417">
        <v>0.80135531466743404</v>
      </c>
      <c r="D3417">
        <v>0.54580317448101101</v>
      </c>
      <c r="E3417">
        <v>0.34430138746327199</v>
      </c>
      <c r="F3417">
        <v>0.26464556870871098</v>
      </c>
      <c r="G3417">
        <v>0.154763567939458</v>
      </c>
      <c r="H3417">
        <v>0.122674090379289</v>
      </c>
      <c r="I3417">
        <v>0.141892669877873</v>
      </c>
      <c r="J3417">
        <v>0.22193167882216</v>
      </c>
      <c r="K3417">
        <v>0.18708630785917099</v>
      </c>
      <c r="L3417">
        <v>854.14919134202398</v>
      </c>
      <c r="M3417">
        <v>18.659906875303701</v>
      </c>
      <c r="N3417">
        <v>46.793258669258798</v>
      </c>
      <c r="O3417">
        <v>45.2585661846107</v>
      </c>
      <c r="P3417">
        <v>-8.5872443988389502E-2</v>
      </c>
      <c r="Q3417">
        <v>0.16692032156554301</v>
      </c>
      <c r="R3417">
        <v>0.98468481025838095</v>
      </c>
      <c r="S3417" t="s">
        <v>9869</v>
      </c>
      <c r="T3417" t="s">
        <v>12902</v>
      </c>
      <c r="U3417" t="s">
        <v>12902</v>
      </c>
      <c r="V3417" t="s">
        <v>12902</v>
      </c>
      <c r="W3417" t="s">
        <v>16278</v>
      </c>
      <c r="X3417">
        <v>1</v>
      </c>
      <c r="Y3417" t="s">
        <v>22603</v>
      </c>
      <c r="Z3417" t="s">
        <v>28992</v>
      </c>
      <c r="AA3417">
        <v>0.34262730436358968</v>
      </c>
      <c r="AB3417" t="str">
        <f>HYPERLINK("Melting_Curves/meltCurve_Q14872_MTF1.pdf", "Melting_Curves/meltCurve_Q14872_MTF1.pdf")</f>
        <v>Melting_Curves/meltCurve_Q14872_MTF1.pdf</v>
      </c>
    </row>
    <row r="3418" spans="1:28" x14ac:dyDescent="0.25">
      <c r="A3418" t="s">
        <v>3422</v>
      </c>
      <c r="B3418">
        <v>0.99673306730245903</v>
      </c>
      <c r="C3418">
        <v>1.01129302159023</v>
      </c>
      <c r="D3418">
        <v>0.94383460540831599</v>
      </c>
      <c r="E3418">
        <v>0.93112092047361406</v>
      </c>
      <c r="F3418">
        <v>0.47813392862350401</v>
      </c>
      <c r="G3418">
        <v>0.293488268311349</v>
      </c>
      <c r="H3418">
        <v>0.18824893364238801</v>
      </c>
      <c r="I3418">
        <v>0.158877249331208</v>
      </c>
      <c r="J3418">
        <v>0.16434247548074199</v>
      </c>
      <c r="K3418">
        <v>0.12470371633274301</v>
      </c>
      <c r="L3418">
        <v>1583.2699402523799</v>
      </c>
      <c r="M3418">
        <v>30.0691887581402</v>
      </c>
      <c r="N3418">
        <v>53.342158661098999</v>
      </c>
      <c r="O3418">
        <v>52.422995288638297</v>
      </c>
      <c r="P3418">
        <v>-0.12035063696943001</v>
      </c>
      <c r="Q3418">
        <v>0.16072237229479799</v>
      </c>
      <c r="R3418">
        <v>0.99310663188730797</v>
      </c>
      <c r="S3418" t="s">
        <v>9870</v>
      </c>
      <c r="T3418" t="s">
        <v>12902</v>
      </c>
      <c r="U3418" t="s">
        <v>12902</v>
      </c>
      <c r="V3418" t="s">
        <v>12902</v>
      </c>
      <c r="W3418" t="s">
        <v>16279</v>
      </c>
      <c r="X3418">
        <v>9</v>
      </c>
      <c r="Y3418" t="s">
        <v>22604</v>
      </c>
      <c r="Z3418" t="s">
        <v>28993</v>
      </c>
      <c r="AA3418">
        <v>0.52012740381392553</v>
      </c>
      <c r="AB3418" t="str">
        <f>HYPERLINK("Melting_Curves/meltCurve_Q14914_2_PTGR1.pdf", "Melting_Curves/meltCurve_Q14914_2_PTGR1.pdf")</f>
        <v>Melting_Curves/meltCurve_Q14914_2_PTGR1.pdf</v>
      </c>
    </row>
    <row r="3419" spans="1:28" x14ac:dyDescent="0.25">
      <c r="A3419" t="s">
        <v>3423</v>
      </c>
      <c r="B3419">
        <v>0.99673306730245903</v>
      </c>
      <c r="C3419">
        <v>0.98247997212677696</v>
      </c>
      <c r="D3419">
        <v>0.83611790548116205</v>
      </c>
      <c r="E3419">
        <v>0.60434898149907201</v>
      </c>
      <c r="F3419">
        <v>0.54544548128402104</v>
      </c>
      <c r="G3419">
        <v>0.449617275100959</v>
      </c>
      <c r="H3419">
        <v>0.29080028497587701</v>
      </c>
      <c r="I3419">
        <v>0.22705854838863199</v>
      </c>
      <c r="J3419">
        <v>6.4737653535968095E-2</v>
      </c>
      <c r="K3419">
        <v>4.8635001736004498E-2</v>
      </c>
      <c r="L3419">
        <v>513.55596561606103</v>
      </c>
      <c r="M3419">
        <v>9.5003586799386408</v>
      </c>
      <c r="N3419">
        <v>54.056481557157802</v>
      </c>
      <c r="O3419">
        <v>51.823950061812397</v>
      </c>
      <c r="P3419">
        <v>-4.5857062244783198E-2</v>
      </c>
      <c r="Q3419">
        <v>0</v>
      </c>
      <c r="R3419">
        <v>0.97428530486651399</v>
      </c>
      <c r="S3419" t="s">
        <v>9871</v>
      </c>
      <c r="T3419" t="s">
        <v>12902</v>
      </c>
      <c r="U3419" t="s">
        <v>12902</v>
      </c>
      <c r="V3419" t="s">
        <v>12902</v>
      </c>
      <c r="W3419" t="s">
        <v>16280</v>
      </c>
      <c r="X3419">
        <v>2</v>
      </c>
      <c r="Y3419" t="s">
        <v>22605</v>
      </c>
      <c r="Z3419" t="s">
        <v>28994</v>
      </c>
      <c r="AA3419">
        <v>0.49950980514397492</v>
      </c>
      <c r="AB3419" t="str">
        <f>HYPERLINK("Melting_Curves/meltCurve_Q14964_RAB39A.pdf", "Melting_Curves/meltCurve_Q14964_RAB39A.pdf")</f>
        <v>Melting_Curves/meltCurve_Q14964_RAB39A.pdf</v>
      </c>
    </row>
    <row r="3420" spans="1:28" x14ac:dyDescent="0.25">
      <c r="A3420" t="s">
        <v>3424</v>
      </c>
      <c r="B3420">
        <v>0.99673306730245903</v>
      </c>
      <c r="C3420">
        <v>0.85242251088214904</v>
      </c>
      <c r="D3420">
        <v>0.77839024494432596</v>
      </c>
      <c r="E3420">
        <v>0.61687643985865903</v>
      </c>
      <c r="F3420">
        <v>0.36190727749570301</v>
      </c>
      <c r="G3420">
        <v>0.25807830465784498</v>
      </c>
      <c r="H3420">
        <v>0.21092912304332301</v>
      </c>
      <c r="I3420">
        <v>0.24159476536963401</v>
      </c>
      <c r="J3420">
        <v>0.336278094727959</v>
      </c>
      <c r="K3420">
        <v>0.33768285291980599</v>
      </c>
      <c r="L3420">
        <v>825.81141141730097</v>
      </c>
      <c r="M3420">
        <v>17.0887516257669</v>
      </c>
      <c r="N3420">
        <v>50.506040643894998</v>
      </c>
      <c r="O3420">
        <v>47.677651058887299</v>
      </c>
      <c r="P3420">
        <v>-6.6225561960394697E-2</v>
      </c>
      <c r="Q3420">
        <v>0.26096694673270598</v>
      </c>
      <c r="R3420">
        <v>0.95985757735647803</v>
      </c>
      <c r="S3420" t="s">
        <v>9872</v>
      </c>
      <c r="T3420" t="s">
        <v>12902</v>
      </c>
      <c r="U3420" t="s">
        <v>12902</v>
      </c>
      <c r="V3420" t="s">
        <v>12902</v>
      </c>
      <c r="W3420" t="s">
        <v>16281</v>
      </c>
      <c r="X3420">
        <v>16</v>
      </c>
      <c r="Y3420" t="s">
        <v>22606</v>
      </c>
      <c r="Z3420" t="s">
        <v>28995</v>
      </c>
      <c r="AA3420">
        <v>0.48049571960043641</v>
      </c>
      <c r="AB3420" t="str">
        <f>HYPERLINK("Melting_Curves/meltCurve_Q14966_ZNF638.pdf", "Melting_Curves/meltCurve_Q14966_ZNF638.pdf")</f>
        <v>Melting_Curves/meltCurve_Q14966_ZNF638.pdf</v>
      </c>
    </row>
    <row r="3421" spans="1:28" x14ac:dyDescent="0.25">
      <c r="A3421" t="s">
        <v>3425</v>
      </c>
      <c r="B3421">
        <v>0.99673306730245903</v>
      </c>
      <c r="C3421">
        <v>0.93496385130558102</v>
      </c>
      <c r="D3421">
        <v>0.59882357118961704</v>
      </c>
      <c r="E3421">
        <v>0.435262550097194</v>
      </c>
      <c r="F3421">
        <v>0.14502465746552301</v>
      </c>
      <c r="G3421">
        <v>8.9009416900767593E-2</v>
      </c>
      <c r="H3421">
        <v>5.3056334444928001E-2</v>
      </c>
      <c r="I3421">
        <v>4.3973809006602901E-2</v>
      </c>
      <c r="J3421">
        <v>4.56722461855677E-2</v>
      </c>
      <c r="K3421">
        <v>3.5966152037002097E-2</v>
      </c>
      <c r="L3421">
        <v>828.22621545491495</v>
      </c>
      <c r="M3421">
        <v>17.318859285981201</v>
      </c>
      <c r="N3421">
        <v>48.006228299477598</v>
      </c>
      <c r="O3421">
        <v>47.198281272771197</v>
      </c>
      <c r="P3421">
        <v>-8.8793571674436703E-2</v>
      </c>
      <c r="Q3421">
        <v>3.2115545301936999E-2</v>
      </c>
      <c r="R3421">
        <v>0.98888389494896201</v>
      </c>
      <c r="S3421" t="s">
        <v>9873</v>
      </c>
      <c r="T3421" t="s">
        <v>12902</v>
      </c>
      <c r="U3421" t="s">
        <v>12902</v>
      </c>
      <c r="V3421" t="s">
        <v>12902</v>
      </c>
      <c r="W3421" t="s">
        <v>16282</v>
      </c>
      <c r="X3421">
        <v>35</v>
      </c>
      <c r="Y3421" t="s">
        <v>22607</v>
      </c>
      <c r="Z3421" t="s">
        <v>28996</v>
      </c>
      <c r="AA3421">
        <v>0.30320663791468683</v>
      </c>
      <c r="AB3421" t="str">
        <f>HYPERLINK("Melting_Curves/meltCurve_Q14974_KPNB1.pdf", "Melting_Curves/meltCurve_Q14974_KPNB1.pdf")</f>
        <v>Melting_Curves/meltCurve_Q14974_KPNB1.pdf</v>
      </c>
    </row>
    <row r="3422" spans="1:28" x14ac:dyDescent="0.25">
      <c r="A3422" t="s">
        <v>3426</v>
      </c>
      <c r="B3422">
        <v>0.99673306730245903</v>
      </c>
      <c r="C3422">
        <v>0.943503487912974</v>
      </c>
      <c r="D3422">
        <v>1.03387004739944</v>
      </c>
      <c r="E3422">
        <v>0.99735432994996698</v>
      </c>
      <c r="F3422">
        <v>1.03977269474043</v>
      </c>
      <c r="G3422">
        <v>0.90874100101086996</v>
      </c>
      <c r="H3422">
        <v>0.89555024615457302</v>
      </c>
      <c r="I3422">
        <v>1.21435458637586</v>
      </c>
      <c r="J3422">
        <v>1.6552878842379399</v>
      </c>
      <c r="K3422">
        <v>1.6171295756456101</v>
      </c>
      <c r="L3422">
        <v>15000</v>
      </c>
      <c r="M3422">
        <v>234.08800572678001</v>
      </c>
      <c r="O3422">
        <v>64.0737877247672</v>
      </c>
      <c r="P3422">
        <v>0.45667661939850601</v>
      </c>
      <c r="Q3422">
        <v>1.5</v>
      </c>
      <c r="R3422">
        <v>0.911468658397382</v>
      </c>
      <c r="S3422" t="s">
        <v>9874</v>
      </c>
      <c r="T3422" t="s">
        <v>12902</v>
      </c>
      <c r="U3422" t="s">
        <v>12902</v>
      </c>
      <c r="V3422" t="s">
        <v>12902</v>
      </c>
      <c r="W3422" t="s">
        <v>16283</v>
      </c>
      <c r="X3422">
        <v>31</v>
      </c>
      <c r="Y3422" t="s">
        <v>22608</v>
      </c>
      <c r="Z3422" t="s">
        <v>28997</v>
      </c>
      <c r="AA3422">
        <v>1.098628121512186</v>
      </c>
      <c r="AB3422" t="str">
        <f>HYPERLINK("Melting_Curves/meltCurve_Q14978_2_NOLC1.pdf", "Melting_Curves/meltCurve_Q14978_2_NOLC1.pdf")</f>
        <v>Melting_Curves/meltCurve_Q14978_2_NOLC1.pdf</v>
      </c>
    </row>
    <row r="3423" spans="1:28" x14ac:dyDescent="0.25">
      <c r="A3423" t="s">
        <v>3427</v>
      </c>
      <c r="B3423">
        <v>0.99673306730245903</v>
      </c>
      <c r="C3423">
        <v>0.97832485540589298</v>
      </c>
      <c r="D3423">
        <v>0.99630025235582798</v>
      </c>
      <c r="E3423">
        <v>0.86283820486981999</v>
      </c>
      <c r="F3423">
        <v>0.726807908941006</v>
      </c>
      <c r="G3423">
        <v>0.48919486876416801</v>
      </c>
      <c r="H3423">
        <v>0.29711059842508603</v>
      </c>
      <c r="I3423">
        <v>0.343812524874967</v>
      </c>
      <c r="J3423">
        <v>0.34709075053323601</v>
      </c>
      <c r="K3423">
        <v>0.29969742232923002</v>
      </c>
      <c r="L3423">
        <v>1129.1523132191801</v>
      </c>
      <c r="M3423">
        <v>20.9414381787693</v>
      </c>
      <c r="N3423">
        <v>56.398470821154</v>
      </c>
      <c r="O3423">
        <v>53.4350636839551</v>
      </c>
      <c r="P3423">
        <v>-6.8503533770908398E-2</v>
      </c>
      <c r="Q3423">
        <v>0.30083286105853602</v>
      </c>
      <c r="R3423">
        <v>0.98992636862107997</v>
      </c>
      <c r="S3423" t="s">
        <v>9875</v>
      </c>
      <c r="T3423" t="s">
        <v>12902</v>
      </c>
      <c r="U3423" t="s">
        <v>12902</v>
      </c>
      <c r="V3423" t="s">
        <v>12902</v>
      </c>
      <c r="W3423" t="s">
        <v>16284</v>
      </c>
      <c r="X3423">
        <v>31</v>
      </c>
      <c r="Y3423" t="s">
        <v>22608</v>
      </c>
      <c r="Z3423" t="s">
        <v>28998</v>
      </c>
      <c r="AA3423">
        <v>0.63405685565559011</v>
      </c>
      <c r="AB3423" t="str">
        <f>HYPERLINK("Melting_Curves/meltCurve_Q14978_3_NOLC1.pdf", "Melting_Curves/meltCurve_Q14978_3_NOLC1.pdf")</f>
        <v>Melting_Curves/meltCurve_Q14978_3_NOLC1.pdf</v>
      </c>
    </row>
    <row r="3424" spans="1:28" x14ac:dyDescent="0.25">
      <c r="A3424" t="s">
        <v>3428</v>
      </c>
      <c r="B3424">
        <v>0.99673306730245903</v>
      </c>
      <c r="C3424">
        <v>0.67779851534289504</v>
      </c>
      <c r="D3424">
        <v>0.42998482023166901</v>
      </c>
      <c r="E3424">
        <v>0.28600499551902098</v>
      </c>
      <c r="F3424">
        <v>0.179611571260924</v>
      </c>
      <c r="G3424">
        <v>0.12323847579384101</v>
      </c>
      <c r="H3424">
        <v>8.9113411992656197E-2</v>
      </c>
      <c r="I3424">
        <v>9.5076239514075997E-2</v>
      </c>
      <c r="J3424">
        <v>0.122829333728531</v>
      </c>
      <c r="K3424">
        <v>0.13506955661654599</v>
      </c>
      <c r="L3424">
        <v>831.70575415276301</v>
      </c>
      <c r="M3424">
        <v>18.596600839847898</v>
      </c>
      <c r="N3424">
        <v>45.368088034698303</v>
      </c>
      <c r="O3424">
        <v>44.2160078850942</v>
      </c>
      <c r="P3424">
        <v>-9.2943857074894901E-2</v>
      </c>
      <c r="Q3424">
        <v>0.116090503428213</v>
      </c>
      <c r="R3424">
        <v>0.98263256729982895</v>
      </c>
      <c r="S3424" t="s">
        <v>9876</v>
      </c>
      <c r="T3424" t="s">
        <v>12902</v>
      </c>
      <c r="U3424" t="s">
        <v>12902</v>
      </c>
      <c r="V3424" t="s">
        <v>12902</v>
      </c>
      <c r="W3424" t="s">
        <v>16285</v>
      </c>
      <c r="X3424">
        <v>86</v>
      </c>
      <c r="Y3424" t="s">
        <v>22609</v>
      </c>
      <c r="Z3424" t="s">
        <v>28999</v>
      </c>
      <c r="AA3424">
        <v>0.27355556374598061</v>
      </c>
      <c r="AB3424" t="str">
        <f>HYPERLINK("Melting_Curves/meltCurve_Q14980_NUMA1.pdf", "Melting_Curves/meltCurve_Q14980_NUMA1.pdf")</f>
        <v>Melting_Curves/meltCurve_Q14980_NUMA1.pdf</v>
      </c>
    </row>
    <row r="3425" spans="1:28" x14ac:dyDescent="0.25">
      <c r="A3425" t="s">
        <v>3429</v>
      </c>
      <c r="B3425">
        <v>0.99673306730245903</v>
      </c>
      <c r="C3425">
        <v>0.94366079410617998</v>
      </c>
      <c r="D3425">
        <v>0.98743378557891304</v>
      </c>
      <c r="E3425">
        <v>1.04361846244866</v>
      </c>
      <c r="F3425">
        <v>0.52254811561986902</v>
      </c>
      <c r="G3425">
        <v>0.34105389358750898</v>
      </c>
      <c r="H3425">
        <v>0.44435853708269601</v>
      </c>
      <c r="I3425">
        <v>0.38341315258458802</v>
      </c>
      <c r="J3425">
        <v>0.26683828512220298</v>
      </c>
      <c r="K3425">
        <v>0.27114765358123599</v>
      </c>
      <c r="L3425">
        <v>13248.452381688699</v>
      </c>
      <c r="M3425">
        <v>250</v>
      </c>
      <c r="N3425">
        <v>53.238276647401101</v>
      </c>
      <c r="O3425">
        <v>52.990418920087897</v>
      </c>
      <c r="P3425">
        <v>-0.77683584797204697</v>
      </c>
      <c r="Q3425">
        <v>0.34136229653658101</v>
      </c>
      <c r="R3425">
        <v>0.97137019230811905</v>
      </c>
      <c r="S3425" t="s">
        <v>9877</v>
      </c>
      <c r="T3425" t="s">
        <v>12902</v>
      </c>
      <c r="U3425" t="s">
        <v>12902</v>
      </c>
      <c r="V3425" t="s">
        <v>12902</v>
      </c>
      <c r="W3425" t="s">
        <v>16286</v>
      </c>
      <c r="X3425">
        <v>13</v>
      </c>
      <c r="Y3425" t="s">
        <v>22610</v>
      </c>
      <c r="Z3425" t="s">
        <v>29000</v>
      </c>
      <c r="AA3425">
        <v>0.62669731422181796</v>
      </c>
      <c r="AB3425" t="str">
        <f>HYPERLINK("Melting_Curves/meltCurve_Q14997_PSME4.pdf", "Melting_Curves/meltCurve_Q14997_PSME4.pdf")</f>
        <v>Melting_Curves/meltCurve_Q14997_PSME4.pdf</v>
      </c>
    </row>
    <row r="3426" spans="1:28" x14ac:dyDescent="0.25">
      <c r="A3426" t="s">
        <v>3430</v>
      </c>
      <c r="B3426">
        <v>0.99673306730245903</v>
      </c>
      <c r="C3426">
        <v>0.91073742728569795</v>
      </c>
      <c r="D3426">
        <v>0.77910725853499996</v>
      </c>
      <c r="E3426">
        <v>0.53799705867796399</v>
      </c>
      <c r="F3426">
        <v>0.31317096435923603</v>
      </c>
      <c r="G3426">
        <v>0.207136429238929</v>
      </c>
      <c r="H3426">
        <v>0.138981743840043</v>
      </c>
      <c r="I3426">
        <v>0.14754871787093601</v>
      </c>
      <c r="J3426">
        <v>0.15031092127106899</v>
      </c>
      <c r="K3426">
        <v>0.158322665385322</v>
      </c>
      <c r="L3426">
        <v>824.23134882545799</v>
      </c>
      <c r="M3426">
        <v>16.813644991650101</v>
      </c>
      <c r="N3426">
        <v>49.939210918529902</v>
      </c>
      <c r="O3426">
        <v>48.343874653</v>
      </c>
      <c r="P3426">
        <v>-7.5398327660989306E-2</v>
      </c>
      <c r="Q3426">
        <v>0.13289183229677801</v>
      </c>
      <c r="R3426">
        <v>0.99818575156203304</v>
      </c>
      <c r="S3426" t="s">
        <v>9878</v>
      </c>
      <c r="T3426" t="s">
        <v>12902</v>
      </c>
      <c r="U3426" t="s">
        <v>12902</v>
      </c>
      <c r="V3426" t="s">
        <v>12902</v>
      </c>
      <c r="W3426" t="s">
        <v>16287</v>
      </c>
      <c r="X3426">
        <v>3</v>
      </c>
      <c r="Y3426" t="s">
        <v>22611</v>
      </c>
      <c r="Z3426" t="s">
        <v>29001</v>
      </c>
      <c r="AA3426">
        <v>0.41082452577057188</v>
      </c>
      <c r="AB3426" t="str">
        <f>HYPERLINK("Melting_Curves/meltCurve_Q14BN4_2_SLMAP.pdf", "Melting_Curves/meltCurve_Q14BN4_2_SLMAP.pdf")</f>
        <v>Melting_Curves/meltCurve_Q14BN4_2_SLMAP.pdf</v>
      </c>
    </row>
    <row r="3427" spans="1:28" x14ac:dyDescent="0.25">
      <c r="A3427" t="s">
        <v>3431</v>
      </c>
      <c r="B3427">
        <v>0.99673306730245903</v>
      </c>
      <c r="C3427">
        <v>0.93704268465562401</v>
      </c>
      <c r="D3427">
        <v>0.77812683260148396</v>
      </c>
      <c r="E3427">
        <v>0.36228648197309199</v>
      </c>
      <c r="F3427">
        <v>0.22001405280207301</v>
      </c>
      <c r="G3427">
        <v>0.13995826539953701</v>
      </c>
      <c r="H3427">
        <v>9.6563977953736599E-2</v>
      </c>
      <c r="I3427">
        <v>9.2430534283695201E-2</v>
      </c>
      <c r="J3427">
        <v>9.2276820976617394E-2</v>
      </c>
      <c r="K3427">
        <v>7.556276153159E-2</v>
      </c>
      <c r="L3427">
        <v>1083.9626156244501</v>
      </c>
      <c r="M3427">
        <v>22.553986350067301</v>
      </c>
      <c r="N3427">
        <v>48.508084982517197</v>
      </c>
      <c r="O3427">
        <v>47.687754506606801</v>
      </c>
      <c r="P3427">
        <v>-0.107139473991073</v>
      </c>
      <c r="Q3427">
        <v>9.3882996768903798E-2</v>
      </c>
      <c r="R3427">
        <v>0.99728231017578495</v>
      </c>
      <c r="S3427" t="s">
        <v>9879</v>
      </c>
      <c r="T3427" t="s">
        <v>12902</v>
      </c>
      <c r="U3427" t="s">
        <v>12902</v>
      </c>
      <c r="V3427" t="s">
        <v>12902</v>
      </c>
      <c r="W3427" t="s">
        <v>16288</v>
      </c>
      <c r="X3427">
        <v>29</v>
      </c>
      <c r="Y3427" t="s">
        <v>22612</v>
      </c>
      <c r="Z3427" t="s">
        <v>29002</v>
      </c>
      <c r="AA3427">
        <v>0.34731590449679489</v>
      </c>
      <c r="AB3427" t="str">
        <f>HYPERLINK("Melting_Curves/meltCurve_Q14C86_6_GAPVD1.pdf", "Melting_Curves/meltCurve_Q14C86_6_GAPVD1.pdf")</f>
        <v>Melting_Curves/meltCurve_Q14C86_6_GAPVD1.pdf</v>
      </c>
    </row>
    <row r="3428" spans="1:28" x14ac:dyDescent="0.25">
      <c r="A3428" t="s">
        <v>3432</v>
      </c>
      <c r="B3428">
        <v>0.99673306730245903</v>
      </c>
      <c r="C3428">
        <v>1.06766359140036</v>
      </c>
      <c r="D3428">
        <v>1.08219637641578</v>
      </c>
      <c r="E3428">
        <v>0.95918249923003696</v>
      </c>
      <c r="F3428">
        <v>0.48873768935682499</v>
      </c>
      <c r="G3428">
        <v>0.166680883704068</v>
      </c>
      <c r="H3428">
        <v>0.114102555111434</v>
      </c>
      <c r="I3428">
        <v>8.1955259346424295E-2</v>
      </c>
      <c r="J3428">
        <v>8.2898713805649907E-2</v>
      </c>
      <c r="K3428">
        <v>6.4783402920026906E-2</v>
      </c>
      <c r="L3428">
        <v>2143.2222828795002</v>
      </c>
      <c r="M3428">
        <v>40.487053801227397</v>
      </c>
      <c r="N3428">
        <v>53.192960157811797</v>
      </c>
      <c r="O3428">
        <v>52.807344715058399</v>
      </c>
      <c r="P3428">
        <v>-0.17464836392359401</v>
      </c>
      <c r="Q3428">
        <v>8.8825081005442397E-2</v>
      </c>
      <c r="R3428">
        <v>0.99286617426679202</v>
      </c>
      <c r="S3428" t="s">
        <v>9880</v>
      </c>
      <c r="T3428" t="s">
        <v>12902</v>
      </c>
      <c r="U3428" t="s">
        <v>12902</v>
      </c>
      <c r="V3428" t="s">
        <v>12902</v>
      </c>
      <c r="W3428" t="s">
        <v>16289</v>
      </c>
      <c r="X3428">
        <v>1</v>
      </c>
      <c r="Y3428" t="s">
        <v>22613</v>
      </c>
      <c r="Z3428" t="s">
        <v>29003</v>
      </c>
      <c r="AA3428">
        <v>0.48497417950615429</v>
      </c>
      <c r="AB3428" t="str">
        <f>HYPERLINK("Melting_Curves/meltCurve_Q14CM0_FRMPD4.pdf", "Melting_Curves/meltCurve_Q14CM0_FRMPD4.pdf")</f>
        <v>Melting_Curves/meltCurve_Q14CM0_FRMPD4.pdf</v>
      </c>
    </row>
    <row r="3429" spans="1:28" x14ac:dyDescent="0.25">
      <c r="A3429" t="s">
        <v>3433</v>
      </c>
      <c r="B3429">
        <v>0.99673306730245903</v>
      </c>
      <c r="C3429">
        <v>0.86966660968927401</v>
      </c>
      <c r="D3429">
        <v>0.50015006477076096</v>
      </c>
      <c r="E3429">
        <v>0.34110027604113502</v>
      </c>
      <c r="F3429">
        <v>0.23344400416424299</v>
      </c>
      <c r="G3429">
        <v>0.145449074917118</v>
      </c>
      <c r="H3429">
        <v>7.1487389514396996E-2</v>
      </c>
      <c r="I3429">
        <v>7.0159912070304406E-2</v>
      </c>
      <c r="J3429">
        <v>8.6630969919450906E-2</v>
      </c>
      <c r="K3429">
        <v>7.0112450601807999E-2</v>
      </c>
      <c r="L3429">
        <v>785.91343139071296</v>
      </c>
      <c r="M3429">
        <v>16.9040466418977</v>
      </c>
      <c r="N3429">
        <v>46.989777347003397</v>
      </c>
      <c r="O3429">
        <v>45.8566023892121</v>
      </c>
      <c r="P3429">
        <v>-8.4616392994621606E-2</v>
      </c>
      <c r="Q3429">
        <v>8.1882871717396999E-2</v>
      </c>
      <c r="R3429">
        <v>0.98385429137665803</v>
      </c>
      <c r="S3429" t="s">
        <v>9881</v>
      </c>
      <c r="T3429" t="s">
        <v>12902</v>
      </c>
      <c r="U3429" t="s">
        <v>12902</v>
      </c>
      <c r="V3429" t="s">
        <v>12902</v>
      </c>
      <c r="W3429" t="s">
        <v>16290</v>
      </c>
      <c r="X3429">
        <v>1</v>
      </c>
      <c r="Y3429" t="s">
        <v>22614</v>
      </c>
      <c r="Z3429" t="s">
        <v>29004</v>
      </c>
      <c r="AA3429">
        <v>0.30058150656107652</v>
      </c>
      <c r="AB3429" t="str">
        <f>HYPERLINK("Melting_Curves/meltCurve_Q14CS0_UBXN2B.pdf", "Melting_Curves/meltCurve_Q14CS0_UBXN2B.pdf")</f>
        <v>Melting_Curves/meltCurve_Q14CS0_UBXN2B.pdf</v>
      </c>
    </row>
    <row r="3430" spans="1:28" x14ac:dyDescent="0.25">
      <c r="A3430" t="s">
        <v>3434</v>
      </c>
      <c r="B3430">
        <v>0.99673306730245903</v>
      </c>
      <c r="C3430">
        <v>0.97422326184336105</v>
      </c>
      <c r="D3430">
        <v>0.96518485722731295</v>
      </c>
      <c r="E3430">
        <v>0.86141940517021698</v>
      </c>
      <c r="F3430">
        <v>0.19967710855836401</v>
      </c>
      <c r="G3430">
        <v>0.127957591506587</v>
      </c>
      <c r="H3430">
        <v>6.4578523194972606E-2</v>
      </c>
      <c r="I3430">
        <v>4.9188413826902103E-2</v>
      </c>
      <c r="J3430">
        <v>5.11834610553119E-2</v>
      </c>
      <c r="K3430">
        <v>4.4735486857407102E-2</v>
      </c>
      <c r="L3430">
        <v>2503.2974768318199</v>
      </c>
      <c r="M3430">
        <v>48.763389079158898</v>
      </c>
      <c r="N3430">
        <v>51.481108767205498</v>
      </c>
      <c r="O3430">
        <v>51.249478327278901</v>
      </c>
      <c r="P3430">
        <v>-0.22255914437531801</v>
      </c>
      <c r="Q3430">
        <v>6.43776374617272E-2</v>
      </c>
      <c r="R3430">
        <v>0.99690425968997698</v>
      </c>
      <c r="S3430" t="s">
        <v>9882</v>
      </c>
      <c r="T3430" t="s">
        <v>12902</v>
      </c>
      <c r="U3430" t="s">
        <v>12902</v>
      </c>
      <c r="V3430" t="s">
        <v>12902</v>
      </c>
      <c r="W3430" t="s">
        <v>16291</v>
      </c>
      <c r="X3430">
        <v>19</v>
      </c>
      <c r="Y3430" t="s">
        <v>22615</v>
      </c>
      <c r="Z3430" t="s">
        <v>29005</v>
      </c>
      <c r="AA3430">
        <v>0.42013342976660739</v>
      </c>
      <c r="AB3430" t="str">
        <f>HYPERLINK("Melting_Curves/meltCurve_Q14CX7_NAA25.pdf", "Melting_Curves/meltCurve_Q14CX7_NAA25.pdf")</f>
        <v>Melting_Curves/meltCurve_Q14CX7_NAA25.pdf</v>
      </c>
    </row>
    <row r="3431" spans="1:28" x14ac:dyDescent="0.25">
      <c r="A3431" t="s">
        <v>3435</v>
      </c>
      <c r="B3431">
        <v>0.99673306730245903</v>
      </c>
      <c r="C3431">
        <v>0.91650030122034298</v>
      </c>
      <c r="D3431">
        <v>0.37014926397258002</v>
      </c>
      <c r="E3431">
        <v>0.21899479924431001</v>
      </c>
      <c r="F3431">
        <v>0.107604238745436</v>
      </c>
      <c r="G3431">
        <v>5.72721930194885E-2</v>
      </c>
      <c r="H3431">
        <v>5.1694457428557598E-2</v>
      </c>
      <c r="I3431">
        <v>3.4565268791248702E-2</v>
      </c>
      <c r="J3431">
        <v>3.1768686490432997E-2</v>
      </c>
      <c r="K3431">
        <v>3.3202595180440102E-2</v>
      </c>
      <c r="L3431">
        <v>1461.6671899589401</v>
      </c>
      <c r="M3431">
        <v>32.260486579529697</v>
      </c>
      <c r="N3431">
        <v>45.498349136578199</v>
      </c>
      <c r="O3431">
        <v>45.135253053164703</v>
      </c>
      <c r="P3431">
        <v>-0.16742391951132801</v>
      </c>
      <c r="Q3431">
        <v>6.3041597337677099E-2</v>
      </c>
      <c r="R3431">
        <v>0.98434253849770703</v>
      </c>
      <c r="S3431" t="s">
        <v>9883</v>
      </c>
      <c r="T3431" t="s">
        <v>12902</v>
      </c>
      <c r="U3431" t="s">
        <v>12902</v>
      </c>
      <c r="V3431" t="s">
        <v>12902</v>
      </c>
      <c r="W3431" t="s">
        <v>16292</v>
      </c>
      <c r="X3431">
        <v>1</v>
      </c>
      <c r="Y3431" t="s">
        <v>22616</v>
      </c>
      <c r="Z3431" t="s">
        <v>29006</v>
      </c>
      <c r="AA3431">
        <v>0.23380821917040179</v>
      </c>
      <c r="AB3431" t="str">
        <f>HYPERLINK("Melting_Curves/meltCurve_Q14CZ7_FASTKD3.pdf", "Melting_Curves/meltCurve_Q14CZ7_FASTKD3.pdf")</f>
        <v>Melting_Curves/meltCurve_Q14CZ7_FASTKD3.pdf</v>
      </c>
    </row>
    <row r="3432" spans="1:28" x14ac:dyDescent="0.25">
      <c r="A3432" t="s">
        <v>3436</v>
      </c>
      <c r="B3432">
        <v>0.99673306730245903</v>
      </c>
      <c r="C3432">
        <v>0.918462755185529</v>
      </c>
      <c r="D3432">
        <v>0.86100011045973401</v>
      </c>
      <c r="E3432">
        <v>0.39596836494792098</v>
      </c>
      <c r="F3432">
        <v>0.33939567310442498</v>
      </c>
      <c r="G3432">
        <v>0.196626338127977</v>
      </c>
      <c r="H3432">
        <v>0.14070412762589199</v>
      </c>
      <c r="I3432">
        <v>0.13855273305325799</v>
      </c>
      <c r="J3432">
        <v>0.14147093008309999</v>
      </c>
      <c r="K3432">
        <v>0.13041104036682299</v>
      </c>
      <c r="L3432">
        <v>1026.70995863249</v>
      </c>
      <c r="M3432">
        <v>21.148887477278901</v>
      </c>
      <c r="N3432">
        <v>49.339852526257602</v>
      </c>
      <c r="O3432">
        <v>48.118974613234698</v>
      </c>
      <c r="P3432">
        <v>-9.4047513072499006E-2</v>
      </c>
      <c r="Q3432">
        <v>0.144096630916072</v>
      </c>
      <c r="R3432">
        <v>0.98367178673222799</v>
      </c>
      <c r="S3432" t="s">
        <v>9884</v>
      </c>
      <c r="T3432" t="s">
        <v>12902</v>
      </c>
      <c r="U3432" t="s">
        <v>12902</v>
      </c>
      <c r="V3432" t="s">
        <v>12902</v>
      </c>
      <c r="W3432" t="s">
        <v>16293</v>
      </c>
      <c r="X3432">
        <v>12</v>
      </c>
      <c r="Y3432" t="s">
        <v>22617</v>
      </c>
      <c r="Z3432" t="s">
        <v>29007</v>
      </c>
      <c r="AA3432">
        <v>0.39866748949632791</v>
      </c>
      <c r="AB3432" t="str">
        <f>HYPERLINK("Melting_Curves/meltCurve_Q15003_NCAPH.pdf", "Melting_Curves/meltCurve_Q15003_NCAPH.pdf")</f>
        <v>Melting_Curves/meltCurve_Q15003_NCAPH.pdf</v>
      </c>
    </row>
    <row r="3433" spans="1:28" x14ac:dyDescent="0.25">
      <c r="A3433" t="s">
        <v>3437</v>
      </c>
      <c r="B3433">
        <v>0.99673306730245903</v>
      </c>
      <c r="C3433">
        <v>0.99528775667981495</v>
      </c>
      <c r="D3433">
        <v>1.02119911044246</v>
      </c>
      <c r="E3433">
        <v>1.03654050160551</v>
      </c>
      <c r="F3433">
        <v>0.90986156013126895</v>
      </c>
      <c r="G3433">
        <v>0.87540373075324696</v>
      </c>
      <c r="H3433">
        <v>0.77383745902702705</v>
      </c>
      <c r="I3433">
        <v>1.0932475534620101</v>
      </c>
      <c r="J3433">
        <v>1.5323786155379</v>
      </c>
      <c r="K3433">
        <v>1.48145137136491</v>
      </c>
      <c r="L3433">
        <v>15000</v>
      </c>
      <c r="M3433">
        <v>232.90227684973701</v>
      </c>
      <c r="O3433">
        <v>64.399945880203802</v>
      </c>
      <c r="P3433">
        <v>0.45206225386231202</v>
      </c>
      <c r="Q3433">
        <v>1.5</v>
      </c>
      <c r="R3433">
        <v>0.85797389734051599</v>
      </c>
      <c r="S3433" t="s">
        <v>9885</v>
      </c>
      <c r="T3433" t="s">
        <v>12902</v>
      </c>
      <c r="U3433" t="s">
        <v>12902</v>
      </c>
      <c r="V3433" t="s">
        <v>12902</v>
      </c>
      <c r="W3433" t="s">
        <v>16294</v>
      </c>
      <c r="X3433">
        <v>8</v>
      </c>
      <c r="Y3433" t="s">
        <v>22618</v>
      </c>
      <c r="Z3433" t="s">
        <v>29008</v>
      </c>
      <c r="AA3433">
        <v>1.093189971877071</v>
      </c>
      <c r="AB3433" t="str">
        <f>HYPERLINK("Melting_Curves/meltCurve_Q15004_KIAA0101.pdf", "Melting_Curves/meltCurve_Q15004_KIAA0101.pdf")</f>
        <v>Melting_Curves/meltCurve_Q15004_KIAA0101.pdf</v>
      </c>
    </row>
    <row r="3434" spans="1:28" x14ac:dyDescent="0.25">
      <c r="A3434" t="s">
        <v>3438</v>
      </c>
      <c r="B3434">
        <v>0.99673306730245903</v>
      </c>
      <c r="C3434">
        <v>0.89940762745462</v>
      </c>
      <c r="D3434">
        <v>0.83699103695428501</v>
      </c>
      <c r="E3434">
        <v>0.69706541046593795</v>
      </c>
      <c r="F3434">
        <v>0.40140295259585101</v>
      </c>
      <c r="G3434">
        <v>0.23352855724729901</v>
      </c>
      <c r="H3434">
        <v>0.13863475363240099</v>
      </c>
      <c r="I3434">
        <v>0.126431111941638</v>
      </c>
      <c r="J3434">
        <v>0.13011210460254</v>
      </c>
      <c r="K3434">
        <v>0.123610564426499</v>
      </c>
      <c r="L3434">
        <v>789.87798113466602</v>
      </c>
      <c r="M3434">
        <v>15.4617970781627</v>
      </c>
      <c r="N3434">
        <v>51.765637391755</v>
      </c>
      <c r="O3434">
        <v>50.254124660515799</v>
      </c>
      <c r="P3434">
        <v>-6.9856512966390699E-2</v>
      </c>
      <c r="Q3434">
        <v>9.1887444215647096E-2</v>
      </c>
      <c r="R3434">
        <v>0.99355063593672599</v>
      </c>
      <c r="S3434" t="s">
        <v>9886</v>
      </c>
      <c r="T3434" t="s">
        <v>12902</v>
      </c>
      <c r="U3434" t="s">
        <v>12902</v>
      </c>
      <c r="V3434" t="s">
        <v>12902</v>
      </c>
      <c r="W3434" t="s">
        <v>16295</v>
      </c>
      <c r="X3434">
        <v>11</v>
      </c>
      <c r="Y3434" t="s">
        <v>22619</v>
      </c>
      <c r="Z3434" t="s">
        <v>29009</v>
      </c>
      <c r="AA3434">
        <v>0.44735811166362421</v>
      </c>
      <c r="AB3434" t="str">
        <f>HYPERLINK("Melting_Curves/meltCurve_Q15005_SPCS2.pdf", "Melting_Curves/meltCurve_Q15005_SPCS2.pdf")</f>
        <v>Melting_Curves/meltCurve_Q15005_SPCS2.pdf</v>
      </c>
    </row>
    <row r="3435" spans="1:28" x14ac:dyDescent="0.25">
      <c r="A3435" t="s">
        <v>3439</v>
      </c>
      <c r="B3435">
        <v>0.99673306730245903</v>
      </c>
      <c r="C3435">
        <v>0.86121647663512502</v>
      </c>
      <c r="D3435">
        <v>0.778728571747903</v>
      </c>
      <c r="E3435">
        <v>0.61901285742897505</v>
      </c>
      <c r="F3435">
        <v>0.44455395426463901</v>
      </c>
      <c r="G3435">
        <v>0.172760757271362</v>
      </c>
      <c r="H3435">
        <v>9.9870705297373102E-2</v>
      </c>
      <c r="I3435">
        <v>9.1550671221832899E-2</v>
      </c>
      <c r="J3435">
        <v>0.111351137555769</v>
      </c>
      <c r="K3435">
        <v>0.103023514197904</v>
      </c>
      <c r="L3435">
        <v>650.74904282785997</v>
      </c>
      <c r="M3435">
        <v>12.8183928699159</v>
      </c>
      <c r="N3435">
        <v>51.111389944495002</v>
      </c>
      <c r="O3435">
        <v>49.578860629875798</v>
      </c>
      <c r="P3435">
        <v>-6.1972410287315101E-2</v>
      </c>
      <c r="Q3435">
        <v>4.1393626820128503E-2</v>
      </c>
      <c r="R3435">
        <v>0.98550574387411105</v>
      </c>
      <c r="S3435" t="s">
        <v>9887</v>
      </c>
      <c r="T3435" t="s">
        <v>12902</v>
      </c>
      <c r="U3435" t="s">
        <v>12902</v>
      </c>
      <c r="V3435" t="s">
        <v>12902</v>
      </c>
      <c r="W3435" t="s">
        <v>16296</v>
      </c>
      <c r="X3435">
        <v>3</v>
      </c>
      <c r="Y3435" t="s">
        <v>22620</v>
      </c>
      <c r="Z3435" t="s">
        <v>29010</v>
      </c>
      <c r="AA3435">
        <v>0.41415826708968451</v>
      </c>
      <c r="AB3435" t="str">
        <f>HYPERLINK("Melting_Curves/meltCurve_Q15006_EMC2.pdf", "Melting_Curves/meltCurve_Q15006_EMC2.pdf")</f>
        <v>Melting_Curves/meltCurve_Q15006_EMC2.pdf</v>
      </c>
    </row>
    <row r="3436" spans="1:28" x14ac:dyDescent="0.25">
      <c r="A3436" t="s">
        <v>3440</v>
      </c>
      <c r="B3436">
        <v>0.99673306730245903</v>
      </c>
      <c r="C3436">
        <v>0.84229747594003901</v>
      </c>
      <c r="D3436">
        <v>0.88955080140921095</v>
      </c>
      <c r="E3436">
        <v>0.42539975897363302</v>
      </c>
      <c r="F3436">
        <v>0.25293216008138297</v>
      </c>
      <c r="G3436">
        <v>0.15299823613183999</v>
      </c>
      <c r="H3436">
        <v>0.11625545195230499</v>
      </c>
      <c r="I3436">
        <v>0.13098123281960899</v>
      </c>
      <c r="J3436">
        <v>0.184632556933091</v>
      </c>
      <c r="K3436">
        <v>0.149626891041897</v>
      </c>
      <c r="L3436">
        <v>1227.64619901468</v>
      </c>
      <c r="M3436">
        <v>25.3017174268529</v>
      </c>
      <c r="N3436">
        <v>49.1774537701478</v>
      </c>
      <c r="O3436">
        <v>48.220206098943997</v>
      </c>
      <c r="P3436">
        <v>-0.112362574683166</v>
      </c>
      <c r="Q3436">
        <v>0.14344486769071299</v>
      </c>
      <c r="R3436">
        <v>0.97822688803323099</v>
      </c>
      <c r="S3436" t="s">
        <v>9888</v>
      </c>
      <c r="T3436" t="s">
        <v>12902</v>
      </c>
      <c r="U3436" t="s">
        <v>12902</v>
      </c>
      <c r="V3436" t="s">
        <v>12902</v>
      </c>
      <c r="W3436" t="s">
        <v>16297</v>
      </c>
      <c r="X3436">
        <v>11</v>
      </c>
      <c r="Y3436" t="s">
        <v>22621</v>
      </c>
      <c r="Z3436" t="s">
        <v>29011</v>
      </c>
      <c r="AA3436">
        <v>0.39409968496541181</v>
      </c>
      <c r="AB3436" t="str">
        <f>HYPERLINK("Melting_Curves/meltCurve_Q15007_WTAP.pdf", "Melting_Curves/meltCurve_Q15007_WTAP.pdf")</f>
        <v>Melting_Curves/meltCurve_Q15007_WTAP.pdf</v>
      </c>
    </row>
    <row r="3437" spans="1:28" x14ac:dyDescent="0.25">
      <c r="A3437" t="s">
        <v>3441</v>
      </c>
      <c r="B3437">
        <v>0.99673306730245903</v>
      </c>
      <c r="C3437">
        <v>0.85628463402877997</v>
      </c>
      <c r="D3437">
        <v>0.95198066227697498</v>
      </c>
      <c r="E3437">
        <v>0.94137945135283796</v>
      </c>
      <c r="F3437">
        <v>0.67779547208191104</v>
      </c>
      <c r="G3437">
        <v>0.34964316737164702</v>
      </c>
      <c r="H3437">
        <v>0.12228943908402</v>
      </c>
      <c r="I3437">
        <v>9.3626700643544003E-2</v>
      </c>
      <c r="J3437">
        <v>9.5984663012277802E-2</v>
      </c>
      <c r="K3437">
        <v>7.8897485089253802E-2</v>
      </c>
      <c r="L3437">
        <v>1320.74947668206</v>
      </c>
      <c r="M3437">
        <v>24.164495044572998</v>
      </c>
      <c r="N3437">
        <v>55.005217312249897</v>
      </c>
      <c r="O3437">
        <v>54.286423342437999</v>
      </c>
      <c r="P3437">
        <v>-0.103383215944669</v>
      </c>
      <c r="Q3437">
        <v>7.0997569298264507E-2</v>
      </c>
      <c r="R3437">
        <v>0.98442286276097002</v>
      </c>
      <c r="S3437" t="s">
        <v>9889</v>
      </c>
      <c r="T3437" t="s">
        <v>12902</v>
      </c>
      <c r="U3437" t="s">
        <v>12902</v>
      </c>
      <c r="V3437" t="s">
        <v>12902</v>
      </c>
      <c r="W3437" t="s">
        <v>16298</v>
      </c>
      <c r="X3437">
        <v>22</v>
      </c>
      <c r="Y3437" t="s">
        <v>22622</v>
      </c>
      <c r="Z3437" t="s">
        <v>29012</v>
      </c>
      <c r="AA3437">
        <v>0.53399784885152424</v>
      </c>
      <c r="AB3437" t="str">
        <f>HYPERLINK("Melting_Curves/meltCurve_Q15008_PSMD6.pdf", "Melting_Curves/meltCurve_Q15008_PSMD6.pdf")</f>
        <v>Melting_Curves/meltCurve_Q15008_PSMD6.pdf</v>
      </c>
    </row>
    <row r="3438" spans="1:28" x14ac:dyDescent="0.25">
      <c r="A3438" t="s">
        <v>3442</v>
      </c>
      <c r="B3438">
        <v>0.99673306730245903</v>
      </c>
      <c r="C3438">
        <v>0.96321618411352095</v>
      </c>
      <c r="D3438">
        <v>0.96654087601384797</v>
      </c>
      <c r="E3438">
        <v>0.61651056140219496</v>
      </c>
      <c r="F3438">
        <v>0.38730598135668998</v>
      </c>
      <c r="G3438">
        <v>0.229253775472333</v>
      </c>
      <c r="H3438">
        <v>0.14824478189854501</v>
      </c>
      <c r="I3438">
        <v>0.137273250984006</v>
      </c>
      <c r="J3438">
        <v>0.121516170283091</v>
      </c>
      <c r="K3438">
        <v>0.13377694774044399</v>
      </c>
      <c r="L3438">
        <v>1050.0854707840799</v>
      </c>
      <c r="M3438">
        <v>20.715888306899402</v>
      </c>
      <c r="N3438">
        <v>51.4251630484207</v>
      </c>
      <c r="O3438">
        <v>50.224600711097402</v>
      </c>
      <c r="P3438">
        <v>-8.9901204064556706E-2</v>
      </c>
      <c r="Q3438">
        <v>0.12818139924901301</v>
      </c>
      <c r="R3438">
        <v>0.99469688022763003</v>
      </c>
      <c r="S3438" t="s">
        <v>9890</v>
      </c>
      <c r="T3438" t="s">
        <v>12902</v>
      </c>
      <c r="U3438" t="s">
        <v>12902</v>
      </c>
      <c r="V3438" t="s">
        <v>12902</v>
      </c>
      <c r="W3438" t="s">
        <v>16299</v>
      </c>
      <c r="X3438">
        <v>5</v>
      </c>
      <c r="Y3438" t="s">
        <v>22623</v>
      </c>
      <c r="Z3438" t="s">
        <v>29013</v>
      </c>
      <c r="AA3438">
        <v>0.45016192157190349</v>
      </c>
      <c r="AB3438" t="str">
        <f>HYPERLINK("Melting_Curves/meltCurve_Q15011_3_HERPUD1.pdf", "Melting_Curves/meltCurve_Q15011_3_HERPUD1.pdf")</f>
        <v>Melting_Curves/meltCurve_Q15011_3_HERPUD1.pdf</v>
      </c>
    </row>
    <row r="3439" spans="1:28" x14ac:dyDescent="0.25">
      <c r="A3439" t="s">
        <v>3443</v>
      </c>
      <c r="B3439">
        <v>0.99673306730245903</v>
      </c>
      <c r="C3439">
        <v>1.0025864953736601</v>
      </c>
      <c r="D3439">
        <v>0.86548336281809901</v>
      </c>
      <c r="E3439">
        <v>0.65676299458318699</v>
      </c>
      <c r="F3439">
        <v>0.59095991270574499</v>
      </c>
      <c r="G3439">
        <v>0.446485740683504</v>
      </c>
      <c r="H3439">
        <v>0.307156050296918</v>
      </c>
      <c r="I3439">
        <v>0.31775030458148101</v>
      </c>
      <c r="J3439">
        <v>0.31056188355480802</v>
      </c>
      <c r="K3439">
        <v>0.25301199470451102</v>
      </c>
      <c r="L3439">
        <v>658.96104311982697</v>
      </c>
      <c r="M3439">
        <v>12.7850850647302</v>
      </c>
      <c r="N3439">
        <v>54.495105214101002</v>
      </c>
      <c r="O3439">
        <v>50.329256243364</v>
      </c>
      <c r="P3439">
        <v>-4.7642197427025502E-2</v>
      </c>
      <c r="Q3439">
        <v>0.24995588343535299</v>
      </c>
      <c r="R3439">
        <v>0.98534190223648199</v>
      </c>
      <c r="S3439" t="s">
        <v>9891</v>
      </c>
      <c r="T3439" t="s">
        <v>12902</v>
      </c>
      <c r="U3439" t="s">
        <v>12902</v>
      </c>
      <c r="V3439" t="s">
        <v>12902</v>
      </c>
      <c r="W3439" t="s">
        <v>16300</v>
      </c>
      <c r="X3439">
        <v>1</v>
      </c>
      <c r="Y3439" t="s">
        <v>22624</v>
      </c>
      <c r="Z3439" t="s">
        <v>29014</v>
      </c>
      <c r="AA3439">
        <v>0.56016877711947055</v>
      </c>
      <c r="AB3439" t="str">
        <f>HYPERLINK("Melting_Curves/meltCurve_Q15012_LAPTM4A.pdf", "Melting_Curves/meltCurve_Q15012_LAPTM4A.pdf")</f>
        <v>Melting_Curves/meltCurve_Q15012_LAPTM4A.pdf</v>
      </c>
    </row>
    <row r="3440" spans="1:28" x14ac:dyDescent="0.25">
      <c r="A3440" t="s">
        <v>3444</v>
      </c>
      <c r="B3440">
        <v>0.99673306730245903</v>
      </c>
      <c r="C3440">
        <v>0.958607356297284</v>
      </c>
      <c r="D3440">
        <v>0.85228230028390495</v>
      </c>
      <c r="E3440">
        <v>0.64419818508954596</v>
      </c>
      <c r="F3440">
        <v>0.30623976126499403</v>
      </c>
      <c r="G3440">
        <v>0.13135323054890699</v>
      </c>
      <c r="H3440">
        <v>7.1803818699640906E-2</v>
      </c>
      <c r="I3440">
        <v>7.6902810019343806E-2</v>
      </c>
      <c r="J3440">
        <v>7.8881694865483895E-2</v>
      </c>
      <c r="K3440">
        <v>9.0461246489124694E-2</v>
      </c>
      <c r="L3440">
        <v>1021.73780292219</v>
      </c>
      <c r="M3440">
        <v>20.236743038625701</v>
      </c>
      <c r="N3440">
        <v>50.828178534620299</v>
      </c>
      <c r="O3440">
        <v>50.003985607732801</v>
      </c>
      <c r="P3440">
        <v>-9.4792633848464397E-2</v>
      </c>
      <c r="Q3440">
        <v>6.3117804862131394E-2</v>
      </c>
      <c r="R3440">
        <v>0.99735477135713502</v>
      </c>
      <c r="S3440" t="s">
        <v>9892</v>
      </c>
      <c r="T3440" t="s">
        <v>12902</v>
      </c>
      <c r="U3440" t="s">
        <v>12902</v>
      </c>
      <c r="V3440" t="s">
        <v>12902</v>
      </c>
      <c r="W3440" t="s">
        <v>16301</v>
      </c>
      <c r="X3440">
        <v>5</v>
      </c>
      <c r="Y3440" t="s">
        <v>22625</v>
      </c>
      <c r="Z3440" t="s">
        <v>29015</v>
      </c>
      <c r="AA3440">
        <v>0.40342260650247158</v>
      </c>
      <c r="AB3440" t="str">
        <f>HYPERLINK("Melting_Curves/meltCurve_Q15013_MAD2L1BP.pdf", "Melting_Curves/meltCurve_Q15013_MAD2L1BP.pdf")</f>
        <v>Melting_Curves/meltCurve_Q15013_MAD2L1BP.pdf</v>
      </c>
    </row>
    <row r="3441" spans="1:28" x14ac:dyDescent="0.25">
      <c r="A3441" t="s">
        <v>3445</v>
      </c>
      <c r="B3441">
        <v>0.99673306730245903</v>
      </c>
      <c r="C3441">
        <v>0.94015276885088095</v>
      </c>
      <c r="D3441">
        <v>1.04548955580849</v>
      </c>
      <c r="E3441">
        <v>1.0922274731738499</v>
      </c>
      <c r="F3441">
        <v>1.1515121752683799</v>
      </c>
      <c r="G3441">
        <v>0.96221497549818902</v>
      </c>
      <c r="H3441">
        <v>0.846013318807186</v>
      </c>
      <c r="I3441">
        <v>0.40766810543853599</v>
      </c>
      <c r="J3441">
        <v>0.15269655402949001</v>
      </c>
      <c r="K3441">
        <v>0.13457079073287001</v>
      </c>
      <c r="L3441">
        <v>2783.7229776787099</v>
      </c>
      <c r="M3441">
        <v>44.218658701012899</v>
      </c>
      <c r="N3441">
        <v>63.321315969598103</v>
      </c>
      <c r="O3441">
        <v>62.825235345840703</v>
      </c>
      <c r="P3441">
        <v>-0.15603491002237199</v>
      </c>
      <c r="Q3441">
        <v>0.113232616033453</v>
      </c>
      <c r="R3441">
        <v>0.97178452602922105</v>
      </c>
      <c r="S3441" t="s">
        <v>9893</v>
      </c>
      <c r="T3441" t="s">
        <v>12902</v>
      </c>
      <c r="U3441" t="s">
        <v>12902</v>
      </c>
      <c r="V3441" t="s">
        <v>12902</v>
      </c>
      <c r="W3441" t="s">
        <v>16302</v>
      </c>
      <c r="X3441">
        <v>12</v>
      </c>
      <c r="Y3441" t="s">
        <v>22626</v>
      </c>
      <c r="Z3441" t="s">
        <v>29016</v>
      </c>
      <c r="AA3441">
        <v>0.79423259056056539</v>
      </c>
      <c r="AB3441" t="str">
        <f>HYPERLINK("Melting_Curves/meltCurve_Q15018_FAM175B.pdf", "Melting_Curves/meltCurve_Q15018_FAM175B.pdf")</f>
        <v>Melting_Curves/meltCurve_Q15018_FAM175B.pdf</v>
      </c>
    </row>
    <row r="3442" spans="1:28" x14ac:dyDescent="0.25">
      <c r="A3442" t="s">
        <v>3446</v>
      </c>
      <c r="B3442">
        <v>0.99673306730245903</v>
      </c>
      <c r="C3442">
        <v>0.97228088042765604</v>
      </c>
      <c r="D3442">
        <v>0.98600222697408502</v>
      </c>
      <c r="E3442">
        <v>1.0430441977140099</v>
      </c>
      <c r="F3442">
        <v>0.97394661036226304</v>
      </c>
      <c r="G3442">
        <v>0.78314005188562097</v>
      </c>
      <c r="H3442">
        <v>0.58057926595828502</v>
      </c>
      <c r="I3442">
        <v>0.43696768166927302</v>
      </c>
      <c r="J3442">
        <v>0.18132856239318201</v>
      </c>
      <c r="K3442">
        <v>0.142005686919673</v>
      </c>
      <c r="L3442">
        <v>1027.9377448026701</v>
      </c>
      <c r="M3442">
        <v>16.5432210070399</v>
      </c>
      <c r="N3442">
        <v>62.136493877096697</v>
      </c>
      <c r="O3442">
        <v>61.249863782344299</v>
      </c>
      <c r="P3442">
        <v>-6.7528167323016294E-2</v>
      </c>
      <c r="Q3442">
        <v>0</v>
      </c>
      <c r="R3442">
        <v>0.988815259112926</v>
      </c>
      <c r="S3442" t="s">
        <v>9894</v>
      </c>
      <c r="T3442" t="s">
        <v>12902</v>
      </c>
      <c r="U3442" t="s">
        <v>12902</v>
      </c>
      <c r="V3442" t="s">
        <v>12902</v>
      </c>
      <c r="W3442" t="s">
        <v>16303</v>
      </c>
      <c r="X3442">
        <v>24</v>
      </c>
      <c r="Y3442" t="s">
        <v>22627</v>
      </c>
      <c r="Z3442" t="s">
        <v>29017</v>
      </c>
      <c r="AA3442">
        <v>0.73697595848094588</v>
      </c>
      <c r="AB3442" t="str">
        <f>HYPERLINK("Melting_Curves/meltCurve_Q15019_SEPT2.pdf", "Melting_Curves/meltCurve_Q15019_SEPT2.pdf")</f>
        <v>Melting_Curves/meltCurve_Q15019_SEPT2.pdf</v>
      </c>
    </row>
    <row r="3443" spans="1:28" x14ac:dyDescent="0.25">
      <c r="A3443" t="s">
        <v>3447</v>
      </c>
      <c r="B3443">
        <v>0.99673306730245903</v>
      </c>
      <c r="C3443">
        <v>0.82433426855035796</v>
      </c>
      <c r="D3443">
        <v>0.78109205690943795</v>
      </c>
      <c r="E3443">
        <v>0.48707115839444098</v>
      </c>
      <c r="F3443">
        <v>0.206917224148125</v>
      </c>
      <c r="G3443">
        <v>0.13010024726679001</v>
      </c>
      <c r="H3443">
        <v>9.0791326041742101E-2</v>
      </c>
      <c r="I3443">
        <v>8.4435946415650803E-2</v>
      </c>
      <c r="J3443">
        <v>0.104908705352088</v>
      </c>
      <c r="K3443">
        <v>9.5041323161106805E-2</v>
      </c>
      <c r="L3443">
        <v>833.79422206788502</v>
      </c>
      <c r="M3443">
        <v>17.152171189618301</v>
      </c>
      <c r="N3443">
        <v>49.063690843234603</v>
      </c>
      <c r="O3443">
        <v>47.965242648928999</v>
      </c>
      <c r="P3443">
        <v>-8.2869091874957404E-2</v>
      </c>
      <c r="Q3443">
        <v>7.3097192852999801E-2</v>
      </c>
      <c r="R3443">
        <v>0.98871660622082602</v>
      </c>
      <c r="S3443" t="s">
        <v>9895</v>
      </c>
      <c r="T3443" t="s">
        <v>12902</v>
      </c>
      <c r="U3443" t="s">
        <v>12902</v>
      </c>
      <c r="V3443" t="s">
        <v>12902</v>
      </c>
      <c r="W3443" t="s">
        <v>16304</v>
      </c>
      <c r="X3443">
        <v>23</v>
      </c>
      <c r="Y3443" t="s">
        <v>22628</v>
      </c>
      <c r="Z3443" t="s">
        <v>29018</v>
      </c>
      <c r="AA3443">
        <v>0.3570075354349439</v>
      </c>
      <c r="AB3443" t="str">
        <f>HYPERLINK("Melting_Curves/meltCurve_Q15020_SART3.pdf", "Melting_Curves/meltCurve_Q15020_SART3.pdf")</f>
        <v>Melting_Curves/meltCurve_Q15020_SART3.pdf</v>
      </c>
    </row>
    <row r="3444" spans="1:28" x14ac:dyDescent="0.25">
      <c r="A3444" t="s">
        <v>3448</v>
      </c>
      <c r="B3444">
        <v>0.99673306730245903</v>
      </c>
      <c r="C3444">
        <v>0.88944087355615598</v>
      </c>
      <c r="D3444">
        <v>0.78451145113278598</v>
      </c>
      <c r="E3444">
        <v>0.28511020552382699</v>
      </c>
      <c r="F3444">
        <v>0.210305981670419</v>
      </c>
      <c r="G3444">
        <v>0.136219144865702</v>
      </c>
      <c r="H3444">
        <v>9.3123360425139995E-2</v>
      </c>
      <c r="I3444">
        <v>9.6686118512654698E-2</v>
      </c>
      <c r="J3444">
        <v>0.10879467554616901</v>
      </c>
      <c r="K3444">
        <v>8.8553222664699005E-2</v>
      </c>
      <c r="L3444">
        <v>1254.8224818506101</v>
      </c>
      <c r="M3444">
        <v>26.382943499708901</v>
      </c>
      <c r="N3444">
        <v>47.995902005167302</v>
      </c>
      <c r="O3444">
        <v>47.291151917605198</v>
      </c>
      <c r="P3444">
        <v>-0.12467098949418701</v>
      </c>
      <c r="Q3444">
        <v>0.10612389610610599</v>
      </c>
      <c r="R3444">
        <v>0.990328043238074</v>
      </c>
      <c r="S3444" t="s">
        <v>9896</v>
      </c>
      <c r="T3444" t="s">
        <v>12902</v>
      </c>
      <c r="U3444" t="s">
        <v>12902</v>
      </c>
      <c r="V3444" t="s">
        <v>12902</v>
      </c>
      <c r="W3444" t="s">
        <v>16305</v>
      </c>
      <c r="X3444">
        <v>23</v>
      </c>
      <c r="Y3444" t="s">
        <v>22629</v>
      </c>
      <c r="Z3444" t="s">
        <v>29019</v>
      </c>
      <c r="AA3444">
        <v>0.3384894382301365</v>
      </c>
      <c r="AB3444" t="str">
        <f>HYPERLINK("Melting_Curves/meltCurve_Q15021_NCAPD2.pdf", "Melting_Curves/meltCurve_Q15021_NCAPD2.pdf")</f>
        <v>Melting_Curves/meltCurve_Q15021_NCAPD2.pdf</v>
      </c>
    </row>
    <row r="3445" spans="1:28" x14ac:dyDescent="0.25">
      <c r="A3445" t="s">
        <v>3449</v>
      </c>
      <c r="B3445">
        <v>0.99673306730245903</v>
      </c>
      <c r="C3445">
        <v>1.05219455785645</v>
      </c>
      <c r="D3445">
        <v>1.3982991050781901</v>
      </c>
      <c r="E3445">
        <v>1.85023709598811</v>
      </c>
      <c r="F3445">
        <v>2.08088923353275</v>
      </c>
      <c r="G3445">
        <v>1.85255738793322</v>
      </c>
      <c r="H3445">
        <v>1.1217267552785</v>
      </c>
      <c r="I3445">
        <v>0.50164332604886497</v>
      </c>
      <c r="J3445">
        <v>0.23872249789387501</v>
      </c>
      <c r="K3445">
        <v>0.18914984464350201</v>
      </c>
      <c r="L3445">
        <v>15000</v>
      </c>
      <c r="M3445">
        <v>234.924324030029</v>
      </c>
      <c r="N3445">
        <v>64.002488615602601</v>
      </c>
      <c r="O3445">
        <v>63.845721513973203</v>
      </c>
      <c r="P3445">
        <v>-0.723098118941776</v>
      </c>
      <c r="Q3445">
        <v>0.21393033722627799</v>
      </c>
      <c r="R3445">
        <v>0.32069873134307603</v>
      </c>
      <c r="S3445" t="s">
        <v>9897</v>
      </c>
      <c r="T3445" t="s">
        <v>12902</v>
      </c>
      <c r="U3445" t="s">
        <v>12902</v>
      </c>
      <c r="V3445" t="s">
        <v>12902</v>
      </c>
      <c r="W3445" t="s">
        <v>16306</v>
      </c>
      <c r="X3445">
        <v>11</v>
      </c>
      <c r="Y3445" t="s">
        <v>22630</v>
      </c>
      <c r="Z3445" t="s">
        <v>29020</v>
      </c>
      <c r="AA3445">
        <v>0.83896460996949884</v>
      </c>
      <c r="AB3445" t="str">
        <f>HYPERLINK("Melting_Curves/meltCurve_Q15024_EXOSC7.pdf", "Melting_Curves/meltCurve_Q15024_EXOSC7.pdf")</f>
        <v>Melting_Curves/meltCurve_Q15024_EXOSC7.pdf</v>
      </c>
    </row>
    <row r="3446" spans="1:28" x14ac:dyDescent="0.25">
      <c r="A3446" t="s">
        <v>3450</v>
      </c>
      <c r="B3446">
        <v>0.99673306730245903</v>
      </c>
      <c r="C3446">
        <v>0.99010317444899498</v>
      </c>
      <c r="D3446">
        <v>1.05464103773297</v>
      </c>
      <c r="E3446">
        <v>1.3094563722913299</v>
      </c>
      <c r="F3446">
        <v>2.08427988109591</v>
      </c>
      <c r="G3446">
        <v>1.91317380649205</v>
      </c>
      <c r="H3446">
        <v>0.93251498861524096</v>
      </c>
      <c r="I3446">
        <v>0.23854310175236301</v>
      </c>
      <c r="J3446">
        <v>0.213336891895756</v>
      </c>
      <c r="K3446">
        <v>0.17543365514361101</v>
      </c>
      <c r="L3446">
        <v>6432.91510094347</v>
      </c>
      <c r="M3446">
        <v>103.389619420727</v>
      </c>
      <c r="N3446">
        <v>62.518169628769499</v>
      </c>
      <c r="O3446">
        <v>62.196854531481598</v>
      </c>
      <c r="P3446">
        <v>-0.33471166687109999</v>
      </c>
      <c r="Q3446">
        <v>0.19458015682527599</v>
      </c>
      <c r="R3446">
        <v>0.47147186445615402</v>
      </c>
      <c r="S3446" t="s">
        <v>9898</v>
      </c>
      <c r="T3446" t="s">
        <v>12902</v>
      </c>
      <c r="U3446" t="s">
        <v>12902</v>
      </c>
      <c r="V3446" t="s">
        <v>12902</v>
      </c>
      <c r="W3446" t="s">
        <v>16307</v>
      </c>
      <c r="X3446">
        <v>46</v>
      </c>
      <c r="Y3446" t="s">
        <v>22631</v>
      </c>
      <c r="Z3446" t="s">
        <v>29021</v>
      </c>
      <c r="AA3446">
        <v>0.79164572137350908</v>
      </c>
      <c r="AB3446" t="str">
        <f>HYPERLINK("Melting_Curves/meltCurve_Q15029_2_EFTUD2.pdf", "Melting_Curves/meltCurve_Q15029_2_EFTUD2.pdf")</f>
        <v>Melting_Curves/meltCurve_Q15029_2_EFTUD2.pdf</v>
      </c>
    </row>
    <row r="3447" spans="1:28" x14ac:dyDescent="0.25">
      <c r="A3447" t="s">
        <v>3451</v>
      </c>
      <c r="B3447">
        <v>0.99673306730245903</v>
      </c>
      <c r="C3447">
        <v>0.91422762900878896</v>
      </c>
      <c r="D3447">
        <v>0.80432455521408897</v>
      </c>
      <c r="E3447">
        <v>0.71261519278642704</v>
      </c>
      <c r="F3447">
        <v>0.18132718156755301</v>
      </c>
      <c r="G3447">
        <v>0.12953248486910399</v>
      </c>
      <c r="H3447">
        <v>7.9495337124289495E-2</v>
      </c>
      <c r="I3447">
        <v>7.6663743331848194E-2</v>
      </c>
      <c r="J3447">
        <v>8.4836826265395904E-2</v>
      </c>
      <c r="K3447">
        <v>7.1001818544858E-2</v>
      </c>
      <c r="L3447">
        <v>1204.75137889538</v>
      </c>
      <c r="M3447">
        <v>23.938991466877599</v>
      </c>
      <c r="N3447">
        <v>50.618415083812899</v>
      </c>
      <c r="O3447">
        <v>49.978668333303098</v>
      </c>
      <c r="P3447">
        <v>-0.11201252518075901</v>
      </c>
      <c r="Q3447">
        <v>6.4597638831107806E-2</v>
      </c>
      <c r="R3447">
        <v>0.97609118963028696</v>
      </c>
      <c r="S3447" t="s">
        <v>9899</v>
      </c>
      <c r="T3447" t="s">
        <v>12902</v>
      </c>
      <c r="U3447" t="s">
        <v>12902</v>
      </c>
      <c r="V3447" t="s">
        <v>12902</v>
      </c>
      <c r="W3447" t="s">
        <v>16308</v>
      </c>
      <c r="X3447">
        <v>29</v>
      </c>
      <c r="Y3447" t="s">
        <v>22632</v>
      </c>
      <c r="Z3447" t="s">
        <v>29022</v>
      </c>
      <c r="AA3447">
        <v>0.39570578252577282</v>
      </c>
      <c r="AB3447" t="str">
        <f>HYPERLINK("Melting_Curves/meltCurve_Q15031_LARS2.pdf", "Melting_Curves/meltCurve_Q15031_LARS2.pdf")</f>
        <v>Melting_Curves/meltCurve_Q15031_LARS2.pdf</v>
      </c>
    </row>
    <row r="3448" spans="1:28" x14ac:dyDescent="0.25">
      <c r="A3448" t="s">
        <v>3452</v>
      </c>
      <c r="B3448">
        <v>0.99673306730245903</v>
      </c>
      <c r="C3448">
        <v>0.98851576727636103</v>
      </c>
      <c r="D3448">
        <v>0.75438846181213703</v>
      </c>
      <c r="E3448">
        <v>0.38444512628900401</v>
      </c>
      <c r="F3448">
        <v>0.244215601378271</v>
      </c>
      <c r="G3448">
        <v>0.14074119598753199</v>
      </c>
      <c r="H3448">
        <v>8.2853072442766504E-2</v>
      </c>
      <c r="I3448">
        <v>5.4438579630531198E-2</v>
      </c>
      <c r="J3448">
        <v>3.4752205844687203E-2</v>
      </c>
      <c r="K3448">
        <v>2.74375411942583E-2</v>
      </c>
      <c r="L3448">
        <v>937.22617787441902</v>
      </c>
      <c r="M3448">
        <v>19.3053889401105</v>
      </c>
      <c r="N3448">
        <v>48.8276508444605</v>
      </c>
      <c r="O3448">
        <v>48.035479381333701</v>
      </c>
      <c r="P3448">
        <v>-9.5208723589946601E-2</v>
      </c>
      <c r="Q3448">
        <v>5.2445778244334697E-2</v>
      </c>
      <c r="R3448">
        <v>0.99277742646337497</v>
      </c>
      <c r="S3448" t="s">
        <v>9900</v>
      </c>
      <c r="T3448" t="s">
        <v>12902</v>
      </c>
      <c r="U3448" t="s">
        <v>12902</v>
      </c>
      <c r="V3448" t="s">
        <v>12902</v>
      </c>
      <c r="W3448" t="s">
        <v>16309</v>
      </c>
      <c r="X3448">
        <v>4</v>
      </c>
      <c r="Y3448" t="s">
        <v>22633</v>
      </c>
      <c r="Z3448" t="s">
        <v>29023</v>
      </c>
      <c r="AA3448">
        <v>0.33676920853897391</v>
      </c>
      <c r="AB3448" t="str">
        <f>HYPERLINK("Melting_Curves/meltCurve_Q15036_2_SNX17.pdf", "Melting_Curves/meltCurve_Q15036_2_SNX17.pdf")</f>
        <v>Melting_Curves/meltCurve_Q15036_2_SNX17.pdf</v>
      </c>
    </row>
    <row r="3449" spans="1:28" x14ac:dyDescent="0.25">
      <c r="A3449" t="s">
        <v>3453</v>
      </c>
      <c r="B3449">
        <v>0.99673306730245903</v>
      </c>
      <c r="C3449">
        <v>0.92678437232978095</v>
      </c>
      <c r="D3449">
        <v>0.68205172240632195</v>
      </c>
      <c r="E3449">
        <v>0.314199510768085</v>
      </c>
      <c r="F3449">
        <v>0.27829307446817197</v>
      </c>
      <c r="G3449">
        <v>0.17469818257158901</v>
      </c>
      <c r="H3449">
        <v>0.120093451767378</v>
      </c>
      <c r="I3449">
        <v>0.10253215939259799</v>
      </c>
      <c r="J3449">
        <v>0.12409695172005999</v>
      </c>
      <c r="K3449">
        <v>0.10201242886496099</v>
      </c>
      <c r="L3449">
        <v>978.38939951286204</v>
      </c>
      <c r="M3449">
        <v>20.710973018411501</v>
      </c>
      <c r="N3449">
        <v>47.898363658216901</v>
      </c>
      <c r="O3449">
        <v>46.806348188054699</v>
      </c>
      <c r="P3449">
        <v>-9.6923380944063803E-2</v>
      </c>
      <c r="Q3449">
        <v>0.123845915262856</v>
      </c>
      <c r="R3449">
        <v>0.99030906369503702</v>
      </c>
      <c r="S3449" t="s">
        <v>9901</v>
      </c>
      <c r="T3449" t="s">
        <v>12902</v>
      </c>
      <c r="U3449" t="s">
        <v>12902</v>
      </c>
      <c r="V3449" t="s">
        <v>12902</v>
      </c>
      <c r="W3449" t="s">
        <v>16310</v>
      </c>
      <c r="X3449">
        <v>17</v>
      </c>
      <c r="Y3449" t="s">
        <v>22634</v>
      </c>
      <c r="Z3449" t="s">
        <v>29024</v>
      </c>
      <c r="AA3449">
        <v>0.34707000025205348</v>
      </c>
      <c r="AB3449" t="str">
        <f>HYPERLINK("Melting_Curves/meltCurve_Q15042_RAB3GAP1.pdf", "Melting_Curves/meltCurve_Q15042_RAB3GAP1.pdf")</f>
        <v>Melting_Curves/meltCurve_Q15042_RAB3GAP1.pdf</v>
      </c>
    </row>
    <row r="3450" spans="1:28" x14ac:dyDescent="0.25">
      <c r="A3450" t="s">
        <v>3454</v>
      </c>
      <c r="B3450">
        <v>0.99673306730245903</v>
      </c>
      <c r="C3450">
        <v>1.0078591544147499</v>
      </c>
      <c r="D3450">
        <v>0.978407372656103</v>
      </c>
      <c r="E3450">
        <v>0.88508095983755497</v>
      </c>
      <c r="F3450">
        <v>0.82932033878759304</v>
      </c>
      <c r="G3450">
        <v>0.74161753578186396</v>
      </c>
      <c r="H3450">
        <v>0.60685562931483505</v>
      </c>
      <c r="I3450">
        <v>0.69907715875087095</v>
      </c>
      <c r="J3450">
        <v>0.70551436308571203</v>
      </c>
      <c r="K3450">
        <v>0.62164022755271597</v>
      </c>
      <c r="L3450">
        <v>904.55249472827097</v>
      </c>
      <c r="M3450">
        <v>17.182904188932099</v>
      </c>
      <c r="O3450">
        <v>51.945100804922703</v>
      </c>
      <c r="P3450">
        <v>-2.9068185797532099E-2</v>
      </c>
      <c r="Q3450">
        <v>0.648520381642118</v>
      </c>
      <c r="R3450">
        <v>0.94611972893918195</v>
      </c>
      <c r="S3450" t="s">
        <v>9902</v>
      </c>
      <c r="T3450" t="s">
        <v>12902</v>
      </c>
      <c r="U3450" t="s">
        <v>12902</v>
      </c>
      <c r="V3450" t="s">
        <v>12902</v>
      </c>
      <c r="W3450" t="s">
        <v>16311</v>
      </c>
      <c r="X3450">
        <v>2</v>
      </c>
      <c r="Y3450" t="s">
        <v>22635</v>
      </c>
      <c r="Z3450" t="s">
        <v>29025</v>
      </c>
      <c r="AA3450">
        <v>0.80288439518401811</v>
      </c>
      <c r="AB3450" t="str">
        <f>HYPERLINK("Melting_Curves/meltCurve_Q15043_2_SLC39A14.pdf", "Melting_Curves/meltCurve_Q15043_2_SLC39A14.pdf")</f>
        <v>Melting_Curves/meltCurve_Q15043_2_SLC39A14.pdf</v>
      </c>
    </row>
    <row r="3451" spans="1:28" x14ac:dyDescent="0.25">
      <c r="A3451" t="s">
        <v>3455</v>
      </c>
      <c r="B3451">
        <v>0.99673306730245903</v>
      </c>
      <c r="C3451">
        <v>0.97176393309765896</v>
      </c>
      <c r="D3451">
        <v>0.93549539345609101</v>
      </c>
      <c r="E3451">
        <v>1.0118660826679799</v>
      </c>
      <c r="F3451">
        <v>0.77501919275427</v>
      </c>
      <c r="G3451">
        <v>0.22077126281904599</v>
      </c>
      <c r="H3451">
        <v>0.123704420822666</v>
      </c>
      <c r="I3451">
        <v>9.4847984350607706E-2</v>
      </c>
      <c r="J3451">
        <v>0.10873766343152701</v>
      </c>
      <c r="K3451">
        <v>8.6475839719758293E-2</v>
      </c>
      <c r="L3451">
        <v>2503.0243335272398</v>
      </c>
      <c r="M3451">
        <v>45.941718015326202</v>
      </c>
      <c r="N3451">
        <v>54.752080228546902</v>
      </c>
      <c r="O3451">
        <v>54.379674733206897</v>
      </c>
      <c r="P3451">
        <v>-0.18983734221203</v>
      </c>
      <c r="Q3451">
        <v>0.10118464283992799</v>
      </c>
      <c r="R3451">
        <v>0.99648080210444201</v>
      </c>
      <c r="S3451" t="s">
        <v>9903</v>
      </c>
      <c r="T3451" t="s">
        <v>12902</v>
      </c>
      <c r="U3451" t="s">
        <v>12902</v>
      </c>
      <c r="V3451" t="s">
        <v>12902</v>
      </c>
      <c r="W3451" t="s">
        <v>16312</v>
      </c>
      <c r="X3451">
        <v>23</v>
      </c>
      <c r="Y3451" t="s">
        <v>22636</v>
      </c>
      <c r="Z3451" t="s">
        <v>29026</v>
      </c>
      <c r="AA3451">
        <v>0.53764968653418233</v>
      </c>
      <c r="AB3451" t="str">
        <f>HYPERLINK("Melting_Curves/meltCurve_Q15046_KARS.pdf", "Melting_Curves/meltCurve_Q15046_KARS.pdf")</f>
        <v>Melting_Curves/meltCurve_Q15046_KARS.pdf</v>
      </c>
    </row>
    <row r="3452" spans="1:28" x14ac:dyDescent="0.25">
      <c r="A3452" t="s">
        <v>3456</v>
      </c>
      <c r="B3452">
        <v>0.99673306730245903</v>
      </c>
      <c r="C3452">
        <v>0.898683750331426</v>
      </c>
      <c r="D3452">
        <v>0.61962432587384697</v>
      </c>
      <c r="E3452">
        <v>0.33846555177915</v>
      </c>
      <c r="F3452">
        <v>0.22618976229914201</v>
      </c>
      <c r="G3452">
        <v>0.14277258307390001</v>
      </c>
      <c r="H3452">
        <v>8.7973011462516904E-2</v>
      </c>
      <c r="I3452">
        <v>8.7518722560404202E-2</v>
      </c>
      <c r="J3452">
        <v>0.122243730149191</v>
      </c>
      <c r="K3452">
        <v>0.12303872049506701</v>
      </c>
      <c r="L3452">
        <v>915.51528077045498</v>
      </c>
      <c r="M3452">
        <v>19.499225030878002</v>
      </c>
      <c r="N3452">
        <v>47.545479626241303</v>
      </c>
      <c r="O3452">
        <v>46.465917607954196</v>
      </c>
      <c r="P3452">
        <v>-9.3571646198729097E-2</v>
      </c>
      <c r="Q3452">
        <v>0.108121280209029</v>
      </c>
      <c r="R3452">
        <v>0.99552911476574601</v>
      </c>
      <c r="S3452" t="s">
        <v>9904</v>
      </c>
      <c r="T3452" t="s">
        <v>12902</v>
      </c>
      <c r="U3452" t="s">
        <v>12902</v>
      </c>
      <c r="V3452" t="s">
        <v>12902</v>
      </c>
      <c r="W3452" t="s">
        <v>16313</v>
      </c>
      <c r="X3452">
        <v>6</v>
      </c>
      <c r="Y3452" t="s">
        <v>22637</v>
      </c>
      <c r="Z3452" t="s">
        <v>29027</v>
      </c>
      <c r="AA3452">
        <v>0.32861781524972777</v>
      </c>
      <c r="AB3452" t="str">
        <f>HYPERLINK("Melting_Curves/meltCurve_Q15047_3_SETDB1.pdf", "Melting_Curves/meltCurve_Q15047_3_SETDB1.pdf")</f>
        <v>Melting_Curves/meltCurve_Q15047_3_SETDB1.pdf</v>
      </c>
    </row>
    <row r="3453" spans="1:28" x14ac:dyDescent="0.25">
      <c r="A3453" t="s">
        <v>3457</v>
      </c>
      <c r="B3453">
        <v>0.99673306730245903</v>
      </c>
      <c r="C3453">
        <v>1.0335734344088401</v>
      </c>
      <c r="D3453">
        <v>1.2134346737583701</v>
      </c>
      <c r="E3453">
        <v>1.2738801767726999</v>
      </c>
      <c r="F3453">
        <v>1.0086512003024199</v>
      </c>
      <c r="G3453">
        <v>0.75844512439233502</v>
      </c>
      <c r="H3453">
        <v>0.62138092214093898</v>
      </c>
      <c r="I3453">
        <v>0.62500762332288995</v>
      </c>
      <c r="J3453">
        <v>0.99948471123675897</v>
      </c>
      <c r="K3453">
        <v>1.1251718495871501</v>
      </c>
      <c r="L3453">
        <v>13681.0201495849</v>
      </c>
      <c r="M3453">
        <v>250</v>
      </c>
      <c r="O3453">
        <v>54.720578609592799</v>
      </c>
      <c r="P3453">
        <v>-0.198854447871013</v>
      </c>
      <c r="Q3453">
        <v>0.82589711302497004</v>
      </c>
      <c r="R3453">
        <v>0.29856339931106601</v>
      </c>
      <c r="S3453" t="s">
        <v>9905</v>
      </c>
      <c r="T3453" t="s">
        <v>12902</v>
      </c>
      <c r="U3453" t="s">
        <v>12902</v>
      </c>
      <c r="V3453" t="s">
        <v>12902</v>
      </c>
      <c r="W3453" t="s">
        <v>16314</v>
      </c>
      <c r="X3453">
        <v>3</v>
      </c>
      <c r="Y3453" t="s">
        <v>22638</v>
      </c>
      <c r="Z3453" t="s">
        <v>29028</v>
      </c>
      <c r="AA3453">
        <v>0.91136399852465444</v>
      </c>
      <c r="AB3453" t="str">
        <f>HYPERLINK("Melting_Curves/meltCurve_Q15050_RRS1.pdf", "Melting_Curves/meltCurve_Q15050_RRS1.pdf")</f>
        <v>Melting_Curves/meltCurve_Q15050_RRS1.pdf</v>
      </c>
    </row>
    <row r="3454" spans="1:28" x14ac:dyDescent="0.25">
      <c r="A3454" t="s">
        <v>3458</v>
      </c>
      <c r="B3454">
        <v>0.99673306730245903</v>
      </c>
      <c r="C3454">
        <v>0.96511409854216201</v>
      </c>
      <c r="D3454">
        <v>1.0017036160095401</v>
      </c>
      <c r="E3454">
        <v>0.77674618049176103</v>
      </c>
      <c r="F3454">
        <v>0.48561488674630898</v>
      </c>
      <c r="G3454">
        <v>0.31524367869381897</v>
      </c>
      <c r="H3454">
        <v>0.21411614261731901</v>
      </c>
      <c r="I3454">
        <v>0.330062087664513</v>
      </c>
      <c r="J3454">
        <v>0.45213622912268697</v>
      </c>
      <c r="K3454">
        <v>0.48709427213001799</v>
      </c>
      <c r="L3454">
        <v>1793.9842125305599</v>
      </c>
      <c r="M3454">
        <v>35.464860101461198</v>
      </c>
      <c r="N3454">
        <v>52.482568359076403</v>
      </c>
      <c r="O3454">
        <v>50.424812560686</v>
      </c>
      <c r="P3454">
        <v>-0.112300846254489</v>
      </c>
      <c r="Q3454">
        <v>0.36131368821360399</v>
      </c>
      <c r="R3454">
        <v>0.93617857338985799</v>
      </c>
      <c r="S3454" t="s">
        <v>9906</v>
      </c>
      <c r="T3454" t="s">
        <v>12902</v>
      </c>
      <c r="U3454" t="s">
        <v>12902</v>
      </c>
      <c r="V3454" t="s">
        <v>12902</v>
      </c>
      <c r="W3454" t="s">
        <v>16315</v>
      </c>
      <c r="X3454">
        <v>20</v>
      </c>
      <c r="Y3454" t="s">
        <v>22639</v>
      </c>
      <c r="Z3454" t="s">
        <v>29029</v>
      </c>
      <c r="AA3454">
        <v>0.58950684163607647</v>
      </c>
      <c r="AB3454" t="str">
        <f>HYPERLINK("Melting_Curves/meltCurve_Q15056_EIF4H.pdf", "Melting_Curves/meltCurve_Q15056_EIF4H.pdf")</f>
        <v>Melting_Curves/meltCurve_Q15056_EIF4H.pdf</v>
      </c>
    </row>
    <row r="3455" spans="1:28" x14ac:dyDescent="0.25">
      <c r="A3455" t="s">
        <v>3459</v>
      </c>
      <c r="B3455">
        <v>0.99673306730245903</v>
      </c>
      <c r="C3455">
        <v>1.0182987572995199</v>
      </c>
      <c r="D3455">
        <v>0.89695061039754898</v>
      </c>
      <c r="E3455">
        <v>0.77445576602094202</v>
      </c>
      <c r="F3455">
        <v>0.60725851537365905</v>
      </c>
      <c r="G3455">
        <v>0.48918373949445598</v>
      </c>
      <c r="H3455">
        <v>0.44688546010333702</v>
      </c>
      <c r="I3455">
        <v>0.48674159088158703</v>
      </c>
      <c r="J3455">
        <v>0.49519364627386497</v>
      </c>
      <c r="K3455">
        <v>0.49746483946748399</v>
      </c>
      <c r="L3455">
        <v>1056.8031911473799</v>
      </c>
      <c r="M3455">
        <v>21.103256399473501</v>
      </c>
      <c r="N3455">
        <v>58.2300600672407</v>
      </c>
      <c r="O3455">
        <v>49.634564034119002</v>
      </c>
      <c r="P3455">
        <v>-5.5917233771298397E-2</v>
      </c>
      <c r="Q3455">
        <v>0.47394763814519297</v>
      </c>
      <c r="R3455">
        <v>0.988091311686499</v>
      </c>
      <c r="S3455" t="s">
        <v>9907</v>
      </c>
      <c r="T3455" t="s">
        <v>12902</v>
      </c>
      <c r="U3455" t="s">
        <v>12902</v>
      </c>
      <c r="V3455" t="s">
        <v>12902</v>
      </c>
      <c r="W3455" t="s">
        <v>16316</v>
      </c>
      <c r="X3455">
        <v>20</v>
      </c>
      <c r="Y3455" t="s">
        <v>22639</v>
      </c>
      <c r="Z3455" t="s">
        <v>29030</v>
      </c>
      <c r="AA3455">
        <v>0.65725298585182779</v>
      </c>
      <c r="AB3455" t="str">
        <f>HYPERLINK("Melting_Curves/meltCurve_Q15056_2_EIF4H.pdf", "Melting_Curves/meltCurve_Q15056_2_EIF4H.pdf")</f>
        <v>Melting_Curves/meltCurve_Q15056_2_EIF4H.pdf</v>
      </c>
    </row>
    <row r="3456" spans="1:28" x14ac:dyDescent="0.25">
      <c r="A3456" t="s">
        <v>3460</v>
      </c>
      <c r="B3456">
        <v>0.99673306730245903</v>
      </c>
      <c r="C3456">
        <v>0.95381502780871397</v>
      </c>
      <c r="D3456">
        <v>0.928082257862058</v>
      </c>
      <c r="E3456">
        <v>0.65129837838247095</v>
      </c>
      <c r="F3456">
        <v>0.31051021756660102</v>
      </c>
      <c r="G3456">
        <v>0.213797315972725</v>
      </c>
      <c r="H3456">
        <v>0.14510063208874599</v>
      </c>
      <c r="I3456">
        <v>0.14454748902918399</v>
      </c>
      <c r="J3456">
        <v>0.18455528354336001</v>
      </c>
      <c r="K3456">
        <v>0.134496038084297</v>
      </c>
      <c r="L3456">
        <v>1255.0266768272099</v>
      </c>
      <c r="M3456">
        <v>24.965509687771199</v>
      </c>
      <c r="N3456">
        <v>51.001031574764703</v>
      </c>
      <c r="O3456">
        <v>49.951210628236801</v>
      </c>
      <c r="P3456">
        <v>-0.106166254197768</v>
      </c>
      <c r="Q3456">
        <v>0.15033802157026699</v>
      </c>
      <c r="R3456">
        <v>0.99728163992943497</v>
      </c>
      <c r="S3456" t="s">
        <v>9908</v>
      </c>
      <c r="T3456" t="s">
        <v>12902</v>
      </c>
      <c r="U3456" t="s">
        <v>12902</v>
      </c>
      <c r="V3456" t="s">
        <v>12902</v>
      </c>
      <c r="W3456" t="s">
        <v>16317</v>
      </c>
      <c r="X3456">
        <v>13</v>
      </c>
      <c r="Y3456" t="s">
        <v>22640</v>
      </c>
      <c r="Z3456" t="s">
        <v>29031</v>
      </c>
      <c r="AA3456">
        <v>0.44885397554308343</v>
      </c>
      <c r="AB3456" t="str">
        <f>HYPERLINK("Melting_Curves/meltCurve_Q15057_ACAP2.pdf", "Melting_Curves/meltCurve_Q15057_ACAP2.pdf")</f>
        <v>Melting_Curves/meltCurve_Q15057_ACAP2.pdf</v>
      </c>
    </row>
    <row r="3457" spans="1:28" x14ac:dyDescent="0.25">
      <c r="A3457" t="s">
        <v>3461</v>
      </c>
      <c r="B3457">
        <v>0.99673306730245903</v>
      </c>
      <c r="C3457">
        <v>0.95288149041040704</v>
      </c>
      <c r="D3457">
        <v>0.84040065090122695</v>
      </c>
      <c r="E3457">
        <v>0.51721744471945597</v>
      </c>
      <c r="F3457">
        <v>0.31858110048875199</v>
      </c>
      <c r="G3457">
        <v>0.249581690085937</v>
      </c>
      <c r="H3457">
        <v>0.168931269450566</v>
      </c>
      <c r="I3457">
        <v>0.16308398004613101</v>
      </c>
      <c r="J3457">
        <v>0.16556027346840599</v>
      </c>
      <c r="K3457">
        <v>0.14619892696790501</v>
      </c>
      <c r="L3457">
        <v>953.54427626221502</v>
      </c>
      <c r="M3457">
        <v>19.4118045571579</v>
      </c>
      <c r="N3457">
        <v>50.108014355461101</v>
      </c>
      <c r="O3457">
        <v>48.609483563961902</v>
      </c>
      <c r="P3457">
        <v>-8.3988507703062307E-2</v>
      </c>
      <c r="Q3457">
        <v>0.15876174691818501</v>
      </c>
      <c r="R3457">
        <v>0.99779913621066496</v>
      </c>
      <c r="S3457" t="s">
        <v>9909</v>
      </c>
      <c r="T3457" t="s">
        <v>12902</v>
      </c>
      <c r="U3457" t="s">
        <v>12902</v>
      </c>
      <c r="V3457" t="s">
        <v>12902</v>
      </c>
      <c r="W3457" t="s">
        <v>16318</v>
      </c>
      <c r="X3457">
        <v>9</v>
      </c>
      <c r="Y3457" t="s">
        <v>22641</v>
      </c>
      <c r="Z3457" t="s">
        <v>29032</v>
      </c>
      <c r="AA3457">
        <v>0.42705276418877153</v>
      </c>
      <c r="AB3457" t="str">
        <f>HYPERLINK("Melting_Curves/meltCurve_Q15059_BRD3.pdf", "Melting_Curves/meltCurve_Q15059_BRD3.pdf")</f>
        <v>Melting_Curves/meltCurve_Q15059_BRD3.pdf</v>
      </c>
    </row>
    <row r="3458" spans="1:28" x14ac:dyDescent="0.25">
      <c r="A3458" t="s">
        <v>3462</v>
      </c>
      <c r="B3458">
        <v>0.99673306730245903</v>
      </c>
      <c r="C3458">
        <v>1.0311359549338099</v>
      </c>
      <c r="D3458">
        <v>1.3340774863178899</v>
      </c>
      <c r="E3458">
        <v>1.5401186886023099</v>
      </c>
      <c r="F3458">
        <v>1.8141150604148499</v>
      </c>
      <c r="G3458">
        <v>1.0984105639736601</v>
      </c>
      <c r="H3458">
        <v>0.32243424931554499</v>
      </c>
      <c r="I3458">
        <v>0.214352889942516</v>
      </c>
      <c r="J3458">
        <v>0.18221334855291199</v>
      </c>
      <c r="K3458">
        <v>0.14774578190509999</v>
      </c>
      <c r="L3458">
        <v>13711.710632619101</v>
      </c>
      <c r="M3458">
        <v>227.091309376103</v>
      </c>
      <c r="N3458">
        <v>60.499823910154497</v>
      </c>
      <c r="O3458">
        <v>60.375041554393299</v>
      </c>
      <c r="P3458">
        <v>-0.76972491500877405</v>
      </c>
      <c r="Q3458">
        <v>0.181436334908297</v>
      </c>
      <c r="R3458">
        <v>0.68023338023539304</v>
      </c>
      <c r="S3458" t="s">
        <v>9910</v>
      </c>
      <c r="T3458" t="s">
        <v>12902</v>
      </c>
      <c r="U3458" t="s">
        <v>12902</v>
      </c>
      <c r="V3458" t="s">
        <v>12902</v>
      </c>
      <c r="W3458" t="s">
        <v>16319</v>
      </c>
      <c r="X3458">
        <v>16</v>
      </c>
      <c r="Y3458" t="s">
        <v>22642</v>
      </c>
      <c r="Z3458" t="s">
        <v>29033</v>
      </c>
      <c r="AA3458">
        <v>0.7376115207152274</v>
      </c>
      <c r="AB3458" t="str">
        <f>HYPERLINK("Melting_Curves/meltCurve_Q15061_WDR43.pdf", "Melting_Curves/meltCurve_Q15061_WDR43.pdf")</f>
        <v>Melting_Curves/meltCurve_Q15061_WDR43.pdf</v>
      </c>
    </row>
    <row r="3459" spans="1:28" x14ac:dyDescent="0.25">
      <c r="A3459" t="s">
        <v>3463</v>
      </c>
      <c r="B3459">
        <v>0.99673306730245903</v>
      </c>
      <c r="C3459">
        <v>0.98424782563021496</v>
      </c>
      <c r="D3459">
        <v>1.0365788209620601</v>
      </c>
      <c r="E3459">
        <v>1.0749825375909201</v>
      </c>
      <c r="F3459">
        <v>1.0060120933476</v>
      </c>
      <c r="G3459">
        <v>0.85517427959006997</v>
      </c>
      <c r="H3459">
        <v>0.65435596765046</v>
      </c>
      <c r="I3459">
        <v>0.614327131013364</v>
      </c>
      <c r="J3459">
        <v>0.26156021868704499</v>
      </c>
      <c r="K3459">
        <v>0.109969696162935</v>
      </c>
      <c r="L3459">
        <v>1176.95309804453</v>
      </c>
      <c r="M3459">
        <v>18.4222335109536</v>
      </c>
      <c r="N3459">
        <v>63.887645102472497</v>
      </c>
      <c r="O3459">
        <v>63.149109891513604</v>
      </c>
      <c r="P3459">
        <v>-7.2934765094377102E-2</v>
      </c>
      <c r="Q3459">
        <v>0</v>
      </c>
      <c r="R3459">
        <v>0.96674887517478403</v>
      </c>
      <c r="S3459" t="s">
        <v>9911</v>
      </c>
      <c r="T3459" t="s">
        <v>12902</v>
      </c>
      <c r="U3459" t="s">
        <v>12902</v>
      </c>
      <c r="V3459" t="s">
        <v>12902</v>
      </c>
      <c r="W3459" t="s">
        <v>16320</v>
      </c>
      <c r="X3459">
        <v>27</v>
      </c>
      <c r="Y3459" t="s">
        <v>22643</v>
      </c>
      <c r="Z3459" t="s">
        <v>29034</v>
      </c>
      <c r="AA3459">
        <v>0.78857892705953225</v>
      </c>
      <c r="AB3459" t="str">
        <f>HYPERLINK("Melting_Curves/meltCurve_Q15067_2_ACOX1.pdf", "Melting_Curves/meltCurve_Q15067_2_ACOX1.pdf")</f>
        <v>Melting_Curves/meltCurve_Q15067_2_ACOX1.pdf</v>
      </c>
    </row>
    <row r="3460" spans="1:28" x14ac:dyDescent="0.25">
      <c r="A3460" t="s">
        <v>3464</v>
      </c>
      <c r="B3460">
        <v>0.99673306730245903</v>
      </c>
      <c r="C3460">
        <v>1.00070309479579</v>
      </c>
      <c r="D3460">
        <v>0.94739093532683905</v>
      </c>
      <c r="E3460">
        <v>0.85376740317768496</v>
      </c>
      <c r="F3460">
        <v>0.74220704293703899</v>
      </c>
      <c r="G3460">
        <v>0.63118299070668604</v>
      </c>
      <c r="H3460">
        <v>0.60385699310498198</v>
      </c>
      <c r="I3460">
        <v>0.97228437211371599</v>
      </c>
      <c r="J3460">
        <v>1.31502999857664</v>
      </c>
      <c r="K3460">
        <v>1.2201498063248299</v>
      </c>
      <c r="L3460">
        <v>15000</v>
      </c>
      <c r="M3460">
        <v>229.21168440437199</v>
      </c>
      <c r="O3460">
        <v>65.436684268874103</v>
      </c>
      <c r="P3460">
        <v>0.23458809771810399</v>
      </c>
      <c r="Q3460">
        <v>1.26788639402668</v>
      </c>
      <c r="R3460">
        <v>0.190702704421778</v>
      </c>
      <c r="S3460" t="s">
        <v>9912</v>
      </c>
      <c r="T3460" t="s">
        <v>12902</v>
      </c>
      <c r="U3460" t="s">
        <v>12902</v>
      </c>
      <c r="V3460" t="s">
        <v>12902</v>
      </c>
      <c r="W3460" t="s">
        <v>16321</v>
      </c>
      <c r="X3460">
        <v>114</v>
      </c>
      <c r="Y3460" t="s">
        <v>22644</v>
      </c>
      <c r="Z3460" t="s">
        <v>29035</v>
      </c>
      <c r="AA3460">
        <v>1.0406670398794611</v>
      </c>
      <c r="AB3460" t="str">
        <f>HYPERLINK("Melting_Curves/meltCurve_Q15075_EEA1.pdf", "Melting_Curves/meltCurve_Q15075_EEA1.pdf")</f>
        <v>Melting_Curves/meltCurve_Q15075_EEA1.pdf</v>
      </c>
    </row>
    <row r="3461" spans="1:28" x14ac:dyDescent="0.25">
      <c r="A3461" t="s">
        <v>3465</v>
      </c>
      <c r="B3461">
        <v>0.99673306730245903</v>
      </c>
      <c r="C3461">
        <v>1.0013235828054501</v>
      </c>
      <c r="D3461">
        <v>0.84046056967709404</v>
      </c>
      <c r="E3461">
        <v>0.61058939572752602</v>
      </c>
      <c r="F3461">
        <v>0.27984957512067199</v>
      </c>
      <c r="G3461">
        <v>0.137574464948782</v>
      </c>
      <c r="H3461">
        <v>8.0043080114591297E-2</v>
      </c>
      <c r="I3461">
        <v>6.9055551290665207E-2</v>
      </c>
      <c r="J3461">
        <v>7.5309623566979803E-2</v>
      </c>
      <c r="K3461">
        <v>7.5449766004148294E-2</v>
      </c>
      <c r="L3461">
        <v>1027.0592582796601</v>
      </c>
      <c r="M3461">
        <v>20.456247250516999</v>
      </c>
      <c r="N3461">
        <v>50.5371727906372</v>
      </c>
      <c r="O3461">
        <v>49.735187238490099</v>
      </c>
      <c r="P3461">
        <v>-9.6408012363129694E-2</v>
      </c>
      <c r="Q3461">
        <v>6.2442343223678497E-2</v>
      </c>
      <c r="R3461">
        <v>0.99807013169742698</v>
      </c>
      <c r="S3461" t="s">
        <v>9913</v>
      </c>
      <c r="T3461" t="s">
        <v>12902</v>
      </c>
      <c r="U3461" t="s">
        <v>12902</v>
      </c>
      <c r="V3461" t="s">
        <v>12902</v>
      </c>
      <c r="W3461" t="s">
        <v>16322</v>
      </c>
      <c r="X3461">
        <v>11</v>
      </c>
      <c r="Y3461" t="s">
        <v>22645</v>
      </c>
      <c r="Z3461" t="s">
        <v>29036</v>
      </c>
      <c r="AA3461">
        <v>0.39393403152784839</v>
      </c>
      <c r="AB3461" t="str">
        <f>HYPERLINK("Melting_Curves/meltCurve_Q15102_PAFAH1B3.pdf", "Melting_Curves/meltCurve_Q15102_PAFAH1B3.pdf")</f>
        <v>Melting_Curves/meltCurve_Q15102_PAFAH1B3.pdf</v>
      </c>
    </row>
    <row r="3462" spans="1:28" x14ac:dyDescent="0.25">
      <c r="A3462" t="s">
        <v>3466</v>
      </c>
      <c r="B3462">
        <v>0.99673306730245903</v>
      </c>
      <c r="C3462">
        <v>0.976723188456317</v>
      </c>
      <c r="D3462">
        <v>0.91291712678095505</v>
      </c>
      <c r="E3462">
        <v>0.82346765079647999</v>
      </c>
      <c r="F3462">
        <v>0.30459066171240201</v>
      </c>
      <c r="G3462">
        <v>0.19393882189554601</v>
      </c>
      <c r="H3462">
        <v>0.11098420151444</v>
      </c>
      <c r="I3462">
        <v>8.9096608877910502E-2</v>
      </c>
      <c r="J3462">
        <v>8.5560865316267595E-2</v>
      </c>
      <c r="K3462">
        <v>7.3454668852564298E-2</v>
      </c>
      <c r="L3462">
        <v>1618.6264801429199</v>
      </c>
      <c r="M3462">
        <v>31.4249154912821</v>
      </c>
      <c r="N3462">
        <v>51.855558409468301</v>
      </c>
      <c r="O3462">
        <v>51.300531962002403</v>
      </c>
      <c r="P3462">
        <v>-0.13859007264739501</v>
      </c>
      <c r="Q3462">
        <v>9.5023498139398893E-2</v>
      </c>
      <c r="R3462">
        <v>0.99312167237378102</v>
      </c>
      <c r="S3462" t="s">
        <v>9914</v>
      </c>
      <c r="T3462" t="s">
        <v>12902</v>
      </c>
      <c r="U3462" t="s">
        <v>12902</v>
      </c>
      <c r="V3462" t="s">
        <v>12902</v>
      </c>
      <c r="W3462" t="s">
        <v>16323</v>
      </c>
      <c r="X3462">
        <v>12</v>
      </c>
      <c r="Y3462" t="s">
        <v>22646</v>
      </c>
      <c r="Z3462" t="s">
        <v>29037</v>
      </c>
      <c r="AA3462">
        <v>0.44739434025026098</v>
      </c>
      <c r="AB3462" t="str">
        <f>HYPERLINK("Melting_Curves/meltCurve_Q15118_PDK1.pdf", "Melting_Curves/meltCurve_Q15118_PDK1.pdf")</f>
        <v>Melting_Curves/meltCurve_Q15118_PDK1.pdf</v>
      </c>
    </row>
    <row r="3463" spans="1:28" x14ac:dyDescent="0.25">
      <c r="A3463" t="s">
        <v>3467</v>
      </c>
      <c r="B3463">
        <v>0.99673306730245903</v>
      </c>
      <c r="C3463">
        <v>0.95604265328540805</v>
      </c>
      <c r="D3463">
        <v>0.95352871474724099</v>
      </c>
      <c r="E3463">
        <v>0.96650643192292796</v>
      </c>
      <c r="F3463">
        <v>0.56148866686049403</v>
      </c>
      <c r="G3463">
        <v>0.21198767431107901</v>
      </c>
      <c r="H3463">
        <v>0.110382100092036</v>
      </c>
      <c r="I3463">
        <v>7.9316984434379303E-2</v>
      </c>
      <c r="J3463">
        <v>0.10112888066935601</v>
      </c>
      <c r="K3463">
        <v>8.6837685294894398E-2</v>
      </c>
      <c r="L3463">
        <v>1823.6417138740601</v>
      </c>
      <c r="M3463">
        <v>34.153651449211502</v>
      </c>
      <c r="N3463">
        <v>53.716147843744899</v>
      </c>
      <c r="O3463">
        <v>53.213165606493398</v>
      </c>
      <c r="P3463">
        <v>-0.14564874430923699</v>
      </c>
      <c r="Q3463">
        <v>9.2290357948326004E-2</v>
      </c>
      <c r="R3463">
        <v>0.99669766429528805</v>
      </c>
      <c r="S3463" t="s">
        <v>9915</v>
      </c>
      <c r="T3463" t="s">
        <v>12902</v>
      </c>
      <c r="U3463" t="s">
        <v>12902</v>
      </c>
      <c r="V3463" t="s">
        <v>12902</v>
      </c>
      <c r="W3463" t="s">
        <v>16324</v>
      </c>
      <c r="X3463">
        <v>6</v>
      </c>
      <c r="Y3463" t="s">
        <v>22647</v>
      </c>
      <c r="Z3463" t="s">
        <v>29038</v>
      </c>
      <c r="AA3463">
        <v>0.50217484737081997</v>
      </c>
      <c r="AB3463" t="str">
        <f>HYPERLINK("Melting_Curves/meltCurve_Q15120_PDK3.pdf", "Melting_Curves/meltCurve_Q15120_PDK3.pdf")</f>
        <v>Melting_Curves/meltCurve_Q15120_PDK3.pdf</v>
      </c>
    </row>
    <row r="3464" spans="1:28" x14ac:dyDescent="0.25">
      <c r="A3464" t="s">
        <v>3468</v>
      </c>
      <c r="B3464">
        <v>0.99673306730245903</v>
      </c>
      <c r="C3464">
        <v>0.99909587619161699</v>
      </c>
      <c r="D3464">
        <v>0.80959561851484896</v>
      </c>
      <c r="E3464">
        <v>0.47047688005124499</v>
      </c>
      <c r="F3464">
        <v>0.28943693447728702</v>
      </c>
      <c r="G3464">
        <v>0.18500214189676101</v>
      </c>
      <c r="H3464">
        <v>0.12850458453421101</v>
      </c>
      <c r="I3464">
        <v>0.121792805439075</v>
      </c>
      <c r="J3464">
        <v>0.17692781692260101</v>
      </c>
      <c r="K3464">
        <v>0.176342381413371</v>
      </c>
      <c r="L3464">
        <v>1101.0338972633799</v>
      </c>
      <c r="M3464">
        <v>22.638071499416199</v>
      </c>
      <c r="N3464">
        <v>49.428634752289703</v>
      </c>
      <c r="O3464">
        <v>48.261633483272099</v>
      </c>
      <c r="P3464">
        <v>-9.9426719285077403E-2</v>
      </c>
      <c r="Q3464">
        <v>0.15215388683726799</v>
      </c>
      <c r="R3464">
        <v>0.99493119731998303</v>
      </c>
      <c r="S3464" t="s">
        <v>9916</v>
      </c>
      <c r="T3464" t="s">
        <v>12902</v>
      </c>
      <c r="U3464" t="s">
        <v>12902</v>
      </c>
      <c r="V3464" t="s">
        <v>12902</v>
      </c>
      <c r="W3464" t="s">
        <v>16325</v>
      </c>
      <c r="X3464">
        <v>8</v>
      </c>
      <c r="Y3464" t="s">
        <v>22648</v>
      </c>
      <c r="Z3464" t="s">
        <v>29039</v>
      </c>
      <c r="AA3464">
        <v>0.40545188710016128</v>
      </c>
      <c r="AB3464" t="str">
        <f>HYPERLINK("Melting_Curves/meltCurve_Q15121_PEA15.pdf", "Melting_Curves/meltCurve_Q15121_PEA15.pdf")</f>
        <v>Melting_Curves/meltCurve_Q15121_PEA15.pdf</v>
      </c>
    </row>
    <row r="3465" spans="1:28" x14ac:dyDescent="0.25">
      <c r="A3465" t="s">
        <v>3469</v>
      </c>
      <c r="B3465">
        <v>0.99673306730245903</v>
      </c>
      <c r="C3465">
        <v>0.98796942367808505</v>
      </c>
      <c r="D3465">
        <v>0.88492965771119303</v>
      </c>
      <c r="E3465">
        <v>0.71253014134264203</v>
      </c>
      <c r="F3465">
        <v>0.57658442502767404</v>
      </c>
      <c r="G3465">
        <v>0.44577469797532698</v>
      </c>
      <c r="H3465">
        <v>0.297745064977751</v>
      </c>
      <c r="I3465">
        <v>0.31178680455922703</v>
      </c>
      <c r="J3465">
        <v>0.32423351093548902</v>
      </c>
      <c r="K3465">
        <v>0.24524889051752699</v>
      </c>
      <c r="L3465">
        <v>708.70247261516499</v>
      </c>
      <c r="M3465">
        <v>13.671203021015399</v>
      </c>
      <c r="N3465">
        <v>54.6356317537834</v>
      </c>
      <c r="O3465">
        <v>50.767646784519997</v>
      </c>
      <c r="P3465">
        <v>-5.0388041320882697E-2</v>
      </c>
      <c r="Q3465">
        <v>0.25165007854075899</v>
      </c>
      <c r="R3465">
        <v>0.99191991596324502</v>
      </c>
      <c r="S3465" t="s">
        <v>9917</v>
      </c>
      <c r="T3465" t="s">
        <v>12902</v>
      </c>
      <c r="U3465" t="s">
        <v>12902</v>
      </c>
      <c r="V3465" t="s">
        <v>12902</v>
      </c>
      <c r="W3465" t="s">
        <v>16326</v>
      </c>
      <c r="X3465">
        <v>2</v>
      </c>
      <c r="Y3465" t="s">
        <v>22649</v>
      </c>
      <c r="Z3465" t="s">
        <v>29040</v>
      </c>
      <c r="AA3465">
        <v>0.56631168254469588</v>
      </c>
      <c r="AB3465" t="str">
        <f>HYPERLINK("Melting_Curves/meltCurve_Q15125_EBP.pdf", "Melting_Curves/meltCurve_Q15125_EBP.pdf")</f>
        <v>Melting_Curves/meltCurve_Q15125_EBP.pdf</v>
      </c>
    </row>
    <row r="3466" spans="1:28" x14ac:dyDescent="0.25">
      <c r="A3466" t="s">
        <v>3470</v>
      </c>
      <c r="B3466">
        <v>0.99673306730245903</v>
      </c>
      <c r="C3466">
        <v>0.943881205791683</v>
      </c>
      <c r="D3466">
        <v>0.49524792890914798</v>
      </c>
      <c r="E3466">
        <v>0.18223152352473401</v>
      </c>
      <c r="F3466">
        <v>0.118079393253745</v>
      </c>
      <c r="G3466">
        <v>7.5681268004968397E-2</v>
      </c>
      <c r="H3466">
        <v>5.6518549740360899E-2</v>
      </c>
      <c r="I3466">
        <v>4.32730326611852E-2</v>
      </c>
      <c r="J3466">
        <v>3.9690055191232698E-2</v>
      </c>
      <c r="K3466">
        <v>3.6239636890154303E-2</v>
      </c>
      <c r="L3466">
        <v>1395.23120615721</v>
      </c>
      <c r="M3466">
        <v>30.3599923942831</v>
      </c>
      <c r="N3466">
        <v>46.154676007198802</v>
      </c>
      <c r="O3466">
        <v>45.758242052033701</v>
      </c>
      <c r="P3466">
        <v>-0.155723927680323</v>
      </c>
      <c r="Q3466">
        <v>6.1184419901984997E-2</v>
      </c>
      <c r="R3466">
        <v>0.99478721808610504</v>
      </c>
      <c r="S3466" t="s">
        <v>9918</v>
      </c>
      <c r="T3466" t="s">
        <v>12902</v>
      </c>
      <c r="U3466" t="s">
        <v>12902</v>
      </c>
      <c r="V3466" t="s">
        <v>12902</v>
      </c>
      <c r="W3466" t="s">
        <v>16327</v>
      </c>
      <c r="X3466">
        <v>11</v>
      </c>
      <c r="Y3466" t="s">
        <v>22650</v>
      </c>
      <c r="Z3466" t="s">
        <v>29041</v>
      </c>
      <c r="AA3466">
        <v>0.25315516648680442</v>
      </c>
      <c r="AB3466" t="str">
        <f>HYPERLINK("Melting_Curves/meltCurve_Q15126_PMVK.pdf", "Melting_Curves/meltCurve_Q15126_PMVK.pdf")</f>
        <v>Melting_Curves/meltCurve_Q15126_PMVK.pdf</v>
      </c>
    </row>
    <row r="3467" spans="1:28" x14ac:dyDescent="0.25">
      <c r="A3467" t="s">
        <v>3471</v>
      </c>
      <c r="B3467">
        <v>0.99673306730245903</v>
      </c>
      <c r="C3467">
        <v>0.95379604155668896</v>
      </c>
      <c r="D3467">
        <v>0.77171870888601901</v>
      </c>
      <c r="E3467">
        <v>0.46776572357223101</v>
      </c>
      <c r="F3467">
        <v>0.22048035929828599</v>
      </c>
      <c r="G3467">
        <v>0.164849959711207</v>
      </c>
      <c r="H3467">
        <v>0.110593276504265</v>
      </c>
      <c r="I3467">
        <v>0.119559392569883</v>
      </c>
      <c r="J3467">
        <v>0.115674090023193</v>
      </c>
      <c r="K3467">
        <v>8.1545938133603293E-2</v>
      </c>
      <c r="L3467">
        <v>983.76205382101</v>
      </c>
      <c r="M3467">
        <v>20.248793605999101</v>
      </c>
      <c r="N3467">
        <v>49.138026552518497</v>
      </c>
      <c r="O3467">
        <v>48.117328943845699</v>
      </c>
      <c r="P3467">
        <v>-9.4466592178228698E-2</v>
      </c>
      <c r="Q3467">
        <v>0.102101714457005</v>
      </c>
      <c r="R3467">
        <v>0.99869067504752596</v>
      </c>
      <c r="S3467" t="s">
        <v>9919</v>
      </c>
      <c r="T3467" t="s">
        <v>12902</v>
      </c>
      <c r="U3467" t="s">
        <v>12902</v>
      </c>
      <c r="V3467" t="s">
        <v>12902</v>
      </c>
      <c r="W3467" t="s">
        <v>16328</v>
      </c>
      <c r="X3467">
        <v>6</v>
      </c>
      <c r="Y3467" t="s">
        <v>22651</v>
      </c>
      <c r="Z3467" t="s">
        <v>29042</v>
      </c>
      <c r="AA3467">
        <v>0.37132941069155218</v>
      </c>
      <c r="AB3467" t="str">
        <f>HYPERLINK("Melting_Curves/meltCurve_Q15139_PRKD1.pdf", "Melting_Curves/meltCurve_Q15139_PRKD1.pdf")</f>
        <v>Melting_Curves/meltCurve_Q15139_PRKD1.pdf</v>
      </c>
    </row>
    <row r="3468" spans="1:28" x14ac:dyDescent="0.25">
      <c r="A3468" t="s">
        <v>3472</v>
      </c>
      <c r="B3468">
        <v>0.99673306730245903</v>
      </c>
      <c r="C3468">
        <v>0.95537555755123005</v>
      </c>
      <c r="D3468">
        <v>0.79888600911743701</v>
      </c>
      <c r="E3468">
        <v>0.57024372538005497</v>
      </c>
      <c r="F3468">
        <v>0.29362765948421599</v>
      </c>
      <c r="G3468">
        <v>0.18425708046129699</v>
      </c>
      <c r="H3468">
        <v>0.12696565040666799</v>
      </c>
      <c r="I3468">
        <v>0.111962250179257</v>
      </c>
      <c r="J3468">
        <v>0.128772096657542</v>
      </c>
      <c r="K3468">
        <v>0.114782525851444</v>
      </c>
      <c r="L3468">
        <v>895.56807711352997</v>
      </c>
      <c r="M3468">
        <v>18.078363824781</v>
      </c>
      <c r="N3468">
        <v>50.195641571017703</v>
      </c>
      <c r="O3468">
        <v>48.943908154454299</v>
      </c>
      <c r="P3468">
        <v>-8.2610579631680794E-2</v>
      </c>
      <c r="Q3468">
        <v>0.105430433748412</v>
      </c>
      <c r="R3468">
        <v>0.99859680525179595</v>
      </c>
      <c r="S3468" t="s">
        <v>9920</v>
      </c>
      <c r="T3468" t="s">
        <v>12902</v>
      </c>
      <c r="U3468" t="s">
        <v>12902</v>
      </c>
      <c r="V3468" t="s">
        <v>12902</v>
      </c>
      <c r="W3468" t="s">
        <v>16329</v>
      </c>
      <c r="X3468">
        <v>107</v>
      </c>
      <c r="Y3468" t="s">
        <v>22652</v>
      </c>
      <c r="Z3468" t="s">
        <v>29043</v>
      </c>
      <c r="AA3468">
        <v>0.4050729364778371</v>
      </c>
      <c r="AB3468" t="str">
        <f>HYPERLINK("Melting_Curves/meltCurve_Q15149_4_PLEC.pdf", "Melting_Curves/meltCurve_Q15149_4_PLEC.pdf")</f>
        <v>Melting_Curves/meltCurve_Q15149_4_PLEC.pdf</v>
      </c>
    </row>
    <row r="3469" spans="1:28" x14ac:dyDescent="0.25">
      <c r="A3469" t="s">
        <v>3473</v>
      </c>
      <c r="B3469">
        <v>0.99673306730245903</v>
      </c>
      <c r="C3469">
        <v>0.88796110579378795</v>
      </c>
      <c r="D3469">
        <v>0.98386322588882102</v>
      </c>
      <c r="E3469">
        <v>0.70699002916319698</v>
      </c>
      <c r="F3469">
        <v>0.34300136159371902</v>
      </c>
      <c r="G3469">
        <v>0.168437492075454</v>
      </c>
      <c r="H3469">
        <v>0.12284415714807501</v>
      </c>
      <c r="I3469">
        <v>0.132090041218132</v>
      </c>
      <c r="J3469">
        <v>0.10889925730155101</v>
      </c>
      <c r="K3469">
        <v>8.6177677420189905E-2</v>
      </c>
      <c r="L3469">
        <v>1298.02118530178</v>
      </c>
      <c r="M3469">
        <v>25.423052639534699</v>
      </c>
      <c r="N3469">
        <v>51.541545198939197</v>
      </c>
      <c r="O3469">
        <v>50.744100317305197</v>
      </c>
      <c r="P3469">
        <v>-0.11193578240428601</v>
      </c>
      <c r="Q3469">
        <v>0.106321478157855</v>
      </c>
      <c r="R3469">
        <v>0.990511653686452</v>
      </c>
      <c r="S3469" t="s">
        <v>9921</v>
      </c>
      <c r="T3469" t="s">
        <v>12902</v>
      </c>
      <c r="U3469" t="s">
        <v>12902</v>
      </c>
      <c r="V3469" t="s">
        <v>12902</v>
      </c>
      <c r="W3469" t="s">
        <v>16330</v>
      </c>
      <c r="X3469">
        <v>37</v>
      </c>
      <c r="Y3469" t="s">
        <v>22653</v>
      </c>
      <c r="Z3469" t="s">
        <v>29044</v>
      </c>
      <c r="AA3469">
        <v>0.44351344522320058</v>
      </c>
      <c r="AB3469" t="str">
        <f>HYPERLINK("Melting_Curves/meltCurve_Q15155_NOMO1.pdf", "Melting_Curves/meltCurve_Q15155_NOMO1.pdf")</f>
        <v>Melting_Curves/meltCurve_Q15155_NOMO1.pdf</v>
      </c>
    </row>
    <row r="3470" spans="1:28" x14ac:dyDescent="0.25">
      <c r="A3470" t="s">
        <v>3474</v>
      </c>
      <c r="B3470">
        <v>0.99673306730245903</v>
      </c>
      <c r="C3470">
        <v>0.91028958301603002</v>
      </c>
      <c r="D3470">
        <v>0.779622602808411</v>
      </c>
      <c r="E3470">
        <v>0.56000890478556398</v>
      </c>
      <c r="F3470">
        <v>0.30037251447400498</v>
      </c>
      <c r="G3470">
        <v>0.144272335099215</v>
      </c>
      <c r="H3470">
        <v>7.5092457064130702E-2</v>
      </c>
      <c r="I3470">
        <v>3.3026040550774703E-2</v>
      </c>
      <c r="J3470">
        <v>3.1101076753240399E-2</v>
      </c>
      <c r="K3470">
        <v>3.4695711199609298E-2</v>
      </c>
      <c r="L3470">
        <v>743.21668094280903</v>
      </c>
      <c r="M3470">
        <v>14.827258094435599</v>
      </c>
      <c r="N3470">
        <v>50.167540977238701</v>
      </c>
      <c r="O3470">
        <v>49.239752990101699</v>
      </c>
      <c r="P3470">
        <v>-7.4818794703869401E-2</v>
      </c>
      <c r="Q3470">
        <v>6.2439007746244403E-3</v>
      </c>
      <c r="R3470">
        <v>0.99890816462224896</v>
      </c>
      <c r="S3470" t="s">
        <v>9922</v>
      </c>
      <c r="T3470" t="s">
        <v>12902</v>
      </c>
      <c r="U3470" t="s">
        <v>12902</v>
      </c>
      <c r="V3470" t="s">
        <v>12902</v>
      </c>
      <c r="W3470" t="s">
        <v>16331</v>
      </c>
      <c r="X3470">
        <v>2</v>
      </c>
      <c r="Y3470" t="s">
        <v>22654</v>
      </c>
      <c r="Z3470" t="s">
        <v>29045</v>
      </c>
      <c r="AA3470">
        <v>0.36572376035203102</v>
      </c>
      <c r="AB3470" t="str">
        <f>HYPERLINK("Melting_Curves/meltCurve_Q15166_PON3.pdf", "Melting_Curves/meltCurve_Q15166_PON3.pdf")</f>
        <v>Melting_Curves/meltCurve_Q15166_PON3.pdf</v>
      </c>
    </row>
    <row r="3471" spans="1:28" x14ac:dyDescent="0.25">
      <c r="A3471" t="s">
        <v>3475</v>
      </c>
      <c r="B3471">
        <v>0.99673306730245903</v>
      </c>
      <c r="C3471">
        <v>1.01360806207311</v>
      </c>
      <c r="D3471">
        <v>0.95137580215258599</v>
      </c>
      <c r="E3471">
        <v>0.82712574828646701</v>
      </c>
      <c r="F3471">
        <v>0.68884443444645804</v>
      </c>
      <c r="G3471">
        <v>0.56730777660120202</v>
      </c>
      <c r="H3471">
        <v>0.46582143391753</v>
      </c>
      <c r="I3471">
        <v>0.64543532785174795</v>
      </c>
      <c r="J3471">
        <v>1.0323204686435401</v>
      </c>
      <c r="K3471">
        <v>1.0480558444066199</v>
      </c>
      <c r="L3471">
        <v>1998.23650243818</v>
      </c>
      <c r="M3471">
        <v>41.358397726934697</v>
      </c>
      <c r="O3471">
        <v>48.202589536117202</v>
      </c>
      <c r="P3471">
        <v>-5.5227646479096303E-2</v>
      </c>
      <c r="Q3471">
        <v>0.74253251441577295</v>
      </c>
      <c r="R3471">
        <v>0.28860322322996901</v>
      </c>
      <c r="S3471" t="s">
        <v>9923</v>
      </c>
      <c r="T3471" t="s">
        <v>12902</v>
      </c>
      <c r="U3471" t="s">
        <v>12902</v>
      </c>
      <c r="V3471" t="s">
        <v>12902</v>
      </c>
      <c r="W3471" t="s">
        <v>16332</v>
      </c>
      <c r="X3471">
        <v>5</v>
      </c>
      <c r="Y3471" t="s">
        <v>22655</v>
      </c>
      <c r="Z3471" t="s">
        <v>29046</v>
      </c>
      <c r="AA3471">
        <v>0.81470029472911398</v>
      </c>
      <c r="AB3471" t="str">
        <f>HYPERLINK("Melting_Curves/meltCurve_Q15170_2_TCEAL1.pdf", "Melting_Curves/meltCurve_Q15170_2_TCEAL1.pdf")</f>
        <v>Melting_Curves/meltCurve_Q15170_2_TCEAL1.pdf</v>
      </c>
    </row>
    <row r="3472" spans="1:28" x14ac:dyDescent="0.25">
      <c r="A3472" t="s">
        <v>3476</v>
      </c>
      <c r="B3472">
        <v>0.99673306730245903</v>
      </c>
      <c r="C3472">
        <v>0.95486017861933403</v>
      </c>
      <c r="D3472">
        <v>0.855128264134559</v>
      </c>
      <c r="E3472">
        <v>0.47103915886419301</v>
      </c>
      <c r="F3472">
        <v>0.14736811901719399</v>
      </c>
      <c r="G3472">
        <v>0.100643765001556</v>
      </c>
      <c r="H3472">
        <v>6.2632058439207494E-2</v>
      </c>
      <c r="I3472">
        <v>5.3694173494797798E-2</v>
      </c>
      <c r="J3472">
        <v>3.3346182325195102E-2</v>
      </c>
      <c r="K3472">
        <v>2.6904297059152499E-2</v>
      </c>
      <c r="L3472">
        <v>1220.3439817551</v>
      </c>
      <c r="M3472">
        <v>24.839450719403601</v>
      </c>
      <c r="N3472">
        <v>49.309201204066397</v>
      </c>
      <c r="O3472">
        <v>48.814167110508201</v>
      </c>
      <c r="P3472">
        <v>-0.12170415290278799</v>
      </c>
      <c r="Q3472">
        <v>4.3327628361039802E-2</v>
      </c>
      <c r="R3472">
        <v>0.99863924579040397</v>
      </c>
      <c r="S3472" t="s">
        <v>9924</v>
      </c>
      <c r="T3472" t="s">
        <v>12902</v>
      </c>
      <c r="U3472" t="s">
        <v>12902</v>
      </c>
      <c r="V3472" t="s">
        <v>12902</v>
      </c>
      <c r="W3472" t="s">
        <v>16333</v>
      </c>
      <c r="X3472">
        <v>3</v>
      </c>
      <c r="Y3472" t="s">
        <v>22656</v>
      </c>
      <c r="Z3472" t="s">
        <v>29047</v>
      </c>
      <c r="AA3472">
        <v>0.34304940239624748</v>
      </c>
      <c r="AB3472" t="str">
        <f>HYPERLINK("Melting_Curves/meltCurve_Q15172_PPP2R5A.pdf", "Melting_Curves/meltCurve_Q15172_PPP2R5A.pdf")</f>
        <v>Melting_Curves/meltCurve_Q15172_PPP2R5A.pdf</v>
      </c>
    </row>
    <row r="3473" spans="1:28" x14ac:dyDescent="0.25">
      <c r="A3473" t="s">
        <v>3477</v>
      </c>
      <c r="B3473">
        <v>0.99673306730245903</v>
      </c>
      <c r="C3473">
        <v>0.98205151574352401</v>
      </c>
      <c r="D3473">
        <v>1.00477784615237</v>
      </c>
      <c r="E3473">
        <v>1.1274892642641701</v>
      </c>
      <c r="F3473">
        <v>0.83135929839941902</v>
      </c>
      <c r="G3473">
        <v>0.88189162136797705</v>
      </c>
      <c r="H3473">
        <v>0.49703406815282503</v>
      </c>
      <c r="I3473">
        <v>0.34797952831934098</v>
      </c>
      <c r="J3473">
        <v>9.9339006962092302E-2</v>
      </c>
      <c r="K3473">
        <v>8.2274876761530294E-2</v>
      </c>
      <c r="L3473">
        <v>1228.86863653756</v>
      </c>
      <c r="M3473">
        <v>20.072991954528</v>
      </c>
      <c r="N3473">
        <v>61.220009929008803</v>
      </c>
      <c r="O3473">
        <v>60.6221389072156</v>
      </c>
      <c r="P3473">
        <v>-8.2781819131170706E-2</v>
      </c>
      <c r="Q3473">
        <v>0</v>
      </c>
      <c r="R3473">
        <v>0.96884979893222301</v>
      </c>
      <c r="S3473" t="s">
        <v>9925</v>
      </c>
      <c r="T3473" t="s">
        <v>12902</v>
      </c>
      <c r="U3473" t="s">
        <v>12902</v>
      </c>
      <c r="V3473" t="s">
        <v>12902</v>
      </c>
      <c r="W3473" t="s">
        <v>16334</v>
      </c>
      <c r="X3473">
        <v>24</v>
      </c>
      <c r="Y3473" t="s">
        <v>22657</v>
      </c>
      <c r="Z3473" t="s">
        <v>29048</v>
      </c>
      <c r="AA3473">
        <v>0.71283901831552943</v>
      </c>
      <c r="AB3473" t="str">
        <f>HYPERLINK("Melting_Curves/meltCurve_Q15181_PPA1.pdf", "Melting_Curves/meltCurve_Q15181_PPA1.pdf")</f>
        <v>Melting_Curves/meltCurve_Q15181_PPA1.pdf</v>
      </c>
    </row>
    <row r="3474" spans="1:28" x14ac:dyDescent="0.25">
      <c r="A3474" t="s">
        <v>3478</v>
      </c>
      <c r="B3474">
        <v>0.99673306730245903</v>
      </c>
      <c r="C3474">
        <v>0.93054536112409103</v>
      </c>
      <c r="D3474">
        <v>0.70829382392565898</v>
      </c>
      <c r="E3474">
        <v>0.268274319838954</v>
      </c>
      <c r="F3474">
        <v>0.12608417382484799</v>
      </c>
      <c r="G3474">
        <v>7.2827740422188897E-2</v>
      </c>
      <c r="H3474">
        <v>4.7315152928114203E-2</v>
      </c>
      <c r="I3474">
        <v>3.9813508920249999E-2</v>
      </c>
      <c r="J3474">
        <v>4.64640283612405E-2</v>
      </c>
      <c r="K3474">
        <v>3.0857623978827398E-2</v>
      </c>
      <c r="L3474">
        <v>1187.53245756396</v>
      </c>
      <c r="M3474">
        <v>25.038399448166398</v>
      </c>
      <c r="N3474">
        <v>47.608948342408397</v>
      </c>
      <c r="O3474">
        <v>47.129007730839099</v>
      </c>
      <c r="P3474">
        <v>-0.12680594090223099</v>
      </c>
      <c r="Q3474">
        <v>4.52809207158925E-2</v>
      </c>
      <c r="R3474">
        <v>0.99906838324429403</v>
      </c>
      <c r="S3474" t="s">
        <v>9926</v>
      </c>
      <c r="T3474" t="s">
        <v>12902</v>
      </c>
      <c r="U3474" t="s">
        <v>12902</v>
      </c>
      <c r="V3474" t="s">
        <v>12902</v>
      </c>
      <c r="W3474" t="s">
        <v>16335</v>
      </c>
      <c r="X3474">
        <v>8</v>
      </c>
      <c r="Y3474" t="s">
        <v>22658</v>
      </c>
      <c r="Z3474" t="s">
        <v>29049</v>
      </c>
      <c r="AA3474">
        <v>0.29012455196765102</v>
      </c>
      <c r="AB3474" t="str">
        <f>HYPERLINK("Melting_Curves/meltCurve_Q15208_STK38.pdf", "Melting_Curves/meltCurve_Q15208_STK38.pdf")</f>
        <v>Melting_Curves/meltCurve_Q15208_STK38.pdf</v>
      </c>
    </row>
    <row r="3475" spans="1:28" x14ac:dyDescent="0.25">
      <c r="A3475" t="s">
        <v>3479</v>
      </c>
      <c r="B3475">
        <v>0.99673306730245903</v>
      </c>
      <c r="C3475">
        <v>0.95254747674390805</v>
      </c>
      <c r="D3475">
        <v>0.92603002759889297</v>
      </c>
      <c r="E3475">
        <v>0.864479263381149</v>
      </c>
      <c r="F3475">
        <v>0.80341291597308095</v>
      </c>
      <c r="G3475">
        <v>0.67519885233693899</v>
      </c>
      <c r="H3475">
        <v>0.49233573796163399</v>
      </c>
      <c r="I3475">
        <v>0.52308874562296404</v>
      </c>
      <c r="J3475">
        <v>0.447539414446397</v>
      </c>
      <c r="K3475">
        <v>0.41449086284980102</v>
      </c>
      <c r="L3475">
        <v>570.55525436266305</v>
      </c>
      <c r="M3475">
        <v>10.059739808719</v>
      </c>
      <c r="N3475">
        <v>63.442665952719899</v>
      </c>
      <c r="O3475">
        <v>54.612212788858699</v>
      </c>
      <c r="P3475">
        <v>-3.09657364901549E-2</v>
      </c>
      <c r="Q3475">
        <v>0.32789364532269399</v>
      </c>
      <c r="R3475">
        <v>0.98485677694141505</v>
      </c>
      <c r="S3475" t="s">
        <v>9927</v>
      </c>
      <c r="T3475" t="s">
        <v>12902</v>
      </c>
      <c r="U3475" t="s">
        <v>12902</v>
      </c>
      <c r="V3475" t="s">
        <v>12902</v>
      </c>
      <c r="W3475" t="s">
        <v>16336</v>
      </c>
      <c r="X3475">
        <v>6</v>
      </c>
      <c r="Y3475" t="s">
        <v>22659</v>
      </c>
      <c r="Z3475" t="s">
        <v>29050</v>
      </c>
      <c r="AA3475">
        <v>0.71410788531586522</v>
      </c>
      <c r="AB3475" t="str">
        <f>HYPERLINK("Melting_Curves/meltCurve_Q15223_PVRL1.pdf", "Melting_Curves/meltCurve_Q15223_PVRL1.pdf")</f>
        <v>Melting_Curves/meltCurve_Q15223_PVRL1.pdf</v>
      </c>
    </row>
    <row r="3476" spans="1:28" x14ac:dyDescent="0.25">
      <c r="A3476" t="s">
        <v>3480</v>
      </c>
      <c r="B3476">
        <v>0.99673306730245903</v>
      </c>
      <c r="C3476">
        <v>0.795743316161584</v>
      </c>
      <c r="D3476">
        <v>0.387011617988679</v>
      </c>
      <c r="E3476">
        <v>0.160946535855094</v>
      </c>
      <c r="F3476">
        <v>0.101728534172316</v>
      </c>
      <c r="G3476">
        <v>6.5347155961516495E-2</v>
      </c>
      <c r="H3476">
        <v>4.8603114634228499E-2</v>
      </c>
      <c r="I3476">
        <v>4.5616051946232403E-2</v>
      </c>
      <c r="J3476">
        <v>5.22814793904205E-2</v>
      </c>
      <c r="K3476">
        <v>4.78034671528626E-2</v>
      </c>
      <c r="L3476">
        <v>1162.79220119858</v>
      </c>
      <c r="M3476">
        <v>25.828841140768201</v>
      </c>
      <c r="N3476">
        <v>45.236400555081197</v>
      </c>
      <c r="O3476">
        <v>44.7518785736045</v>
      </c>
      <c r="P3476">
        <v>-0.13587345797037101</v>
      </c>
      <c r="Q3476">
        <v>5.8336279809301797E-2</v>
      </c>
      <c r="R3476">
        <v>0.99731030787654196</v>
      </c>
      <c r="S3476" t="s">
        <v>9928</v>
      </c>
      <c r="T3476" t="s">
        <v>12902</v>
      </c>
      <c r="U3476" t="s">
        <v>12902</v>
      </c>
      <c r="V3476" t="s">
        <v>12902</v>
      </c>
      <c r="W3476" t="s">
        <v>16337</v>
      </c>
      <c r="X3476">
        <v>47</v>
      </c>
      <c r="Y3476" t="s">
        <v>22660</v>
      </c>
      <c r="Z3476" t="s">
        <v>29051</v>
      </c>
      <c r="AA3476">
        <v>0.22453922719148661</v>
      </c>
      <c r="AB3476" t="str">
        <f>HYPERLINK("Melting_Curves/meltCurve_Q15233_NONO.pdf", "Melting_Curves/meltCurve_Q15233_NONO.pdf")</f>
        <v>Melting_Curves/meltCurve_Q15233_NONO.pdf</v>
      </c>
    </row>
    <row r="3477" spans="1:28" x14ac:dyDescent="0.25">
      <c r="A3477" t="s">
        <v>3481</v>
      </c>
      <c r="B3477">
        <v>0.99673306730245903</v>
      </c>
      <c r="C3477">
        <v>1.0184425461803801</v>
      </c>
      <c r="D3477">
        <v>1.0072968046297299</v>
      </c>
      <c r="E3477">
        <v>0.99561035188666003</v>
      </c>
      <c r="F3477">
        <v>0.75212392511228099</v>
      </c>
      <c r="G3477">
        <v>0.34571498369106501</v>
      </c>
      <c r="H3477">
        <v>0.11359499816310301</v>
      </c>
      <c r="I3477">
        <v>0.101352354329189</v>
      </c>
      <c r="J3477">
        <v>9.1274356485906302E-2</v>
      </c>
      <c r="K3477">
        <v>7.1890032610292004E-2</v>
      </c>
      <c r="L3477">
        <v>1692.95662460771</v>
      </c>
      <c r="M3477">
        <v>30.757348350789201</v>
      </c>
      <c r="N3477">
        <v>55.354907939676004</v>
      </c>
      <c r="O3477">
        <v>54.8112396780624</v>
      </c>
      <c r="P3477">
        <v>-0.12910572437092299</v>
      </c>
      <c r="Q3477">
        <v>7.9712206318379095E-2</v>
      </c>
      <c r="R3477">
        <v>0.99897731835707604</v>
      </c>
      <c r="S3477" t="s">
        <v>9929</v>
      </c>
      <c r="T3477" t="s">
        <v>12902</v>
      </c>
      <c r="U3477" t="s">
        <v>12902</v>
      </c>
      <c r="V3477" t="s">
        <v>12902</v>
      </c>
      <c r="W3477" t="s">
        <v>16338</v>
      </c>
      <c r="X3477">
        <v>14</v>
      </c>
      <c r="Y3477" t="s">
        <v>22661</v>
      </c>
      <c r="Z3477" t="s">
        <v>29052</v>
      </c>
      <c r="AA3477">
        <v>0.54698019544433096</v>
      </c>
      <c r="AB3477" t="str">
        <f>HYPERLINK("Melting_Curves/meltCurve_Q15257_PPP2R4.pdf", "Melting_Curves/meltCurve_Q15257_PPP2R4.pdf")</f>
        <v>Melting_Curves/meltCurve_Q15257_PPP2R4.pdf</v>
      </c>
    </row>
    <row r="3478" spans="1:28" x14ac:dyDescent="0.25">
      <c r="A3478" t="s">
        <v>3482</v>
      </c>
      <c r="B3478">
        <v>0.99673306730245903</v>
      </c>
      <c r="C3478">
        <v>1.0307020022806901</v>
      </c>
      <c r="D3478">
        <v>1.2557338230035</v>
      </c>
      <c r="E3478">
        <v>1.0568686141177299</v>
      </c>
      <c r="F3478">
        <v>0.29213644007957401</v>
      </c>
      <c r="G3478">
        <v>0.20102339313676801</v>
      </c>
      <c r="H3478">
        <v>0.12244041980932099</v>
      </c>
      <c r="I3478">
        <v>0.109718988978719</v>
      </c>
      <c r="J3478">
        <v>9.7952306425167501E-2</v>
      </c>
      <c r="K3478">
        <v>8.7375021548907694E-2</v>
      </c>
      <c r="L3478">
        <v>13223.620517688099</v>
      </c>
      <c r="M3478">
        <v>250</v>
      </c>
      <c r="N3478">
        <v>52.954692675484097</v>
      </c>
      <c r="O3478">
        <v>52.891073011508098</v>
      </c>
      <c r="P3478">
        <v>-1.0354979752889599</v>
      </c>
      <c r="Q3478">
        <v>0.123702013602559</v>
      </c>
      <c r="R3478">
        <v>0.96405175101381302</v>
      </c>
      <c r="S3478" t="s">
        <v>9930</v>
      </c>
      <c r="T3478" t="s">
        <v>12902</v>
      </c>
      <c r="U3478" t="s">
        <v>12902</v>
      </c>
      <c r="V3478" t="s">
        <v>12902</v>
      </c>
      <c r="W3478" t="s">
        <v>16339</v>
      </c>
      <c r="X3478">
        <v>12</v>
      </c>
      <c r="Y3478" t="s">
        <v>22662</v>
      </c>
      <c r="Z3478" t="s">
        <v>29053</v>
      </c>
      <c r="AA3478">
        <v>0.50043031526998316</v>
      </c>
      <c r="AB3478" t="str">
        <f>HYPERLINK("Melting_Curves/meltCurve_Q15269_PWP2.pdf", "Melting_Curves/meltCurve_Q15269_PWP2.pdf")</f>
        <v>Melting_Curves/meltCurve_Q15269_PWP2.pdf</v>
      </c>
    </row>
    <row r="3479" spans="1:28" x14ac:dyDescent="0.25">
      <c r="A3479" t="s">
        <v>3483</v>
      </c>
      <c r="B3479">
        <v>0.99673306730245903</v>
      </c>
      <c r="C3479">
        <v>0.87331285742202203</v>
      </c>
      <c r="D3479">
        <v>1.2139863170674501</v>
      </c>
      <c r="E3479">
        <v>1.05193167529339</v>
      </c>
      <c r="F3479">
        <v>0.74523047223213501</v>
      </c>
      <c r="G3479">
        <v>0.616014681278371</v>
      </c>
      <c r="H3479">
        <v>0.73992172889742702</v>
      </c>
      <c r="I3479">
        <v>1.0566265200304501</v>
      </c>
      <c r="J3479">
        <v>1.0710649344346199</v>
      </c>
      <c r="K3479">
        <v>1.3185293737841901</v>
      </c>
      <c r="L3479">
        <v>3651.60411067019</v>
      </c>
      <c r="M3479">
        <v>52.716901581960599</v>
      </c>
      <c r="O3479">
        <v>69.168724154202906</v>
      </c>
      <c r="P3479">
        <v>9.5268740540331201E-2</v>
      </c>
      <c r="Q3479">
        <v>1.5</v>
      </c>
      <c r="R3479">
        <v>0.21827159553369399</v>
      </c>
      <c r="S3479" t="s">
        <v>9931</v>
      </c>
      <c r="T3479" t="s">
        <v>12902</v>
      </c>
      <c r="U3479" t="s">
        <v>12902</v>
      </c>
      <c r="V3479" t="s">
        <v>12902</v>
      </c>
      <c r="W3479" t="s">
        <v>16340</v>
      </c>
      <c r="X3479">
        <v>7</v>
      </c>
      <c r="Y3479" t="s">
        <v>22663</v>
      </c>
      <c r="Z3479" t="s">
        <v>29054</v>
      </c>
      <c r="AA3479">
        <v>1.0214668852825759</v>
      </c>
      <c r="AB3479" t="str">
        <f>HYPERLINK("Melting_Curves/meltCurve_Q15274_QPRT.pdf", "Melting_Curves/meltCurve_Q15274_QPRT.pdf")</f>
        <v>Melting_Curves/meltCurve_Q15274_QPRT.pdf</v>
      </c>
    </row>
    <row r="3480" spans="1:28" x14ac:dyDescent="0.25">
      <c r="A3480" t="s">
        <v>3484</v>
      </c>
      <c r="B3480">
        <v>0.99673306730245903</v>
      </c>
      <c r="C3480">
        <v>0.94847141776277599</v>
      </c>
      <c r="D3480">
        <v>0.89473023602410395</v>
      </c>
      <c r="E3480">
        <v>0.69446960776675404</v>
      </c>
      <c r="F3480">
        <v>0.31461325216826302</v>
      </c>
      <c r="G3480">
        <v>0.239693665565512</v>
      </c>
      <c r="H3480">
        <v>0.179247844150311</v>
      </c>
      <c r="I3480">
        <v>0.172213066009929</v>
      </c>
      <c r="J3480">
        <v>0.214831896564077</v>
      </c>
      <c r="K3480">
        <v>0.22079936569386599</v>
      </c>
      <c r="L3480">
        <v>1311.8875736351499</v>
      </c>
      <c r="M3480">
        <v>26.118316934017301</v>
      </c>
      <c r="N3480">
        <v>51.179802469669703</v>
      </c>
      <c r="O3480">
        <v>49.936964158596297</v>
      </c>
      <c r="P3480">
        <v>-0.10561647511731299</v>
      </c>
      <c r="Q3480">
        <v>0.19227468459698599</v>
      </c>
      <c r="R3480">
        <v>0.99323778959989095</v>
      </c>
      <c r="S3480" t="s">
        <v>9932</v>
      </c>
      <c r="T3480" t="s">
        <v>12902</v>
      </c>
      <c r="U3480" t="s">
        <v>12902</v>
      </c>
      <c r="V3480" t="s">
        <v>12902</v>
      </c>
      <c r="W3480" t="s">
        <v>16341</v>
      </c>
      <c r="X3480">
        <v>20</v>
      </c>
      <c r="Y3480" t="s">
        <v>22664</v>
      </c>
      <c r="Z3480" t="s">
        <v>29055</v>
      </c>
      <c r="AA3480">
        <v>0.47430115194381312</v>
      </c>
      <c r="AB3480" t="str">
        <f>HYPERLINK("Melting_Curves/meltCurve_Q15276_RABEP1.pdf", "Melting_Curves/meltCurve_Q15276_RABEP1.pdf")</f>
        <v>Melting_Curves/meltCurve_Q15276_RABEP1.pdf</v>
      </c>
    </row>
    <row r="3481" spans="1:28" x14ac:dyDescent="0.25">
      <c r="A3481" t="s">
        <v>3485</v>
      </c>
      <c r="B3481">
        <v>0.99673306730245903</v>
      </c>
      <c r="C3481">
        <v>0.92973668642319895</v>
      </c>
      <c r="D3481">
        <v>0.62494511462979696</v>
      </c>
      <c r="E3481">
        <v>0.30881462177990898</v>
      </c>
      <c r="F3481">
        <v>0.24271244897644401</v>
      </c>
      <c r="G3481">
        <v>0.155904521036446</v>
      </c>
      <c r="H3481">
        <v>9.3133998026181497E-2</v>
      </c>
      <c r="I3481">
        <v>6.7649392717059706E-2</v>
      </c>
      <c r="J3481">
        <v>7.7743396402960005E-2</v>
      </c>
      <c r="K3481">
        <v>7.4275457257191702E-2</v>
      </c>
      <c r="L3481">
        <v>922.60104196436805</v>
      </c>
      <c r="M3481">
        <v>19.5788771113594</v>
      </c>
      <c r="N3481">
        <v>47.604232543037099</v>
      </c>
      <c r="O3481">
        <v>46.638937342480602</v>
      </c>
      <c r="P3481">
        <v>-9.5516853755605702E-2</v>
      </c>
      <c r="Q3481">
        <v>8.9907596306617502E-2</v>
      </c>
      <c r="R3481">
        <v>0.99066387385772703</v>
      </c>
      <c r="S3481" t="s">
        <v>9933</v>
      </c>
      <c r="T3481" t="s">
        <v>12902</v>
      </c>
      <c r="U3481" t="s">
        <v>12902</v>
      </c>
      <c r="V3481" t="s">
        <v>12902</v>
      </c>
      <c r="W3481" t="s">
        <v>16342</v>
      </c>
      <c r="X3481">
        <v>5</v>
      </c>
      <c r="Y3481" t="s">
        <v>22665</v>
      </c>
      <c r="Z3481" t="s">
        <v>29056</v>
      </c>
      <c r="AA3481">
        <v>0.31986657969009941</v>
      </c>
      <c r="AB3481" t="str">
        <f>HYPERLINK("Melting_Curves/meltCurve_Q15283_2_RASA2.pdf", "Melting_Curves/meltCurve_Q15283_2_RASA2.pdf")</f>
        <v>Melting_Curves/meltCurve_Q15283_2_RASA2.pdf</v>
      </c>
    </row>
    <row r="3482" spans="1:28" x14ac:dyDescent="0.25">
      <c r="A3482" t="s">
        <v>3486</v>
      </c>
      <c r="B3482">
        <v>0.99673306730245903</v>
      </c>
      <c r="C3482">
        <v>0.98124957998666396</v>
      </c>
      <c r="D3482">
        <v>0.95398246192236902</v>
      </c>
      <c r="E3482">
        <v>0.92640847283032102</v>
      </c>
      <c r="F3482">
        <v>0.73033613615569604</v>
      </c>
      <c r="G3482">
        <v>0.51485024533325197</v>
      </c>
      <c r="H3482">
        <v>0.29993162379940402</v>
      </c>
      <c r="I3482">
        <v>0.14416913846564799</v>
      </c>
      <c r="J3482">
        <v>0.117222180978899</v>
      </c>
      <c r="K3482">
        <v>0.10288388260588199</v>
      </c>
      <c r="L3482">
        <v>896.36068408201697</v>
      </c>
      <c r="M3482">
        <v>15.8402394528598</v>
      </c>
      <c r="N3482">
        <v>56.919251844321501</v>
      </c>
      <c r="O3482">
        <v>55.708712934552103</v>
      </c>
      <c r="P3482">
        <v>-6.7956765736913602E-2</v>
      </c>
      <c r="Q3482">
        <v>4.4086204394330898E-2</v>
      </c>
      <c r="R3482">
        <v>0.99793733166756804</v>
      </c>
      <c r="S3482" t="s">
        <v>9934</v>
      </c>
      <c r="T3482" t="s">
        <v>12902</v>
      </c>
      <c r="U3482" t="s">
        <v>12902</v>
      </c>
      <c r="V3482" t="s">
        <v>12902</v>
      </c>
      <c r="W3482" t="s">
        <v>16343</v>
      </c>
      <c r="X3482">
        <v>14</v>
      </c>
      <c r="Y3482" t="s">
        <v>22666</v>
      </c>
      <c r="Z3482" t="s">
        <v>29057</v>
      </c>
      <c r="AA3482">
        <v>0.58791713450453709</v>
      </c>
      <c r="AB3482" t="str">
        <f>HYPERLINK("Melting_Curves/meltCurve_Q15286_RAB35.pdf", "Melting_Curves/meltCurve_Q15286_RAB35.pdf")</f>
        <v>Melting_Curves/meltCurve_Q15286_RAB35.pdf</v>
      </c>
    </row>
    <row r="3483" spans="1:28" x14ac:dyDescent="0.25">
      <c r="A3483" t="s">
        <v>3487</v>
      </c>
      <c r="B3483">
        <v>0.99673306730245903</v>
      </c>
      <c r="C3483">
        <v>0.96431053309482695</v>
      </c>
      <c r="D3483">
        <v>1.06337981175215</v>
      </c>
      <c r="E3483">
        <v>1.0250910422719901</v>
      </c>
      <c r="F3483">
        <v>0.97025017930428303</v>
      </c>
      <c r="G3483">
        <v>1.00778156454074</v>
      </c>
      <c r="H3483">
        <v>0.86653021139882802</v>
      </c>
      <c r="I3483">
        <v>0.85801309315538099</v>
      </c>
      <c r="J3483">
        <v>0.59487345590243301</v>
      </c>
      <c r="K3483">
        <v>0.23924373083553599</v>
      </c>
      <c r="L3483">
        <v>2014.01126077871</v>
      </c>
      <c r="M3483">
        <v>29.7626740626757</v>
      </c>
      <c r="N3483">
        <v>67.669029072821601</v>
      </c>
      <c r="O3483">
        <v>67.365742488363793</v>
      </c>
      <c r="P3483">
        <v>-0.110452557575689</v>
      </c>
      <c r="Q3483">
        <v>0</v>
      </c>
      <c r="R3483">
        <v>0.96755003864275102</v>
      </c>
      <c r="S3483" t="s">
        <v>9935</v>
      </c>
      <c r="T3483" t="s">
        <v>12902</v>
      </c>
      <c r="U3483" t="s">
        <v>12902</v>
      </c>
      <c r="V3483" t="s">
        <v>12902</v>
      </c>
      <c r="W3483" t="s">
        <v>16344</v>
      </c>
      <c r="X3483">
        <v>18</v>
      </c>
      <c r="Y3483" t="s">
        <v>22667</v>
      </c>
      <c r="Z3483" t="s">
        <v>29058</v>
      </c>
      <c r="AA3483">
        <v>0.90304344083831423</v>
      </c>
      <c r="AB3483" t="str">
        <f>HYPERLINK("Melting_Curves/meltCurve_Q15291_RBBP5.pdf", "Melting_Curves/meltCurve_Q15291_RBBP5.pdf")</f>
        <v>Melting_Curves/meltCurve_Q15291_RBBP5.pdf</v>
      </c>
    </row>
    <row r="3484" spans="1:28" x14ac:dyDescent="0.25">
      <c r="A3484" t="s">
        <v>3488</v>
      </c>
      <c r="B3484">
        <v>0.99673306730245903</v>
      </c>
      <c r="C3484">
        <v>0.97952590308557097</v>
      </c>
      <c r="D3484">
        <v>0.89482748975345405</v>
      </c>
      <c r="E3484">
        <v>0.74854360730054703</v>
      </c>
      <c r="F3484">
        <v>0.55501264601338296</v>
      </c>
      <c r="G3484">
        <v>0.41960944013597801</v>
      </c>
      <c r="H3484">
        <v>0.30781812519769097</v>
      </c>
      <c r="I3484">
        <v>0.58545675225189897</v>
      </c>
      <c r="J3484">
        <v>0.80411294872907901</v>
      </c>
      <c r="K3484">
        <v>0.82754370007390299</v>
      </c>
      <c r="L3484">
        <v>1525.93790020344</v>
      </c>
      <c r="M3484">
        <v>31.644054555749999</v>
      </c>
      <c r="O3484">
        <v>48.030590901717403</v>
      </c>
      <c r="P3484">
        <v>-6.8538893112139704E-2</v>
      </c>
      <c r="Q3484">
        <v>0.58387808198328295</v>
      </c>
      <c r="R3484">
        <v>0.56313066265931999</v>
      </c>
      <c r="S3484" t="s">
        <v>9936</v>
      </c>
      <c r="T3484" t="s">
        <v>12902</v>
      </c>
      <c r="U3484" t="s">
        <v>12902</v>
      </c>
      <c r="V3484" t="s">
        <v>12902</v>
      </c>
      <c r="W3484" t="s">
        <v>16345</v>
      </c>
      <c r="X3484">
        <v>25</v>
      </c>
      <c r="Y3484" t="s">
        <v>22668</v>
      </c>
      <c r="Z3484" t="s">
        <v>29059</v>
      </c>
      <c r="AA3484">
        <v>0.7001694396616448</v>
      </c>
      <c r="AB3484" t="str">
        <f>HYPERLINK("Melting_Curves/meltCurve_Q15293_RCN1.pdf", "Melting_Curves/meltCurve_Q15293_RCN1.pdf")</f>
        <v>Melting_Curves/meltCurve_Q15293_RCN1.pdf</v>
      </c>
    </row>
    <row r="3485" spans="1:28" x14ac:dyDescent="0.25">
      <c r="A3485" t="s">
        <v>3489</v>
      </c>
      <c r="B3485">
        <v>0.99673306730245903</v>
      </c>
      <c r="C3485">
        <v>0.70732516790677402</v>
      </c>
      <c r="D3485">
        <v>0.34868682979917798</v>
      </c>
      <c r="E3485">
        <v>0.186337756162469</v>
      </c>
      <c r="F3485">
        <v>0.15207623996175901</v>
      </c>
      <c r="G3485">
        <v>9.9651348730650902E-2</v>
      </c>
      <c r="H3485">
        <v>7.1995527951404403E-2</v>
      </c>
      <c r="I3485">
        <v>7.5255328661416501E-2</v>
      </c>
      <c r="J3485">
        <v>9.6451091045689094E-2</v>
      </c>
      <c r="K3485">
        <v>8.6202023457409696E-2</v>
      </c>
      <c r="L3485">
        <v>1101.3265294698199</v>
      </c>
      <c r="M3485">
        <v>24.843505436490901</v>
      </c>
      <c r="N3485">
        <v>44.717549408679503</v>
      </c>
      <c r="O3485">
        <v>44.046322688403102</v>
      </c>
      <c r="P3485">
        <v>-0.12737051551640899</v>
      </c>
      <c r="Q3485">
        <v>9.6725577713908398E-2</v>
      </c>
      <c r="R3485">
        <v>0.99217142899547905</v>
      </c>
      <c r="S3485" t="s">
        <v>9937</v>
      </c>
      <c r="T3485" t="s">
        <v>12902</v>
      </c>
      <c r="U3485" t="s">
        <v>12902</v>
      </c>
      <c r="V3485" t="s">
        <v>12902</v>
      </c>
      <c r="W3485" t="s">
        <v>16346</v>
      </c>
      <c r="X3485">
        <v>5</v>
      </c>
      <c r="Y3485" t="s">
        <v>22669</v>
      </c>
      <c r="Z3485" t="s">
        <v>29060</v>
      </c>
      <c r="AA3485">
        <v>0.2370627710524229</v>
      </c>
      <c r="AB3485" t="str">
        <f>HYPERLINK("Melting_Curves/meltCurve_Q15311_RALBP1.pdf", "Melting_Curves/meltCurve_Q15311_RALBP1.pdf")</f>
        <v>Melting_Curves/meltCurve_Q15311_RALBP1.pdf</v>
      </c>
    </row>
    <row r="3486" spans="1:28" x14ac:dyDescent="0.25">
      <c r="A3486" t="s">
        <v>3490</v>
      </c>
      <c r="B3486">
        <v>0.99673306730245903</v>
      </c>
      <c r="C3486">
        <v>0.81178554090895605</v>
      </c>
      <c r="D3486">
        <v>0.79535133153759596</v>
      </c>
      <c r="E3486">
        <v>0.59382573468666799</v>
      </c>
      <c r="F3486">
        <v>0.27768155455707999</v>
      </c>
      <c r="G3486">
        <v>0.20270499588057</v>
      </c>
      <c r="H3486">
        <v>0.15363786383217001</v>
      </c>
      <c r="I3486">
        <v>9.7533006965127303E-2</v>
      </c>
      <c r="J3486">
        <v>8.3458105334473898E-2</v>
      </c>
      <c r="K3486">
        <v>9.37093216474576E-2</v>
      </c>
      <c r="L3486">
        <v>677.53040864738705</v>
      </c>
      <c r="M3486">
        <v>13.622410454147699</v>
      </c>
      <c r="N3486">
        <v>50.222681486964703</v>
      </c>
      <c r="O3486">
        <v>48.701363446402802</v>
      </c>
      <c r="P3486">
        <v>-6.5617861333173197E-2</v>
      </c>
      <c r="Q3486">
        <v>6.1778697709758801E-2</v>
      </c>
      <c r="R3486">
        <v>0.98468706634971204</v>
      </c>
      <c r="S3486" t="s">
        <v>9938</v>
      </c>
      <c r="T3486" t="s">
        <v>12902</v>
      </c>
      <c r="U3486" t="s">
        <v>12902</v>
      </c>
      <c r="V3486" t="s">
        <v>12902</v>
      </c>
      <c r="W3486" t="s">
        <v>16347</v>
      </c>
      <c r="X3486">
        <v>5</v>
      </c>
      <c r="Y3486" t="s">
        <v>22670</v>
      </c>
      <c r="Z3486" t="s">
        <v>29061</v>
      </c>
      <c r="AA3486">
        <v>0.39301380745100739</v>
      </c>
      <c r="AB3486" t="str">
        <f>HYPERLINK("Melting_Curves/meltCurve_Q15334_LLGL1.pdf", "Melting_Curves/meltCurve_Q15334_LLGL1.pdf")</f>
        <v>Melting_Curves/meltCurve_Q15334_LLGL1.pdf</v>
      </c>
    </row>
    <row r="3487" spans="1:28" x14ac:dyDescent="0.25">
      <c r="A3487" t="s">
        <v>3491</v>
      </c>
      <c r="B3487">
        <v>0.99673306730245903</v>
      </c>
      <c r="C3487">
        <v>0.954702282155379</v>
      </c>
      <c r="D3487">
        <v>0.74605300863582003</v>
      </c>
      <c r="E3487">
        <v>0.30746612226976</v>
      </c>
      <c r="F3487">
        <v>0.159402082730911</v>
      </c>
      <c r="G3487">
        <v>0.10900169369724599</v>
      </c>
      <c r="H3487">
        <v>5.9114815151136701E-2</v>
      </c>
      <c r="I3487">
        <v>7.1996804779961204E-2</v>
      </c>
      <c r="J3487">
        <v>6.4276971037453598E-2</v>
      </c>
      <c r="K3487">
        <v>5.5535004029297001E-2</v>
      </c>
      <c r="L3487">
        <v>1216.2095754086399</v>
      </c>
      <c r="M3487">
        <v>25.494392882274401</v>
      </c>
      <c r="N3487">
        <v>47.990778519687197</v>
      </c>
      <c r="O3487">
        <v>47.414374102801297</v>
      </c>
      <c r="P3487">
        <v>-0.124957098937513</v>
      </c>
      <c r="Q3487">
        <v>7.0432639740442296E-2</v>
      </c>
      <c r="R3487">
        <v>0.99843071447005904</v>
      </c>
      <c r="S3487" t="s">
        <v>9939</v>
      </c>
      <c r="T3487" t="s">
        <v>12902</v>
      </c>
      <c r="U3487" t="s">
        <v>12902</v>
      </c>
      <c r="V3487" t="s">
        <v>12902</v>
      </c>
      <c r="W3487" t="s">
        <v>16348</v>
      </c>
      <c r="X3487">
        <v>3</v>
      </c>
      <c r="Y3487" t="s">
        <v>22671</v>
      </c>
      <c r="Z3487" t="s">
        <v>29062</v>
      </c>
      <c r="AA3487">
        <v>0.31706416674882859</v>
      </c>
      <c r="AB3487" t="str">
        <f>HYPERLINK("Melting_Curves/meltCurve_Q15345_3_LRRC41.pdf", "Melting_Curves/meltCurve_Q15345_3_LRRC41.pdf")</f>
        <v>Melting_Curves/meltCurve_Q15345_3_LRRC41.pdf</v>
      </c>
    </row>
    <row r="3488" spans="1:28" x14ac:dyDescent="0.25">
      <c r="A3488" t="s">
        <v>3492</v>
      </c>
      <c r="B3488">
        <v>0.99673306730245903</v>
      </c>
      <c r="C3488">
        <v>0.93331152023915498</v>
      </c>
      <c r="D3488">
        <v>0.88573040422331695</v>
      </c>
      <c r="E3488">
        <v>0.83391366709389803</v>
      </c>
      <c r="F3488">
        <v>0.41162047396971402</v>
      </c>
      <c r="G3488">
        <v>0.235537822387093</v>
      </c>
      <c r="H3488">
        <v>9.51813394786864E-2</v>
      </c>
      <c r="I3488">
        <v>0.107120958701287</v>
      </c>
      <c r="J3488">
        <v>0.136545831078491</v>
      </c>
      <c r="K3488">
        <v>0.11417460131231399</v>
      </c>
      <c r="L3488">
        <v>1240.82339846326</v>
      </c>
      <c r="M3488">
        <v>23.847021259340099</v>
      </c>
      <c r="N3488">
        <v>52.554014295965501</v>
      </c>
      <c r="O3488">
        <v>51.670881672769397</v>
      </c>
      <c r="P3488">
        <v>-0.103226951123135</v>
      </c>
      <c r="Q3488">
        <v>0.10534049161643801</v>
      </c>
      <c r="R3488">
        <v>0.98879963272495697</v>
      </c>
      <c r="S3488" t="s">
        <v>9940</v>
      </c>
      <c r="T3488" t="s">
        <v>12902</v>
      </c>
      <c r="U3488" t="s">
        <v>12902</v>
      </c>
      <c r="V3488" t="s">
        <v>12902</v>
      </c>
      <c r="W3488" t="s">
        <v>16349</v>
      </c>
      <c r="X3488">
        <v>4</v>
      </c>
      <c r="Y3488" t="s">
        <v>22672</v>
      </c>
      <c r="Z3488" t="s">
        <v>29063</v>
      </c>
      <c r="AA3488">
        <v>0.47311958641538382</v>
      </c>
      <c r="AB3488" t="str">
        <f>HYPERLINK("Melting_Curves/meltCurve_Q15363_TMED2.pdf", "Melting_Curves/meltCurve_Q15363_TMED2.pdf")</f>
        <v>Melting_Curves/meltCurve_Q15363_TMED2.pdf</v>
      </c>
    </row>
    <row r="3489" spans="1:28" x14ac:dyDescent="0.25">
      <c r="A3489" t="s">
        <v>3493</v>
      </c>
      <c r="B3489">
        <v>0.99673306730245903</v>
      </c>
      <c r="C3489">
        <v>1.0723358415175399</v>
      </c>
      <c r="D3489">
        <v>0.55505535807075701</v>
      </c>
      <c r="E3489">
        <v>0.38971894548165598</v>
      </c>
      <c r="F3489">
        <v>0.13242263333227999</v>
      </c>
      <c r="G3489">
        <v>7.6137973318817401E-2</v>
      </c>
      <c r="H3489">
        <v>4.2645265735714498E-2</v>
      </c>
      <c r="I3489">
        <v>4.02642565584918E-2</v>
      </c>
      <c r="J3489">
        <v>4.3307007524624901E-2</v>
      </c>
      <c r="K3489">
        <v>3.7298722368316897E-2</v>
      </c>
      <c r="L3489">
        <v>1008.84388956072</v>
      </c>
      <c r="M3489">
        <v>21.237193687998001</v>
      </c>
      <c r="N3489">
        <v>47.707689675965803</v>
      </c>
      <c r="O3489">
        <v>47.088433398352301</v>
      </c>
      <c r="P3489">
        <v>-0.10785916502393</v>
      </c>
      <c r="Q3489">
        <v>4.3415749227249299E-2</v>
      </c>
      <c r="R3489">
        <v>0.96828270063999999</v>
      </c>
      <c r="S3489" t="s">
        <v>9941</v>
      </c>
      <c r="T3489" t="s">
        <v>12902</v>
      </c>
      <c r="U3489" t="s">
        <v>12902</v>
      </c>
      <c r="V3489" t="s">
        <v>12902</v>
      </c>
      <c r="W3489" t="s">
        <v>16350</v>
      </c>
      <c r="X3489">
        <v>20</v>
      </c>
      <c r="Y3489" t="s">
        <v>22673</v>
      </c>
      <c r="Z3489" t="s">
        <v>29064</v>
      </c>
      <c r="AA3489">
        <v>0.29475964027003348</v>
      </c>
      <c r="AB3489" t="str">
        <f>HYPERLINK("Melting_Curves/meltCurve_Q15365_PCBP1.pdf", "Melting_Curves/meltCurve_Q15365_PCBP1.pdf")</f>
        <v>Melting_Curves/meltCurve_Q15365_PCBP1.pdf</v>
      </c>
    </row>
    <row r="3490" spans="1:28" x14ac:dyDescent="0.25">
      <c r="A3490" t="s">
        <v>3494</v>
      </c>
      <c r="B3490">
        <v>0.99673306730245903</v>
      </c>
      <c r="C3490">
        <v>1.0232474297166001</v>
      </c>
      <c r="D3490">
        <v>0.88216747875666401</v>
      </c>
      <c r="E3490">
        <v>0.58678358258382801</v>
      </c>
      <c r="F3490">
        <v>0.54698629756865802</v>
      </c>
      <c r="G3490">
        <v>0.38374423636417998</v>
      </c>
      <c r="H3490">
        <v>0.221519728098409</v>
      </c>
      <c r="I3490">
        <v>0.30161158674621702</v>
      </c>
      <c r="J3490">
        <v>0.32040260155196998</v>
      </c>
      <c r="K3490">
        <v>0.326027090972413</v>
      </c>
      <c r="L3490">
        <v>886.48591522425397</v>
      </c>
      <c r="M3490">
        <v>17.7884751757089</v>
      </c>
      <c r="N3490">
        <v>52.425610515190201</v>
      </c>
      <c r="O3490">
        <v>49.217839705916802</v>
      </c>
      <c r="P3490">
        <v>-6.3937695041232506E-2</v>
      </c>
      <c r="Q3490">
        <v>0.29241544233322703</v>
      </c>
      <c r="R3490">
        <v>0.96714745077825603</v>
      </c>
      <c r="S3490" t="s">
        <v>9942</v>
      </c>
      <c r="T3490" t="s">
        <v>12902</v>
      </c>
      <c r="U3490" t="s">
        <v>12902</v>
      </c>
      <c r="V3490" t="s">
        <v>12902</v>
      </c>
      <c r="W3490" t="s">
        <v>16351</v>
      </c>
      <c r="X3490">
        <v>15</v>
      </c>
      <c r="Y3490" t="s">
        <v>22674</v>
      </c>
      <c r="Z3490" t="s">
        <v>29065</v>
      </c>
      <c r="AA3490">
        <v>0.53675144813412179</v>
      </c>
      <c r="AB3490" t="str">
        <f>HYPERLINK("Melting_Curves/meltCurve_Q15366_PCBP2.pdf", "Melting_Curves/meltCurve_Q15366_PCBP2.pdf")</f>
        <v>Melting_Curves/meltCurve_Q15366_PCBP2.pdf</v>
      </c>
    </row>
    <row r="3491" spans="1:28" x14ac:dyDescent="0.25">
      <c r="A3491" t="s">
        <v>3495</v>
      </c>
      <c r="B3491">
        <v>0.99673306730245903</v>
      </c>
      <c r="C3491">
        <v>0.93264780515867896</v>
      </c>
      <c r="D3491">
        <v>0.68114805464860595</v>
      </c>
      <c r="E3491">
        <v>0.29793906080367899</v>
      </c>
      <c r="F3491">
        <v>0.141630314177279</v>
      </c>
      <c r="G3491">
        <v>9.6904022391983799E-2</v>
      </c>
      <c r="H3491">
        <v>5.2285574859647903E-2</v>
      </c>
      <c r="I3491">
        <v>4.7185455828884101E-2</v>
      </c>
      <c r="J3491">
        <v>4.7313858161077402E-2</v>
      </c>
      <c r="K3491">
        <v>4.39182225378753E-2</v>
      </c>
      <c r="L3491">
        <v>1075.52300228489</v>
      </c>
      <c r="M3491">
        <v>22.6841332344645</v>
      </c>
      <c r="N3491">
        <v>47.645291949102997</v>
      </c>
      <c r="O3491">
        <v>47.049135249017503</v>
      </c>
      <c r="P3491">
        <v>-0.11422693463332501</v>
      </c>
      <c r="Q3491">
        <v>5.2346629298457903E-2</v>
      </c>
      <c r="R3491">
        <v>0.99899950761374601</v>
      </c>
      <c r="S3491" t="s">
        <v>9943</v>
      </c>
      <c r="T3491" t="s">
        <v>12902</v>
      </c>
      <c r="U3491" t="s">
        <v>12902</v>
      </c>
      <c r="V3491" t="s">
        <v>12902</v>
      </c>
      <c r="W3491" t="s">
        <v>16352</v>
      </c>
      <c r="X3491">
        <v>15</v>
      </c>
      <c r="Y3491" t="s">
        <v>22674</v>
      </c>
      <c r="Z3491" t="s">
        <v>29066</v>
      </c>
      <c r="AA3491">
        <v>0.29690102163960869</v>
      </c>
      <c r="AB3491" t="str">
        <f>HYPERLINK("Melting_Curves/meltCurve_Q15366_2_PCBP2.pdf", "Melting_Curves/meltCurve_Q15366_2_PCBP2.pdf")</f>
        <v>Melting_Curves/meltCurve_Q15366_2_PCBP2.pdf</v>
      </c>
    </row>
    <row r="3492" spans="1:28" x14ac:dyDescent="0.25">
      <c r="A3492" t="s">
        <v>3496</v>
      </c>
      <c r="B3492">
        <v>0.99673306730245903</v>
      </c>
      <c r="C3492">
        <v>0.98118621810560303</v>
      </c>
      <c r="D3492">
        <v>0.70906994845605298</v>
      </c>
      <c r="E3492">
        <v>0.300852562342596</v>
      </c>
      <c r="F3492">
        <v>0.114911665107055</v>
      </c>
      <c r="G3492">
        <v>6.1380212826943802E-2</v>
      </c>
      <c r="H3492">
        <v>3.8548627776818702E-2</v>
      </c>
      <c r="I3492">
        <v>3.4418104921047202E-2</v>
      </c>
      <c r="J3492">
        <v>2.7825206441839102E-2</v>
      </c>
      <c r="K3492">
        <v>2.4588914879262298E-2</v>
      </c>
      <c r="L3492">
        <v>1194.60354531607</v>
      </c>
      <c r="M3492">
        <v>25.0521809200471</v>
      </c>
      <c r="N3492">
        <v>47.821598650560503</v>
      </c>
      <c r="O3492">
        <v>47.383890514647298</v>
      </c>
      <c r="P3492">
        <v>-0.12760193207110901</v>
      </c>
      <c r="Q3492">
        <v>3.4623714618138603E-2</v>
      </c>
      <c r="R3492">
        <v>0.99862053597099998</v>
      </c>
      <c r="S3492" t="s">
        <v>9944</v>
      </c>
      <c r="T3492" t="s">
        <v>12902</v>
      </c>
      <c r="U3492" t="s">
        <v>12902</v>
      </c>
      <c r="V3492" t="s">
        <v>12902</v>
      </c>
      <c r="W3492" t="s">
        <v>16353</v>
      </c>
      <c r="X3492">
        <v>15</v>
      </c>
      <c r="Y3492" t="s">
        <v>22674</v>
      </c>
      <c r="Z3492" t="s">
        <v>29067</v>
      </c>
      <c r="AA3492">
        <v>0.2904147724398663</v>
      </c>
      <c r="AB3492" t="str">
        <f>HYPERLINK("Melting_Curves/meltCurve_Q15366_3_PCBP2.pdf", "Melting_Curves/meltCurve_Q15366_3_PCBP2.pdf")</f>
        <v>Melting_Curves/meltCurve_Q15366_3_PCBP2.pdf</v>
      </c>
    </row>
    <row r="3493" spans="1:28" x14ac:dyDescent="0.25">
      <c r="A3493" t="s">
        <v>3497</v>
      </c>
      <c r="B3493">
        <v>0.99673306730245903</v>
      </c>
      <c r="C3493">
        <v>0.90869852744011004</v>
      </c>
      <c r="D3493">
        <v>0.81959959583460196</v>
      </c>
      <c r="E3493">
        <v>0.91476719511656601</v>
      </c>
      <c r="F3493">
        <v>0.39101510598739198</v>
      </c>
      <c r="G3493">
        <v>0.17763523698852199</v>
      </c>
      <c r="H3493">
        <v>9.8047644777842002E-2</v>
      </c>
      <c r="I3493">
        <v>8.7128713686044204E-2</v>
      </c>
      <c r="J3493">
        <v>9.7146370455132497E-2</v>
      </c>
      <c r="K3493">
        <v>8.9258218559117294E-2</v>
      </c>
      <c r="L3493">
        <v>1777.90617181891</v>
      </c>
      <c r="M3493">
        <v>34.033310986061203</v>
      </c>
      <c r="N3493">
        <v>52.5638294121472</v>
      </c>
      <c r="O3493">
        <v>52.060800243006199</v>
      </c>
      <c r="P3493">
        <v>-0.14798254058381</v>
      </c>
      <c r="Q3493">
        <v>9.4527235050960903E-2</v>
      </c>
      <c r="R3493">
        <v>0.97184789524580095</v>
      </c>
      <c r="S3493" t="s">
        <v>9945</v>
      </c>
      <c r="T3493" t="s">
        <v>12902</v>
      </c>
      <c r="U3493" t="s">
        <v>12902</v>
      </c>
      <c r="V3493" t="s">
        <v>12902</v>
      </c>
      <c r="W3493" t="s">
        <v>16354</v>
      </c>
      <c r="X3493">
        <v>14</v>
      </c>
      <c r="Y3493" t="s">
        <v>22675</v>
      </c>
      <c r="Z3493" t="s">
        <v>29068</v>
      </c>
      <c r="AA3493">
        <v>0.46848351209835543</v>
      </c>
      <c r="AB3493" t="str">
        <f>HYPERLINK("Melting_Curves/meltCurve_Q15370_TCEB2.pdf", "Melting_Curves/meltCurve_Q15370_TCEB2.pdf")</f>
        <v>Melting_Curves/meltCurve_Q15370_TCEB2.pdf</v>
      </c>
    </row>
    <row r="3494" spans="1:28" x14ac:dyDescent="0.25">
      <c r="A3494" t="s">
        <v>3498</v>
      </c>
      <c r="B3494">
        <v>0.99673306730245903</v>
      </c>
      <c r="C3494">
        <v>0.81822698030220398</v>
      </c>
      <c r="D3494">
        <v>0.79197353902270595</v>
      </c>
      <c r="E3494">
        <v>0.77490977615773304</v>
      </c>
      <c r="F3494">
        <v>0.690473823000196</v>
      </c>
      <c r="G3494">
        <v>0.48759027580356601</v>
      </c>
      <c r="H3494">
        <v>0.166131443408704</v>
      </c>
      <c r="I3494">
        <v>8.3182932109045302E-2</v>
      </c>
      <c r="J3494">
        <v>0.100242403755638</v>
      </c>
      <c r="K3494">
        <v>9.0777586567570095E-2</v>
      </c>
      <c r="L3494">
        <v>627.822648115795</v>
      </c>
      <c r="M3494">
        <v>11.423055628276201</v>
      </c>
      <c r="N3494">
        <v>54.9610076675513</v>
      </c>
      <c r="O3494">
        <v>53.3575124199496</v>
      </c>
      <c r="P3494">
        <v>-5.3536920401970403E-2</v>
      </c>
      <c r="Q3494">
        <v>0</v>
      </c>
      <c r="R3494">
        <v>0.94584814912954696</v>
      </c>
      <c r="S3494" t="s">
        <v>9946</v>
      </c>
      <c r="T3494" t="s">
        <v>12902</v>
      </c>
      <c r="U3494" t="s">
        <v>12902</v>
      </c>
      <c r="V3494" t="s">
        <v>12902</v>
      </c>
      <c r="W3494" t="s">
        <v>16355</v>
      </c>
      <c r="X3494">
        <v>7</v>
      </c>
      <c r="Y3494" t="s">
        <v>22676</v>
      </c>
      <c r="Z3494" t="s">
        <v>29069</v>
      </c>
      <c r="AA3494">
        <v>0.52304020909678761</v>
      </c>
      <c r="AB3494" t="str">
        <f>HYPERLINK("Melting_Curves/meltCurve_Q15382_RHEB.pdf", "Melting_Curves/meltCurve_Q15382_RHEB.pdf")</f>
        <v>Melting_Curves/meltCurve_Q15382_RHEB.pdf</v>
      </c>
    </row>
    <row r="3495" spans="1:28" x14ac:dyDescent="0.25">
      <c r="A3495" t="s">
        <v>3499</v>
      </c>
      <c r="B3495">
        <v>0.99673306730245903</v>
      </c>
      <c r="C3495">
        <v>0.945743010329269</v>
      </c>
      <c r="D3495">
        <v>0.86289081098934906</v>
      </c>
      <c r="E3495">
        <v>0.553572883279146</v>
      </c>
      <c r="F3495">
        <v>0.21317145688553801</v>
      </c>
      <c r="G3495">
        <v>0.15125963773066001</v>
      </c>
      <c r="H3495">
        <v>0.10640850495326599</v>
      </c>
      <c r="I3495">
        <v>0.115099809982864</v>
      </c>
      <c r="J3495">
        <v>0.146194484157364</v>
      </c>
      <c r="K3495">
        <v>0.13104506590524301</v>
      </c>
      <c r="L3495">
        <v>1235.41454731405</v>
      </c>
      <c r="M3495">
        <v>25.041006622561301</v>
      </c>
      <c r="N3495">
        <v>49.873714826186799</v>
      </c>
      <c r="O3495">
        <v>49.024254976224398</v>
      </c>
      <c r="P3495">
        <v>-0.112583588989227</v>
      </c>
      <c r="Q3495">
        <v>0.118365768370083</v>
      </c>
      <c r="R3495">
        <v>0.99689184534658404</v>
      </c>
      <c r="S3495" t="s">
        <v>9947</v>
      </c>
      <c r="T3495" t="s">
        <v>12902</v>
      </c>
      <c r="U3495" t="s">
        <v>12902</v>
      </c>
      <c r="V3495" t="s">
        <v>12902</v>
      </c>
      <c r="W3495" t="s">
        <v>16356</v>
      </c>
      <c r="X3495">
        <v>8</v>
      </c>
      <c r="Y3495" t="s">
        <v>22677</v>
      </c>
      <c r="Z3495" t="s">
        <v>29070</v>
      </c>
      <c r="AA3495">
        <v>0.40052577804954448</v>
      </c>
      <c r="AB3495" t="str">
        <f>HYPERLINK("Melting_Curves/meltCurve_Q15386_UBE3C.pdf", "Melting_Curves/meltCurve_Q15386_UBE3C.pdf")</f>
        <v>Melting_Curves/meltCurve_Q15386_UBE3C.pdf</v>
      </c>
    </row>
    <row r="3496" spans="1:28" x14ac:dyDescent="0.25">
      <c r="A3496" t="s">
        <v>3500</v>
      </c>
      <c r="B3496">
        <v>0.99673306730245903</v>
      </c>
      <c r="C3496">
        <v>0.95368273701487705</v>
      </c>
      <c r="D3496">
        <v>0.98626055560674497</v>
      </c>
      <c r="E3496">
        <v>1.3827060464818399</v>
      </c>
      <c r="F3496">
        <v>1.1431089327657</v>
      </c>
      <c r="G3496">
        <v>0.42995316070842599</v>
      </c>
      <c r="H3496">
        <v>0.216016644945113</v>
      </c>
      <c r="I3496">
        <v>0.14832986272314599</v>
      </c>
      <c r="J3496">
        <v>0.13868996126626701</v>
      </c>
      <c r="K3496">
        <v>0.110681141355976</v>
      </c>
      <c r="L3496">
        <v>14158.9096686585</v>
      </c>
      <c r="M3496">
        <v>250</v>
      </c>
      <c r="N3496">
        <v>56.718792499370601</v>
      </c>
      <c r="O3496">
        <v>56.632017173816301</v>
      </c>
      <c r="P3496">
        <v>-0.93428891440179496</v>
      </c>
      <c r="Q3496">
        <v>0.15342938935071099</v>
      </c>
      <c r="R3496">
        <v>0.918334165821177</v>
      </c>
      <c r="S3496" t="s">
        <v>9948</v>
      </c>
      <c r="T3496" t="s">
        <v>12902</v>
      </c>
      <c r="U3496" t="s">
        <v>12902</v>
      </c>
      <c r="V3496" t="s">
        <v>12902</v>
      </c>
      <c r="W3496" t="s">
        <v>16357</v>
      </c>
      <c r="X3496">
        <v>39</v>
      </c>
      <c r="Y3496" t="s">
        <v>22678</v>
      </c>
      <c r="Z3496" t="s">
        <v>29071</v>
      </c>
      <c r="AA3496">
        <v>0.6229549603299992</v>
      </c>
      <c r="AB3496" t="str">
        <f>HYPERLINK("Melting_Curves/meltCurve_Q15393_SF3B3.pdf", "Melting_Curves/meltCurve_Q15393_SF3B3.pdf")</f>
        <v>Melting_Curves/meltCurve_Q15393_SF3B3.pdf</v>
      </c>
    </row>
    <row r="3497" spans="1:28" x14ac:dyDescent="0.25">
      <c r="A3497" t="s">
        <v>3501</v>
      </c>
      <c r="B3497">
        <v>0.99673306730245903</v>
      </c>
      <c r="C3497">
        <v>0.75925828820900898</v>
      </c>
      <c r="D3497">
        <v>0.57166411574514597</v>
      </c>
      <c r="E3497">
        <v>0.355190890494616</v>
      </c>
      <c r="F3497">
        <v>0.22007130189042101</v>
      </c>
      <c r="G3497">
        <v>0.13219288583455399</v>
      </c>
      <c r="H3497">
        <v>9.9024923601173001E-2</v>
      </c>
      <c r="I3497">
        <v>0.146044923159801</v>
      </c>
      <c r="J3497">
        <v>0.20075735723539501</v>
      </c>
      <c r="K3497">
        <v>0.19887199139120501</v>
      </c>
      <c r="L3497">
        <v>809.05155531991295</v>
      </c>
      <c r="M3497">
        <v>17.640262007459899</v>
      </c>
      <c r="N3497">
        <v>46.809998126081197</v>
      </c>
      <c r="O3497">
        <v>45.286695622848796</v>
      </c>
      <c r="P3497">
        <v>-8.2783065776469503E-2</v>
      </c>
      <c r="Q3497">
        <v>0.149951126253626</v>
      </c>
      <c r="R3497">
        <v>0.980348851813301</v>
      </c>
      <c r="S3497" t="s">
        <v>9949</v>
      </c>
      <c r="T3497" t="s">
        <v>12902</v>
      </c>
      <c r="U3497" t="s">
        <v>12902</v>
      </c>
      <c r="V3497" t="s">
        <v>12902</v>
      </c>
      <c r="W3497" t="s">
        <v>16358</v>
      </c>
      <c r="X3497">
        <v>3</v>
      </c>
      <c r="Y3497" t="s">
        <v>22679</v>
      </c>
      <c r="Z3497" t="s">
        <v>29072</v>
      </c>
      <c r="AA3497">
        <v>0.33375455300216628</v>
      </c>
      <c r="AB3497" t="str">
        <f>HYPERLINK("Melting_Curves/meltCurve_Q15398_3_DLGAP5.pdf", "Melting_Curves/meltCurve_Q15398_3_DLGAP5.pdf")</f>
        <v>Melting_Curves/meltCurve_Q15398_3_DLGAP5.pdf</v>
      </c>
    </row>
    <row r="3498" spans="1:28" x14ac:dyDescent="0.25">
      <c r="A3498" t="s">
        <v>3502</v>
      </c>
      <c r="B3498">
        <v>0.99673306730245903</v>
      </c>
      <c r="C3498">
        <v>0.99116599953334505</v>
      </c>
      <c r="D3498">
        <v>0.87517496563076502</v>
      </c>
      <c r="E3498">
        <v>0.71388119246447201</v>
      </c>
      <c r="F3498">
        <v>0.38750056436769098</v>
      </c>
      <c r="G3498">
        <v>0.25669446118730299</v>
      </c>
      <c r="H3498">
        <v>0.11453870347780699</v>
      </c>
      <c r="I3498">
        <v>9.1936482270402006E-2</v>
      </c>
      <c r="J3498">
        <v>8.9930668491517193E-2</v>
      </c>
      <c r="K3498">
        <v>9.0738332568879504E-2</v>
      </c>
      <c r="L3498">
        <v>903.22320837474797</v>
      </c>
      <c r="M3498">
        <v>17.5158259324098</v>
      </c>
      <c r="N3498">
        <v>52.026856867584499</v>
      </c>
      <c r="O3498">
        <v>50.908073797590603</v>
      </c>
      <c r="P3498">
        <v>-7.9841748985633204E-2</v>
      </c>
      <c r="Q3498">
        <v>7.1841343516620706E-2</v>
      </c>
      <c r="R3498">
        <v>0.99736011393901502</v>
      </c>
      <c r="S3498" t="s">
        <v>9950</v>
      </c>
      <c r="T3498" t="s">
        <v>12902</v>
      </c>
      <c r="U3498" t="s">
        <v>12902</v>
      </c>
      <c r="V3498" t="s">
        <v>12902</v>
      </c>
      <c r="W3498" t="s">
        <v>16359</v>
      </c>
      <c r="X3498">
        <v>11</v>
      </c>
      <c r="Y3498" t="s">
        <v>22680</v>
      </c>
      <c r="Z3498" t="s">
        <v>29073</v>
      </c>
      <c r="AA3498">
        <v>0.445968098651777</v>
      </c>
      <c r="AB3498" t="str">
        <f>HYPERLINK("Melting_Curves/meltCurve_Q15404_RSU1.pdf", "Melting_Curves/meltCurve_Q15404_RSU1.pdf")</f>
        <v>Melting_Curves/meltCurve_Q15404_RSU1.pdf</v>
      </c>
    </row>
    <row r="3499" spans="1:28" x14ac:dyDescent="0.25">
      <c r="A3499" t="s">
        <v>3503</v>
      </c>
      <c r="B3499">
        <v>0.99673306730245903</v>
      </c>
      <c r="C3499">
        <v>0.93257621858861695</v>
      </c>
      <c r="D3499">
        <v>0.73544495048582303</v>
      </c>
      <c r="E3499">
        <v>0.48019852603230201</v>
      </c>
      <c r="F3499">
        <v>0.222427894959046</v>
      </c>
      <c r="G3499">
        <v>0.16730584191674899</v>
      </c>
      <c r="H3499">
        <v>0.13098929252431199</v>
      </c>
      <c r="I3499">
        <v>0.112548234503715</v>
      </c>
      <c r="J3499">
        <v>7.5285245484777399E-2</v>
      </c>
      <c r="K3499">
        <v>6.6905603616564502E-2</v>
      </c>
      <c r="L3499">
        <v>854.75127476876003</v>
      </c>
      <c r="M3499">
        <v>17.5828989435112</v>
      </c>
      <c r="N3499">
        <v>49.124715216405498</v>
      </c>
      <c r="O3499">
        <v>47.9969150464945</v>
      </c>
      <c r="P3499">
        <v>-8.39194746028053E-2</v>
      </c>
      <c r="Q3499">
        <v>8.3732906983472605E-2</v>
      </c>
      <c r="R3499">
        <v>0.99718504878284298</v>
      </c>
      <c r="S3499" t="s">
        <v>9951</v>
      </c>
      <c r="T3499" t="s">
        <v>12902</v>
      </c>
      <c r="U3499" t="s">
        <v>12902</v>
      </c>
      <c r="V3499" t="s">
        <v>12902</v>
      </c>
      <c r="W3499" t="s">
        <v>16360</v>
      </c>
      <c r="X3499">
        <v>16</v>
      </c>
      <c r="Y3499" t="s">
        <v>22681</v>
      </c>
      <c r="Z3499" t="s">
        <v>29074</v>
      </c>
      <c r="AA3499">
        <v>0.36355824392195879</v>
      </c>
      <c r="AB3499" t="str">
        <f>HYPERLINK("Melting_Curves/meltCurve_Q15417_CNN3.pdf", "Melting_Curves/meltCurve_Q15417_CNN3.pdf")</f>
        <v>Melting_Curves/meltCurve_Q15417_CNN3.pdf</v>
      </c>
    </row>
    <row r="3500" spans="1:28" x14ac:dyDescent="0.25">
      <c r="A3500" t="s">
        <v>3504</v>
      </c>
      <c r="B3500">
        <v>0.99673306730245903</v>
      </c>
      <c r="C3500">
        <v>0.96221389056706397</v>
      </c>
      <c r="D3500">
        <v>0.96365282256788198</v>
      </c>
      <c r="E3500">
        <v>0.92360255182293505</v>
      </c>
      <c r="F3500">
        <v>1.0293330302957799</v>
      </c>
      <c r="G3500">
        <v>1.21390857661109</v>
      </c>
      <c r="H3500">
        <v>1.2830554437585799</v>
      </c>
      <c r="I3500">
        <v>1.73237567561388</v>
      </c>
      <c r="J3500">
        <v>4.5090569944129397</v>
      </c>
      <c r="K3500">
        <v>4.6078948558306196</v>
      </c>
      <c r="L3500">
        <v>2741.2911375058302</v>
      </c>
      <c r="M3500">
        <v>47.778265580072102</v>
      </c>
      <c r="O3500">
        <v>57.275031421682698</v>
      </c>
      <c r="P3500">
        <v>0.10427387204072699</v>
      </c>
      <c r="Q3500">
        <v>1.5</v>
      </c>
      <c r="R3500">
        <v>2.21308976531004E-2</v>
      </c>
      <c r="S3500" t="s">
        <v>9952</v>
      </c>
      <c r="T3500" t="s">
        <v>12902</v>
      </c>
      <c r="U3500" t="s">
        <v>12902</v>
      </c>
      <c r="V3500" t="s">
        <v>12902</v>
      </c>
      <c r="W3500" t="s">
        <v>16361</v>
      </c>
      <c r="X3500">
        <v>51</v>
      </c>
      <c r="Y3500" t="s">
        <v>22682</v>
      </c>
      <c r="Z3500" t="s">
        <v>29075</v>
      </c>
      <c r="AA3500">
        <v>1.209031178305553</v>
      </c>
      <c r="AB3500" t="str">
        <f>HYPERLINK("Melting_Curves/meltCurve_Q15424_SAFB.pdf", "Melting_Curves/meltCurve_Q15424_SAFB.pdf")</f>
        <v>Melting_Curves/meltCurve_Q15424_SAFB.pdf</v>
      </c>
    </row>
    <row r="3501" spans="1:28" x14ac:dyDescent="0.25">
      <c r="A3501" t="s">
        <v>3505</v>
      </c>
      <c r="B3501">
        <v>0.99673306730245903</v>
      </c>
      <c r="C3501">
        <v>0.91575380778438598</v>
      </c>
      <c r="D3501">
        <v>0.84651128075195203</v>
      </c>
      <c r="E3501">
        <v>0.44872031365520298</v>
      </c>
      <c r="F3501">
        <v>0.189968871776034</v>
      </c>
      <c r="G3501">
        <v>9.7613735926113596E-2</v>
      </c>
      <c r="H3501">
        <v>6.1048043891223001E-2</v>
      </c>
      <c r="I3501">
        <v>6.5812906373789504E-2</v>
      </c>
      <c r="J3501">
        <v>8.4962622691040504E-2</v>
      </c>
      <c r="K3501">
        <v>8.4342596752397803E-2</v>
      </c>
      <c r="L3501">
        <v>1154.8204322614899</v>
      </c>
      <c r="M3501">
        <v>23.633743995231299</v>
      </c>
      <c r="N3501">
        <v>49.174446444832597</v>
      </c>
      <c r="O3501">
        <v>48.517409372081097</v>
      </c>
      <c r="P3501">
        <v>-0.113321852777368</v>
      </c>
      <c r="Q3501">
        <v>6.9467982867046196E-2</v>
      </c>
      <c r="R3501">
        <v>0.99725865806096803</v>
      </c>
      <c r="S3501" t="s">
        <v>9953</v>
      </c>
      <c r="T3501" t="s">
        <v>12902</v>
      </c>
      <c r="U3501" t="s">
        <v>12902</v>
      </c>
      <c r="V3501" t="s">
        <v>12902</v>
      </c>
      <c r="W3501" t="s">
        <v>16362</v>
      </c>
      <c r="X3501">
        <v>13</v>
      </c>
      <c r="Y3501" t="s">
        <v>22683</v>
      </c>
      <c r="Z3501" t="s">
        <v>29076</v>
      </c>
      <c r="AA3501">
        <v>0.35363918479781592</v>
      </c>
      <c r="AB3501" t="str">
        <f>HYPERLINK("Melting_Curves/meltCurve_Q15428_SF3A2.pdf", "Melting_Curves/meltCurve_Q15428_SF3A2.pdf")</f>
        <v>Melting_Curves/meltCurve_Q15428_SF3A2.pdf</v>
      </c>
    </row>
    <row r="3502" spans="1:28" x14ac:dyDescent="0.25">
      <c r="A3502" t="s">
        <v>3506</v>
      </c>
      <c r="B3502">
        <v>0.99673306730245903</v>
      </c>
      <c r="C3502">
        <v>0.96383449306774904</v>
      </c>
      <c r="D3502">
        <v>0.89944890271210698</v>
      </c>
      <c r="E3502">
        <v>0.81246367343005699</v>
      </c>
      <c r="F3502">
        <v>0.34869822028882103</v>
      </c>
      <c r="G3502">
        <v>0.14887204824588199</v>
      </c>
      <c r="H3502">
        <v>7.7263759063537593E-2</v>
      </c>
      <c r="I3502">
        <v>5.8587280632814098E-2</v>
      </c>
      <c r="J3502">
        <v>5.8758747401577202E-2</v>
      </c>
      <c r="K3502">
        <v>4.4373400548085702E-2</v>
      </c>
      <c r="L3502">
        <v>1368.1701749046699</v>
      </c>
      <c r="M3502">
        <v>26.4020453957177</v>
      </c>
      <c r="N3502">
        <v>52.041087417174801</v>
      </c>
      <c r="O3502">
        <v>51.526073341651603</v>
      </c>
      <c r="P3502">
        <v>-0.121323721177752</v>
      </c>
      <c r="Q3502">
        <v>5.2911867221159099E-2</v>
      </c>
      <c r="R3502">
        <v>0.99525275525160195</v>
      </c>
      <c r="S3502" t="s">
        <v>9954</v>
      </c>
      <c r="T3502" t="s">
        <v>12902</v>
      </c>
      <c r="U3502" t="s">
        <v>12902</v>
      </c>
      <c r="V3502" t="s">
        <v>12902</v>
      </c>
      <c r="W3502" t="s">
        <v>16363</v>
      </c>
      <c r="X3502">
        <v>25</v>
      </c>
      <c r="Y3502" t="s">
        <v>22684</v>
      </c>
      <c r="Z3502" t="s">
        <v>29077</v>
      </c>
      <c r="AA3502">
        <v>0.43384630866086432</v>
      </c>
      <c r="AB3502" t="str">
        <f>HYPERLINK("Melting_Curves/meltCurve_Q15435_PPP1R7.pdf", "Melting_Curves/meltCurve_Q15435_PPP1R7.pdf")</f>
        <v>Melting_Curves/meltCurve_Q15435_PPP1R7.pdf</v>
      </c>
    </row>
    <row r="3503" spans="1:28" x14ac:dyDescent="0.25">
      <c r="A3503" t="s">
        <v>3507</v>
      </c>
      <c r="B3503">
        <v>0.99673306730245903</v>
      </c>
      <c r="C3503">
        <v>0.93156386809764402</v>
      </c>
      <c r="D3503">
        <v>0.77100056885634405</v>
      </c>
      <c r="E3503">
        <v>0.69003354607652601</v>
      </c>
      <c r="F3503">
        <v>0.43269560907271798</v>
      </c>
      <c r="G3503">
        <v>0.31368057586060499</v>
      </c>
      <c r="H3503">
        <v>8.1070783849070002E-2</v>
      </c>
      <c r="I3503">
        <v>6.8363271489623303E-2</v>
      </c>
      <c r="J3503">
        <v>6.2407539681585203E-2</v>
      </c>
      <c r="K3503">
        <v>5.1387427520971703E-2</v>
      </c>
      <c r="L3503">
        <v>641.83231135676999</v>
      </c>
      <c r="M3503">
        <v>12.3228949678949</v>
      </c>
      <c r="N3503">
        <v>52.0845222492323</v>
      </c>
      <c r="O3503">
        <v>50.7699153114336</v>
      </c>
      <c r="P3503">
        <v>-6.0693301065108403E-2</v>
      </c>
      <c r="Q3503">
        <v>0</v>
      </c>
      <c r="R3503">
        <v>0.98953817716237302</v>
      </c>
      <c r="S3503" t="s">
        <v>9955</v>
      </c>
      <c r="T3503" t="s">
        <v>12902</v>
      </c>
      <c r="U3503" t="s">
        <v>12902</v>
      </c>
      <c r="V3503" t="s">
        <v>12902</v>
      </c>
      <c r="W3503" t="s">
        <v>16364</v>
      </c>
      <c r="X3503">
        <v>25</v>
      </c>
      <c r="Y3503" t="s">
        <v>22685</v>
      </c>
      <c r="Z3503" t="s">
        <v>29078</v>
      </c>
      <c r="AA3503">
        <v>0.43222634627866302</v>
      </c>
      <c r="AB3503" t="str">
        <f>HYPERLINK("Melting_Curves/meltCurve_Q15437_SEC23B.pdf", "Melting_Curves/meltCurve_Q15437_SEC23B.pdf")</f>
        <v>Melting_Curves/meltCurve_Q15437_SEC23B.pdf</v>
      </c>
    </row>
    <row r="3504" spans="1:28" x14ac:dyDescent="0.25">
      <c r="A3504" t="s">
        <v>3508</v>
      </c>
      <c r="B3504">
        <v>0.99673306730245903</v>
      </c>
      <c r="C3504">
        <v>0.99998009330519999</v>
      </c>
      <c r="D3504">
        <v>0.616456458538858</v>
      </c>
      <c r="E3504">
        <v>0.45121523849698603</v>
      </c>
      <c r="F3504">
        <v>0.233864522034407</v>
      </c>
      <c r="G3504">
        <v>0.13176559651886699</v>
      </c>
      <c r="H3504">
        <v>8.3749281609959397E-2</v>
      </c>
      <c r="I3504">
        <v>7.9651996777670306E-2</v>
      </c>
      <c r="J3504">
        <v>8.1169317884959E-2</v>
      </c>
      <c r="K3504">
        <v>7.5474564678061795E-2</v>
      </c>
      <c r="L3504">
        <v>841.37214321309705</v>
      </c>
      <c r="M3504">
        <v>17.499115337265401</v>
      </c>
      <c r="N3504">
        <v>48.519161280533901</v>
      </c>
      <c r="O3504">
        <v>47.466097256866298</v>
      </c>
      <c r="P3504">
        <v>-8.5432278525390398E-2</v>
      </c>
      <c r="Q3504">
        <v>7.3115388090043698E-2</v>
      </c>
      <c r="R3504">
        <v>0.98330909780487197</v>
      </c>
      <c r="S3504" t="s">
        <v>9956</v>
      </c>
      <c r="T3504" t="s">
        <v>12902</v>
      </c>
      <c r="U3504" t="s">
        <v>12902</v>
      </c>
      <c r="V3504" t="s">
        <v>12902</v>
      </c>
      <c r="W3504" t="s">
        <v>16365</v>
      </c>
      <c r="X3504">
        <v>24</v>
      </c>
      <c r="Y3504" t="s">
        <v>22686</v>
      </c>
      <c r="Z3504" t="s">
        <v>29079</v>
      </c>
      <c r="AA3504">
        <v>0.3401773275971644</v>
      </c>
      <c r="AB3504" t="str">
        <f>HYPERLINK("Melting_Curves/meltCurve_Q15459_SF3A1.pdf", "Melting_Curves/meltCurve_Q15459_SF3A1.pdf")</f>
        <v>Melting_Curves/meltCurve_Q15459_SF3A1.pdf</v>
      </c>
    </row>
    <row r="3505" spans="1:28" x14ac:dyDescent="0.25">
      <c r="A3505" t="s">
        <v>3509</v>
      </c>
      <c r="B3505">
        <v>0.99673306730245903</v>
      </c>
      <c r="C3505">
        <v>0.97140236521760404</v>
      </c>
      <c r="D3505">
        <v>0.91194037359469804</v>
      </c>
      <c r="E3505">
        <v>0.64903925713912103</v>
      </c>
      <c r="F3505">
        <v>0.27678980578263701</v>
      </c>
      <c r="G3505">
        <v>0.174397978175725</v>
      </c>
      <c r="H3505">
        <v>0.12507713180230901</v>
      </c>
      <c r="I3505">
        <v>0.147560037635901</v>
      </c>
      <c r="J3505">
        <v>0.194272256587631</v>
      </c>
      <c r="K3505">
        <v>0.21373226941821799</v>
      </c>
      <c r="L3505">
        <v>1472.6691742688499</v>
      </c>
      <c r="M3505">
        <v>29.445491557277201</v>
      </c>
      <c r="N3505">
        <v>50.699394985129103</v>
      </c>
      <c r="O3505">
        <v>49.784426911777203</v>
      </c>
      <c r="P3505">
        <v>-0.12357038023469701</v>
      </c>
      <c r="Q3505">
        <v>0.16430841160766399</v>
      </c>
      <c r="R3505">
        <v>0.99405956071034896</v>
      </c>
      <c r="S3505" t="s">
        <v>9957</v>
      </c>
      <c r="T3505" t="s">
        <v>12902</v>
      </c>
      <c r="U3505" t="s">
        <v>12902</v>
      </c>
      <c r="V3505" t="s">
        <v>12902</v>
      </c>
      <c r="W3505" t="s">
        <v>16366</v>
      </c>
      <c r="X3505">
        <v>7</v>
      </c>
      <c r="Y3505" t="s">
        <v>22687</v>
      </c>
      <c r="Z3505" t="s">
        <v>29080</v>
      </c>
      <c r="AA3505">
        <v>0.44861444860034938</v>
      </c>
      <c r="AB3505" t="str">
        <f>HYPERLINK("Melting_Curves/meltCurve_Q15464_SHB.pdf", "Melting_Curves/meltCurve_Q15464_SHB.pdf")</f>
        <v>Melting_Curves/meltCurve_Q15464_SHB.pdf</v>
      </c>
    </row>
    <row r="3506" spans="1:28" x14ac:dyDescent="0.25">
      <c r="A3506" t="s">
        <v>3510</v>
      </c>
      <c r="B3506">
        <v>0.99673306730245903</v>
      </c>
      <c r="C3506">
        <v>0.88271468771822004</v>
      </c>
      <c r="D3506">
        <v>0.568438074191712</v>
      </c>
      <c r="E3506">
        <v>0.29644448742342</v>
      </c>
      <c r="F3506">
        <v>0.23470466806788201</v>
      </c>
      <c r="G3506">
        <v>0.11908472038804301</v>
      </c>
      <c r="H3506">
        <v>8.3491665601978807E-2</v>
      </c>
      <c r="I3506">
        <v>9.5400516297541593E-2</v>
      </c>
      <c r="J3506">
        <v>0.125021593103601</v>
      </c>
      <c r="K3506">
        <v>0.138502416139519</v>
      </c>
      <c r="L3506">
        <v>963.49672134188097</v>
      </c>
      <c r="M3506">
        <v>20.777174428315401</v>
      </c>
      <c r="N3506">
        <v>46.969586382932498</v>
      </c>
      <c r="O3506">
        <v>45.9496791592032</v>
      </c>
      <c r="P3506">
        <v>-9.9932926454648296E-2</v>
      </c>
      <c r="Q3506">
        <v>0.115999619596783</v>
      </c>
      <c r="R3506">
        <v>0.99186489806135902</v>
      </c>
      <c r="S3506" t="s">
        <v>9958</v>
      </c>
      <c r="T3506" t="s">
        <v>12902</v>
      </c>
      <c r="U3506" t="s">
        <v>12902</v>
      </c>
      <c r="V3506" t="s">
        <v>12902</v>
      </c>
      <c r="W3506" t="s">
        <v>16367</v>
      </c>
      <c r="X3506">
        <v>11</v>
      </c>
      <c r="Y3506" t="s">
        <v>22688</v>
      </c>
      <c r="Z3506" t="s">
        <v>29081</v>
      </c>
      <c r="AA3506">
        <v>0.31602401348658282</v>
      </c>
      <c r="AB3506" t="str">
        <f>HYPERLINK("Melting_Curves/meltCurve_Q15477_SKIV2L.pdf", "Melting_Curves/meltCurve_Q15477_SKIV2L.pdf")</f>
        <v>Melting_Curves/meltCurve_Q15477_SKIV2L.pdf</v>
      </c>
    </row>
    <row r="3507" spans="1:28" x14ac:dyDescent="0.25">
      <c r="A3507" t="s">
        <v>3511</v>
      </c>
      <c r="B3507">
        <v>0.99673306730245903</v>
      </c>
      <c r="C3507">
        <v>1.0297577182948501</v>
      </c>
      <c r="D3507">
        <v>1.04734492839086</v>
      </c>
      <c r="E3507">
        <v>0.79676261421665895</v>
      </c>
      <c r="F3507">
        <v>0.62359567012517503</v>
      </c>
      <c r="G3507">
        <v>0.484085544844365</v>
      </c>
      <c r="H3507">
        <v>0.53398390333434598</v>
      </c>
      <c r="I3507">
        <v>0.96635282112662302</v>
      </c>
      <c r="J3507">
        <v>1.47837026476676</v>
      </c>
      <c r="K3507">
        <v>1.42502027859907</v>
      </c>
      <c r="L3507">
        <v>15000</v>
      </c>
      <c r="M3507">
        <v>228.84111832078099</v>
      </c>
      <c r="O3507">
        <v>65.542639932344599</v>
      </c>
      <c r="P3507">
        <v>0.39513699442118999</v>
      </c>
      <c r="Q3507">
        <v>1.4526866109791601</v>
      </c>
      <c r="R3507">
        <v>0.35476092287733102</v>
      </c>
      <c r="S3507" t="s">
        <v>9959</v>
      </c>
      <c r="T3507" t="s">
        <v>12902</v>
      </c>
      <c r="U3507" t="s">
        <v>12902</v>
      </c>
      <c r="V3507" t="s">
        <v>12902</v>
      </c>
      <c r="W3507" t="s">
        <v>16368</v>
      </c>
      <c r="X3507">
        <v>2</v>
      </c>
      <c r="Y3507" t="s">
        <v>22689</v>
      </c>
      <c r="Z3507" t="s">
        <v>29082</v>
      </c>
      <c r="AA3507">
        <v>1.067121661371812</v>
      </c>
      <c r="AB3507" t="str">
        <f>HYPERLINK("Melting_Curves/meltCurve_Q15506_SPA17.pdf", "Melting_Curves/meltCurve_Q15506_SPA17.pdf")</f>
        <v>Melting_Curves/meltCurve_Q15506_SPA17.pdf</v>
      </c>
    </row>
    <row r="3508" spans="1:28" x14ac:dyDescent="0.25">
      <c r="A3508" t="s">
        <v>3512</v>
      </c>
      <c r="B3508">
        <v>0.99673306730245903</v>
      </c>
      <c r="C3508">
        <v>1.0053177210420401</v>
      </c>
      <c r="D3508">
        <v>0.92380200417484204</v>
      </c>
      <c r="E3508">
        <v>0.79793284310859902</v>
      </c>
      <c r="F3508">
        <v>0.402498201687438</v>
      </c>
      <c r="G3508">
        <v>0.224424046182048</v>
      </c>
      <c r="H3508">
        <v>0.138260703246326</v>
      </c>
      <c r="I3508">
        <v>0.180058760015329</v>
      </c>
      <c r="J3508">
        <v>0.172204730409173</v>
      </c>
      <c r="K3508">
        <v>0.160658834377957</v>
      </c>
      <c r="L3508">
        <v>1403.11281659412</v>
      </c>
      <c r="M3508">
        <v>27.234991160406</v>
      </c>
      <c r="N3508">
        <v>52.250320913891997</v>
      </c>
      <c r="O3508">
        <v>51.2434009972526</v>
      </c>
      <c r="P3508">
        <v>-0.11180871743208</v>
      </c>
      <c r="Q3508">
        <v>0.15852308071656701</v>
      </c>
      <c r="R3508">
        <v>0.99695815145783395</v>
      </c>
      <c r="S3508" t="s">
        <v>9960</v>
      </c>
      <c r="T3508" t="s">
        <v>12902</v>
      </c>
      <c r="U3508" t="s">
        <v>12902</v>
      </c>
      <c r="V3508" t="s">
        <v>12902</v>
      </c>
      <c r="W3508" t="s">
        <v>16369</v>
      </c>
      <c r="X3508">
        <v>10</v>
      </c>
      <c r="Y3508" t="s">
        <v>22690</v>
      </c>
      <c r="Z3508" t="s">
        <v>29083</v>
      </c>
      <c r="AA3508">
        <v>0.48807875629444009</v>
      </c>
      <c r="AB3508" t="str">
        <f>HYPERLINK("Melting_Curves/meltCurve_Q15526_2_SURF1.pdf", "Melting_Curves/meltCurve_Q15526_2_SURF1.pdf")</f>
        <v>Melting_Curves/meltCurve_Q15526_2_SURF1.pdf</v>
      </c>
    </row>
    <row r="3509" spans="1:28" x14ac:dyDescent="0.25">
      <c r="A3509" t="s">
        <v>3513</v>
      </c>
      <c r="B3509">
        <v>0.99673306730245903</v>
      </c>
      <c r="C3509">
        <v>0.900747070314174</v>
      </c>
      <c r="D3509">
        <v>1.0958103265992001</v>
      </c>
      <c r="E3509">
        <v>0.92252252949305302</v>
      </c>
      <c r="F3509">
        <v>0.43918258375719998</v>
      </c>
      <c r="G3509">
        <v>0.30966431386450199</v>
      </c>
      <c r="H3509">
        <v>0.231519140931263</v>
      </c>
      <c r="I3509">
        <v>0.189999242795683</v>
      </c>
      <c r="J3509">
        <v>0.20714835634916401</v>
      </c>
      <c r="K3509">
        <v>0.17392216145918901</v>
      </c>
      <c r="L3509">
        <v>2092.7865079523299</v>
      </c>
      <c r="M3509">
        <v>40.134917060419099</v>
      </c>
      <c r="N3509">
        <v>52.877223989182099</v>
      </c>
      <c r="O3509">
        <v>52.014840615508</v>
      </c>
      <c r="P3509">
        <v>-0.15172683113944399</v>
      </c>
      <c r="Q3509">
        <v>0.21344998851338201</v>
      </c>
      <c r="R3509">
        <v>0.979343120183095</v>
      </c>
      <c r="S3509" t="s">
        <v>9961</v>
      </c>
      <c r="T3509" t="s">
        <v>12902</v>
      </c>
      <c r="U3509" t="s">
        <v>12902</v>
      </c>
      <c r="V3509" t="s">
        <v>12902</v>
      </c>
      <c r="W3509" t="s">
        <v>16370</v>
      </c>
      <c r="X3509">
        <v>9</v>
      </c>
      <c r="Y3509" t="s">
        <v>22691</v>
      </c>
      <c r="Z3509" t="s">
        <v>29084</v>
      </c>
      <c r="AA3509">
        <v>0.53465414789652665</v>
      </c>
      <c r="AB3509" t="str">
        <f>HYPERLINK("Melting_Curves/meltCurve_Q15527_SURF2.pdf", "Melting_Curves/meltCurve_Q15527_SURF2.pdf")</f>
        <v>Melting_Curves/meltCurve_Q15527_SURF2.pdf</v>
      </c>
    </row>
    <row r="3510" spans="1:28" x14ac:dyDescent="0.25">
      <c r="A3510" t="s">
        <v>3514</v>
      </c>
      <c r="B3510">
        <v>0.99673306730245903</v>
      </c>
      <c r="C3510">
        <v>1.0534252306946299</v>
      </c>
      <c r="D3510">
        <v>1.3889512784020701</v>
      </c>
      <c r="E3510">
        <v>1.1371383966408399</v>
      </c>
      <c r="F3510">
        <v>0.65969361904284496</v>
      </c>
      <c r="G3510">
        <v>0.32790089699589198</v>
      </c>
      <c r="H3510">
        <v>0.144210231020375</v>
      </c>
      <c r="I3510">
        <v>0.21961884053199501</v>
      </c>
      <c r="J3510">
        <v>0.22391604253325101</v>
      </c>
      <c r="K3510">
        <v>0.16619138923406501</v>
      </c>
      <c r="L3510">
        <v>2450.9763393809098</v>
      </c>
      <c r="M3510">
        <v>45.597454088788403</v>
      </c>
      <c r="N3510">
        <v>54.360924450079402</v>
      </c>
      <c r="O3510">
        <v>53.649399160700099</v>
      </c>
      <c r="P3510">
        <v>-0.170013263560684</v>
      </c>
      <c r="Q3510">
        <v>0.19985899197061599</v>
      </c>
      <c r="R3510">
        <v>0.90653174196910902</v>
      </c>
      <c r="S3510" t="s">
        <v>9962</v>
      </c>
      <c r="T3510" t="s">
        <v>12902</v>
      </c>
      <c r="U3510" t="s">
        <v>12902</v>
      </c>
      <c r="V3510" t="s">
        <v>12902</v>
      </c>
      <c r="W3510" t="s">
        <v>16371</v>
      </c>
      <c r="X3510">
        <v>1</v>
      </c>
      <c r="Y3510" t="s">
        <v>22692</v>
      </c>
      <c r="Z3510" t="s">
        <v>29085</v>
      </c>
      <c r="AA3510">
        <v>0.56893887937176968</v>
      </c>
      <c r="AB3510" t="str">
        <f>HYPERLINK("Melting_Curves/meltCurve_Q15543_TAF13.pdf", "Melting_Curves/meltCurve_Q15543_TAF13.pdf")</f>
        <v>Melting_Curves/meltCurve_Q15543_TAF13.pdf</v>
      </c>
    </row>
    <row r="3511" spans="1:28" x14ac:dyDescent="0.25">
      <c r="A3511" t="s">
        <v>3515</v>
      </c>
      <c r="B3511">
        <v>0.99673306730245903</v>
      </c>
      <c r="C3511">
        <v>0.93658780884753001</v>
      </c>
      <c r="D3511">
        <v>0.82895976814086403</v>
      </c>
      <c r="E3511">
        <v>0.78813621369405995</v>
      </c>
      <c r="F3511">
        <v>0.71683178279322401</v>
      </c>
      <c r="G3511">
        <v>0.488283266780072</v>
      </c>
      <c r="H3511">
        <v>0.36155520361427401</v>
      </c>
      <c r="I3511">
        <v>0.37407712964609402</v>
      </c>
      <c r="J3511">
        <v>0.53790030529410005</v>
      </c>
      <c r="K3511">
        <v>0.50519897858615803</v>
      </c>
      <c r="L3511">
        <v>709.71974536489597</v>
      </c>
      <c r="M3511">
        <v>13.954228096733701</v>
      </c>
      <c r="N3511">
        <v>58.7640914573118</v>
      </c>
      <c r="O3511">
        <v>49.850177906887801</v>
      </c>
      <c r="P3511">
        <v>-4.0352189198927302E-2</v>
      </c>
      <c r="Q3511">
        <v>0.42345955283727399</v>
      </c>
      <c r="R3511">
        <v>0.89678537763215005</v>
      </c>
      <c r="S3511" t="s">
        <v>9963</v>
      </c>
      <c r="T3511" t="s">
        <v>12902</v>
      </c>
      <c r="U3511" t="s">
        <v>12902</v>
      </c>
      <c r="V3511" t="s">
        <v>12902</v>
      </c>
      <c r="W3511" t="s">
        <v>16372</v>
      </c>
      <c r="X3511">
        <v>9</v>
      </c>
      <c r="Y3511" t="s">
        <v>22693</v>
      </c>
      <c r="Z3511" t="s">
        <v>29086</v>
      </c>
      <c r="AA3511">
        <v>0.64723767758179507</v>
      </c>
      <c r="AB3511" t="str">
        <f>HYPERLINK("Melting_Curves/meltCurve_Q15545_TAF7.pdf", "Melting_Curves/meltCurve_Q15545_TAF7.pdf")</f>
        <v>Melting_Curves/meltCurve_Q15545_TAF7.pdf</v>
      </c>
    </row>
    <row r="3512" spans="1:28" x14ac:dyDescent="0.25">
      <c r="A3512" t="s">
        <v>3516</v>
      </c>
      <c r="B3512">
        <v>0.99673306730245903</v>
      </c>
      <c r="C3512">
        <v>0.89321976197516695</v>
      </c>
      <c r="D3512">
        <v>0.86491336105709904</v>
      </c>
      <c r="E3512">
        <v>0.63548161971363504</v>
      </c>
      <c r="F3512">
        <v>0.22201667270554501</v>
      </c>
      <c r="G3512">
        <v>0.15100532852533599</v>
      </c>
      <c r="H3512">
        <v>0.10364331668216201</v>
      </c>
      <c r="I3512">
        <v>9.3933876025441607E-2</v>
      </c>
      <c r="J3512">
        <v>9.6335164976136894E-2</v>
      </c>
      <c r="K3512">
        <v>6.4411577671009093E-2</v>
      </c>
      <c r="L3512">
        <v>1101.15052082387</v>
      </c>
      <c r="M3512">
        <v>21.9970292300677</v>
      </c>
      <c r="N3512">
        <v>50.447686654833902</v>
      </c>
      <c r="O3512">
        <v>49.6508457064282</v>
      </c>
      <c r="P3512">
        <v>-0.10212853258589701</v>
      </c>
      <c r="Q3512">
        <v>7.7938259951547198E-2</v>
      </c>
      <c r="R3512">
        <v>0.99004337640465601</v>
      </c>
      <c r="S3512" t="s">
        <v>9964</v>
      </c>
      <c r="T3512" t="s">
        <v>12902</v>
      </c>
      <c r="U3512" t="s">
        <v>12902</v>
      </c>
      <c r="V3512" t="s">
        <v>12902</v>
      </c>
      <c r="W3512" t="s">
        <v>16373</v>
      </c>
      <c r="X3512">
        <v>13</v>
      </c>
      <c r="Y3512" t="s">
        <v>22694</v>
      </c>
      <c r="Z3512" t="s">
        <v>29087</v>
      </c>
      <c r="AA3512">
        <v>0.39775266122295111</v>
      </c>
      <c r="AB3512" t="str">
        <f>HYPERLINK("Melting_Curves/meltCurve_Q15554_TERF2.pdf", "Melting_Curves/meltCurve_Q15554_TERF2.pdf")</f>
        <v>Melting_Curves/meltCurve_Q15554_TERF2.pdf</v>
      </c>
    </row>
    <row r="3513" spans="1:28" x14ac:dyDescent="0.25">
      <c r="A3513" t="s">
        <v>3517</v>
      </c>
      <c r="B3513">
        <v>0.99673306730245903</v>
      </c>
      <c r="C3513">
        <v>0.72218192269139503</v>
      </c>
      <c r="D3513">
        <v>0.27731088149217198</v>
      </c>
      <c r="E3513">
        <v>0.176823574923336</v>
      </c>
      <c r="F3513">
        <v>0.11044586349817601</v>
      </c>
      <c r="G3513">
        <v>7.0132609996850406E-2</v>
      </c>
      <c r="H3513">
        <v>4.8397381248859797E-2</v>
      </c>
      <c r="I3513">
        <v>4.5811199085733799E-2</v>
      </c>
      <c r="J3513">
        <v>5.3198320246478303E-2</v>
      </c>
      <c r="K3513">
        <v>4.7960541677476799E-2</v>
      </c>
      <c r="L3513">
        <v>1257.65449970651</v>
      </c>
      <c r="M3513">
        <v>28.446241116881598</v>
      </c>
      <c r="N3513">
        <v>44.443567786598898</v>
      </c>
      <c r="O3513">
        <v>43.994867977833003</v>
      </c>
      <c r="P3513">
        <v>-0.15049502354388999</v>
      </c>
      <c r="Q3513">
        <v>6.8987141524654905E-2</v>
      </c>
      <c r="R3513">
        <v>0.99040683549529396</v>
      </c>
      <c r="S3513" t="s">
        <v>9965</v>
      </c>
      <c r="T3513" t="s">
        <v>12902</v>
      </c>
      <c r="U3513" t="s">
        <v>12902</v>
      </c>
      <c r="V3513" t="s">
        <v>12902</v>
      </c>
      <c r="W3513" t="s">
        <v>16374</v>
      </c>
      <c r="X3513">
        <v>9</v>
      </c>
      <c r="Y3513" t="s">
        <v>22695</v>
      </c>
      <c r="Z3513" t="s">
        <v>29088</v>
      </c>
      <c r="AA3513">
        <v>0.20717723434017901</v>
      </c>
      <c r="AB3513" t="str">
        <f>HYPERLINK("Melting_Curves/meltCurve_Q15555_4_MAPRE2.pdf", "Melting_Curves/meltCurve_Q15555_4_MAPRE2.pdf")</f>
        <v>Melting_Curves/meltCurve_Q15555_4_MAPRE2.pdf</v>
      </c>
    </row>
    <row r="3514" spans="1:28" x14ac:dyDescent="0.25">
      <c r="A3514" t="s">
        <v>3518</v>
      </c>
      <c r="B3514">
        <v>0.99673306730245903</v>
      </c>
      <c r="C3514">
        <v>0.96565038623796895</v>
      </c>
      <c r="D3514">
        <v>0.96280562919058599</v>
      </c>
      <c r="E3514">
        <v>0.89481315909547998</v>
      </c>
      <c r="F3514">
        <v>0.58780803661107195</v>
      </c>
      <c r="G3514">
        <v>0.28088945948701799</v>
      </c>
      <c r="H3514">
        <v>0.102867877858701</v>
      </c>
      <c r="I3514">
        <v>0.10722033906411101</v>
      </c>
      <c r="J3514">
        <v>0.12761369658284399</v>
      </c>
      <c r="K3514">
        <v>0.105556758674598</v>
      </c>
      <c r="L3514">
        <v>1358.3390039772801</v>
      </c>
      <c r="M3514">
        <v>25.3620497035661</v>
      </c>
      <c r="N3514">
        <v>54.020306732068399</v>
      </c>
      <c r="O3514">
        <v>53.228291989832996</v>
      </c>
      <c r="P3514">
        <v>-0.10749847697864</v>
      </c>
      <c r="Q3514">
        <v>9.7567006440848203E-2</v>
      </c>
      <c r="R3514">
        <v>0.99747938583794604</v>
      </c>
      <c r="S3514" t="s">
        <v>9966</v>
      </c>
      <c r="T3514" t="s">
        <v>12902</v>
      </c>
      <c r="U3514" t="s">
        <v>12902</v>
      </c>
      <c r="V3514" t="s">
        <v>12902</v>
      </c>
      <c r="W3514" t="s">
        <v>16375</v>
      </c>
      <c r="X3514">
        <v>5</v>
      </c>
      <c r="Y3514" t="s">
        <v>22696</v>
      </c>
      <c r="Z3514" t="s">
        <v>29089</v>
      </c>
      <c r="AA3514">
        <v>0.51352223522491702</v>
      </c>
      <c r="AB3514" t="str">
        <f>HYPERLINK("Melting_Curves/meltCurve_Q15560_2_TCEA2.pdf", "Melting_Curves/meltCurve_Q15560_2_TCEA2.pdf")</f>
        <v>Melting_Curves/meltCurve_Q15560_2_TCEA2.pdf</v>
      </c>
    </row>
    <row r="3515" spans="1:28" x14ac:dyDescent="0.25">
      <c r="A3515" t="s">
        <v>3519</v>
      </c>
      <c r="B3515">
        <v>0.99673306730245903</v>
      </c>
      <c r="C3515">
        <v>0.98021709191470996</v>
      </c>
      <c r="D3515">
        <v>0.98900176298856701</v>
      </c>
      <c r="E3515">
        <v>0.85411912205743401</v>
      </c>
      <c r="F3515">
        <v>0.67853765113370801</v>
      </c>
      <c r="G3515">
        <v>0.51056766681815502</v>
      </c>
      <c r="H3515">
        <v>0.48441438658596198</v>
      </c>
      <c r="I3515">
        <v>0.60438644406666198</v>
      </c>
      <c r="J3515">
        <v>0.81624874532047997</v>
      </c>
      <c r="K3515">
        <v>0.86081402088232695</v>
      </c>
      <c r="L3515">
        <v>2685.9430279405101</v>
      </c>
      <c r="M3515">
        <v>53.8505595495606</v>
      </c>
      <c r="O3515">
        <v>49.8090746329894</v>
      </c>
      <c r="P3515">
        <v>-9.2674084448775895E-2</v>
      </c>
      <c r="Q3515">
        <v>0.65712463121595899</v>
      </c>
      <c r="R3515">
        <v>0.64765194200143295</v>
      </c>
      <c r="S3515" t="s">
        <v>9967</v>
      </c>
      <c r="T3515" t="s">
        <v>12902</v>
      </c>
      <c r="U3515" t="s">
        <v>12902</v>
      </c>
      <c r="V3515" t="s">
        <v>12902</v>
      </c>
      <c r="W3515" t="s">
        <v>16376</v>
      </c>
      <c r="X3515">
        <v>17</v>
      </c>
      <c r="Y3515" t="s">
        <v>22697</v>
      </c>
      <c r="Z3515" t="s">
        <v>29090</v>
      </c>
      <c r="AA3515">
        <v>0.77066868624217355</v>
      </c>
      <c r="AB3515" t="str">
        <f>HYPERLINK("Melting_Curves/meltCurve_Q15599_SLC9A3R2.pdf", "Melting_Curves/meltCurve_Q15599_SLC9A3R2.pdf")</f>
        <v>Melting_Curves/meltCurve_Q15599_SLC9A3R2.pdf</v>
      </c>
    </row>
    <row r="3516" spans="1:28" x14ac:dyDescent="0.25">
      <c r="A3516" t="s">
        <v>3520</v>
      </c>
      <c r="B3516">
        <v>0.99673306730245903</v>
      </c>
      <c r="C3516">
        <v>1.08751527552378</v>
      </c>
      <c r="D3516">
        <v>0.74824287180514404</v>
      </c>
      <c r="E3516">
        <v>0.46158086713410701</v>
      </c>
      <c r="F3516">
        <v>0.408574213107746</v>
      </c>
      <c r="G3516">
        <v>0.33544244987961902</v>
      </c>
      <c r="H3516">
        <v>0.22701438900778001</v>
      </c>
      <c r="I3516">
        <v>0.122017558373247</v>
      </c>
      <c r="J3516">
        <v>0.11921414051456</v>
      </c>
      <c r="K3516">
        <v>0.159476491444204</v>
      </c>
      <c r="L3516">
        <v>779.07621313918003</v>
      </c>
      <c r="M3516">
        <v>15.821259672722899</v>
      </c>
      <c r="N3516">
        <v>50.430567970918602</v>
      </c>
      <c r="O3516">
        <v>48.475801824064803</v>
      </c>
      <c r="P3516">
        <v>-6.8904321946907807E-2</v>
      </c>
      <c r="Q3516">
        <v>0.15558719190884199</v>
      </c>
      <c r="R3516">
        <v>0.95338136765602799</v>
      </c>
      <c r="S3516" t="s">
        <v>9968</v>
      </c>
      <c r="T3516" t="s">
        <v>12902</v>
      </c>
      <c r="U3516" t="s">
        <v>12902</v>
      </c>
      <c r="V3516" t="s">
        <v>12902</v>
      </c>
      <c r="W3516" t="s">
        <v>16377</v>
      </c>
      <c r="X3516">
        <v>1</v>
      </c>
      <c r="Y3516" t="s">
        <v>22698</v>
      </c>
      <c r="Z3516" t="s">
        <v>29091</v>
      </c>
      <c r="AA3516">
        <v>0.43442513850102937</v>
      </c>
      <c r="AB3516" t="str">
        <f>HYPERLINK("Melting_Curves/meltCurve_Q15628_TRADD.pdf", "Melting_Curves/meltCurve_Q15628_TRADD.pdf")</f>
        <v>Melting_Curves/meltCurve_Q15628_TRADD.pdf</v>
      </c>
    </row>
    <row r="3517" spans="1:28" x14ac:dyDescent="0.25">
      <c r="A3517" t="s">
        <v>3521</v>
      </c>
      <c r="B3517">
        <v>0.99673306730245903</v>
      </c>
      <c r="C3517">
        <v>0.952968071174086</v>
      </c>
      <c r="D3517">
        <v>0.92902907314450101</v>
      </c>
      <c r="E3517">
        <v>0.77727727884533404</v>
      </c>
      <c r="F3517">
        <v>0.62616806069527697</v>
      </c>
      <c r="G3517">
        <v>0.58049022297431896</v>
      </c>
      <c r="H3517">
        <v>0.44933812954993402</v>
      </c>
      <c r="I3517">
        <v>0.38257238512730202</v>
      </c>
      <c r="J3517">
        <v>0.416754675970192</v>
      </c>
      <c r="K3517">
        <v>0.42376338235027</v>
      </c>
      <c r="L3517">
        <v>695.10753307459095</v>
      </c>
      <c r="M3517">
        <v>13.357088607452599</v>
      </c>
      <c r="N3517">
        <v>58.308173516841897</v>
      </c>
      <c r="O3517">
        <v>50.915404052407602</v>
      </c>
      <c r="P3517">
        <v>-4.0600792494210697E-2</v>
      </c>
      <c r="Q3517">
        <v>0.38103961400870101</v>
      </c>
      <c r="R3517">
        <v>0.988374510136804</v>
      </c>
      <c r="S3517" t="s">
        <v>9969</v>
      </c>
      <c r="T3517" t="s">
        <v>12902</v>
      </c>
      <c r="U3517" t="s">
        <v>12902</v>
      </c>
      <c r="V3517" t="s">
        <v>12902</v>
      </c>
      <c r="W3517" t="s">
        <v>16378</v>
      </c>
      <c r="X3517">
        <v>2</v>
      </c>
      <c r="Y3517" t="s">
        <v>22699</v>
      </c>
      <c r="Z3517" t="s">
        <v>29092</v>
      </c>
      <c r="AA3517">
        <v>0.64582552364800994</v>
      </c>
      <c r="AB3517" t="str">
        <f>HYPERLINK("Melting_Curves/meltCurve_Q15633_2_TARBP2.pdf", "Melting_Curves/meltCurve_Q15633_2_TARBP2.pdf")</f>
        <v>Melting_Curves/meltCurve_Q15633_2_TARBP2.pdf</v>
      </c>
    </row>
    <row r="3518" spans="1:28" x14ac:dyDescent="0.25">
      <c r="A3518" t="s">
        <v>3522</v>
      </c>
      <c r="B3518">
        <v>0.99673306730245903</v>
      </c>
      <c r="C3518">
        <v>0.96261912288737606</v>
      </c>
      <c r="D3518">
        <v>0.97998734184591596</v>
      </c>
      <c r="E3518">
        <v>0.89899338317599997</v>
      </c>
      <c r="F3518">
        <v>0.81044678591501396</v>
      </c>
      <c r="G3518">
        <v>0.60972132149898906</v>
      </c>
      <c r="H3518">
        <v>0.462292622563995</v>
      </c>
      <c r="I3518">
        <v>0.57170540533903402</v>
      </c>
      <c r="J3518">
        <v>0.77721439740726606</v>
      </c>
      <c r="K3518">
        <v>0.76610275096716196</v>
      </c>
      <c r="L3518">
        <v>1643.41148915641</v>
      </c>
      <c r="M3518">
        <v>31.55064852408</v>
      </c>
      <c r="O3518">
        <v>51.880125619510899</v>
      </c>
      <c r="P3518">
        <v>-5.5094606349231801E-2</v>
      </c>
      <c r="Q3518">
        <v>0.63762394109005105</v>
      </c>
      <c r="R3518">
        <v>0.73833290397543105</v>
      </c>
      <c r="S3518" t="s">
        <v>9970</v>
      </c>
      <c r="T3518" t="s">
        <v>12902</v>
      </c>
      <c r="U3518" t="s">
        <v>12902</v>
      </c>
      <c r="V3518" t="s">
        <v>12902</v>
      </c>
      <c r="W3518" t="s">
        <v>16379</v>
      </c>
      <c r="X3518">
        <v>30</v>
      </c>
      <c r="Y3518" t="s">
        <v>22700</v>
      </c>
      <c r="Z3518" t="s">
        <v>29093</v>
      </c>
      <c r="AA3518">
        <v>0.78573554232472576</v>
      </c>
      <c r="AB3518" t="str">
        <f>HYPERLINK("Melting_Curves/meltCurve_Q15637_5_SF1.pdf", "Melting_Curves/meltCurve_Q15637_5_SF1.pdf")</f>
        <v>Melting_Curves/meltCurve_Q15637_5_SF1.pdf</v>
      </c>
    </row>
    <row r="3519" spans="1:28" x14ac:dyDescent="0.25">
      <c r="A3519" t="s">
        <v>3523</v>
      </c>
      <c r="B3519">
        <v>0.99673306730245903</v>
      </c>
      <c r="C3519">
        <v>0.98809691184320303</v>
      </c>
      <c r="D3519">
        <v>0.91219696591701704</v>
      </c>
      <c r="E3519">
        <v>0.83417923141047301</v>
      </c>
      <c r="F3519">
        <v>0.63912585924228305</v>
      </c>
      <c r="G3519">
        <v>0.33295842933516601</v>
      </c>
      <c r="H3519">
        <v>0.21034230483240399</v>
      </c>
      <c r="I3519">
        <v>0.25646964175266801</v>
      </c>
      <c r="J3519">
        <v>0.32875226108820499</v>
      </c>
      <c r="K3519">
        <v>0.31998478405014702</v>
      </c>
      <c r="L3519">
        <v>1273.5820916186899</v>
      </c>
      <c r="M3519">
        <v>24.2153740689172</v>
      </c>
      <c r="N3519">
        <v>54.3056031346159</v>
      </c>
      <c r="O3519">
        <v>52.239205110829701</v>
      </c>
      <c r="P3519">
        <v>-8.4955257857192906E-2</v>
      </c>
      <c r="Q3519">
        <v>0.26692399641903802</v>
      </c>
      <c r="R3519">
        <v>0.97567441172899905</v>
      </c>
      <c r="S3519" t="s">
        <v>9971</v>
      </c>
      <c r="T3519" t="s">
        <v>12902</v>
      </c>
      <c r="U3519" t="s">
        <v>12902</v>
      </c>
      <c r="V3519" t="s">
        <v>12902</v>
      </c>
      <c r="W3519" t="s">
        <v>16380</v>
      </c>
      <c r="X3519">
        <v>28</v>
      </c>
      <c r="Y3519" t="s">
        <v>22700</v>
      </c>
      <c r="Z3519" t="s">
        <v>29094</v>
      </c>
      <c r="AA3519">
        <v>0.58181419799231515</v>
      </c>
      <c r="AB3519" t="str">
        <f>HYPERLINK("Melting_Curves/meltCurve_Q15637_6_SF1.pdf", "Melting_Curves/meltCurve_Q15637_6_SF1.pdf")</f>
        <v>Melting_Curves/meltCurve_Q15637_6_SF1.pdf</v>
      </c>
    </row>
    <row r="3520" spans="1:28" x14ac:dyDescent="0.25">
      <c r="A3520" t="s">
        <v>3524</v>
      </c>
      <c r="B3520">
        <v>0.99673306730245903</v>
      </c>
      <c r="C3520">
        <v>1.01995365581857</v>
      </c>
      <c r="D3520">
        <v>0.96051334510184605</v>
      </c>
      <c r="E3520">
        <v>0.70163857942952501</v>
      </c>
      <c r="F3520">
        <v>0.136853428988991</v>
      </c>
      <c r="G3520">
        <v>0.105079963016109</v>
      </c>
      <c r="H3520">
        <v>5.1030123999839E-2</v>
      </c>
      <c r="I3520">
        <v>5.7546804715165899E-2</v>
      </c>
      <c r="J3520">
        <v>7.3048407585322397E-2</v>
      </c>
      <c r="K3520">
        <v>7.3841010935385906E-2</v>
      </c>
      <c r="L3520">
        <v>2305.3580418544502</v>
      </c>
      <c r="M3520">
        <v>45.747278397236798</v>
      </c>
      <c r="N3520">
        <v>50.558633364808998</v>
      </c>
      <c r="O3520">
        <v>50.2973271872957</v>
      </c>
      <c r="P3520">
        <v>-0.21159241878924701</v>
      </c>
      <c r="Q3520">
        <v>6.9451088089100901E-2</v>
      </c>
      <c r="R3520">
        <v>0.99843437633763799</v>
      </c>
      <c r="S3520" t="s">
        <v>9972</v>
      </c>
      <c r="T3520" t="s">
        <v>12902</v>
      </c>
      <c r="U3520" t="s">
        <v>12902</v>
      </c>
      <c r="V3520" t="s">
        <v>12902</v>
      </c>
      <c r="W3520" t="s">
        <v>16381</v>
      </c>
      <c r="X3520">
        <v>4</v>
      </c>
      <c r="Y3520" t="s">
        <v>22701</v>
      </c>
      <c r="Z3520" t="s">
        <v>29095</v>
      </c>
      <c r="AA3520">
        <v>0.39430833483009031</v>
      </c>
      <c r="AB3520" t="str">
        <f>HYPERLINK("Melting_Curves/meltCurve_Q15642_TRIP10.pdf", "Melting_Curves/meltCurve_Q15642_TRIP10.pdf")</f>
        <v>Melting_Curves/meltCurve_Q15642_TRIP10.pdf</v>
      </c>
    </row>
    <row r="3521" spans="1:28" x14ac:dyDescent="0.25">
      <c r="A3521" t="s">
        <v>3525</v>
      </c>
      <c r="B3521">
        <v>0.99673306730245903</v>
      </c>
      <c r="C3521">
        <v>0.73895610497820396</v>
      </c>
      <c r="D3521">
        <v>0.28228758992977898</v>
      </c>
      <c r="E3521">
        <v>0.215505961719343</v>
      </c>
      <c r="F3521">
        <v>0.16658578202162999</v>
      </c>
      <c r="G3521">
        <v>0.123253212947653</v>
      </c>
      <c r="H3521">
        <v>8.4943872784411401E-2</v>
      </c>
      <c r="I3521">
        <v>8.7230340383478794E-2</v>
      </c>
      <c r="J3521">
        <v>0.113423627468861</v>
      </c>
      <c r="K3521">
        <v>9.8044566468676403E-2</v>
      </c>
      <c r="L3521">
        <v>1411.54969792006</v>
      </c>
      <c r="M3521">
        <v>32.040139338005197</v>
      </c>
      <c r="N3521">
        <v>44.4387886820031</v>
      </c>
      <c r="O3521">
        <v>43.885109216453401</v>
      </c>
      <c r="P3521">
        <v>-0.160496027200275</v>
      </c>
      <c r="Q3521">
        <v>0.12068412923525</v>
      </c>
      <c r="R3521">
        <v>0.98774122386497099</v>
      </c>
      <c r="S3521" t="s">
        <v>9973</v>
      </c>
      <c r="T3521" t="s">
        <v>12902</v>
      </c>
      <c r="U3521" t="s">
        <v>12902</v>
      </c>
      <c r="V3521" t="s">
        <v>12902</v>
      </c>
      <c r="W3521" t="s">
        <v>16382</v>
      </c>
      <c r="X3521">
        <v>21</v>
      </c>
      <c r="Y3521" t="s">
        <v>22702</v>
      </c>
      <c r="Z3521" t="s">
        <v>29096</v>
      </c>
      <c r="AA3521">
        <v>0.24495156465429721</v>
      </c>
      <c r="AB3521" t="str">
        <f>HYPERLINK("Melting_Curves/meltCurve_Q15643_TRIP11.pdf", "Melting_Curves/meltCurve_Q15643_TRIP11.pdf")</f>
        <v>Melting_Curves/meltCurve_Q15643_TRIP11.pdf</v>
      </c>
    </row>
    <row r="3522" spans="1:28" x14ac:dyDescent="0.25">
      <c r="A3522" t="s">
        <v>3526</v>
      </c>
      <c r="B3522">
        <v>0.99673306730245903</v>
      </c>
      <c r="C3522">
        <v>1.0283799303172401</v>
      </c>
      <c r="D3522">
        <v>0.676117478763539</v>
      </c>
      <c r="E3522">
        <v>0.81632916974967695</v>
      </c>
      <c r="F3522">
        <v>0.20729775425352001</v>
      </c>
      <c r="G3522">
        <v>0.108070449336469</v>
      </c>
      <c r="H3522">
        <v>6.1231799908147297E-2</v>
      </c>
      <c r="I3522">
        <v>5.4922668008123302E-2</v>
      </c>
      <c r="J3522">
        <v>5.3615752065265303E-2</v>
      </c>
      <c r="K3522">
        <v>4.6518207439401903E-2</v>
      </c>
      <c r="L3522">
        <v>1095.8404912102201</v>
      </c>
      <c r="M3522">
        <v>21.5394368947766</v>
      </c>
      <c r="N3522">
        <v>51.030119826428802</v>
      </c>
      <c r="O3522">
        <v>50.443545414795501</v>
      </c>
      <c r="P3522">
        <v>-0.103391103716581</v>
      </c>
      <c r="Q3522">
        <v>3.1490061025697201E-2</v>
      </c>
      <c r="R3522">
        <v>0.94014366532911797</v>
      </c>
      <c r="S3522" t="s">
        <v>9974</v>
      </c>
      <c r="T3522" t="s">
        <v>12902</v>
      </c>
      <c r="U3522" t="s">
        <v>12902</v>
      </c>
      <c r="V3522" t="s">
        <v>12902</v>
      </c>
      <c r="W3522" t="s">
        <v>16383</v>
      </c>
      <c r="X3522">
        <v>12</v>
      </c>
      <c r="Y3522" t="s">
        <v>22703</v>
      </c>
      <c r="Z3522" t="s">
        <v>29097</v>
      </c>
      <c r="AA3522">
        <v>0.39428769630054261</v>
      </c>
      <c r="AB3522" t="str">
        <f>HYPERLINK("Melting_Curves/meltCurve_Q15645_TRIP13.pdf", "Melting_Curves/meltCurve_Q15645_TRIP13.pdf")</f>
        <v>Melting_Curves/meltCurve_Q15645_TRIP13.pdf</v>
      </c>
    </row>
    <row r="3523" spans="1:28" x14ac:dyDescent="0.25">
      <c r="A3523" t="s">
        <v>3527</v>
      </c>
      <c r="B3523">
        <v>0.99673306730245903</v>
      </c>
      <c r="C3523">
        <v>0.88202470494288499</v>
      </c>
      <c r="D3523">
        <v>0.72537709537152095</v>
      </c>
      <c r="E3523">
        <v>0.77525095481324502</v>
      </c>
      <c r="F3523">
        <v>0.33575080879568697</v>
      </c>
      <c r="G3523">
        <v>0.177686856199543</v>
      </c>
      <c r="H3523">
        <v>0.109870413288622</v>
      </c>
      <c r="I3523">
        <v>0.13158478612454599</v>
      </c>
      <c r="J3523">
        <v>0.17667869785142401</v>
      </c>
      <c r="K3523">
        <v>0.18300566697207499</v>
      </c>
      <c r="L3523">
        <v>806.84059151664098</v>
      </c>
      <c r="M3523">
        <v>16.009396301578601</v>
      </c>
      <c r="N3523">
        <v>51.227318355040502</v>
      </c>
      <c r="O3523">
        <v>49.631261168202798</v>
      </c>
      <c r="P3523">
        <v>-7.1440958440354502E-2</v>
      </c>
      <c r="Q3523">
        <v>0.11416337074867</v>
      </c>
      <c r="R3523">
        <v>0.94692595996995099</v>
      </c>
      <c r="S3523" t="s">
        <v>9975</v>
      </c>
      <c r="T3523" t="s">
        <v>12902</v>
      </c>
      <c r="U3523" t="s">
        <v>12902</v>
      </c>
      <c r="V3523" t="s">
        <v>12902</v>
      </c>
      <c r="W3523" t="s">
        <v>16384</v>
      </c>
      <c r="X3523">
        <v>11</v>
      </c>
      <c r="Y3523" t="s">
        <v>22704</v>
      </c>
      <c r="Z3523" t="s">
        <v>29098</v>
      </c>
      <c r="AA3523">
        <v>0.43980099591681182</v>
      </c>
      <c r="AB3523" t="str">
        <f>HYPERLINK("Melting_Curves/meltCurve_Q15648_MED1.pdf", "Melting_Curves/meltCurve_Q15648_MED1.pdf")</f>
        <v>Melting_Curves/meltCurve_Q15648_MED1.pdf</v>
      </c>
    </row>
    <row r="3524" spans="1:28" x14ac:dyDescent="0.25">
      <c r="A3524" t="s">
        <v>3528</v>
      </c>
      <c r="B3524">
        <v>0.99673306730245903</v>
      </c>
      <c r="C3524">
        <v>1.0058593961248601</v>
      </c>
      <c r="D3524">
        <v>0.94815219118713401</v>
      </c>
      <c r="E3524">
        <v>0.82906522393927995</v>
      </c>
      <c r="F3524">
        <v>0.63542635087806798</v>
      </c>
      <c r="G3524">
        <v>0.488685313610765</v>
      </c>
      <c r="H3524">
        <v>0.32588958314425198</v>
      </c>
      <c r="I3524">
        <v>0.335373806055351</v>
      </c>
      <c r="J3524">
        <v>0.37649600209911899</v>
      </c>
      <c r="K3524">
        <v>0.353995767803297</v>
      </c>
      <c r="L3524">
        <v>996.223951866476</v>
      </c>
      <c r="M3524">
        <v>18.9500061927641</v>
      </c>
      <c r="N3524">
        <v>55.793317417953403</v>
      </c>
      <c r="O3524">
        <v>51.996227460259</v>
      </c>
      <c r="P3524">
        <v>-6.0808278119654897E-2</v>
      </c>
      <c r="Q3524">
        <v>0.33262845259901602</v>
      </c>
      <c r="R3524">
        <v>0.99241543135738497</v>
      </c>
      <c r="S3524" t="s">
        <v>9976</v>
      </c>
      <c r="T3524" t="s">
        <v>12902</v>
      </c>
      <c r="U3524" t="s">
        <v>12902</v>
      </c>
      <c r="V3524" t="s">
        <v>12902</v>
      </c>
      <c r="W3524" t="s">
        <v>16385</v>
      </c>
      <c r="X3524">
        <v>4</v>
      </c>
      <c r="Y3524" t="s">
        <v>22705</v>
      </c>
      <c r="Z3524" t="s">
        <v>29099</v>
      </c>
      <c r="AA3524">
        <v>0.62238661492787395</v>
      </c>
      <c r="AB3524" t="str">
        <f>HYPERLINK("Melting_Curves/meltCurve_Q15649_ZNHIT3.pdf", "Melting_Curves/meltCurve_Q15649_ZNHIT3.pdf")</f>
        <v>Melting_Curves/meltCurve_Q15649_ZNHIT3.pdf</v>
      </c>
    </row>
    <row r="3525" spans="1:28" x14ac:dyDescent="0.25">
      <c r="A3525" t="s">
        <v>3529</v>
      </c>
      <c r="B3525">
        <v>0.99673306730245903</v>
      </c>
      <c r="C3525">
        <v>0.895270499537824</v>
      </c>
      <c r="D3525">
        <v>0.80101232723579496</v>
      </c>
      <c r="E3525">
        <v>0.94880103288332496</v>
      </c>
      <c r="F3525">
        <v>0.24466560608308699</v>
      </c>
      <c r="G3525">
        <v>0.174711594176992</v>
      </c>
      <c r="H3525">
        <v>0.12084081011945599</v>
      </c>
      <c r="I3525">
        <v>0.103426497978836</v>
      </c>
      <c r="J3525">
        <v>0.153552689177958</v>
      </c>
      <c r="K3525">
        <v>0.17324788867556001</v>
      </c>
      <c r="L3525">
        <v>3439.8028156004202</v>
      </c>
      <c r="M3525">
        <v>66.658281694441399</v>
      </c>
      <c r="N3525">
        <v>51.868874289282999</v>
      </c>
      <c r="O3525">
        <v>51.557147674619898</v>
      </c>
      <c r="P3525">
        <v>-0.276529013386074</v>
      </c>
      <c r="Q3525">
        <v>0.14446980104561</v>
      </c>
      <c r="R3525">
        <v>0.96051408431284302</v>
      </c>
      <c r="S3525" t="s">
        <v>9977</v>
      </c>
      <c r="T3525" t="s">
        <v>12902</v>
      </c>
      <c r="U3525" t="s">
        <v>12902</v>
      </c>
      <c r="V3525" t="s">
        <v>12902</v>
      </c>
      <c r="W3525" t="s">
        <v>16386</v>
      </c>
      <c r="X3525">
        <v>3</v>
      </c>
      <c r="Y3525" t="s">
        <v>22706</v>
      </c>
      <c r="Z3525" t="s">
        <v>29100</v>
      </c>
      <c r="AA3525">
        <v>0.47646855730748128</v>
      </c>
      <c r="AB3525" t="str">
        <f>HYPERLINK("Melting_Curves/meltCurve_Q15650_TRIP4.pdf", "Melting_Curves/meltCurve_Q15650_TRIP4.pdf")</f>
        <v>Melting_Curves/meltCurve_Q15650_TRIP4.pdf</v>
      </c>
    </row>
    <row r="3526" spans="1:28" x14ac:dyDescent="0.25">
      <c r="A3526" t="s">
        <v>3530</v>
      </c>
      <c r="B3526">
        <v>0.99673306730245903</v>
      </c>
      <c r="C3526">
        <v>0.96807138542473603</v>
      </c>
      <c r="D3526">
        <v>1.17030070083829</v>
      </c>
      <c r="E3526">
        <v>0.99513012729717298</v>
      </c>
      <c r="F3526">
        <v>1.0090241076142701</v>
      </c>
      <c r="G3526">
        <v>0.96884536890621697</v>
      </c>
      <c r="H3526">
        <v>0.89224140052265899</v>
      </c>
      <c r="I3526">
        <v>2.2885630832492398</v>
      </c>
      <c r="J3526">
        <v>2.76335677584497</v>
      </c>
      <c r="K3526">
        <v>3.1780917588144</v>
      </c>
      <c r="L3526">
        <v>15000</v>
      </c>
      <c r="M3526">
        <v>241.530283389076</v>
      </c>
      <c r="O3526">
        <v>62.099755808606403</v>
      </c>
      <c r="P3526">
        <v>0.48617398085492702</v>
      </c>
      <c r="Q3526">
        <v>1.5</v>
      </c>
      <c r="R3526">
        <v>0.255553600409268</v>
      </c>
      <c r="S3526" t="s">
        <v>9978</v>
      </c>
      <c r="T3526" t="s">
        <v>12902</v>
      </c>
      <c r="U3526" t="s">
        <v>12902</v>
      </c>
      <c r="V3526" t="s">
        <v>12902</v>
      </c>
      <c r="W3526" t="s">
        <v>16387</v>
      </c>
      <c r="X3526">
        <v>4</v>
      </c>
      <c r="Y3526" t="s">
        <v>22707</v>
      </c>
      <c r="Z3526" t="s">
        <v>29101</v>
      </c>
      <c r="AA3526">
        <v>1.1315413879181739</v>
      </c>
      <c r="AB3526" t="str">
        <f>HYPERLINK("Melting_Curves/meltCurve_Q15651_HMGN3.pdf", "Melting_Curves/meltCurve_Q15651_HMGN3.pdf")</f>
        <v>Melting_Curves/meltCurve_Q15651_HMGN3.pdf</v>
      </c>
    </row>
    <row r="3527" spans="1:28" x14ac:dyDescent="0.25">
      <c r="A3527" t="s">
        <v>3531</v>
      </c>
      <c r="B3527">
        <v>0.99673306730245903</v>
      </c>
      <c r="C3527">
        <v>0.90123723643659104</v>
      </c>
      <c r="D3527">
        <v>0.95538959817662095</v>
      </c>
      <c r="E3527">
        <v>0.80936724096042501</v>
      </c>
      <c r="F3527">
        <v>0.60506345143719698</v>
      </c>
      <c r="G3527">
        <v>0.45761198322668101</v>
      </c>
      <c r="H3527">
        <v>0.36308547699350702</v>
      </c>
      <c r="I3527">
        <v>0.529681572705478</v>
      </c>
      <c r="J3527">
        <v>0.90397336904424097</v>
      </c>
      <c r="K3527">
        <v>1.0583764941362099</v>
      </c>
      <c r="L3527">
        <v>12390.183154407699</v>
      </c>
      <c r="M3527">
        <v>250</v>
      </c>
      <c r="O3527">
        <v>49.5575652649338</v>
      </c>
      <c r="P3527">
        <v>-0.43766607327192503</v>
      </c>
      <c r="Q3527">
        <v>0.65296538997056996</v>
      </c>
      <c r="R3527">
        <v>0.31420066711160599</v>
      </c>
      <c r="S3527" t="s">
        <v>9979</v>
      </c>
      <c r="T3527" t="s">
        <v>12902</v>
      </c>
      <c r="U3527" t="s">
        <v>12902</v>
      </c>
      <c r="V3527" t="s">
        <v>12902</v>
      </c>
      <c r="W3527" t="s">
        <v>16388</v>
      </c>
      <c r="X3527">
        <v>9</v>
      </c>
      <c r="Y3527" t="s">
        <v>22708</v>
      </c>
      <c r="Z3527" t="s">
        <v>29102</v>
      </c>
      <c r="AA3527">
        <v>0.76359241164116254</v>
      </c>
      <c r="AB3527" t="str">
        <f>HYPERLINK("Melting_Curves/meltCurve_Q15652_3_JMJD1C.pdf", "Melting_Curves/meltCurve_Q15652_3_JMJD1C.pdf")</f>
        <v>Melting_Curves/meltCurve_Q15652_3_JMJD1C.pdf</v>
      </c>
    </row>
    <row r="3528" spans="1:28" x14ac:dyDescent="0.25">
      <c r="A3528" t="s">
        <v>3532</v>
      </c>
      <c r="B3528">
        <v>0.99673306730245903</v>
      </c>
      <c r="C3528">
        <v>1.0096543432167899</v>
      </c>
      <c r="D3528">
        <v>1.0370066465074199</v>
      </c>
      <c r="E3528">
        <v>0.76908640937322403</v>
      </c>
      <c r="F3528">
        <v>0.48740317336779998</v>
      </c>
      <c r="G3528">
        <v>0.274841313531208</v>
      </c>
      <c r="H3528">
        <v>0.149559752929144</v>
      </c>
      <c r="I3528">
        <v>0.13066095206851899</v>
      </c>
      <c r="J3528">
        <v>0.13915648763685601</v>
      </c>
      <c r="K3528">
        <v>0.130023369741881</v>
      </c>
      <c r="L3528">
        <v>1174.7866176477801</v>
      </c>
      <c r="M3528">
        <v>22.448491881474101</v>
      </c>
      <c r="N3528">
        <v>53.020276935783599</v>
      </c>
      <c r="O3528">
        <v>51.922562291801</v>
      </c>
      <c r="P3528">
        <v>-9.4435868415655405E-2</v>
      </c>
      <c r="Q3528">
        <v>0.126310802067718</v>
      </c>
      <c r="R3528">
        <v>0.99456779247495997</v>
      </c>
      <c r="S3528" t="s">
        <v>9980</v>
      </c>
      <c r="T3528" t="s">
        <v>12902</v>
      </c>
      <c r="U3528" t="s">
        <v>12902</v>
      </c>
      <c r="V3528" t="s">
        <v>12902</v>
      </c>
      <c r="W3528" t="s">
        <v>16389</v>
      </c>
      <c r="X3528">
        <v>9</v>
      </c>
      <c r="Y3528" t="s">
        <v>22709</v>
      </c>
      <c r="Z3528" t="s">
        <v>29103</v>
      </c>
      <c r="AA3528">
        <v>0.49526751649410777</v>
      </c>
      <c r="AB3528" t="str">
        <f>HYPERLINK("Melting_Curves/meltCurve_Q15654_TRIP6.pdf", "Melting_Curves/meltCurve_Q15654_TRIP6.pdf")</f>
        <v>Melting_Curves/meltCurve_Q15654_TRIP6.pdf</v>
      </c>
    </row>
    <row r="3529" spans="1:28" x14ac:dyDescent="0.25">
      <c r="A3529" t="s">
        <v>3533</v>
      </c>
      <c r="B3529">
        <v>0.99673306730245903</v>
      </c>
      <c r="C3529">
        <v>0.97364584000721</v>
      </c>
      <c r="D3529">
        <v>0.81990068564013996</v>
      </c>
      <c r="E3529">
        <v>0.87259619858760595</v>
      </c>
      <c r="F3529">
        <v>0.287990228688984</v>
      </c>
      <c r="G3529">
        <v>0.12544450993913001</v>
      </c>
      <c r="H3529">
        <v>6.1953597529882998E-2</v>
      </c>
      <c r="I3529">
        <v>5.3447081707537501E-2</v>
      </c>
      <c r="J3529">
        <v>5.7354140520273197E-2</v>
      </c>
      <c r="K3529">
        <v>5.29546998606059E-2</v>
      </c>
      <c r="L3529">
        <v>1912.32845705093</v>
      </c>
      <c r="M3529">
        <v>36.970313113411798</v>
      </c>
      <c r="N3529">
        <v>51.905934141905703</v>
      </c>
      <c r="O3529">
        <v>51.575411327786199</v>
      </c>
      <c r="P3529">
        <v>-0.16842963735567101</v>
      </c>
      <c r="Q3529">
        <v>6.0132039230007497E-2</v>
      </c>
      <c r="R3529">
        <v>0.980158400801737</v>
      </c>
      <c r="S3529" t="s">
        <v>9981</v>
      </c>
      <c r="T3529" t="s">
        <v>12902</v>
      </c>
      <c r="U3529" t="s">
        <v>12902</v>
      </c>
      <c r="V3529" t="s">
        <v>12902</v>
      </c>
      <c r="W3529" t="s">
        <v>16390</v>
      </c>
      <c r="X3529">
        <v>18</v>
      </c>
      <c r="Y3529" t="s">
        <v>22710</v>
      </c>
      <c r="Z3529" t="s">
        <v>29104</v>
      </c>
      <c r="AA3529">
        <v>0.43143266307663808</v>
      </c>
      <c r="AB3529" t="str">
        <f>HYPERLINK("Melting_Curves/meltCurve_Q15691_MAPRE1.pdf", "Melting_Curves/meltCurve_Q15691_MAPRE1.pdf")</f>
        <v>Melting_Curves/meltCurve_Q15691_MAPRE1.pdf</v>
      </c>
    </row>
    <row r="3530" spans="1:28" x14ac:dyDescent="0.25">
      <c r="A3530" t="s">
        <v>3534</v>
      </c>
      <c r="B3530">
        <v>0.99673306730245903</v>
      </c>
      <c r="C3530">
        <v>1.01124532089291</v>
      </c>
      <c r="D3530">
        <v>0.98176910937496997</v>
      </c>
      <c r="E3530">
        <v>0.91933873000389199</v>
      </c>
      <c r="F3530">
        <v>0.72605528133374997</v>
      </c>
      <c r="G3530">
        <v>0.59328567857278303</v>
      </c>
      <c r="H3530">
        <v>0.47204372220947499</v>
      </c>
      <c r="I3530">
        <v>0.70827576911843004</v>
      </c>
      <c r="J3530">
        <v>1.0687838772256499</v>
      </c>
      <c r="K3530">
        <v>1.05427834591674</v>
      </c>
      <c r="L3530">
        <v>12430.400587137499</v>
      </c>
      <c r="M3530">
        <v>250</v>
      </c>
      <c r="O3530">
        <v>49.718420751053202</v>
      </c>
      <c r="P3530">
        <v>-0.288557817787233</v>
      </c>
      <c r="Q3530">
        <v>0.77045377751545396</v>
      </c>
      <c r="R3530">
        <v>0.265486233619324</v>
      </c>
      <c r="S3530" t="s">
        <v>9982</v>
      </c>
      <c r="T3530" t="s">
        <v>12902</v>
      </c>
      <c r="U3530" t="s">
        <v>12902</v>
      </c>
      <c r="V3530" t="s">
        <v>12902</v>
      </c>
      <c r="W3530" t="s">
        <v>16391</v>
      </c>
      <c r="X3530">
        <v>7</v>
      </c>
      <c r="Y3530" t="s">
        <v>22711</v>
      </c>
      <c r="Z3530" t="s">
        <v>29105</v>
      </c>
      <c r="AA3530">
        <v>0.84485904438556136</v>
      </c>
      <c r="AB3530" t="str">
        <f>HYPERLINK("Melting_Curves/meltCurve_Q15714_TSC22D1.pdf", "Melting_Curves/meltCurve_Q15714_TSC22D1.pdf")</f>
        <v>Melting_Curves/meltCurve_Q15714_TSC22D1.pdf</v>
      </c>
    </row>
    <row r="3531" spans="1:28" x14ac:dyDescent="0.25">
      <c r="A3531" t="s">
        <v>3535</v>
      </c>
      <c r="B3531">
        <v>0.99673306730245903</v>
      </c>
      <c r="C3531">
        <v>0.99634528412789602</v>
      </c>
      <c r="D3531">
        <v>0.84967416860213096</v>
      </c>
      <c r="E3531">
        <v>0.51608279148545899</v>
      </c>
      <c r="F3531">
        <v>0.35146294867252498</v>
      </c>
      <c r="G3531">
        <v>0.242906252613032</v>
      </c>
      <c r="H3531">
        <v>0.12856799046101999</v>
      </c>
      <c r="I3531">
        <v>0.117260243327427</v>
      </c>
      <c r="J3531">
        <v>0.127840107194792</v>
      </c>
      <c r="K3531">
        <v>0.11869259889493</v>
      </c>
      <c r="L3531">
        <v>898.41942698021705</v>
      </c>
      <c r="M3531">
        <v>18.082186254017699</v>
      </c>
      <c r="N3531">
        <v>50.440828285005203</v>
      </c>
      <c r="O3531">
        <v>49.089605621721397</v>
      </c>
      <c r="P3531">
        <v>-8.1167457314966801E-2</v>
      </c>
      <c r="Q3531">
        <v>0.11862751004793499</v>
      </c>
      <c r="R3531">
        <v>0.99351411766358799</v>
      </c>
      <c r="S3531" t="s">
        <v>9983</v>
      </c>
      <c r="T3531" t="s">
        <v>12902</v>
      </c>
      <c r="U3531" t="s">
        <v>12902</v>
      </c>
      <c r="V3531" t="s">
        <v>12902</v>
      </c>
      <c r="W3531" t="s">
        <v>16392</v>
      </c>
      <c r="X3531">
        <v>6</v>
      </c>
      <c r="Y3531" t="s">
        <v>22712</v>
      </c>
      <c r="Z3531" t="s">
        <v>29106</v>
      </c>
      <c r="AA3531">
        <v>0.41813692382386197</v>
      </c>
      <c r="AB3531" t="str">
        <f>HYPERLINK("Melting_Curves/meltCurve_Q15717_ELAVL1.pdf", "Melting_Curves/meltCurve_Q15717_ELAVL1.pdf")</f>
        <v>Melting_Curves/meltCurve_Q15717_ELAVL1.pdf</v>
      </c>
    </row>
    <row r="3532" spans="1:28" x14ac:dyDescent="0.25">
      <c r="A3532" t="s">
        <v>3536</v>
      </c>
      <c r="B3532">
        <v>0.99673306730245903</v>
      </c>
      <c r="C3532">
        <v>1.01372976566053</v>
      </c>
      <c r="D3532">
        <v>0.95691957377951697</v>
      </c>
      <c r="E3532">
        <v>0.81770171045829498</v>
      </c>
      <c r="F3532">
        <v>0.35305741355534997</v>
      </c>
      <c r="G3532">
        <v>0.152110176758704</v>
      </c>
      <c r="H3532">
        <v>7.8514145726637397E-2</v>
      </c>
      <c r="I3532">
        <v>7.8329672948040302E-2</v>
      </c>
      <c r="J3532">
        <v>9.1090869916307798E-2</v>
      </c>
      <c r="K3532">
        <v>7.7070970610780595E-2</v>
      </c>
      <c r="L3532">
        <v>1581.6921713817101</v>
      </c>
      <c r="M3532">
        <v>30.551879488434899</v>
      </c>
      <c r="N3532">
        <v>52.0685091909967</v>
      </c>
      <c r="O3532">
        <v>51.550420017461697</v>
      </c>
      <c r="P3532">
        <v>-0.136288381059466</v>
      </c>
      <c r="Q3532">
        <v>8.0163921317300005E-2</v>
      </c>
      <c r="R3532">
        <v>0.99913964208695505</v>
      </c>
      <c r="S3532" t="s">
        <v>9984</v>
      </c>
      <c r="T3532" t="s">
        <v>12902</v>
      </c>
      <c r="U3532" t="s">
        <v>12902</v>
      </c>
      <c r="V3532" t="s">
        <v>12902</v>
      </c>
      <c r="W3532" t="s">
        <v>16393</v>
      </c>
      <c r="X3532">
        <v>17</v>
      </c>
      <c r="Y3532" t="s">
        <v>22713</v>
      </c>
      <c r="Z3532" t="s">
        <v>29107</v>
      </c>
      <c r="AA3532">
        <v>0.4467151577540216</v>
      </c>
      <c r="AB3532" t="str">
        <f>HYPERLINK("Melting_Curves/meltCurve_Q15738_NSDHL.pdf", "Melting_Curves/meltCurve_Q15738_NSDHL.pdf")</f>
        <v>Melting_Curves/meltCurve_Q15738_NSDHL.pdf</v>
      </c>
    </row>
    <row r="3533" spans="1:28" x14ac:dyDescent="0.25">
      <c r="A3533" t="s">
        <v>3537</v>
      </c>
      <c r="B3533">
        <v>0.99673306730245903</v>
      </c>
      <c r="C3533">
        <v>0.941787712484628</v>
      </c>
      <c r="D3533">
        <v>0.797046102538434</v>
      </c>
      <c r="E3533">
        <v>0.35423035643548301</v>
      </c>
      <c r="F3533">
        <v>0.22225764618013799</v>
      </c>
      <c r="G3533">
        <v>0.124601724786567</v>
      </c>
      <c r="H3533">
        <v>8.5243545003518106E-2</v>
      </c>
      <c r="I3533">
        <v>7.7749407143093904E-2</v>
      </c>
      <c r="J3533">
        <v>7.7938929187485503E-2</v>
      </c>
      <c r="K3533">
        <v>8.4450750514006204E-2</v>
      </c>
      <c r="L3533">
        <v>1134.5433793371301</v>
      </c>
      <c r="M3533">
        <v>23.563021708168101</v>
      </c>
      <c r="N3533">
        <v>48.544869737613702</v>
      </c>
      <c r="O3533">
        <v>47.806539786894099</v>
      </c>
      <c r="P3533">
        <v>-0.112459898787654</v>
      </c>
      <c r="Q3533">
        <v>8.7345080268438999E-2</v>
      </c>
      <c r="R3533">
        <v>0.99628443471650896</v>
      </c>
      <c r="S3533" t="s">
        <v>9985</v>
      </c>
      <c r="T3533" t="s">
        <v>12902</v>
      </c>
      <c r="U3533" t="s">
        <v>12902</v>
      </c>
      <c r="V3533" t="s">
        <v>12902</v>
      </c>
      <c r="W3533" t="s">
        <v>16394</v>
      </c>
      <c r="X3533">
        <v>13</v>
      </c>
      <c r="Y3533" t="s">
        <v>22714</v>
      </c>
      <c r="Z3533" t="s">
        <v>29108</v>
      </c>
      <c r="AA3533">
        <v>0.34440325395078181</v>
      </c>
      <c r="AB3533" t="str">
        <f>HYPERLINK("Melting_Curves/meltCurve_Q15750_2_TAB1.pdf", "Melting_Curves/meltCurve_Q15750_2_TAB1.pdf")</f>
        <v>Melting_Curves/meltCurve_Q15750_2_TAB1.pdf</v>
      </c>
    </row>
    <row r="3534" spans="1:28" x14ac:dyDescent="0.25">
      <c r="A3534" t="s">
        <v>3538</v>
      </c>
      <c r="B3534">
        <v>0.99673306730245903</v>
      </c>
      <c r="C3534">
        <v>0.96568995441007399</v>
      </c>
      <c r="D3534">
        <v>0.91323793461639002</v>
      </c>
      <c r="E3534">
        <v>0.83276584001045295</v>
      </c>
      <c r="F3534">
        <v>0.764000412794693</v>
      </c>
      <c r="G3534">
        <v>0.72086758148879404</v>
      </c>
      <c r="H3534">
        <v>0.68692056229413301</v>
      </c>
      <c r="I3534">
        <v>0.96394677072683499</v>
      </c>
      <c r="J3534">
        <v>1.1093487529217501</v>
      </c>
      <c r="K3534">
        <v>1.22564191882201</v>
      </c>
      <c r="L3534">
        <v>2140.0005851626802</v>
      </c>
      <c r="M3534">
        <v>49.2248958186225</v>
      </c>
      <c r="O3534">
        <v>43.402383703533701</v>
      </c>
      <c r="P3534">
        <v>-2.80043045943432E-2</v>
      </c>
      <c r="Q3534">
        <v>0.90123271347256795</v>
      </c>
      <c r="R3534">
        <v>3.9847356113536701E-2</v>
      </c>
      <c r="S3534" t="s">
        <v>9986</v>
      </c>
      <c r="T3534" t="s">
        <v>12902</v>
      </c>
      <c r="U3534" t="s">
        <v>12902</v>
      </c>
      <c r="V3534" t="s">
        <v>12902</v>
      </c>
      <c r="W3534" t="s">
        <v>16395</v>
      </c>
      <c r="X3534">
        <v>14</v>
      </c>
      <c r="Y3534" t="s">
        <v>22715</v>
      </c>
      <c r="Z3534" t="s">
        <v>29109</v>
      </c>
      <c r="AA3534">
        <v>0.91289803934864322</v>
      </c>
      <c r="AB3534" t="str">
        <f>HYPERLINK("Melting_Curves/meltCurve_Q15758_SLC1A5.pdf", "Melting_Curves/meltCurve_Q15758_SLC1A5.pdf")</f>
        <v>Melting_Curves/meltCurve_Q15758_SLC1A5.pdf</v>
      </c>
    </row>
    <row r="3535" spans="1:28" x14ac:dyDescent="0.25">
      <c r="A3535" t="s">
        <v>3539</v>
      </c>
      <c r="B3535">
        <v>0.99673306730245903</v>
      </c>
      <c r="C3535">
        <v>0.973533349773961</v>
      </c>
      <c r="D3535">
        <v>0.86641951679243301</v>
      </c>
      <c r="E3535">
        <v>0.69148740338597503</v>
      </c>
      <c r="F3535">
        <v>0.43917579012028102</v>
      </c>
      <c r="G3535">
        <v>0.243126582872838</v>
      </c>
      <c r="H3535">
        <v>0.12399217236314999</v>
      </c>
      <c r="I3535">
        <v>0.121106534386729</v>
      </c>
      <c r="J3535">
        <v>0.133513828799602</v>
      </c>
      <c r="K3535">
        <v>8.6027081205110101E-2</v>
      </c>
      <c r="L3535">
        <v>842.70024362989295</v>
      </c>
      <c r="M3535">
        <v>16.3444231863201</v>
      </c>
      <c r="N3535">
        <v>52.132068273934401</v>
      </c>
      <c r="O3535">
        <v>50.8056156033281</v>
      </c>
      <c r="P3535">
        <v>-7.3817286263640203E-2</v>
      </c>
      <c r="Q3535">
        <v>8.2240813673299898E-2</v>
      </c>
      <c r="R3535">
        <v>0.99797869820386298</v>
      </c>
      <c r="S3535" t="s">
        <v>9987</v>
      </c>
      <c r="T3535" t="s">
        <v>12902</v>
      </c>
      <c r="U3535" t="s">
        <v>12902</v>
      </c>
      <c r="V3535" t="s">
        <v>12902</v>
      </c>
      <c r="W3535" t="s">
        <v>16396</v>
      </c>
      <c r="X3535">
        <v>5</v>
      </c>
      <c r="Y3535" t="s">
        <v>22716</v>
      </c>
      <c r="Z3535" t="s">
        <v>29110</v>
      </c>
      <c r="AA3535">
        <v>0.45396368251680508</v>
      </c>
      <c r="AB3535" t="str">
        <f>HYPERLINK("Melting_Curves/meltCurve_Q15771_RAB30.pdf", "Melting_Curves/meltCurve_Q15771_RAB30.pdf")</f>
        <v>Melting_Curves/meltCurve_Q15771_RAB30.pdf</v>
      </c>
    </row>
    <row r="3536" spans="1:28" x14ac:dyDescent="0.25">
      <c r="A3536" t="s">
        <v>3540</v>
      </c>
      <c r="B3536">
        <v>0.99673306730245903</v>
      </c>
      <c r="C3536">
        <v>0.94454999397454198</v>
      </c>
      <c r="D3536">
        <v>0.51620922811182401</v>
      </c>
      <c r="E3536">
        <v>0.22052761604361401</v>
      </c>
      <c r="F3536">
        <v>0.11398972164183099</v>
      </c>
      <c r="G3536">
        <v>7.4635681385316704E-2</v>
      </c>
      <c r="H3536">
        <v>4.6666124963431199E-2</v>
      </c>
      <c r="I3536">
        <v>4.7957249607570397E-2</v>
      </c>
      <c r="J3536">
        <v>5.6014756866809901E-2</v>
      </c>
      <c r="K3536">
        <v>5.2310437915096999E-2</v>
      </c>
      <c r="L3536">
        <v>1256.37890893802</v>
      </c>
      <c r="M3536">
        <v>27.211765829820301</v>
      </c>
      <c r="N3536">
        <v>46.398040694352503</v>
      </c>
      <c r="O3536">
        <v>45.9232440282738</v>
      </c>
      <c r="P3536">
        <v>-0.13888289347899499</v>
      </c>
      <c r="Q3536">
        <v>6.2480288646510201E-2</v>
      </c>
      <c r="R3536">
        <v>0.99487503961146595</v>
      </c>
      <c r="S3536" t="s">
        <v>9988</v>
      </c>
      <c r="T3536" t="s">
        <v>12902</v>
      </c>
      <c r="U3536" t="s">
        <v>12902</v>
      </c>
      <c r="V3536" t="s">
        <v>12902</v>
      </c>
      <c r="W3536" t="s">
        <v>16397</v>
      </c>
      <c r="X3536">
        <v>23</v>
      </c>
      <c r="Y3536" t="s">
        <v>22717</v>
      </c>
      <c r="Z3536" t="s">
        <v>29111</v>
      </c>
      <c r="AA3536">
        <v>0.26239167338523861</v>
      </c>
      <c r="AB3536" t="str">
        <f>HYPERLINK("Melting_Curves/meltCurve_Q15785_TOMM34.pdf", "Melting_Curves/meltCurve_Q15785_TOMM34.pdf")</f>
        <v>Melting_Curves/meltCurve_Q15785_TOMM34.pdf</v>
      </c>
    </row>
    <row r="3537" spans="1:28" x14ac:dyDescent="0.25">
      <c r="A3537" t="s">
        <v>3541</v>
      </c>
      <c r="B3537">
        <v>0.99673306730245903</v>
      </c>
      <c r="C3537">
        <v>0.87967971596174699</v>
      </c>
      <c r="D3537">
        <v>0.70550783440758702</v>
      </c>
      <c r="E3537">
        <v>0.45811889995150001</v>
      </c>
      <c r="F3537">
        <v>0.272492767601488</v>
      </c>
      <c r="G3537">
        <v>0.16837870417261</v>
      </c>
      <c r="H3537">
        <v>0.105737243116742</v>
      </c>
      <c r="I3537">
        <v>0.13601419642658599</v>
      </c>
      <c r="J3537">
        <v>0.15412894308320299</v>
      </c>
      <c r="K3537">
        <v>0.135969745393726</v>
      </c>
      <c r="L3537">
        <v>800.64546764634895</v>
      </c>
      <c r="M3537">
        <v>16.676311190723499</v>
      </c>
      <c r="N3537">
        <v>48.814394180556398</v>
      </c>
      <c r="O3537">
        <v>47.3365211718246</v>
      </c>
      <c r="P3537">
        <v>-7.75080114188966E-2</v>
      </c>
      <c r="Q3537">
        <v>0.120018040227376</v>
      </c>
      <c r="R3537">
        <v>0.99631335801548504</v>
      </c>
      <c r="S3537" t="s">
        <v>9989</v>
      </c>
      <c r="T3537" t="s">
        <v>12902</v>
      </c>
      <c r="U3537" t="s">
        <v>12902</v>
      </c>
      <c r="V3537" t="s">
        <v>12902</v>
      </c>
      <c r="W3537" t="s">
        <v>16398</v>
      </c>
      <c r="X3537">
        <v>4</v>
      </c>
      <c r="Y3537" t="s">
        <v>22718</v>
      </c>
      <c r="Z3537" t="s">
        <v>29112</v>
      </c>
      <c r="AA3537">
        <v>0.3732820164412568</v>
      </c>
      <c r="AB3537" t="str">
        <f>HYPERLINK("Melting_Curves/meltCurve_Q15788_2_NCOA1.pdf", "Melting_Curves/meltCurve_Q15788_2_NCOA1.pdf")</f>
        <v>Melting_Curves/meltCurve_Q15788_2_NCOA1.pdf</v>
      </c>
    </row>
    <row r="3538" spans="1:28" x14ac:dyDescent="0.25">
      <c r="A3538" t="s">
        <v>3542</v>
      </c>
      <c r="B3538">
        <v>0.99673306730245903</v>
      </c>
      <c r="C3538">
        <v>0.97431171761000102</v>
      </c>
      <c r="D3538">
        <v>0.88495788563275701</v>
      </c>
      <c r="E3538">
        <v>0.48857549342770301</v>
      </c>
      <c r="F3538">
        <v>0.189620803833773</v>
      </c>
      <c r="G3538">
        <v>0.126783576685215</v>
      </c>
      <c r="H3538">
        <v>9.58809905253417E-2</v>
      </c>
      <c r="I3538">
        <v>8.5733265819631102E-2</v>
      </c>
      <c r="J3538">
        <v>0.106198686558929</v>
      </c>
      <c r="K3538">
        <v>0.10198059388250701</v>
      </c>
      <c r="L3538">
        <v>1370.7978258620799</v>
      </c>
      <c r="M3538">
        <v>27.9047447966547</v>
      </c>
      <c r="N3538">
        <v>49.508785944143703</v>
      </c>
      <c r="O3538">
        <v>48.873987605356199</v>
      </c>
      <c r="P3538">
        <v>-0.128830702437503</v>
      </c>
      <c r="Q3538">
        <v>9.7441814463943205E-2</v>
      </c>
      <c r="R3538">
        <v>0.99964826395472794</v>
      </c>
      <c r="S3538" t="s">
        <v>9990</v>
      </c>
      <c r="T3538" t="s">
        <v>12902</v>
      </c>
      <c r="U3538" t="s">
        <v>12902</v>
      </c>
      <c r="V3538" t="s">
        <v>12902</v>
      </c>
      <c r="W3538" t="s">
        <v>16399</v>
      </c>
      <c r="X3538">
        <v>10</v>
      </c>
      <c r="Y3538" t="s">
        <v>22719</v>
      </c>
      <c r="Z3538" t="s">
        <v>29113</v>
      </c>
      <c r="AA3538">
        <v>0.37833290253369339</v>
      </c>
      <c r="AB3538" t="str">
        <f>HYPERLINK("Melting_Curves/meltCurve_Q15796_2_SMAD2.pdf", "Melting_Curves/meltCurve_Q15796_2_SMAD2.pdf")</f>
        <v>Melting_Curves/meltCurve_Q15796_2_SMAD2.pdf</v>
      </c>
    </row>
    <row r="3539" spans="1:28" x14ac:dyDescent="0.25">
      <c r="A3539" t="s">
        <v>3543</v>
      </c>
      <c r="B3539">
        <v>0.99673306730245903</v>
      </c>
      <c r="C3539">
        <v>0.79682257337732698</v>
      </c>
      <c r="D3539">
        <v>0.65979425211734899</v>
      </c>
      <c r="E3539">
        <v>0.47825871310789603</v>
      </c>
      <c r="F3539">
        <v>0.17360143822272101</v>
      </c>
      <c r="G3539">
        <v>0.113859555213152</v>
      </c>
      <c r="H3539">
        <v>7.7730854909870598E-2</v>
      </c>
      <c r="I3539">
        <v>8.4332223245698598E-2</v>
      </c>
      <c r="J3539">
        <v>0.102786451996021</v>
      </c>
      <c r="K3539">
        <v>0.100999427677275</v>
      </c>
      <c r="L3539">
        <v>723.60347943183899</v>
      </c>
      <c r="M3539">
        <v>15.1511838641882</v>
      </c>
      <c r="N3539">
        <v>48.201336993807999</v>
      </c>
      <c r="O3539">
        <v>46.950098390405103</v>
      </c>
      <c r="P3539">
        <v>-7.5446764393628102E-2</v>
      </c>
      <c r="Q3539">
        <v>6.4921352974912902E-2</v>
      </c>
      <c r="R3539">
        <v>0.98442804653926197</v>
      </c>
      <c r="S3539" t="s">
        <v>9991</v>
      </c>
      <c r="T3539" t="s">
        <v>12902</v>
      </c>
      <c r="U3539" t="s">
        <v>12902</v>
      </c>
      <c r="V3539" t="s">
        <v>12902</v>
      </c>
      <c r="W3539" t="s">
        <v>16400</v>
      </c>
      <c r="X3539">
        <v>11</v>
      </c>
      <c r="Y3539" t="s">
        <v>22720</v>
      </c>
      <c r="Z3539" t="s">
        <v>29114</v>
      </c>
      <c r="AA3539">
        <v>0.33062249980092018</v>
      </c>
      <c r="AB3539" t="str">
        <f>HYPERLINK("Melting_Curves/meltCurve_Q15797_SMAD1.pdf", "Melting_Curves/meltCurve_Q15797_SMAD1.pdf")</f>
        <v>Melting_Curves/meltCurve_Q15797_SMAD1.pdf</v>
      </c>
    </row>
    <row r="3540" spans="1:28" x14ac:dyDescent="0.25">
      <c r="A3540" t="s">
        <v>3544</v>
      </c>
      <c r="B3540">
        <v>0.99673306730245903</v>
      </c>
      <c r="C3540">
        <v>0.91532866335490404</v>
      </c>
      <c r="D3540">
        <v>0.84819161729836701</v>
      </c>
      <c r="E3540">
        <v>0.783603854833685</v>
      </c>
      <c r="F3540">
        <v>0.42008694064199398</v>
      </c>
      <c r="G3540">
        <v>0.37495200104113302</v>
      </c>
      <c r="H3540">
        <v>0.18349554876316199</v>
      </c>
      <c r="I3540">
        <v>0.150528917764747</v>
      </c>
      <c r="J3540">
        <v>0.10993118321400901</v>
      </c>
      <c r="K3540">
        <v>9.1769270548732407E-2</v>
      </c>
      <c r="L3540">
        <v>666.58790981259494</v>
      </c>
      <c r="M3540">
        <v>12.6339643714761</v>
      </c>
      <c r="N3540">
        <v>53.218740735191702</v>
      </c>
      <c r="O3540">
        <v>51.492071491074</v>
      </c>
      <c r="P3540">
        <v>-5.8196571797340099E-2</v>
      </c>
      <c r="Q3540">
        <v>5.14234570030173E-2</v>
      </c>
      <c r="R3540">
        <v>0.98546767631111498</v>
      </c>
      <c r="S3540" t="s">
        <v>9992</v>
      </c>
      <c r="T3540" t="s">
        <v>12902</v>
      </c>
      <c r="U3540" t="s">
        <v>12902</v>
      </c>
      <c r="V3540" t="s">
        <v>12902</v>
      </c>
      <c r="W3540" t="s">
        <v>16401</v>
      </c>
      <c r="X3540">
        <v>3</v>
      </c>
      <c r="Y3540" t="s">
        <v>22721</v>
      </c>
      <c r="Z3540" t="s">
        <v>29115</v>
      </c>
      <c r="AA3540">
        <v>0.48080561321066229</v>
      </c>
      <c r="AB3540" t="str">
        <f>HYPERLINK("Melting_Curves/meltCurve_Q15800_MSMO1.pdf", "Melting_Curves/meltCurve_Q15800_MSMO1.pdf")</f>
        <v>Melting_Curves/meltCurve_Q15800_MSMO1.pdf</v>
      </c>
    </row>
    <row r="3541" spans="1:28" x14ac:dyDescent="0.25">
      <c r="A3541" t="s">
        <v>3545</v>
      </c>
      <c r="B3541">
        <v>0.99673306730245903</v>
      </c>
      <c r="C3541">
        <v>0.97103064281185003</v>
      </c>
      <c r="D3541">
        <v>0.43977496749635803</v>
      </c>
      <c r="E3541">
        <v>0.190827743537304</v>
      </c>
      <c r="F3541">
        <v>0.117388267399664</v>
      </c>
      <c r="G3541">
        <v>6.4736384365157496E-2</v>
      </c>
      <c r="H3541">
        <v>4.2041517807533499E-2</v>
      </c>
      <c r="I3541">
        <v>4.1807972175361398E-2</v>
      </c>
      <c r="J3541">
        <v>4.1474164809382201E-2</v>
      </c>
      <c r="K3541">
        <v>3.82581929490955E-2</v>
      </c>
      <c r="L3541">
        <v>1647.1688809305999</v>
      </c>
      <c r="M3541">
        <v>36.061361415877897</v>
      </c>
      <c r="N3541">
        <v>45.856050080355097</v>
      </c>
      <c r="O3541">
        <v>45.537053266272899</v>
      </c>
      <c r="P3541">
        <v>-0.18496624392327701</v>
      </c>
      <c r="Q3541">
        <v>6.5726750628564701E-2</v>
      </c>
      <c r="R3541">
        <v>0.98931937678706094</v>
      </c>
      <c r="S3541" t="s">
        <v>9993</v>
      </c>
      <c r="T3541" t="s">
        <v>12902</v>
      </c>
      <c r="U3541" t="s">
        <v>12902</v>
      </c>
      <c r="V3541" t="s">
        <v>12902</v>
      </c>
      <c r="W3541" t="s">
        <v>13129</v>
      </c>
      <c r="X3541">
        <v>18</v>
      </c>
      <c r="Y3541" t="s">
        <v>19524</v>
      </c>
      <c r="Z3541" t="s">
        <v>29116</v>
      </c>
      <c r="AA3541">
        <v>0.2463272079452459</v>
      </c>
      <c r="AB3541" t="str">
        <f>HYPERLINK("Melting_Curves/meltCurve_Q15813_TBCE.pdf", "Melting_Curves/meltCurve_Q15813_TBCE.pdf")</f>
        <v>Melting_Curves/meltCurve_Q15813_TBCE.pdf</v>
      </c>
    </row>
    <row r="3542" spans="1:28" x14ac:dyDescent="0.25">
      <c r="A3542" t="s">
        <v>3546</v>
      </c>
      <c r="B3542">
        <v>0.99673306730245903</v>
      </c>
      <c r="C3542">
        <v>0.93698710713720301</v>
      </c>
      <c r="D3542">
        <v>0.82864624416892396</v>
      </c>
      <c r="E3542">
        <v>0.81807961810262297</v>
      </c>
      <c r="F3542">
        <v>0.291743741014589</v>
      </c>
      <c r="G3542">
        <v>0.158057406086338</v>
      </c>
      <c r="H3542">
        <v>6.7436045787391499E-2</v>
      </c>
      <c r="I3542">
        <v>6.18618988436535E-2</v>
      </c>
      <c r="J3542">
        <v>5.9411075792697603E-2</v>
      </c>
      <c r="K3542">
        <v>5.35773542863517E-2</v>
      </c>
      <c r="L3542">
        <v>1348.3881516715201</v>
      </c>
      <c r="M3542">
        <v>26.1815104988755</v>
      </c>
      <c r="N3542">
        <v>51.732741844985398</v>
      </c>
      <c r="O3542">
        <v>51.203880974094403</v>
      </c>
      <c r="P3542">
        <v>-0.120773699069139</v>
      </c>
      <c r="Q3542">
        <v>5.5208798395422802E-2</v>
      </c>
      <c r="R3542">
        <v>0.98096348326437999</v>
      </c>
      <c r="S3542" t="s">
        <v>9994</v>
      </c>
      <c r="T3542" t="s">
        <v>12902</v>
      </c>
      <c r="U3542" t="s">
        <v>12902</v>
      </c>
      <c r="V3542" t="s">
        <v>12902</v>
      </c>
      <c r="W3542" t="s">
        <v>16402</v>
      </c>
      <c r="X3542">
        <v>10</v>
      </c>
      <c r="Y3542" t="s">
        <v>22722</v>
      </c>
      <c r="Z3542" t="s">
        <v>29117</v>
      </c>
      <c r="AA3542">
        <v>0.42526818977742709</v>
      </c>
      <c r="AB3542" t="str">
        <f>HYPERLINK("Melting_Curves/meltCurve_Q15814_TBCC.pdf", "Melting_Curves/meltCurve_Q15814_TBCC.pdf")</f>
        <v>Melting_Curves/meltCurve_Q15814_TBCC.pdf</v>
      </c>
    </row>
    <row r="3543" spans="1:28" x14ac:dyDescent="0.25">
      <c r="A3543" t="s">
        <v>3547</v>
      </c>
      <c r="B3543">
        <v>0.99673306730245903</v>
      </c>
      <c r="C3543">
        <v>1.10681472867645</v>
      </c>
      <c r="D3543">
        <v>0.69937440904834802</v>
      </c>
      <c r="E3543">
        <v>0.94663656659149498</v>
      </c>
      <c r="F3543">
        <v>0.44598763059798302</v>
      </c>
      <c r="G3543">
        <v>0.14977856604267101</v>
      </c>
      <c r="H3543">
        <v>7.2172400159841901E-2</v>
      </c>
      <c r="I3543">
        <v>7.0611613484654306E-2</v>
      </c>
      <c r="J3543">
        <v>7.0577096779270598E-2</v>
      </c>
      <c r="K3543">
        <v>6.89474789446817E-2</v>
      </c>
      <c r="L3543">
        <v>1760.1553355762201</v>
      </c>
      <c r="M3543">
        <v>33.408645536380298</v>
      </c>
      <c r="N3543">
        <v>52.915063674894199</v>
      </c>
      <c r="O3543">
        <v>52.497930213326001</v>
      </c>
      <c r="P3543">
        <v>-0.14836818651546499</v>
      </c>
      <c r="Q3543">
        <v>6.7428268796958304E-2</v>
      </c>
      <c r="R3543">
        <v>0.94106234172040903</v>
      </c>
      <c r="S3543" t="s">
        <v>9995</v>
      </c>
      <c r="T3543" t="s">
        <v>12902</v>
      </c>
      <c r="U3543" t="s">
        <v>12902</v>
      </c>
      <c r="V3543" t="s">
        <v>12902</v>
      </c>
      <c r="W3543" t="s">
        <v>16403</v>
      </c>
      <c r="X3543">
        <v>13</v>
      </c>
      <c r="Y3543" t="s">
        <v>22723</v>
      </c>
      <c r="Z3543" t="s">
        <v>29118</v>
      </c>
      <c r="AA3543">
        <v>0.46663535908643722</v>
      </c>
      <c r="AB3543" t="str">
        <f>HYPERLINK("Melting_Curves/meltCurve_Q15819_UBE2V2.pdf", "Melting_Curves/meltCurve_Q15819_UBE2V2.pdf")</f>
        <v>Melting_Curves/meltCurve_Q15819_UBE2V2.pdf</v>
      </c>
    </row>
    <row r="3544" spans="1:28" x14ac:dyDescent="0.25">
      <c r="A3544" t="s">
        <v>3548</v>
      </c>
      <c r="B3544">
        <v>0.99673306730245903</v>
      </c>
      <c r="C3544">
        <v>0.99062054778836495</v>
      </c>
      <c r="D3544">
        <v>0.89329993935666496</v>
      </c>
      <c r="E3544">
        <v>0.73183130963637599</v>
      </c>
      <c r="F3544">
        <v>0.61986253524247004</v>
      </c>
      <c r="G3544">
        <v>0.456465784490941</v>
      </c>
      <c r="H3544">
        <v>0.33457267120080297</v>
      </c>
      <c r="I3544">
        <v>0.16708004448848501</v>
      </c>
      <c r="J3544">
        <v>0.15079400097655801</v>
      </c>
      <c r="K3544">
        <v>0.13563187200777699</v>
      </c>
      <c r="L3544">
        <v>564.77007136394798</v>
      </c>
      <c r="M3544">
        <v>10.182301322962701</v>
      </c>
      <c r="N3544">
        <v>55.598359251012802</v>
      </c>
      <c r="O3544">
        <v>53.454084642806201</v>
      </c>
      <c r="P3544">
        <v>-4.70722038449344E-2</v>
      </c>
      <c r="Q3544">
        <v>1.19872008893806E-2</v>
      </c>
      <c r="R3544">
        <v>0.99325928741742697</v>
      </c>
      <c r="S3544" t="s">
        <v>9996</v>
      </c>
      <c r="T3544" t="s">
        <v>12902</v>
      </c>
      <c r="U3544" t="s">
        <v>12902</v>
      </c>
      <c r="V3544" t="s">
        <v>12902</v>
      </c>
      <c r="W3544" t="s">
        <v>16404</v>
      </c>
      <c r="X3544">
        <v>3</v>
      </c>
      <c r="Y3544" t="s">
        <v>22724</v>
      </c>
      <c r="Z3544" t="s">
        <v>29119</v>
      </c>
      <c r="AA3544">
        <v>0.5446588288041383</v>
      </c>
      <c r="AB3544" t="str">
        <f>HYPERLINK("Melting_Curves/meltCurve_Q15831_2_STK11.pdf", "Melting_Curves/meltCurve_Q15831_2_STK11.pdf")</f>
        <v>Melting_Curves/meltCurve_Q15831_2_STK11.pdf</v>
      </c>
    </row>
    <row r="3545" spans="1:28" x14ac:dyDescent="0.25">
      <c r="A3545" t="s">
        <v>3549</v>
      </c>
      <c r="B3545">
        <v>0.99673306730245903</v>
      </c>
      <c r="C3545">
        <v>0.927471962264655</v>
      </c>
      <c r="D3545">
        <v>0.65537994589261395</v>
      </c>
      <c r="E3545">
        <v>0.237276670702873</v>
      </c>
      <c r="F3545">
        <v>0.14035751072264399</v>
      </c>
      <c r="G3545">
        <v>8.4633059857278703E-2</v>
      </c>
      <c r="H3545">
        <v>5.3117157554375002E-2</v>
      </c>
      <c r="I3545">
        <v>4.7324140710060601E-2</v>
      </c>
      <c r="J3545">
        <v>4.5843773851613499E-2</v>
      </c>
      <c r="K3545">
        <v>3.8266765162935097E-2</v>
      </c>
      <c r="L3545">
        <v>1175.1095777171199</v>
      </c>
      <c r="M3545">
        <v>24.999733791640701</v>
      </c>
      <c r="N3545">
        <v>47.223399961867401</v>
      </c>
      <c r="O3545">
        <v>46.707239041698998</v>
      </c>
      <c r="P3545">
        <v>-0.12650378450458</v>
      </c>
      <c r="Q3545">
        <v>5.4620310724779797E-2</v>
      </c>
      <c r="R3545">
        <v>0.99805582645372404</v>
      </c>
      <c r="S3545" t="s">
        <v>9997</v>
      </c>
      <c r="T3545" t="s">
        <v>12902</v>
      </c>
      <c r="U3545" t="s">
        <v>12902</v>
      </c>
      <c r="V3545" t="s">
        <v>12902</v>
      </c>
      <c r="W3545" t="s">
        <v>16405</v>
      </c>
      <c r="X3545">
        <v>15</v>
      </c>
      <c r="Y3545" t="s">
        <v>22725</v>
      </c>
      <c r="Z3545" t="s">
        <v>29120</v>
      </c>
      <c r="AA3545">
        <v>0.28380285550080048</v>
      </c>
      <c r="AB3545" t="str">
        <f>HYPERLINK("Melting_Curves/meltCurve_Q15833_STXBP2.pdf", "Melting_Curves/meltCurve_Q15833_STXBP2.pdf")</f>
        <v>Melting_Curves/meltCurve_Q15833_STXBP2.pdf</v>
      </c>
    </row>
    <row r="3546" spans="1:28" x14ac:dyDescent="0.25">
      <c r="A3546" t="s">
        <v>3550</v>
      </c>
      <c r="B3546">
        <v>0.99673306730245903</v>
      </c>
      <c r="C3546">
        <v>0.97919557890031494</v>
      </c>
      <c r="D3546">
        <v>0.91139796093235204</v>
      </c>
      <c r="E3546">
        <v>0.79469944844338503</v>
      </c>
      <c r="F3546">
        <v>0.70077046111666197</v>
      </c>
      <c r="G3546">
        <v>0.61925868588542998</v>
      </c>
      <c r="H3546">
        <v>0.44861174732706899</v>
      </c>
      <c r="I3546">
        <v>0.60920387211363203</v>
      </c>
      <c r="J3546">
        <v>0.64131882064822499</v>
      </c>
      <c r="K3546">
        <v>0.73229834428249796</v>
      </c>
      <c r="L3546">
        <v>1056.30767880705</v>
      </c>
      <c r="M3546">
        <v>21.474683190110799</v>
      </c>
      <c r="O3546">
        <v>48.767945082754501</v>
      </c>
      <c r="P3546">
        <v>-4.3037491411687501E-2</v>
      </c>
      <c r="Q3546">
        <v>0.609065662632293</v>
      </c>
      <c r="R3546">
        <v>0.84108831367312398</v>
      </c>
      <c r="S3546" t="s">
        <v>9998</v>
      </c>
      <c r="T3546" t="s">
        <v>12902</v>
      </c>
      <c r="U3546" t="s">
        <v>12902</v>
      </c>
      <c r="V3546" t="s">
        <v>12902</v>
      </c>
      <c r="W3546" t="s">
        <v>16406</v>
      </c>
      <c r="X3546">
        <v>7</v>
      </c>
      <c r="Y3546" t="s">
        <v>22726</v>
      </c>
      <c r="Z3546" t="s">
        <v>29121</v>
      </c>
      <c r="AA3546">
        <v>0.73353566591182151</v>
      </c>
      <c r="AB3546" t="str">
        <f>HYPERLINK("Melting_Curves/meltCurve_Q15836_VAMP3.pdf", "Melting_Curves/meltCurve_Q15836_VAMP3.pdf")</f>
        <v>Melting_Curves/meltCurve_Q15836_VAMP3.pdf</v>
      </c>
    </row>
    <row r="3547" spans="1:28" x14ac:dyDescent="0.25">
      <c r="A3547" t="s">
        <v>3551</v>
      </c>
      <c r="B3547">
        <v>0.99673306730245903</v>
      </c>
      <c r="C3547">
        <v>1.01585242324605</v>
      </c>
      <c r="D3547">
        <v>1.08486074930945</v>
      </c>
      <c r="E3547">
        <v>0.92912571034784797</v>
      </c>
      <c r="F3547">
        <v>0.66095263111959901</v>
      </c>
      <c r="G3547">
        <v>0.52939635412559805</v>
      </c>
      <c r="H3547">
        <v>0.33363240698568403</v>
      </c>
      <c r="I3547">
        <v>0.40141379484496098</v>
      </c>
      <c r="J3547">
        <v>0.59291271243304</v>
      </c>
      <c r="K3547">
        <v>0.51211128785895199</v>
      </c>
      <c r="L3547">
        <v>1925.9076623220001</v>
      </c>
      <c r="M3547">
        <v>36.750197599939099</v>
      </c>
      <c r="N3547">
        <v>56.576467065825597</v>
      </c>
      <c r="O3547">
        <v>52.2509158786388</v>
      </c>
      <c r="P3547">
        <v>-9.3771065723916303E-2</v>
      </c>
      <c r="Q3547">
        <v>0.46671193900972402</v>
      </c>
      <c r="R3547">
        <v>0.92718463248684801</v>
      </c>
      <c r="S3547" t="s">
        <v>9999</v>
      </c>
      <c r="T3547" t="s">
        <v>12902</v>
      </c>
      <c r="U3547" t="s">
        <v>12902</v>
      </c>
      <c r="V3547" t="s">
        <v>12902</v>
      </c>
      <c r="W3547" t="s">
        <v>16407</v>
      </c>
      <c r="X3547">
        <v>7</v>
      </c>
      <c r="Y3547" t="s">
        <v>16407</v>
      </c>
      <c r="Z3547" t="s">
        <v>29122</v>
      </c>
      <c r="AA3547">
        <v>0.68952149639995375</v>
      </c>
      <c r="AB3547" t="str">
        <f>HYPERLINK("Melting_Curves/meltCurve_Q15843_NEDD8.pdf", "Melting_Curves/meltCurve_Q15843_NEDD8.pdf")</f>
        <v>Melting_Curves/meltCurve_Q15843_NEDD8.pdf</v>
      </c>
    </row>
    <row r="3548" spans="1:28" x14ac:dyDescent="0.25">
      <c r="A3548" t="s">
        <v>3552</v>
      </c>
      <c r="B3548">
        <v>0.99673306730245903</v>
      </c>
      <c r="C3548">
        <v>1.0443783760972001</v>
      </c>
      <c r="D3548">
        <v>1.4299215887618999</v>
      </c>
      <c r="E3548">
        <v>0.98992617144619699</v>
      </c>
      <c r="F3548">
        <v>0.93852831284807703</v>
      </c>
      <c r="G3548">
        <v>0.86703170018604703</v>
      </c>
      <c r="H3548">
        <v>0.84117941156006204</v>
      </c>
      <c r="I3548">
        <v>0.99549306874866506</v>
      </c>
      <c r="J3548">
        <v>1.7236437929746999</v>
      </c>
      <c r="K3548">
        <v>0.34105917031418098</v>
      </c>
      <c r="L3548">
        <v>12466.846489371401</v>
      </c>
      <c r="M3548">
        <v>250</v>
      </c>
      <c r="O3548">
        <v>49.864195113191997</v>
      </c>
      <c r="P3548">
        <v>-6.1221397763730999E-2</v>
      </c>
      <c r="Q3548">
        <v>0.95115590881686796</v>
      </c>
      <c r="R3548">
        <v>9.7564222298092106E-3</v>
      </c>
      <c r="S3548" t="s">
        <v>10000</v>
      </c>
      <c r="T3548" t="s">
        <v>12902</v>
      </c>
      <c r="U3548" t="s">
        <v>12902</v>
      </c>
      <c r="V3548" t="s">
        <v>12902</v>
      </c>
      <c r="W3548" t="s">
        <v>16408</v>
      </c>
      <c r="X3548">
        <v>1</v>
      </c>
      <c r="Y3548" t="s">
        <v>22727</v>
      </c>
      <c r="Z3548" t="s">
        <v>29123</v>
      </c>
      <c r="AA3548">
        <v>0.96722563346165669</v>
      </c>
      <c r="AB3548" t="str">
        <f>HYPERLINK("Melting_Curves/meltCurve_Q15847_ADIRF.pdf", "Melting_Curves/meltCurve_Q15847_ADIRF.pdf")</f>
        <v>Melting_Curves/meltCurve_Q15847_ADIRF.pdf</v>
      </c>
    </row>
    <row r="3549" spans="1:28" x14ac:dyDescent="0.25">
      <c r="A3549" t="s">
        <v>3553</v>
      </c>
      <c r="B3549">
        <v>0.99673306730245903</v>
      </c>
      <c r="C3549">
        <v>0.99255469970251298</v>
      </c>
      <c r="D3549">
        <v>0.82067275445686905</v>
      </c>
      <c r="E3549">
        <v>0.74775893542533001</v>
      </c>
      <c r="F3549">
        <v>0.503944616954628</v>
      </c>
      <c r="G3549">
        <v>0.35382056269645801</v>
      </c>
      <c r="H3549">
        <v>0.25469932563084402</v>
      </c>
      <c r="I3549">
        <v>0.29691603173105802</v>
      </c>
      <c r="J3549">
        <v>0.23199450759672299</v>
      </c>
      <c r="K3549">
        <v>0.141756044691388</v>
      </c>
      <c r="L3549">
        <v>698.07905966590204</v>
      </c>
      <c r="M3549">
        <v>13.4595963660616</v>
      </c>
      <c r="N3549">
        <v>53.5488923909653</v>
      </c>
      <c r="O3549">
        <v>50.760050458719803</v>
      </c>
      <c r="P3549">
        <v>-5.48596048515314E-2</v>
      </c>
      <c r="Q3549">
        <v>0.172561607511523</v>
      </c>
      <c r="R3549">
        <v>0.98503311672041305</v>
      </c>
      <c r="S3549" t="s">
        <v>10001</v>
      </c>
      <c r="T3549" t="s">
        <v>12902</v>
      </c>
      <c r="U3549" t="s">
        <v>12902</v>
      </c>
      <c r="V3549" t="s">
        <v>12902</v>
      </c>
      <c r="W3549" t="s">
        <v>16409</v>
      </c>
      <c r="X3549">
        <v>5</v>
      </c>
      <c r="Y3549" t="s">
        <v>22728</v>
      </c>
      <c r="Z3549" t="s">
        <v>29124</v>
      </c>
      <c r="AA3549">
        <v>0.52164620378425408</v>
      </c>
      <c r="AB3549" t="str">
        <f>HYPERLINK("Melting_Curves/meltCurve_Q15904_ATP6AP1.pdf", "Melting_Curves/meltCurve_Q15904_ATP6AP1.pdf")</f>
        <v>Melting_Curves/meltCurve_Q15904_ATP6AP1.pdf</v>
      </c>
    </row>
    <row r="3550" spans="1:28" x14ac:dyDescent="0.25">
      <c r="A3550" t="s">
        <v>3554</v>
      </c>
      <c r="B3550">
        <v>0.99673306730245903</v>
      </c>
      <c r="C3550">
        <v>1.00526012995437</v>
      </c>
      <c r="D3550">
        <v>0.95053100274389402</v>
      </c>
      <c r="E3550">
        <v>0.84116934932349796</v>
      </c>
      <c r="F3550">
        <v>0.749638139155413</v>
      </c>
      <c r="G3550">
        <v>0.66057031375616804</v>
      </c>
      <c r="H3550">
        <v>0.47286239873126301</v>
      </c>
      <c r="I3550">
        <v>0.246895312725911</v>
      </c>
      <c r="J3550">
        <v>8.9067046800404906E-2</v>
      </c>
      <c r="K3550">
        <v>6.6549777167254701E-2</v>
      </c>
      <c r="L3550">
        <v>762.68012613373696</v>
      </c>
      <c r="M3550">
        <v>12.977163822612599</v>
      </c>
      <c r="N3550">
        <v>58.7709408216421</v>
      </c>
      <c r="O3550">
        <v>57.427869319255102</v>
      </c>
      <c r="P3550">
        <v>-5.6503367923428201E-2</v>
      </c>
      <c r="Q3550">
        <v>0</v>
      </c>
      <c r="R3550">
        <v>0.97908512440125395</v>
      </c>
      <c r="S3550" t="s">
        <v>10002</v>
      </c>
      <c r="T3550" t="s">
        <v>12902</v>
      </c>
      <c r="U3550" t="s">
        <v>12902</v>
      </c>
      <c r="V3550" t="s">
        <v>12902</v>
      </c>
      <c r="W3550" t="s">
        <v>16410</v>
      </c>
      <c r="X3550">
        <v>18</v>
      </c>
      <c r="Y3550" t="s">
        <v>22729</v>
      </c>
      <c r="Z3550" t="s">
        <v>29125</v>
      </c>
      <c r="AA3550">
        <v>0.63586830056075416</v>
      </c>
      <c r="AB3550" t="str">
        <f>HYPERLINK("Melting_Curves/meltCurve_Q15907_RAB11B.pdf", "Melting_Curves/meltCurve_Q15907_RAB11B.pdf")</f>
        <v>Melting_Curves/meltCurve_Q15907_RAB11B.pdf</v>
      </c>
    </row>
    <row r="3551" spans="1:28" x14ac:dyDescent="0.25">
      <c r="A3551" t="s">
        <v>3555</v>
      </c>
      <c r="B3551">
        <v>0.99673306730245903</v>
      </c>
      <c r="C3551">
        <v>0.998280822579238</v>
      </c>
      <c r="D3551">
        <v>1.0058417793574801</v>
      </c>
      <c r="E3551">
        <v>0.93664446045392302</v>
      </c>
      <c r="F3551">
        <v>0.891863745878967</v>
      </c>
      <c r="G3551">
        <v>0.79375031284261899</v>
      </c>
      <c r="H3551">
        <v>0.80021950762466498</v>
      </c>
      <c r="I3551">
        <v>1.1190560016823701</v>
      </c>
      <c r="J3551">
        <v>1.3753771449165699</v>
      </c>
      <c r="K3551">
        <v>1.1983964904574</v>
      </c>
      <c r="L3551">
        <v>15000</v>
      </c>
      <c r="M3551">
        <v>234.031741795708</v>
      </c>
      <c r="O3551">
        <v>64.089189551795101</v>
      </c>
      <c r="P3551">
        <v>0.26190387285554401</v>
      </c>
      <c r="Q3551">
        <v>1.2868876980906701</v>
      </c>
      <c r="R3551">
        <v>0.60910059143476603</v>
      </c>
      <c r="S3551" t="s">
        <v>10003</v>
      </c>
      <c r="T3551" t="s">
        <v>12902</v>
      </c>
      <c r="U3551" t="s">
        <v>12902</v>
      </c>
      <c r="V3551" t="s">
        <v>12902</v>
      </c>
      <c r="W3551" t="s">
        <v>16411</v>
      </c>
      <c r="X3551">
        <v>18</v>
      </c>
      <c r="Y3551" t="s">
        <v>22730</v>
      </c>
      <c r="Z3551" t="s">
        <v>29126</v>
      </c>
      <c r="AA3551">
        <v>1.056443044177193</v>
      </c>
      <c r="AB3551" t="str">
        <f>HYPERLINK("Melting_Curves/meltCurve_Q15942_ZYX.pdf", "Melting_Curves/meltCurve_Q15942_ZYX.pdf")</f>
        <v>Melting_Curves/meltCurve_Q15942_ZYX.pdf</v>
      </c>
    </row>
    <row r="3552" spans="1:28" x14ac:dyDescent="0.25">
      <c r="A3552" t="s">
        <v>3556</v>
      </c>
      <c r="B3552">
        <v>0.99673306730245903</v>
      </c>
      <c r="C3552">
        <v>1.0188561749960301</v>
      </c>
      <c r="D3552">
        <v>0.81162946786399803</v>
      </c>
      <c r="E3552">
        <v>0.88558373986554295</v>
      </c>
      <c r="F3552">
        <v>0.736665911168918</v>
      </c>
      <c r="G3552">
        <v>0.29376741969465803</v>
      </c>
      <c r="H3552">
        <v>9.0864962360586901E-2</v>
      </c>
      <c r="I3552">
        <v>7.4624360419419902E-2</v>
      </c>
      <c r="J3552">
        <v>7.4200899291456901E-2</v>
      </c>
      <c r="K3552">
        <v>6.6131891135532403E-2</v>
      </c>
      <c r="L3552">
        <v>1404.3266447767501</v>
      </c>
      <c r="M3552">
        <v>25.675025333873698</v>
      </c>
      <c r="N3552">
        <v>54.9237950909205</v>
      </c>
      <c r="O3552">
        <v>54.367641020148398</v>
      </c>
      <c r="P3552">
        <v>-0.11210581426357299</v>
      </c>
      <c r="Q3552">
        <v>5.0461733334272597E-2</v>
      </c>
      <c r="R3552">
        <v>0.97493522204363103</v>
      </c>
      <c r="S3552" t="s">
        <v>10004</v>
      </c>
      <c r="T3552" t="s">
        <v>12902</v>
      </c>
      <c r="U3552" t="s">
        <v>12902</v>
      </c>
      <c r="V3552" t="s">
        <v>12902</v>
      </c>
      <c r="W3552" t="s">
        <v>16412</v>
      </c>
      <c r="X3552">
        <v>27</v>
      </c>
      <c r="Y3552" t="s">
        <v>22731</v>
      </c>
      <c r="Z3552" t="s">
        <v>29127</v>
      </c>
      <c r="AA3552">
        <v>0.52399863508053246</v>
      </c>
      <c r="AB3552" t="str">
        <f>HYPERLINK("Melting_Curves/meltCurve_Q16134_ETFDH.pdf", "Melting_Curves/meltCurve_Q16134_ETFDH.pdf")</f>
        <v>Melting_Curves/meltCurve_Q16134_ETFDH.pdf</v>
      </c>
    </row>
    <row r="3553" spans="1:28" x14ac:dyDescent="0.25">
      <c r="A3553" t="s">
        <v>3557</v>
      </c>
      <c r="B3553">
        <v>0.99673306730245903</v>
      </c>
      <c r="C3553">
        <v>0.93528535801409496</v>
      </c>
      <c r="D3553">
        <v>1.03376043906329</v>
      </c>
      <c r="E3553">
        <v>1.03238831168103</v>
      </c>
      <c r="F3553">
        <v>0.77288984389349402</v>
      </c>
      <c r="G3553">
        <v>0.26058117050493002</v>
      </c>
      <c r="H3553">
        <v>0.115191800117056</v>
      </c>
      <c r="I3553">
        <v>0.104222467627862</v>
      </c>
      <c r="J3553">
        <v>0.102600037137629</v>
      </c>
      <c r="K3553">
        <v>9.0127435103924999E-2</v>
      </c>
      <c r="L3553">
        <v>2261.9856473360601</v>
      </c>
      <c r="M3553">
        <v>41.386611885220603</v>
      </c>
      <c r="N3553">
        <v>54.950281292964299</v>
      </c>
      <c r="O3553">
        <v>54.527868497054897</v>
      </c>
      <c r="P3553">
        <v>-0.17083145308237299</v>
      </c>
      <c r="Q3553">
        <v>9.9703237969576697E-2</v>
      </c>
      <c r="R3553">
        <v>0.99563884823722704</v>
      </c>
      <c r="S3553" t="s">
        <v>10005</v>
      </c>
      <c r="T3553" t="s">
        <v>12902</v>
      </c>
      <c r="U3553" t="s">
        <v>12902</v>
      </c>
      <c r="V3553" t="s">
        <v>12902</v>
      </c>
      <c r="W3553" t="s">
        <v>16413</v>
      </c>
      <c r="X3553">
        <v>26</v>
      </c>
      <c r="Y3553" t="s">
        <v>22732</v>
      </c>
      <c r="Z3553" t="s">
        <v>29128</v>
      </c>
      <c r="AA3553">
        <v>0.54266671296733859</v>
      </c>
      <c r="AB3553" t="str">
        <f>HYPERLINK("Melting_Curves/meltCurve_Q16181_SEPT7.pdf", "Melting_Curves/meltCurve_Q16181_SEPT7.pdf")</f>
        <v>Melting_Curves/meltCurve_Q16181_SEPT7.pdf</v>
      </c>
    </row>
    <row r="3554" spans="1:28" x14ac:dyDescent="0.25">
      <c r="A3554" t="s">
        <v>3558</v>
      </c>
      <c r="B3554">
        <v>0.99673306730245903</v>
      </c>
      <c r="C3554">
        <v>0.85416865484715598</v>
      </c>
      <c r="D3554">
        <v>0.95726089264958103</v>
      </c>
      <c r="E3554">
        <v>0.72328283352117495</v>
      </c>
      <c r="F3554">
        <v>0.22654406203033001</v>
      </c>
      <c r="G3554">
        <v>0.12928147654002001</v>
      </c>
      <c r="H3554">
        <v>8.5695566292092407E-2</v>
      </c>
      <c r="I3554">
        <v>8.6010449951122794E-2</v>
      </c>
      <c r="J3554">
        <v>9.5359351598820197E-2</v>
      </c>
      <c r="K3554">
        <v>7.9190766849033298E-2</v>
      </c>
      <c r="L3554">
        <v>1745.3415202628601</v>
      </c>
      <c r="M3554">
        <v>34.410975519226596</v>
      </c>
      <c r="N3554">
        <v>51.0070931106142</v>
      </c>
      <c r="O3554">
        <v>50.550111304302</v>
      </c>
      <c r="P3554">
        <v>-0.155223456631436</v>
      </c>
      <c r="Q3554">
        <v>8.7903400544861898E-2</v>
      </c>
      <c r="R3554">
        <v>0.98508953864831905</v>
      </c>
      <c r="S3554" t="s">
        <v>10006</v>
      </c>
      <c r="T3554" t="s">
        <v>12902</v>
      </c>
      <c r="U3554" t="s">
        <v>12902</v>
      </c>
      <c r="V3554" t="s">
        <v>12902</v>
      </c>
      <c r="W3554" t="s">
        <v>16414</v>
      </c>
      <c r="X3554">
        <v>3</v>
      </c>
      <c r="Y3554" t="s">
        <v>22733</v>
      </c>
      <c r="Z3554" t="s">
        <v>29129</v>
      </c>
      <c r="AA3554">
        <v>0.41817205659896128</v>
      </c>
      <c r="AB3554" t="str">
        <f>HYPERLINK("Melting_Curves/meltCurve_Q16186_ADRM1.pdf", "Melting_Curves/meltCurve_Q16186_ADRM1.pdf")</f>
        <v>Melting_Curves/meltCurve_Q16186_ADRM1.pdf</v>
      </c>
    </row>
    <row r="3555" spans="1:28" x14ac:dyDescent="0.25">
      <c r="A3555" t="s">
        <v>3559</v>
      </c>
      <c r="B3555">
        <v>0.99673306730245903</v>
      </c>
      <c r="C3555">
        <v>0.96017488795908101</v>
      </c>
      <c r="D3555">
        <v>1.0096294988733701</v>
      </c>
      <c r="E3555">
        <v>0.99183188707145398</v>
      </c>
      <c r="F3555">
        <v>0.74344268175527195</v>
      </c>
      <c r="G3555">
        <v>0.457357423063255</v>
      </c>
      <c r="H3555">
        <v>0.232249077204816</v>
      </c>
      <c r="I3555">
        <v>0.19301537034923</v>
      </c>
      <c r="J3555">
        <v>0.219119715013147</v>
      </c>
      <c r="K3555">
        <v>0.202459490069925</v>
      </c>
      <c r="L3555">
        <v>1481.01027765957</v>
      </c>
      <c r="M3555">
        <v>26.932254575663499</v>
      </c>
      <c r="N3555">
        <v>56.011238039069703</v>
      </c>
      <c r="O3555">
        <v>54.689716759783103</v>
      </c>
      <c r="P3555">
        <v>-9.9233586978334398E-2</v>
      </c>
      <c r="Q3555">
        <v>0.19397725468849999</v>
      </c>
      <c r="R3555">
        <v>0.99594225471426601</v>
      </c>
      <c r="S3555" t="s">
        <v>10007</v>
      </c>
      <c r="T3555" t="s">
        <v>12902</v>
      </c>
      <c r="U3555" t="s">
        <v>12902</v>
      </c>
      <c r="V3555" t="s">
        <v>12902</v>
      </c>
      <c r="W3555" t="s">
        <v>16415</v>
      </c>
      <c r="X3555">
        <v>25</v>
      </c>
      <c r="Y3555" t="s">
        <v>22734</v>
      </c>
      <c r="Z3555" t="s">
        <v>29130</v>
      </c>
      <c r="AA3555">
        <v>0.60325517360654746</v>
      </c>
      <c r="AB3555" t="str">
        <f>HYPERLINK("Melting_Curves/meltCurve_Q16204_CCDC6.pdf", "Melting_Curves/meltCurve_Q16204_CCDC6.pdf")</f>
        <v>Melting_Curves/meltCurve_Q16204_CCDC6.pdf</v>
      </c>
    </row>
    <row r="3556" spans="1:28" x14ac:dyDescent="0.25">
      <c r="A3556" t="s">
        <v>3560</v>
      </c>
      <c r="B3556">
        <v>0.99673306730245903</v>
      </c>
      <c r="C3556">
        <v>0.84460129559689701</v>
      </c>
      <c r="D3556">
        <v>0.73399983147409897</v>
      </c>
      <c r="E3556">
        <v>0.82430183614810504</v>
      </c>
      <c r="F3556">
        <v>0.285554755328433</v>
      </c>
      <c r="G3556">
        <v>0.13391235394614301</v>
      </c>
      <c r="H3556">
        <v>7.8901323156174097E-2</v>
      </c>
      <c r="I3556">
        <v>7.7061272113448001E-2</v>
      </c>
      <c r="J3556">
        <v>7.1042405388371602E-2</v>
      </c>
      <c r="K3556">
        <v>7.3502281223379304E-2</v>
      </c>
      <c r="L3556">
        <v>860.96605559290595</v>
      </c>
      <c r="M3556">
        <v>16.848648042998501</v>
      </c>
      <c r="N3556">
        <v>51.312813351434997</v>
      </c>
      <c r="O3556">
        <v>50.396444647134601</v>
      </c>
      <c r="P3556">
        <v>-8.0765316816497096E-2</v>
      </c>
      <c r="Q3556">
        <v>3.3744637310505303E-2</v>
      </c>
      <c r="R3556">
        <v>0.94243023635374101</v>
      </c>
      <c r="S3556" t="s">
        <v>10008</v>
      </c>
      <c r="T3556" t="s">
        <v>12902</v>
      </c>
      <c r="U3556" t="s">
        <v>12902</v>
      </c>
      <c r="V3556" t="s">
        <v>12902</v>
      </c>
      <c r="W3556" t="s">
        <v>16416</v>
      </c>
      <c r="X3556">
        <v>10</v>
      </c>
      <c r="Y3556" t="s">
        <v>22735</v>
      </c>
      <c r="Z3556" t="s">
        <v>29131</v>
      </c>
      <c r="AA3556">
        <v>0.40953824052188997</v>
      </c>
      <c r="AB3556" t="str">
        <f>HYPERLINK("Melting_Curves/meltCurve_Q16222_2_UAP1.pdf", "Melting_Curves/meltCurve_Q16222_2_UAP1.pdf")</f>
        <v>Melting_Curves/meltCurve_Q16222_2_UAP1.pdf</v>
      </c>
    </row>
    <row r="3557" spans="1:28" x14ac:dyDescent="0.25">
      <c r="A3557" t="s">
        <v>3561</v>
      </c>
      <c r="B3557">
        <v>0.99673306730245903</v>
      </c>
      <c r="C3557">
        <v>0.95191595272704499</v>
      </c>
      <c r="D3557">
        <v>0.77961354180241904</v>
      </c>
      <c r="E3557">
        <v>0.473793791308601</v>
      </c>
      <c r="F3557">
        <v>0.240832964641162</v>
      </c>
      <c r="G3557">
        <v>0.16952024052759199</v>
      </c>
      <c r="H3557">
        <v>0.123067550412907</v>
      </c>
      <c r="I3557">
        <v>0.150921193217078</v>
      </c>
      <c r="J3557">
        <v>0.10523067433462099</v>
      </c>
      <c r="K3557">
        <v>0.11258406775235801</v>
      </c>
      <c r="L3557">
        <v>986.58823191862905</v>
      </c>
      <c r="M3557">
        <v>20.303472923744302</v>
      </c>
      <c r="N3557">
        <v>49.240568633582903</v>
      </c>
      <c r="O3557">
        <v>48.128075651899302</v>
      </c>
      <c r="P3557">
        <v>-9.30963147722738E-2</v>
      </c>
      <c r="Q3557">
        <v>0.117311800391627</v>
      </c>
      <c r="R3557">
        <v>0.99884424567110697</v>
      </c>
      <c r="S3557" t="s">
        <v>10009</v>
      </c>
      <c r="T3557" t="s">
        <v>12902</v>
      </c>
      <c r="U3557" t="s">
        <v>12902</v>
      </c>
      <c r="V3557" t="s">
        <v>12902</v>
      </c>
      <c r="W3557" t="s">
        <v>16417</v>
      </c>
      <c r="X3557">
        <v>4</v>
      </c>
      <c r="Y3557" t="s">
        <v>22736</v>
      </c>
      <c r="Z3557" t="s">
        <v>29132</v>
      </c>
      <c r="AA3557">
        <v>0.38215606940265318</v>
      </c>
      <c r="AB3557" t="str">
        <f>HYPERLINK("Melting_Curves/meltCurve_Q16254_E2F4.pdf", "Melting_Curves/meltCurve_Q16254_E2F4.pdf")</f>
        <v>Melting_Curves/meltCurve_Q16254_E2F4.pdf</v>
      </c>
    </row>
    <row r="3558" spans="1:28" x14ac:dyDescent="0.25">
      <c r="A3558" t="s">
        <v>3562</v>
      </c>
      <c r="B3558">
        <v>0.99673306730245903</v>
      </c>
      <c r="C3558">
        <v>0.93585695143501901</v>
      </c>
      <c r="D3558">
        <v>0.96117046451669796</v>
      </c>
      <c r="E3558">
        <v>0.86935573324925097</v>
      </c>
      <c r="F3558">
        <v>0.36810783426162103</v>
      </c>
      <c r="G3558">
        <v>0.21524923210246799</v>
      </c>
      <c r="H3558">
        <v>8.7892544505217801E-2</v>
      </c>
      <c r="I3558">
        <v>6.5290168600917006E-2</v>
      </c>
      <c r="J3558">
        <v>5.7020175973799901E-2</v>
      </c>
      <c r="K3558">
        <v>4.4422671346358703E-2</v>
      </c>
      <c r="L3558">
        <v>1487.5255737998</v>
      </c>
      <c r="M3558">
        <v>28.486871436036498</v>
      </c>
      <c r="N3558">
        <v>52.481549050823602</v>
      </c>
      <c r="O3558">
        <v>51.962640348835002</v>
      </c>
      <c r="P3558">
        <v>-0.12791932969953401</v>
      </c>
      <c r="Q3558">
        <v>6.66615891846149E-2</v>
      </c>
      <c r="R3558">
        <v>0.99229179477741203</v>
      </c>
      <c r="S3558" t="s">
        <v>10010</v>
      </c>
      <c r="T3558" t="s">
        <v>12902</v>
      </c>
      <c r="U3558" t="s">
        <v>12902</v>
      </c>
      <c r="V3558" t="s">
        <v>12902</v>
      </c>
      <c r="W3558" t="s">
        <v>16418</v>
      </c>
      <c r="X3558">
        <v>20</v>
      </c>
      <c r="Y3558" t="s">
        <v>22737</v>
      </c>
      <c r="Z3558" t="s">
        <v>29133</v>
      </c>
      <c r="AA3558">
        <v>0.45340340907681598</v>
      </c>
      <c r="AB3558" t="str">
        <f>HYPERLINK("Melting_Curves/meltCurve_Q16401_2_PSMD5.pdf", "Melting_Curves/meltCurve_Q16401_2_PSMD5.pdf")</f>
        <v>Melting_Curves/meltCurve_Q16401_2_PSMD5.pdf</v>
      </c>
    </row>
    <row r="3559" spans="1:28" x14ac:dyDescent="0.25">
      <c r="A3559" t="s">
        <v>3563</v>
      </c>
      <c r="B3559">
        <v>0.99673306730245903</v>
      </c>
      <c r="C3559">
        <v>1.01374563026257</v>
      </c>
      <c r="D3559">
        <v>0.69597572346884995</v>
      </c>
      <c r="E3559">
        <v>0.49264898325683598</v>
      </c>
      <c r="F3559">
        <v>0.15191640503253601</v>
      </c>
      <c r="G3559">
        <v>0.103644048418609</v>
      </c>
      <c r="H3559">
        <v>6.36640447786323E-2</v>
      </c>
      <c r="I3559">
        <v>5.6155292064733901E-2</v>
      </c>
      <c r="J3559">
        <v>6.5427284368058503E-2</v>
      </c>
      <c r="K3559">
        <v>5.9062137416432098E-2</v>
      </c>
      <c r="L3559">
        <v>977.24214290339</v>
      </c>
      <c r="M3559">
        <v>20.098784778728401</v>
      </c>
      <c r="N3559">
        <v>48.8836544835737</v>
      </c>
      <c r="O3559">
        <v>48.148298732283401</v>
      </c>
      <c r="P3559">
        <v>-9.9038899717221199E-2</v>
      </c>
      <c r="Q3559">
        <v>5.1006868579449E-2</v>
      </c>
      <c r="R3559">
        <v>0.98822759551976602</v>
      </c>
      <c r="S3559" t="s">
        <v>10011</v>
      </c>
      <c r="T3559" t="s">
        <v>12902</v>
      </c>
      <c r="U3559" t="s">
        <v>12902</v>
      </c>
      <c r="V3559" t="s">
        <v>12902</v>
      </c>
      <c r="W3559" t="s">
        <v>16419</v>
      </c>
      <c r="X3559">
        <v>23</v>
      </c>
      <c r="Y3559" t="s">
        <v>22738</v>
      </c>
      <c r="Z3559" t="s">
        <v>29134</v>
      </c>
      <c r="AA3559">
        <v>0.33695944279939688</v>
      </c>
      <c r="AB3559" t="str">
        <f>HYPERLINK("Melting_Curves/meltCurve_Q16512_PKN1.pdf", "Melting_Curves/meltCurve_Q16512_PKN1.pdf")</f>
        <v>Melting_Curves/meltCurve_Q16512_PKN1.pdf</v>
      </c>
    </row>
    <row r="3560" spans="1:28" x14ac:dyDescent="0.25">
      <c r="A3560" t="s">
        <v>3564</v>
      </c>
      <c r="B3560">
        <v>0.99673306730245903</v>
      </c>
      <c r="C3560">
        <v>0.97035493929550998</v>
      </c>
      <c r="D3560">
        <v>0.82496312147252204</v>
      </c>
      <c r="E3560">
        <v>0.36704319226937698</v>
      </c>
      <c r="F3560">
        <v>0.21177257939265801</v>
      </c>
      <c r="G3560">
        <v>0.14045255654647701</v>
      </c>
      <c r="H3560">
        <v>8.8176890967778102E-2</v>
      </c>
      <c r="I3560">
        <v>7.5498622299344703E-2</v>
      </c>
      <c r="J3560">
        <v>8.7581013495609497E-2</v>
      </c>
      <c r="K3560">
        <v>7.1200784566851E-2</v>
      </c>
      <c r="L3560">
        <v>1245.42854067228</v>
      </c>
      <c r="M3560">
        <v>25.7761101051649</v>
      </c>
      <c r="N3560">
        <v>48.699215320358803</v>
      </c>
      <c r="O3560">
        <v>48.0291609540701</v>
      </c>
      <c r="P3560">
        <v>-0.12188853472289</v>
      </c>
      <c r="Q3560">
        <v>9.1541073445752505E-2</v>
      </c>
      <c r="R3560">
        <v>0.99636483085921301</v>
      </c>
      <c r="S3560" t="s">
        <v>10012</v>
      </c>
      <c r="T3560" t="s">
        <v>12902</v>
      </c>
      <c r="U3560" t="s">
        <v>12902</v>
      </c>
      <c r="V3560" t="s">
        <v>12902</v>
      </c>
      <c r="W3560" t="s">
        <v>16420</v>
      </c>
      <c r="X3560">
        <v>17</v>
      </c>
      <c r="Y3560" t="s">
        <v>22739</v>
      </c>
      <c r="Z3560" t="s">
        <v>29135</v>
      </c>
      <c r="AA3560">
        <v>0.35093005536327831</v>
      </c>
      <c r="AB3560" t="str">
        <f>HYPERLINK("Melting_Curves/meltCurve_Q16513_PKN2.pdf", "Melting_Curves/meltCurve_Q16513_PKN2.pdf")</f>
        <v>Melting_Curves/meltCurve_Q16513_PKN2.pdf</v>
      </c>
    </row>
    <row r="3561" spans="1:28" x14ac:dyDescent="0.25">
      <c r="A3561" t="s">
        <v>3565</v>
      </c>
      <c r="B3561">
        <v>0.99673306730245903</v>
      </c>
      <c r="C3561">
        <v>0.89311809367442996</v>
      </c>
      <c r="D3561">
        <v>0.80380641387011798</v>
      </c>
      <c r="E3561">
        <v>0.49890921094549301</v>
      </c>
      <c r="F3561">
        <v>0.32359865837442198</v>
      </c>
      <c r="G3561">
        <v>0.24804317226772599</v>
      </c>
      <c r="H3561">
        <v>0.15649850974118801</v>
      </c>
      <c r="I3561">
        <v>0.176454741854466</v>
      </c>
      <c r="J3561">
        <v>0.16749853042170801</v>
      </c>
      <c r="K3561">
        <v>0.19559153376005201</v>
      </c>
      <c r="L3561">
        <v>853.08320579536803</v>
      </c>
      <c r="M3561">
        <v>17.5333995596921</v>
      </c>
      <c r="N3561">
        <v>49.806151554391001</v>
      </c>
      <c r="O3561">
        <v>48.035074706219099</v>
      </c>
      <c r="P3561">
        <v>-7.6052520844967803E-2</v>
      </c>
      <c r="Q3561">
        <v>0.16662171237981899</v>
      </c>
      <c r="R3561">
        <v>0.99536236744355999</v>
      </c>
      <c r="S3561" t="s">
        <v>10013</v>
      </c>
      <c r="T3561" t="s">
        <v>12902</v>
      </c>
      <c r="U3561" t="s">
        <v>12902</v>
      </c>
      <c r="V3561" t="s">
        <v>12902</v>
      </c>
      <c r="W3561" t="s">
        <v>16421</v>
      </c>
      <c r="X3561">
        <v>2</v>
      </c>
      <c r="Y3561" t="s">
        <v>22740</v>
      </c>
      <c r="Z3561" t="s">
        <v>29136</v>
      </c>
      <c r="AA3561">
        <v>0.42237374517969878</v>
      </c>
      <c r="AB3561" t="str">
        <f>HYPERLINK("Melting_Curves/meltCurve_Q16514_2_TAF12.pdf", "Melting_Curves/meltCurve_Q16514_2_TAF12.pdf")</f>
        <v>Melting_Curves/meltCurve_Q16514_2_TAF12.pdf</v>
      </c>
    </row>
    <row r="3562" spans="1:28" x14ac:dyDescent="0.25">
      <c r="A3562" t="s">
        <v>3566</v>
      </c>
      <c r="B3562">
        <v>0.99673306730245903</v>
      </c>
      <c r="C3562">
        <v>0.97403485892665498</v>
      </c>
      <c r="D3562">
        <v>1.0568463642383601</v>
      </c>
      <c r="E3562">
        <v>1.15291834682792</v>
      </c>
      <c r="F3562">
        <v>1.26970823341591</v>
      </c>
      <c r="G3562">
        <v>1.31484924140208</v>
      </c>
      <c r="H3562">
        <v>0.80841510371138003</v>
      </c>
      <c r="I3562">
        <v>0.245589558589979</v>
      </c>
      <c r="J3562">
        <v>0.14258271178611401</v>
      </c>
      <c r="K3562">
        <v>0.108901934081381</v>
      </c>
      <c r="L3562">
        <v>3986.1053723370101</v>
      </c>
      <c r="M3562">
        <v>64.209258944215406</v>
      </c>
      <c r="N3562">
        <v>62.359519844047703</v>
      </c>
      <c r="O3562">
        <v>62.019782389474202</v>
      </c>
      <c r="P3562">
        <v>-0.226450330304481</v>
      </c>
      <c r="Q3562">
        <v>0.12508594350326999</v>
      </c>
      <c r="R3562">
        <v>0.89744650383638602</v>
      </c>
      <c r="S3562" t="s">
        <v>10014</v>
      </c>
      <c r="T3562" t="s">
        <v>12902</v>
      </c>
      <c r="U3562" t="s">
        <v>12902</v>
      </c>
      <c r="V3562" t="s">
        <v>12902</v>
      </c>
      <c r="W3562" t="s">
        <v>16422</v>
      </c>
      <c r="X3562">
        <v>60</v>
      </c>
      <c r="Y3562" t="s">
        <v>22741</v>
      </c>
      <c r="Z3562" t="s">
        <v>29137</v>
      </c>
      <c r="AA3562">
        <v>0.77044380207048202</v>
      </c>
      <c r="AB3562" t="str">
        <f>HYPERLINK("Melting_Curves/meltCurve_Q16531_DDB1.pdf", "Melting_Curves/meltCurve_Q16531_DDB1.pdf")</f>
        <v>Melting_Curves/meltCurve_Q16531_DDB1.pdf</v>
      </c>
    </row>
    <row r="3563" spans="1:28" x14ac:dyDescent="0.25">
      <c r="A3563" t="s">
        <v>3567</v>
      </c>
      <c r="B3563">
        <v>0.99673306730245903</v>
      </c>
      <c r="C3563">
        <v>0.86319642861020696</v>
      </c>
      <c r="D3563">
        <v>0.67512339937204502</v>
      </c>
      <c r="E3563">
        <v>0.35841863763851201</v>
      </c>
      <c r="F3563">
        <v>0.21600623453118201</v>
      </c>
      <c r="G3563">
        <v>0.139107502870808</v>
      </c>
      <c r="H3563">
        <v>9.6586152239207607E-2</v>
      </c>
      <c r="I3563">
        <v>8.5271211911719394E-2</v>
      </c>
      <c r="J3563">
        <v>8.39608904983319E-2</v>
      </c>
      <c r="K3563">
        <v>7.4365945919888404E-2</v>
      </c>
      <c r="L3563">
        <v>831.77515102856603</v>
      </c>
      <c r="M3563">
        <v>17.5169621420251</v>
      </c>
      <c r="N3563">
        <v>47.955735257354398</v>
      </c>
      <c r="O3563">
        <v>46.8780829388852</v>
      </c>
      <c r="P3563">
        <v>-8.6028831403250294E-2</v>
      </c>
      <c r="Q3563">
        <v>7.9144614788851597E-2</v>
      </c>
      <c r="R3563">
        <v>0.99832425444511097</v>
      </c>
      <c r="S3563" t="s">
        <v>10015</v>
      </c>
      <c r="T3563" t="s">
        <v>12902</v>
      </c>
      <c r="U3563" t="s">
        <v>12902</v>
      </c>
      <c r="V3563" t="s">
        <v>12902</v>
      </c>
      <c r="W3563" t="s">
        <v>16423</v>
      </c>
      <c r="X3563">
        <v>10</v>
      </c>
      <c r="Y3563" t="s">
        <v>22742</v>
      </c>
      <c r="Z3563" t="s">
        <v>29138</v>
      </c>
      <c r="AA3563">
        <v>0.32649056592799408</v>
      </c>
      <c r="AB3563" t="str">
        <f>HYPERLINK("Melting_Curves/meltCurve_Q16539_2_MAPK14.pdf", "Melting_Curves/meltCurve_Q16539_2_MAPK14.pdf")</f>
        <v>Melting_Curves/meltCurve_Q16539_2_MAPK14.pdf</v>
      </c>
    </row>
    <row r="3564" spans="1:28" x14ac:dyDescent="0.25">
      <c r="A3564" t="s">
        <v>3568</v>
      </c>
      <c r="B3564">
        <v>0.99673306730245903</v>
      </c>
      <c r="C3564">
        <v>0.90621057968165397</v>
      </c>
      <c r="D3564">
        <v>0.976476556230926</v>
      </c>
      <c r="E3564">
        <v>0.96569491819124897</v>
      </c>
      <c r="F3564">
        <v>0.54639866107558799</v>
      </c>
      <c r="G3564">
        <v>0.18402517341070099</v>
      </c>
      <c r="H3564">
        <v>9.7372479446920804E-2</v>
      </c>
      <c r="I3564">
        <v>8.5155984750845501E-2</v>
      </c>
      <c r="J3564">
        <v>9.1430807616074194E-2</v>
      </c>
      <c r="K3564">
        <v>8.0484104778517196E-2</v>
      </c>
      <c r="L3564">
        <v>1983.6491564815899</v>
      </c>
      <c r="M3564">
        <v>37.237904610740202</v>
      </c>
      <c r="N3564">
        <v>53.548554148468199</v>
      </c>
      <c r="O3564">
        <v>53.116675222542902</v>
      </c>
      <c r="P3564">
        <v>-0.15981378185464601</v>
      </c>
      <c r="Q3564">
        <v>8.8159589478072106E-2</v>
      </c>
      <c r="R3564">
        <v>0.99388284546862005</v>
      </c>
      <c r="S3564" t="s">
        <v>10016</v>
      </c>
      <c r="T3564" t="s">
        <v>12902</v>
      </c>
      <c r="U3564" t="s">
        <v>12902</v>
      </c>
      <c r="V3564" t="s">
        <v>12902</v>
      </c>
      <c r="W3564" t="s">
        <v>16424</v>
      </c>
      <c r="X3564">
        <v>32</v>
      </c>
      <c r="Y3564" t="s">
        <v>20433</v>
      </c>
      <c r="Z3564" t="s">
        <v>29139</v>
      </c>
      <c r="AA3564">
        <v>0.49535514179519169</v>
      </c>
      <c r="AB3564" t="str">
        <f>HYPERLINK("Melting_Curves/meltCurve_Q16543_CDC37.pdf", "Melting_Curves/meltCurve_Q16543_CDC37.pdf")</f>
        <v>Melting_Curves/meltCurve_Q16543_CDC37.pdf</v>
      </c>
    </row>
    <row r="3565" spans="1:28" x14ac:dyDescent="0.25">
      <c r="A3565" t="s">
        <v>3569</v>
      </c>
      <c r="B3565">
        <v>0.99673306730245903</v>
      </c>
      <c r="C3565">
        <v>0.94479911531205596</v>
      </c>
      <c r="D3565">
        <v>1.01442865067135</v>
      </c>
      <c r="E3565">
        <v>1.1473170586405199</v>
      </c>
      <c r="F3565">
        <v>1.1109234884062</v>
      </c>
      <c r="G3565">
        <v>0.91712431140242101</v>
      </c>
      <c r="H3565">
        <v>0.60969878640376396</v>
      </c>
      <c r="I3565">
        <v>0.24716791855356801</v>
      </c>
      <c r="J3565">
        <v>0.122496754260912</v>
      </c>
      <c r="K3565">
        <v>8.80766579366416E-2</v>
      </c>
      <c r="L3565">
        <v>2126.8531332623802</v>
      </c>
      <c r="M3565">
        <v>34.693296104249001</v>
      </c>
      <c r="N3565">
        <v>61.599278894926698</v>
      </c>
      <c r="O3565">
        <v>61.101854238603103</v>
      </c>
      <c r="P3565">
        <v>-0.1310899869123</v>
      </c>
      <c r="Q3565">
        <v>7.6500682563077599E-2</v>
      </c>
      <c r="R3565">
        <v>0.97519165416824105</v>
      </c>
      <c r="S3565" t="s">
        <v>10017</v>
      </c>
      <c r="T3565" t="s">
        <v>12902</v>
      </c>
      <c r="U3565" t="s">
        <v>12902</v>
      </c>
      <c r="V3565" t="s">
        <v>12902</v>
      </c>
      <c r="W3565" t="s">
        <v>16425</v>
      </c>
      <c r="X3565">
        <v>22</v>
      </c>
      <c r="Y3565" t="s">
        <v>22743</v>
      </c>
      <c r="Z3565" t="s">
        <v>29140</v>
      </c>
      <c r="AA3565">
        <v>0.73652453406788554</v>
      </c>
      <c r="AB3565" t="str">
        <f>HYPERLINK("Melting_Curves/meltCurve_Q16555_DPYSL2.pdf", "Melting_Curves/meltCurve_Q16555_DPYSL2.pdf")</f>
        <v>Melting_Curves/meltCurve_Q16555_DPYSL2.pdf</v>
      </c>
    </row>
    <row r="3566" spans="1:28" x14ac:dyDescent="0.25">
      <c r="A3566" t="s">
        <v>3570</v>
      </c>
      <c r="B3566">
        <v>0.99673306730245903</v>
      </c>
      <c r="C3566">
        <v>0.940886983832943</v>
      </c>
      <c r="D3566">
        <v>0.93689708793737603</v>
      </c>
      <c r="E3566">
        <v>0.93561314716312405</v>
      </c>
      <c r="F3566">
        <v>0.86767861391761503</v>
      </c>
      <c r="G3566">
        <v>0.77492394082286598</v>
      </c>
      <c r="H3566">
        <v>0.40233414706309101</v>
      </c>
      <c r="I3566">
        <v>0.13671289242204801</v>
      </c>
      <c r="J3566">
        <v>0.101228215643068</v>
      </c>
      <c r="K3566">
        <v>7.8319494479319199E-2</v>
      </c>
      <c r="L3566">
        <v>1290.5152078603601</v>
      </c>
      <c r="M3566">
        <v>21.7288217580255</v>
      </c>
      <c r="N3566">
        <v>59.500909722806597</v>
      </c>
      <c r="O3566">
        <v>58.895674005485901</v>
      </c>
      <c r="P3566">
        <v>-9.0436080966196097E-2</v>
      </c>
      <c r="Q3566">
        <v>1.9519776185112799E-2</v>
      </c>
      <c r="R3566">
        <v>0.98645671942831803</v>
      </c>
      <c r="S3566" t="s">
        <v>10018</v>
      </c>
      <c r="T3566" t="s">
        <v>12902</v>
      </c>
      <c r="U3566" t="s">
        <v>12902</v>
      </c>
      <c r="V3566" t="s">
        <v>12902</v>
      </c>
      <c r="W3566" t="s">
        <v>16426</v>
      </c>
      <c r="X3566">
        <v>16</v>
      </c>
      <c r="Y3566" t="s">
        <v>22744</v>
      </c>
      <c r="Z3566" t="s">
        <v>29141</v>
      </c>
      <c r="AA3566">
        <v>0.66212248409541374</v>
      </c>
      <c r="AB3566" t="str">
        <f>HYPERLINK("Melting_Curves/meltCurve_Q16576_RBBP7.pdf", "Melting_Curves/meltCurve_Q16576_RBBP7.pdf")</f>
        <v>Melting_Curves/meltCurve_Q16576_RBBP7.pdf</v>
      </c>
    </row>
    <row r="3567" spans="1:28" x14ac:dyDescent="0.25">
      <c r="A3567" t="s">
        <v>3571</v>
      </c>
      <c r="B3567">
        <v>0.99673306730245903</v>
      </c>
      <c r="C3567">
        <v>1.00405805236534</v>
      </c>
      <c r="D3567">
        <v>0.96319506681144595</v>
      </c>
      <c r="E3567">
        <v>0.90040972862329305</v>
      </c>
      <c r="F3567">
        <v>0.73378664927630399</v>
      </c>
      <c r="G3567">
        <v>0.47542160205619199</v>
      </c>
      <c r="H3567">
        <v>0.31106984497328899</v>
      </c>
      <c r="I3567">
        <v>0.312006266568712</v>
      </c>
      <c r="J3567">
        <v>0.40155975310236203</v>
      </c>
      <c r="K3567">
        <v>0.27265632763217601</v>
      </c>
      <c r="L3567">
        <v>1274.55045642409</v>
      </c>
      <c r="M3567">
        <v>23.603671942279298</v>
      </c>
      <c r="N3567">
        <v>56.285638895269798</v>
      </c>
      <c r="O3567">
        <v>53.614866758906203</v>
      </c>
      <c r="P3567">
        <v>-7.6116608373168707E-2</v>
      </c>
      <c r="Q3567">
        <v>0.30842747084163102</v>
      </c>
      <c r="R3567">
        <v>0.98555737141798805</v>
      </c>
      <c r="S3567" t="s">
        <v>10019</v>
      </c>
      <c r="T3567" t="s">
        <v>12902</v>
      </c>
      <c r="U3567" t="s">
        <v>12902</v>
      </c>
      <c r="V3567" t="s">
        <v>12902</v>
      </c>
      <c r="W3567" t="s">
        <v>16427</v>
      </c>
      <c r="X3567">
        <v>3</v>
      </c>
      <c r="Y3567" t="s">
        <v>22745</v>
      </c>
      <c r="Z3567" t="s">
        <v>29142</v>
      </c>
      <c r="AA3567">
        <v>0.63821116349824414</v>
      </c>
      <c r="AB3567" t="str">
        <f>HYPERLINK("Melting_Curves/meltCurve_Q16610_ECM1.pdf", "Melting_Curves/meltCurve_Q16610_ECM1.pdf")</f>
        <v>Melting_Curves/meltCurve_Q16610_ECM1.pdf</v>
      </c>
    </row>
    <row r="3568" spans="1:28" x14ac:dyDescent="0.25">
      <c r="A3568" t="s">
        <v>3572</v>
      </c>
      <c r="B3568">
        <v>0.99673306730245903</v>
      </c>
      <c r="C3568">
        <v>0.998556224831192</v>
      </c>
      <c r="D3568">
        <v>0.93061446783952495</v>
      </c>
      <c r="E3568">
        <v>0.87042517633087801</v>
      </c>
      <c r="F3568">
        <v>0.70273119769894199</v>
      </c>
      <c r="G3568">
        <v>0.62919417400389499</v>
      </c>
      <c r="H3568">
        <v>0.48043460687259698</v>
      </c>
      <c r="I3568">
        <v>0.57547643667771897</v>
      </c>
      <c r="J3568">
        <v>0.69303325270142502</v>
      </c>
      <c r="K3568">
        <v>0.66981832742436997</v>
      </c>
      <c r="L3568">
        <v>1305.44593149249</v>
      </c>
      <c r="M3568">
        <v>25.751077058616101</v>
      </c>
      <c r="O3568">
        <v>50.3920509930077</v>
      </c>
      <c r="P3568">
        <v>-5.0453284744591299E-2</v>
      </c>
      <c r="Q3568">
        <v>0.60507840191506601</v>
      </c>
      <c r="R3568">
        <v>0.89395393348186203</v>
      </c>
      <c r="S3568" t="s">
        <v>10020</v>
      </c>
      <c r="T3568" t="s">
        <v>12902</v>
      </c>
      <c r="U3568" t="s">
        <v>12902</v>
      </c>
      <c r="V3568" t="s">
        <v>12902</v>
      </c>
      <c r="W3568" t="s">
        <v>16428</v>
      </c>
      <c r="X3568">
        <v>9</v>
      </c>
      <c r="Y3568" t="s">
        <v>22746</v>
      </c>
      <c r="Z3568" t="s">
        <v>29143</v>
      </c>
      <c r="AA3568">
        <v>0.74921847109769291</v>
      </c>
      <c r="AB3568" t="str">
        <f>HYPERLINK("Melting_Curves/meltCurve_Q16625_4_OCLN.pdf", "Melting_Curves/meltCurve_Q16625_4_OCLN.pdf")</f>
        <v>Melting_Curves/meltCurve_Q16625_4_OCLN.pdf</v>
      </c>
    </row>
    <row r="3569" spans="1:28" x14ac:dyDescent="0.25">
      <c r="A3569" t="s">
        <v>3573</v>
      </c>
      <c r="B3569">
        <v>0.99673306730245903</v>
      </c>
      <c r="C3569">
        <v>1.0325442223297101</v>
      </c>
      <c r="D3569">
        <v>0.96115897749477197</v>
      </c>
      <c r="E3569">
        <v>0.88860781058755101</v>
      </c>
      <c r="F3569">
        <v>0.79538300716601595</v>
      </c>
      <c r="G3569">
        <v>0.546497911250724</v>
      </c>
      <c r="H3569">
        <v>0.404583902509632</v>
      </c>
      <c r="I3569">
        <v>0.88042985809239205</v>
      </c>
      <c r="J3569">
        <v>1.83331169422151</v>
      </c>
      <c r="K3569">
        <v>1.7083364339501299</v>
      </c>
      <c r="L3569">
        <v>15000</v>
      </c>
      <c r="M3569">
        <v>229.46514812043799</v>
      </c>
      <c r="O3569">
        <v>65.364440738374</v>
      </c>
      <c r="P3569">
        <v>0.43881878416713199</v>
      </c>
      <c r="Q3569">
        <v>1.5</v>
      </c>
      <c r="R3569">
        <v>0.568959940624986</v>
      </c>
      <c r="S3569" t="s">
        <v>10021</v>
      </c>
      <c r="T3569" t="s">
        <v>12902</v>
      </c>
      <c r="U3569" t="s">
        <v>12902</v>
      </c>
      <c r="V3569" t="s">
        <v>12902</v>
      </c>
      <c r="W3569" t="s">
        <v>16429</v>
      </c>
      <c r="X3569">
        <v>2</v>
      </c>
      <c r="Y3569" t="s">
        <v>22747</v>
      </c>
      <c r="Z3569" t="s">
        <v>29144</v>
      </c>
      <c r="AA3569">
        <v>1.0771085094871</v>
      </c>
      <c r="AB3569" t="str">
        <f>HYPERLINK("Melting_Curves/meltCurve_Q16626_MEA1.pdf", "Melting_Curves/meltCurve_Q16626_MEA1.pdf")</f>
        <v>Melting_Curves/meltCurve_Q16626_MEA1.pdf</v>
      </c>
    </row>
    <row r="3570" spans="1:28" x14ac:dyDescent="0.25">
      <c r="A3570" t="s">
        <v>3574</v>
      </c>
      <c r="B3570">
        <v>0.99673306730245903</v>
      </c>
      <c r="C3570">
        <v>0.92350782761024897</v>
      </c>
      <c r="D3570">
        <v>0.95322244957552404</v>
      </c>
      <c r="E3570">
        <v>1.0351466515861301</v>
      </c>
      <c r="F3570">
        <v>0.71745592611182696</v>
      </c>
      <c r="G3570">
        <v>0.34485142212488301</v>
      </c>
      <c r="H3570">
        <v>0.13003553991952899</v>
      </c>
      <c r="I3570">
        <v>0.112408500994021</v>
      </c>
      <c r="J3570">
        <v>0.11913104920940799</v>
      </c>
      <c r="K3570">
        <v>0.117899130096529</v>
      </c>
      <c r="L3570">
        <v>1728.8743968552999</v>
      </c>
      <c r="M3570">
        <v>31.5921368907103</v>
      </c>
      <c r="N3570">
        <v>55.161043229786401</v>
      </c>
      <c r="O3570">
        <v>54.506944950977498</v>
      </c>
      <c r="P3570">
        <v>-0.12888395976913899</v>
      </c>
      <c r="Q3570">
        <v>0.11053362675547</v>
      </c>
      <c r="R3570">
        <v>0.99095686478546796</v>
      </c>
      <c r="S3570" t="s">
        <v>10022</v>
      </c>
      <c r="T3570" t="s">
        <v>12902</v>
      </c>
      <c r="U3570" t="s">
        <v>12902</v>
      </c>
      <c r="V3570" t="s">
        <v>12902</v>
      </c>
      <c r="W3570" t="s">
        <v>16430</v>
      </c>
      <c r="X3570">
        <v>16</v>
      </c>
      <c r="Y3570" t="s">
        <v>22748</v>
      </c>
      <c r="Z3570" t="s">
        <v>29145</v>
      </c>
      <c r="AA3570">
        <v>0.55244034290038724</v>
      </c>
      <c r="AB3570" t="str">
        <f>HYPERLINK("Melting_Curves/meltCurve_Q16630_2_CPSF6.pdf", "Melting_Curves/meltCurve_Q16630_2_CPSF6.pdf")</f>
        <v>Melting_Curves/meltCurve_Q16630_2_CPSF6.pdf</v>
      </c>
    </row>
    <row r="3571" spans="1:28" x14ac:dyDescent="0.25">
      <c r="A3571" t="s">
        <v>3575</v>
      </c>
      <c r="B3571">
        <v>0.99673306730245903</v>
      </c>
      <c r="C3571">
        <v>0.94044900514269403</v>
      </c>
      <c r="D3571">
        <v>0.89770827054747504</v>
      </c>
      <c r="E3571">
        <v>0.70569765685066999</v>
      </c>
      <c r="F3571">
        <v>0.53559721099625801</v>
      </c>
      <c r="G3571">
        <v>0.36684935257395102</v>
      </c>
      <c r="H3571">
        <v>0.20948738500335901</v>
      </c>
      <c r="I3571">
        <v>0.21103494238148099</v>
      </c>
      <c r="J3571">
        <v>0.27562268654334299</v>
      </c>
      <c r="K3571">
        <v>0.27840594854045703</v>
      </c>
      <c r="L3571">
        <v>835.21278283453898</v>
      </c>
      <c r="M3571">
        <v>16.271471058823199</v>
      </c>
      <c r="N3571">
        <v>53.256420296542103</v>
      </c>
      <c r="O3571">
        <v>50.573374414791203</v>
      </c>
      <c r="P3571">
        <v>-6.2546625377573703E-2</v>
      </c>
      <c r="Q3571">
        <v>0.22245218647069401</v>
      </c>
      <c r="R3571">
        <v>0.98652888717071396</v>
      </c>
      <c r="S3571" t="s">
        <v>10023</v>
      </c>
      <c r="T3571" t="s">
        <v>12902</v>
      </c>
      <c r="U3571" t="s">
        <v>12902</v>
      </c>
      <c r="V3571" t="s">
        <v>12902</v>
      </c>
      <c r="W3571" t="s">
        <v>16431</v>
      </c>
      <c r="X3571">
        <v>3</v>
      </c>
      <c r="Y3571" t="s">
        <v>22749</v>
      </c>
      <c r="Z3571" t="s">
        <v>29146</v>
      </c>
      <c r="AA3571">
        <v>0.53164546531332724</v>
      </c>
      <c r="AB3571" t="str">
        <f>HYPERLINK("Melting_Curves/meltCurve_Q16635_6_TAZ.pdf", "Melting_Curves/meltCurve_Q16635_6_TAZ.pdf")</f>
        <v>Melting_Curves/meltCurve_Q16635_6_TAZ.pdf</v>
      </c>
    </row>
    <row r="3572" spans="1:28" x14ac:dyDescent="0.25">
      <c r="A3572" t="s">
        <v>3576</v>
      </c>
      <c r="B3572">
        <v>0.99673306730245903</v>
      </c>
      <c r="C3572">
        <v>0.96669100318647805</v>
      </c>
      <c r="D3572">
        <v>0.84726527398190599</v>
      </c>
      <c r="E3572">
        <v>0.73556526602948502</v>
      </c>
      <c r="F3572">
        <v>0.50259119528158303</v>
      </c>
      <c r="G3572">
        <v>0.32457694405882898</v>
      </c>
      <c r="H3572">
        <v>0.25012483689783299</v>
      </c>
      <c r="I3572">
        <v>0.28642297126962302</v>
      </c>
      <c r="J3572">
        <v>0.64336280627484799</v>
      </c>
      <c r="K3572">
        <v>0.79455410523528203</v>
      </c>
      <c r="L3572">
        <v>1276.8448162004599</v>
      </c>
      <c r="M3572">
        <v>26.1770544372547</v>
      </c>
      <c r="N3572">
        <v>54.009728372231699</v>
      </c>
      <c r="O3572">
        <v>48.495265410058998</v>
      </c>
      <c r="P3572">
        <v>-7.2816533153743396E-2</v>
      </c>
      <c r="Q3572">
        <v>0.46041030016502998</v>
      </c>
      <c r="R3572">
        <v>0.64356825020275799</v>
      </c>
      <c r="S3572" t="s">
        <v>10024</v>
      </c>
      <c r="T3572" t="s">
        <v>12902</v>
      </c>
      <c r="U3572" t="s">
        <v>12902</v>
      </c>
      <c r="V3572" t="s">
        <v>12902</v>
      </c>
      <c r="W3572" t="s">
        <v>16432</v>
      </c>
      <c r="X3572">
        <v>10</v>
      </c>
      <c r="Y3572" t="s">
        <v>22750</v>
      </c>
      <c r="Z3572" t="s">
        <v>29147</v>
      </c>
      <c r="AA3572">
        <v>0.62262202169530112</v>
      </c>
      <c r="AB3572" t="str">
        <f>HYPERLINK("Melting_Curves/meltCurve_Q16643_DBN1.pdf", "Melting_Curves/meltCurve_Q16643_DBN1.pdf")</f>
        <v>Melting_Curves/meltCurve_Q16643_DBN1.pdf</v>
      </c>
    </row>
    <row r="3573" spans="1:28" x14ac:dyDescent="0.25">
      <c r="A3573" t="s">
        <v>3577</v>
      </c>
      <c r="B3573">
        <v>0.99673306730245903</v>
      </c>
      <c r="C3573">
        <v>0.95809395341802694</v>
      </c>
      <c r="D3573">
        <v>0.83195234122753703</v>
      </c>
      <c r="E3573">
        <v>0.48648665130615398</v>
      </c>
      <c r="F3573">
        <v>0.188997787189296</v>
      </c>
      <c r="G3573">
        <v>0.114244639518203</v>
      </c>
      <c r="H3573">
        <v>7.9809459672713606E-2</v>
      </c>
      <c r="I3573">
        <v>0.102044089596251</v>
      </c>
      <c r="J3573">
        <v>0.138420194866785</v>
      </c>
      <c r="K3573">
        <v>0.13824138480230799</v>
      </c>
      <c r="L3573">
        <v>1233.1318526216601</v>
      </c>
      <c r="M3573">
        <v>25.250869667470901</v>
      </c>
      <c r="N3573">
        <v>49.302309220989301</v>
      </c>
      <c r="O3573">
        <v>48.532023402455302</v>
      </c>
      <c r="P3573">
        <v>-0.116237473198223</v>
      </c>
      <c r="Q3573">
        <v>0.106380602236934</v>
      </c>
      <c r="R3573">
        <v>0.99662886903269698</v>
      </c>
      <c r="S3573" t="s">
        <v>10025</v>
      </c>
      <c r="T3573" t="s">
        <v>12902</v>
      </c>
      <c r="U3573" t="s">
        <v>12902</v>
      </c>
      <c r="V3573" t="s">
        <v>12902</v>
      </c>
      <c r="W3573" t="s">
        <v>16433</v>
      </c>
      <c r="X3573">
        <v>6</v>
      </c>
      <c r="Y3573" t="s">
        <v>22751</v>
      </c>
      <c r="Z3573" t="s">
        <v>29148</v>
      </c>
      <c r="AA3573">
        <v>0.37730738316295392</v>
      </c>
      <c r="AB3573" t="str">
        <f>HYPERLINK("Melting_Curves/meltCurve_Q16644_MAPKAPK3.pdf", "Melting_Curves/meltCurve_Q16644_MAPKAPK3.pdf")</f>
        <v>Melting_Curves/meltCurve_Q16644_MAPKAPK3.pdf</v>
      </c>
    </row>
    <row r="3574" spans="1:28" x14ac:dyDescent="0.25">
      <c r="A3574" t="s">
        <v>3578</v>
      </c>
      <c r="B3574">
        <v>0.99673306730245903</v>
      </c>
      <c r="C3574">
        <v>0.83506065860301204</v>
      </c>
      <c r="D3574">
        <v>0.47469331155429201</v>
      </c>
      <c r="E3574">
        <v>0.27984342120365802</v>
      </c>
      <c r="F3574">
        <v>0.19395104493580001</v>
      </c>
      <c r="G3574">
        <v>0.12720947434504801</v>
      </c>
      <c r="H3574">
        <v>8.5004057534208297E-2</v>
      </c>
      <c r="I3574">
        <v>7.2598271679365306E-2</v>
      </c>
      <c r="J3574">
        <v>7.0149277015494102E-2</v>
      </c>
      <c r="K3574">
        <v>6.8492754838187495E-2</v>
      </c>
      <c r="L3574">
        <v>891.31768401207705</v>
      </c>
      <c r="M3574">
        <v>19.443273563051601</v>
      </c>
      <c r="N3574">
        <v>46.2949170717878</v>
      </c>
      <c r="O3574">
        <v>45.365291846996797</v>
      </c>
      <c r="P3574">
        <v>-9.7871123874272506E-2</v>
      </c>
      <c r="Q3574">
        <v>8.6616666781931195E-2</v>
      </c>
      <c r="R3574">
        <v>0.99026109105805804</v>
      </c>
      <c r="S3574" t="s">
        <v>10026</v>
      </c>
      <c r="T3574" t="s">
        <v>12902</v>
      </c>
      <c r="U3574" t="s">
        <v>12902</v>
      </c>
      <c r="V3574" t="s">
        <v>12902</v>
      </c>
      <c r="W3574" t="s">
        <v>16434</v>
      </c>
      <c r="X3574">
        <v>5</v>
      </c>
      <c r="Y3574" t="s">
        <v>22752</v>
      </c>
      <c r="Z3574" t="s">
        <v>29149</v>
      </c>
      <c r="AA3574">
        <v>0.27972244691442111</v>
      </c>
      <c r="AB3574" t="str">
        <f>HYPERLINK("Melting_Curves/meltCurve_Q16656_2_NRF1.pdf", "Melting_Curves/meltCurve_Q16656_2_NRF1.pdf")</f>
        <v>Melting_Curves/meltCurve_Q16656_2_NRF1.pdf</v>
      </c>
    </row>
    <row r="3575" spans="1:28" x14ac:dyDescent="0.25">
      <c r="A3575" t="s">
        <v>3579</v>
      </c>
      <c r="B3575">
        <v>0.99673306730245903</v>
      </c>
      <c r="C3575">
        <v>1.06951625101921</v>
      </c>
      <c r="D3575">
        <v>0.84502765083902098</v>
      </c>
      <c r="E3575">
        <v>0.95596465461498703</v>
      </c>
      <c r="F3575">
        <v>0.38695833514703598</v>
      </c>
      <c r="G3575">
        <v>0.18564257577165899</v>
      </c>
      <c r="H3575">
        <v>6.9953566439828405E-2</v>
      </c>
      <c r="I3575">
        <v>4.9696042835440997E-2</v>
      </c>
      <c r="J3575">
        <v>4.7211456311450802E-2</v>
      </c>
      <c r="K3575">
        <v>4.1048565044404801E-2</v>
      </c>
      <c r="L3575">
        <v>1934.8209005014701</v>
      </c>
      <c r="M3575">
        <v>36.850335044939797</v>
      </c>
      <c r="N3575">
        <v>52.695071524120401</v>
      </c>
      <c r="O3575">
        <v>52.350934013126803</v>
      </c>
      <c r="P3575">
        <v>-0.16501776969467299</v>
      </c>
      <c r="Q3575">
        <v>6.2281565982699398E-2</v>
      </c>
      <c r="R3575">
        <v>0.97949915982778102</v>
      </c>
      <c r="S3575" t="s">
        <v>10027</v>
      </c>
      <c r="T3575" t="s">
        <v>12902</v>
      </c>
      <c r="U3575" t="s">
        <v>12902</v>
      </c>
      <c r="V3575" t="s">
        <v>12902</v>
      </c>
      <c r="W3575" t="s">
        <v>16435</v>
      </c>
      <c r="X3575">
        <v>47</v>
      </c>
      <c r="Y3575" t="s">
        <v>22753</v>
      </c>
      <c r="Z3575" t="s">
        <v>29150</v>
      </c>
      <c r="AA3575">
        <v>0.45715793592786819</v>
      </c>
      <c r="AB3575" t="str">
        <f>HYPERLINK("Melting_Curves/meltCurve_Q16658_FSCN1.pdf", "Melting_Curves/meltCurve_Q16658_FSCN1.pdf")</f>
        <v>Melting_Curves/meltCurve_Q16658_FSCN1.pdf</v>
      </c>
    </row>
    <row r="3576" spans="1:28" x14ac:dyDescent="0.25">
      <c r="A3576" t="s">
        <v>3580</v>
      </c>
      <c r="B3576">
        <v>0.99673306730245903</v>
      </c>
      <c r="C3576">
        <v>1.0025941247356001</v>
      </c>
      <c r="D3576">
        <v>0.96453861055992696</v>
      </c>
      <c r="E3576">
        <v>0.741666688256992</v>
      </c>
      <c r="F3576">
        <v>0.51731975093998095</v>
      </c>
      <c r="G3576">
        <v>0.38834683348029297</v>
      </c>
      <c r="H3576">
        <v>0.22339991848416099</v>
      </c>
      <c r="I3576">
        <v>0.24832370461703299</v>
      </c>
      <c r="J3576">
        <v>0.33371494643163402</v>
      </c>
      <c r="K3576">
        <v>0.36359511041923698</v>
      </c>
      <c r="L3576">
        <v>1159.8125908613699</v>
      </c>
      <c r="M3576">
        <v>22.691331643621101</v>
      </c>
      <c r="N3576">
        <v>53.185280331146998</v>
      </c>
      <c r="O3576">
        <v>50.720563224945202</v>
      </c>
      <c r="P3576">
        <v>-7.9019870876268897E-2</v>
      </c>
      <c r="Q3576">
        <v>0.29350035548938203</v>
      </c>
      <c r="R3576">
        <v>0.97940006047272299</v>
      </c>
      <c r="S3576" t="s">
        <v>10028</v>
      </c>
      <c r="T3576" t="s">
        <v>12902</v>
      </c>
      <c r="U3576" t="s">
        <v>12902</v>
      </c>
      <c r="V3576" t="s">
        <v>12902</v>
      </c>
      <c r="W3576" t="s">
        <v>16436</v>
      </c>
      <c r="X3576">
        <v>1</v>
      </c>
      <c r="Y3576" t="s">
        <v>22754</v>
      </c>
      <c r="Z3576" t="s">
        <v>29151</v>
      </c>
      <c r="AA3576">
        <v>0.56291797674348309</v>
      </c>
      <c r="AB3576" t="str">
        <f>HYPERLINK("Melting_Curves/meltCurve_Q16670_2_ZSCAN26.pdf", "Melting_Curves/meltCurve_Q16670_2_ZSCAN26.pdf")</f>
        <v>Melting_Curves/meltCurve_Q16670_2_ZSCAN26.pdf</v>
      </c>
    </row>
    <row r="3577" spans="1:28" x14ac:dyDescent="0.25">
      <c r="A3577" t="s">
        <v>3581</v>
      </c>
      <c r="B3577">
        <v>0.99673306730245903</v>
      </c>
      <c r="C3577">
        <v>0.92042967554034305</v>
      </c>
      <c r="D3577">
        <v>0.91711542365592702</v>
      </c>
      <c r="E3577">
        <v>0.87825825568665095</v>
      </c>
      <c r="F3577">
        <v>0.68940689704601799</v>
      </c>
      <c r="G3577">
        <v>0.30480278650200698</v>
      </c>
      <c r="H3577">
        <v>9.8609563568782602E-2</v>
      </c>
      <c r="I3577">
        <v>6.7921579184706996E-2</v>
      </c>
      <c r="J3577">
        <v>6.8107368039261401E-2</v>
      </c>
      <c r="K3577">
        <v>5.5598048516538302E-2</v>
      </c>
      <c r="L3577">
        <v>1228.8936777450799</v>
      </c>
      <c r="M3577">
        <v>22.5263918920127</v>
      </c>
      <c r="N3577">
        <v>54.745022811714101</v>
      </c>
      <c r="O3577">
        <v>54.129063068569103</v>
      </c>
      <c r="P3577">
        <v>-0.10010021157920899</v>
      </c>
      <c r="Q3577">
        <v>3.7889701094446997E-2</v>
      </c>
      <c r="R3577">
        <v>0.99085146290582105</v>
      </c>
      <c r="S3577" t="s">
        <v>10029</v>
      </c>
      <c r="T3577" t="s">
        <v>12902</v>
      </c>
      <c r="U3577" t="s">
        <v>12902</v>
      </c>
      <c r="V3577" t="s">
        <v>12902</v>
      </c>
      <c r="W3577" t="s">
        <v>16437</v>
      </c>
      <c r="X3577">
        <v>15</v>
      </c>
      <c r="Y3577" t="s">
        <v>22755</v>
      </c>
      <c r="Z3577" t="s">
        <v>29152</v>
      </c>
      <c r="AA3577">
        <v>0.51530184121090195</v>
      </c>
      <c r="AB3577" t="str">
        <f>HYPERLINK("Melting_Curves/meltCurve_Q16706_MAN2A1.pdf", "Melting_Curves/meltCurve_Q16706_MAN2A1.pdf")</f>
        <v>Melting_Curves/meltCurve_Q16706_MAN2A1.pdf</v>
      </c>
    </row>
    <row r="3578" spans="1:28" x14ac:dyDescent="0.25">
      <c r="A3578" t="s">
        <v>3582</v>
      </c>
      <c r="B3578">
        <v>0.99673306730245903</v>
      </c>
      <c r="C3578">
        <v>0.99310220873284405</v>
      </c>
      <c r="D3578">
        <v>0.98159622603441099</v>
      </c>
      <c r="E3578">
        <v>0.97686640465895502</v>
      </c>
      <c r="F3578">
        <v>0.80064142816097394</v>
      </c>
      <c r="G3578">
        <v>0.54876799727047099</v>
      </c>
      <c r="H3578">
        <v>0.361268814009789</v>
      </c>
      <c r="I3578">
        <v>0.32401002760404002</v>
      </c>
      <c r="J3578">
        <v>0.34792589669902602</v>
      </c>
      <c r="K3578">
        <v>0.27044817081656602</v>
      </c>
      <c r="L3578">
        <v>1349.7693513576301</v>
      </c>
      <c r="M3578">
        <v>24.392013512299599</v>
      </c>
      <c r="N3578">
        <v>57.488449970481497</v>
      </c>
      <c r="O3578">
        <v>54.968615246070797</v>
      </c>
      <c r="P3578">
        <v>-7.7728502369737801E-2</v>
      </c>
      <c r="Q3578">
        <v>0.29935020961159697</v>
      </c>
      <c r="R3578">
        <v>0.99640132219026101</v>
      </c>
      <c r="S3578" t="s">
        <v>10030</v>
      </c>
      <c r="T3578" t="s">
        <v>12902</v>
      </c>
      <c r="U3578" t="s">
        <v>12902</v>
      </c>
      <c r="V3578" t="s">
        <v>12902</v>
      </c>
      <c r="W3578" t="s">
        <v>16438</v>
      </c>
      <c r="X3578">
        <v>7</v>
      </c>
      <c r="Y3578" t="s">
        <v>22756</v>
      </c>
      <c r="Z3578" t="s">
        <v>29153</v>
      </c>
      <c r="AA3578">
        <v>0.66428475699114886</v>
      </c>
      <c r="AB3578" t="str">
        <f>HYPERLINK("Melting_Curves/meltCurve_Q16718_NDUFA5.pdf", "Melting_Curves/meltCurve_Q16718_NDUFA5.pdf")</f>
        <v>Melting_Curves/meltCurve_Q16718_NDUFA5.pdf</v>
      </c>
    </row>
    <row r="3579" spans="1:28" x14ac:dyDescent="0.25">
      <c r="A3579" t="s">
        <v>3583</v>
      </c>
      <c r="B3579">
        <v>0.99673306730245903</v>
      </c>
      <c r="C3579">
        <v>0.948537261199772</v>
      </c>
      <c r="D3579">
        <v>0.96771647250328097</v>
      </c>
      <c r="E3579">
        <v>1.0420202551222599</v>
      </c>
      <c r="F3579">
        <v>1.16066766961358</v>
      </c>
      <c r="G3579">
        <v>0.97464161050503895</v>
      </c>
      <c r="H3579">
        <v>1.2497363662893599</v>
      </c>
      <c r="I3579">
        <v>2.1963653775847498</v>
      </c>
      <c r="J3579">
        <v>2.5959916316049299</v>
      </c>
      <c r="K3579">
        <v>2.70726023661642</v>
      </c>
      <c r="L3579">
        <v>15000</v>
      </c>
      <c r="M3579">
        <v>246.70851531038801</v>
      </c>
      <c r="O3579">
        <v>60.796522954488303</v>
      </c>
      <c r="P3579">
        <v>0.50724242758531801</v>
      </c>
      <c r="Q3579">
        <v>1.5</v>
      </c>
      <c r="R3579">
        <v>0.316395448813999</v>
      </c>
      <c r="S3579" t="s">
        <v>10031</v>
      </c>
      <c r="T3579" t="s">
        <v>12902</v>
      </c>
      <c r="U3579" t="s">
        <v>12902</v>
      </c>
      <c r="V3579" t="s">
        <v>12902</v>
      </c>
      <c r="W3579" t="s">
        <v>16439</v>
      </c>
      <c r="X3579">
        <v>12</v>
      </c>
      <c r="Y3579" t="s">
        <v>22757</v>
      </c>
      <c r="Z3579" t="s">
        <v>29154</v>
      </c>
      <c r="AA3579">
        <v>1.1532702879228469</v>
      </c>
      <c r="AB3579" t="str">
        <f>HYPERLINK("Melting_Curves/meltCurve_Q16720_8_ATP2B3.pdf", "Melting_Curves/meltCurve_Q16720_8_ATP2B3.pdf")</f>
        <v>Melting_Curves/meltCurve_Q16720_8_ATP2B3.pdf</v>
      </c>
    </row>
    <row r="3580" spans="1:28" x14ac:dyDescent="0.25">
      <c r="A3580" t="s">
        <v>3584</v>
      </c>
      <c r="B3580">
        <v>0.99673306730245903</v>
      </c>
      <c r="C3580">
        <v>0.90490152685473602</v>
      </c>
      <c r="D3580">
        <v>0.87879903331435905</v>
      </c>
      <c r="E3580">
        <v>0.98323815107124102</v>
      </c>
      <c r="F3580">
        <v>0.88192833770082601</v>
      </c>
      <c r="G3580">
        <v>0.71577008284064003</v>
      </c>
      <c r="H3580">
        <v>0.35314300209530602</v>
      </c>
      <c r="I3580">
        <v>0.132055561318276</v>
      </c>
      <c r="J3580">
        <v>8.0548218249348894E-2</v>
      </c>
      <c r="K3580">
        <v>6.1428674530285297E-2</v>
      </c>
      <c r="L3580">
        <v>1272.29931189233</v>
      </c>
      <c r="M3580">
        <v>21.598581209057102</v>
      </c>
      <c r="N3580">
        <v>58.978689090080302</v>
      </c>
      <c r="O3580">
        <v>58.408643999327097</v>
      </c>
      <c r="P3580">
        <v>-9.1244200402587294E-2</v>
      </c>
      <c r="Q3580">
        <v>1.3024068705411999E-2</v>
      </c>
      <c r="R3580">
        <v>0.98169204559732004</v>
      </c>
      <c r="S3580" t="s">
        <v>10032</v>
      </c>
      <c r="T3580" t="s">
        <v>12902</v>
      </c>
      <c r="U3580" t="s">
        <v>12902</v>
      </c>
      <c r="V3580" t="s">
        <v>12902</v>
      </c>
      <c r="W3580" t="s">
        <v>16440</v>
      </c>
      <c r="X3580">
        <v>11</v>
      </c>
      <c r="Y3580" t="s">
        <v>22758</v>
      </c>
      <c r="Z3580" t="s">
        <v>29155</v>
      </c>
      <c r="AA3580">
        <v>0.64452476645424417</v>
      </c>
      <c r="AB3580" t="str">
        <f>HYPERLINK("Melting_Curves/meltCurve_Q16740_CLPP.pdf", "Melting_Curves/meltCurve_Q16740_CLPP.pdf")</f>
        <v>Melting_Curves/meltCurve_Q16740_CLPP.pdf</v>
      </c>
    </row>
    <row r="3581" spans="1:28" x14ac:dyDescent="0.25">
      <c r="A3581" t="s">
        <v>3585</v>
      </c>
      <c r="B3581">
        <v>0.99673306730245903</v>
      </c>
      <c r="C3581">
        <v>1.03810995693208</v>
      </c>
      <c r="D3581">
        <v>0.73433359742161797</v>
      </c>
      <c r="E3581">
        <v>0.31058298979715199</v>
      </c>
      <c r="F3581">
        <v>0.16922821523211501</v>
      </c>
      <c r="G3581">
        <v>0.101505129905322</v>
      </c>
      <c r="H3581">
        <v>6.2552918573628394E-2</v>
      </c>
      <c r="I3581">
        <v>5.4051948913781803E-2</v>
      </c>
      <c r="J3581">
        <v>4.7813049152633298E-2</v>
      </c>
      <c r="K3581">
        <v>3.4918547476259797E-2</v>
      </c>
      <c r="L3581">
        <v>1269.3409715933001</v>
      </c>
      <c r="M3581">
        <v>26.549516872783101</v>
      </c>
      <c r="N3581">
        <v>48.053798974017703</v>
      </c>
      <c r="O3581">
        <v>47.5415495616827</v>
      </c>
      <c r="P3581">
        <v>-0.13082752087059599</v>
      </c>
      <c r="Q3581">
        <v>6.2931769190260195E-2</v>
      </c>
      <c r="R3581">
        <v>0.99256256460537595</v>
      </c>
      <c r="S3581" t="s">
        <v>10033</v>
      </c>
      <c r="T3581" t="s">
        <v>12902</v>
      </c>
      <c r="U3581" t="s">
        <v>12902</v>
      </c>
      <c r="V3581" t="s">
        <v>12902</v>
      </c>
      <c r="W3581" t="s">
        <v>16441</v>
      </c>
      <c r="X3581">
        <v>13</v>
      </c>
      <c r="Y3581" t="s">
        <v>22759</v>
      </c>
      <c r="Z3581" t="s">
        <v>29156</v>
      </c>
      <c r="AA3581">
        <v>0.31418236491766188</v>
      </c>
      <c r="AB3581" t="str">
        <f>HYPERLINK("Melting_Curves/meltCurve_Q16762_TST.pdf", "Melting_Curves/meltCurve_Q16762_TST.pdf")</f>
        <v>Melting_Curves/meltCurve_Q16762_TST.pdf</v>
      </c>
    </row>
    <row r="3582" spans="1:28" x14ac:dyDescent="0.25">
      <c r="A3582" t="s">
        <v>3586</v>
      </c>
      <c r="B3582">
        <v>0.99673306730245903</v>
      </c>
      <c r="C3582">
        <v>1.0148729344554199</v>
      </c>
      <c r="D3582">
        <v>0.92061495818041095</v>
      </c>
      <c r="E3582">
        <v>0.72914367477269304</v>
      </c>
      <c r="F3582">
        <v>0.35991967524131702</v>
      </c>
      <c r="G3582">
        <v>0.17488814814548301</v>
      </c>
      <c r="H3582">
        <v>0.105272539460792</v>
      </c>
      <c r="I3582">
        <v>8.7473971267017406E-2</v>
      </c>
      <c r="J3582">
        <v>7.3548600959686794E-2</v>
      </c>
      <c r="K3582">
        <v>6.5022319597950101E-2</v>
      </c>
      <c r="L3582">
        <v>1158.5343213138201</v>
      </c>
      <c r="M3582">
        <v>22.5257988736501</v>
      </c>
      <c r="N3582">
        <v>51.785092385056501</v>
      </c>
      <c r="O3582">
        <v>51.031260809072599</v>
      </c>
      <c r="P3582">
        <v>-0.102488058279813</v>
      </c>
      <c r="Q3582">
        <v>7.1289371168609506E-2</v>
      </c>
      <c r="R3582">
        <v>0.999114038417109</v>
      </c>
      <c r="S3582" t="s">
        <v>10034</v>
      </c>
      <c r="T3582" t="s">
        <v>12902</v>
      </c>
      <c r="U3582" t="s">
        <v>12902</v>
      </c>
      <c r="V3582" t="s">
        <v>12902</v>
      </c>
      <c r="W3582" t="s">
        <v>16442</v>
      </c>
      <c r="X3582">
        <v>12</v>
      </c>
      <c r="Y3582" t="s">
        <v>22760</v>
      </c>
      <c r="Z3582" t="s">
        <v>29157</v>
      </c>
      <c r="AA3582">
        <v>0.43547830193412551</v>
      </c>
      <c r="AB3582" t="str">
        <f>HYPERLINK("Melting_Curves/meltCurve_Q16763_UBE2S.pdf", "Melting_Curves/meltCurve_Q16763_UBE2S.pdf")</f>
        <v>Melting_Curves/meltCurve_Q16763_UBE2S.pdf</v>
      </c>
    </row>
    <row r="3583" spans="1:28" x14ac:dyDescent="0.25">
      <c r="A3583" t="s">
        <v>3587</v>
      </c>
      <c r="B3583">
        <v>0.99673306730245903</v>
      </c>
      <c r="C3583">
        <v>0.899179365422203</v>
      </c>
      <c r="D3583">
        <v>0.94662629966115097</v>
      </c>
      <c r="E3583">
        <v>0.83378060092306305</v>
      </c>
      <c r="F3583">
        <v>0.59387474341053703</v>
      </c>
      <c r="G3583">
        <v>0.52231710627683403</v>
      </c>
      <c r="H3583">
        <v>0.27227831167220601</v>
      </c>
      <c r="I3583">
        <v>0.22742671571932599</v>
      </c>
      <c r="J3583">
        <v>9.1088161812788906E-2</v>
      </c>
      <c r="K3583">
        <v>7.47871461928281E-2</v>
      </c>
      <c r="L3583">
        <v>640.18076796553396</v>
      </c>
      <c r="M3583">
        <v>11.421859533225</v>
      </c>
      <c r="N3583">
        <v>56.048740148724796</v>
      </c>
      <c r="O3583">
        <v>54.413178302696203</v>
      </c>
      <c r="P3583">
        <v>-5.2492764004901403E-2</v>
      </c>
      <c r="Q3583">
        <v>0</v>
      </c>
      <c r="R3583">
        <v>0.986418972746962</v>
      </c>
      <c r="S3583" t="s">
        <v>10035</v>
      </c>
      <c r="T3583" t="s">
        <v>12902</v>
      </c>
      <c r="U3583" t="s">
        <v>12902</v>
      </c>
      <c r="V3583" t="s">
        <v>12902</v>
      </c>
      <c r="W3583" t="s">
        <v>16443</v>
      </c>
      <c r="X3583">
        <v>3</v>
      </c>
      <c r="Y3583" t="s">
        <v>22761</v>
      </c>
      <c r="Z3583" t="s">
        <v>29158</v>
      </c>
      <c r="AA3583">
        <v>0.55550092403339002</v>
      </c>
      <c r="AB3583" t="str">
        <f>HYPERLINK("Melting_Curves/meltCurve_Q16769_QPCT.pdf", "Melting_Curves/meltCurve_Q16769_QPCT.pdf")</f>
        <v>Melting_Curves/meltCurve_Q16769_QPCT.pdf</v>
      </c>
    </row>
    <row r="3584" spans="1:28" x14ac:dyDescent="0.25">
      <c r="A3584" t="s">
        <v>3588</v>
      </c>
      <c r="B3584">
        <v>0.99673306730245903</v>
      </c>
      <c r="C3584">
        <v>1.01399665427872</v>
      </c>
      <c r="D3584">
        <v>0.97046289301122202</v>
      </c>
      <c r="E3584">
        <v>0.84350234741052699</v>
      </c>
      <c r="F3584">
        <v>0.66847311170867596</v>
      </c>
      <c r="G3584">
        <v>0.49829654658948502</v>
      </c>
      <c r="H3584">
        <v>0.32793406472638997</v>
      </c>
      <c r="I3584">
        <v>0.28886893365869898</v>
      </c>
      <c r="J3584">
        <v>0.24287546994621001</v>
      </c>
      <c r="K3584">
        <v>0.15537449540074599</v>
      </c>
      <c r="L3584">
        <v>750.47958075579697</v>
      </c>
      <c r="M3584">
        <v>13.5876314524871</v>
      </c>
      <c r="N3584">
        <v>56.6900618070623</v>
      </c>
      <c r="O3584">
        <v>54.077391601842002</v>
      </c>
      <c r="P3584">
        <v>-5.35632058903266E-2</v>
      </c>
      <c r="Q3584">
        <v>0.14742233515978201</v>
      </c>
      <c r="R3584">
        <v>0.99558289133103295</v>
      </c>
      <c r="S3584" t="s">
        <v>10036</v>
      </c>
      <c r="T3584" t="s">
        <v>12902</v>
      </c>
      <c r="U3584" t="s">
        <v>12902</v>
      </c>
      <c r="V3584" t="s">
        <v>12902</v>
      </c>
      <c r="W3584" t="s">
        <v>16444</v>
      </c>
      <c r="X3584">
        <v>13</v>
      </c>
      <c r="Y3584" t="s">
        <v>22762</v>
      </c>
      <c r="Z3584" t="s">
        <v>29159</v>
      </c>
      <c r="AA3584">
        <v>0.59804030855951829</v>
      </c>
      <c r="AB3584" t="str">
        <f>HYPERLINK("Melting_Curves/meltCurve_Q16775_2_HAGH.pdf", "Melting_Curves/meltCurve_Q16775_2_HAGH.pdf")</f>
        <v>Melting_Curves/meltCurve_Q16775_2_HAGH.pdf</v>
      </c>
    </row>
    <row r="3585" spans="1:28" x14ac:dyDescent="0.25">
      <c r="A3585" t="s">
        <v>3589</v>
      </c>
      <c r="B3585">
        <v>0.99673306730245903</v>
      </c>
      <c r="C3585">
        <v>0.970235570586926</v>
      </c>
      <c r="D3585">
        <v>0.86707334552841697</v>
      </c>
      <c r="E3585">
        <v>0.79939409780962201</v>
      </c>
      <c r="F3585">
        <v>0.63658812418800703</v>
      </c>
      <c r="G3585">
        <v>0.67841622681979497</v>
      </c>
      <c r="H3585">
        <v>0.75224598029986101</v>
      </c>
      <c r="I3585">
        <v>0.69901046938161504</v>
      </c>
      <c r="J3585">
        <v>0.67350092238963999</v>
      </c>
      <c r="K3585">
        <v>0.45017533570163698</v>
      </c>
      <c r="L3585">
        <v>665.12198247363904</v>
      </c>
      <c r="M3585">
        <v>13.6950408749861</v>
      </c>
      <c r="O3585">
        <v>47.566213844112298</v>
      </c>
      <c r="P3585">
        <v>-2.73192772161245E-2</v>
      </c>
      <c r="Q3585">
        <v>0.62050870186487905</v>
      </c>
      <c r="R3585">
        <v>0.76980743380600802</v>
      </c>
      <c r="S3585" t="s">
        <v>10037</v>
      </c>
      <c r="T3585" t="s">
        <v>12902</v>
      </c>
      <c r="U3585" t="s">
        <v>12902</v>
      </c>
      <c r="V3585" t="s">
        <v>12902</v>
      </c>
      <c r="W3585" t="s">
        <v>16445</v>
      </c>
      <c r="X3585">
        <v>8</v>
      </c>
      <c r="Y3585" t="s">
        <v>22763</v>
      </c>
      <c r="Z3585" t="s">
        <v>29160</v>
      </c>
      <c r="AA3585">
        <v>0.74018574962965955</v>
      </c>
      <c r="AB3585" t="str">
        <f>HYPERLINK("Melting_Curves/meltCurve_Q16778_HIST2H2BE.pdf", "Melting_Curves/meltCurve_Q16778_HIST2H2BE.pdf")</f>
        <v>Melting_Curves/meltCurve_Q16778_HIST2H2BE.pdf</v>
      </c>
    </row>
    <row r="3586" spans="1:28" x14ac:dyDescent="0.25">
      <c r="A3586" t="s">
        <v>3590</v>
      </c>
      <c r="B3586">
        <v>0.99673306730245903</v>
      </c>
      <c r="C3586">
        <v>1.0054093881608399</v>
      </c>
      <c r="D3586">
        <v>1.0012387466184201</v>
      </c>
      <c r="E3586">
        <v>0.90039018911222302</v>
      </c>
      <c r="F3586">
        <v>0.54954804339708496</v>
      </c>
      <c r="G3586">
        <v>0.43524778754842802</v>
      </c>
      <c r="H3586">
        <v>0.27409848403092302</v>
      </c>
      <c r="I3586">
        <v>0.248816974373258</v>
      </c>
      <c r="J3586">
        <v>0.346795500955491</v>
      </c>
      <c r="K3586">
        <v>0.26211371292618901</v>
      </c>
      <c r="L3586">
        <v>1387.9851828844701</v>
      </c>
      <c r="M3586">
        <v>26.401399884706901</v>
      </c>
      <c r="N3586">
        <v>54.309987529987197</v>
      </c>
      <c r="O3586">
        <v>52.273550418014501</v>
      </c>
      <c r="P3586">
        <v>-9.0261637117017096E-2</v>
      </c>
      <c r="Q3586">
        <v>0.285152001113602</v>
      </c>
      <c r="R3586">
        <v>0.98712387261094203</v>
      </c>
      <c r="S3586" t="s">
        <v>10038</v>
      </c>
      <c r="T3586" t="s">
        <v>12902</v>
      </c>
      <c r="U3586" t="s">
        <v>12902</v>
      </c>
      <c r="V3586" t="s">
        <v>12902</v>
      </c>
      <c r="W3586" t="s">
        <v>16446</v>
      </c>
      <c r="X3586">
        <v>4</v>
      </c>
      <c r="Y3586" t="s">
        <v>22764</v>
      </c>
      <c r="Z3586" t="s">
        <v>29161</v>
      </c>
      <c r="AA3586">
        <v>0.59064105628638675</v>
      </c>
      <c r="AB3586" t="str">
        <f>HYPERLINK("Melting_Curves/meltCurve_Q16787_LAMA3.pdf", "Melting_Curves/meltCurve_Q16787_LAMA3.pdf")</f>
        <v>Melting_Curves/meltCurve_Q16787_LAMA3.pdf</v>
      </c>
    </row>
    <row r="3587" spans="1:28" x14ac:dyDescent="0.25">
      <c r="A3587" t="s">
        <v>3591</v>
      </c>
      <c r="B3587">
        <v>0.99673306730245903</v>
      </c>
      <c r="C3587">
        <v>0.92585623819738005</v>
      </c>
      <c r="D3587">
        <v>0.95530964623199599</v>
      </c>
      <c r="E3587">
        <v>0.78322678450730199</v>
      </c>
      <c r="F3587">
        <v>0.67783469687576203</v>
      </c>
      <c r="G3587">
        <v>0.55037857050954797</v>
      </c>
      <c r="H3587">
        <v>0.48351285404577099</v>
      </c>
      <c r="I3587">
        <v>0.53060500747038297</v>
      </c>
      <c r="J3587">
        <v>0.53111106571827604</v>
      </c>
      <c r="K3587">
        <v>0.43482300385398498</v>
      </c>
      <c r="L3587">
        <v>796.41456613284799</v>
      </c>
      <c r="M3587">
        <v>15.573510130297199</v>
      </c>
      <c r="N3587">
        <v>62.994373846664701</v>
      </c>
      <c r="O3587">
        <v>50.318116804070499</v>
      </c>
      <c r="P3587">
        <v>-4.0755174818453498E-2</v>
      </c>
      <c r="Q3587">
        <v>0.47332496647434502</v>
      </c>
      <c r="R3587">
        <v>0.97360218343218097</v>
      </c>
      <c r="S3587" t="s">
        <v>10039</v>
      </c>
      <c r="T3587" t="s">
        <v>12902</v>
      </c>
      <c r="U3587" t="s">
        <v>12902</v>
      </c>
      <c r="V3587" t="s">
        <v>12902</v>
      </c>
      <c r="W3587" t="s">
        <v>16447</v>
      </c>
      <c r="X3587">
        <v>5</v>
      </c>
      <c r="Y3587" t="s">
        <v>22765</v>
      </c>
      <c r="Z3587" t="s">
        <v>29162</v>
      </c>
      <c r="AA3587">
        <v>0.68026653512321156</v>
      </c>
      <c r="AB3587" t="str">
        <f>HYPERLINK("Melting_Curves/meltCurve_Q16790_CA9.pdf", "Melting_Curves/meltCurve_Q16790_CA9.pdf")</f>
        <v>Melting_Curves/meltCurve_Q16790_CA9.pdf</v>
      </c>
    </row>
    <row r="3588" spans="1:28" x14ac:dyDescent="0.25">
      <c r="A3588" t="s">
        <v>3592</v>
      </c>
      <c r="B3588">
        <v>0.99673306730245903</v>
      </c>
      <c r="C3588">
        <v>1.0107491452434401</v>
      </c>
      <c r="D3588">
        <v>0.86114461067933201</v>
      </c>
      <c r="E3588">
        <v>0.778956679772844</v>
      </c>
      <c r="F3588">
        <v>0.43581134538976901</v>
      </c>
      <c r="G3588">
        <v>0.189760091388914</v>
      </c>
      <c r="H3588">
        <v>8.0564058102164701E-2</v>
      </c>
      <c r="I3588">
        <v>6.2266012547533799E-2</v>
      </c>
      <c r="J3588">
        <v>7.4451124042158506E-2</v>
      </c>
      <c r="K3588">
        <v>6.5444037765620397E-2</v>
      </c>
      <c r="L3588">
        <v>1034.4206265616399</v>
      </c>
      <c r="M3588">
        <v>19.8324997208456</v>
      </c>
      <c r="N3588">
        <v>52.412375468118199</v>
      </c>
      <c r="O3588">
        <v>51.636246281157199</v>
      </c>
      <c r="P3588">
        <v>-9.1615188755472698E-2</v>
      </c>
      <c r="Q3588">
        <v>4.5908412625567302E-2</v>
      </c>
      <c r="R3588">
        <v>0.99449152849756295</v>
      </c>
      <c r="S3588" t="s">
        <v>10040</v>
      </c>
      <c r="T3588" t="s">
        <v>12902</v>
      </c>
      <c r="U3588" t="s">
        <v>12902</v>
      </c>
      <c r="V3588" t="s">
        <v>12902</v>
      </c>
      <c r="W3588" t="s">
        <v>16448</v>
      </c>
      <c r="X3588">
        <v>7</v>
      </c>
      <c r="Y3588" t="s">
        <v>22766</v>
      </c>
      <c r="Z3588" t="s">
        <v>29163</v>
      </c>
      <c r="AA3588">
        <v>0.44595802132528051</v>
      </c>
      <c r="AB3588" t="str">
        <f>HYPERLINK("Melting_Curves/meltCurve_Q16795_NDUFA9.pdf", "Melting_Curves/meltCurve_Q16795_NDUFA9.pdf")</f>
        <v>Melting_Curves/meltCurve_Q16795_NDUFA9.pdf</v>
      </c>
    </row>
    <row r="3589" spans="1:28" x14ac:dyDescent="0.25">
      <c r="A3589" t="s">
        <v>3593</v>
      </c>
      <c r="B3589">
        <v>0.99673306730245903</v>
      </c>
      <c r="C3589">
        <v>0.99215411085042404</v>
      </c>
      <c r="D3589">
        <v>0.91164685492226305</v>
      </c>
      <c r="E3589">
        <v>0.80230308017651797</v>
      </c>
      <c r="F3589">
        <v>0.30773012092159902</v>
      </c>
      <c r="G3589">
        <v>0.12905425193400499</v>
      </c>
      <c r="H3589">
        <v>6.8035647328887602E-2</v>
      </c>
      <c r="I3589">
        <v>5.7306972644786701E-2</v>
      </c>
      <c r="J3589">
        <v>4.7896425140620501E-2</v>
      </c>
      <c r="K3589">
        <v>3.8491049761204203E-2</v>
      </c>
      <c r="L3589">
        <v>1511.5897771166501</v>
      </c>
      <c r="M3589">
        <v>29.299316258940401</v>
      </c>
      <c r="N3589">
        <v>51.780182207459099</v>
      </c>
      <c r="O3589">
        <v>51.352776466075298</v>
      </c>
      <c r="P3589">
        <v>-0.13540959196039601</v>
      </c>
      <c r="Q3589">
        <v>5.0680099409956901E-2</v>
      </c>
      <c r="R3589">
        <v>0.996714937578975</v>
      </c>
      <c r="S3589" t="s">
        <v>10041</v>
      </c>
      <c r="T3589" t="s">
        <v>12902</v>
      </c>
      <c r="U3589" t="s">
        <v>12902</v>
      </c>
      <c r="V3589" t="s">
        <v>12902</v>
      </c>
      <c r="W3589" t="s">
        <v>16449</v>
      </c>
      <c r="X3589">
        <v>37</v>
      </c>
      <c r="Y3589" t="s">
        <v>22767</v>
      </c>
      <c r="Z3589" t="s">
        <v>29164</v>
      </c>
      <c r="AA3589">
        <v>0.42379157487352542</v>
      </c>
      <c r="AB3589" t="str">
        <f>HYPERLINK("Melting_Curves/meltCurve_Q16822_PCK2.pdf", "Melting_Curves/meltCurve_Q16822_PCK2.pdf")</f>
        <v>Melting_Curves/meltCurve_Q16822_PCK2.pdf</v>
      </c>
    </row>
    <row r="3590" spans="1:28" x14ac:dyDescent="0.25">
      <c r="A3590" t="s">
        <v>3594</v>
      </c>
      <c r="B3590">
        <v>0.99673306730245903</v>
      </c>
      <c r="C3590">
        <v>1.0209621557378801</v>
      </c>
      <c r="D3590">
        <v>0.353866933533869</v>
      </c>
      <c r="E3590">
        <v>0.22704749349997899</v>
      </c>
      <c r="F3590">
        <v>0.14773477469657101</v>
      </c>
      <c r="G3590">
        <v>9.30781990801028E-2</v>
      </c>
      <c r="H3590">
        <v>5.5695198880265299E-2</v>
      </c>
      <c r="I3590">
        <v>4.5254010456198902E-2</v>
      </c>
      <c r="J3590">
        <v>4.1163132590604001E-2</v>
      </c>
      <c r="K3590">
        <v>3.1859890081451597E-2</v>
      </c>
      <c r="L3590">
        <v>5121.3598169709403</v>
      </c>
      <c r="M3590">
        <v>112.23488027273</v>
      </c>
      <c r="N3590">
        <v>45.713227709421901</v>
      </c>
      <c r="O3590">
        <v>45.616252148337601</v>
      </c>
      <c r="P3590">
        <v>-0.55872493871907203</v>
      </c>
      <c r="Q3590">
        <v>9.1657214816246405E-2</v>
      </c>
      <c r="R3590">
        <v>0.97654424117749306</v>
      </c>
      <c r="S3590" t="s">
        <v>10042</v>
      </c>
      <c r="T3590" t="s">
        <v>12902</v>
      </c>
      <c r="U3590" t="s">
        <v>12902</v>
      </c>
      <c r="V3590" t="s">
        <v>12902</v>
      </c>
      <c r="W3590" t="s">
        <v>16450</v>
      </c>
      <c r="X3590">
        <v>19</v>
      </c>
      <c r="Y3590" t="s">
        <v>22768</v>
      </c>
      <c r="Z3590" t="s">
        <v>29165</v>
      </c>
      <c r="AA3590">
        <v>0.26250629423444238</v>
      </c>
      <c r="AB3590" t="str">
        <f>HYPERLINK("Melting_Curves/meltCurve_Q16850_CYP51A1.pdf", "Melting_Curves/meltCurve_Q16850_CYP51A1.pdf")</f>
        <v>Melting_Curves/meltCurve_Q16850_CYP51A1.pdf</v>
      </c>
    </row>
    <row r="3591" spans="1:28" x14ac:dyDescent="0.25">
      <c r="A3591" t="s">
        <v>3595</v>
      </c>
      <c r="B3591">
        <v>0.99673306730245903</v>
      </c>
      <c r="C3591">
        <v>0.954056248721464</v>
      </c>
      <c r="D3591">
        <v>1.09021804755703</v>
      </c>
      <c r="E3591">
        <v>1.21780410637194</v>
      </c>
      <c r="F3591">
        <v>1.4354139635898999</v>
      </c>
      <c r="G3591">
        <v>0.94067793560195001</v>
      </c>
      <c r="H3591">
        <v>0.121737949683542</v>
      </c>
      <c r="I3591">
        <v>0.10640573442441301</v>
      </c>
      <c r="J3591">
        <v>9.8620079808191402E-2</v>
      </c>
      <c r="K3591">
        <v>8.1539261477598601E-2</v>
      </c>
      <c r="L3591">
        <v>5420.7860949340802</v>
      </c>
      <c r="M3591">
        <v>92.752154484202407</v>
      </c>
      <c r="N3591">
        <v>58.578307639737901</v>
      </c>
      <c r="O3591">
        <v>58.4166232647</v>
      </c>
      <c r="P3591">
        <v>-0.35886223711987603</v>
      </c>
      <c r="Q3591">
        <v>9.5933952759341204E-2</v>
      </c>
      <c r="R3591">
        <v>0.90482352679977196</v>
      </c>
      <c r="S3591" t="s">
        <v>10043</v>
      </c>
      <c r="T3591" t="s">
        <v>12902</v>
      </c>
      <c r="U3591" t="s">
        <v>12902</v>
      </c>
      <c r="V3591" t="s">
        <v>12902</v>
      </c>
      <c r="W3591" t="s">
        <v>16451</v>
      </c>
      <c r="X3591">
        <v>31</v>
      </c>
      <c r="Y3591" t="s">
        <v>22769</v>
      </c>
      <c r="Z3591" t="s">
        <v>29166</v>
      </c>
      <c r="AA3591">
        <v>0.65242158856042698</v>
      </c>
      <c r="AB3591" t="str">
        <f>HYPERLINK("Melting_Curves/meltCurve_Q16851_UGP2.pdf", "Melting_Curves/meltCurve_Q16851_UGP2.pdf")</f>
        <v>Melting_Curves/meltCurve_Q16851_UGP2.pdf</v>
      </c>
    </row>
    <row r="3592" spans="1:28" x14ac:dyDescent="0.25">
      <c r="A3592" t="s">
        <v>3596</v>
      </c>
      <c r="B3592">
        <v>0.99673306730245903</v>
      </c>
      <c r="C3592">
        <v>1.04027254764461</v>
      </c>
      <c r="D3592">
        <v>1.13875512451011</v>
      </c>
      <c r="E3592">
        <v>1.0134091351165</v>
      </c>
      <c r="F3592">
        <v>0.94992676235978901</v>
      </c>
      <c r="G3592">
        <v>0.81250547294503905</v>
      </c>
      <c r="H3592">
        <v>0.756441531964956</v>
      </c>
      <c r="I3592">
        <v>1.0803402941282101</v>
      </c>
      <c r="J3592">
        <v>1.24723626855895</v>
      </c>
      <c r="K3592">
        <v>0.70177352459975995</v>
      </c>
      <c r="L3592">
        <v>15000</v>
      </c>
      <c r="M3592">
        <v>213.42972876406299</v>
      </c>
      <c r="Q3592">
        <v>0</v>
      </c>
      <c r="R3592">
        <v>0.30643189236908402</v>
      </c>
      <c r="S3592" t="s">
        <v>10044</v>
      </c>
      <c r="T3592" t="s">
        <v>12902</v>
      </c>
      <c r="U3592" t="s">
        <v>12902</v>
      </c>
      <c r="V3592" t="s">
        <v>12902</v>
      </c>
      <c r="W3592" t="s">
        <v>16452</v>
      </c>
      <c r="X3592">
        <v>8</v>
      </c>
      <c r="Y3592" t="s">
        <v>22770</v>
      </c>
      <c r="Z3592" t="s">
        <v>29167</v>
      </c>
      <c r="AA3592">
        <v>0.99618322973844309</v>
      </c>
      <c r="AB3592" t="str">
        <f>HYPERLINK("Melting_Curves/meltCurve_Q16854_DGUOK.pdf", "Melting_Curves/meltCurve_Q16854_DGUOK.pdf")</f>
        <v>Melting_Curves/meltCurve_Q16854_DGUOK.pdf</v>
      </c>
    </row>
    <row r="3593" spans="1:28" x14ac:dyDescent="0.25">
      <c r="A3593" t="s">
        <v>3597</v>
      </c>
      <c r="B3593">
        <v>0.99673306730245903</v>
      </c>
      <c r="C3593">
        <v>1.02888942958111</v>
      </c>
      <c r="D3593">
        <v>0.95315704469608398</v>
      </c>
      <c r="E3593">
        <v>0.861194025015945</v>
      </c>
      <c r="F3593">
        <v>0.898278878418178</v>
      </c>
      <c r="G3593">
        <v>0.75352582310673799</v>
      </c>
      <c r="H3593">
        <v>0.52853671217101095</v>
      </c>
      <c r="I3593">
        <v>0.34581598244385198</v>
      </c>
      <c r="J3593">
        <v>0.43464337729255997</v>
      </c>
      <c r="K3593">
        <v>0.38711132159159101</v>
      </c>
      <c r="L3593">
        <v>1017.58407549427</v>
      </c>
      <c r="M3593">
        <v>17.644653989433699</v>
      </c>
      <c r="N3593">
        <v>61.606938039795899</v>
      </c>
      <c r="O3593">
        <v>56.945488213072103</v>
      </c>
      <c r="P3593">
        <v>-5.1279666054735301E-2</v>
      </c>
      <c r="Q3593">
        <v>0.33804544606554399</v>
      </c>
      <c r="R3593">
        <v>0.96003020972654496</v>
      </c>
      <c r="S3593" t="s">
        <v>10045</v>
      </c>
      <c r="T3593" t="s">
        <v>12902</v>
      </c>
      <c r="U3593" t="s">
        <v>12902</v>
      </c>
      <c r="V3593" t="s">
        <v>12902</v>
      </c>
      <c r="W3593" t="s">
        <v>16453</v>
      </c>
      <c r="X3593">
        <v>2</v>
      </c>
      <c r="Y3593" t="s">
        <v>22771</v>
      </c>
      <c r="Z3593" t="s">
        <v>29168</v>
      </c>
      <c r="AA3593">
        <v>0.73660256284341641</v>
      </c>
      <c r="AB3593" t="str">
        <f>HYPERLINK("Melting_Curves/meltCurve_Q16864_ATP6V1F.pdf", "Melting_Curves/meltCurve_Q16864_ATP6V1F.pdf")</f>
        <v>Melting_Curves/meltCurve_Q16864_ATP6V1F.pdf</v>
      </c>
    </row>
    <row r="3594" spans="1:28" x14ac:dyDescent="0.25">
      <c r="A3594" t="s">
        <v>3598</v>
      </c>
      <c r="B3594">
        <v>0.99673306730245903</v>
      </c>
      <c r="C3594">
        <v>0.96838975761981305</v>
      </c>
      <c r="D3594">
        <v>0.87904834987505098</v>
      </c>
      <c r="E3594">
        <v>0.740888593187225</v>
      </c>
      <c r="F3594">
        <v>0.40189696491202798</v>
      </c>
      <c r="G3594">
        <v>0.17444436611257899</v>
      </c>
      <c r="H3594">
        <v>0.110135974908881</v>
      </c>
      <c r="I3594">
        <v>9.5330823013824298E-2</v>
      </c>
      <c r="J3594">
        <v>9.7571552760057606E-2</v>
      </c>
      <c r="K3594">
        <v>8.2164331226515605E-2</v>
      </c>
      <c r="L3594">
        <v>1039.99458212377</v>
      </c>
      <c r="M3594">
        <v>20.166864835672101</v>
      </c>
      <c r="N3594">
        <v>51.984987355665503</v>
      </c>
      <c r="O3594">
        <v>51.070436044538503</v>
      </c>
      <c r="P3594">
        <v>-9.13754285163971E-2</v>
      </c>
      <c r="Q3594">
        <v>7.4435006488474995E-2</v>
      </c>
      <c r="R3594">
        <v>0.99708854694331295</v>
      </c>
      <c r="S3594" t="s">
        <v>10046</v>
      </c>
      <c r="T3594" t="s">
        <v>12902</v>
      </c>
      <c r="U3594" t="s">
        <v>12902</v>
      </c>
      <c r="V3594" t="s">
        <v>12902</v>
      </c>
      <c r="W3594" t="s">
        <v>16454</v>
      </c>
      <c r="X3594">
        <v>4</v>
      </c>
      <c r="Y3594" t="s">
        <v>22772</v>
      </c>
      <c r="Z3594" t="s">
        <v>29169</v>
      </c>
      <c r="AA3594">
        <v>0.44401327967894938</v>
      </c>
      <c r="AB3594" t="str">
        <f>HYPERLINK("Melting_Curves/meltCurve_Q16880_UGT8.pdf", "Melting_Curves/meltCurve_Q16880_UGT8.pdf")</f>
        <v>Melting_Curves/meltCurve_Q16880_UGT8.pdf</v>
      </c>
    </row>
    <row r="3595" spans="1:28" x14ac:dyDescent="0.25">
      <c r="A3595" t="s">
        <v>3599</v>
      </c>
      <c r="B3595">
        <v>0.99673306730245903</v>
      </c>
      <c r="C3595">
        <v>0.98310440426002199</v>
      </c>
      <c r="D3595">
        <v>1.02979406755734</v>
      </c>
      <c r="E3595">
        <v>0.91357447256758995</v>
      </c>
      <c r="F3595">
        <v>0.83597141557761401</v>
      </c>
      <c r="G3595">
        <v>0.66842462722625196</v>
      </c>
      <c r="H3595">
        <v>0.46937442594440199</v>
      </c>
      <c r="I3595">
        <v>0.44674052100519102</v>
      </c>
      <c r="J3595">
        <v>0.445925464197377</v>
      </c>
      <c r="K3595">
        <v>0.24035100356324901</v>
      </c>
      <c r="L3595">
        <v>757.19884569297994</v>
      </c>
      <c r="M3595">
        <v>13.0433611466422</v>
      </c>
      <c r="N3595">
        <v>61.205925187630399</v>
      </c>
      <c r="O3595">
        <v>56.738712454714403</v>
      </c>
      <c r="P3595">
        <v>-4.3417601049407999E-2</v>
      </c>
      <c r="Q3595">
        <v>0.24466424799769701</v>
      </c>
      <c r="R3595">
        <v>0.97224363618784604</v>
      </c>
      <c r="S3595" t="s">
        <v>10047</v>
      </c>
      <c r="T3595" t="s">
        <v>12902</v>
      </c>
      <c r="U3595" t="s">
        <v>12902</v>
      </c>
      <c r="V3595" t="s">
        <v>12902</v>
      </c>
      <c r="W3595" t="s">
        <v>16455</v>
      </c>
      <c r="X3595">
        <v>7</v>
      </c>
      <c r="Y3595" t="s">
        <v>22773</v>
      </c>
      <c r="Z3595" t="s">
        <v>29170</v>
      </c>
      <c r="AA3595">
        <v>0.70907734493278363</v>
      </c>
      <c r="AB3595" t="str">
        <f>HYPERLINK("Melting_Curves/meltCurve_Q17R31_2_TATDN3.pdf", "Melting_Curves/meltCurve_Q17R31_2_TATDN3.pdf")</f>
        <v>Melting_Curves/meltCurve_Q17R31_2_TATDN3.pdf</v>
      </c>
    </row>
    <row r="3596" spans="1:28" x14ac:dyDescent="0.25">
      <c r="A3596" t="s">
        <v>3600</v>
      </c>
      <c r="B3596">
        <v>0.99673306730245903</v>
      </c>
      <c r="C3596">
        <v>0.87946593395968697</v>
      </c>
      <c r="D3596">
        <v>0.84479736797267102</v>
      </c>
      <c r="E3596">
        <v>0.77776128979185699</v>
      </c>
      <c r="F3596">
        <v>0.29829346885934199</v>
      </c>
      <c r="G3596">
        <v>0.21138830344839399</v>
      </c>
      <c r="H3596">
        <v>0.14184166437359699</v>
      </c>
      <c r="I3596">
        <v>0.10784402525165999</v>
      </c>
      <c r="J3596">
        <v>6.25596594220105E-2</v>
      </c>
      <c r="K3596">
        <v>5.2777862119763597E-2</v>
      </c>
      <c r="L3596">
        <v>939.81267956041495</v>
      </c>
      <c r="M3596">
        <v>18.320456151820299</v>
      </c>
      <c r="N3596">
        <v>51.678158213573099</v>
      </c>
      <c r="O3596">
        <v>50.699059698125801</v>
      </c>
      <c r="P3596">
        <v>-8.4655628367085706E-2</v>
      </c>
      <c r="Q3596">
        <v>6.2957122752428901E-2</v>
      </c>
      <c r="R3596">
        <v>0.976299854594742</v>
      </c>
      <c r="S3596" t="s">
        <v>10048</v>
      </c>
      <c r="T3596" t="s">
        <v>12902</v>
      </c>
      <c r="U3596" t="s">
        <v>12902</v>
      </c>
      <c r="V3596" t="s">
        <v>12902</v>
      </c>
      <c r="W3596" t="s">
        <v>16456</v>
      </c>
      <c r="X3596">
        <v>3</v>
      </c>
      <c r="Y3596" t="s">
        <v>22774</v>
      </c>
      <c r="Z3596" t="s">
        <v>29171</v>
      </c>
      <c r="AA3596">
        <v>0.43111060376912108</v>
      </c>
      <c r="AB3596" t="str">
        <f>HYPERLINK("Melting_Curves/meltCurve_Q17RN3_FAM98C.pdf", "Melting_Curves/meltCurve_Q17RN3_FAM98C.pdf")</f>
        <v>Melting_Curves/meltCurve_Q17RN3_FAM98C.pdf</v>
      </c>
    </row>
    <row r="3597" spans="1:28" x14ac:dyDescent="0.25">
      <c r="A3597" t="s">
        <v>3601</v>
      </c>
      <c r="B3597">
        <v>0.99673306730245903</v>
      </c>
      <c r="C3597">
        <v>0.924640417224734</v>
      </c>
      <c r="D3597">
        <v>0.67117498162281797</v>
      </c>
      <c r="E3597">
        <v>0.32899587747131898</v>
      </c>
      <c r="F3597">
        <v>0.217311426350693</v>
      </c>
      <c r="G3597">
        <v>0.12481451130530399</v>
      </c>
      <c r="H3597">
        <v>8.2031210777844601E-2</v>
      </c>
      <c r="I3597">
        <v>6.4720846387918904E-2</v>
      </c>
      <c r="J3597">
        <v>5.4276196930917203E-2</v>
      </c>
      <c r="K3597">
        <v>4.09074618240109E-2</v>
      </c>
      <c r="L3597">
        <v>908.47638926575303</v>
      </c>
      <c r="M3597">
        <v>19.0900159663659</v>
      </c>
      <c r="N3597">
        <v>47.929006415348603</v>
      </c>
      <c r="O3597">
        <v>47.076118254689597</v>
      </c>
      <c r="P3597">
        <v>-9.4963688674994898E-2</v>
      </c>
      <c r="Q3597">
        <v>6.3312392316299898E-2</v>
      </c>
      <c r="R3597">
        <v>0.99572313862009398</v>
      </c>
      <c r="S3597" t="s">
        <v>10049</v>
      </c>
      <c r="T3597" t="s">
        <v>12902</v>
      </c>
      <c r="U3597" t="s">
        <v>12902</v>
      </c>
      <c r="V3597" t="s">
        <v>12902</v>
      </c>
      <c r="W3597" t="s">
        <v>16457</v>
      </c>
      <c r="X3597">
        <v>9</v>
      </c>
      <c r="Y3597" t="s">
        <v>22775</v>
      </c>
      <c r="Z3597" t="s">
        <v>29172</v>
      </c>
      <c r="AA3597">
        <v>0.31512671096828271</v>
      </c>
      <c r="AB3597" t="str">
        <f>HYPERLINK("Melting_Curves/meltCurve_Q17RU2_REL.pdf", "Melting_Curves/meltCurve_Q17RU2_REL.pdf")</f>
        <v>Melting_Curves/meltCurve_Q17RU2_REL.pdf</v>
      </c>
    </row>
    <row r="3598" spans="1:28" x14ac:dyDescent="0.25">
      <c r="A3598" t="s">
        <v>3602</v>
      </c>
      <c r="B3598">
        <v>0.99673306730245903</v>
      </c>
      <c r="C3598">
        <v>0.97878881587581001</v>
      </c>
      <c r="D3598">
        <v>1.0293947356081401</v>
      </c>
      <c r="E3598">
        <v>0.92080886878733903</v>
      </c>
      <c r="F3598">
        <v>0.84718533751776903</v>
      </c>
      <c r="G3598">
        <v>0.61977789621382195</v>
      </c>
      <c r="H3598">
        <v>0.49852121555446099</v>
      </c>
      <c r="I3598">
        <v>0.71247629863665896</v>
      </c>
      <c r="J3598">
        <v>1.17309867055017</v>
      </c>
      <c r="K3598">
        <v>1.0622356629293801</v>
      </c>
      <c r="L3598">
        <v>2859.1668085290999</v>
      </c>
      <c r="M3598">
        <v>57.317685859366698</v>
      </c>
      <c r="O3598">
        <v>49.822191115367801</v>
      </c>
      <c r="P3598">
        <v>-5.2406291014398601E-2</v>
      </c>
      <c r="Q3598">
        <v>0.81778783065983496</v>
      </c>
      <c r="R3598">
        <v>0.16735494472484799</v>
      </c>
      <c r="S3598" t="s">
        <v>10050</v>
      </c>
      <c r="T3598" t="s">
        <v>12902</v>
      </c>
      <c r="U3598" t="s">
        <v>12902</v>
      </c>
      <c r="V3598" t="s">
        <v>12902</v>
      </c>
      <c r="W3598" t="s">
        <v>16458</v>
      </c>
      <c r="X3598">
        <v>2</v>
      </c>
      <c r="Y3598" t="s">
        <v>22776</v>
      </c>
      <c r="Z3598" t="s">
        <v>29173</v>
      </c>
      <c r="AA3598">
        <v>0.87811807870859604</v>
      </c>
      <c r="AB3598" t="str">
        <f>HYPERLINK("Melting_Curves/meltCurve_Q18PE1_2_DOK7.pdf", "Melting_Curves/meltCurve_Q18PE1_2_DOK7.pdf")</f>
        <v>Melting_Curves/meltCurve_Q18PE1_2_DOK7.pdf</v>
      </c>
    </row>
    <row r="3599" spans="1:28" x14ac:dyDescent="0.25">
      <c r="A3599" t="s">
        <v>3603</v>
      </c>
      <c r="B3599">
        <v>0.99673306730245903</v>
      </c>
      <c r="C3599">
        <v>0.85932606802345002</v>
      </c>
      <c r="D3599">
        <v>0.82221820016619096</v>
      </c>
      <c r="E3599">
        <v>0.73200917979672497</v>
      </c>
      <c r="F3599">
        <v>0.57914039239497905</v>
      </c>
      <c r="G3599">
        <v>0.37544373928359298</v>
      </c>
      <c r="H3599">
        <v>0.19866236989712699</v>
      </c>
      <c r="I3599">
        <v>0.24296989036855099</v>
      </c>
      <c r="J3599">
        <v>0.37748158671302201</v>
      </c>
      <c r="K3599">
        <v>0.48914608324039299</v>
      </c>
      <c r="L3599">
        <v>745.26039511439205</v>
      </c>
      <c r="M3599">
        <v>14.8777099923722</v>
      </c>
      <c r="N3599">
        <v>53.601405617175402</v>
      </c>
      <c r="O3599">
        <v>49.213535547491503</v>
      </c>
      <c r="P3599">
        <v>-5.2062488170125001E-2</v>
      </c>
      <c r="Q3599">
        <v>0.31120804149266701</v>
      </c>
      <c r="R3599">
        <v>0.879395725987141</v>
      </c>
      <c r="S3599" t="s">
        <v>10051</v>
      </c>
      <c r="T3599" t="s">
        <v>12902</v>
      </c>
      <c r="U3599" t="s">
        <v>12902</v>
      </c>
      <c r="V3599" t="s">
        <v>12902</v>
      </c>
      <c r="W3599" t="s">
        <v>16459</v>
      </c>
      <c r="X3599">
        <v>5</v>
      </c>
      <c r="Y3599" t="s">
        <v>22777</v>
      </c>
      <c r="Z3599" t="s">
        <v>29174</v>
      </c>
      <c r="AA3599">
        <v>0.55954082866676214</v>
      </c>
      <c r="AB3599" t="str">
        <f>HYPERLINK("Melting_Curves/meltCurve_Q1ED39_KNOP1.pdf", "Melting_Curves/meltCurve_Q1ED39_KNOP1.pdf")</f>
        <v>Melting_Curves/meltCurve_Q1ED39_KNOP1.pdf</v>
      </c>
    </row>
    <row r="3600" spans="1:28" x14ac:dyDescent="0.25">
      <c r="A3600" t="s">
        <v>3604</v>
      </c>
      <c r="B3600">
        <v>0.99673306730245903</v>
      </c>
      <c r="C3600">
        <v>0.98624921109894403</v>
      </c>
      <c r="D3600">
        <v>0.93302103666782499</v>
      </c>
      <c r="E3600">
        <v>0.89829368746935301</v>
      </c>
      <c r="F3600">
        <v>0.33329679131185203</v>
      </c>
      <c r="G3600">
        <v>0.20375229859573399</v>
      </c>
      <c r="H3600">
        <v>0.135903008264665</v>
      </c>
      <c r="I3600">
        <v>0.13520623937485601</v>
      </c>
      <c r="J3600">
        <v>0.184073767748126</v>
      </c>
      <c r="K3600">
        <v>0.15077252310334599</v>
      </c>
      <c r="L3600">
        <v>2332.3996687001199</v>
      </c>
      <c r="M3600">
        <v>45.127518479436702</v>
      </c>
      <c r="N3600">
        <v>52.122768668676898</v>
      </c>
      <c r="O3600">
        <v>51.583456831548098</v>
      </c>
      <c r="P3600">
        <v>-0.18419031140692199</v>
      </c>
      <c r="Q3600">
        <v>0.15783884117210401</v>
      </c>
      <c r="R3600">
        <v>0.99499428674319501</v>
      </c>
      <c r="S3600" t="s">
        <v>10052</v>
      </c>
      <c r="T3600" t="s">
        <v>12902</v>
      </c>
      <c r="U3600" t="s">
        <v>12902</v>
      </c>
      <c r="V3600" t="s">
        <v>12902</v>
      </c>
      <c r="W3600" t="s">
        <v>16460</v>
      </c>
      <c r="X3600">
        <v>14</v>
      </c>
      <c r="Y3600" t="s">
        <v>22778</v>
      </c>
      <c r="Z3600" t="s">
        <v>29175</v>
      </c>
      <c r="AA3600">
        <v>0.48821015971784232</v>
      </c>
      <c r="AB3600" t="str">
        <f>HYPERLINK("Melting_Curves/meltCurve_Q1KMD3_HNRNPUL2.pdf", "Melting_Curves/meltCurve_Q1KMD3_HNRNPUL2.pdf")</f>
        <v>Melting_Curves/meltCurve_Q1KMD3_HNRNPUL2.pdf</v>
      </c>
    </row>
    <row r="3601" spans="1:28" x14ac:dyDescent="0.25">
      <c r="A3601" t="s">
        <v>3605</v>
      </c>
      <c r="B3601">
        <v>0.99673306730245903</v>
      </c>
      <c r="C3601">
        <v>1.00182992639596</v>
      </c>
      <c r="D3601">
        <v>1.0606691550813701</v>
      </c>
      <c r="E3601">
        <v>0.78182818857303404</v>
      </c>
      <c r="F3601">
        <v>0.72838447734144296</v>
      </c>
      <c r="G3601">
        <v>0.38744025907338497</v>
      </c>
      <c r="H3601">
        <v>0.42028578263715799</v>
      </c>
      <c r="I3601">
        <v>0.586593991016367</v>
      </c>
      <c r="J3601">
        <v>0.72286248452941004</v>
      </c>
      <c r="K3601">
        <v>0.74535577236208606</v>
      </c>
      <c r="L3601">
        <v>1822.9915241869201</v>
      </c>
      <c r="M3601">
        <v>36.502079759459697</v>
      </c>
      <c r="O3601">
        <v>49.792943393053598</v>
      </c>
      <c r="P3601">
        <v>-7.5598464898554193E-2</v>
      </c>
      <c r="Q3601">
        <v>0.58750199439294504</v>
      </c>
      <c r="R3601">
        <v>0.73202497759136997</v>
      </c>
      <c r="S3601" t="s">
        <v>10053</v>
      </c>
      <c r="T3601" t="s">
        <v>12902</v>
      </c>
      <c r="U3601" t="s">
        <v>12902</v>
      </c>
      <c r="V3601" t="s">
        <v>12902</v>
      </c>
      <c r="W3601" t="s">
        <v>16461</v>
      </c>
      <c r="X3601">
        <v>2</v>
      </c>
      <c r="Y3601" t="s">
        <v>22779</v>
      </c>
      <c r="Z3601" t="s">
        <v>29176</v>
      </c>
      <c r="AA3601">
        <v>0.72591932829924688</v>
      </c>
      <c r="AB3601" t="str">
        <f>HYPERLINK("Melting_Curves/meltCurve_Q1MSJ5_1_CSPP1.pdf", "Melting_Curves/meltCurve_Q1MSJ5_1_CSPP1.pdf")</f>
        <v>Melting_Curves/meltCurve_Q1MSJ5_1_CSPP1.pdf</v>
      </c>
    </row>
    <row r="3602" spans="1:28" x14ac:dyDescent="0.25">
      <c r="A3602" t="s">
        <v>3606</v>
      </c>
      <c r="B3602">
        <v>0.99673306730245903</v>
      </c>
      <c r="C3602">
        <v>0.97056540088411702</v>
      </c>
      <c r="D3602">
        <v>0.944864249212649</v>
      </c>
      <c r="E3602">
        <v>0.843195739887172</v>
      </c>
      <c r="F3602">
        <v>0.831864329748915</v>
      </c>
      <c r="G3602">
        <v>0.635036837807196</v>
      </c>
      <c r="H3602">
        <v>0.50454348155075202</v>
      </c>
      <c r="I3602">
        <v>0.48809402684291497</v>
      </c>
      <c r="J3602">
        <v>0.46905650162413998</v>
      </c>
      <c r="K3602">
        <v>0.37769747503006201</v>
      </c>
      <c r="L3602">
        <v>611.56910713879199</v>
      </c>
      <c r="M3602">
        <v>10.826241076636199</v>
      </c>
      <c r="N3602">
        <v>62.6603224090655</v>
      </c>
      <c r="O3602">
        <v>54.664603487404598</v>
      </c>
      <c r="P3602">
        <v>-3.3292074005754499E-2</v>
      </c>
      <c r="Q3602">
        <v>0.32783851938382702</v>
      </c>
      <c r="R3602">
        <v>0.98263687619280105</v>
      </c>
      <c r="S3602" t="s">
        <v>10054</v>
      </c>
      <c r="T3602" t="s">
        <v>12902</v>
      </c>
      <c r="U3602" t="s">
        <v>12902</v>
      </c>
      <c r="V3602" t="s">
        <v>12902</v>
      </c>
      <c r="W3602" t="s">
        <v>16462</v>
      </c>
      <c r="X3602">
        <v>7</v>
      </c>
      <c r="Y3602" t="s">
        <v>22780</v>
      </c>
      <c r="Z3602" t="s">
        <v>29177</v>
      </c>
      <c r="AA3602">
        <v>0.70995878739740204</v>
      </c>
      <c r="AB3602" t="str">
        <f>HYPERLINK("Melting_Curves/meltCurve_Q24JP5_TMEM132A.pdf", "Melting_Curves/meltCurve_Q24JP5_TMEM132A.pdf")</f>
        <v>Melting_Curves/meltCurve_Q24JP5_TMEM132A.pdf</v>
      </c>
    </row>
    <row r="3603" spans="1:28" x14ac:dyDescent="0.25">
      <c r="A3603" t="s">
        <v>3607</v>
      </c>
      <c r="B3603">
        <v>0.99673306730245903</v>
      </c>
      <c r="C3603">
        <v>0.90594820161083101</v>
      </c>
      <c r="D3603">
        <v>0.68173636863334097</v>
      </c>
      <c r="E3603">
        <v>0.25519465867921598</v>
      </c>
      <c r="F3603">
        <v>0.22353176253012</v>
      </c>
      <c r="G3603">
        <v>0.105685861558055</v>
      </c>
      <c r="H3603">
        <v>7.7007141238227106E-2</v>
      </c>
      <c r="I3603">
        <v>8.97511153740575E-2</v>
      </c>
      <c r="J3603">
        <v>0.10745202967376399</v>
      </c>
      <c r="K3603">
        <v>8.7859350218399301E-2</v>
      </c>
      <c r="L3603">
        <v>1124.0985019740799</v>
      </c>
      <c r="M3603">
        <v>23.918712246835</v>
      </c>
      <c r="N3603">
        <v>47.428368873993797</v>
      </c>
      <c r="O3603">
        <v>46.671812681847697</v>
      </c>
      <c r="P3603">
        <v>-0.11558926948127</v>
      </c>
      <c r="Q3603">
        <v>9.7832125083557597E-2</v>
      </c>
      <c r="R3603">
        <v>0.99268933016724803</v>
      </c>
      <c r="S3603" t="s">
        <v>10055</v>
      </c>
      <c r="T3603" t="s">
        <v>12902</v>
      </c>
      <c r="U3603" t="s">
        <v>12902</v>
      </c>
      <c r="V3603" t="s">
        <v>12902</v>
      </c>
      <c r="W3603" t="s">
        <v>16463</v>
      </c>
      <c r="X3603">
        <v>4</v>
      </c>
      <c r="Y3603" t="s">
        <v>22781</v>
      </c>
      <c r="Z3603" t="s">
        <v>29178</v>
      </c>
      <c r="AA3603">
        <v>0.31711860299603473</v>
      </c>
      <c r="AB3603" t="str">
        <f>HYPERLINK("Melting_Curves/meltCurve_Q27J81_2_INF2.pdf", "Melting_Curves/meltCurve_Q27J81_2_INF2.pdf")</f>
        <v>Melting_Curves/meltCurve_Q27J81_2_INF2.pdf</v>
      </c>
    </row>
    <row r="3604" spans="1:28" x14ac:dyDescent="0.25">
      <c r="A3604" t="s">
        <v>3608</v>
      </c>
      <c r="B3604">
        <v>0.99673306730245903</v>
      </c>
      <c r="C3604">
        <v>0.89634231438244305</v>
      </c>
      <c r="D3604">
        <v>0.612147167534562</v>
      </c>
      <c r="E3604">
        <v>0.19194320496004999</v>
      </c>
      <c r="F3604">
        <v>0.130670927628317</v>
      </c>
      <c r="G3604">
        <v>7.9148504007862899E-2</v>
      </c>
      <c r="H3604">
        <v>5.6069763435913897E-2</v>
      </c>
      <c r="I3604">
        <v>5.3170843099409101E-2</v>
      </c>
      <c r="J3604">
        <v>6.2383866336269501E-2</v>
      </c>
      <c r="K3604">
        <v>5.7257863656595902E-2</v>
      </c>
      <c r="L3604">
        <v>1229.36213284003</v>
      </c>
      <c r="M3604">
        <v>26.429187293110701</v>
      </c>
      <c r="N3604">
        <v>46.754076090839497</v>
      </c>
      <c r="O3604">
        <v>46.251464903679</v>
      </c>
      <c r="P3604">
        <v>-0.13383961146426501</v>
      </c>
      <c r="Q3604">
        <v>6.3125000640689793E-2</v>
      </c>
      <c r="R3604">
        <v>0.99808240304959805</v>
      </c>
      <c r="S3604" t="s">
        <v>10056</v>
      </c>
      <c r="T3604" t="s">
        <v>12902</v>
      </c>
      <c r="U3604" t="s">
        <v>12902</v>
      </c>
      <c r="V3604" t="s">
        <v>12902</v>
      </c>
      <c r="W3604" t="s">
        <v>16464</v>
      </c>
      <c r="X3604">
        <v>33</v>
      </c>
      <c r="Y3604" t="s">
        <v>22782</v>
      </c>
      <c r="Z3604" t="s">
        <v>29179</v>
      </c>
      <c r="AA3604">
        <v>0.27406939111106671</v>
      </c>
      <c r="AB3604" t="str">
        <f>HYPERLINK("Melting_Curves/meltCurve_Q29RF7_PDS5A.pdf", "Melting_Curves/meltCurve_Q29RF7_PDS5A.pdf")</f>
        <v>Melting_Curves/meltCurve_Q29RF7_PDS5A.pdf</v>
      </c>
    </row>
    <row r="3605" spans="1:28" x14ac:dyDescent="0.25">
      <c r="A3605" t="s">
        <v>3609</v>
      </c>
      <c r="B3605">
        <v>0.99673306730245903</v>
      </c>
      <c r="C3605">
        <v>0.92626315880352805</v>
      </c>
      <c r="D3605">
        <v>0.81976604850138901</v>
      </c>
      <c r="E3605">
        <v>0.690217443172227</v>
      </c>
      <c r="F3605">
        <v>0.50108203724884004</v>
      </c>
      <c r="G3605">
        <v>0.35429054401992</v>
      </c>
      <c r="H3605">
        <v>0.18106145468616899</v>
      </c>
      <c r="I3605">
        <v>0.13567046202578201</v>
      </c>
      <c r="J3605">
        <v>0.191363905637154</v>
      </c>
      <c r="K3605">
        <v>0.187990154510322</v>
      </c>
      <c r="L3605">
        <v>656.95077328374202</v>
      </c>
      <c r="M3605">
        <v>12.695602336356799</v>
      </c>
      <c r="N3605">
        <v>52.852419748070702</v>
      </c>
      <c r="O3605">
        <v>50.512833659742697</v>
      </c>
      <c r="P3605">
        <v>-5.5513975445124E-2</v>
      </c>
      <c r="Q3605">
        <v>0.116662600354572</v>
      </c>
      <c r="R3605">
        <v>0.98989825454719904</v>
      </c>
      <c r="S3605" t="s">
        <v>10057</v>
      </c>
      <c r="T3605" t="s">
        <v>12902</v>
      </c>
      <c r="U3605" t="s">
        <v>12902</v>
      </c>
      <c r="V3605" t="s">
        <v>12902</v>
      </c>
      <c r="W3605" t="s">
        <v>16465</v>
      </c>
      <c r="X3605">
        <v>5</v>
      </c>
      <c r="Y3605" t="s">
        <v>22783</v>
      </c>
      <c r="Z3605" t="s">
        <v>29180</v>
      </c>
      <c r="AA3605">
        <v>0.48799976272319279</v>
      </c>
      <c r="AB3605" t="str">
        <f>HYPERLINK("Melting_Curves/meltCurve_Q2M296_2_MTHFSD.pdf", "Melting_Curves/meltCurve_Q2M296_2_MTHFSD.pdf")</f>
        <v>Melting_Curves/meltCurve_Q2M296_2_MTHFSD.pdf</v>
      </c>
    </row>
    <row r="3606" spans="1:28" x14ac:dyDescent="0.25">
      <c r="A3606" t="s">
        <v>3610</v>
      </c>
      <c r="B3606">
        <v>0.99673306730245903</v>
      </c>
      <c r="C3606">
        <v>0.94508456401235297</v>
      </c>
      <c r="D3606">
        <v>0.85613008020527204</v>
      </c>
      <c r="E3606">
        <v>0.68142442012242899</v>
      </c>
      <c r="F3606">
        <v>0.30945976686523402</v>
      </c>
      <c r="G3606">
        <v>0.16315733293307</v>
      </c>
      <c r="H3606">
        <v>9.3173524119447307E-2</v>
      </c>
      <c r="I3606">
        <v>6.1174840988404498E-2</v>
      </c>
      <c r="J3606">
        <v>8.0018424390993201E-2</v>
      </c>
      <c r="K3606">
        <v>7.1205211398943397E-2</v>
      </c>
      <c r="L3606">
        <v>990.26972871397504</v>
      </c>
      <c r="M3606">
        <v>19.488360098314601</v>
      </c>
      <c r="N3606">
        <v>51.135608500088402</v>
      </c>
      <c r="O3606">
        <v>50.2874580406287</v>
      </c>
      <c r="P3606">
        <v>-9.1289980067170304E-2</v>
      </c>
      <c r="Q3606">
        <v>5.7781444223822503E-2</v>
      </c>
      <c r="R3606">
        <v>0.99644084202277305</v>
      </c>
      <c r="S3606" t="s">
        <v>10058</v>
      </c>
      <c r="T3606" t="s">
        <v>12902</v>
      </c>
      <c r="U3606" t="s">
        <v>12902</v>
      </c>
      <c r="V3606" t="s">
        <v>12902</v>
      </c>
      <c r="W3606" t="s">
        <v>16466</v>
      </c>
      <c r="X3606">
        <v>10</v>
      </c>
      <c r="Y3606" t="s">
        <v>22784</v>
      </c>
      <c r="Z3606" t="s">
        <v>29181</v>
      </c>
      <c r="AA3606">
        <v>0.41113929081537981</v>
      </c>
      <c r="AB3606" t="str">
        <f>HYPERLINK("Melting_Curves/meltCurve_Q2M2I8_2_AAK1.pdf", "Melting_Curves/meltCurve_Q2M2I8_2_AAK1.pdf")</f>
        <v>Melting_Curves/meltCurve_Q2M2I8_2_AAK1.pdf</v>
      </c>
    </row>
    <row r="3607" spans="1:28" x14ac:dyDescent="0.25">
      <c r="A3607" t="s">
        <v>3611</v>
      </c>
      <c r="B3607">
        <v>0.99673306730245903</v>
      </c>
      <c r="C3607">
        <v>1.03373711061079</v>
      </c>
      <c r="D3607">
        <v>0.86759270896950702</v>
      </c>
      <c r="E3607">
        <v>0.71621052302069999</v>
      </c>
      <c r="F3607">
        <v>0.68133911467243302</v>
      </c>
      <c r="G3607">
        <v>0.550589400150021</v>
      </c>
      <c r="H3607">
        <v>0.45781348231653102</v>
      </c>
      <c r="I3607">
        <v>0.51705514798982199</v>
      </c>
      <c r="J3607">
        <v>0.82655817151556599</v>
      </c>
      <c r="K3607">
        <v>0.75374855279414599</v>
      </c>
      <c r="L3607">
        <v>1406.31287574669</v>
      </c>
      <c r="M3607">
        <v>29.716719983359202</v>
      </c>
      <c r="O3607">
        <v>47.1112141755168</v>
      </c>
      <c r="P3607">
        <v>-5.8486680227761198E-2</v>
      </c>
      <c r="Q3607">
        <v>0.62911661245955397</v>
      </c>
      <c r="R3607">
        <v>0.68780159264129304</v>
      </c>
      <c r="S3607" t="s">
        <v>10059</v>
      </c>
      <c r="T3607" t="s">
        <v>12902</v>
      </c>
      <c r="U3607" t="s">
        <v>12902</v>
      </c>
      <c r="V3607" t="s">
        <v>12902</v>
      </c>
      <c r="W3607" t="s">
        <v>16467</v>
      </c>
      <c r="X3607">
        <v>1</v>
      </c>
      <c r="Y3607" t="s">
        <v>22785</v>
      </c>
      <c r="Z3607" t="s">
        <v>29182</v>
      </c>
      <c r="AA3607">
        <v>0.72193056261776889</v>
      </c>
      <c r="AB3607" t="str">
        <f>HYPERLINK("Melting_Curves/meltCurve_Q2M2Z5_5_PLK1S1.pdf", "Melting_Curves/meltCurve_Q2M2Z5_5_PLK1S1.pdf")</f>
        <v>Melting_Curves/meltCurve_Q2M2Z5_5_PLK1S1.pdf</v>
      </c>
    </row>
    <row r="3608" spans="1:28" x14ac:dyDescent="0.25">
      <c r="A3608" t="s">
        <v>3612</v>
      </c>
      <c r="B3608">
        <v>0.99673306730245903</v>
      </c>
      <c r="C3608">
        <v>0.86197440893198096</v>
      </c>
      <c r="D3608">
        <v>0.83243230523101697</v>
      </c>
      <c r="E3608">
        <v>0.53853648707064405</v>
      </c>
      <c r="F3608">
        <v>0.19675226904381099</v>
      </c>
      <c r="G3608">
        <v>0.118914945395067</v>
      </c>
      <c r="H3608">
        <v>8.3010600291784906E-2</v>
      </c>
      <c r="I3608">
        <v>7.7618574183653005E-2</v>
      </c>
      <c r="J3608">
        <v>8.8715585494455004E-2</v>
      </c>
      <c r="K3608">
        <v>7.2481551583956E-2</v>
      </c>
      <c r="L3608">
        <v>982.02670392851905</v>
      </c>
      <c r="M3608">
        <v>19.927095336415601</v>
      </c>
      <c r="N3608">
        <v>49.626192685571198</v>
      </c>
      <c r="O3608">
        <v>48.792725729739701</v>
      </c>
      <c r="P3608">
        <v>-9.5495892249744904E-2</v>
      </c>
      <c r="Q3608">
        <v>6.47204056394967E-2</v>
      </c>
      <c r="R3608">
        <v>0.99050304012963497</v>
      </c>
      <c r="S3608" t="s">
        <v>10060</v>
      </c>
      <c r="T3608" t="s">
        <v>12902</v>
      </c>
      <c r="U3608" t="s">
        <v>12902</v>
      </c>
      <c r="V3608" t="s">
        <v>12902</v>
      </c>
      <c r="W3608" t="s">
        <v>16468</v>
      </c>
      <c r="X3608">
        <v>9</v>
      </c>
      <c r="Y3608" t="s">
        <v>22786</v>
      </c>
      <c r="Z3608" t="s">
        <v>29183</v>
      </c>
      <c r="AA3608">
        <v>0.36723089958200961</v>
      </c>
      <c r="AB3608" t="str">
        <f>HYPERLINK("Melting_Curves/meltCurve_Q2M389_KIAA1033.pdf", "Melting_Curves/meltCurve_Q2M389_KIAA1033.pdf")</f>
        <v>Melting_Curves/meltCurve_Q2M389_KIAA1033.pdf</v>
      </c>
    </row>
    <row r="3609" spans="1:28" x14ac:dyDescent="0.25">
      <c r="A3609" t="s">
        <v>3613</v>
      </c>
      <c r="B3609">
        <v>0.99673306730245903</v>
      </c>
      <c r="C3609">
        <v>0.99355486069421906</v>
      </c>
      <c r="D3609">
        <v>0.89331192852448704</v>
      </c>
      <c r="E3609">
        <v>0.745715864053628</v>
      </c>
      <c r="F3609">
        <v>0.496723576589992</v>
      </c>
      <c r="G3609">
        <v>0.44346843726361201</v>
      </c>
      <c r="H3609">
        <v>0.35415006600887899</v>
      </c>
      <c r="I3609">
        <v>0.37597107459433698</v>
      </c>
      <c r="J3609">
        <v>0.37885692842097501</v>
      </c>
      <c r="K3609">
        <v>0.38737042817999201</v>
      </c>
      <c r="L3609">
        <v>1048.8462224591799</v>
      </c>
      <c r="M3609">
        <v>20.898115527861599</v>
      </c>
      <c r="N3609">
        <v>53.649069045115901</v>
      </c>
      <c r="O3609">
        <v>49.7357760994215</v>
      </c>
      <c r="P3609">
        <v>-6.61681341469295E-2</v>
      </c>
      <c r="Q3609">
        <v>0.37011861578390398</v>
      </c>
      <c r="R3609">
        <v>0.99473637930838099</v>
      </c>
      <c r="S3609" t="s">
        <v>10061</v>
      </c>
      <c r="T3609" t="s">
        <v>12902</v>
      </c>
      <c r="U3609" t="s">
        <v>12902</v>
      </c>
      <c r="V3609" t="s">
        <v>12902</v>
      </c>
      <c r="W3609" t="s">
        <v>16469</v>
      </c>
      <c r="X3609">
        <v>1</v>
      </c>
      <c r="Y3609" t="s">
        <v>22787</v>
      </c>
      <c r="Z3609" t="s">
        <v>29184</v>
      </c>
      <c r="AA3609">
        <v>0.59208329284161776</v>
      </c>
      <c r="AB3609" t="str">
        <f>HYPERLINK("Melting_Curves/meltCurve_Q2N1I1_KCNE3.pdf", "Melting_Curves/meltCurve_Q2N1I1_KCNE3.pdf")</f>
        <v>Melting_Curves/meltCurve_Q2N1I1_KCNE3.pdf</v>
      </c>
    </row>
    <row r="3610" spans="1:28" x14ac:dyDescent="0.25">
      <c r="A3610" t="s">
        <v>3614</v>
      </c>
      <c r="B3610">
        <v>0.99673306730245903</v>
      </c>
      <c r="C3610">
        <v>0.85515152535206296</v>
      </c>
      <c r="D3610">
        <v>0.45085965821678903</v>
      </c>
      <c r="E3610">
        <v>0.26410443861896998</v>
      </c>
      <c r="F3610">
        <v>0.21344362102377201</v>
      </c>
      <c r="G3610">
        <v>0.132607213481964</v>
      </c>
      <c r="H3610">
        <v>8.6037115009217693E-2</v>
      </c>
      <c r="I3610">
        <v>7.1348696096519199E-2</v>
      </c>
      <c r="J3610">
        <v>6.3843552479922794E-2</v>
      </c>
      <c r="K3610">
        <v>6.6622142857898595E-2</v>
      </c>
      <c r="L3610">
        <v>959.24650287261898</v>
      </c>
      <c r="M3610">
        <v>20.999601944416401</v>
      </c>
      <c r="N3610">
        <v>46.133631049688702</v>
      </c>
      <c r="O3610">
        <v>45.271085448956697</v>
      </c>
      <c r="P3610">
        <v>-0.10513546968559</v>
      </c>
      <c r="Q3610">
        <v>9.3417236970908493E-2</v>
      </c>
      <c r="R3610">
        <v>0.98427120204707197</v>
      </c>
      <c r="S3610" t="s">
        <v>10062</v>
      </c>
      <c r="T3610" t="s">
        <v>12902</v>
      </c>
      <c r="U3610" t="s">
        <v>12902</v>
      </c>
      <c r="V3610" t="s">
        <v>12902</v>
      </c>
      <c r="W3610" t="s">
        <v>16470</v>
      </c>
      <c r="X3610">
        <v>6</v>
      </c>
      <c r="Y3610" t="s">
        <v>22788</v>
      </c>
      <c r="Z3610" t="s">
        <v>29185</v>
      </c>
      <c r="AA3610">
        <v>0.27786995129360492</v>
      </c>
      <c r="AB3610" t="str">
        <f>HYPERLINK("Melting_Curves/meltCurve_Q2NKX8_ERCC6L.pdf", "Melting_Curves/meltCurve_Q2NKX8_ERCC6L.pdf")</f>
        <v>Melting_Curves/meltCurve_Q2NKX8_ERCC6L.pdf</v>
      </c>
    </row>
    <row r="3611" spans="1:28" x14ac:dyDescent="0.25">
      <c r="A3611" t="s">
        <v>3615</v>
      </c>
      <c r="B3611">
        <v>0.99673306730245903</v>
      </c>
      <c r="C3611">
        <v>0.89443963419985495</v>
      </c>
      <c r="D3611">
        <v>0.83129475806187703</v>
      </c>
      <c r="E3611">
        <v>0.54304830508919499</v>
      </c>
      <c r="F3611">
        <v>0.452626106325343</v>
      </c>
      <c r="G3611">
        <v>0.267031736439167</v>
      </c>
      <c r="H3611">
        <v>0.24396326258791601</v>
      </c>
      <c r="I3611">
        <v>0.14063431621007899</v>
      </c>
      <c r="J3611">
        <v>0.122517692163746</v>
      </c>
      <c r="K3611">
        <v>8.3990992303855594E-2</v>
      </c>
      <c r="L3611">
        <v>590.53293755075504</v>
      </c>
      <c r="M3611">
        <v>11.5962752506704</v>
      </c>
      <c r="N3611">
        <v>51.595129008681603</v>
      </c>
      <c r="O3611">
        <v>49.4806529603337</v>
      </c>
      <c r="P3611">
        <v>-5.45052942342657E-2</v>
      </c>
      <c r="Q3611">
        <v>6.9972098424143994E-2</v>
      </c>
      <c r="R3611">
        <v>0.98924545564955102</v>
      </c>
      <c r="S3611" t="s">
        <v>10063</v>
      </c>
      <c r="T3611" t="s">
        <v>12902</v>
      </c>
      <c r="U3611" t="s">
        <v>12902</v>
      </c>
      <c r="V3611" t="s">
        <v>12902</v>
      </c>
      <c r="W3611" t="s">
        <v>16471</v>
      </c>
      <c r="X3611">
        <v>5</v>
      </c>
      <c r="Y3611" t="s">
        <v>22789</v>
      </c>
      <c r="Z3611" t="s">
        <v>29186</v>
      </c>
      <c r="AA3611">
        <v>0.44063067301583031</v>
      </c>
      <c r="AB3611" t="str">
        <f>HYPERLINK("Melting_Curves/meltCurve_Q2NL82_TSR1.pdf", "Melting_Curves/meltCurve_Q2NL82_TSR1.pdf")</f>
        <v>Melting_Curves/meltCurve_Q2NL82_TSR1.pdf</v>
      </c>
    </row>
    <row r="3612" spans="1:28" x14ac:dyDescent="0.25">
      <c r="A3612" t="s">
        <v>3616</v>
      </c>
      <c r="B3612">
        <v>0.99673306730245903</v>
      </c>
      <c r="C3612">
        <v>0.94653196337058398</v>
      </c>
      <c r="D3612">
        <v>0.94073948633890803</v>
      </c>
      <c r="E3612">
        <v>0.75477418160488596</v>
      </c>
      <c r="F3612">
        <v>0.586514535190516</v>
      </c>
      <c r="G3612">
        <v>0.47396242471119399</v>
      </c>
      <c r="H3612">
        <v>0.36379875967347403</v>
      </c>
      <c r="I3612">
        <v>0.43535478433485297</v>
      </c>
      <c r="J3612">
        <v>0.56533986532124902</v>
      </c>
      <c r="K3612">
        <v>0.57257884120014801</v>
      </c>
      <c r="L3612">
        <v>1277.59134387876</v>
      </c>
      <c r="M3612">
        <v>25.655207428770101</v>
      </c>
      <c r="N3612">
        <v>56.998133271271598</v>
      </c>
      <c r="O3612">
        <v>49.498921468409897</v>
      </c>
      <c r="P3612">
        <v>-6.7323935662553694E-2</v>
      </c>
      <c r="Q3612">
        <v>0.480429692664888</v>
      </c>
      <c r="R3612">
        <v>0.92511002376124196</v>
      </c>
      <c r="S3612" t="s">
        <v>10064</v>
      </c>
      <c r="T3612" t="s">
        <v>12902</v>
      </c>
      <c r="U3612" t="s">
        <v>12902</v>
      </c>
      <c r="V3612" t="s">
        <v>12902</v>
      </c>
      <c r="W3612" t="s">
        <v>16472</v>
      </c>
      <c r="X3612">
        <v>3</v>
      </c>
      <c r="Y3612" t="s">
        <v>22790</v>
      </c>
      <c r="Z3612" t="s">
        <v>29187</v>
      </c>
      <c r="AA3612">
        <v>0.65452873673096401</v>
      </c>
      <c r="AB3612" t="str">
        <f>HYPERLINK("Melting_Curves/meltCurve_Q2NL98_VMAC.pdf", "Melting_Curves/meltCurve_Q2NL98_VMAC.pdf")</f>
        <v>Melting_Curves/meltCurve_Q2NL98_VMAC.pdf</v>
      </c>
    </row>
    <row r="3613" spans="1:28" x14ac:dyDescent="0.25">
      <c r="A3613" t="s">
        <v>3617</v>
      </c>
      <c r="B3613">
        <v>0.99673306730245903</v>
      </c>
      <c r="C3613">
        <v>1.0148813976889599</v>
      </c>
      <c r="D3613">
        <v>0.94562910988909799</v>
      </c>
      <c r="E3613">
        <v>0.88241539960155901</v>
      </c>
      <c r="F3613">
        <v>0.77567231771707701</v>
      </c>
      <c r="G3613">
        <v>0.49709101093115898</v>
      </c>
      <c r="H3613">
        <v>0.29039688175254402</v>
      </c>
      <c r="I3613">
        <v>0.22270850052295499</v>
      </c>
      <c r="J3613">
        <v>0.172032106085934</v>
      </c>
      <c r="K3613">
        <v>0.117787379164528</v>
      </c>
      <c r="L3613">
        <v>896.01937334426896</v>
      </c>
      <c r="M3613">
        <v>15.9276930719469</v>
      </c>
      <c r="N3613">
        <v>56.996702090430603</v>
      </c>
      <c r="O3613">
        <v>55.391074739859</v>
      </c>
      <c r="P3613">
        <v>-6.5167625993216502E-2</v>
      </c>
      <c r="Q3613">
        <v>9.3549417361255396E-2</v>
      </c>
      <c r="R3613">
        <v>0.99670451005232796</v>
      </c>
      <c r="S3613" t="s">
        <v>10065</v>
      </c>
      <c r="T3613" t="s">
        <v>12902</v>
      </c>
      <c r="U3613" t="s">
        <v>12902</v>
      </c>
      <c r="V3613" t="s">
        <v>12902</v>
      </c>
      <c r="W3613" t="s">
        <v>16473</v>
      </c>
      <c r="X3613">
        <v>4</v>
      </c>
      <c r="Y3613" t="s">
        <v>22791</v>
      </c>
      <c r="Z3613" t="s">
        <v>29188</v>
      </c>
      <c r="AA3613">
        <v>0.59960565059476922</v>
      </c>
      <c r="AB3613" t="str">
        <f>HYPERLINK("Melting_Curves/meltCurve_Q2T9J0_TYSND1.pdf", "Melting_Curves/meltCurve_Q2T9J0_TYSND1.pdf")</f>
        <v>Melting_Curves/meltCurve_Q2T9J0_TYSND1.pdf</v>
      </c>
    </row>
    <row r="3614" spans="1:28" x14ac:dyDescent="0.25">
      <c r="A3614" t="s">
        <v>3618</v>
      </c>
      <c r="B3614">
        <v>0.99673306730245903</v>
      </c>
      <c r="C3614">
        <v>0.99800040424014003</v>
      </c>
      <c r="D3614">
        <v>0.97045616325842099</v>
      </c>
      <c r="E3614">
        <v>0.74201607232854805</v>
      </c>
      <c r="F3614">
        <v>0.36143771214909298</v>
      </c>
      <c r="G3614">
        <v>0.14674711229155499</v>
      </c>
      <c r="H3614">
        <v>8.1747278897563197E-2</v>
      </c>
      <c r="I3614">
        <v>6.07017774171641E-2</v>
      </c>
      <c r="J3614">
        <v>6.3537678891014096E-2</v>
      </c>
      <c r="K3614">
        <v>5.0070190778855897E-2</v>
      </c>
      <c r="L3614">
        <v>1283.03615383244</v>
      </c>
      <c r="M3614">
        <v>24.859480773676701</v>
      </c>
      <c r="N3614">
        <v>51.859733114495903</v>
      </c>
      <c r="O3614">
        <v>51.281045905998504</v>
      </c>
      <c r="P3614">
        <v>-0.114397135578656</v>
      </c>
      <c r="Q3614">
        <v>5.6082646527491398E-2</v>
      </c>
      <c r="R3614">
        <v>0.99978627527239805</v>
      </c>
      <c r="S3614" t="s">
        <v>10066</v>
      </c>
      <c r="T3614" t="s">
        <v>12902</v>
      </c>
      <c r="U3614" t="s">
        <v>12902</v>
      </c>
      <c r="V3614" t="s">
        <v>12902</v>
      </c>
      <c r="W3614" t="s">
        <v>16474</v>
      </c>
      <c r="X3614">
        <v>7</v>
      </c>
      <c r="Y3614" t="s">
        <v>22792</v>
      </c>
      <c r="Z3614" t="s">
        <v>29189</v>
      </c>
      <c r="AA3614">
        <v>0.43010491532619533</v>
      </c>
      <c r="AB3614" t="str">
        <f>HYPERLINK("Melting_Curves/meltCurve_Q2TAA5_ALG11.pdf", "Melting_Curves/meltCurve_Q2TAA5_ALG11.pdf")</f>
        <v>Melting_Curves/meltCurve_Q2TAA5_ALG11.pdf</v>
      </c>
    </row>
    <row r="3615" spans="1:28" x14ac:dyDescent="0.25">
      <c r="A3615" t="s">
        <v>3619</v>
      </c>
      <c r="B3615">
        <v>0.99673306730245903</v>
      </c>
      <c r="C3615">
        <v>0.76845031094054195</v>
      </c>
      <c r="D3615">
        <v>0.45555039907664302</v>
      </c>
      <c r="E3615">
        <v>0.188793383908372</v>
      </c>
      <c r="F3615">
        <v>0.12139248908356801</v>
      </c>
      <c r="G3615">
        <v>8.1674571852797098E-2</v>
      </c>
      <c r="H3615">
        <v>6.3918388467045506E-2</v>
      </c>
      <c r="I3615">
        <v>6.3938866305979294E-2</v>
      </c>
      <c r="J3615">
        <v>8.2162219465546096E-2</v>
      </c>
      <c r="K3615">
        <v>8.0291228212204302E-2</v>
      </c>
      <c r="L3615">
        <v>1012.78827982889</v>
      </c>
      <c r="M3615">
        <v>22.390952114097399</v>
      </c>
      <c r="N3615">
        <v>45.560830608653198</v>
      </c>
      <c r="O3615">
        <v>44.875869608766799</v>
      </c>
      <c r="P3615">
        <v>-0.115434166575766</v>
      </c>
      <c r="Q3615">
        <v>7.4607990780908406E-2</v>
      </c>
      <c r="R3615">
        <v>0.997094022837684</v>
      </c>
      <c r="S3615" t="s">
        <v>10067</v>
      </c>
      <c r="T3615" t="s">
        <v>12902</v>
      </c>
      <c r="U3615" t="s">
        <v>12902</v>
      </c>
      <c r="V3615" t="s">
        <v>12902</v>
      </c>
      <c r="W3615" t="s">
        <v>16475</v>
      </c>
      <c r="X3615">
        <v>6</v>
      </c>
      <c r="Y3615" t="s">
        <v>22793</v>
      </c>
      <c r="Z3615" t="s">
        <v>29190</v>
      </c>
      <c r="AA3615">
        <v>0.24771533124973841</v>
      </c>
      <c r="AB3615" t="str">
        <f>HYPERLINK("Melting_Curves/meltCurve_Q2TAL8_QRICH1.pdf", "Melting_Curves/meltCurve_Q2TAL8_QRICH1.pdf")</f>
        <v>Melting_Curves/meltCurve_Q2TAL8_QRICH1.pdf</v>
      </c>
    </row>
    <row r="3616" spans="1:28" x14ac:dyDescent="0.25">
      <c r="A3616" t="s">
        <v>3620</v>
      </c>
      <c r="B3616">
        <v>0.99673306730245903</v>
      </c>
      <c r="C3616">
        <v>0.94688063643510001</v>
      </c>
      <c r="D3616">
        <v>0.79254699460153699</v>
      </c>
      <c r="E3616">
        <v>0.46402749960770101</v>
      </c>
      <c r="F3616">
        <v>0.25442365035530601</v>
      </c>
      <c r="G3616">
        <v>0.16768266363338799</v>
      </c>
      <c r="H3616">
        <v>0.115442034625774</v>
      </c>
      <c r="I3616">
        <v>0.113000167165159</v>
      </c>
      <c r="J3616">
        <v>0.132273601304188</v>
      </c>
      <c r="K3616">
        <v>0.106988838295951</v>
      </c>
      <c r="L3616">
        <v>984.67872708650498</v>
      </c>
      <c r="M3616">
        <v>20.237500749883299</v>
      </c>
      <c r="N3616">
        <v>49.279065751359397</v>
      </c>
      <c r="O3616">
        <v>48.188534022275903</v>
      </c>
      <c r="P3616">
        <v>-9.3145071174597402E-2</v>
      </c>
      <c r="Q3616">
        <v>0.112857962959337</v>
      </c>
      <c r="R3616">
        <v>0.99934207465839098</v>
      </c>
      <c r="S3616" t="s">
        <v>10068</v>
      </c>
      <c r="T3616" t="s">
        <v>12902</v>
      </c>
      <c r="U3616" t="s">
        <v>12902</v>
      </c>
      <c r="V3616" t="s">
        <v>12902</v>
      </c>
      <c r="W3616" t="s">
        <v>16476</v>
      </c>
      <c r="X3616">
        <v>12</v>
      </c>
      <c r="Y3616" t="s">
        <v>22794</v>
      </c>
      <c r="Z3616" t="s">
        <v>29191</v>
      </c>
      <c r="AA3616">
        <v>0.38100528168503323</v>
      </c>
      <c r="AB3616" t="str">
        <f>HYPERLINK("Melting_Curves/meltCurve_Q2TAM5_RELA.pdf", "Melting_Curves/meltCurve_Q2TAM5_RELA.pdf")</f>
        <v>Melting_Curves/meltCurve_Q2TAM5_RELA.pdf</v>
      </c>
    </row>
    <row r="3617" spans="1:28" x14ac:dyDescent="0.25">
      <c r="A3617" t="s">
        <v>3621</v>
      </c>
      <c r="B3617">
        <v>0.99673306730245903</v>
      </c>
      <c r="C3617">
        <v>0.86389129364662098</v>
      </c>
      <c r="D3617">
        <v>0.853278969009582</v>
      </c>
      <c r="E3617">
        <v>0.75239056383124503</v>
      </c>
      <c r="F3617">
        <v>0.54720053901438803</v>
      </c>
      <c r="G3617">
        <v>0.24606279354810701</v>
      </c>
      <c r="H3617">
        <v>0.15299541790659801</v>
      </c>
      <c r="I3617">
        <v>0.119236193496457</v>
      </c>
      <c r="J3617">
        <v>0.135917799279792</v>
      </c>
      <c r="K3617">
        <v>0.14949446684062301</v>
      </c>
      <c r="L3617">
        <v>762.95742609597596</v>
      </c>
      <c r="M3617">
        <v>14.5677703216673</v>
      </c>
      <c r="N3617">
        <v>53.0171520265623</v>
      </c>
      <c r="O3617">
        <v>51.415756293209</v>
      </c>
      <c r="P3617">
        <v>-6.5095159424383403E-2</v>
      </c>
      <c r="Q3617">
        <v>8.1111884682016799E-2</v>
      </c>
      <c r="R3617">
        <v>0.97921105970171496</v>
      </c>
      <c r="S3617" t="s">
        <v>10069</v>
      </c>
      <c r="T3617" t="s">
        <v>12902</v>
      </c>
      <c r="U3617" t="s">
        <v>12902</v>
      </c>
      <c r="V3617" t="s">
        <v>12902</v>
      </c>
      <c r="W3617" t="s">
        <v>16477</v>
      </c>
      <c r="X3617">
        <v>3</v>
      </c>
      <c r="Y3617" t="s">
        <v>22795</v>
      </c>
      <c r="Z3617" t="s">
        <v>29192</v>
      </c>
      <c r="AA3617">
        <v>0.4812460971352705</v>
      </c>
      <c r="AB3617" t="str">
        <f>HYPERLINK("Melting_Curves/meltCurve_Q2TAM9_TUSC1.pdf", "Melting_Curves/meltCurve_Q2TAM9_TUSC1.pdf")</f>
        <v>Melting_Curves/meltCurve_Q2TAM9_TUSC1.pdf</v>
      </c>
    </row>
    <row r="3618" spans="1:28" x14ac:dyDescent="0.25">
      <c r="A3618" t="s">
        <v>3622</v>
      </c>
      <c r="B3618">
        <v>0.99673306730245903</v>
      </c>
      <c r="C3618">
        <v>0.96858893914586397</v>
      </c>
      <c r="D3618">
        <v>1.03243395541715</v>
      </c>
      <c r="E3618">
        <v>0.86463453734429696</v>
      </c>
      <c r="F3618">
        <v>0.42225977368304202</v>
      </c>
      <c r="G3618">
        <v>0.17190154050395401</v>
      </c>
      <c r="H3618">
        <v>8.4173940922827803E-2</v>
      </c>
      <c r="I3618">
        <v>7.4343342404857099E-2</v>
      </c>
      <c r="J3618">
        <v>8.0845806815267804E-2</v>
      </c>
      <c r="K3618">
        <v>6.5380439448447E-2</v>
      </c>
      <c r="L3618">
        <v>1631.0105991042601</v>
      </c>
      <c r="M3618">
        <v>31.127237415039499</v>
      </c>
      <c r="N3618">
        <v>52.674908710720899</v>
      </c>
      <c r="O3618">
        <v>52.183337854105901</v>
      </c>
      <c r="P3618">
        <v>-0.13787699896900901</v>
      </c>
      <c r="Q3618">
        <v>7.5428191796222302E-2</v>
      </c>
      <c r="R3618">
        <v>0.99790947360696503</v>
      </c>
      <c r="S3618" t="s">
        <v>10070</v>
      </c>
      <c r="T3618" t="s">
        <v>12902</v>
      </c>
      <c r="U3618" t="s">
        <v>12902</v>
      </c>
      <c r="V3618" t="s">
        <v>12902</v>
      </c>
      <c r="W3618" t="s">
        <v>16478</v>
      </c>
      <c r="X3618">
        <v>17</v>
      </c>
      <c r="Y3618" t="s">
        <v>22796</v>
      </c>
      <c r="Z3618" t="s">
        <v>29193</v>
      </c>
      <c r="AA3618">
        <v>0.46305380054336032</v>
      </c>
      <c r="AB3618" t="str">
        <f>HYPERLINK("Melting_Curves/meltCurve_Q2TAY7_SMU1.pdf", "Melting_Curves/meltCurve_Q2TAY7_SMU1.pdf")</f>
        <v>Melting_Curves/meltCurve_Q2TAY7_SMU1.pdf</v>
      </c>
    </row>
    <row r="3619" spans="1:28" x14ac:dyDescent="0.25">
      <c r="A3619" t="s">
        <v>3623</v>
      </c>
      <c r="B3619">
        <v>0.99673306730245903</v>
      </c>
      <c r="C3619">
        <v>0.94296103641968498</v>
      </c>
      <c r="D3619">
        <v>0.75973063919360795</v>
      </c>
      <c r="E3619">
        <v>0.68041216611828004</v>
      </c>
      <c r="F3619">
        <v>0.54177341230899201</v>
      </c>
      <c r="G3619">
        <v>0.34103251771908299</v>
      </c>
      <c r="H3619">
        <v>0.184518342131408</v>
      </c>
      <c r="I3619">
        <v>0.126455109953236</v>
      </c>
      <c r="J3619">
        <v>0.128497438321901</v>
      </c>
      <c r="K3619">
        <v>0.12295176546832901</v>
      </c>
      <c r="L3619">
        <v>552.41808756654802</v>
      </c>
      <c r="M3619">
        <v>10.4564963634266</v>
      </c>
      <c r="N3619">
        <v>53.067154960366999</v>
      </c>
      <c r="O3619">
        <v>51.007553627422602</v>
      </c>
      <c r="P3619">
        <v>-5.0100994365844399E-2</v>
      </c>
      <c r="Q3619">
        <v>2.28153439018919E-2</v>
      </c>
      <c r="R3619">
        <v>0.98896061345254604</v>
      </c>
      <c r="S3619" t="s">
        <v>10071</v>
      </c>
      <c r="T3619" t="s">
        <v>12902</v>
      </c>
      <c r="U3619" t="s">
        <v>12902</v>
      </c>
      <c r="V3619" t="s">
        <v>12902</v>
      </c>
      <c r="W3619" t="s">
        <v>16479</v>
      </c>
      <c r="X3619">
        <v>11</v>
      </c>
      <c r="Y3619" t="s">
        <v>22797</v>
      </c>
      <c r="Z3619" t="s">
        <v>29194</v>
      </c>
      <c r="AA3619">
        <v>0.47336793384361492</v>
      </c>
      <c r="AB3619" t="str">
        <f>HYPERLINK("Melting_Curves/meltCurve_Q2TBE0_CWF19L2.pdf", "Melting_Curves/meltCurve_Q2TBE0_CWF19L2.pdf")</f>
        <v>Melting_Curves/meltCurve_Q2TBE0_CWF19L2.pdf</v>
      </c>
    </row>
    <row r="3620" spans="1:28" x14ac:dyDescent="0.25">
      <c r="A3620" t="s">
        <v>3624</v>
      </c>
      <c r="B3620">
        <v>0.99673306730245903</v>
      </c>
      <c r="C3620">
        <v>0.96380276088222205</v>
      </c>
      <c r="D3620">
        <v>0.94741351496035597</v>
      </c>
      <c r="E3620">
        <v>0.74687828166567505</v>
      </c>
      <c r="F3620">
        <v>0.92856495028659403</v>
      </c>
      <c r="G3620">
        <v>0.85452509003280597</v>
      </c>
      <c r="H3620">
        <v>0.83720351167167295</v>
      </c>
      <c r="I3620">
        <v>1.23223833921478</v>
      </c>
      <c r="J3620">
        <v>1.7563943298317199</v>
      </c>
      <c r="K3620">
        <v>1.67406623896902</v>
      </c>
      <c r="L3620">
        <v>15000</v>
      </c>
      <c r="M3620">
        <v>234.23283637107099</v>
      </c>
      <c r="O3620">
        <v>64.034197198791105</v>
      </c>
      <c r="P3620">
        <v>0.45724184541994201</v>
      </c>
      <c r="Q3620">
        <v>1.5</v>
      </c>
      <c r="R3620">
        <v>0.80513052959776799</v>
      </c>
      <c r="S3620" t="s">
        <v>10072</v>
      </c>
      <c r="T3620" t="s">
        <v>12902</v>
      </c>
      <c r="U3620" t="s">
        <v>12902</v>
      </c>
      <c r="V3620" t="s">
        <v>12902</v>
      </c>
      <c r="W3620" t="s">
        <v>16480</v>
      </c>
      <c r="X3620">
        <v>36</v>
      </c>
      <c r="Y3620" t="s">
        <v>22798</v>
      </c>
      <c r="Z3620" t="s">
        <v>29195</v>
      </c>
      <c r="AA3620">
        <v>1.0992885894349169</v>
      </c>
      <c r="AB3620" t="str">
        <f>HYPERLINK("Melting_Curves/meltCurve_Q32MZ4_2_LRRFIP1.pdf", "Melting_Curves/meltCurve_Q32MZ4_2_LRRFIP1.pdf")</f>
        <v>Melting_Curves/meltCurve_Q32MZ4_2_LRRFIP1.pdf</v>
      </c>
    </row>
    <row r="3621" spans="1:28" x14ac:dyDescent="0.25">
      <c r="A3621" t="s">
        <v>3625</v>
      </c>
      <c r="B3621">
        <v>0.99673306730245903</v>
      </c>
      <c r="C3621">
        <v>0.94217946181590895</v>
      </c>
      <c r="D3621">
        <v>0.97094686941335995</v>
      </c>
      <c r="E3621">
        <v>0.77898807838482798</v>
      </c>
      <c r="F3621">
        <v>1.03984595540939</v>
      </c>
      <c r="G3621">
        <v>0.95983958099222499</v>
      </c>
      <c r="H3621">
        <v>0.92621818954897595</v>
      </c>
      <c r="I3621">
        <v>1.8204342546949599</v>
      </c>
      <c r="J3621">
        <v>1.9442944113199401</v>
      </c>
      <c r="K3621">
        <v>2.0925873200577998</v>
      </c>
      <c r="L3621">
        <v>9911.0911490286908</v>
      </c>
      <c r="M3621">
        <v>159.604549358654</v>
      </c>
      <c r="O3621">
        <v>62.088031233848803</v>
      </c>
      <c r="P3621">
        <v>0.321327031107003</v>
      </c>
      <c r="Q3621">
        <v>1.5</v>
      </c>
      <c r="R3621">
        <v>0.67483297654899899</v>
      </c>
      <c r="S3621" t="s">
        <v>10073</v>
      </c>
      <c r="T3621" t="s">
        <v>12902</v>
      </c>
      <c r="U3621" t="s">
        <v>12902</v>
      </c>
      <c r="V3621" t="s">
        <v>12902</v>
      </c>
      <c r="W3621" t="s">
        <v>16481</v>
      </c>
      <c r="X3621">
        <v>37</v>
      </c>
      <c r="Y3621" t="s">
        <v>22798</v>
      </c>
      <c r="Z3621" t="s">
        <v>29196</v>
      </c>
      <c r="AA3621">
        <v>1.1315696220002709</v>
      </c>
      <c r="AB3621" t="str">
        <f>HYPERLINK("Melting_Curves/meltCurve_Q32MZ4_3_LRRFIP1.pdf", "Melting_Curves/meltCurve_Q32MZ4_3_LRRFIP1.pdf")</f>
        <v>Melting_Curves/meltCurve_Q32MZ4_3_LRRFIP1.pdf</v>
      </c>
    </row>
    <row r="3622" spans="1:28" x14ac:dyDescent="0.25">
      <c r="A3622" t="s">
        <v>3626</v>
      </c>
      <c r="B3622">
        <v>0.99673306730245903</v>
      </c>
      <c r="C3622">
        <v>0.84231894319646405</v>
      </c>
      <c r="D3622">
        <v>0.63610594212396299</v>
      </c>
      <c r="E3622">
        <v>0.30761133055251899</v>
      </c>
      <c r="F3622">
        <v>0.19859010069124899</v>
      </c>
      <c r="G3622">
        <v>0.13394473129732301</v>
      </c>
      <c r="H3622">
        <v>9.2184098211617202E-2</v>
      </c>
      <c r="I3622">
        <v>9.6726766796730396E-2</v>
      </c>
      <c r="J3622">
        <v>0.119734049562809</v>
      </c>
      <c r="K3622">
        <v>0.107718671440392</v>
      </c>
      <c r="L3622">
        <v>906.38965171586403</v>
      </c>
      <c r="M3622">
        <v>19.389743341738001</v>
      </c>
      <c r="N3622">
        <v>47.304716952089699</v>
      </c>
      <c r="O3622">
        <v>46.257126921967398</v>
      </c>
      <c r="P3622">
        <v>-9.4069210623845406E-2</v>
      </c>
      <c r="Q3622">
        <v>0.10236845256570801</v>
      </c>
      <c r="R3622">
        <v>0.99714637186828203</v>
      </c>
      <c r="S3622" t="s">
        <v>10074</v>
      </c>
      <c r="T3622" t="s">
        <v>12902</v>
      </c>
      <c r="U3622" t="s">
        <v>12902</v>
      </c>
      <c r="V3622" t="s">
        <v>12902</v>
      </c>
      <c r="W3622" t="s">
        <v>16482</v>
      </c>
      <c r="X3622">
        <v>6</v>
      </c>
      <c r="Y3622" t="s">
        <v>22799</v>
      </c>
      <c r="Z3622" t="s">
        <v>29197</v>
      </c>
      <c r="AA3622">
        <v>0.31844778254890072</v>
      </c>
      <c r="AB3622" t="str">
        <f>HYPERLINK("Melting_Curves/meltCurve_Q32MZ9_POLD3.pdf", "Melting_Curves/meltCurve_Q32MZ9_POLD3.pdf")</f>
        <v>Melting_Curves/meltCurve_Q32MZ9_POLD3.pdf</v>
      </c>
    </row>
    <row r="3623" spans="1:28" x14ac:dyDescent="0.25">
      <c r="A3623" t="s">
        <v>3627</v>
      </c>
      <c r="B3623">
        <v>0.99673306730245903</v>
      </c>
      <c r="C3623">
        <v>0.93458648216997398</v>
      </c>
      <c r="D3623">
        <v>0.98863959019251002</v>
      </c>
      <c r="E3623">
        <v>0.70507987379189596</v>
      </c>
      <c r="F3623">
        <v>0.39837663336601897</v>
      </c>
      <c r="G3623">
        <v>0.254214000237103</v>
      </c>
      <c r="H3623">
        <v>0.207909399444766</v>
      </c>
      <c r="I3623">
        <v>0.179339557353655</v>
      </c>
      <c r="J3623">
        <v>0.147310259216371</v>
      </c>
      <c r="K3623">
        <v>0.113160525913564</v>
      </c>
      <c r="L3623">
        <v>1126.2087234662999</v>
      </c>
      <c r="M3623">
        <v>22.002539628861701</v>
      </c>
      <c r="N3623">
        <v>52.044932819481403</v>
      </c>
      <c r="O3623">
        <v>50.768198982976699</v>
      </c>
      <c r="P3623">
        <v>-9.1844289285994904E-2</v>
      </c>
      <c r="Q3623">
        <v>0.15234040960951301</v>
      </c>
      <c r="R3623">
        <v>0.99250875482558198</v>
      </c>
      <c r="S3623" t="s">
        <v>10075</v>
      </c>
      <c r="T3623" t="s">
        <v>12902</v>
      </c>
      <c r="U3623" t="s">
        <v>12902</v>
      </c>
      <c r="V3623" t="s">
        <v>12902</v>
      </c>
      <c r="W3623" t="s">
        <v>16483</v>
      </c>
      <c r="X3623">
        <v>5</v>
      </c>
      <c r="Y3623" t="s">
        <v>22800</v>
      </c>
      <c r="Z3623" t="s">
        <v>29198</v>
      </c>
      <c r="AA3623">
        <v>0.47821321801122829</v>
      </c>
      <c r="AB3623" t="str">
        <f>HYPERLINK("Melting_Curves/meltCurve_Q32P28_LEPRE1.pdf", "Melting_Curves/meltCurve_Q32P28_LEPRE1.pdf")</f>
        <v>Melting_Curves/meltCurve_Q32P28_LEPRE1.pdf</v>
      </c>
    </row>
    <row r="3624" spans="1:28" x14ac:dyDescent="0.25">
      <c r="A3624" t="s">
        <v>3628</v>
      </c>
      <c r="B3624">
        <v>0.99673306730245903</v>
      </c>
      <c r="C3624">
        <v>0.80830322882763805</v>
      </c>
      <c r="D3624">
        <v>0.33414094260548899</v>
      </c>
      <c r="E3624">
        <v>0.158178002129822</v>
      </c>
      <c r="F3624">
        <v>0.100356859335669</v>
      </c>
      <c r="G3624">
        <v>6.23714838444046E-2</v>
      </c>
      <c r="H3624">
        <v>4.1731040608668502E-2</v>
      </c>
      <c r="I3624">
        <v>3.9609890203659501E-2</v>
      </c>
      <c r="J3624">
        <v>5.1309008896645102E-2</v>
      </c>
      <c r="K3624">
        <v>4.2419650819825301E-2</v>
      </c>
      <c r="L3624">
        <v>1318.0533648671201</v>
      </c>
      <c r="M3624">
        <v>29.423240718586701</v>
      </c>
      <c r="N3624">
        <v>44.990419153465602</v>
      </c>
      <c r="O3624">
        <v>44.590938743209698</v>
      </c>
      <c r="P3624">
        <v>-0.15513162691086099</v>
      </c>
      <c r="Q3624">
        <v>5.9598329017352597E-2</v>
      </c>
      <c r="R3624">
        <v>0.99502963988375703</v>
      </c>
      <c r="S3624" t="s">
        <v>10076</v>
      </c>
      <c r="T3624" t="s">
        <v>12902</v>
      </c>
      <c r="U3624" t="s">
        <v>12902</v>
      </c>
      <c r="V3624" t="s">
        <v>12902</v>
      </c>
      <c r="W3624" t="s">
        <v>16484</v>
      </c>
      <c r="X3624">
        <v>8</v>
      </c>
      <c r="Y3624" t="s">
        <v>22801</v>
      </c>
      <c r="Z3624" t="s">
        <v>29199</v>
      </c>
      <c r="AA3624">
        <v>0.21640843357255901</v>
      </c>
      <c r="AB3624" t="str">
        <f>HYPERLINK("Melting_Curves/meltCurve_Q32P41_TRMT5.pdf", "Melting_Curves/meltCurve_Q32P41_TRMT5.pdf")</f>
        <v>Melting_Curves/meltCurve_Q32P41_TRMT5.pdf</v>
      </c>
    </row>
    <row r="3625" spans="1:28" x14ac:dyDescent="0.25">
      <c r="A3625" t="s">
        <v>3629</v>
      </c>
      <c r="B3625">
        <v>0.99673306730245903</v>
      </c>
      <c r="C3625">
        <v>1.0051784406258999</v>
      </c>
      <c r="D3625">
        <v>1.0482117680868199</v>
      </c>
      <c r="E3625">
        <v>1.0813928973522799</v>
      </c>
      <c r="F3625">
        <v>1.04842872997044</v>
      </c>
      <c r="G3625">
        <v>0.96934976360346503</v>
      </c>
      <c r="H3625">
        <v>0.87975592439002004</v>
      </c>
      <c r="I3625">
        <v>1.0992092016953301</v>
      </c>
      <c r="J3625">
        <v>0.67538423247624102</v>
      </c>
      <c r="K3625">
        <v>0.20800778723500701</v>
      </c>
      <c r="L3625">
        <v>15000</v>
      </c>
      <c r="M3625">
        <v>223.18218863652899</v>
      </c>
      <c r="N3625">
        <v>67.371924969009498</v>
      </c>
      <c r="O3625">
        <v>67.204270246546798</v>
      </c>
      <c r="P3625">
        <v>-0.65763293671171197</v>
      </c>
      <c r="Q3625">
        <v>0.20789843992337001</v>
      </c>
      <c r="R3625">
        <v>0.94553414538638103</v>
      </c>
      <c r="S3625" t="s">
        <v>10077</v>
      </c>
      <c r="T3625" t="s">
        <v>12902</v>
      </c>
      <c r="U3625" t="s">
        <v>12902</v>
      </c>
      <c r="V3625" t="s">
        <v>12902</v>
      </c>
      <c r="W3625" t="s">
        <v>13233</v>
      </c>
      <c r="X3625">
        <v>23</v>
      </c>
      <c r="Y3625" t="s">
        <v>22802</v>
      </c>
      <c r="Z3625" t="s">
        <v>29200</v>
      </c>
      <c r="AA3625">
        <v>0.92644174130024048</v>
      </c>
      <c r="AB3625" t="str">
        <f>HYPERLINK("Melting_Curves/meltCurve_Q32Q12_NME1_NME2.pdf", "Melting_Curves/meltCurve_Q32Q12_NME1_NME2.pdf")</f>
        <v>Melting_Curves/meltCurve_Q32Q12_NME1_NME2.pdf</v>
      </c>
    </row>
    <row r="3626" spans="1:28" x14ac:dyDescent="0.25">
      <c r="A3626" t="s">
        <v>3630</v>
      </c>
      <c r="B3626">
        <v>0.99673306730245903</v>
      </c>
      <c r="C3626">
        <v>0.86185218563789801</v>
      </c>
      <c r="D3626">
        <v>0.67346414058551696</v>
      </c>
      <c r="E3626">
        <v>0.37297198425688999</v>
      </c>
      <c r="F3626">
        <v>0.29704788172456198</v>
      </c>
      <c r="G3626">
        <v>0.14833127939501001</v>
      </c>
      <c r="H3626">
        <v>0.11777283483560599</v>
      </c>
      <c r="I3626">
        <v>0.11228722712573801</v>
      </c>
      <c r="J3626">
        <v>0.13962020777207701</v>
      </c>
      <c r="K3626">
        <v>0.13776095453067</v>
      </c>
      <c r="L3626">
        <v>801.56454728121298</v>
      </c>
      <c r="M3626">
        <v>16.9162283319503</v>
      </c>
      <c r="N3626">
        <v>48.163376739484399</v>
      </c>
      <c r="O3626">
        <v>46.737012620210699</v>
      </c>
      <c r="P3626">
        <v>-7.96612373432002E-2</v>
      </c>
      <c r="Q3626">
        <v>0.11968670678679701</v>
      </c>
      <c r="R3626">
        <v>0.99303691921811299</v>
      </c>
      <c r="S3626" t="s">
        <v>10078</v>
      </c>
      <c r="T3626" t="s">
        <v>12902</v>
      </c>
      <c r="U3626" t="s">
        <v>12902</v>
      </c>
      <c r="V3626" t="s">
        <v>12902</v>
      </c>
      <c r="W3626" t="s">
        <v>16485</v>
      </c>
      <c r="X3626">
        <v>3</v>
      </c>
      <c r="Y3626" t="s">
        <v>22803</v>
      </c>
      <c r="Z3626" t="s">
        <v>29201</v>
      </c>
      <c r="AA3626">
        <v>0.35459147525376661</v>
      </c>
      <c r="AB3626" t="str">
        <f>HYPERLINK("Melting_Curves/meltCurve_Q3B726_TWISTNB.pdf", "Melting_Curves/meltCurve_Q3B726_TWISTNB.pdf")</f>
        <v>Melting_Curves/meltCurve_Q3B726_TWISTNB.pdf</v>
      </c>
    </row>
    <row r="3627" spans="1:28" x14ac:dyDescent="0.25">
      <c r="A3627" t="s">
        <v>3631</v>
      </c>
      <c r="B3627">
        <v>0.99673306730245903</v>
      </c>
      <c r="C3627">
        <v>1.0357658883079199</v>
      </c>
      <c r="D3627">
        <v>1.17484369316579</v>
      </c>
      <c r="E3627">
        <v>1.08794663684663</v>
      </c>
      <c r="F3627">
        <v>0.77634513322183696</v>
      </c>
      <c r="G3627">
        <v>0.21291707741301999</v>
      </c>
      <c r="H3627">
        <v>0.112794486026542</v>
      </c>
      <c r="I3627">
        <v>9.7518834897232801E-2</v>
      </c>
      <c r="J3627">
        <v>3.9679259530697203E-2</v>
      </c>
      <c r="K3627">
        <v>4.6888754116371598E-2</v>
      </c>
      <c r="L3627">
        <v>2489.4249506799301</v>
      </c>
      <c r="M3627">
        <v>45.584553961739502</v>
      </c>
      <c r="N3627">
        <v>54.798409005805901</v>
      </c>
      <c r="O3627">
        <v>54.506374605754601</v>
      </c>
      <c r="P3627">
        <v>-0.19400022427098301</v>
      </c>
      <c r="Q3627">
        <v>7.2121365233266094E-2</v>
      </c>
      <c r="R3627">
        <v>0.97953997808959703</v>
      </c>
      <c r="S3627" t="s">
        <v>10079</v>
      </c>
      <c r="T3627" t="s">
        <v>12902</v>
      </c>
      <c r="U3627" t="s">
        <v>12902</v>
      </c>
      <c r="V3627" t="s">
        <v>12902</v>
      </c>
      <c r="W3627" t="s">
        <v>16486</v>
      </c>
      <c r="X3627">
        <v>1</v>
      </c>
      <c r="Y3627" t="s">
        <v>22804</v>
      </c>
      <c r="Z3627" t="s">
        <v>29202</v>
      </c>
      <c r="AA3627">
        <v>0.52672324256183245</v>
      </c>
      <c r="AB3627" t="str">
        <f>HYPERLINK("Melting_Curves/meltCurve_Q3B7J2_GFOD2.pdf", "Melting_Curves/meltCurve_Q3B7J2_GFOD2.pdf")</f>
        <v>Melting_Curves/meltCurve_Q3B7J2_GFOD2.pdf</v>
      </c>
    </row>
    <row r="3628" spans="1:28" x14ac:dyDescent="0.25">
      <c r="A3628" t="s">
        <v>3632</v>
      </c>
      <c r="B3628">
        <v>0.99673306730245903</v>
      </c>
      <c r="C3628">
        <v>0.99855620047079596</v>
      </c>
      <c r="D3628">
        <v>0.88524166511981595</v>
      </c>
      <c r="E3628">
        <v>0.77953316805760897</v>
      </c>
      <c r="F3628">
        <v>0.29811045338394199</v>
      </c>
      <c r="G3628">
        <v>0.161846169205666</v>
      </c>
      <c r="H3628">
        <v>0.101922587839332</v>
      </c>
      <c r="I3628">
        <v>7.5769321852675597E-2</v>
      </c>
      <c r="J3628">
        <v>5.8662069955820399E-2</v>
      </c>
      <c r="K3628">
        <v>4.9852818741651102E-2</v>
      </c>
      <c r="L3628">
        <v>1350.17062127131</v>
      </c>
      <c r="M3628">
        <v>26.287104517607599</v>
      </c>
      <c r="N3628">
        <v>51.645194145885</v>
      </c>
      <c r="O3628">
        <v>51.0680064786198</v>
      </c>
      <c r="P3628">
        <v>-0.120063839941322</v>
      </c>
      <c r="Q3628">
        <v>6.7017611571021804E-2</v>
      </c>
      <c r="R3628">
        <v>0.99364662951608496</v>
      </c>
      <c r="S3628" t="s">
        <v>10080</v>
      </c>
      <c r="T3628" t="s">
        <v>12902</v>
      </c>
      <c r="U3628" t="s">
        <v>12902</v>
      </c>
      <c r="V3628" t="s">
        <v>12902</v>
      </c>
      <c r="W3628" t="s">
        <v>16487</v>
      </c>
      <c r="X3628">
        <v>14</v>
      </c>
      <c r="Y3628" t="s">
        <v>22805</v>
      </c>
      <c r="Z3628" t="s">
        <v>29203</v>
      </c>
      <c r="AA3628">
        <v>0.42805232026901668</v>
      </c>
      <c r="AB3628" t="str">
        <f>HYPERLINK("Melting_Curves/meltCurve_Q3KQV9_UAP1L1.pdf", "Melting_Curves/meltCurve_Q3KQV9_UAP1L1.pdf")</f>
        <v>Melting_Curves/meltCurve_Q3KQV9_UAP1L1.pdf</v>
      </c>
    </row>
    <row r="3629" spans="1:28" x14ac:dyDescent="0.25">
      <c r="A3629" t="s">
        <v>3633</v>
      </c>
      <c r="B3629">
        <v>0.99673306730245903</v>
      </c>
      <c r="C3629">
        <v>1.0524131575864999</v>
      </c>
      <c r="D3629">
        <v>0.92333615861239504</v>
      </c>
      <c r="E3629">
        <v>0.689514162364115</v>
      </c>
      <c r="F3629">
        <v>0.36362216077370701</v>
      </c>
      <c r="G3629">
        <v>0.24163527284738101</v>
      </c>
      <c r="H3629">
        <v>0.17938603746583201</v>
      </c>
      <c r="I3629">
        <v>0.168125976914933</v>
      </c>
      <c r="J3629">
        <v>0.14127490958928601</v>
      </c>
      <c r="K3629">
        <v>0.158032027184244</v>
      </c>
      <c r="L3629">
        <v>1190.64444150331</v>
      </c>
      <c r="M3629">
        <v>23.461603486901499</v>
      </c>
      <c r="N3629">
        <v>51.583015260945203</v>
      </c>
      <c r="O3629">
        <v>50.3842617140903</v>
      </c>
      <c r="P3629">
        <v>-9.8033537485240393E-2</v>
      </c>
      <c r="Q3629">
        <v>0.1578986430705</v>
      </c>
      <c r="R3629">
        <v>0.99618622972299198</v>
      </c>
      <c r="S3629" t="s">
        <v>10081</v>
      </c>
      <c r="T3629" t="s">
        <v>12902</v>
      </c>
      <c r="U3629" t="s">
        <v>12902</v>
      </c>
      <c r="V3629" t="s">
        <v>12902</v>
      </c>
      <c r="W3629" t="s">
        <v>16488</v>
      </c>
      <c r="X3629">
        <v>2</v>
      </c>
      <c r="Y3629" t="s">
        <v>22806</v>
      </c>
      <c r="Z3629" t="s">
        <v>29204</v>
      </c>
      <c r="AA3629">
        <v>0.46821089747396832</v>
      </c>
      <c r="AB3629" t="str">
        <f>HYPERLINK("Melting_Curves/meltCurve_Q3KRA6_C2orf76.pdf", "Melting_Curves/meltCurve_Q3KRA6_C2orf76.pdf")</f>
        <v>Melting_Curves/meltCurve_Q3KRA6_C2orf76.pdf</v>
      </c>
    </row>
    <row r="3630" spans="1:28" x14ac:dyDescent="0.25">
      <c r="A3630" t="s">
        <v>3634</v>
      </c>
      <c r="B3630">
        <v>0.99673306730245903</v>
      </c>
      <c r="C3630">
        <v>1.0044817512792401</v>
      </c>
      <c r="D3630">
        <v>0.86400477603413595</v>
      </c>
      <c r="E3630">
        <v>0.68953137876433901</v>
      </c>
      <c r="F3630">
        <v>0.52687673583140504</v>
      </c>
      <c r="G3630">
        <v>0.43710052296624002</v>
      </c>
      <c r="H3630">
        <v>0.33978878376988603</v>
      </c>
      <c r="I3630">
        <v>0.38178702813596199</v>
      </c>
      <c r="J3630">
        <v>0.32985069409460299</v>
      </c>
      <c r="K3630">
        <v>0.18217534121015699</v>
      </c>
      <c r="L3630">
        <v>678.03664584994601</v>
      </c>
      <c r="M3630">
        <v>13.223336401981101</v>
      </c>
      <c r="N3630">
        <v>54.303984709928002</v>
      </c>
      <c r="O3630">
        <v>50.145651651337701</v>
      </c>
      <c r="P3630">
        <v>-4.8738282882913903E-2</v>
      </c>
      <c r="Q3630">
        <v>0.26081958395062899</v>
      </c>
      <c r="R3630">
        <v>0.97352050979558902</v>
      </c>
      <c r="S3630" t="s">
        <v>10082</v>
      </c>
      <c r="T3630" t="s">
        <v>12902</v>
      </c>
      <c r="U3630" t="s">
        <v>12902</v>
      </c>
      <c r="V3630" t="s">
        <v>12902</v>
      </c>
      <c r="W3630" t="s">
        <v>16489</v>
      </c>
      <c r="X3630">
        <v>6</v>
      </c>
      <c r="Y3630" t="s">
        <v>22807</v>
      </c>
      <c r="Z3630" t="s">
        <v>29205</v>
      </c>
      <c r="AA3630">
        <v>0.55925044704201499</v>
      </c>
      <c r="AB3630" t="str">
        <f>HYPERLINK("Melting_Curves/meltCurve_Q3KRA9_ALKBH6.pdf", "Melting_Curves/meltCurve_Q3KRA9_ALKBH6.pdf")</f>
        <v>Melting_Curves/meltCurve_Q3KRA9_ALKBH6.pdf</v>
      </c>
    </row>
    <row r="3631" spans="1:28" x14ac:dyDescent="0.25">
      <c r="A3631" t="s">
        <v>3635</v>
      </c>
      <c r="B3631">
        <v>0.99673306730245903</v>
      </c>
      <c r="C3631">
        <v>1.01044228207811</v>
      </c>
      <c r="D3631">
        <v>1.0252969179326701</v>
      </c>
      <c r="E3631">
        <v>1.0053551463858299</v>
      </c>
      <c r="F3631">
        <v>0.85720313298181094</v>
      </c>
      <c r="G3631">
        <v>0.42295941352845901</v>
      </c>
      <c r="H3631">
        <v>0.10052180338185999</v>
      </c>
      <c r="I3631">
        <v>9.5364733186316095E-2</v>
      </c>
      <c r="J3631">
        <v>9.7122637865096395E-2</v>
      </c>
      <c r="K3631">
        <v>8.6854460018128202E-2</v>
      </c>
      <c r="L3631">
        <v>2005.4867660991899</v>
      </c>
      <c r="M3631">
        <v>35.890464244471801</v>
      </c>
      <c r="N3631">
        <v>56.157539810664098</v>
      </c>
      <c r="O3631">
        <v>55.705359870943603</v>
      </c>
      <c r="P3631">
        <v>-0.14789555268069299</v>
      </c>
      <c r="Q3631">
        <v>8.1811981663277702E-2</v>
      </c>
      <c r="R3631">
        <v>0.99866672987854699</v>
      </c>
      <c r="S3631" t="s">
        <v>10083</v>
      </c>
      <c r="T3631" t="s">
        <v>12902</v>
      </c>
      <c r="U3631" t="s">
        <v>12902</v>
      </c>
      <c r="V3631" t="s">
        <v>12902</v>
      </c>
      <c r="W3631" t="s">
        <v>16490</v>
      </c>
      <c r="X3631">
        <v>31</v>
      </c>
      <c r="Y3631" t="s">
        <v>22808</v>
      </c>
      <c r="Z3631" t="s">
        <v>29206</v>
      </c>
      <c r="AA3631">
        <v>0.57213594485898833</v>
      </c>
      <c r="AB3631" t="str">
        <f>HYPERLINK("Melting_Curves/meltCurve_Q3LXA3_DAK.pdf", "Melting_Curves/meltCurve_Q3LXA3_DAK.pdf")</f>
        <v>Melting_Curves/meltCurve_Q3LXA3_DAK.pdf</v>
      </c>
    </row>
    <row r="3632" spans="1:28" x14ac:dyDescent="0.25">
      <c r="A3632" t="s">
        <v>3636</v>
      </c>
      <c r="B3632">
        <v>0.99673306730245903</v>
      </c>
      <c r="C3632">
        <v>0.88500194515609998</v>
      </c>
      <c r="D3632">
        <v>1.01253232244866</v>
      </c>
      <c r="E3632">
        <v>0.76436115014189399</v>
      </c>
      <c r="F3632">
        <v>0.42370948836112798</v>
      </c>
      <c r="G3632">
        <v>0.17858662090538299</v>
      </c>
      <c r="H3632">
        <v>9.7495311186723999E-2</v>
      </c>
      <c r="I3632">
        <v>0.102691231535807</v>
      </c>
      <c r="J3632">
        <v>0.107569651455363</v>
      </c>
      <c r="K3632">
        <v>9.9003502680608604E-2</v>
      </c>
      <c r="L3632">
        <v>1296.27397723898</v>
      </c>
      <c r="M3632">
        <v>24.984521184704001</v>
      </c>
      <c r="N3632">
        <v>52.312496444997599</v>
      </c>
      <c r="O3632">
        <v>51.5541475099417</v>
      </c>
      <c r="P3632">
        <v>-0.10992517818115199</v>
      </c>
      <c r="Q3632">
        <v>9.2715020878704604E-2</v>
      </c>
      <c r="R3632">
        <v>0.98938663994610698</v>
      </c>
      <c r="S3632" t="s">
        <v>10084</v>
      </c>
      <c r="T3632" t="s">
        <v>12902</v>
      </c>
      <c r="U3632" t="s">
        <v>12902</v>
      </c>
      <c r="V3632" t="s">
        <v>12902</v>
      </c>
      <c r="W3632" t="s">
        <v>16491</v>
      </c>
      <c r="X3632">
        <v>9</v>
      </c>
      <c r="Y3632" t="s">
        <v>22809</v>
      </c>
      <c r="Z3632" t="s">
        <v>29207</v>
      </c>
      <c r="AA3632">
        <v>0.4603760634977308</v>
      </c>
      <c r="AB3632" t="str">
        <f>HYPERLINK("Melting_Curves/meltCurve_Q3MHD2_LSM12.pdf", "Melting_Curves/meltCurve_Q3MHD2_LSM12.pdf")</f>
        <v>Melting_Curves/meltCurve_Q3MHD2_LSM12.pdf</v>
      </c>
    </row>
    <row r="3633" spans="1:28" x14ac:dyDescent="0.25">
      <c r="A3633" t="s">
        <v>3637</v>
      </c>
      <c r="B3633">
        <v>0.99673306730245903</v>
      </c>
      <c r="C3633">
        <v>0.889191356650191</v>
      </c>
      <c r="D3633">
        <v>0.99237220140063898</v>
      </c>
      <c r="E3633">
        <v>0.69181086712306294</v>
      </c>
      <c r="F3633">
        <v>0.77327749832771198</v>
      </c>
      <c r="G3633">
        <v>0.53064858380100099</v>
      </c>
      <c r="H3633">
        <v>0.49003232644460498</v>
      </c>
      <c r="I3633">
        <v>0.64475422079010802</v>
      </c>
      <c r="J3633">
        <v>0.64425683103060705</v>
      </c>
      <c r="K3633">
        <v>0.20341232027227699</v>
      </c>
      <c r="L3633">
        <v>317.17606003138297</v>
      </c>
      <c r="M3633">
        <v>5.0430183960714796</v>
      </c>
      <c r="N3633">
        <v>63.962856943011097</v>
      </c>
      <c r="O3633">
        <v>55.0016181370884</v>
      </c>
      <c r="P3633">
        <v>-2.2126837942755499E-2</v>
      </c>
      <c r="Q3633">
        <v>4.0405974783486003E-2</v>
      </c>
      <c r="R3633">
        <v>0.72004519245026299</v>
      </c>
      <c r="S3633" t="s">
        <v>10085</v>
      </c>
      <c r="T3633" t="s">
        <v>12902</v>
      </c>
      <c r="U3633" t="s">
        <v>12902</v>
      </c>
      <c r="V3633" t="s">
        <v>12902</v>
      </c>
      <c r="W3633" t="s">
        <v>16492</v>
      </c>
      <c r="X3633">
        <v>1</v>
      </c>
      <c r="Y3633" t="s">
        <v>22810</v>
      </c>
      <c r="Z3633" t="s">
        <v>29208</v>
      </c>
      <c r="AA3633">
        <v>0.68391433200929341</v>
      </c>
      <c r="AB3633" t="str">
        <f>HYPERLINK("Melting_Curves/meltCurve_Q3MIR4_TMEM30B.pdf", "Melting_Curves/meltCurve_Q3MIR4_TMEM30B.pdf")</f>
        <v>Melting_Curves/meltCurve_Q3MIR4_TMEM30B.pdf</v>
      </c>
    </row>
    <row r="3634" spans="1:28" x14ac:dyDescent="0.25">
      <c r="A3634" t="s">
        <v>3638</v>
      </c>
      <c r="B3634">
        <v>0.99673306730245903</v>
      </c>
      <c r="C3634">
        <v>0.98212788916023797</v>
      </c>
      <c r="D3634">
        <v>0.77567915614125005</v>
      </c>
      <c r="E3634">
        <v>0.53998497552274605</v>
      </c>
      <c r="F3634">
        <v>0.27364950550749001</v>
      </c>
      <c r="G3634">
        <v>0.18999898491456599</v>
      </c>
      <c r="H3634">
        <v>0.15306715844091801</v>
      </c>
      <c r="I3634">
        <v>0.16489922354410899</v>
      </c>
      <c r="J3634">
        <v>0.18536481447624401</v>
      </c>
      <c r="K3634">
        <v>0.153127961333827</v>
      </c>
      <c r="L3634">
        <v>993.70008487806604</v>
      </c>
      <c r="M3634">
        <v>20.352712381361901</v>
      </c>
      <c r="N3634">
        <v>49.727866315283201</v>
      </c>
      <c r="O3634">
        <v>48.3599511148986</v>
      </c>
      <c r="P3634">
        <v>-8.8949563651708405E-2</v>
      </c>
      <c r="Q3634">
        <v>0.154615729901035</v>
      </c>
      <c r="R3634">
        <v>0.99601065978742398</v>
      </c>
      <c r="S3634" t="s">
        <v>10086</v>
      </c>
      <c r="T3634" t="s">
        <v>12902</v>
      </c>
      <c r="U3634" t="s">
        <v>12902</v>
      </c>
      <c r="V3634" t="s">
        <v>12902</v>
      </c>
      <c r="W3634" t="s">
        <v>16493</v>
      </c>
      <c r="X3634">
        <v>3</v>
      </c>
      <c r="Y3634" t="s">
        <v>22811</v>
      </c>
      <c r="Z3634" t="s">
        <v>29209</v>
      </c>
      <c r="AA3634">
        <v>0.41471569299151601</v>
      </c>
      <c r="AB3634" t="str">
        <f>HYPERLINK("Melting_Curves/meltCurve_Q3MIT2_PUS10.pdf", "Melting_Curves/meltCurve_Q3MIT2_PUS10.pdf")</f>
        <v>Melting_Curves/meltCurve_Q3MIT2_PUS10.pdf</v>
      </c>
    </row>
    <row r="3635" spans="1:28" x14ac:dyDescent="0.25">
      <c r="A3635" t="s">
        <v>3639</v>
      </c>
      <c r="B3635">
        <v>0.99673306730245903</v>
      </c>
      <c r="C3635">
        <v>0.99544553141959102</v>
      </c>
      <c r="D3635">
        <v>0.98228675097884499</v>
      </c>
      <c r="E3635">
        <v>0.932106515545012</v>
      </c>
      <c r="F3635">
        <v>0.81399899115016905</v>
      </c>
      <c r="G3635">
        <v>0.72070891870586096</v>
      </c>
      <c r="H3635">
        <v>0.54535664096438397</v>
      </c>
      <c r="I3635">
        <v>0.30834654934896899</v>
      </c>
      <c r="J3635">
        <v>0.13393022756345399</v>
      </c>
      <c r="K3635">
        <v>9.1750791215740604E-2</v>
      </c>
      <c r="L3635">
        <v>878.05219863479704</v>
      </c>
      <c r="M3635">
        <v>14.540819777087201</v>
      </c>
      <c r="N3635">
        <v>60.385329980879497</v>
      </c>
      <c r="O3635">
        <v>59.277701890285996</v>
      </c>
      <c r="P3635">
        <v>-6.1331994992052899E-2</v>
      </c>
      <c r="Q3635">
        <v>0</v>
      </c>
      <c r="R3635">
        <v>0.98838087609556802</v>
      </c>
      <c r="S3635" t="s">
        <v>10087</v>
      </c>
      <c r="T3635" t="s">
        <v>12902</v>
      </c>
      <c r="U3635" t="s">
        <v>12902</v>
      </c>
      <c r="V3635" t="s">
        <v>12902</v>
      </c>
      <c r="W3635" t="s">
        <v>16494</v>
      </c>
      <c r="X3635">
        <v>17</v>
      </c>
      <c r="Y3635" t="s">
        <v>22812</v>
      </c>
      <c r="Z3635" t="s">
        <v>29210</v>
      </c>
      <c r="AA3635">
        <v>0.68426309562369558</v>
      </c>
      <c r="AB3635" t="str">
        <f>HYPERLINK("Melting_Curves/meltCurve_Q3SXM5_HSDL1.pdf", "Melting_Curves/meltCurve_Q3SXM5_HSDL1.pdf")</f>
        <v>Melting_Curves/meltCurve_Q3SXM5_HSDL1.pdf</v>
      </c>
    </row>
    <row r="3636" spans="1:28" x14ac:dyDescent="0.25">
      <c r="A3636" t="s">
        <v>3640</v>
      </c>
      <c r="B3636">
        <v>0.99673306730245903</v>
      </c>
      <c r="C3636">
        <v>0.87191624501848497</v>
      </c>
      <c r="D3636">
        <v>0.78150115854417201</v>
      </c>
      <c r="E3636">
        <v>0.62666390253392901</v>
      </c>
      <c r="F3636">
        <v>0.226738585266309</v>
      </c>
      <c r="G3636">
        <v>0.15359480109884899</v>
      </c>
      <c r="H3636">
        <v>9.5366216281407803E-2</v>
      </c>
      <c r="I3636">
        <v>8.9262818264293706E-2</v>
      </c>
      <c r="J3636">
        <v>9.2913783019777305E-2</v>
      </c>
      <c r="K3636">
        <v>8.0261592264440906E-2</v>
      </c>
      <c r="L3636">
        <v>839.72737981451496</v>
      </c>
      <c r="M3636">
        <v>16.895503146630301</v>
      </c>
      <c r="N3636">
        <v>50.097469801158901</v>
      </c>
      <c r="O3636">
        <v>49.020633016864998</v>
      </c>
      <c r="P3636">
        <v>-8.07812949992157E-2</v>
      </c>
      <c r="Q3636">
        <v>6.2543573520899995E-2</v>
      </c>
      <c r="R3636">
        <v>0.98531450482652205</v>
      </c>
      <c r="S3636" t="s">
        <v>10088</v>
      </c>
      <c r="T3636" t="s">
        <v>12902</v>
      </c>
      <c r="U3636" t="s">
        <v>12902</v>
      </c>
      <c r="V3636" t="s">
        <v>12902</v>
      </c>
      <c r="W3636" t="s">
        <v>16495</v>
      </c>
      <c r="X3636">
        <v>26</v>
      </c>
      <c r="Y3636" t="s">
        <v>22813</v>
      </c>
      <c r="Z3636" t="s">
        <v>29211</v>
      </c>
      <c r="AA3636">
        <v>0.38380837400193291</v>
      </c>
      <c r="AB3636" t="str">
        <f>HYPERLINK("Melting_Curves/meltCurve_Q3SY69_ALDH1L2.pdf", "Melting_Curves/meltCurve_Q3SY69_ALDH1L2.pdf")</f>
        <v>Melting_Curves/meltCurve_Q3SY69_ALDH1L2.pdf</v>
      </c>
    </row>
    <row r="3637" spans="1:28" x14ac:dyDescent="0.25">
      <c r="A3637" t="s">
        <v>3641</v>
      </c>
      <c r="B3637">
        <v>0.99673306730245903</v>
      </c>
      <c r="C3637">
        <v>0.93344980359702301</v>
      </c>
      <c r="D3637">
        <v>0.96633516761867599</v>
      </c>
      <c r="E3637">
        <v>0.927278784001206</v>
      </c>
      <c r="F3637">
        <v>0.81503542363614001</v>
      </c>
      <c r="G3637">
        <v>0.48196023538234001</v>
      </c>
      <c r="H3637">
        <v>0.148955305434265</v>
      </c>
      <c r="I3637">
        <v>0.14615444431848301</v>
      </c>
      <c r="J3637">
        <v>0.16089777157778501</v>
      </c>
      <c r="K3637">
        <v>0.15079268759168299</v>
      </c>
      <c r="L3637">
        <v>1568.3372484577999</v>
      </c>
      <c r="M3637">
        <v>28.135780933317701</v>
      </c>
      <c r="N3637">
        <v>56.342186488881602</v>
      </c>
      <c r="O3637">
        <v>55.4624261050039</v>
      </c>
      <c r="P3637">
        <v>-0.1103965670302</v>
      </c>
      <c r="Q3637">
        <v>0.12953403116027501</v>
      </c>
      <c r="R3637">
        <v>0.99075000267461899</v>
      </c>
      <c r="S3637" t="s">
        <v>10089</v>
      </c>
      <c r="T3637" t="s">
        <v>12902</v>
      </c>
      <c r="U3637" t="s">
        <v>12902</v>
      </c>
      <c r="V3637" t="s">
        <v>12902</v>
      </c>
      <c r="W3637" t="s">
        <v>16496</v>
      </c>
      <c r="X3637">
        <v>19</v>
      </c>
      <c r="Y3637" t="s">
        <v>22814</v>
      </c>
      <c r="Z3637" t="s">
        <v>29212</v>
      </c>
      <c r="AA3637">
        <v>0.59280903362524917</v>
      </c>
      <c r="AB3637" t="str">
        <f>HYPERLINK("Melting_Curves/meltCurve_Q3YEC7_RABL6.pdf", "Melting_Curves/meltCurve_Q3YEC7_RABL6.pdf")</f>
        <v>Melting_Curves/meltCurve_Q3YEC7_RABL6.pdf</v>
      </c>
    </row>
    <row r="3638" spans="1:28" x14ac:dyDescent="0.25">
      <c r="A3638" t="s">
        <v>3642</v>
      </c>
      <c r="B3638">
        <v>0.99673306730245903</v>
      </c>
      <c r="C3638">
        <v>0.92170671079072997</v>
      </c>
      <c r="D3638">
        <v>0.81252557113515</v>
      </c>
      <c r="E3638">
        <v>0.84759307246261495</v>
      </c>
      <c r="F3638">
        <v>0.55412685590350597</v>
      </c>
      <c r="G3638">
        <v>0.41902972062180799</v>
      </c>
      <c r="H3638">
        <v>0.30375125808134401</v>
      </c>
      <c r="I3638">
        <v>0.55601186248873802</v>
      </c>
      <c r="J3638">
        <v>0.394898168943147</v>
      </c>
      <c r="K3638">
        <v>0.373137085984594</v>
      </c>
      <c r="L3638">
        <v>822.45733037702496</v>
      </c>
      <c r="M3638">
        <v>16.262963778627501</v>
      </c>
      <c r="N3638">
        <v>55.489546066989703</v>
      </c>
      <c r="O3638">
        <v>49.826307809353203</v>
      </c>
      <c r="P3638">
        <v>-5.0458410511962697E-2</v>
      </c>
      <c r="Q3638">
        <v>0.381669628450096</v>
      </c>
      <c r="R3638">
        <v>0.89427644217441504</v>
      </c>
      <c r="S3638" t="s">
        <v>10090</v>
      </c>
      <c r="T3638" t="s">
        <v>12902</v>
      </c>
      <c r="U3638" t="s">
        <v>12902</v>
      </c>
      <c r="V3638" t="s">
        <v>12902</v>
      </c>
      <c r="W3638" t="s">
        <v>16497</v>
      </c>
      <c r="X3638">
        <v>1</v>
      </c>
      <c r="Y3638" t="s">
        <v>22815</v>
      </c>
      <c r="Z3638" t="s">
        <v>29213</v>
      </c>
      <c r="AA3638">
        <v>0.61215859064351208</v>
      </c>
      <c r="AB3638" t="str">
        <f>HYPERLINK("Melting_Curves/meltCurve_Q3ZAQ7_VMA21.pdf", "Melting_Curves/meltCurve_Q3ZAQ7_VMA21.pdf")</f>
        <v>Melting_Curves/meltCurve_Q3ZAQ7_VMA21.pdf</v>
      </c>
    </row>
    <row r="3639" spans="1:28" x14ac:dyDescent="0.25">
      <c r="A3639" t="s">
        <v>3643</v>
      </c>
      <c r="B3639">
        <v>0.99673306730245903</v>
      </c>
      <c r="C3639">
        <v>1.067353398901</v>
      </c>
      <c r="D3639">
        <v>1.1561631818292999</v>
      </c>
      <c r="E3639">
        <v>1.20056520563529</v>
      </c>
      <c r="F3639">
        <v>0.95404486356651996</v>
      </c>
      <c r="G3639">
        <v>0.630948098434991</v>
      </c>
      <c r="H3639">
        <v>0.24892452088751801</v>
      </c>
      <c r="I3639">
        <v>6.4770386816307701E-2</v>
      </c>
      <c r="J3639">
        <v>4.6186312461251801E-2</v>
      </c>
      <c r="K3639">
        <v>3.9019183939280201E-2</v>
      </c>
      <c r="L3639">
        <v>1786.3104349074099</v>
      </c>
      <c r="M3639">
        <v>30.848570209738501</v>
      </c>
      <c r="N3639">
        <v>58.040447022110101</v>
      </c>
      <c r="O3639">
        <v>57.664076009166003</v>
      </c>
      <c r="P3639">
        <v>-0.12912417286682101</v>
      </c>
      <c r="Q3639">
        <v>3.4537763310018399E-2</v>
      </c>
      <c r="R3639">
        <v>0.96621736741856801</v>
      </c>
      <c r="S3639" t="s">
        <v>10091</v>
      </c>
      <c r="T3639" t="s">
        <v>12902</v>
      </c>
      <c r="U3639" t="s">
        <v>12902</v>
      </c>
      <c r="V3639" t="s">
        <v>12902</v>
      </c>
      <c r="W3639" t="s">
        <v>16498</v>
      </c>
      <c r="X3639">
        <v>12</v>
      </c>
      <c r="Y3639" t="s">
        <v>22816</v>
      </c>
      <c r="Z3639" t="s">
        <v>29214</v>
      </c>
      <c r="AA3639">
        <v>0.61685715934146235</v>
      </c>
      <c r="AB3639" t="str">
        <f>HYPERLINK("Melting_Curves/meltCurve_Q3ZCM7_TUBB8.pdf", "Melting_Curves/meltCurve_Q3ZCM7_TUBB8.pdf")</f>
        <v>Melting_Curves/meltCurve_Q3ZCM7_TUBB8.pdf</v>
      </c>
    </row>
    <row r="3640" spans="1:28" x14ac:dyDescent="0.25">
      <c r="A3640" t="s">
        <v>3644</v>
      </c>
      <c r="B3640">
        <v>0.99673306730245903</v>
      </c>
      <c r="C3640">
        <v>0.89474903922687399</v>
      </c>
      <c r="D3640">
        <v>0.80106549166752405</v>
      </c>
      <c r="E3640">
        <v>0.64771635113924397</v>
      </c>
      <c r="F3640">
        <v>0.32497141227534299</v>
      </c>
      <c r="G3640">
        <v>0.19273176740991499</v>
      </c>
      <c r="H3640">
        <v>0.12776172057627</v>
      </c>
      <c r="I3640">
        <v>0.130936897702362</v>
      </c>
      <c r="J3640">
        <v>0.13660227612597001</v>
      </c>
      <c r="K3640">
        <v>0.111981816394705</v>
      </c>
      <c r="L3640">
        <v>806.32036497653598</v>
      </c>
      <c r="M3640">
        <v>16.086557422131602</v>
      </c>
      <c r="N3640">
        <v>50.802754852558103</v>
      </c>
      <c r="O3640">
        <v>49.368466888987598</v>
      </c>
      <c r="P3640">
        <v>-7.3588616819290895E-2</v>
      </c>
      <c r="Q3640">
        <v>9.6717054243268596E-2</v>
      </c>
      <c r="R3640">
        <v>0.99198362171083998</v>
      </c>
      <c r="S3640" t="s">
        <v>10092</v>
      </c>
      <c r="T3640" t="s">
        <v>12902</v>
      </c>
      <c r="U3640" t="s">
        <v>12902</v>
      </c>
      <c r="V3640" t="s">
        <v>12902</v>
      </c>
      <c r="W3640" t="s">
        <v>16499</v>
      </c>
      <c r="X3640">
        <v>11</v>
      </c>
      <c r="Y3640" t="s">
        <v>22817</v>
      </c>
      <c r="Z3640" t="s">
        <v>29215</v>
      </c>
      <c r="AA3640">
        <v>0.42047720108756181</v>
      </c>
      <c r="AB3640" t="str">
        <f>HYPERLINK("Melting_Curves/meltCurve_Q3ZCQ8_TIMM50.pdf", "Melting_Curves/meltCurve_Q3ZCQ8_TIMM50.pdf")</f>
        <v>Melting_Curves/meltCurve_Q3ZCQ8_TIMM50.pdf</v>
      </c>
    </row>
    <row r="3641" spans="1:28" x14ac:dyDescent="0.25">
      <c r="A3641" t="s">
        <v>3645</v>
      </c>
      <c r="B3641">
        <v>0.99673306730245903</v>
      </c>
      <c r="C3641">
        <v>1.01668796348763</v>
      </c>
      <c r="D3641">
        <v>0.94285148383112904</v>
      </c>
      <c r="E3641">
        <v>0.847625418254353</v>
      </c>
      <c r="F3641">
        <v>0.57331769080532102</v>
      </c>
      <c r="G3641">
        <v>0.213655804934653</v>
      </c>
      <c r="H3641">
        <v>9.1002769902568406E-2</v>
      </c>
      <c r="I3641">
        <v>8.2169457771751997E-2</v>
      </c>
      <c r="J3641">
        <v>6.0416666722801701E-2</v>
      </c>
      <c r="K3641">
        <v>5.0849452215239198E-2</v>
      </c>
      <c r="L3641">
        <v>1242.89731510253</v>
      </c>
      <c r="M3641">
        <v>23.2682982395011</v>
      </c>
      <c r="N3641">
        <v>53.645852367868898</v>
      </c>
      <c r="O3641">
        <v>53.026061003092401</v>
      </c>
      <c r="P3641">
        <v>-0.10449742420090199</v>
      </c>
      <c r="Q3641">
        <v>4.7461459025093702E-2</v>
      </c>
      <c r="R3641">
        <v>0.99784026154162198</v>
      </c>
      <c r="S3641" t="s">
        <v>10093</v>
      </c>
      <c r="T3641" t="s">
        <v>12902</v>
      </c>
      <c r="U3641" t="s">
        <v>12902</v>
      </c>
      <c r="V3641" t="s">
        <v>12902</v>
      </c>
      <c r="W3641" t="s">
        <v>16500</v>
      </c>
      <c r="X3641">
        <v>4</v>
      </c>
      <c r="Y3641" t="s">
        <v>22818</v>
      </c>
      <c r="Z3641" t="s">
        <v>29216</v>
      </c>
      <c r="AA3641">
        <v>0.48346170830631618</v>
      </c>
      <c r="AB3641" t="str">
        <f>HYPERLINK("Melting_Curves/meltCurve_Q3ZCW2_LGALSL.pdf", "Melting_Curves/meltCurve_Q3ZCW2_LGALSL.pdf")</f>
        <v>Melting_Curves/meltCurve_Q3ZCW2_LGALSL.pdf</v>
      </c>
    </row>
    <row r="3642" spans="1:28" x14ac:dyDescent="0.25">
      <c r="A3642" t="s">
        <v>3646</v>
      </c>
      <c r="B3642">
        <v>0.99673306730245903</v>
      </c>
      <c r="C3642">
        <v>1.0170172285211501</v>
      </c>
      <c r="D3642">
        <v>0.94371908776590196</v>
      </c>
      <c r="E3642">
        <v>0.87442947771857504</v>
      </c>
      <c r="F3642">
        <v>0.54127696054118901</v>
      </c>
      <c r="G3642">
        <v>0.30053775376270597</v>
      </c>
      <c r="H3642">
        <v>0.19469690724767899</v>
      </c>
      <c r="I3642">
        <v>0.16114688656205101</v>
      </c>
      <c r="J3642">
        <v>0.19716371272952801</v>
      </c>
      <c r="K3642">
        <v>0.14750084897149801</v>
      </c>
      <c r="L3642">
        <v>1281.9805178367101</v>
      </c>
      <c r="M3642">
        <v>24.2491205019268</v>
      </c>
      <c r="N3642">
        <v>53.738323368997499</v>
      </c>
      <c r="O3642">
        <v>52.511466082666203</v>
      </c>
      <c r="P3642">
        <v>-9.6684402256608903E-2</v>
      </c>
      <c r="Q3642">
        <v>0.16253210286772399</v>
      </c>
      <c r="R3642">
        <v>0.99745793053710596</v>
      </c>
      <c r="S3642" t="s">
        <v>10094</v>
      </c>
      <c r="T3642" t="s">
        <v>12902</v>
      </c>
      <c r="U3642" t="s">
        <v>12902</v>
      </c>
      <c r="V3642" t="s">
        <v>12902</v>
      </c>
      <c r="W3642" t="s">
        <v>16501</v>
      </c>
      <c r="X3642">
        <v>5</v>
      </c>
      <c r="Y3642" t="s">
        <v>22819</v>
      </c>
      <c r="Z3642" t="s">
        <v>29217</v>
      </c>
      <c r="AA3642">
        <v>0.52988133732881004</v>
      </c>
      <c r="AB3642" t="str">
        <f>HYPERLINK("Melting_Curves/meltCurve_Q495W5_2_FUT11.pdf", "Melting_Curves/meltCurve_Q495W5_2_FUT11.pdf")</f>
        <v>Melting_Curves/meltCurve_Q495W5_2_FUT11.pdf</v>
      </c>
    </row>
    <row r="3643" spans="1:28" x14ac:dyDescent="0.25">
      <c r="A3643" t="s">
        <v>3647</v>
      </c>
      <c r="B3643">
        <v>0.99673306730245903</v>
      </c>
      <c r="C3643">
        <v>0.93202357140028902</v>
      </c>
      <c r="D3643">
        <v>0.88634580960153198</v>
      </c>
      <c r="E3643">
        <v>0.80529231793614797</v>
      </c>
      <c r="F3643">
        <v>0.80445481673626595</v>
      </c>
      <c r="G3643">
        <v>0.62360454848314195</v>
      </c>
      <c r="H3643">
        <v>0.42807142944724702</v>
      </c>
      <c r="I3643">
        <v>0.53019738887921897</v>
      </c>
      <c r="J3643">
        <v>0.45209002460058001</v>
      </c>
      <c r="K3643">
        <v>0.383321336759196</v>
      </c>
      <c r="L3643">
        <v>482.19260292292898</v>
      </c>
      <c r="M3643">
        <v>8.5877146348652005</v>
      </c>
      <c r="N3643">
        <v>62.394331007328297</v>
      </c>
      <c r="O3643">
        <v>53.353183939343403</v>
      </c>
      <c r="P3643">
        <v>-2.8662490055195201E-2</v>
      </c>
      <c r="Q3643">
        <v>0.28832727831717803</v>
      </c>
      <c r="R3643">
        <v>0.95198773021477301</v>
      </c>
      <c r="S3643" t="s">
        <v>10095</v>
      </c>
      <c r="T3643" t="s">
        <v>12902</v>
      </c>
      <c r="U3643" t="s">
        <v>12902</v>
      </c>
      <c r="V3643" t="s">
        <v>12902</v>
      </c>
      <c r="W3643" t="s">
        <v>16502</v>
      </c>
      <c r="X3643">
        <v>2</v>
      </c>
      <c r="Y3643" t="s">
        <v>22820</v>
      </c>
      <c r="Z3643" t="s">
        <v>29218</v>
      </c>
      <c r="AA3643">
        <v>0.68528334939464952</v>
      </c>
      <c r="AB3643" t="str">
        <f>HYPERLINK("Melting_Curves/meltCurve_Q49AH0_2_CDNF.pdf", "Melting_Curves/meltCurve_Q49AH0_2_CDNF.pdf")</f>
        <v>Melting_Curves/meltCurve_Q49AH0_2_CDNF.pdf</v>
      </c>
    </row>
    <row r="3644" spans="1:28" x14ac:dyDescent="0.25">
      <c r="A3644" t="s">
        <v>3648</v>
      </c>
      <c r="B3644">
        <v>0.99673306730245903</v>
      </c>
      <c r="C3644">
        <v>0.91797402669535799</v>
      </c>
      <c r="D3644">
        <v>0.81630039021887302</v>
      </c>
      <c r="E3644">
        <v>0.64603624068542098</v>
      </c>
      <c r="F3644">
        <v>0.48426176922202102</v>
      </c>
      <c r="G3644">
        <v>0.30584290468932901</v>
      </c>
      <c r="H3644">
        <v>0.16337345971048101</v>
      </c>
      <c r="I3644">
        <v>0.14707335325235399</v>
      </c>
      <c r="J3644">
        <v>0.13783289598121001</v>
      </c>
      <c r="K3644">
        <v>0.14025017551472899</v>
      </c>
      <c r="L3644">
        <v>635.83742972006496</v>
      </c>
      <c r="M3644">
        <v>12.333547869997499</v>
      </c>
      <c r="N3644">
        <v>52.306809897471503</v>
      </c>
      <c r="O3644">
        <v>50.254431170153701</v>
      </c>
      <c r="P3644">
        <v>-5.6375086550307298E-2</v>
      </c>
      <c r="Q3644">
        <v>8.1372694592971098E-2</v>
      </c>
      <c r="R3644">
        <v>0.99614655703858201</v>
      </c>
      <c r="S3644" t="s">
        <v>10096</v>
      </c>
      <c r="T3644" t="s">
        <v>12902</v>
      </c>
      <c r="U3644" t="s">
        <v>12902</v>
      </c>
      <c r="V3644" t="s">
        <v>12902</v>
      </c>
      <c r="W3644" t="s">
        <v>16503</v>
      </c>
      <c r="X3644">
        <v>1</v>
      </c>
      <c r="Y3644" t="s">
        <v>22821</v>
      </c>
      <c r="Z3644" t="s">
        <v>29219</v>
      </c>
      <c r="AA3644">
        <v>0.46303277528636588</v>
      </c>
      <c r="AB3644" t="str">
        <f>HYPERLINK("Melting_Curves/meltCurve_Q49AQ3_LASS5.pdf", "Melting_Curves/meltCurve_Q49AQ3_LASS5.pdf")</f>
        <v>Melting_Curves/meltCurve_Q49AQ3_LASS5.pdf</v>
      </c>
    </row>
    <row r="3645" spans="1:28" x14ac:dyDescent="0.25">
      <c r="A3645" t="s">
        <v>3649</v>
      </c>
      <c r="B3645">
        <v>0.99673306730245903</v>
      </c>
      <c r="C3645">
        <v>0.976283457248734</v>
      </c>
      <c r="D3645">
        <v>1.0494111253687199</v>
      </c>
      <c r="E3645">
        <v>0.85988877511234896</v>
      </c>
      <c r="F3645">
        <v>0.48747956184049601</v>
      </c>
      <c r="G3645">
        <v>0.28486773558211698</v>
      </c>
      <c r="H3645">
        <v>0.15919069803612301</v>
      </c>
      <c r="I3645">
        <v>0.13008550787859199</v>
      </c>
      <c r="J3645">
        <v>0.122667138709386</v>
      </c>
      <c r="K3645">
        <v>0.133394903675319</v>
      </c>
      <c r="L3645">
        <v>1368.4048368221199</v>
      </c>
      <c r="M3645">
        <v>25.968700986872499</v>
      </c>
      <c r="N3645">
        <v>53.321719931249802</v>
      </c>
      <c r="O3645">
        <v>52.384891634510097</v>
      </c>
      <c r="P3645">
        <v>-0.10762017064777001</v>
      </c>
      <c r="Q3645">
        <v>0.131630691209564</v>
      </c>
      <c r="R3645">
        <v>0.99489645176248798</v>
      </c>
      <c r="S3645" t="s">
        <v>10097</v>
      </c>
      <c r="T3645" t="s">
        <v>12902</v>
      </c>
      <c r="U3645" t="s">
        <v>12902</v>
      </c>
      <c r="V3645" t="s">
        <v>12902</v>
      </c>
      <c r="W3645" t="s">
        <v>16504</v>
      </c>
      <c r="X3645">
        <v>9</v>
      </c>
      <c r="Y3645" t="s">
        <v>22822</v>
      </c>
      <c r="Z3645" t="s">
        <v>29220</v>
      </c>
      <c r="AA3645">
        <v>0.50649818317952888</v>
      </c>
      <c r="AB3645" t="str">
        <f>HYPERLINK("Melting_Curves/meltCurve_Q49AR2_C5orf22.pdf", "Melting_Curves/meltCurve_Q49AR2_C5orf22.pdf")</f>
        <v>Melting_Curves/meltCurve_Q49AR2_C5orf22.pdf</v>
      </c>
    </row>
    <row r="3646" spans="1:28" x14ac:dyDescent="0.25">
      <c r="A3646" t="s">
        <v>3650</v>
      </c>
      <c r="B3646">
        <v>0.99673306730245903</v>
      </c>
      <c r="C3646">
        <v>1.0304057981950501</v>
      </c>
      <c r="D3646">
        <v>1.03876669572375</v>
      </c>
      <c r="E3646">
        <v>1.01481432493961</v>
      </c>
      <c r="F3646">
        <v>0.85983202733184405</v>
      </c>
      <c r="G3646">
        <v>0.68092413586066403</v>
      </c>
      <c r="H3646">
        <v>0.54620008394847097</v>
      </c>
      <c r="I3646">
        <v>0.91259713473513904</v>
      </c>
      <c r="J3646">
        <v>1.39237692631203</v>
      </c>
      <c r="K3646">
        <v>1.24862939659523</v>
      </c>
      <c r="L3646">
        <v>8435.7932249659207</v>
      </c>
      <c r="M3646">
        <v>128.65521201483699</v>
      </c>
      <c r="O3646">
        <v>65.553158333755604</v>
      </c>
      <c r="P3646">
        <v>0.15926258258026199</v>
      </c>
      <c r="Q3646">
        <v>1.3245936137037899</v>
      </c>
      <c r="R3646">
        <v>0.35305190067222603</v>
      </c>
      <c r="S3646" t="s">
        <v>10098</v>
      </c>
      <c r="T3646" t="s">
        <v>12902</v>
      </c>
      <c r="U3646" t="s">
        <v>12902</v>
      </c>
      <c r="V3646" t="s">
        <v>12902</v>
      </c>
      <c r="W3646" t="s">
        <v>16505</v>
      </c>
      <c r="X3646">
        <v>8</v>
      </c>
      <c r="Y3646" t="s">
        <v>22823</v>
      </c>
      <c r="Z3646" t="s">
        <v>29221</v>
      </c>
      <c r="AA3646">
        <v>1.047803239551883</v>
      </c>
      <c r="AB3646" t="str">
        <f>HYPERLINK("Melting_Curves/meltCurve_Q49B96_COX19.pdf", "Melting_Curves/meltCurve_Q49B96_COX19.pdf")</f>
        <v>Melting_Curves/meltCurve_Q49B96_COX19.pdf</v>
      </c>
    </row>
    <row r="3647" spans="1:28" x14ac:dyDescent="0.25">
      <c r="A3647" t="s">
        <v>3651</v>
      </c>
      <c r="B3647">
        <v>0.99673306730245903</v>
      </c>
      <c r="C3647">
        <v>0.921281342867037</v>
      </c>
      <c r="D3647">
        <v>0.96806174358594399</v>
      </c>
      <c r="E3647">
        <v>0.99844179616789297</v>
      </c>
      <c r="F3647">
        <v>0.60415740862020795</v>
      </c>
      <c r="G3647">
        <v>0.32944632872190099</v>
      </c>
      <c r="H3647">
        <v>0.149711698161024</v>
      </c>
      <c r="I3647">
        <v>0.11807375555659</v>
      </c>
      <c r="J3647">
        <v>0.12518488813125001</v>
      </c>
      <c r="K3647">
        <v>0.12916271759697201</v>
      </c>
      <c r="L3647">
        <v>1527.51013415544</v>
      </c>
      <c r="M3647">
        <v>28.3254148528614</v>
      </c>
      <c r="N3647">
        <v>54.470332332122901</v>
      </c>
      <c r="O3647">
        <v>53.660554870263297</v>
      </c>
      <c r="P3647">
        <v>-0.115731026073763</v>
      </c>
      <c r="Q3647">
        <v>0.123029254154413</v>
      </c>
      <c r="R3647">
        <v>0.99003360725595801</v>
      </c>
      <c r="S3647" t="s">
        <v>10099</v>
      </c>
      <c r="T3647" t="s">
        <v>12902</v>
      </c>
      <c r="U3647" t="s">
        <v>12902</v>
      </c>
      <c r="V3647" t="s">
        <v>12902</v>
      </c>
      <c r="W3647" t="s">
        <v>16506</v>
      </c>
      <c r="X3647">
        <v>7</v>
      </c>
      <c r="Y3647" t="s">
        <v>22824</v>
      </c>
      <c r="Z3647" t="s">
        <v>29222</v>
      </c>
      <c r="AA3647">
        <v>0.53658002892859746</v>
      </c>
      <c r="AB3647" t="str">
        <f>HYPERLINK("Melting_Curves/meltCurve_Q4G0F5_VPS26B.pdf", "Melting_Curves/meltCurve_Q4G0F5_VPS26B.pdf")</f>
        <v>Melting_Curves/meltCurve_Q4G0F5_VPS26B.pdf</v>
      </c>
    </row>
    <row r="3648" spans="1:28" x14ac:dyDescent="0.25">
      <c r="A3648" t="s">
        <v>3652</v>
      </c>
      <c r="B3648">
        <v>0.99673306730245903</v>
      </c>
      <c r="C3648">
        <v>0.98058948474413599</v>
      </c>
      <c r="D3648">
        <v>0.93896762571051495</v>
      </c>
      <c r="E3648">
        <v>0.81769973585932099</v>
      </c>
      <c r="F3648">
        <v>0.70869837883255704</v>
      </c>
      <c r="G3648">
        <v>0.54796467057637199</v>
      </c>
      <c r="H3648">
        <v>0.429956426965171</v>
      </c>
      <c r="I3648">
        <v>0.52750129869557305</v>
      </c>
      <c r="J3648">
        <v>0.61658631003546505</v>
      </c>
      <c r="K3648">
        <v>0.67879731617337702</v>
      </c>
      <c r="L3648">
        <v>1186.6529033684401</v>
      </c>
      <c r="M3648">
        <v>23.509332188993898</v>
      </c>
      <c r="O3648">
        <v>50.114859595807303</v>
      </c>
      <c r="P3648">
        <v>-5.1719088814464201E-2</v>
      </c>
      <c r="Q3648">
        <v>0.55900910772954004</v>
      </c>
      <c r="R3648">
        <v>0.88509657820004695</v>
      </c>
      <c r="S3648" t="s">
        <v>10100</v>
      </c>
      <c r="T3648" t="s">
        <v>12902</v>
      </c>
      <c r="U3648" t="s">
        <v>12902</v>
      </c>
      <c r="V3648" t="s">
        <v>12902</v>
      </c>
      <c r="W3648" t="s">
        <v>16507</v>
      </c>
      <c r="X3648">
        <v>3</v>
      </c>
      <c r="Y3648" t="s">
        <v>22825</v>
      </c>
      <c r="Z3648" t="s">
        <v>29223</v>
      </c>
      <c r="AA3648">
        <v>0.71747523380987055</v>
      </c>
      <c r="AB3648" t="str">
        <f>HYPERLINK("Melting_Curves/meltCurve_Q4G0I0_CCSMST1.pdf", "Melting_Curves/meltCurve_Q4G0I0_CCSMST1.pdf")</f>
        <v>Melting_Curves/meltCurve_Q4G0I0_CCSMST1.pdf</v>
      </c>
    </row>
    <row r="3649" spans="1:28" x14ac:dyDescent="0.25">
      <c r="A3649" t="s">
        <v>3653</v>
      </c>
      <c r="B3649">
        <v>0.99673306730245903</v>
      </c>
      <c r="C3649">
        <v>1.02795052405662</v>
      </c>
      <c r="D3649">
        <v>0.99806990185014499</v>
      </c>
      <c r="E3649">
        <v>1.06330686487154</v>
      </c>
      <c r="F3649">
        <v>0.873669270289259</v>
      </c>
      <c r="G3649">
        <v>0.64078248702821605</v>
      </c>
      <c r="H3649">
        <v>0.124879978800986</v>
      </c>
      <c r="I3649">
        <v>9.5356186623183098E-2</v>
      </c>
      <c r="J3649">
        <v>8.8593941990176006E-2</v>
      </c>
      <c r="K3649">
        <v>7.64815067658592E-2</v>
      </c>
      <c r="L3649">
        <v>2131.8664786613699</v>
      </c>
      <c r="M3649">
        <v>37.2047766688775</v>
      </c>
      <c r="N3649">
        <v>57.531255413285699</v>
      </c>
      <c r="O3649">
        <v>57.136086760097598</v>
      </c>
      <c r="P3649">
        <v>-0.151524886199777</v>
      </c>
      <c r="Q3649">
        <v>6.9203896090357403E-2</v>
      </c>
      <c r="R3649">
        <v>0.99222734702339899</v>
      </c>
      <c r="S3649" t="s">
        <v>10101</v>
      </c>
      <c r="T3649" t="s">
        <v>12902</v>
      </c>
      <c r="U3649" t="s">
        <v>12902</v>
      </c>
      <c r="V3649" t="s">
        <v>12902</v>
      </c>
      <c r="W3649" t="s">
        <v>16508</v>
      </c>
      <c r="X3649">
        <v>25</v>
      </c>
      <c r="Y3649" t="s">
        <v>22826</v>
      </c>
      <c r="Z3649" t="s">
        <v>29224</v>
      </c>
      <c r="AA3649">
        <v>0.61016936854775394</v>
      </c>
      <c r="AB3649" t="str">
        <f>HYPERLINK("Melting_Curves/meltCurve_Q4G0N4_NADKD1.pdf", "Melting_Curves/meltCurve_Q4G0N4_NADKD1.pdf")</f>
        <v>Melting_Curves/meltCurve_Q4G0N4_NADKD1.pdf</v>
      </c>
    </row>
    <row r="3650" spans="1:28" x14ac:dyDescent="0.25">
      <c r="A3650" t="s">
        <v>3654</v>
      </c>
      <c r="B3650">
        <v>0.99673306730245903</v>
      </c>
      <c r="C3650">
        <v>0.94350020864449602</v>
      </c>
      <c r="D3650">
        <v>0.94974405281855001</v>
      </c>
      <c r="E3650">
        <v>0.95145865940343299</v>
      </c>
      <c r="F3650">
        <v>0.78366074412603404</v>
      </c>
      <c r="G3650">
        <v>0.70083290326962</v>
      </c>
      <c r="H3650">
        <v>0.60394561375822498</v>
      </c>
      <c r="I3650">
        <v>0.98859366050128294</v>
      </c>
      <c r="J3650">
        <v>0.34969724328239798</v>
      </c>
      <c r="K3650">
        <v>0.31867996493260597</v>
      </c>
      <c r="L3650">
        <v>462.14797011195202</v>
      </c>
      <c r="M3650">
        <v>6.8932984602760401</v>
      </c>
      <c r="N3650">
        <v>67.043081423194806</v>
      </c>
      <c r="O3650">
        <v>62.082015651164198</v>
      </c>
      <c r="P3650">
        <v>-2.7813278788122599E-2</v>
      </c>
      <c r="Q3650">
        <v>0</v>
      </c>
      <c r="R3650">
        <v>0.64040085895333898</v>
      </c>
      <c r="S3650" t="s">
        <v>10102</v>
      </c>
      <c r="T3650" t="s">
        <v>12902</v>
      </c>
      <c r="U3650" t="s">
        <v>12902</v>
      </c>
      <c r="V3650" t="s">
        <v>12902</v>
      </c>
      <c r="W3650" t="s">
        <v>16509</v>
      </c>
      <c r="X3650">
        <v>1</v>
      </c>
      <c r="Y3650" t="s">
        <v>22827</v>
      </c>
      <c r="Z3650" t="s">
        <v>29225</v>
      </c>
      <c r="AA3650">
        <v>0.77707189292356571</v>
      </c>
      <c r="AB3650" t="str">
        <f>HYPERLINK("Melting_Curves/meltCurve_Q4G0X9_3_CCDC40.pdf", "Melting_Curves/meltCurve_Q4G0X9_3_CCDC40.pdf")</f>
        <v>Melting_Curves/meltCurve_Q4G0X9_3_CCDC40.pdf</v>
      </c>
    </row>
    <row r="3651" spans="1:28" x14ac:dyDescent="0.25">
      <c r="A3651" t="s">
        <v>3655</v>
      </c>
      <c r="B3651">
        <v>0.99673306730245903</v>
      </c>
      <c r="C3651">
        <v>0.89813236875172797</v>
      </c>
      <c r="D3651">
        <v>0.99464487292714299</v>
      </c>
      <c r="E3651">
        <v>0.870204597474589</v>
      </c>
      <c r="F3651">
        <v>0.429201024841257</v>
      </c>
      <c r="G3651">
        <v>0.22850753430148699</v>
      </c>
      <c r="H3651">
        <v>0.14198054080095501</v>
      </c>
      <c r="I3651">
        <v>0.14378152373380401</v>
      </c>
      <c r="J3651">
        <v>0.15619886411411801</v>
      </c>
      <c r="K3651">
        <v>0.156421119908634</v>
      </c>
      <c r="L3651">
        <v>1692.87027740291</v>
      </c>
      <c r="M3651">
        <v>32.486678695143503</v>
      </c>
      <c r="N3651">
        <v>52.692790076916801</v>
      </c>
      <c r="O3651">
        <v>51.913413516764699</v>
      </c>
      <c r="P3651">
        <v>-0.132824982942602</v>
      </c>
      <c r="Q3651">
        <v>0.15099162773330599</v>
      </c>
      <c r="R3651">
        <v>0.99161178766667102</v>
      </c>
      <c r="S3651" t="s">
        <v>10103</v>
      </c>
      <c r="T3651" t="s">
        <v>12902</v>
      </c>
      <c r="U3651" t="s">
        <v>12902</v>
      </c>
      <c r="V3651" t="s">
        <v>12902</v>
      </c>
      <c r="W3651" t="s">
        <v>16510</v>
      </c>
      <c r="X3651">
        <v>2</v>
      </c>
      <c r="Y3651" t="s">
        <v>22828</v>
      </c>
      <c r="Z3651" t="s">
        <v>29226</v>
      </c>
      <c r="AA3651">
        <v>0.4983370546398499</v>
      </c>
      <c r="AB3651" t="str">
        <f>HYPERLINK("Melting_Curves/meltCurve_Q4G148_2_GXYLT1.pdf", "Melting_Curves/meltCurve_Q4G148_2_GXYLT1.pdf")</f>
        <v>Melting_Curves/meltCurve_Q4G148_2_GXYLT1.pdf</v>
      </c>
    </row>
    <row r="3652" spans="1:28" x14ac:dyDescent="0.25">
      <c r="A3652" t="s">
        <v>3656</v>
      </c>
      <c r="B3652">
        <v>0.99673306730245903</v>
      </c>
      <c r="C3652">
        <v>0.980850495247513</v>
      </c>
      <c r="D3652">
        <v>0.88101430099043698</v>
      </c>
      <c r="E3652">
        <v>0.49487102021259899</v>
      </c>
      <c r="F3652">
        <v>0.22845030593973401</v>
      </c>
      <c r="G3652">
        <v>0.15264562778326499</v>
      </c>
      <c r="H3652">
        <v>0.121699911095871</v>
      </c>
      <c r="I3652">
        <v>0.123506186117813</v>
      </c>
      <c r="J3652">
        <v>0.14790227685094701</v>
      </c>
      <c r="K3652">
        <v>0.144596981632719</v>
      </c>
      <c r="L3652">
        <v>1351.25629412743</v>
      </c>
      <c r="M3652">
        <v>27.564674636567101</v>
      </c>
      <c r="N3652">
        <v>49.580930051070098</v>
      </c>
      <c r="O3652">
        <v>48.765474763659199</v>
      </c>
      <c r="P3652">
        <v>-0.122421478430567</v>
      </c>
      <c r="Q3652">
        <v>0.133690184501327</v>
      </c>
      <c r="R3652">
        <v>0.99942167081240496</v>
      </c>
      <c r="S3652" t="s">
        <v>10104</v>
      </c>
      <c r="T3652" t="s">
        <v>12902</v>
      </c>
      <c r="U3652" t="s">
        <v>12902</v>
      </c>
      <c r="V3652" t="s">
        <v>12902</v>
      </c>
      <c r="W3652" t="s">
        <v>16511</v>
      </c>
      <c r="X3652">
        <v>16</v>
      </c>
      <c r="Y3652" t="s">
        <v>22829</v>
      </c>
      <c r="Z3652" t="s">
        <v>29227</v>
      </c>
      <c r="AA3652">
        <v>0.40047807658536078</v>
      </c>
      <c r="AB3652" t="str">
        <f>HYPERLINK("Melting_Curves/meltCurve_Q4G176_ACSF3.pdf", "Melting_Curves/meltCurve_Q4G176_ACSF3.pdf")</f>
        <v>Melting_Curves/meltCurve_Q4G176_ACSF3.pdf</v>
      </c>
    </row>
    <row r="3653" spans="1:28" x14ac:dyDescent="0.25">
      <c r="A3653" t="s">
        <v>3657</v>
      </c>
      <c r="B3653">
        <v>0.99673306730245903</v>
      </c>
      <c r="C3653">
        <v>0.909213323709681</v>
      </c>
      <c r="D3653">
        <v>0.82554463125930599</v>
      </c>
      <c r="E3653">
        <v>0.73190801094883295</v>
      </c>
      <c r="F3653">
        <v>0.48353605785208198</v>
      </c>
      <c r="G3653">
        <v>0.19763443495619001</v>
      </c>
      <c r="H3653">
        <v>9.9000715882942403E-2</v>
      </c>
      <c r="I3653">
        <v>9.47189421035705E-2</v>
      </c>
      <c r="J3653">
        <v>0.112469212186563</v>
      </c>
      <c r="K3653">
        <v>9.1731279467924198E-2</v>
      </c>
      <c r="L3653">
        <v>796.60121621197504</v>
      </c>
      <c r="M3653">
        <v>15.3367247546595</v>
      </c>
      <c r="N3653">
        <v>52.300547946101403</v>
      </c>
      <c r="O3653">
        <v>51.081720237358702</v>
      </c>
      <c r="P3653">
        <v>-7.1308538380430095E-2</v>
      </c>
      <c r="Q3653">
        <v>5.0064317722437003E-2</v>
      </c>
      <c r="R3653">
        <v>0.98700805858197105</v>
      </c>
      <c r="S3653" t="s">
        <v>10105</v>
      </c>
      <c r="T3653" t="s">
        <v>12902</v>
      </c>
      <c r="U3653" t="s">
        <v>12902</v>
      </c>
      <c r="V3653" t="s">
        <v>12902</v>
      </c>
      <c r="W3653" t="s">
        <v>16512</v>
      </c>
      <c r="X3653">
        <v>23</v>
      </c>
      <c r="Y3653" t="s">
        <v>22830</v>
      </c>
      <c r="Z3653" t="s">
        <v>29228</v>
      </c>
      <c r="AA3653">
        <v>0.44872541925988169</v>
      </c>
      <c r="AB3653" t="str">
        <f>HYPERLINK("Melting_Curves/meltCurve_Q4J6C6_4_PREPL.pdf", "Melting_Curves/meltCurve_Q4J6C6_4_PREPL.pdf")</f>
        <v>Melting_Curves/meltCurve_Q4J6C6_4_PREPL.pdf</v>
      </c>
    </row>
    <row r="3654" spans="1:28" x14ac:dyDescent="0.25">
      <c r="A3654" t="s">
        <v>3658</v>
      </c>
      <c r="B3654">
        <v>0.99673306730245903</v>
      </c>
      <c r="C3654">
        <v>1.0455945410388801</v>
      </c>
      <c r="D3654">
        <v>1.0218508065199099</v>
      </c>
      <c r="E3654">
        <v>0.84118520744761405</v>
      </c>
      <c r="F3654">
        <v>0.44074432827483301</v>
      </c>
      <c r="G3654">
        <v>0.28823957660109101</v>
      </c>
      <c r="H3654">
        <v>0.18683161320959299</v>
      </c>
      <c r="I3654">
        <v>0.20536652325735399</v>
      </c>
      <c r="J3654">
        <v>0.24720916629261799</v>
      </c>
      <c r="K3654">
        <v>0.218279188926915</v>
      </c>
      <c r="L3654">
        <v>1680.96606994627</v>
      </c>
      <c r="M3654">
        <v>32.487195887664697</v>
      </c>
      <c r="N3654">
        <v>52.672667840268701</v>
      </c>
      <c r="O3654">
        <v>51.547556927427401</v>
      </c>
      <c r="P3654">
        <v>-0.123164939586289</v>
      </c>
      <c r="Q3654">
        <v>0.218298772617773</v>
      </c>
      <c r="R3654">
        <v>0.99476509034808402</v>
      </c>
      <c r="S3654" t="s">
        <v>10106</v>
      </c>
      <c r="T3654" t="s">
        <v>12902</v>
      </c>
      <c r="U3654" t="s">
        <v>12902</v>
      </c>
      <c r="V3654" t="s">
        <v>12902</v>
      </c>
      <c r="W3654" t="s">
        <v>16513</v>
      </c>
      <c r="X3654">
        <v>7</v>
      </c>
      <c r="Y3654" t="s">
        <v>16513</v>
      </c>
      <c r="Z3654" t="s">
        <v>29229</v>
      </c>
      <c r="AA3654">
        <v>0.52851120853477551</v>
      </c>
      <c r="AB3654" t="str">
        <f>HYPERLINK("Melting_Curves/meltCurve_Q4JM47_AGR2.pdf", "Melting_Curves/meltCurve_Q4JM47_AGR2.pdf")</f>
        <v>Melting_Curves/meltCurve_Q4JM47_AGR2.pdf</v>
      </c>
    </row>
    <row r="3655" spans="1:28" x14ac:dyDescent="0.25">
      <c r="A3655" t="s">
        <v>3659</v>
      </c>
      <c r="B3655">
        <v>0.99673306730245903</v>
      </c>
      <c r="C3655">
        <v>1.0093022775423199</v>
      </c>
      <c r="D3655">
        <v>0.91977293408140803</v>
      </c>
      <c r="E3655">
        <v>0.79896204531562598</v>
      </c>
      <c r="F3655">
        <v>0.33715380208892498</v>
      </c>
      <c r="G3655">
        <v>0.18689062267880699</v>
      </c>
      <c r="H3655">
        <v>0.13333275690233801</v>
      </c>
      <c r="I3655">
        <v>0.133177102516183</v>
      </c>
      <c r="J3655">
        <v>0.120542241366008</v>
      </c>
      <c r="K3655">
        <v>0.102526136840494</v>
      </c>
      <c r="L3655">
        <v>1533.26075087392</v>
      </c>
      <c r="M3655">
        <v>29.832657300977701</v>
      </c>
      <c r="N3655">
        <v>51.877432612719801</v>
      </c>
      <c r="O3655">
        <v>51.166101522648198</v>
      </c>
      <c r="P3655">
        <v>-0.128119560233318</v>
      </c>
      <c r="Q3655">
        <v>0.12105251722627799</v>
      </c>
      <c r="R3655">
        <v>0.99679631286847004</v>
      </c>
      <c r="S3655" t="s">
        <v>10107</v>
      </c>
      <c r="T3655" t="s">
        <v>12902</v>
      </c>
      <c r="U3655" t="s">
        <v>12902</v>
      </c>
      <c r="V3655" t="s">
        <v>12902</v>
      </c>
      <c r="W3655" t="s">
        <v>16514</v>
      </c>
      <c r="X3655">
        <v>14</v>
      </c>
      <c r="Y3655" t="s">
        <v>22831</v>
      </c>
      <c r="Z3655" t="s">
        <v>29230</v>
      </c>
      <c r="AA3655">
        <v>0.46054168640979459</v>
      </c>
      <c r="AB3655" t="str">
        <f>HYPERLINK("Melting_Curves/meltCurve_Q4KMP7_TBC1D10B.pdf", "Melting_Curves/meltCurve_Q4KMP7_TBC1D10B.pdf")</f>
        <v>Melting_Curves/meltCurve_Q4KMP7_TBC1D10B.pdf</v>
      </c>
    </row>
    <row r="3656" spans="1:28" x14ac:dyDescent="0.25">
      <c r="A3656" t="s">
        <v>3660</v>
      </c>
      <c r="B3656">
        <v>0.99673306730245903</v>
      </c>
      <c r="C3656">
        <v>0.98711292029522701</v>
      </c>
      <c r="D3656">
        <v>1.01956787625998</v>
      </c>
      <c r="E3656">
        <v>0.90233995131608702</v>
      </c>
      <c r="F3656">
        <v>0.506847315187131</v>
      </c>
      <c r="G3656">
        <v>0.22557394931174199</v>
      </c>
      <c r="H3656">
        <v>0.153438465806847</v>
      </c>
      <c r="I3656">
        <v>0.12778464538901901</v>
      </c>
      <c r="J3656">
        <v>0.11851685353696401</v>
      </c>
      <c r="K3656">
        <v>7.9425033824684799E-2</v>
      </c>
      <c r="L3656">
        <v>1581.4337521074201</v>
      </c>
      <c r="M3656">
        <v>29.902609220211399</v>
      </c>
      <c r="N3656">
        <v>53.351062071379197</v>
      </c>
      <c r="O3656">
        <v>52.651330059950901</v>
      </c>
      <c r="P3656">
        <v>-0.125699995358421</v>
      </c>
      <c r="Q3656">
        <v>0.114695858291769</v>
      </c>
      <c r="R3656">
        <v>0.99798061648801395</v>
      </c>
      <c r="S3656" t="s">
        <v>10108</v>
      </c>
      <c r="T3656" t="s">
        <v>12902</v>
      </c>
      <c r="U3656" t="s">
        <v>12902</v>
      </c>
      <c r="V3656" t="s">
        <v>12902</v>
      </c>
      <c r="W3656" t="s">
        <v>16515</v>
      </c>
      <c r="X3656">
        <v>2</v>
      </c>
      <c r="Y3656" t="s">
        <v>22832</v>
      </c>
      <c r="Z3656" t="s">
        <v>29231</v>
      </c>
      <c r="AA3656">
        <v>0.50073646655509896</v>
      </c>
      <c r="AB3656" t="str">
        <f>HYPERLINK("Melting_Curves/meltCurve_Q4KWH8_3_PLCH1.pdf", "Melting_Curves/meltCurve_Q4KWH8_3_PLCH1.pdf")</f>
        <v>Melting_Curves/meltCurve_Q4KWH8_3_PLCH1.pdf</v>
      </c>
    </row>
    <row r="3657" spans="1:28" x14ac:dyDescent="0.25">
      <c r="A3657" t="s">
        <v>3661</v>
      </c>
      <c r="B3657">
        <v>0.99673306730245903</v>
      </c>
      <c r="C3657">
        <v>1.00729417471467</v>
      </c>
      <c r="D3657">
        <v>0.96212452718123398</v>
      </c>
      <c r="E3657">
        <v>0.841215449259482</v>
      </c>
      <c r="F3657">
        <v>0.42844518505034201</v>
      </c>
      <c r="G3657">
        <v>0.10497280046425</v>
      </c>
      <c r="H3657">
        <v>5.2727397809334102E-2</v>
      </c>
      <c r="I3657">
        <v>3.88829435123067E-2</v>
      </c>
      <c r="J3657">
        <v>5.7122767798597797E-2</v>
      </c>
      <c r="K3657">
        <v>9.9938745751156299E-2</v>
      </c>
      <c r="L3657">
        <v>1603.5038267936</v>
      </c>
      <c r="M3657">
        <v>30.640355617622099</v>
      </c>
      <c r="N3657">
        <v>52.5279410491462</v>
      </c>
      <c r="O3657">
        <v>52.111665143077303</v>
      </c>
      <c r="P3657">
        <v>-0.13909758662587901</v>
      </c>
      <c r="Q3657">
        <v>5.3723279320179097E-2</v>
      </c>
      <c r="R3657">
        <v>0.99745677381223496</v>
      </c>
      <c r="S3657" t="s">
        <v>10109</v>
      </c>
      <c r="T3657" t="s">
        <v>12902</v>
      </c>
      <c r="U3657" t="s">
        <v>12902</v>
      </c>
      <c r="V3657" t="s">
        <v>12902</v>
      </c>
      <c r="W3657" t="s">
        <v>16516</v>
      </c>
      <c r="X3657">
        <v>2</v>
      </c>
      <c r="Y3657" t="s">
        <v>22833</v>
      </c>
      <c r="Z3657" t="s">
        <v>29232</v>
      </c>
      <c r="AA3657">
        <v>0.44856830289853539</v>
      </c>
      <c r="AB3657" t="str">
        <f>HYPERLINK("Melting_Curves/meltCurve_Q4LDG9_3_DNAL1.pdf", "Melting_Curves/meltCurve_Q4LDG9_3_DNAL1.pdf")</f>
        <v>Melting_Curves/meltCurve_Q4LDG9_3_DNAL1.pdf</v>
      </c>
    </row>
    <row r="3658" spans="1:28" x14ac:dyDescent="0.25">
      <c r="A3658" t="s">
        <v>3662</v>
      </c>
      <c r="B3658">
        <v>0.99673306730245903</v>
      </c>
      <c r="C3658">
        <v>0.85390032174760999</v>
      </c>
      <c r="D3658">
        <v>1.0083267288470501</v>
      </c>
      <c r="E3658">
        <v>0.60269460036328804</v>
      </c>
      <c r="F3658">
        <v>0.74877800007939099</v>
      </c>
      <c r="G3658">
        <v>0.33512409864217502</v>
      </c>
      <c r="H3658">
        <v>0.246012000870792</v>
      </c>
      <c r="I3658">
        <v>0.34555871367913499</v>
      </c>
      <c r="J3658">
        <v>0.52539950189881102</v>
      </c>
      <c r="K3658">
        <v>0.50982426851645202</v>
      </c>
      <c r="L3658">
        <v>947.143504034285</v>
      </c>
      <c r="M3658">
        <v>18.910210602728299</v>
      </c>
      <c r="N3658">
        <v>54.676754014807102</v>
      </c>
      <c r="O3658">
        <v>49.536336156770702</v>
      </c>
      <c r="P3658">
        <v>-5.7474578735299299E-2</v>
      </c>
      <c r="Q3658">
        <v>0.39779334005067102</v>
      </c>
      <c r="R3658">
        <v>0.77032724440876899</v>
      </c>
      <c r="S3658" t="s">
        <v>10110</v>
      </c>
      <c r="T3658" t="s">
        <v>12902</v>
      </c>
      <c r="U3658" t="s">
        <v>12902</v>
      </c>
      <c r="V3658" t="s">
        <v>12902</v>
      </c>
      <c r="W3658" t="s">
        <v>16517</v>
      </c>
      <c r="X3658">
        <v>2</v>
      </c>
      <c r="Y3658" t="s">
        <v>22834</v>
      </c>
      <c r="Z3658" t="s">
        <v>29233</v>
      </c>
      <c r="AA3658">
        <v>0.60960080787315363</v>
      </c>
      <c r="AB3658" t="str">
        <f>HYPERLINK("Melting_Curves/meltCurve_Q4LE39_3_ARID4B.pdf", "Melting_Curves/meltCurve_Q4LE39_3_ARID4B.pdf")</f>
        <v>Melting_Curves/meltCurve_Q4LE39_3_ARID4B.pdf</v>
      </c>
    </row>
    <row r="3659" spans="1:28" x14ac:dyDescent="0.25">
      <c r="A3659" t="s">
        <v>3663</v>
      </c>
      <c r="B3659">
        <v>0.99673306730245903</v>
      </c>
      <c r="C3659">
        <v>0.92354840087864698</v>
      </c>
      <c r="D3659">
        <v>0.56112406770819301</v>
      </c>
      <c r="E3659">
        <v>0.50443308689632604</v>
      </c>
      <c r="F3659">
        <v>0.43406523648024398</v>
      </c>
      <c r="G3659">
        <v>0.35346941322692998</v>
      </c>
      <c r="H3659">
        <v>0.29014267797753102</v>
      </c>
      <c r="I3659">
        <v>0.52211858160370805</v>
      </c>
      <c r="J3659">
        <v>0.50812695705981203</v>
      </c>
      <c r="K3659">
        <v>0.55297633833420201</v>
      </c>
      <c r="L3659">
        <v>1952.9119487016901</v>
      </c>
      <c r="M3659">
        <v>43.761471980797502</v>
      </c>
      <c r="N3659">
        <v>47.1148790936914</v>
      </c>
      <c r="O3659">
        <v>44.533395665892499</v>
      </c>
      <c r="P3659">
        <v>-0.13500820586535001</v>
      </c>
      <c r="Q3659">
        <v>0.45044211922926503</v>
      </c>
      <c r="R3659">
        <v>0.877163804742638</v>
      </c>
      <c r="S3659" t="s">
        <v>10111</v>
      </c>
      <c r="T3659" t="s">
        <v>12902</v>
      </c>
      <c r="U3659" t="s">
        <v>12902</v>
      </c>
      <c r="V3659" t="s">
        <v>12902</v>
      </c>
      <c r="W3659" t="s">
        <v>16518</v>
      </c>
      <c r="X3659">
        <v>15</v>
      </c>
      <c r="Y3659" t="s">
        <v>22835</v>
      </c>
      <c r="Z3659" t="s">
        <v>29234</v>
      </c>
      <c r="AA3659">
        <v>0.53669497138396549</v>
      </c>
      <c r="AB3659" t="str">
        <f>HYPERLINK("Melting_Curves/meltCurve_Q4V328_GRIPAP1.pdf", "Melting_Curves/meltCurve_Q4V328_GRIPAP1.pdf")</f>
        <v>Melting_Curves/meltCurve_Q4V328_GRIPAP1.pdf</v>
      </c>
    </row>
    <row r="3660" spans="1:28" x14ac:dyDescent="0.25">
      <c r="A3660" t="s">
        <v>3664</v>
      </c>
      <c r="B3660">
        <v>0.99673306730245903</v>
      </c>
      <c r="C3660">
        <v>0.96501881053852601</v>
      </c>
      <c r="D3660">
        <v>0.81849436678665499</v>
      </c>
      <c r="E3660">
        <v>0.73391841464496499</v>
      </c>
      <c r="F3660">
        <v>0.63576480759349296</v>
      </c>
      <c r="G3660">
        <v>0.58767377034606205</v>
      </c>
      <c r="H3660">
        <v>0.59244553603842798</v>
      </c>
      <c r="I3660">
        <v>1.0248667681616099</v>
      </c>
      <c r="J3660">
        <v>1.81606560818822</v>
      </c>
      <c r="K3660">
        <v>2.0115605878736398</v>
      </c>
      <c r="L3660">
        <v>15000</v>
      </c>
      <c r="M3660">
        <v>231.51223827594299</v>
      </c>
      <c r="O3660">
        <v>64.786549870010205</v>
      </c>
      <c r="P3660">
        <v>0.44668263637201</v>
      </c>
      <c r="Q3660">
        <v>1.5</v>
      </c>
      <c r="R3660">
        <v>0.58612555791573095</v>
      </c>
      <c r="S3660" t="s">
        <v>10112</v>
      </c>
      <c r="T3660" t="s">
        <v>12902</v>
      </c>
      <c r="U3660" t="s">
        <v>12902</v>
      </c>
      <c r="V3660" t="s">
        <v>12902</v>
      </c>
      <c r="W3660" t="s">
        <v>16519</v>
      </c>
      <c r="X3660">
        <v>6</v>
      </c>
      <c r="Y3660" t="s">
        <v>22836</v>
      </c>
      <c r="Z3660" t="s">
        <v>29235</v>
      </c>
      <c r="AA3660">
        <v>1.0867438474291089</v>
      </c>
      <c r="AB3660" t="str">
        <f>HYPERLINK("Melting_Curves/meltCurve_Q4VC05_BCL7A.pdf", "Melting_Curves/meltCurve_Q4VC05_BCL7A.pdf")</f>
        <v>Melting_Curves/meltCurve_Q4VC05_BCL7A.pdf</v>
      </c>
    </row>
    <row r="3661" spans="1:28" x14ac:dyDescent="0.25">
      <c r="A3661" t="s">
        <v>3665</v>
      </c>
      <c r="B3661">
        <v>0.99673306730245903</v>
      </c>
      <c r="C3661">
        <v>0.85932325661103703</v>
      </c>
      <c r="D3661">
        <v>0.67759589494675798</v>
      </c>
      <c r="E3661">
        <v>0.38412240939567699</v>
      </c>
      <c r="F3661">
        <v>0.245312399447742</v>
      </c>
      <c r="G3661">
        <v>0.17347160192153899</v>
      </c>
      <c r="H3661">
        <v>0.11891103862091799</v>
      </c>
      <c r="I3661">
        <v>0.14571158788765901</v>
      </c>
      <c r="J3661">
        <v>0.23403745900244399</v>
      </c>
      <c r="K3661">
        <v>0.231217708929361</v>
      </c>
      <c r="L3661">
        <v>947.66510422216402</v>
      </c>
      <c r="M3661">
        <v>20.219812731841401</v>
      </c>
      <c r="N3661">
        <v>47.887480476064198</v>
      </c>
      <c r="O3661">
        <v>46.41693727122</v>
      </c>
      <c r="P3661">
        <v>-8.9861633542886496E-2</v>
      </c>
      <c r="Q3661">
        <v>0.17487429948928701</v>
      </c>
      <c r="R3661">
        <v>0.98508779300276506</v>
      </c>
      <c r="S3661" t="s">
        <v>10113</v>
      </c>
      <c r="T3661" t="s">
        <v>12902</v>
      </c>
      <c r="U3661" t="s">
        <v>12902</v>
      </c>
      <c r="V3661" t="s">
        <v>12902</v>
      </c>
      <c r="W3661" t="s">
        <v>16520</v>
      </c>
      <c r="X3661">
        <v>7</v>
      </c>
      <c r="Y3661" t="s">
        <v>22837</v>
      </c>
      <c r="Z3661" t="s">
        <v>29236</v>
      </c>
      <c r="AA3661">
        <v>0.37563175296076939</v>
      </c>
      <c r="AB3661" t="str">
        <f>HYPERLINK("Melting_Curves/meltCurve_Q4VCS5_AMOT.pdf", "Melting_Curves/meltCurve_Q4VCS5_AMOT.pdf")</f>
        <v>Melting_Curves/meltCurve_Q4VCS5_AMOT.pdf</v>
      </c>
    </row>
    <row r="3662" spans="1:28" x14ac:dyDescent="0.25">
      <c r="A3662" t="s">
        <v>3666</v>
      </c>
      <c r="B3662">
        <v>0.99673306730245903</v>
      </c>
      <c r="C3662">
        <v>1.0175039492542399</v>
      </c>
      <c r="D3662">
        <v>0.88527978252677497</v>
      </c>
      <c r="E3662">
        <v>0.68823455879934103</v>
      </c>
      <c r="F3662">
        <v>0.37188244330821701</v>
      </c>
      <c r="G3662">
        <v>0.227206065454927</v>
      </c>
      <c r="H3662">
        <v>0.14436331972076999</v>
      </c>
      <c r="I3662">
        <v>0.12490020154924</v>
      </c>
      <c r="J3662">
        <v>0.105399700276606</v>
      </c>
      <c r="K3662">
        <v>7.5729330383088905E-2</v>
      </c>
      <c r="L3662">
        <v>968.51360870036899</v>
      </c>
      <c r="M3662">
        <v>18.9321729562967</v>
      </c>
      <c r="N3662">
        <v>51.724032579020196</v>
      </c>
      <c r="O3662">
        <v>50.5965137082936</v>
      </c>
      <c r="P3662">
        <v>-8.4782288558388999E-2</v>
      </c>
      <c r="Q3662">
        <v>9.3708934014437598E-2</v>
      </c>
      <c r="R3662">
        <v>0.99760584648218198</v>
      </c>
      <c r="S3662" t="s">
        <v>10114</v>
      </c>
      <c r="T3662" t="s">
        <v>12902</v>
      </c>
      <c r="U3662" t="s">
        <v>12902</v>
      </c>
      <c r="V3662" t="s">
        <v>12902</v>
      </c>
      <c r="W3662" t="s">
        <v>16521</v>
      </c>
      <c r="X3662">
        <v>3</v>
      </c>
      <c r="Y3662" t="s">
        <v>22838</v>
      </c>
      <c r="Z3662" t="s">
        <v>29237</v>
      </c>
      <c r="AA3662">
        <v>0.44467274262548218</v>
      </c>
      <c r="AB3662" t="str">
        <f>HYPERLINK("Melting_Curves/meltCurve_Q4VXZ8_DECR2.pdf", "Melting_Curves/meltCurve_Q4VXZ8_DECR2.pdf")</f>
        <v>Melting_Curves/meltCurve_Q4VXZ8_DECR2.pdf</v>
      </c>
    </row>
    <row r="3663" spans="1:28" x14ac:dyDescent="0.25">
      <c r="A3663" t="s">
        <v>3667</v>
      </c>
      <c r="B3663">
        <v>0.99673306730245903</v>
      </c>
      <c r="C3663">
        <v>0.99995185304460799</v>
      </c>
      <c r="D3663">
        <v>0.92443834294551397</v>
      </c>
      <c r="E3663">
        <v>0.71303696243536796</v>
      </c>
      <c r="F3663">
        <v>0.72210420197075698</v>
      </c>
      <c r="G3663">
        <v>0.43226254653040003</v>
      </c>
      <c r="H3663">
        <v>0.28821362210052198</v>
      </c>
      <c r="I3663">
        <v>0.28878390501551998</v>
      </c>
      <c r="J3663">
        <v>0.113843645079323</v>
      </c>
      <c r="K3663">
        <v>7.2667300756698E-2</v>
      </c>
      <c r="L3663">
        <v>597.81587978013499</v>
      </c>
      <c r="M3663">
        <v>10.6570447913028</v>
      </c>
      <c r="N3663">
        <v>56.095856031710099</v>
      </c>
      <c r="O3663">
        <v>54.228814779154298</v>
      </c>
      <c r="P3663">
        <v>-4.9148715004026899E-2</v>
      </c>
      <c r="Q3663">
        <v>0</v>
      </c>
      <c r="R3663">
        <v>0.97786524283923903</v>
      </c>
      <c r="S3663" t="s">
        <v>10115</v>
      </c>
      <c r="T3663" t="s">
        <v>12902</v>
      </c>
      <c r="U3663" t="s">
        <v>12902</v>
      </c>
      <c r="V3663" t="s">
        <v>12902</v>
      </c>
      <c r="W3663" t="s">
        <v>16522</v>
      </c>
      <c r="X3663">
        <v>3</v>
      </c>
      <c r="Y3663" t="s">
        <v>22839</v>
      </c>
      <c r="Z3663" t="s">
        <v>29238</v>
      </c>
      <c r="AA3663">
        <v>0.55712913133774433</v>
      </c>
      <c r="AB3663" t="str">
        <f>HYPERLINK("Melting_Curves/meltCurve_Q4ZIN3_2_TMEM259.pdf", "Melting_Curves/meltCurve_Q4ZIN3_2_TMEM259.pdf")</f>
        <v>Melting_Curves/meltCurve_Q4ZIN3_2_TMEM259.pdf</v>
      </c>
    </row>
    <row r="3664" spans="1:28" x14ac:dyDescent="0.25">
      <c r="A3664" t="s">
        <v>3668</v>
      </c>
      <c r="B3664">
        <v>0.99673306730245903</v>
      </c>
      <c r="C3664">
        <v>0.81884940715766497</v>
      </c>
      <c r="D3664">
        <v>0.61065538412758802</v>
      </c>
      <c r="E3664">
        <v>0.28267881378860299</v>
      </c>
      <c r="F3664">
        <v>0.21883576858381301</v>
      </c>
      <c r="G3664">
        <v>0.115773979011175</v>
      </c>
      <c r="H3664">
        <v>4.4505996833001799E-2</v>
      </c>
      <c r="I3664">
        <v>5.5123121227312402E-2</v>
      </c>
      <c r="J3664">
        <v>5.50126389036752E-2</v>
      </c>
      <c r="K3664">
        <v>2.3673227960702699E-2</v>
      </c>
      <c r="L3664">
        <v>771.09024992645004</v>
      </c>
      <c r="M3664">
        <v>16.4196306401222</v>
      </c>
      <c r="N3664">
        <v>47.221472469848401</v>
      </c>
      <c r="O3664">
        <v>46.281508707371103</v>
      </c>
      <c r="P3664">
        <v>-8.4867206220942903E-2</v>
      </c>
      <c r="Q3664">
        <v>4.32177896843196E-2</v>
      </c>
      <c r="R3664">
        <v>0.99237684890969802</v>
      </c>
      <c r="S3664" t="s">
        <v>10116</v>
      </c>
      <c r="T3664" t="s">
        <v>12902</v>
      </c>
      <c r="U3664" t="s">
        <v>12902</v>
      </c>
      <c r="V3664" t="s">
        <v>12902</v>
      </c>
      <c r="W3664" t="s">
        <v>16523</v>
      </c>
      <c r="X3664">
        <v>2</v>
      </c>
      <c r="Y3664" t="s">
        <v>22840</v>
      </c>
      <c r="Z3664" t="s">
        <v>29239</v>
      </c>
      <c r="AA3664">
        <v>0.28679850268738438</v>
      </c>
      <c r="AB3664" t="str">
        <f>HYPERLINK("Melting_Curves/meltCurve_Q504Q3_2_PAN2.pdf", "Melting_Curves/meltCurve_Q504Q3_2_PAN2.pdf")</f>
        <v>Melting_Curves/meltCurve_Q504Q3_2_PAN2.pdf</v>
      </c>
    </row>
    <row r="3665" spans="1:28" x14ac:dyDescent="0.25">
      <c r="A3665" t="s">
        <v>3669</v>
      </c>
      <c r="B3665">
        <v>0.99673306730245903</v>
      </c>
      <c r="C3665">
        <v>0.88303291564502195</v>
      </c>
      <c r="D3665">
        <v>0.81868482660101105</v>
      </c>
      <c r="E3665">
        <v>0.87656140548768802</v>
      </c>
      <c r="F3665">
        <v>0.73896751300415198</v>
      </c>
      <c r="G3665">
        <v>0.86424800353112297</v>
      </c>
      <c r="H3665">
        <v>0.51290626427178299</v>
      </c>
      <c r="I3665">
        <v>0.83800679244214304</v>
      </c>
      <c r="J3665">
        <v>0.91107731346502796</v>
      </c>
      <c r="K3665">
        <v>0.872275150966899</v>
      </c>
      <c r="L3665">
        <v>1643.0344664991001</v>
      </c>
      <c r="M3665">
        <v>38.554070490580699</v>
      </c>
      <c r="O3665">
        <v>42.502198220737</v>
      </c>
      <c r="P3665">
        <v>-4.4847475337863298E-2</v>
      </c>
      <c r="Q3665">
        <v>0.80224016069295201</v>
      </c>
      <c r="R3665">
        <v>0.23878925880006799</v>
      </c>
      <c r="S3665" t="s">
        <v>10117</v>
      </c>
      <c r="T3665" t="s">
        <v>12902</v>
      </c>
      <c r="U3665" t="s">
        <v>12902</v>
      </c>
      <c r="V3665" t="s">
        <v>12902</v>
      </c>
      <c r="W3665" t="s">
        <v>16524</v>
      </c>
      <c r="X3665">
        <v>1</v>
      </c>
      <c r="Y3665" t="s">
        <v>22841</v>
      </c>
      <c r="Z3665" t="s">
        <v>29240</v>
      </c>
      <c r="AA3665">
        <v>0.82058787335096239</v>
      </c>
      <c r="AB3665" t="str">
        <f>HYPERLINK("Melting_Curves/meltCurve_Q52LA3_LIN52.pdf", "Melting_Curves/meltCurve_Q52LA3_LIN52.pdf")</f>
        <v>Melting_Curves/meltCurve_Q52LA3_LIN52.pdf</v>
      </c>
    </row>
    <row r="3666" spans="1:28" x14ac:dyDescent="0.25">
      <c r="A3666" t="s">
        <v>3670</v>
      </c>
      <c r="B3666">
        <v>0.99673306730245903</v>
      </c>
      <c r="C3666">
        <v>0.85508146070688495</v>
      </c>
      <c r="D3666">
        <v>0.90557639463263295</v>
      </c>
      <c r="E3666">
        <v>0.93182050222714796</v>
      </c>
      <c r="F3666">
        <v>0.31890021536471702</v>
      </c>
      <c r="G3666">
        <v>0.20966350772037901</v>
      </c>
      <c r="H3666">
        <v>0.114762309159277</v>
      </c>
      <c r="I3666">
        <v>0.117301800512548</v>
      </c>
      <c r="J3666">
        <v>0.135383127651929</v>
      </c>
      <c r="K3666">
        <v>0.118409339360364</v>
      </c>
      <c r="L3666">
        <v>2579.59681596564</v>
      </c>
      <c r="M3666">
        <v>49.733219924718597</v>
      </c>
      <c r="N3666">
        <v>52.199645436461502</v>
      </c>
      <c r="O3666">
        <v>51.785023079981002</v>
      </c>
      <c r="P3666">
        <v>-0.20762862146257399</v>
      </c>
      <c r="Q3666">
        <v>0.13522229111964801</v>
      </c>
      <c r="R3666">
        <v>0.975160631912808</v>
      </c>
      <c r="S3666" t="s">
        <v>10118</v>
      </c>
      <c r="T3666" t="s">
        <v>12902</v>
      </c>
      <c r="U3666" t="s">
        <v>12902</v>
      </c>
      <c r="V3666" t="s">
        <v>12902</v>
      </c>
      <c r="W3666" t="s">
        <v>16525</v>
      </c>
      <c r="X3666">
        <v>16</v>
      </c>
      <c r="Y3666" t="s">
        <v>22842</v>
      </c>
      <c r="Z3666" t="s">
        <v>29241</v>
      </c>
      <c r="AA3666">
        <v>0.47934798858219357</v>
      </c>
      <c r="AB3666" t="str">
        <f>HYPERLINK("Melting_Curves/meltCurve_Q52LJ0_2_FAM98B.pdf", "Melting_Curves/meltCurve_Q52LJ0_2_FAM98B.pdf")</f>
        <v>Melting_Curves/meltCurve_Q52LJ0_2_FAM98B.pdf</v>
      </c>
    </row>
    <row r="3667" spans="1:28" x14ac:dyDescent="0.25">
      <c r="A3667" t="s">
        <v>3671</v>
      </c>
      <c r="B3667">
        <v>0.99673306730245903</v>
      </c>
      <c r="C3667">
        <v>1.0326173979292901</v>
      </c>
      <c r="D3667">
        <v>0.90336440910987303</v>
      </c>
      <c r="E3667">
        <v>0.81132890481299602</v>
      </c>
      <c r="F3667">
        <v>0.229260969887117</v>
      </c>
      <c r="G3667">
        <v>0.13902600226199799</v>
      </c>
      <c r="H3667">
        <v>7.0610695466031506E-2</v>
      </c>
      <c r="I3667">
        <v>5.5937303696028402E-2</v>
      </c>
      <c r="J3667">
        <v>5.5666620297826701E-2</v>
      </c>
      <c r="K3667">
        <v>4.7609230308919698E-2</v>
      </c>
      <c r="L3667">
        <v>1940.4498159719201</v>
      </c>
      <c r="M3667">
        <v>37.871137439103798</v>
      </c>
      <c r="N3667">
        <v>51.4292224160559</v>
      </c>
      <c r="O3667">
        <v>51.095987169090201</v>
      </c>
      <c r="P3667">
        <v>-0.17313892057108399</v>
      </c>
      <c r="Q3667">
        <v>6.5601814360122093E-2</v>
      </c>
      <c r="R3667">
        <v>0.99296281795095098</v>
      </c>
      <c r="S3667" t="s">
        <v>10119</v>
      </c>
      <c r="T3667" t="s">
        <v>12902</v>
      </c>
      <c r="U3667" t="s">
        <v>12902</v>
      </c>
      <c r="V3667" t="s">
        <v>12902</v>
      </c>
      <c r="W3667" t="s">
        <v>16526</v>
      </c>
      <c r="X3667">
        <v>12</v>
      </c>
      <c r="Y3667" t="s">
        <v>22843</v>
      </c>
      <c r="Z3667" t="s">
        <v>29242</v>
      </c>
      <c r="AA3667">
        <v>0.4193284030176464</v>
      </c>
      <c r="AB3667" t="str">
        <f>HYPERLINK("Melting_Curves/meltCurve_Q53EL6_2_PDCD4.pdf", "Melting_Curves/meltCurve_Q53EL6_2_PDCD4.pdf")</f>
        <v>Melting_Curves/meltCurve_Q53EL6_2_PDCD4.pdf</v>
      </c>
    </row>
    <row r="3668" spans="1:28" x14ac:dyDescent="0.25">
      <c r="A3668" t="s">
        <v>3672</v>
      </c>
      <c r="B3668">
        <v>0.99673306730245903</v>
      </c>
      <c r="C3668">
        <v>0.80387568069585102</v>
      </c>
      <c r="D3668">
        <v>0.49699881510634403</v>
      </c>
      <c r="E3668">
        <v>0.38534929675241397</v>
      </c>
      <c r="F3668">
        <v>0.33379252168696499</v>
      </c>
      <c r="G3668">
        <v>0.257765626196511</v>
      </c>
      <c r="H3668">
        <v>0.16590692327698001</v>
      </c>
      <c r="I3668">
        <v>0.155734059955249</v>
      </c>
      <c r="J3668">
        <v>0.129515113523511</v>
      </c>
      <c r="K3668">
        <v>0.179277659574234</v>
      </c>
      <c r="L3668">
        <v>695.90267285348796</v>
      </c>
      <c r="M3668">
        <v>15.1566169646213</v>
      </c>
      <c r="N3668">
        <v>47.199467387797199</v>
      </c>
      <c r="O3668">
        <v>45.137110548848</v>
      </c>
      <c r="P3668">
        <v>-6.9760036790616306E-2</v>
      </c>
      <c r="Q3668">
        <v>0.16908626525790099</v>
      </c>
      <c r="R3668">
        <v>0.97010178891437504</v>
      </c>
      <c r="S3668" t="s">
        <v>10120</v>
      </c>
      <c r="T3668" t="s">
        <v>12902</v>
      </c>
      <c r="U3668" t="s">
        <v>12902</v>
      </c>
      <c r="V3668" t="s">
        <v>12902</v>
      </c>
      <c r="W3668" t="s">
        <v>16527</v>
      </c>
      <c r="X3668">
        <v>3</v>
      </c>
      <c r="Y3668" t="s">
        <v>22844</v>
      </c>
      <c r="Z3668" t="s">
        <v>29243</v>
      </c>
      <c r="AA3668">
        <v>0.35680309119824172</v>
      </c>
      <c r="AB3668" t="str">
        <f>HYPERLINK("Melting_Curves/meltCurve_Q53EZ4_CEP55.pdf", "Melting_Curves/meltCurve_Q53EZ4_CEP55.pdf")</f>
        <v>Melting_Curves/meltCurve_Q53EZ4_CEP55.pdf</v>
      </c>
    </row>
    <row r="3669" spans="1:28" x14ac:dyDescent="0.25">
      <c r="A3669" t="s">
        <v>3673</v>
      </c>
      <c r="B3669">
        <v>0.99673306730245903</v>
      </c>
      <c r="C3669">
        <v>0.87248622372705098</v>
      </c>
      <c r="D3669">
        <v>0.51976951759614898</v>
      </c>
      <c r="E3669">
        <v>0.294990393298874</v>
      </c>
      <c r="F3669">
        <v>0.23629779167516701</v>
      </c>
      <c r="G3669">
        <v>0.17599653587647299</v>
      </c>
      <c r="H3669">
        <v>0.12495227242936501</v>
      </c>
      <c r="I3669">
        <v>0.137970124579266</v>
      </c>
      <c r="J3669">
        <v>0.16067573232865401</v>
      </c>
      <c r="K3669">
        <v>0.156645483749698</v>
      </c>
      <c r="L3669">
        <v>1058.60145100465</v>
      </c>
      <c r="M3669">
        <v>23.144291979363501</v>
      </c>
      <c r="N3669">
        <v>46.502827778442501</v>
      </c>
      <c r="O3669">
        <v>45.4018326448926</v>
      </c>
      <c r="P3669">
        <v>-0.107296462563322</v>
      </c>
      <c r="Q3669">
        <v>0.15808741717337499</v>
      </c>
      <c r="R3669">
        <v>0.99304421041593405</v>
      </c>
      <c r="S3669" t="s">
        <v>10121</v>
      </c>
      <c r="T3669" t="s">
        <v>12902</v>
      </c>
      <c r="U3669" t="s">
        <v>12902</v>
      </c>
      <c r="V3669" t="s">
        <v>12902</v>
      </c>
      <c r="W3669" t="s">
        <v>16528</v>
      </c>
      <c r="X3669">
        <v>5</v>
      </c>
      <c r="Y3669" t="s">
        <v>22845</v>
      </c>
      <c r="Z3669" t="s">
        <v>29244</v>
      </c>
      <c r="AA3669">
        <v>0.32860338210695722</v>
      </c>
      <c r="AB3669" t="str">
        <f>HYPERLINK("Melting_Curves/meltCurve_Q53F19_C17orf85.pdf", "Melting_Curves/meltCurve_Q53F19_C17orf85.pdf")</f>
        <v>Melting_Curves/meltCurve_Q53F19_C17orf85.pdf</v>
      </c>
    </row>
    <row r="3670" spans="1:28" x14ac:dyDescent="0.25">
      <c r="A3670" t="s">
        <v>3674</v>
      </c>
      <c r="B3670">
        <v>0.99673306730245903</v>
      </c>
      <c r="C3670">
        <v>0.99341775623860296</v>
      </c>
      <c r="D3670">
        <v>1.0041882935628801</v>
      </c>
      <c r="E3670">
        <v>1.0570896700727801</v>
      </c>
      <c r="F3670">
        <v>0.90076797129393404</v>
      </c>
      <c r="G3670">
        <v>0.84353689321576497</v>
      </c>
      <c r="H3670">
        <v>0.70417178436977201</v>
      </c>
      <c r="I3670">
        <v>1.2018783432547699</v>
      </c>
      <c r="J3670">
        <v>0.74526658948071201</v>
      </c>
      <c r="K3670">
        <v>0.56299605779749895</v>
      </c>
      <c r="L3670">
        <v>15000</v>
      </c>
      <c r="M3670">
        <v>223.88124789583199</v>
      </c>
      <c r="O3670">
        <v>66.994455630509805</v>
      </c>
      <c r="P3670">
        <v>-0.36512494913252203</v>
      </c>
      <c r="Q3670">
        <v>0.56295851233324301</v>
      </c>
      <c r="R3670">
        <v>0.48752781064605799</v>
      </c>
      <c r="S3670" t="s">
        <v>10122</v>
      </c>
      <c r="T3670" t="s">
        <v>12902</v>
      </c>
      <c r="U3670" t="s">
        <v>12902</v>
      </c>
      <c r="V3670" t="s">
        <v>12902</v>
      </c>
      <c r="W3670" t="s">
        <v>16529</v>
      </c>
      <c r="X3670">
        <v>18</v>
      </c>
      <c r="Y3670" t="s">
        <v>22846</v>
      </c>
      <c r="Z3670" t="s">
        <v>29245</v>
      </c>
      <c r="AA3670">
        <v>0.95635676901974132</v>
      </c>
      <c r="AB3670" t="str">
        <f>HYPERLINK("Melting_Curves/meltCurve_Q53FA7_TP53I3.pdf", "Melting_Curves/meltCurve_Q53FA7_TP53I3.pdf")</f>
        <v>Melting_Curves/meltCurve_Q53FA7_TP53I3.pdf</v>
      </c>
    </row>
    <row r="3671" spans="1:28" x14ac:dyDescent="0.25">
      <c r="A3671" t="s">
        <v>3675</v>
      </c>
      <c r="B3671">
        <v>0.99673306730245903</v>
      </c>
      <c r="C3671">
        <v>1.0544674337631801</v>
      </c>
      <c r="D3671">
        <v>1.05594851865962</v>
      </c>
      <c r="E3671">
        <v>0.98189967955669999</v>
      </c>
      <c r="F3671">
        <v>0.48085433208183298</v>
      </c>
      <c r="G3671">
        <v>0.166073734440504</v>
      </c>
      <c r="H3671">
        <v>9.2730863322836393E-2</v>
      </c>
      <c r="I3671">
        <v>7.2079271764105904E-2</v>
      </c>
      <c r="J3671">
        <v>2.8783182022971199E-2</v>
      </c>
      <c r="K3671">
        <v>1.8832324941670999E-2</v>
      </c>
      <c r="L3671">
        <v>2072.6034266546899</v>
      </c>
      <c r="M3671">
        <v>39.072322823890303</v>
      </c>
      <c r="N3671">
        <v>53.214796228237397</v>
      </c>
      <c r="O3671">
        <v>52.906927563167699</v>
      </c>
      <c r="P3671">
        <v>-0.17382562082122299</v>
      </c>
      <c r="Q3671">
        <v>5.8509151432701599E-2</v>
      </c>
      <c r="R3671">
        <v>0.99322562949045401</v>
      </c>
      <c r="S3671" t="s">
        <v>10123</v>
      </c>
      <c r="T3671" t="s">
        <v>12902</v>
      </c>
      <c r="U3671" t="s">
        <v>12902</v>
      </c>
      <c r="V3671" t="s">
        <v>12902</v>
      </c>
      <c r="W3671" t="s">
        <v>16530</v>
      </c>
      <c r="X3671">
        <v>2</v>
      </c>
      <c r="Y3671" t="s">
        <v>22847</v>
      </c>
      <c r="Z3671" t="s">
        <v>29246</v>
      </c>
      <c r="AA3671">
        <v>0.47152489506489198</v>
      </c>
      <c r="AB3671" t="str">
        <f>HYPERLINK("Melting_Curves/meltCurve_Q53FT3_C11orf73.pdf", "Melting_Curves/meltCurve_Q53FT3_C11orf73.pdf")</f>
        <v>Melting_Curves/meltCurve_Q53FT3_C11orf73.pdf</v>
      </c>
    </row>
    <row r="3672" spans="1:28" x14ac:dyDescent="0.25">
      <c r="A3672" t="s">
        <v>3676</v>
      </c>
      <c r="B3672">
        <v>0.99673306730245903</v>
      </c>
      <c r="C3672">
        <v>0.94015802594301801</v>
      </c>
      <c r="D3672">
        <v>1.0339398376581099</v>
      </c>
      <c r="E3672">
        <v>0.81590039670792902</v>
      </c>
      <c r="F3672">
        <v>0.72146091927771205</v>
      </c>
      <c r="G3672">
        <v>0.47819122256345897</v>
      </c>
      <c r="H3672">
        <v>0.346861723483889</v>
      </c>
      <c r="I3672">
        <v>0.302840032209928</v>
      </c>
      <c r="J3672">
        <v>0.27043746059585999</v>
      </c>
      <c r="K3672">
        <v>0.21138491740954701</v>
      </c>
      <c r="L3672">
        <v>836.32140043274399</v>
      </c>
      <c r="M3672">
        <v>15.2755876958902</v>
      </c>
      <c r="N3672">
        <v>56.747168847243501</v>
      </c>
      <c r="O3672">
        <v>53.836335132036702</v>
      </c>
      <c r="P3672">
        <v>-5.6184888253060498E-2</v>
      </c>
      <c r="Q3672">
        <v>0.20801634145252801</v>
      </c>
      <c r="R3672">
        <v>0.98639203736828895</v>
      </c>
      <c r="S3672" t="s">
        <v>10124</v>
      </c>
      <c r="T3672" t="s">
        <v>12902</v>
      </c>
      <c r="U3672" t="s">
        <v>12902</v>
      </c>
      <c r="V3672" t="s">
        <v>12902</v>
      </c>
      <c r="W3672" t="s">
        <v>16531</v>
      </c>
      <c r="X3672">
        <v>5</v>
      </c>
      <c r="Y3672" t="s">
        <v>22848</v>
      </c>
      <c r="Z3672" t="s">
        <v>29247</v>
      </c>
      <c r="AA3672">
        <v>0.61260160478533687</v>
      </c>
      <c r="AB3672" t="str">
        <f>HYPERLINK("Melting_Curves/meltCurve_Q53GG5_2_PDLIM3.pdf", "Melting_Curves/meltCurve_Q53GG5_2_PDLIM3.pdf")</f>
        <v>Melting_Curves/meltCurve_Q53GG5_2_PDLIM3.pdf</v>
      </c>
    </row>
    <row r="3673" spans="1:28" x14ac:dyDescent="0.25">
      <c r="A3673" t="s">
        <v>3677</v>
      </c>
      <c r="B3673">
        <v>0.99673306730245903</v>
      </c>
      <c r="C3673">
        <v>0.83361998570884499</v>
      </c>
      <c r="D3673">
        <v>0.99403801272037795</v>
      </c>
      <c r="E3673">
        <v>0.81136339119650402</v>
      </c>
      <c r="F3673">
        <v>0.61841587984308</v>
      </c>
      <c r="G3673">
        <v>0.402329254351042</v>
      </c>
      <c r="H3673">
        <v>0.103875193097723</v>
      </c>
      <c r="I3673">
        <v>6.8807102349042207E-2</v>
      </c>
      <c r="J3673">
        <v>6.3125687364875893E-2</v>
      </c>
      <c r="K3673">
        <v>5.4680988018392301E-2</v>
      </c>
      <c r="L3673">
        <v>871.77588673634705</v>
      </c>
      <c r="M3673">
        <v>15.9412954196508</v>
      </c>
      <c r="N3673">
        <v>54.686640198953803</v>
      </c>
      <c r="O3673">
        <v>53.847776777041702</v>
      </c>
      <c r="P3673">
        <v>-7.40168154952629E-2</v>
      </c>
      <c r="Q3673">
        <v>0</v>
      </c>
      <c r="R3673">
        <v>0.976917529296778</v>
      </c>
      <c r="S3673" t="s">
        <v>10125</v>
      </c>
      <c r="T3673" t="s">
        <v>12902</v>
      </c>
      <c r="U3673" t="s">
        <v>12902</v>
      </c>
      <c r="V3673" t="s">
        <v>12902</v>
      </c>
      <c r="W3673" t="s">
        <v>16532</v>
      </c>
      <c r="X3673">
        <v>14</v>
      </c>
      <c r="Y3673" t="s">
        <v>22849</v>
      </c>
      <c r="Z3673" t="s">
        <v>29248</v>
      </c>
      <c r="AA3673">
        <v>0.50790118118299155</v>
      </c>
      <c r="AB3673" t="str">
        <f>HYPERLINK("Melting_Curves/meltCurve_Q53GQ0_HSD17B12.pdf", "Melting_Curves/meltCurve_Q53GQ0_HSD17B12.pdf")</f>
        <v>Melting_Curves/meltCurve_Q53GQ0_HSD17B12.pdf</v>
      </c>
    </row>
    <row r="3674" spans="1:28" x14ac:dyDescent="0.25">
      <c r="A3674" t="s">
        <v>3678</v>
      </c>
      <c r="B3674">
        <v>0.99673306730245903</v>
      </c>
      <c r="C3674">
        <v>0.98442546508324402</v>
      </c>
      <c r="D3674">
        <v>0.940161660780507</v>
      </c>
      <c r="E3674">
        <v>0.78027657404096995</v>
      </c>
      <c r="F3674">
        <v>0.63403211739629495</v>
      </c>
      <c r="G3674">
        <v>0.36121031810071402</v>
      </c>
      <c r="H3674">
        <v>0.15388319015465399</v>
      </c>
      <c r="I3674">
        <v>0.127082268598182</v>
      </c>
      <c r="J3674">
        <v>0.130808174181852</v>
      </c>
      <c r="K3674">
        <v>0.108423279615198</v>
      </c>
      <c r="L3674">
        <v>873.84591857355701</v>
      </c>
      <c r="M3674">
        <v>16.191099284574602</v>
      </c>
      <c r="N3674">
        <v>54.483608999558797</v>
      </c>
      <c r="O3674">
        <v>53.167601897222397</v>
      </c>
      <c r="P3674">
        <v>-7.0756815967268599E-2</v>
      </c>
      <c r="Q3674">
        <v>7.0677394878472993E-2</v>
      </c>
      <c r="R3674">
        <v>0.99499920442746703</v>
      </c>
      <c r="S3674" t="s">
        <v>10126</v>
      </c>
      <c r="T3674" t="s">
        <v>12902</v>
      </c>
      <c r="U3674" t="s">
        <v>12902</v>
      </c>
      <c r="V3674" t="s">
        <v>12902</v>
      </c>
      <c r="W3674" t="s">
        <v>16533</v>
      </c>
      <c r="X3674">
        <v>9</v>
      </c>
      <c r="Y3674" t="s">
        <v>22850</v>
      </c>
      <c r="Z3674" t="s">
        <v>29249</v>
      </c>
      <c r="AA3674">
        <v>0.52075073024324292</v>
      </c>
      <c r="AB3674" t="str">
        <f>HYPERLINK("Melting_Curves/meltCurve_Q53H12_AGK.pdf", "Melting_Curves/meltCurve_Q53H12_AGK.pdf")</f>
        <v>Melting_Curves/meltCurve_Q53H12_AGK.pdf</v>
      </c>
    </row>
    <row r="3675" spans="1:28" x14ac:dyDescent="0.25">
      <c r="A3675" t="s">
        <v>3679</v>
      </c>
      <c r="B3675">
        <v>0.99673306730245903</v>
      </c>
      <c r="C3675">
        <v>0.92237006915151099</v>
      </c>
      <c r="D3675">
        <v>0.88294837442134599</v>
      </c>
      <c r="E3675">
        <v>0.73894256060332297</v>
      </c>
      <c r="F3675">
        <v>0.49432797112322602</v>
      </c>
      <c r="G3675">
        <v>0.234698330737553</v>
      </c>
      <c r="H3675">
        <v>0.150931349388021</v>
      </c>
      <c r="I3675">
        <v>0.12517853086098399</v>
      </c>
      <c r="J3675">
        <v>0.102058134060884</v>
      </c>
      <c r="K3675">
        <v>0.10371278652810401</v>
      </c>
      <c r="L3675">
        <v>838.88308118860004</v>
      </c>
      <c r="M3675">
        <v>16.068609654488199</v>
      </c>
      <c r="N3675">
        <v>52.732307133237803</v>
      </c>
      <c r="O3675">
        <v>51.417854219002798</v>
      </c>
      <c r="P3675">
        <v>-7.2348147297848206E-2</v>
      </c>
      <c r="Q3675">
        <v>7.40460505919939E-2</v>
      </c>
      <c r="R3675">
        <v>0.99546968751224996</v>
      </c>
      <c r="S3675" t="s">
        <v>10127</v>
      </c>
      <c r="T3675" t="s">
        <v>12902</v>
      </c>
      <c r="U3675" t="s">
        <v>12902</v>
      </c>
      <c r="V3675" t="s">
        <v>12902</v>
      </c>
      <c r="W3675" t="s">
        <v>16534</v>
      </c>
      <c r="X3675">
        <v>10</v>
      </c>
      <c r="Y3675" t="s">
        <v>22851</v>
      </c>
      <c r="Z3675" t="s">
        <v>29250</v>
      </c>
      <c r="AA3675">
        <v>0.46928267691007058</v>
      </c>
      <c r="AB3675" t="str">
        <f>HYPERLINK("Melting_Curves/meltCurve_Q53H47_SETMAR.pdf", "Melting_Curves/meltCurve_Q53H47_SETMAR.pdf")</f>
        <v>Melting_Curves/meltCurve_Q53H47_SETMAR.pdf</v>
      </c>
    </row>
    <row r="3676" spans="1:28" x14ac:dyDescent="0.25">
      <c r="A3676" t="s">
        <v>3680</v>
      </c>
      <c r="B3676">
        <v>0.99673306730245903</v>
      </c>
      <c r="C3676">
        <v>1.0583351353414501</v>
      </c>
      <c r="D3676">
        <v>1.25493216729329</v>
      </c>
      <c r="E3676">
        <v>0.94850206805859105</v>
      </c>
      <c r="F3676">
        <v>0.88320268589566298</v>
      </c>
      <c r="G3676">
        <v>0.77045986396155197</v>
      </c>
      <c r="H3676">
        <v>0.53307156099253095</v>
      </c>
      <c r="I3676">
        <v>0.47319054573713598</v>
      </c>
      <c r="J3676">
        <v>0.53541589986800497</v>
      </c>
      <c r="K3676">
        <v>0.26451947163938899</v>
      </c>
      <c r="L3676">
        <v>982.04915874749497</v>
      </c>
      <c r="M3676">
        <v>16.6955434000979</v>
      </c>
      <c r="N3676">
        <v>62.818915761402799</v>
      </c>
      <c r="O3676">
        <v>57.996588582221698</v>
      </c>
      <c r="P3676">
        <v>-4.8422467093553502E-2</v>
      </c>
      <c r="Q3676">
        <v>0.32720930374242402</v>
      </c>
      <c r="R3676">
        <v>0.88110020083561702</v>
      </c>
      <c r="S3676" t="s">
        <v>10128</v>
      </c>
      <c r="T3676" t="s">
        <v>12902</v>
      </c>
      <c r="U3676" t="s">
        <v>12902</v>
      </c>
      <c r="V3676" t="s">
        <v>12902</v>
      </c>
      <c r="W3676" t="s">
        <v>16535</v>
      </c>
      <c r="X3676">
        <v>21</v>
      </c>
      <c r="Y3676" t="s">
        <v>22852</v>
      </c>
      <c r="Z3676" t="s">
        <v>29251</v>
      </c>
      <c r="AA3676">
        <v>0.75680512996003202</v>
      </c>
      <c r="AB3676" t="str">
        <f>HYPERLINK("Melting_Curves/meltCurve_Q53H82_LACTB2.pdf", "Melting_Curves/meltCurve_Q53H82_LACTB2.pdf")</f>
        <v>Melting_Curves/meltCurve_Q53H82_LACTB2.pdf</v>
      </c>
    </row>
    <row r="3677" spans="1:28" x14ac:dyDescent="0.25">
      <c r="A3677" t="s">
        <v>3681</v>
      </c>
      <c r="B3677">
        <v>0.99673306730245903</v>
      </c>
      <c r="C3677">
        <v>0.95264338946974403</v>
      </c>
      <c r="D3677">
        <v>0.99042348259818702</v>
      </c>
      <c r="E3677">
        <v>1.08566511374249</v>
      </c>
      <c r="F3677">
        <v>1.0902007838952501</v>
      </c>
      <c r="G3677">
        <v>0.97404288845794096</v>
      </c>
      <c r="H3677">
        <v>0.90818906010005096</v>
      </c>
      <c r="I3677">
        <v>0.80400884115169302</v>
      </c>
      <c r="J3677">
        <v>0.51582867902859697</v>
      </c>
      <c r="K3677">
        <v>0.157972195304841</v>
      </c>
      <c r="L3677">
        <v>2131.3607522941702</v>
      </c>
      <c r="M3677">
        <v>31.849644952853001</v>
      </c>
      <c r="N3677">
        <v>66.919454411038004</v>
      </c>
      <c r="O3677">
        <v>66.657294947706703</v>
      </c>
      <c r="P3677">
        <v>-0.119453575565964</v>
      </c>
      <c r="Q3677">
        <v>0</v>
      </c>
      <c r="R3677">
        <v>0.96887254428937297</v>
      </c>
      <c r="S3677" t="s">
        <v>10129</v>
      </c>
      <c r="T3677" t="s">
        <v>12902</v>
      </c>
      <c r="U3677" t="s">
        <v>12902</v>
      </c>
      <c r="V3677" t="s">
        <v>12902</v>
      </c>
      <c r="W3677" t="s">
        <v>16536</v>
      </c>
      <c r="X3677">
        <v>10</v>
      </c>
      <c r="Y3677" t="s">
        <v>22853</v>
      </c>
      <c r="Z3677" t="s">
        <v>29252</v>
      </c>
      <c r="AA3677">
        <v>0.88647654760114147</v>
      </c>
      <c r="AB3677" t="str">
        <f>HYPERLINK("Melting_Curves/meltCurve_Q53H96_PYCRL.pdf", "Melting_Curves/meltCurve_Q53H96_PYCRL.pdf")</f>
        <v>Melting_Curves/meltCurve_Q53H96_PYCRL.pdf</v>
      </c>
    </row>
    <row r="3678" spans="1:28" x14ac:dyDescent="0.25">
      <c r="A3678" t="s">
        <v>3682</v>
      </c>
      <c r="B3678">
        <v>0.99673306730245903</v>
      </c>
      <c r="C3678">
        <v>1.00912320918827</v>
      </c>
      <c r="D3678">
        <v>0.98538863018484801</v>
      </c>
      <c r="E3678">
        <v>0.90728487043439099</v>
      </c>
      <c r="F3678">
        <v>0.698745540059588</v>
      </c>
      <c r="G3678">
        <v>0.36665305661046299</v>
      </c>
      <c r="H3678">
        <v>0.103132514417066</v>
      </c>
      <c r="I3678">
        <v>7.5824454253246798E-2</v>
      </c>
      <c r="J3678">
        <v>7.5504506849958006E-2</v>
      </c>
      <c r="K3678">
        <v>6.9000791138820405E-2</v>
      </c>
      <c r="L3678">
        <v>1284.76188334688</v>
      </c>
      <c r="M3678">
        <v>23.3947173564592</v>
      </c>
      <c r="N3678">
        <v>55.159943060952301</v>
      </c>
      <c r="O3678">
        <v>54.520198275119398</v>
      </c>
      <c r="P3678">
        <v>-0.102020578250204</v>
      </c>
      <c r="Q3678">
        <v>4.9001242968172001E-2</v>
      </c>
      <c r="R3678">
        <v>0.99845129968397295</v>
      </c>
      <c r="S3678" t="s">
        <v>10130</v>
      </c>
      <c r="T3678" t="s">
        <v>12902</v>
      </c>
      <c r="U3678" t="s">
        <v>12902</v>
      </c>
      <c r="V3678" t="s">
        <v>12902</v>
      </c>
      <c r="W3678" t="s">
        <v>16537</v>
      </c>
      <c r="X3678">
        <v>16</v>
      </c>
      <c r="Y3678" t="s">
        <v>22854</v>
      </c>
      <c r="Z3678" t="s">
        <v>29253</v>
      </c>
      <c r="AA3678">
        <v>0.531730354135315</v>
      </c>
      <c r="AB3678" t="str">
        <f>HYPERLINK("Melting_Curves/meltCurve_Q53HC9_TSSC1.pdf", "Melting_Curves/meltCurve_Q53HC9_TSSC1.pdf")</f>
        <v>Melting_Curves/meltCurve_Q53HC9_TSSC1.pdf</v>
      </c>
    </row>
    <row r="3679" spans="1:28" x14ac:dyDescent="0.25">
      <c r="A3679" t="s">
        <v>3683</v>
      </c>
      <c r="B3679">
        <v>0.99673306730245903</v>
      </c>
      <c r="C3679">
        <v>0.87768754950827099</v>
      </c>
      <c r="D3679">
        <v>0.81740980257406304</v>
      </c>
      <c r="E3679">
        <v>0.67919394201687999</v>
      </c>
      <c r="F3679">
        <v>0.22832964973513201</v>
      </c>
      <c r="G3679">
        <v>9.3561803987842501E-2</v>
      </c>
      <c r="H3679">
        <v>6.6742750939382395E-2</v>
      </c>
      <c r="I3679">
        <v>7.0706111534135599E-2</v>
      </c>
      <c r="J3679">
        <v>9.0230904080403199E-2</v>
      </c>
      <c r="K3679">
        <v>9.39499880726372E-2</v>
      </c>
      <c r="L3679">
        <v>1075.82548522975</v>
      </c>
      <c r="M3679">
        <v>21.4206017073117</v>
      </c>
      <c r="N3679">
        <v>50.521951595082697</v>
      </c>
      <c r="O3679">
        <v>49.792293609863002</v>
      </c>
      <c r="P3679">
        <v>-0.10116799138119401</v>
      </c>
      <c r="Q3679">
        <v>5.9361364605432801E-2</v>
      </c>
      <c r="R3679">
        <v>0.97984361481676696</v>
      </c>
      <c r="S3679" t="s">
        <v>10131</v>
      </c>
      <c r="T3679" t="s">
        <v>12902</v>
      </c>
      <c r="U3679" t="s">
        <v>12902</v>
      </c>
      <c r="V3679" t="s">
        <v>12902</v>
      </c>
      <c r="W3679" t="s">
        <v>16538</v>
      </c>
      <c r="X3679">
        <v>3</v>
      </c>
      <c r="Y3679" t="s">
        <v>22855</v>
      </c>
      <c r="Z3679" t="s">
        <v>29254</v>
      </c>
      <c r="AA3679">
        <v>0.3913749181303619</v>
      </c>
      <c r="AB3679" t="str">
        <f>HYPERLINK("Melting_Curves/meltCurve_Q53HV7_SMUG1.pdf", "Melting_Curves/meltCurve_Q53HV7_SMUG1.pdf")</f>
        <v>Melting_Curves/meltCurve_Q53HV7_SMUG1.pdf</v>
      </c>
    </row>
    <row r="3680" spans="1:28" x14ac:dyDescent="0.25">
      <c r="A3680" t="s">
        <v>3684</v>
      </c>
      <c r="B3680">
        <v>0.99673306730245903</v>
      </c>
      <c r="C3680">
        <v>0.94848564664111001</v>
      </c>
      <c r="D3680">
        <v>0.70330110509801302</v>
      </c>
      <c r="E3680">
        <v>0.36506746907372101</v>
      </c>
      <c r="F3680">
        <v>0.14795156423070599</v>
      </c>
      <c r="G3680">
        <v>8.5131890353923295E-2</v>
      </c>
      <c r="H3680">
        <v>5.4103155722049802E-2</v>
      </c>
      <c r="I3680">
        <v>4.87473326816696E-2</v>
      </c>
      <c r="J3680">
        <v>3.8150982029313198E-2</v>
      </c>
      <c r="K3680">
        <v>3.9128159759288697E-2</v>
      </c>
      <c r="L3680">
        <v>1008.36609801834</v>
      </c>
      <c r="M3680">
        <v>21.036567117013199</v>
      </c>
      <c r="N3680">
        <v>48.136458202821402</v>
      </c>
      <c r="O3680">
        <v>47.507130752221897</v>
      </c>
      <c r="P3680">
        <v>-0.10601711732974201</v>
      </c>
      <c r="Q3680">
        <v>4.2346913903130598E-2</v>
      </c>
      <c r="R3680">
        <v>0.99918722786979997</v>
      </c>
      <c r="S3680" t="s">
        <v>10132</v>
      </c>
      <c r="T3680" t="s">
        <v>12902</v>
      </c>
      <c r="U3680" t="s">
        <v>12902</v>
      </c>
      <c r="V3680" t="s">
        <v>12902</v>
      </c>
      <c r="W3680" t="s">
        <v>16539</v>
      </c>
      <c r="X3680">
        <v>4</v>
      </c>
      <c r="Y3680" t="s">
        <v>22856</v>
      </c>
      <c r="Z3680" t="s">
        <v>29255</v>
      </c>
      <c r="AA3680">
        <v>0.30785076191838617</v>
      </c>
      <c r="AB3680" t="str">
        <f>HYPERLINK("Melting_Curves/meltCurve_Q53R41_FASTKD1.pdf", "Melting_Curves/meltCurve_Q53R41_FASTKD1.pdf")</f>
        <v>Melting_Curves/meltCurve_Q53R41_FASTKD1.pdf</v>
      </c>
    </row>
    <row r="3681" spans="1:28" x14ac:dyDescent="0.25">
      <c r="A3681" t="s">
        <v>3685</v>
      </c>
      <c r="B3681">
        <v>0.99673306730245903</v>
      </c>
      <c r="C3681">
        <v>0.98110733644477899</v>
      </c>
      <c r="D3681">
        <v>0.99317389529361799</v>
      </c>
      <c r="E3681">
        <v>0.89799635539454603</v>
      </c>
      <c r="F3681">
        <v>0.70342329222521405</v>
      </c>
      <c r="G3681">
        <v>0.50279458991933301</v>
      </c>
      <c r="H3681">
        <v>0.28523073769338803</v>
      </c>
      <c r="I3681">
        <v>0.31159444888598398</v>
      </c>
      <c r="J3681">
        <v>0.37015129950790499</v>
      </c>
      <c r="K3681">
        <v>0.31814691165147002</v>
      </c>
      <c r="L3681">
        <v>1238.14001838221</v>
      </c>
      <c r="M3681">
        <v>22.9942104579968</v>
      </c>
      <c r="N3681">
        <v>56.206284868167401</v>
      </c>
      <c r="O3681">
        <v>53.443434501686099</v>
      </c>
      <c r="P3681">
        <v>-7.4258379284606907E-2</v>
      </c>
      <c r="Q3681">
        <v>0.30964387007663702</v>
      </c>
      <c r="R3681">
        <v>0.98866010890346101</v>
      </c>
      <c r="S3681" t="s">
        <v>10133</v>
      </c>
      <c r="T3681" t="s">
        <v>12902</v>
      </c>
      <c r="U3681" t="s">
        <v>12902</v>
      </c>
      <c r="V3681" t="s">
        <v>12902</v>
      </c>
      <c r="W3681" t="s">
        <v>16540</v>
      </c>
      <c r="X3681">
        <v>5</v>
      </c>
      <c r="Y3681" t="s">
        <v>22857</v>
      </c>
      <c r="Z3681" t="s">
        <v>29256</v>
      </c>
      <c r="AA3681">
        <v>0.63568151322779698</v>
      </c>
      <c r="AB3681" t="str">
        <f>HYPERLINK("Melting_Curves/meltCurve_Q53S33_BOLA3.pdf", "Melting_Curves/meltCurve_Q53S33_BOLA3.pdf")</f>
        <v>Melting_Curves/meltCurve_Q53S33_BOLA3.pdf</v>
      </c>
    </row>
    <row r="3682" spans="1:28" x14ac:dyDescent="0.25">
      <c r="A3682" t="s">
        <v>3686</v>
      </c>
      <c r="B3682">
        <v>0.99673306730245903</v>
      </c>
      <c r="C3682">
        <v>0.97499254078113795</v>
      </c>
      <c r="D3682">
        <v>1.0176318422744099</v>
      </c>
      <c r="E3682">
        <v>0.89062748744728004</v>
      </c>
      <c r="F3682">
        <v>0.54849080839523701</v>
      </c>
      <c r="G3682">
        <v>0.276850468294907</v>
      </c>
      <c r="H3682">
        <v>0.117430689343154</v>
      </c>
      <c r="I3682">
        <v>0.108949931944626</v>
      </c>
      <c r="J3682">
        <v>0.15912902172184101</v>
      </c>
      <c r="K3682">
        <v>0.15106238644164499</v>
      </c>
      <c r="L3682">
        <v>1473.7488067721099</v>
      </c>
      <c r="M3682">
        <v>27.7441999360788</v>
      </c>
      <c r="N3682">
        <v>53.698973259574402</v>
      </c>
      <c r="O3682">
        <v>52.845505837779399</v>
      </c>
      <c r="P3682">
        <v>-0.114265004894379</v>
      </c>
      <c r="Q3682">
        <v>0.12942706259430201</v>
      </c>
      <c r="R3682">
        <v>0.99633909116041197</v>
      </c>
      <c r="S3682" t="s">
        <v>10134</v>
      </c>
      <c r="T3682" t="s">
        <v>12902</v>
      </c>
      <c r="U3682" t="s">
        <v>12902</v>
      </c>
      <c r="V3682" t="s">
        <v>12902</v>
      </c>
      <c r="W3682" t="s">
        <v>16541</v>
      </c>
      <c r="X3682">
        <v>7</v>
      </c>
      <c r="Y3682" t="s">
        <v>22858</v>
      </c>
      <c r="Z3682" t="s">
        <v>29257</v>
      </c>
      <c r="AA3682">
        <v>0.51671529003018835</v>
      </c>
      <c r="AB3682" t="str">
        <f>HYPERLINK("Melting_Curves/meltCurve_Q53SF7_4_COBLL1.pdf", "Melting_Curves/meltCurve_Q53SF7_4_COBLL1.pdf")</f>
        <v>Melting_Curves/meltCurve_Q53SF7_4_COBLL1.pdf</v>
      </c>
    </row>
    <row r="3683" spans="1:28" x14ac:dyDescent="0.25">
      <c r="A3683" t="s">
        <v>3687</v>
      </c>
      <c r="B3683">
        <v>0.99673306730245903</v>
      </c>
      <c r="C3683">
        <v>1.02192204023467</v>
      </c>
      <c r="D3683">
        <v>0.83391947964503499</v>
      </c>
      <c r="E3683">
        <v>0.41623238992344702</v>
      </c>
      <c r="F3683">
        <v>0.234669057314042</v>
      </c>
      <c r="G3683">
        <v>0.169572159784939</v>
      </c>
      <c r="H3683">
        <v>0.116259575436094</v>
      </c>
      <c r="I3683">
        <v>0.15751820165238301</v>
      </c>
      <c r="J3683">
        <v>0.24353639091254001</v>
      </c>
      <c r="K3683">
        <v>0.170902487986027</v>
      </c>
      <c r="L3683">
        <v>1470.9082620408701</v>
      </c>
      <c r="M3683">
        <v>30.524180576074599</v>
      </c>
      <c r="N3683">
        <v>48.866440800906403</v>
      </c>
      <c r="O3683">
        <v>47.982898628496201</v>
      </c>
      <c r="P3683">
        <v>-0.131578309047756</v>
      </c>
      <c r="Q3683">
        <v>0.17266001993396299</v>
      </c>
      <c r="R3683">
        <v>0.99112628911340905</v>
      </c>
      <c r="S3683" t="s">
        <v>10135</v>
      </c>
      <c r="T3683" t="s">
        <v>12902</v>
      </c>
      <c r="U3683" t="s">
        <v>12902</v>
      </c>
      <c r="V3683" t="s">
        <v>12902</v>
      </c>
      <c r="W3683" t="s">
        <v>16542</v>
      </c>
      <c r="X3683">
        <v>9</v>
      </c>
      <c r="Y3683" t="s">
        <v>22859</v>
      </c>
      <c r="Z3683" t="s">
        <v>29258</v>
      </c>
      <c r="AA3683">
        <v>0.40328878533474488</v>
      </c>
      <c r="AB3683" t="str">
        <f>HYPERLINK("Melting_Curves/meltCurve_Q53T59_HS1BP3.pdf", "Melting_Curves/meltCurve_Q53T59_HS1BP3.pdf")</f>
        <v>Melting_Curves/meltCurve_Q53T59_HS1BP3.pdf</v>
      </c>
    </row>
    <row r="3684" spans="1:28" x14ac:dyDescent="0.25">
      <c r="A3684" t="s">
        <v>3688</v>
      </c>
      <c r="B3684">
        <v>0.99673306730245903</v>
      </c>
      <c r="C3684">
        <v>0.88614518728762304</v>
      </c>
      <c r="D3684">
        <v>1.0165576167904899</v>
      </c>
      <c r="E3684">
        <v>1.00802750747315</v>
      </c>
      <c r="F3684">
        <v>0.35215681690386502</v>
      </c>
      <c r="G3684">
        <v>0.22310786331240301</v>
      </c>
      <c r="H3684">
        <v>0.206643913758915</v>
      </c>
      <c r="I3684">
        <v>0.14691487660767699</v>
      </c>
      <c r="J3684">
        <v>0.22570540672502201</v>
      </c>
      <c r="K3684">
        <v>0.38037735622679703</v>
      </c>
      <c r="L3684">
        <v>13208.3123182978</v>
      </c>
      <c r="M3684">
        <v>250</v>
      </c>
      <c r="N3684">
        <v>52.969008501773502</v>
      </c>
      <c r="O3684">
        <v>52.829873199171303</v>
      </c>
      <c r="P3684">
        <v>-0.90319423751301997</v>
      </c>
      <c r="Q3684">
        <v>0.23654987898093599</v>
      </c>
      <c r="R3684">
        <v>0.96674970899984902</v>
      </c>
      <c r="S3684" t="s">
        <v>10136</v>
      </c>
      <c r="T3684" t="s">
        <v>12902</v>
      </c>
      <c r="U3684" t="s">
        <v>12902</v>
      </c>
      <c r="V3684" t="s">
        <v>12902</v>
      </c>
      <c r="W3684" t="s">
        <v>15814</v>
      </c>
      <c r="X3684">
        <v>13</v>
      </c>
      <c r="Y3684" t="s">
        <v>22150</v>
      </c>
      <c r="Z3684" t="s">
        <v>29259</v>
      </c>
      <c r="AA3684">
        <v>0.56320552426724846</v>
      </c>
      <c r="AB3684" t="str">
        <f>HYPERLINK("Melting_Curves/meltCurve_Q567Q0_PPIA.pdf", "Melting_Curves/meltCurve_Q567Q0_PPIA.pdf")</f>
        <v>Melting_Curves/meltCurve_Q567Q0_PPIA.pdf</v>
      </c>
    </row>
    <row r="3685" spans="1:28" x14ac:dyDescent="0.25">
      <c r="A3685" t="s">
        <v>3689</v>
      </c>
      <c r="B3685">
        <v>0.99673306730245903</v>
      </c>
      <c r="C3685">
        <v>1.0565269055876401</v>
      </c>
      <c r="D3685">
        <v>0.99381936745371402</v>
      </c>
      <c r="E3685">
        <v>0.87754473277511102</v>
      </c>
      <c r="F3685">
        <v>0.62633251333608297</v>
      </c>
      <c r="G3685">
        <v>0.50583723087213295</v>
      </c>
      <c r="H3685">
        <v>0.45861957851659502</v>
      </c>
      <c r="I3685">
        <v>0.52742585936012998</v>
      </c>
      <c r="J3685">
        <v>0.66459145173163203</v>
      </c>
      <c r="K3685">
        <v>0.71992898191027299</v>
      </c>
      <c r="L3685">
        <v>2370.8160090936199</v>
      </c>
      <c r="M3685">
        <v>46.874524591557297</v>
      </c>
      <c r="O3685">
        <v>50.486121962222597</v>
      </c>
      <c r="P3685">
        <v>-9.8236212498921102E-2</v>
      </c>
      <c r="Q3685">
        <v>0.57677991326543998</v>
      </c>
      <c r="R3685">
        <v>0.88072292689766296</v>
      </c>
      <c r="S3685" t="s">
        <v>10137</v>
      </c>
      <c r="T3685" t="s">
        <v>12902</v>
      </c>
      <c r="U3685" t="s">
        <v>12902</v>
      </c>
      <c r="V3685" t="s">
        <v>12902</v>
      </c>
      <c r="W3685" t="s">
        <v>16543</v>
      </c>
      <c r="X3685">
        <v>8</v>
      </c>
      <c r="Y3685" t="s">
        <v>22860</v>
      </c>
      <c r="Z3685" t="s">
        <v>29260</v>
      </c>
      <c r="AA3685">
        <v>0.72708133137735953</v>
      </c>
      <c r="AB3685" t="str">
        <f>HYPERLINK("Melting_Curves/meltCurve_Q56VL3_OCIAD2.pdf", "Melting_Curves/meltCurve_Q56VL3_OCIAD2.pdf")</f>
        <v>Melting_Curves/meltCurve_Q56VL3_OCIAD2.pdf</v>
      </c>
    </row>
    <row r="3686" spans="1:28" x14ac:dyDescent="0.25">
      <c r="A3686" t="s">
        <v>3690</v>
      </c>
      <c r="B3686">
        <v>0.99673306730245903</v>
      </c>
      <c r="C3686">
        <v>1.19491675799022</v>
      </c>
      <c r="D3686">
        <v>0.93558107797174905</v>
      </c>
      <c r="E3686">
        <v>0.79788918542253195</v>
      </c>
      <c r="F3686">
        <v>0.44846328504362598</v>
      </c>
      <c r="G3686">
        <v>0.298591398916083</v>
      </c>
      <c r="H3686">
        <v>0.21530389862452101</v>
      </c>
      <c r="I3686">
        <v>0.215487939315085</v>
      </c>
      <c r="J3686">
        <v>0.29325163049983799</v>
      </c>
      <c r="K3686">
        <v>0.22968891121160601</v>
      </c>
      <c r="L3686">
        <v>1447.7979951709499</v>
      </c>
      <c r="M3686">
        <v>28.177609920199998</v>
      </c>
      <c r="N3686">
        <v>52.586198561643201</v>
      </c>
      <c r="O3686">
        <v>51.1244566381352</v>
      </c>
      <c r="P3686">
        <v>-0.105016346404043</v>
      </c>
      <c r="Q3686">
        <v>0.23785475294792299</v>
      </c>
      <c r="R3686">
        <v>0.96482670840846996</v>
      </c>
      <c r="S3686" t="s">
        <v>10138</v>
      </c>
      <c r="T3686" t="s">
        <v>12902</v>
      </c>
      <c r="U3686" t="s">
        <v>12902</v>
      </c>
      <c r="V3686" t="s">
        <v>12902</v>
      </c>
      <c r="W3686" t="s">
        <v>16544</v>
      </c>
      <c r="X3686">
        <v>2</v>
      </c>
      <c r="Y3686" t="s">
        <v>22861</v>
      </c>
      <c r="Z3686" t="s">
        <v>29261</v>
      </c>
      <c r="AA3686">
        <v>0.5324533807490005</v>
      </c>
      <c r="AB3686" t="str">
        <f>HYPERLINK("Melting_Curves/meltCurve_Q573B4_LCK.pdf", "Melting_Curves/meltCurve_Q573B4_LCK.pdf")</f>
        <v>Melting_Curves/meltCurve_Q573B4_LCK.pdf</v>
      </c>
    </row>
    <row r="3687" spans="1:28" x14ac:dyDescent="0.25">
      <c r="A3687" t="s">
        <v>3691</v>
      </c>
      <c r="B3687">
        <v>0.99673306730245903</v>
      </c>
      <c r="C3687">
        <v>0.96493974875794897</v>
      </c>
      <c r="D3687">
        <v>0.92414458737307503</v>
      </c>
      <c r="E3687">
        <v>0.80495435333658205</v>
      </c>
      <c r="F3687">
        <v>0.62769477667345097</v>
      </c>
      <c r="G3687">
        <v>0.617229094489531</v>
      </c>
      <c r="H3687">
        <v>0.53761262177504099</v>
      </c>
      <c r="I3687">
        <v>0.68431963146636499</v>
      </c>
      <c r="J3687">
        <v>0.85198249125499104</v>
      </c>
      <c r="K3687">
        <v>0.98714386033391899</v>
      </c>
      <c r="L3687">
        <v>1648.68234755705</v>
      </c>
      <c r="M3687">
        <v>34.7071792772362</v>
      </c>
      <c r="O3687">
        <v>47.345743540028003</v>
      </c>
      <c r="P3687">
        <v>-5.1180729218941699E-2</v>
      </c>
      <c r="Q3687">
        <v>0.72072847914347105</v>
      </c>
      <c r="R3687">
        <v>0.44834941925539101</v>
      </c>
      <c r="S3687" t="s">
        <v>10139</v>
      </c>
      <c r="T3687" t="s">
        <v>12902</v>
      </c>
      <c r="U3687" t="s">
        <v>12902</v>
      </c>
      <c r="V3687" t="s">
        <v>12902</v>
      </c>
      <c r="W3687" t="s">
        <v>16545</v>
      </c>
      <c r="X3687">
        <v>1</v>
      </c>
      <c r="Y3687" t="s">
        <v>22862</v>
      </c>
      <c r="Z3687" t="s">
        <v>29262</v>
      </c>
      <c r="AA3687">
        <v>0.79180519251331816</v>
      </c>
      <c r="AB3687" t="str">
        <f>HYPERLINK("Melting_Curves/meltCurve_Q587I9_SFT2D3.pdf", "Melting_Curves/meltCurve_Q587I9_SFT2D3.pdf")</f>
        <v>Melting_Curves/meltCurve_Q587I9_SFT2D3.pdf</v>
      </c>
    </row>
    <row r="3688" spans="1:28" x14ac:dyDescent="0.25">
      <c r="A3688" t="s">
        <v>3692</v>
      </c>
      <c r="B3688">
        <v>0.99673306730245903</v>
      </c>
      <c r="C3688">
        <v>1.1403444321916001</v>
      </c>
      <c r="D3688">
        <v>0.93321142799021894</v>
      </c>
      <c r="E3688">
        <v>0.87186977903398899</v>
      </c>
      <c r="F3688">
        <v>0.49949040712940201</v>
      </c>
      <c r="G3688">
        <v>0.22101098436647701</v>
      </c>
      <c r="H3688">
        <v>0.166860545013993</v>
      </c>
      <c r="I3688">
        <v>0.11353552198657201</v>
      </c>
      <c r="J3688">
        <v>0.17506531049321999</v>
      </c>
      <c r="K3688">
        <v>3.5593881565383997E-2</v>
      </c>
      <c r="L3688">
        <v>1386.10091704346</v>
      </c>
      <c r="M3688">
        <v>26.283881474816202</v>
      </c>
      <c r="N3688">
        <v>53.242775665673904</v>
      </c>
      <c r="O3688">
        <v>52.433341006002998</v>
      </c>
      <c r="P3688">
        <v>-0.111447553887668</v>
      </c>
      <c r="Q3688">
        <v>0.110709101675122</v>
      </c>
      <c r="R3688">
        <v>0.97962285514613601</v>
      </c>
      <c r="S3688" t="s">
        <v>10140</v>
      </c>
      <c r="T3688" t="s">
        <v>12902</v>
      </c>
      <c r="U3688" t="s">
        <v>12902</v>
      </c>
      <c r="V3688" t="s">
        <v>12902</v>
      </c>
      <c r="W3688" t="s">
        <v>16546</v>
      </c>
      <c r="X3688">
        <v>3</v>
      </c>
      <c r="Y3688" t="s">
        <v>22863</v>
      </c>
      <c r="Z3688" t="s">
        <v>29263</v>
      </c>
      <c r="AA3688">
        <v>0.49566472904759151</v>
      </c>
      <c r="AB3688" t="str">
        <f>HYPERLINK("Melting_Curves/meltCurve_Q58A45_PAN3.pdf", "Melting_Curves/meltCurve_Q58A45_PAN3.pdf")</f>
        <v>Melting_Curves/meltCurve_Q58A45_PAN3.pdf</v>
      </c>
    </row>
    <row r="3689" spans="1:28" x14ac:dyDescent="0.25">
      <c r="A3689" t="s">
        <v>3693</v>
      </c>
      <c r="B3689">
        <v>0.99673306730245903</v>
      </c>
      <c r="C3689">
        <v>0.97871120806148304</v>
      </c>
      <c r="D3689">
        <v>0.96675471471451702</v>
      </c>
      <c r="E3689">
        <v>0.79821959716074498</v>
      </c>
      <c r="F3689">
        <v>0.19666900167821399</v>
      </c>
      <c r="G3689">
        <v>0.13569333717266899</v>
      </c>
      <c r="H3689">
        <v>7.2146745966816903E-2</v>
      </c>
      <c r="I3689">
        <v>5.7950535910419203E-2</v>
      </c>
      <c r="J3689">
        <v>6.1236242316029997E-2</v>
      </c>
      <c r="K3689">
        <v>4.6141845872784901E-2</v>
      </c>
      <c r="L3689">
        <v>2188.2855866553</v>
      </c>
      <c r="M3689">
        <v>42.874528079286698</v>
      </c>
      <c r="N3689">
        <v>51.219671581000497</v>
      </c>
      <c r="O3689">
        <v>50.928631736663</v>
      </c>
      <c r="P3689">
        <v>-0.19571706524334501</v>
      </c>
      <c r="Q3689">
        <v>7.00691414887194E-2</v>
      </c>
      <c r="R3689">
        <v>0.99715123172383002</v>
      </c>
      <c r="S3689" t="s">
        <v>10141</v>
      </c>
      <c r="T3689" t="s">
        <v>12902</v>
      </c>
      <c r="U3689" t="s">
        <v>12902</v>
      </c>
      <c r="V3689" t="s">
        <v>12902</v>
      </c>
      <c r="W3689" t="s">
        <v>16547</v>
      </c>
      <c r="X3689">
        <v>19</v>
      </c>
      <c r="Y3689" t="s">
        <v>22864</v>
      </c>
      <c r="Z3689" t="s">
        <v>29264</v>
      </c>
      <c r="AA3689">
        <v>0.41511439716862403</v>
      </c>
      <c r="AB3689" t="str">
        <f>HYPERLINK("Melting_Curves/meltCurve_Q58FF8_HSP90AB2P.pdf", "Melting_Curves/meltCurve_Q58FF8_HSP90AB2P.pdf")</f>
        <v>Melting_Curves/meltCurve_Q58FF8_HSP90AB2P.pdf</v>
      </c>
    </row>
    <row r="3690" spans="1:28" x14ac:dyDescent="0.25">
      <c r="A3690" t="s">
        <v>3694</v>
      </c>
      <c r="B3690">
        <v>0.99673306730245903</v>
      </c>
      <c r="C3690">
        <v>0.97840900999344804</v>
      </c>
      <c r="D3690">
        <v>1.2704408180621101</v>
      </c>
      <c r="E3690">
        <v>1.27136404035189</v>
      </c>
      <c r="F3690">
        <v>0.31222545375114802</v>
      </c>
      <c r="G3690">
        <v>0.198709920930637</v>
      </c>
      <c r="H3690">
        <v>0.14037007150737699</v>
      </c>
      <c r="I3690">
        <v>0.124586963971884</v>
      </c>
      <c r="J3690">
        <v>0.16748060668110201</v>
      </c>
      <c r="K3690">
        <v>0.15285796231606399</v>
      </c>
      <c r="L3690">
        <v>13220.8755987236</v>
      </c>
      <c r="M3690">
        <v>250</v>
      </c>
      <c r="N3690">
        <v>52.9632230539411</v>
      </c>
      <c r="O3690">
        <v>52.8801182432641</v>
      </c>
      <c r="P3690">
        <v>-0.99659256060795198</v>
      </c>
      <c r="Q3690">
        <v>0.156801082529238</v>
      </c>
      <c r="R3690">
        <v>0.93325269631611396</v>
      </c>
      <c r="S3690" t="s">
        <v>10142</v>
      </c>
      <c r="T3690" t="s">
        <v>12902</v>
      </c>
      <c r="U3690" t="s">
        <v>12902</v>
      </c>
      <c r="V3690" t="s">
        <v>12902</v>
      </c>
      <c r="W3690" t="s">
        <v>16548</v>
      </c>
      <c r="X3690">
        <v>5</v>
      </c>
      <c r="Y3690" t="s">
        <v>22865</v>
      </c>
      <c r="Z3690" t="s">
        <v>29265</v>
      </c>
      <c r="AA3690">
        <v>0.51899118200798455</v>
      </c>
      <c r="AB3690" t="str">
        <f>HYPERLINK("Melting_Curves/meltCurve_Q58FG1_HSP90AA4P.pdf", "Melting_Curves/meltCurve_Q58FG1_HSP90AA4P.pdf")</f>
        <v>Melting_Curves/meltCurve_Q58FG1_HSP90AA4P.pdf</v>
      </c>
    </row>
    <row r="3691" spans="1:28" x14ac:dyDescent="0.25">
      <c r="A3691" t="s">
        <v>3695</v>
      </c>
      <c r="B3691">
        <v>0.99673306730245903</v>
      </c>
      <c r="C3691">
        <v>0.96838167600511305</v>
      </c>
      <c r="D3691">
        <v>1.0346293776636699</v>
      </c>
      <c r="E3691">
        <v>0.912584897884269</v>
      </c>
      <c r="F3691">
        <v>0.87326699452261003</v>
      </c>
      <c r="G3691">
        <v>0.60070070656202001</v>
      </c>
      <c r="H3691">
        <v>0.50320448315229305</v>
      </c>
      <c r="I3691">
        <v>0.188405627565012</v>
      </c>
      <c r="J3691">
        <v>0.21407583885304901</v>
      </c>
      <c r="K3691">
        <v>0.16318097154184</v>
      </c>
      <c r="L3691">
        <v>908.67467677043305</v>
      </c>
      <c r="M3691">
        <v>15.513453498168699</v>
      </c>
      <c r="N3691">
        <v>59.267261069480703</v>
      </c>
      <c r="O3691">
        <v>57.625933628912598</v>
      </c>
      <c r="P3691">
        <v>-6.1718470050494897E-2</v>
      </c>
      <c r="Q3691">
        <v>8.3048598507818705E-2</v>
      </c>
      <c r="R3691">
        <v>0.97916148745851606</v>
      </c>
      <c r="S3691" t="s">
        <v>10143</v>
      </c>
      <c r="T3691" t="s">
        <v>12902</v>
      </c>
      <c r="U3691" t="s">
        <v>12902</v>
      </c>
      <c r="V3691" t="s">
        <v>12902</v>
      </c>
      <c r="W3691" t="s">
        <v>16549</v>
      </c>
      <c r="X3691">
        <v>5</v>
      </c>
      <c r="Y3691" t="s">
        <v>22866</v>
      </c>
      <c r="Z3691" t="s">
        <v>29266</v>
      </c>
      <c r="AA3691">
        <v>0.66160641160833411</v>
      </c>
      <c r="AB3691" t="str">
        <f>HYPERLINK("Melting_Curves/meltCurve_Q58WW2_DCAF6.pdf", "Melting_Curves/meltCurve_Q58WW2_DCAF6.pdf")</f>
        <v>Melting_Curves/meltCurve_Q58WW2_DCAF6.pdf</v>
      </c>
    </row>
    <row r="3692" spans="1:28" x14ac:dyDescent="0.25">
      <c r="A3692" t="s">
        <v>3696</v>
      </c>
      <c r="B3692">
        <v>0.99673306730245903</v>
      </c>
      <c r="C3692">
        <v>1.0264446435754599</v>
      </c>
      <c r="D3692">
        <v>0.98048999675513604</v>
      </c>
      <c r="E3692">
        <v>0.85660760596503205</v>
      </c>
      <c r="F3692">
        <v>0.50414150983181305</v>
      </c>
      <c r="G3692">
        <v>0.32469616940315799</v>
      </c>
      <c r="H3692">
        <v>0.19964811421675099</v>
      </c>
      <c r="I3692">
        <v>0.174734658435027</v>
      </c>
      <c r="J3692">
        <v>0.190713862306466</v>
      </c>
      <c r="K3692">
        <v>0.16072297762229601</v>
      </c>
      <c r="L3692">
        <v>1265.33264381763</v>
      </c>
      <c r="M3692">
        <v>24.0635719868488</v>
      </c>
      <c r="N3692">
        <v>53.531092809116302</v>
      </c>
      <c r="O3692">
        <v>52.2238051901329</v>
      </c>
      <c r="P3692">
        <v>-9.5207684371885301E-2</v>
      </c>
      <c r="Q3692">
        <v>0.17351758731657399</v>
      </c>
      <c r="R3692">
        <v>0.997428493011008</v>
      </c>
      <c r="S3692" t="s">
        <v>10144</v>
      </c>
      <c r="T3692" t="s">
        <v>12902</v>
      </c>
      <c r="U3692" t="s">
        <v>12902</v>
      </c>
      <c r="V3692" t="s">
        <v>12902</v>
      </c>
      <c r="W3692" t="s">
        <v>16550</v>
      </c>
      <c r="X3692">
        <v>2</v>
      </c>
      <c r="Y3692" t="s">
        <v>22867</v>
      </c>
      <c r="Z3692" t="s">
        <v>29267</v>
      </c>
      <c r="AA3692">
        <v>0.52832127734595269</v>
      </c>
      <c r="AB3692" t="str">
        <f>HYPERLINK("Melting_Curves/meltCurve_Q59GN2_RPL39P5.pdf", "Melting_Curves/meltCurve_Q59GN2_RPL39P5.pdf")</f>
        <v>Melting_Curves/meltCurve_Q59GN2_RPL39P5.pdf</v>
      </c>
    </row>
    <row r="3693" spans="1:28" x14ac:dyDescent="0.25">
      <c r="A3693" t="s">
        <v>3697</v>
      </c>
      <c r="B3693">
        <v>0.99673306730245903</v>
      </c>
      <c r="C3693">
        <v>0.94259906023875695</v>
      </c>
      <c r="D3693">
        <v>0.83763547091108403</v>
      </c>
      <c r="E3693">
        <v>0.77028285925432505</v>
      </c>
      <c r="F3693">
        <v>0.56511997677648595</v>
      </c>
      <c r="G3693">
        <v>0.52601221125534803</v>
      </c>
      <c r="H3693">
        <v>0.35040642831195101</v>
      </c>
      <c r="I3693">
        <v>0.57712161531504702</v>
      </c>
      <c r="J3693">
        <v>0.441117115848571</v>
      </c>
      <c r="K3693">
        <v>0.44526674351985801</v>
      </c>
      <c r="L3693">
        <v>761.80434766936105</v>
      </c>
      <c r="M3693">
        <v>15.357336605970101</v>
      </c>
      <c r="N3693">
        <v>57.650085383195901</v>
      </c>
      <c r="O3693">
        <v>48.786962688583401</v>
      </c>
      <c r="P3693">
        <v>-4.39673494239603E-2</v>
      </c>
      <c r="Q3693">
        <v>0.44135213689368502</v>
      </c>
      <c r="R3693">
        <v>0.92669418835047201</v>
      </c>
      <c r="S3693" t="s">
        <v>10145</v>
      </c>
      <c r="T3693" t="s">
        <v>12902</v>
      </c>
      <c r="U3693" t="s">
        <v>12902</v>
      </c>
      <c r="V3693" t="s">
        <v>12902</v>
      </c>
      <c r="W3693" t="s">
        <v>16551</v>
      </c>
      <c r="X3693">
        <v>3</v>
      </c>
      <c r="Y3693" t="s">
        <v>22868</v>
      </c>
      <c r="Z3693" t="s">
        <v>29268</v>
      </c>
      <c r="AA3693">
        <v>0.63314540467321789</v>
      </c>
      <c r="AB3693" t="str">
        <f>HYPERLINK("Melting_Curves/meltCurve_Q5BJF2_TMEM97.pdf", "Melting_Curves/meltCurve_Q5BJF2_TMEM97.pdf")</f>
        <v>Melting_Curves/meltCurve_Q5BJF2_TMEM97.pdf</v>
      </c>
    </row>
    <row r="3694" spans="1:28" x14ac:dyDescent="0.25">
      <c r="A3694" t="s">
        <v>3698</v>
      </c>
      <c r="B3694">
        <v>0.99673306730245903</v>
      </c>
      <c r="C3694">
        <v>1.06478372545123</v>
      </c>
      <c r="D3694">
        <v>0.96271874174091598</v>
      </c>
      <c r="E3694">
        <v>0.91675718264343198</v>
      </c>
      <c r="F3694">
        <v>0.81636629509397196</v>
      </c>
      <c r="G3694">
        <v>0.69774702565687297</v>
      </c>
      <c r="H3694">
        <v>0.43327942367562999</v>
      </c>
      <c r="I3694">
        <v>0.51281893199192097</v>
      </c>
      <c r="J3694">
        <v>0.67716514400941896</v>
      </c>
      <c r="K3694">
        <v>0.50135392717385896</v>
      </c>
      <c r="L3694">
        <v>1277.86860170776</v>
      </c>
      <c r="M3694">
        <v>23.627544572675198</v>
      </c>
      <c r="O3694">
        <v>53.700899849939901</v>
      </c>
      <c r="P3694">
        <v>-5.1687180030159603E-2</v>
      </c>
      <c r="Q3694">
        <v>0.53010752408275097</v>
      </c>
      <c r="R3694">
        <v>0.89660738079637803</v>
      </c>
      <c r="S3694" t="s">
        <v>10146</v>
      </c>
      <c r="T3694" t="s">
        <v>12902</v>
      </c>
      <c r="U3694" t="s">
        <v>12902</v>
      </c>
      <c r="V3694" t="s">
        <v>12902</v>
      </c>
      <c r="W3694" t="s">
        <v>16552</v>
      </c>
      <c r="X3694">
        <v>3</v>
      </c>
      <c r="Y3694" t="s">
        <v>22869</v>
      </c>
      <c r="Z3694" t="s">
        <v>29269</v>
      </c>
      <c r="AA3694">
        <v>0.75551665200598639</v>
      </c>
      <c r="AB3694" t="str">
        <f>HYPERLINK("Melting_Curves/meltCurve_Q5BKU9_OXLD1.pdf", "Melting_Curves/meltCurve_Q5BKU9_OXLD1.pdf")</f>
        <v>Melting_Curves/meltCurve_Q5BKU9_OXLD1.pdf</v>
      </c>
    </row>
    <row r="3695" spans="1:28" x14ac:dyDescent="0.25">
      <c r="A3695" t="s">
        <v>3699</v>
      </c>
      <c r="B3695">
        <v>0.99673306730245903</v>
      </c>
      <c r="C3695">
        <v>1.0193385031469999</v>
      </c>
      <c r="D3695">
        <v>0.82470020224880403</v>
      </c>
      <c r="E3695">
        <v>0.50674539587393896</v>
      </c>
      <c r="F3695">
        <v>0.49632110834445903</v>
      </c>
      <c r="G3695">
        <v>0.123535560619463</v>
      </c>
      <c r="H3695">
        <v>6.7459284469446504E-2</v>
      </c>
      <c r="I3695">
        <v>5.3532567944770702E-2</v>
      </c>
      <c r="J3695">
        <v>5.0517628017703702E-2</v>
      </c>
      <c r="K3695">
        <v>4.3444765790642902E-2</v>
      </c>
      <c r="L3695">
        <v>749.37460163874005</v>
      </c>
      <c r="M3695">
        <v>14.6980452537319</v>
      </c>
      <c r="N3695">
        <v>51.052531059369201</v>
      </c>
      <c r="O3695">
        <v>50.068760099287204</v>
      </c>
      <c r="P3695">
        <v>-7.2687178431785807E-2</v>
      </c>
      <c r="Q3695">
        <v>9.6754441493351502E-3</v>
      </c>
      <c r="R3695">
        <v>0.97279870098692001</v>
      </c>
      <c r="S3695" t="s">
        <v>10147</v>
      </c>
      <c r="T3695" t="s">
        <v>12902</v>
      </c>
      <c r="U3695" t="s">
        <v>12902</v>
      </c>
      <c r="V3695" t="s">
        <v>12902</v>
      </c>
      <c r="W3695" t="s">
        <v>16553</v>
      </c>
      <c r="X3695">
        <v>3</v>
      </c>
      <c r="Y3695" t="s">
        <v>22870</v>
      </c>
      <c r="Z3695" t="s">
        <v>29270</v>
      </c>
      <c r="AA3695">
        <v>0.39595920042069987</v>
      </c>
      <c r="AB3695" t="str">
        <f>HYPERLINK("Melting_Curves/meltCurve_Q5BKX5_C19orf54.pdf", "Melting_Curves/meltCurve_Q5BKX5_C19orf54.pdf")</f>
        <v>Melting_Curves/meltCurve_Q5BKX5_C19orf54.pdf</v>
      </c>
    </row>
    <row r="3696" spans="1:28" x14ac:dyDescent="0.25">
      <c r="A3696" t="s">
        <v>3700</v>
      </c>
      <c r="B3696">
        <v>0.99673306730245903</v>
      </c>
      <c r="C3696">
        <v>0.84328977451301201</v>
      </c>
      <c r="D3696">
        <v>0.75030594514249005</v>
      </c>
      <c r="E3696">
        <v>0.61661737645639003</v>
      </c>
      <c r="F3696">
        <v>0.433664110223623</v>
      </c>
      <c r="G3696">
        <v>0.380578344774748</v>
      </c>
      <c r="H3696">
        <v>0.36311006589928502</v>
      </c>
      <c r="I3696">
        <v>0.59840696645017599</v>
      </c>
      <c r="J3696">
        <v>1.2216047691256799</v>
      </c>
      <c r="K3696">
        <v>1.5987421279690699</v>
      </c>
      <c r="L3696">
        <v>2835.3607863558</v>
      </c>
      <c r="M3696">
        <v>66.559286180425403</v>
      </c>
      <c r="O3696">
        <v>42.560621687232199</v>
      </c>
      <c r="P3696">
        <v>-9.9642195467301103E-2</v>
      </c>
      <c r="Q3696">
        <v>0.74513953912797004</v>
      </c>
      <c r="R3696">
        <v>4.2356199766246799E-2</v>
      </c>
      <c r="S3696" t="s">
        <v>10148</v>
      </c>
      <c r="T3696" t="s">
        <v>12902</v>
      </c>
      <c r="U3696" t="s">
        <v>12902</v>
      </c>
      <c r="V3696" t="s">
        <v>12902</v>
      </c>
      <c r="W3696" t="s">
        <v>16554</v>
      </c>
      <c r="X3696">
        <v>1</v>
      </c>
      <c r="Y3696" t="s">
        <v>22871</v>
      </c>
      <c r="Z3696" t="s">
        <v>29271</v>
      </c>
      <c r="AA3696">
        <v>0.7675500930804221</v>
      </c>
      <c r="AB3696" t="str">
        <f>HYPERLINK("Melting_Curves/meltCurve_Q5BKZ1_ZNF326.pdf", "Melting_Curves/meltCurve_Q5BKZ1_ZNF326.pdf")</f>
        <v>Melting_Curves/meltCurve_Q5BKZ1_ZNF326.pdf</v>
      </c>
    </row>
    <row r="3697" spans="1:28" x14ac:dyDescent="0.25">
      <c r="A3697" t="s">
        <v>3701</v>
      </c>
      <c r="B3697">
        <v>0.99673306730245903</v>
      </c>
      <c r="C3697">
        <v>0.92350094183809806</v>
      </c>
      <c r="D3697">
        <v>0.69738772141462102</v>
      </c>
      <c r="E3697">
        <v>0.37014705333472703</v>
      </c>
      <c r="F3697">
        <v>0.20571481456362101</v>
      </c>
      <c r="G3697">
        <v>0.119128153080628</v>
      </c>
      <c r="H3697">
        <v>7.2149878146564206E-2</v>
      </c>
      <c r="I3697">
        <v>6.5799031812059802E-2</v>
      </c>
      <c r="J3697">
        <v>4.9269506788277698E-2</v>
      </c>
      <c r="K3697">
        <v>6.4317572315753704E-2</v>
      </c>
      <c r="L3697">
        <v>905.57858447295905</v>
      </c>
      <c r="M3697">
        <v>18.902964085443902</v>
      </c>
      <c r="N3697">
        <v>48.234716872634699</v>
      </c>
      <c r="O3697">
        <v>47.3802047794237</v>
      </c>
      <c r="P3697">
        <v>-9.3728678625874598E-2</v>
      </c>
      <c r="Q3697">
        <v>6.0315927006735E-2</v>
      </c>
      <c r="R3697">
        <v>0.99863436396129701</v>
      </c>
      <c r="S3697" t="s">
        <v>10149</v>
      </c>
      <c r="T3697" t="s">
        <v>12902</v>
      </c>
      <c r="U3697" t="s">
        <v>12902</v>
      </c>
      <c r="V3697" t="s">
        <v>12902</v>
      </c>
      <c r="W3697" t="s">
        <v>16555</v>
      </c>
      <c r="X3697">
        <v>1</v>
      </c>
      <c r="Y3697" t="s">
        <v>22872</v>
      </c>
      <c r="Z3697" t="s">
        <v>29272</v>
      </c>
      <c r="AA3697">
        <v>0.32305863657302919</v>
      </c>
      <c r="AB3697" t="str">
        <f>HYPERLINK("Melting_Curves/meltCurve_Q5D1E8_ZC3H12A.pdf", "Melting_Curves/meltCurve_Q5D1E8_ZC3H12A.pdf")</f>
        <v>Melting_Curves/meltCurve_Q5D1E8_ZC3H12A.pdf</v>
      </c>
    </row>
    <row r="3698" spans="1:28" x14ac:dyDescent="0.25">
      <c r="A3698" t="s">
        <v>3702</v>
      </c>
      <c r="B3698">
        <v>0.99673306730245903</v>
      </c>
      <c r="C3698">
        <v>0.910211683820078</v>
      </c>
      <c r="D3698">
        <v>0.75515177088922103</v>
      </c>
      <c r="E3698">
        <v>0.62458677365781801</v>
      </c>
      <c r="F3698">
        <v>0.390045437842512</v>
      </c>
      <c r="G3698">
        <v>0.30778701036917799</v>
      </c>
      <c r="H3698">
        <v>0.20130424889072801</v>
      </c>
      <c r="I3698">
        <v>0.20505411510482799</v>
      </c>
      <c r="J3698">
        <v>0.216780029086413</v>
      </c>
      <c r="K3698">
        <v>0.19787339829134701</v>
      </c>
      <c r="L3698">
        <v>683.53767631271398</v>
      </c>
      <c r="M3698">
        <v>13.7894102776675</v>
      </c>
      <c r="N3698">
        <v>51.169307420390503</v>
      </c>
      <c r="O3698">
        <v>48.562134981036202</v>
      </c>
      <c r="P3698">
        <v>-5.8567425460541299E-2</v>
      </c>
      <c r="Q3698">
        <v>0.17508872459889999</v>
      </c>
      <c r="R3698">
        <v>0.99393692141156798</v>
      </c>
      <c r="S3698" t="s">
        <v>10150</v>
      </c>
      <c r="T3698" t="s">
        <v>12902</v>
      </c>
      <c r="U3698" t="s">
        <v>12902</v>
      </c>
      <c r="V3698" t="s">
        <v>12902</v>
      </c>
      <c r="W3698" t="s">
        <v>16556</v>
      </c>
      <c r="X3698">
        <v>5</v>
      </c>
      <c r="Y3698" t="s">
        <v>22873</v>
      </c>
      <c r="Z3698" t="s">
        <v>29273</v>
      </c>
      <c r="AA3698">
        <v>0.46141362560339538</v>
      </c>
      <c r="AB3698" t="str">
        <f>HYPERLINK("Melting_Curves/meltCurve_Q5EBL8_PDZD11.pdf", "Melting_Curves/meltCurve_Q5EBL8_PDZD11.pdf")</f>
        <v>Melting_Curves/meltCurve_Q5EBL8_PDZD11.pdf</v>
      </c>
    </row>
    <row r="3699" spans="1:28" x14ac:dyDescent="0.25">
      <c r="A3699" t="s">
        <v>3703</v>
      </c>
      <c r="B3699">
        <v>0.99673306730245903</v>
      </c>
      <c r="C3699">
        <v>0.94123352362734303</v>
      </c>
      <c r="D3699">
        <v>0.89569065531144798</v>
      </c>
      <c r="E3699">
        <v>0.62660559774714997</v>
      </c>
      <c r="F3699">
        <v>0.23869841662208299</v>
      </c>
      <c r="G3699">
        <v>0.126804043140374</v>
      </c>
      <c r="H3699">
        <v>9.5925653547531506E-2</v>
      </c>
      <c r="I3699">
        <v>0.113167163941854</v>
      </c>
      <c r="J3699">
        <v>0.134054928473193</v>
      </c>
      <c r="K3699">
        <v>0.13408320419973499</v>
      </c>
      <c r="L3699">
        <v>1360.0534639334101</v>
      </c>
      <c r="M3699">
        <v>27.204291646782899</v>
      </c>
      <c r="N3699">
        <v>50.459474525329298</v>
      </c>
      <c r="O3699">
        <v>49.726275139592801</v>
      </c>
      <c r="P3699">
        <v>-0.12159570049691899</v>
      </c>
      <c r="Q3699">
        <v>0.11095745981818</v>
      </c>
      <c r="R3699">
        <v>0.99572601673196304</v>
      </c>
      <c r="S3699" t="s">
        <v>10151</v>
      </c>
      <c r="T3699" t="s">
        <v>12902</v>
      </c>
      <c r="U3699" t="s">
        <v>12902</v>
      </c>
      <c r="V3699" t="s">
        <v>12902</v>
      </c>
      <c r="W3699" t="s">
        <v>16557</v>
      </c>
      <c r="X3699">
        <v>10</v>
      </c>
      <c r="Y3699" t="s">
        <v>22874</v>
      </c>
      <c r="Z3699" t="s">
        <v>29274</v>
      </c>
      <c r="AA3699">
        <v>0.41383052864244119</v>
      </c>
      <c r="AB3699" t="str">
        <f>HYPERLINK("Melting_Curves/meltCurve_Q5F1R6_DNAJC21.pdf", "Melting_Curves/meltCurve_Q5F1R6_DNAJC21.pdf")</f>
        <v>Melting_Curves/meltCurve_Q5F1R6_DNAJC21.pdf</v>
      </c>
    </row>
    <row r="3700" spans="1:28" x14ac:dyDescent="0.25">
      <c r="A3700" t="s">
        <v>3704</v>
      </c>
      <c r="B3700">
        <v>0.99673306730245903</v>
      </c>
      <c r="C3700">
        <v>0.934509202688523</v>
      </c>
      <c r="D3700">
        <v>0.85639854886632605</v>
      </c>
      <c r="E3700">
        <v>0.67125490301245605</v>
      </c>
      <c r="F3700">
        <v>0.33962469369024301</v>
      </c>
      <c r="G3700">
        <v>0.19299717559532201</v>
      </c>
      <c r="H3700">
        <v>0.15168925247403101</v>
      </c>
      <c r="I3700">
        <v>0.138867366587382</v>
      </c>
      <c r="J3700">
        <v>0.13410935907164501</v>
      </c>
      <c r="K3700">
        <v>0.113046278107325</v>
      </c>
      <c r="L3700">
        <v>959.57264258812404</v>
      </c>
      <c r="M3700">
        <v>18.9986106969865</v>
      </c>
      <c r="N3700">
        <v>51.205901593218599</v>
      </c>
      <c r="O3700">
        <v>49.957917375233002</v>
      </c>
      <c r="P3700">
        <v>-8.4225430152033695E-2</v>
      </c>
      <c r="Q3700">
        <v>0.11413326317024899</v>
      </c>
      <c r="R3700">
        <v>0.99649760591921199</v>
      </c>
      <c r="S3700" t="s">
        <v>10152</v>
      </c>
      <c r="T3700" t="s">
        <v>12902</v>
      </c>
      <c r="U3700" t="s">
        <v>12902</v>
      </c>
      <c r="V3700" t="s">
        <v>12902</v>
      </c>
      <c r="W3700" t="s">
        <v>16558</v>
      </c>
      <c r="X3700">
        <v>18</v>
      </c>
      <c r="Y3700" t="s">
        <v>22875</v>
      </c>
      <c r="Z3700" t="s">
        <v>29275</v>
      </c>
      <c r="AA3700">
        <v>0.43798130159190263</v>
      </c>
      <c r="AB3700" t="str">
        <f>HYPERLINK("Melting_Curves/meltCurve_Q5GFL6_VWA2.pdf", "Melting_Curves/meltCurve_Q5GFL6_VWA2.pdf")</f>
        <v>Melting_Curves/meltCurve_Q5GFL6_VWA2.pdf</v>
      </c>
    </row>
    <row r="3701" spans="1:28" x14ac:dyDescent="0.25">
      <c r="A3701" t="s">
        <v>3705</v>
      </c>
      <c r="B3701">
        <v>0.99673306730245903</v>
      </c>
      <c r="C3701">
        <v>0.96326763106073898</v>
      </c>
      <c r="D3701">
        <v>0.97286258429976002</v>
      </c>
      <c r="E3701">
        <v>0.88962601146318798</v>
      </c>
      <c r="F3701">
        <v>0.231850977063249</v>
      </c>
      <c r="G3701">
        <v>0.147016341325414</v>
      </c>
      <c r="H3701">
        <v>8.93511128386483E-2</v>
      </c>
      <c r="I3701">
        <v>7.6120946192088798E-2</v>
      </c>
      <c r="J3701">
        <v>7.7066372349884296E-2</v>
      </c>
      <c r="K3701">
        <v>6.9959554165475002E-2</v>
      </c>
      <c r="L3701">
        <v>2614.7047255050502</v>
      </c>
      <c r="M3701">
        <v>50.780520331423602</v>
      </c>
      <c r="N3701">
        <v>51.690368210391803</v>
      </c>
      <c r="O3701">
        <v>51.410645444520704</v>
      </c>
      <c r="P3701">
        <v>-0.224907712336504</v>
      </c>
      <c r="Q3701">
        <v>8.9206562537917394E-2</v>
      </c>
      <c r="R3701">
        <v>0.99696132593318298</v>
      </c>
      <c r="S3701" t="s">
        <v>10153</v>
      </c>
      <c r="T3701" t="s">
        <v>12902</v>
      </c>
      <c r="U3701" t="s">
        <v>12902</v>
      </c>
      <c r="V3701" t="s">
        <v>12902</v>
      </c>
      <c r="W3701" t="s">
        <v>16559</v>
      </c>
      <c r="X3701">
        <v>13</v>
      </c>
      <c r="Y3701" t="s">
        <v>22876</v>
      </c>
      <c r="Z3701" t="s">
        <v>29276</v>
      </c>
      <c r="AA3701">
        <v>0.44005497618861622</v>
      </c>
      <c r="AB3701" t="str">
        <f>HYPERLINK("Melting_Curves/meltCurve_Q5GLZ8_3_HERC4.pdf", "Melting_Curves/meltCurve_Q5GLZ8_3_HERC4.pdf")</f>
        <v>Melting_Curves/meltCurve_Q5GLZ8_3_HERC4.pdf</v>
      </c>
    </row>
    <row r="3702" spans="1:28" x14ac:dyDescent="0.25">
      <c r="A3702" t="s">
        <v>3706</v>
      </c>
      <c r="B3702">
        <v>0.99673306730245903</v>
      </c>
      <c r="C3702">
        <v>0.99161289791639395</v>
      </c>
      <c r="D3702">
        <v>0.95394644052765099</v>
      </c>
      <c r="E3702">
        <v>0.97583199552250499</v>
      </c>
      <c r="F3702">
        <v>0.790087326349594</v>
      </c>
      <c r="G3702">
        <v>0.68372984803417403</v>
      </c>
      <c r="H3702">
        <v>0.32255104334749601</v>
      </c>
      <c r="I3702">
        <v>0.30582951226427701</v>
      </c>
      <c r="J3702">
        <v>0.27840638537795098</v>
      </c>
      <c r="K3702">
        <v>0.242233086910459</v>
      </c>
      <c r="L3702">
        <v>1129.0328720841601</v>
      </c>
      <c r="M3702">
        <v>19.8655870751622</v>
      </c>
      <c r="N3702">
        <v>58.570084416270099</v>
      </c>
      <c r="O3702">
        <v>56.267103801696102</v>
      </c>
      <c r="P3702">
        <v>-6.8623308005017494E-2</v>
      </c>
      <c r="Q3702">
        <v>0.22255403867729001</v>
      </c>
      <c r="R3702">
        <v>0.98549119345708203</v>
      </c>
      <c r="S3702" t="s">
        <v>10154</v>
      </c>
      <c r="T3702" t="s">
        <v>12902</v>
      </c>
      <c r="U3702" t="s">
        <v>12902</v>
      </c>
      <c r="V3702" t="s">
        <v>12902</v>
      </c>
      <c r="W3702" t="s">
        <v>16560</v>
      </c>
      <c r="X3702">
        <v>1</v>
      </c>
      <c r="Y3702" t="s">
        <v>22877</v>
      </c>
      <c r="Z3702" t="s">
        <v>29277</v>
      </c>
      <c r="AA3702">
        <v>0.66848614008465057</v>
      </c>
      <c r="AB3702" t="str">
        <f>HYPERLINK("Melting_Curves/meltCurve_Q5H8X8_UTS2.pdf", "Melting_Curves/meltCurve_Q5H8X8_UTS2.pdf")</f>
        <v>Melting_Curves/meltCurve_Q5H8X8_UTS2.pdf</v>
      </c>
    </row>
    <row r="3703" spans="1:28" x14ac:dyDescent="0.25">
      <c r="A3703" t="s">
        <v>3707</v>
      </c>
      <c r="B3703">
        <v>0.99673306730245903</v>
      </c>
      <c r="C3703">
        <v>0.951977642666612</v>
      </c>
      <c r="D3703">
        <v>0.894214366126317</v>
      </c>
      <c r="E3703">
        <v>0.81289042194636696</v>
      </c>
      <c r="F3703">
        <v>0.60445622983344605</v>
      </c>
      <c r="G3703">
        <v>0.23713036375084801</v>
      </c>
      <c r="H3703">
        <v>6.7733848859006199E-2</v>
      </c>
      <c r="I3703">
        <v>5.8891035264742597E-2</v>
      </c>
      <c r="J3703">
        <v>6.12568893615794E-2</v>
      </c>
      <c r="K3703">
        <v>5.4107316849875998E-2</v>
      </c>
      <c r="L3703">
        <v>1044.7241970344901</v>
      </c>
      <c r="M3703">
        <v>19.486528052035901</v>
      </c>
      <c r="N3703">
        <v>53.732665144153302</v>
      </c>
      <c r="O3703">
        <v>53.057620895321698</v>
      </c>
      <c r="P3703">
        <v>-8.9865579816436503E-2</v>
      </c>
      <c r="Q3703">
        <v>2.1297080861337199E-2</v>
      </c>
      <c r="R3703">
        <v>0.99123991088825902</v>
      </c>
      <c r="S3703" t="s">
        <v>10155</v>
      </c>
      <c r="T3703" t="s">
        <v>12902</v>
      </c>
      <c r="U3703" t="s">
        <v>12902</v>
      </c>
      <c r="V3703" t="s">
        <v>12902</v>
      </c>
      <c r="W3703" t="s">
        <v>16561</v>
      </c>
      <c r="X3703">
        <v>1</v>
      </c>
      <c r="Y3703" t="s">
        <v>22878</v>
      </c>
      <c r="Z3703" t="s">
        <v>29278</v>
      </c>
      <c r="AA3703">
        <v>0.47934399210881479</v>
      </c>
      <c r="AB3703" t="str">
        <f>HYPERLINK("Melting_Curves/meltCurve_Q5HY62_CXorf40B.pdf", "Melting_Curves/meltCurve_Q5HY62_CXorf40B.pdf")</f>
        <v>Melting_Curves/meltCurve_Q5HY62_CXorf40B.pdf</v>
      </c>
    </row>
    <row r="3704" spans="1:28" x14ac:dyDescent="0.25">
      <c r="A3704" t="s">
        <v>3708</v>
      </c>
      <c r="B3704">
        <v>0.99673306730245903</v>
      </c>
      <c r="C3704">
        <v>1.0605712435688599</v>
      </c>
      <c r="D3704">
        <v>0.90499758704733002</v>
      </c>
      <c r="E3704">
        <v>0.842042804915622</v>
      </c>
      <c r="F3704">
        <v>0.56010292570028597</v>
      </c>
      <c r="G3704">
        <v>0.38692942972178601</v>
      </c>
      <c r="H3704">
        <v>0.22894562646838301</v>
      </c>
      <c r="I3704">
        <v>0.18901403811221201</v>
      </c>
      <c r="J3704">
        <v>0.14406483207745799</v>
      </c>
      <c r="K3704">
        <v>0.119408537476583</v>
      </c>
      <c r="L3704">
        <v>868.26213580148601</v>
      </c>
      <c r="M3704">
        <v>16.1742441131296</v>
      </c>
      <c r="N3704">
        <v>54.546416150822203</v>
      </c>
      <c r="O3704">
        <v>52.881293753519799</v>
      </c>
      <c r="P3704">
        <v>-6.7823452141584403E-2</v>
      </c>
      <c r="Q3704">
        <v>0.113078221860647</v>
      </c>
      <c r="R3704">
        <v>0.99260235564428401</v>
      </c>
      <c r="S3704" t="s">
        <v>10156</v>
      </c>
      <c r="T3704" t="s">
        <v>12902</v>
      </c>
      <c r="U3704" t="s">
        <v>12902</v>
      </c>
      <c r="V3704" t="s">
        <v>12902</v>
      </c>
      <c r="W3704" t="s">
        <v>16562</v>
      </c>
      <c r="X3704">
        <v>2</v>
      </c>
      <c r="Y3704" t="s">
        <v>22879</v>
      </c>
      <c r="Z3704" t="s">
        <v>29279</v>
      </c>
      <c r="AA3704">
        <v>0.53428931526071566</v>
      </c>
      <c r="AB3704" t="str">
        <f>HYPERLINK("Melting_Curves/meltCurve_Q5HYI7_MTX3.pdf", "Melting_Curves/meltCurve_Q5HYI7_MTX3.pdf")</f>
        <v>Melting_Curves/meltCurve_Q5HYI7_MTX3.pdf</v>
      </c>
    </row>
    <row r="3705" spans="1:28" x14ac:dyDescent="0.25">
      <c r="A3705" t="s">
        <v>3709</v>
      </c>
      <c r="B3705">
        <v>0.99673306730245903</v>
      </c>
      <c r="C3705">
        <v>0.87440648059412396</v>
      </c>
      <c r="D3705">
        <v>0.81822842442909904</v>
      </c>
      <c r="E3705">
        <v>0.55122618027975401</v>
      </c>
      <c r="F3705">
        <v>0.28375223140240702</v>
      </c>
      <c r="G3705">
        <v>0.134734728599126</v>
      </c>
      <c r="H3705">
        <v>6.2502254088136394E-2</v>
      </c>
      <c r="I3705">
        <v>6.9454789124092198E-2</v>
      </c>
      <c r="J3705">
        <v>9.1623281421016403E-2</v>
      </c>
      <c r="K3705">
        <v>0.15886141401301801</v>
      </c>
      <c r="L3705">
        <v>888.041178256188</v>
      </c>
      <c r="M3705">
        <v>17.9523752338091</v>
      </c>
      <c r="N3705">
        <v>49.937988980506098</v>
      </c>
      <c r="O3705">
        <v>48.864948017985903</v>
      </c>
      <c r="P3705">
        <v>-8.4691143733526597E-2</v>
      </c>
      <c r="Q3705">
        <v>7.79552617200613E-2</v>
      </c>
      <c r="R3705">
        <v>0.987991880104369</v>
      </c>
      <c r="S3705" t="s">
        <v>10157</v>
      </c>
      <c r="T3705" t="s">
        <v>12902</v>
      </c>
      <c r="U3705" t="s">
        <v>12902</v>
      </c>
      <c r="V3705" t="s">
        <v>12902</v>
      </c>
      <c r="W3705" t="s">
        <v>16563</v>
      </c>
      <c r="X3705">
        <v>4</v>
      </c>
      <c r="Y3705" t="s">
        <v>22880</v>
      </c>
      <c r="Z3705" t="s">
        <v>29280</v>
      </c>
      <c r="AA3705">
        <v>0.38483216941355158</v>
      </c>
      <c r="AB3705" t="str">
        <f>HYPERLINK("Melting_Curves/meltCurve_Q5HYI8_RABL3.pdf", "Melting_Curves/meltCurve_Q5HYI8_RABL3.pdf")</f>
        <v>Melting_Curves/meltCurve_Q5HYI8_RABL3.pdf</v>
      </c>
    </row>
    <row r="3706" spans="1:28" x14ac:dyDescent="0.25">
      <c r="A3706" t="s">
        <v>3710</v>
      </c>
      <c r="B3706">
        <v>0.99673306730245903</v>
      </c>
      <c r="C3706">
        <v>0.98192869188972698</v>
      </c>
      <c r="D3706">
        <v>0.91095551852845702</v>
      </c>
      <c r="E3706">
        <v>0.83040333951012602</v>
      </c>
      <c r="F3706">
        <v>0.68241484621909898</v>
      </c>
      <c r="G3706">
        <v>0.58572666618706304</v>
      </c>
      <c r="H3706">
        <v>0.378555821296434</v>
      </c>
      <c r="I3706">
        <v>0.36843211214312199</v>
      </c>
      <c r="J3706">
        <v>0.28838265023256199</v>
      </c>
      <c r="K3706">
        <v>0.20245076870614501</v>
      </c>
      <c r="L3706">
        <v>540.76231191808495</v>
      </c>
      <c r="M3706">
        <v>9.44818734663966</v>
      </c>
      <c r="N3706">
        <v>58.434333177523897</v>
      </c>
      <c r="O3706">
        <v>54.846330008882397</v>
      </c>
      <c r="P3706">
        <v>-3.9293133577336298E-2</v>
      </c>
      <c r="Q3706">
        <v>8.8170729205736695E-2</v>
      </c>
      <c r="R3706">
        <v>0.99330375055636499</v>
      </c>
      <c r="S3706" t="s">
        <v>10158</v>
      </c>
      <c r="T3706" t="s">
        <v>12902</v>
      </c>
      <c r="U3706" t="s">
        <v>12902</v>
      </c>
      <c r="V3706" t="s">
        <v>12902</v>
      </c>
      <c r="W3706" t="s">
        <v>16564</v>
      </c>
      <c r="X3706">
        <v>12</v>
      </c>
      <c r="Y3706" t="s">
        <v>22881</v>
      </c>
      <c r="Z3706" t="s">
        <v>29281</v>
      </c>
      <c r="AA3706">
        <v>0.62443402826127214</v>
      </c>
      <c r="AB3706" t="str">
        <f>HYPERLINK("Melting_Curves/meltCurve_Q5HYK3_COQ5.pdf", "Melting_Curves/meltCurve_Q5HYK3_COQ5.pdf")</f>
        <v>Melting_Curves/meltCurve_Q5HYK3_COQ5.pdf</v>
      </c>
    </row>
    <row r="3707" spans="1:28" x14ac:dyDescent="0.25">
      <c r="A3707" t="s">
        <v>3711</v>
      </c>
      <c r="B3707">
        <v>0.99673306730245903</v>
      </c>
      <c r="C3707">
        <v>0.95944337254971401</v>
      </c>
      <c r="D3707">
        <v>0.74025940083202402</v>
      </c>
      <c r="E3707">
        <v>0.31482256863268598</v>
      </c>
      <c r="F3707">
        <v>0.17918402152573501</v>
      </c>
      <c r="G3707">
        <v>0.11968845328663399</v>
      </c>
      <c r="H3707">
        <v>7.5302188731780295E-2</v>
      </c>
      <c r="I3707">
        <v>7.9257735051993794E-2</v>
      </c>
      <c r="J3707">
        <v>7.3940033727641005E-2</v>
      </c>
      <c r="K3707">
        <v>7.1866244541030605E-2</v>
      </c>
      <c r="L3707">
        <v>1194.6057406315499</v>
      </c>
      <c r="M3707">
        <v>25.0603235891613</v>
      </c>
      <c r="N3707">
        <v>48.017600273313597</v>
      </c>
      <c r="O3707">
        <v>47.368774702924199</v>
      </c>
      <c r="P3707">
        <v>-0.121268923672935</v>
      </c>
      <c r="Q3707">
        <v>8.3126952556290795E-2</v>
      </c>
      <c r="R3707">
        <v>0.99813432170932204</v>
      </c>
      <c r="S3707" t="s">
        <v>10159</v>
      </c>
      <c r="T3707" t="s">
        <v>12902</v>
      </c>
      <c r="U3707" t="s">
        <v>12902</v>
      </c>
      <c r="V3707" t="s">
        <v>12902</v>
      </c>
      <c r="W3707" t="s">
        <v>16565</v>
      </c>
      <c r="X3707">
        <v>8</v>
      </c>
      <c r="Y3707" t="s">
        <v>22882</v>
      </c>
      <c r="Z3707" t="s">
        <v>29282</v>
      </c>
      <c r="AA3707">
        <v>0.32559067573964379</v>
      </c>
      <c r="AB3707" t="str">
        <f>HYPERLINK("Melting_Curves/meltCurve_Q5HYK7_2_SH3D19.pdf", "Melting_Curves/meltCurve_Q5HYK7_2_SH3D19.pdf")</f>
        <v>Melting_Curves/meltCurve_Q5HYK7_2_SH3D19.pdf</v>
      </c>
    </row>
    <row r="3708" spans="1:28" x14ac:dyDescent="0.25">
      <c r="A3708" t="s">
        <v>3712</v>
      </c>
      <c r="B3708">
        <v>0.99673306730245903</v>
      </c>
      <c r="C3708">
        <v>0.91026395828905105</v>
      </c>
      <c r="D3708">
        <v>1.0356182452093601</v>
      </c>
      <c r="E3708">
        <v>0.93951148899743098</v>
      </c>
      <c r="F3708">
        <v>0.76928814903643605</v>
      </c>
      <c r="G3708">
        <v>0.623950381206825</v>
      </c>
      <c r="H3708">
        <v>0.23178204859490101</v>
      </c>
      <c r="I3708">
        <v>7.90863144140381E-2</v>
      </c>
      <c r="J3708">
        <v>7.2757630817807603E-2</v>
      </c>
      <c r="K3708">
        <v>5.96365972026624E-2</v>
      </c>
      <c r="L3708">
        <v>1111.17656644199</v>
      </c>
      <c r="M3708">
        <v>19.340170309312299</v>
      </c>
      <c r="N3708">
        <v>57.465938147381699</v>
      </c>
      <c r="O3708">
        <v>56.850647826283101</v>
      </c>
      <c r="P3708">
        <v>-8.4885557378032703E-2</v>
      </c>
      <c r="Q3708">
        <v>1.9489034355777801E-3</v>
      </c>
      <c r="R3708">
        <v>0.98640762992991404</v>
      </c>
      <c r="S3708" t="s">
        <v>10160</v>
      </c>
      <c r="T3708" t="s">
        <v>12902</v>
      </c>
      <c r="U3708" t="s">
        <v>12902</v>
      </c>
      <c r="V3708" t="s">
        <v>12902</v>
      </c>
      <c r="W3708" t="s">
        <v>16566</v>
      </c>
      <c r="X3708">
        <v>34</v>
      </c>
      <c r="Y3708" t="s">
        <v>22883</v>
      </c>
      <c r="Z3708" t="s">
        <v>29283</v>
      </c>
      <c r="AA3708">
        <v>0.59489486141265169</v>
      </c>
      <c r="AB3708" t="str">
        <f>HYPERLINK("Melting_Curves/meltCurve_Q5JP53_TUBB.pdf", "Melting_Curves/meltCurve_Q5JP53_TUBB.pdf")</f>
        <v>Melting_Curves/meltCurve_Q5JP53_TUBB.pdf</v>
      </c>
    </row>
    <row r="3709" spans="1:28" x14ac:dyDescent="0.25">
      <c r="A3709" t="s">
        <v>3713</v>
      </c>
      <c r="B3709">
        <v>0.99673306730245903</v>
      </c>
      <c r="C3709">
        <v>0.84093115099051496</v>
      </c>
      <c r="D3709">
        <v>0.91640964202272401</v>
      </c>
      <c r="E3709">
        <v>0.71172670939730098</v>
      </c>
      <c r="F3709">
        <v>0.29822987844773902</v>
      </c>
      <c r="G3709">
        <v>0.130942317835754</v>
      </c>
      <c r="H3709">
        <v>7.5026470163051001E-2</v>
      </c>
      <c r="I3709">
        <v>6.4997682969396606E-2</v>
      </c>
      <c r="J3709">
        <v>6.3638499415745606E-2</v>
      </c>
      <c r="K3709">
        <v>5.26116879122328E-2</v>
      </c>
      <c r="L3709">
        <v>1160.6206830957999</v>
      </c>
      <c r="M3709">
        <v>22.737422932698301</v>
      </c>
      <c r="N3709">
        <v>51.286724315884797</v>
      </c>
      <c r="O3709">
        <v>50.654578067358102</v>
      </c>
      <c r="P3709">
        <v>-0.106507201554824</v>
      </c>
      <c r="Q3709">
        <v>5.0908531819853199E-2</v>
      </c>
      <c r="R3709">
        <v>0.98377535957113704</v>
      </c>
      <c r="S3709" t="s">
        <v>10161</v>
      </c>
      <c r="T3709" t="s">
        <v>12902</v>
      </c>
      <c r="U3709" t="s">
        <v>12902</v>
      </c>
      <c r="V3709" t="s">
        <v>12902</v>
      </c>
      <c r="W3709" t="s">
        <v>16567</v>
      </c>
      <c r="X3709">
        <v>39</v>
      </c>
      <c r="Y3709" t="s">
        <v>22884</v>
      </c>
      <c r="Z3709" t="s">
        <v>29284</v>
      </c>
      <c r="AA3709">
        <v>0.41063814363624401</v>
      </c>
      <c r="AB3709" t="str">
        <f>HYPERLINK("Melting_Curves/meltCurve_Q5JPE7_2_NOMO2.pdf", "Melting_Curves/meltCurve_Q5JPE7_2_NOMO2.pdf")</f>
        <v>Melting_Curves/meltCurve_Q5JPE7_2_NOMO2.pdf</v>
      </c>
    </row>
    <row r="3710" spans="1:28" x14ac:dyDescent="0.25">
      <c r="A3710" t="s">
        <v>3714</v>
      </c>
      <c r="B3710">
        <v>0.99673306730245903</v>
      </c>
      <c r="C3710">
        <v>1.01066081539152</v>
      </c>
      <c r="D3710">
        <v>0.81486122353322998</v>
      </c>
      <c r="E3710">
        <v>0.33590589277871302</v>
      </c>
      <c r="F3710">
        <v>0.19983504135933799</v>
      </c>
      <c r="G3710">
        <v>0.138757755259756</v>
      </c>
      <c r="H3710">
        <v>9.83249299409613E-2</v>
      </c>
      <c r="I3710">
        <v>0.107854930682567</v>
      </c>
      <c r="J3710">
        <v>0.11024458024188701</v>
      </c>
      <c r="K3710">
        <v>9.8252244289754195E-2</v>
      </c>
      <c r="L3710">
        <v>1478.32627296176</v>
      </c>
      <c r="M3710">
        <v>30.814985344046899</v>
      </c>
      <c r="N3710">
        <v>48.385162398326102</v>
      </c>
      <c r="O3710">
        <v>47.773601551208301</v>
      </c>
      <c r="P3710">
        <v>-0.142691781102943</v>
      </c>
      <c r="Q3710">
        <v>0.115124332505478</v>
      </c>
      <c r="R3710">
        <v>0.996900501114658</v>
      </c>
      <c r="S3710" t="s">
        <v>10162</v>
      </c>
      <c r="T3710" t="s">
        <v>12902</v>
      </c>
      <c r="U3710" t="s">
        <v>12902</v>
      </c>
      <c r="V3710" t="s">
        <v>12902</v>
      </c>
      <c r="W3710" t="s">
        <v>16568</v>
      </c>
      <c r="X3710">
        <v>11</v>
      </c>
      <c r="Y3710" t="s">
        <v>22885</v>
      </c>
      <c r="Z3710" t="s">
        <v>29285</v>
      </c>
      <c r="AA3710">
        <v>0.35536689106484193</v>
      </c>
      <c r="AB3710" t="str">
        <f>HYPERLINK("Melting_Curves/meltCurve_Q5JPH6_EARS2.pdf", "Melting_Curves/meltCurve_Q5JPH6_EARS2.pdf")</f>
        <v>Melting_Curves/meltCurve_Q5JPH6_EARS2.pdf</v>
      </c>
    </row>
    <row r="3711" spans="1:28" x14ac:dyDescent="0.25">
      <c r="A3711" t="s">
        <v>3715</v>
      </c>
      <c r="B3711">
        <v>0.99673306730245903</v>
      </c>
      <c r="C3711">
        <v>0.93017647723663799</v>
      </c>
      <c r="D3711">
        <v>0.75094043735457106</v>
      </c>
      <c r="E3711">
        <v>0.32203008967783397</v>
      </c>
      <c r="F3711">
        <v>0.18526778342073899</v>
      </c>
      <c r="G3711">
        <v>0.11434861226828499</v>
      </c>
      <c r="H3711">
        <v>8.0134618084702805E-2</v>
      </c>
      <c r="I3711">
        <v>7.8315942688028606E-2</v>
      </c>
      <c r="J3711">
        <v>0.11472222914871</v>
      </c>
      <c r="K3711">
        <v>0.111319735992968</v>
      </c>
      <c r="L3711">
        <v>1197.6261069864099</v>
      </c>
      <c r="M3711">
        <v>25.149136654439399</v>
      </c>
      <c r="N3711">
        <v>48.039758470118002</v>
      </c>
      <c r="O3711">
        <v>47.322921359662899</v>
      </c>
      <c r="P3711">
        <v>-0.119782404547276</v>
      </c>
      <c r="Q3711">
        <v>9.8437470126887902E-2</v>
      </c>
      <c r="R3711">
        <v>0.99769419509016199</v>
      </c>
      <c r="S3711" t="s">
        <v>10163</v>
      </c>
      <c r="T3711" t="s">
        <v>12902</v>
      </c>
      <c r="U3711" t="s">
        <v>12902</v>
      </c>
      <c r="V3711" t="s">
        <v>12902</v>
      </c>
      <c r="W3711" t="s">
        <v>16569</v>
      </c>
      <c r="X3711">
        <v>3</v>
      </c>
      <c r="Y3711" t="s">
        <v>22886</v>
      </c>
      <c r="Z3711" t="s">
        <v>29286</v>
      </c>
      <c r="AA3711">
        <v>0.33534505002123138</v>
      </c>
      <c r="AB3711" t="str">
        <f>HYPERLINK("Melting_Curves/meltCurve_Q5JQQ2_DPCD.pdf", "Melting_Curves/meltCurve_Q5JQQ2_DPCD.pdf")</f>
        <v>Melting_Curves/meltCurve_Q5JQQ2_DPCD.pdf</v>
      </c>
    </row>
    <row r="3712" spans="1:28" x14ac:dyDescent="0.25">
      <c r="A3712" t="s">
        <v>3716</v>
      </c>
      <c r="B3712">
        <v>0.99673306730245903</v>
      </c>
      <c r="C3712">
        <v>1.02192090616485</v>
      </c>
      <c r="D3712">
        <v>1.05770972043267</v>
      </c>
      <c r="E3712">
        <v>0.91738561682883701</v>
      </c>
      <c r="F3712">
        <v>0.659082180872543</v>
      </c>
      <c r="G3712">
        <v>0.43085889706599101</v>
      </c>
      <c r="H3712">
        <v>0.30065849398041</v>
      </c>
      <c r="I3712">
        <v>0.21724470729366699</v>
      </c>
      <c r="J3712">
        <v>0.17215736547240401</v>
      </c>
      <c r="K3712">
        <v>0.13695010471309901</v>
      </c>
      <c r="L3712">
        <v>1058.84155652865</v>
      </c>
      <c r="M3712">
        <v>19.349314541982601</v>
      </c>
      <c r="N3712">
        <v>55.796361057321299</v>
      </c>
      <c r="O3712">
        <v>54.148005453270201</v>
      </c>
      <c r="P3712">
        <v>-7.5449498395663298E-2</v>
      </c>
      <c r="Q3712">
        <v>0.15546634053481201</v>
      </c>
      <c r="R3712">
        <v>0.99165083560526501</v>
      </c>
      <c r="S3712" t="s">
        <v>10164</v>
      </c>
      <c r="T3712" t="s">
        <v>12902</v>
      </c>
      <c r="U3712" t="s">
        <v>12902</v>
      </c>
      <c r="V3712" t="s">
        <v>12902</v>
      </c>
      <c r="W3712" t="s">
        <v>16570</v>
      </c>
      <c r="X3712">
        <v>14</v>
      </c>
      <c r="Y3712" t="s">
        <v>22887</v>
      </c>
      <c r="Z3712" t="s">
        <v>29287</v>
      </c>
      <c r="AA3712">
        <v>0.58181992529498738</v>
      </c>
      <c r="AB3712" t="str">
        <f>HYPERLINK("Melting_Curves/meltCurve_Q5JR08_RHOC.pdf", "Melting_Curves/meltCurve_Q5JR08_RHOC.pdf")</f>
        <v>Melting_Curves/meltCurve_Q5JR08_RHOC.pdf</v>
      </c>
    </row>
    <row r="3713" spans="1:28" x14ac:dyDescent="0.25">
      <c r="A3713" t="s">
        <v>3717</v>
      </c>
      <c r="B3713">
        <v>0.99673306730245903</v>
      </c>
      <c r="C3713">
        <v>1.05327674607958</v>
      </c>
      <c r="D3713">
        <v>0.93225635861767497</v>
      </c>
      <c r="E3713">
        <v>0.94225092673239297</v>
      </c>
      <c r="F3713">
        <v>0.73487952287370295</v>
      </c>
      <c r="G3713">
        <v>0.266882022296759</v>
      </c>
      <c r="H3713">
        <v>8.6420834856022297E-2</v>
      </c>
      <c r="I3713">
        <v>6.5107297080233398E-2</v>
      </c>
      <c r="J3713">
        <v>3.79319420025752E-2</v>
      </c>
      <c r="K3713">
        <v>5.8129404497701001E-2</v>
      </c>
      <c r="L3713">
        <v>1727.6468414554899</v>
      </c>
      <c r="M3713">
        <v>31.580305064942099</v>
      </c>
      <c r="N3713">
        <v>54.881932989282902</v>
      </c>
      <c r="O3713">
        <v>54.488514417194601</v>
      </c>
      <c r="P3713">
        <v>-0.13793764494381799</v>
      </c>
      <c r="Q3713">
        <v>4.8017280217374302E-2</v>
      </c>
      <c r="R3713">
        <v>0.99551610207966201</v>
      </c>
      <c r="S3713" t="s">
        <v>10165</v>
      </c>
      <c r="T3713" t="s">
        <v>12902</v>
      </c>
      <c r="U3713" t="s">
        <v>12902</v>
      </c>
      <c r="V3713" t="s">
        <v>12902</v>
      </c>
      <c r="W3713" t="s">
        <v>16571</v>
      </c>
      <c r="X3713">
        <v>1</v>
      </c>
      <c r="Y3713" t="s">
        <v>22888</v>
      </c>
      <c r="Z3713" t="s">
        <v>29288</v>
      </c>
      <c r="AA3713">
        <v>0.52040360824535115</v>
      </c>
      <c r="AB3713" t="str">
        <f>HYPERLINK("Melting_Curves/meltCurve_Q5JR12_2_PPM1J.pdf", "Melting_Curves/meltCurve_Q5JR12_2_PPM1J.pdf")</f>
        <v>Melting_Curves/meltCurve_Q5JR12_2_PPM1J.pdf</v>
      </c>
    </row>
    <row r="3714" spans="1:28" x14ac:dyDescent="0.25">
      <c r="A3714" t="s">
        <v>3718</v>
      </c>
      <c r="B3714">
        <v>0.99673306730245903</v>
      </c>
      <c r="C3714">
        <v>1.09470914140759</v>
      </c>
      <c r="D3714">
        <v>0.73171805765641895</v>
      </c>
      <c r="E3714">
        <v>0.54060141819115703</v>
      </c>
      <c r="F3714">
        <v>0.26545789257521801</v>
      </c>
      <c r="G3714">
        <v>0.15488216524609</v>
      </c>
      <c r="H3714">
        <v>0.10866315283811601</v>
      </c>
      <c r="I3714">
        <v>0.12737448807403001</v>
      </c>
      <c r="J3714">
        <v>0.17507505621216901</v>
      </c>
      <c r="K3714">
        <v>0.179984325240269</v>
      </c>
      <c r="L3714">
        <v>1063.38831285529</v>
      </c>
      <c r="M3714">
        <v>21.774695964065199</v>
      </c>
      <c r="N3714">
        <v>49.5868866953356</v>
      </c>
      <c r="O3714">
        <v>48.429679799142797</v>
      </c>
      <c r="P3714">
        <v>-9.6619240385301397E-2</v>
      </c>
      <c r="Q3714">
        <v>0.14044651266408001</v>
      </c>
      <c r="R3714">
        <v>0.97408748009619295</v>
      </c>
      <c r="S3714" t="s">
        <v>10166</v>
      </c>
      <c r="T3714" t="s">
        <v>12902</v>
      </c>
      <c r="U3714" t="s">
        <v>12902</v>
      </c>
      <c r="V3714" t="s">
        <v>12902</v>
      </c>
      <c r="W3714" t="s">
        <v>16572</v>
      </c>
      <c r="X3714">
        <v>60</v>
      </c>
      <c r="Y3714" t="s">
        <v>22889</v>
      </c>
      <c r="Z3714" t="s">
        <v>29289</v>
      </c>
      <c r="AA3714">
        <v>0.40373871568530462</v>
      </c>
      <c r="AB3714" t="str">
        <f>HYPERLINK("Melting_Curves/meltCurve_Q5JRA6_MIA3.pdf", "Melting_Curves/meltCurve_Q5JRA6_MIA3.pdf")</f>
        <v>Melting_Curves/meltCurve_Q5JRA6_MIA3.pdf</v>
      </c>
    </row>
    <row r="3715" spans="1:28" x14ac:dyDescent="0.25">
      <c r="A3715" t="s">
        <v>3719</v>
      </c>
      <c r="B3715">
        <v>0.99673306730245903</v>
      </c>
      <c r="C3715">
        <v>0.96979518173005497</v>
      </c>
      <c r="D3715">
        <v>1.0283985885922999</v>
      </c>
      <c r="E3715">
        <v>1.0275095869995801</v>
      </c>
      <c r="F3715">
        <v>0.80173621820171104</v>
      </c>
      <c r="G3715">
        <v>0.56022754459464796</v>
      </c>
      <c r="H3715">
        <v>0.35705634093849697</v>
      </c>
      <c r="I3715">
        <v>0.34839043360434202</v>
      </c>
      <c r="J3715">
        <v>0.35519973793822501</v>
      </c>
      <c r="K3715">
        <v>0.32643408159002302</v>
      </c>
      <c r="L3715">
        <v>1584.29095719408</v>
      </c>
      <c r="M3715">
        <v>28.705834952490399</v>
      </c>
      <c r="N3715">
        <v>57.395064043219598</v>
      </c>
      <c r="O3715">
        <v>54.924795000548301</v>
      </c>
      <c r="P3715">
        <v>-8.7021068528348899E-2</v>
      </c>
      <c r="Q3715">
        <v>0.333992234632009</v>
      </c>
      <c r="R3715">
        <v>0.99251923625954797</v>
      </c>
      <c r="S3715" t="s">
        <v>10167</v>
      </c>
      <c r="T3715" t="s">
        <v>12902</v>
      </c>
      <c r="U3715" t="s">
        <v>12902</v>
      </c>
      <c r="V3715" t="s">
        <v>12902</v>
      </c>
      <c r="W3715" t="s">
        <v>16573</v>
      </c>
      <c r="X3715">
        <v>12</v>
      </c>
      <c r="Y3715" t="s">
        <v>22890</v>
      </c>
      <c r="Z3715" t="s">
        <v>29290</v>
      </c>
      <c r="AA3715">
        <v>0.67602969538659707</v>
      </c>
      <c r="AB3715" t="str">
        <f>HYPERLINK("Melting_Curves/meltCurve_Q5JRG1_NUPL1.pdf", "Melting_Curves/meltCurve_Q5JRG1_NUPL1.pdf")</f>
        <v>Melting_Curves/meltCurve_Q5JRG1_NUPL1.pdf</v>
      </c>
    </row>
    <row r="3716" spans="1:28" x14ac:dyDescent="0.25">
      <c r="A3716" t="s">
        <v>3720</v>
      </c>
      <c r="B3716">
        <v>0.99673306730245903</v>
      </c>
      <c r="C3716">
        <v>0.98913448886952804</v>
      </c>
      <c r="D3716">
        <v>0.82407847229481801</v>
      </c>
      <c r="E3716">
        <v>0.76755898940221501</v>
      </c>
      <c r="F3716">
        <v>0.55927585426620197</v>
      </c>
      <c r="G3716">
        <v>0.39615106789613402</v>
      </c>
      <c r="H3716">
        <v>0.294417606921476</v>
      </c>
      <c r="I3716">
        <v>0.45359356238908299</v>
      </c>
      <c r="J3716">
        <v>1.0765835159527</v>
      </c>
      <c r="K3716">
        <v>2.2306262502571901</v>
      </c>
      <c r="L3716">
        <v>10841.402692209</v>
      </c>
      <c r="M3716">
        <v>250</v>
      </c>
      <c r="O3716">
        <v>43.362836639808101</v>
      </c>
      <c r="P3716">
        <v>-0.251820403451328</v>
      </c>
      <c r="Q3716">
        <v>0.82528565188283098</v>
      </c>
      <c r="R3716">
        <v>1.6291843100913399E-2</v>
      </c>
      <c r="S3716" t="s">
        <v>10168</v>
      </c>
      <c r="T3716" t="s">
        <v>12902</v>
      </c>
      <c r="U3716" t="s">
        <v>12902</v>
      </c>
      <c r="V3716" t="s">
        <v>12902</v>
      </c>
      <c r="W3716" t="s">
        <v>16574</v>
      </c>
      <c r="X3716">
        <v>6</v>
      </c>
      <c r="Y3716" t="s">
        <v>22891</v>
      </c>
      <c r="Z3716" t="s">
        <v>29291</v>
      </c>
      <c r="AA3716">
        <v>0.84489963173851224</v>
      </c>
      <c r="AB3716" t="str">
        <f>HYPERLINK("Melting_Curves/meltCurve_Q5JRI1_SRSF10.pdf", "Melting_Curves/meltCurve_Q5JRI1_SRSF10.pdf")</f>
        <v>Melting_Curves/meltCurve_Q5JRI1_SRSF10.pdf</v>
      </c>
    </row>
    <row r="3717" spans="1:28" x14ac:dyDescent="0.25">
      <c r="A3717" t="s">
        <v>3721</v>
      </c>
      <c r="B3717">
        <v>0.99673306730245903</v>
      </c>
      <c r="C3717">
        <v>0.94483919754123402</v>
      </c>
      <c r="D3717">
        <v>0.85017529258764901</v>
      </c>
      <c r="E3717">
        <v>0.70960356132637203</v>
      </c>
      <c r="F3717">
        <v>0.39469574083942099</v>
      </c>
      <c r="G3717">
        <v>0.220153460936165</v>
      </c>
      <c r="H3717">
        <v>0.11941924653952</v>
      </c>
      <c r="I3717">
        <v>9.6602647174402395E-2</v>
      </c>
      <c r="J3717">
        <v>8.7310512882833993E-2</v>
      </c>
      <c r="K3717">
        <v>6.9053808161232993E-2</v>
      </c>
      <c r="L3717">
        <v>836.67733654368499</v>
      </c>
      <c r="M3717">
        <v>16.241282883598799</v>
      </c>
      <c r="N3717">
        <v>51.891950419706497</v>
      </c>
      <c r="O3717">
        <v>50.7534676617977</v>
      </c>
      <c r="P3717">
        <v>-7.5560236176462098E-2</v>
      </c>
      <c r="Q3717">
        <v>5.5576989293050001E-2</v>
      </c>
      <c r="R3717">
        <v>0.99747431523535002</v>
      </c>
      <c r="S3717" t="s">
        <v>10169</v>
      </c>
      <c r="T3717" t="s">
        <v>12902</v>
      </c>
      <c r="U3717" t="s">
        <v>12902</v>
      </c>
      <c r="V3717" t="s">
        <v>12902</v>
      </c>
      <c r="W3717" t="s">
        <v>16575</v>
      </c>
      <c r="X3717">
        <v>36</v>
      </c>
      <c r="Y3717" t="s">
        <v>22892</v>
      </c>
      <c r="Z3717" t="s">
        <v>29292</v>
      </c>
      <c r="AA3717">
        <v>0.43694926973952608</v>
      </c>
      <c r="AB3717" t="str">
        <f>HYPERLINK("Melting_Curves/meltCurve_Q5JRX3_PITRM1.pdf", "Melting_Curves/meltCurve_Q5JRX3_PITRM1.pdf")</f>
        <v>Melting_Curves/meltCurve_Q5JRX3_PITRM1.pdf</v>
      </c>
    </row>
    <row r="3718" spans="1:28" x14ac:dyDescent="0.25">
      <c r="A3718" t="s">
        <v>3722</v>
      </c>
      <c r="B3718">
        <v>0.99673306730245903</v>
      </c>
      <c r="C3718">
        <v>1.01364738592127</v>
      </c>
      <c r="D3718">
        <v>1.00062760564007</v>
      </c>
      <c r="E3718">
        <v>0.99570799506089602</v>
      </c>
      <c r="F3718">
        <v>0.87196355415527904</v>
      </c>
      <c r="G3718">
        <v>0.79047560280194196</v>
      </c>
      <c r="H3718">
        <v>0.59774383660358099</v>
      </c>
      <c r="I3718">
        <v>0.79761468226387</v>
      </c>
      <c r="J3718">
        <v>1.0435645006572101</v>
      </c>
      <c r="K3718">
        <v>0.85483150985719103</v>
      </c>
      <c r="L3718">
        <v>13255.160519961501</v>
      </c>
      <c r="M3718">
        <v>250</v>
      </c>
      <c r="O3718">
        <v>53.017227957574299</v>
      </c>
      <c r="P3718">
        <v>-0.215913190043033</v>
      </c>
      <c r="Q3718">
        <v>0.81684602563479902</v>
      </c>
      <c r="R3718">
        <v>0.42846402458288602</v>
      </c>
      <c r="S3718" t="s">
        <v>10170</v>
      </c>
      <c r="T3718" t="s">
        <v>12902</v>
      </c>
      <c r="U3718" t="s">
        <v>12902</v>
      </c>
      <c r="V3718" t="s">
        <v>12902</v>
      </c>
      <c r="W3718" t="s">
        <v>16576</v>
      </c>
      <c r="X3718">
        <v>6</v>
      </c>
      <c r="Y3718" t="s">
        <v>22893</v>
      </c>
      <c r="Z3718" t="s">
        <v>29293</v>
      </c>
      <c r="AA3718">
        <v>0.89635581304269962</v>
      </c>
      <c r="AB3718" t="str">
        <f>HYPERLINK("Melting_Curves/meltCurve_Q5JS37_NHLRC3.pdf", "Melting_Curves/meltCurve_Q5JS37_NHLRC3.pdf")</f>
        <v>Melting_Curves/meltCurve_Q5JS37_NHLRC3.pdf</v>
      </c>
    </row>
    <row r="3719" spans="1:28" x14ac:dyDescent="0.25">
      <c r="A3719" t="s">
        <v>3723</v>
      </c>
      <c r="B3719">
        <v>0.99673306730245903</v>
      </c>
      <c r="C3719">
        <v>0.97068668502903099</v>
      </c>
      <c r="D3719">
        <v>0.94609890742650304</v>
      </c>
      <c r="E3719">
        <v>0.94939166586624302</v>
      </c>
      <c r="F3719">
        <v>0.93979292984206797</v>
      </c>
      <c r="G3719">
        <v>0.80234299314733104</v>
      </c>
      <c r="H3719">
        <v>0.59071798734876002</v>
      </c>
      <c r="I3719">
        <v>0.68534112190218699</v>
      </c>
      <c r="J3719">
        <v>0.78834223859164898</v>
      </c>
      <c r="K3719">
        <v>0.55943831824790202</v>
      </c>
      <c r="L3719">
        <v>2091.2727360409399</v>
      </c>
      <c r="M3719">
        <v>37.395244907214703</v>
      </c>
      <c r="O3719">
        <v>55.764290769397</v>
      </c>
      <c r="P3719">
        <v>-5.7863290549048103E-2</v>
      </c>
      <c r="Q3719">
        <v>0.65485489082626103</v>
      </c>
      <c r="R3719">
        <v>0.83033015367941698</v>
      </c>
      <c r="S3719" t="s">
        <v>10171</v>
      </c>
      <c r="T3719" t="s">
        <v>12902</v>
      </c>
      <c r="U3719" t="s">
        <v>12902</v>
      </c>
      <c r="V3719" t="s">
        <v>12902</v>
      </c>
      <c r="W3719" t="s">
        <v>16577</v>
      </c>
      <c r="X3719">
        <v>4</v>
      </c>
      <c r="Y3719" t="s">
        <v>22894</v>
      </c>
      <c r="Z3719" t="s">
        <v>29294</v>
      </c>
      <c r="AA3719">
        <v>0.83956532394326233</v>
      </c>
      <c r="AB3719" t="str">
        <f>HYPERLINK("Melting_Curves/meltCurve_Q5JS54_PSMG4.pdf", "Melting_Curves/meltCurve_Q5JS54_PSMG4.pdf")</f>
        <v>Melting_Curves/meltCurve_Q5JS54_PSMG4.pdf</v>
      </c>
    </row>
    <row r="3720" spans="1:28" x14ac:dyDescent="0.25">
      <c r="A3720" t="s">
        <v>3724</v>
      </c>
      <c r="B3720">
        <v>0.99673306730245903</v>
      </c>
      <c r="C3720">
        <v>1.0193805848203299</v>
      </c>
      <c r="D3720">
        <v>0.98190481101164395</v>
      </c>
      <c r="E3720">
        <v>0.98501082569463205</v>
      </c>
      <c r="F3720">
        <v>0.82979258786618604</v>
      </c>
      <c r="G3720">
        <v>0.53241569469402805</v>
      </c>
      <c r="H3720">
        <v>0.17531817803929001</v>
      </c>
      <c r="I3720">
        <v>0.14672976860699899</v>
      </c>
      <c r="J3720">
        <v>0.16407637570028499</v>
      </c>
      <c r="K3720">
        <v>0.148531830405709</v>
      </c>
      <c r="L3720">
        <v>1626.8098691979501</v>
      </c>
      <c r="M3720">
        <v>28.948750203256601</v>
      </c>
      <c r="N3720">
        <v>56.801273376795002</v>
      </c>
      <c r="O3720">
        <v>55.930088405150499</v>
      </c>
      <c r="P3720">
        <v>-0.11222955902272</v>
      </c>
      <c r="Q3720">
        <v>0.13267937566278801</v>
      </c>
      <c r="R3720">
        <v>0.99635809650457396</v>
      </c>
      <c r="S3720" t="s">
        <v>10172</v>
      </c>
      <c r="T3720" t="s">
        <v>12902</v>
      </c>
      <c r="U3720" t="s">
        <v>12902</v>
      </c>
      <c r="V3720" t="s">
        <v>12902</v>
      </c>
      <c r="W3720" t="s">
        <v>16578</v>
      </c>
      <c r="X3720">
        <v>22</v>
      </c>
      <c r="Y3720" t="s">
        <v>22895</v>
      </c>
      <c r="Z3720" t="s">
        <v>29295</v>
      </c>
      <c r="AA3720">
        <v>0.60709320513019482</v>
      </c>
      <c r="AB3720" t="str">
        <f>HYPERLINK("Melting_Curves/meltCurve_Q5JSH3_2_WDR44.pdf", "Melting_Curves/meltCurve_Q5JSH3_2_WDR44.pdf")</f>
        <v>Melting_Curves/meltCurve_Q5JSH3_2_WDR44.pdf</v>
      </c>
    </row>
    <row r="3721" spans="1:28" x14ac:dyDescent="0.25">
      <c r="A3721" t="s">
        <v>3725</v>
      </c>
      <c r="B3721">
        <v>0.99673306730245903</v>
      </c>
      <c r="C3721">
        <v>0.98649246342808306</v>
      </c>
      <c r="D3721">
        <v>1.03963891022261</v>
      </c>
      <c r="E3721">
        <v>0.91653146488538395</v>
      </c>
      <c r="F3721">
        <v>1.17374198729845</v>
      </c>
      <c r="G3721">
        <v>0.75062322068873499</v>
      </c>
      <c r="H3721">
        <v>0.69862239788227698</v>
      </c>
      <c r="I3721">
        <v>1.4271075353409199</v>
      </c>
      <c r="J3721">
        <v>1.7409663271106299</v>
      </c>
      <c r="K3721">
        <v>1.7655842507878401</v>
      </c>
      <c r="L3721">
        <v>15000</v>
      </c>
      <c r="M3721">
        <v>236.14215717371101</v>
      </c>
      <c r="O3721">
        <v>63.516482319736802</v>
      </c>
      <c r="P3721">
        <v>0.46472598510580998</v>
      </c>
      <c r="Q3721">
        <v>1.5</v>
      </c>
      <c r="R3721">
        <v>0.75068429126963498</v>
      </c>
      <c r="S3721" t="s">
        <v>10173</v>
      </c>
      <c r="T3721" t="s">
        <v>12902</v>
      </c>
      <c r="U3721" t="s">
        <v>12902</v>
      </c>
      <c r="V3721" t="s">
        <v>12902</v>
      </c>
      <c r="W3721" t="s">
        <v>16579</v>
      </c>
      <c r="X3721">
        <v>7</v>
      </c>
      <c r="Y3721" t="s">
        <v>22896</v>
      </c>
      <c r="Z3721" t="s">
        <v>29296</v>
      </c>
      <c r="AA3721">
        <v>1.1079198679165541</v>
      </c>
      <c r="AB3721" t="str">
        <f>HYPERLINK("Melting_Curves/meltCurve_Q5JSL0_HMGN5.pdf", "Melting_Curves/meltCurve_Q5JSL0_HMGN5.pdf")</f>
        <v>Melting_Curves/meltCurve_Q5JSL0_HMGN5.pdf</v>
      </c>
    </row>
    <row r="3722" spans="1:28" x14ac:dyDescent="0.25">
      <c r="A3722" t="s">
        <v>3726</v>
      </c>
      <c r="B3722">
        <v>0.99673306730245903</v>
      </c>
      <c r="C3722">
        <v>0.91512725018902796</v>
      </c>
      <c r="D3722">
        <v>0.90754777302225798</v>
      </c>
      <c r="E3722">
        <v>0.84325941078015099</v>
      </c>
      <c r="F3722">
        <v>0.89956095143704895</v>
      </c>
      <c r="G3722">
        <v>0.72296262268374101</v>
      </c>
      <c r="H3722">
        <v>0.53250887831121096</v>
      </c>
      <c r="I3722">
        <v>0.63008260911284297</v>
      </c>
      <c r="J3722">
        <v>1.1085527643294499</v>
      </c>
      <c r="K3722">
        <v>1.5190955899721801</v>
      </c>
      <c r="L3722">
        <v>15000</v>
      </c>
      <c r="M3722">
        <v>222.264646145212</v>
      </c>
      <c r="O3722">
        <v>67.481652994136695</v>
      </c>
      <c r="P3722">
        <v>0.41171310681735701</v>
      </c>
      <c r="Q3722">
        <v>1.5</v>
      </c>
      <c r="R3722">
        <v>0.28804900242596898</v>
      </c>
      <c r="S3722" t="s">
        <v>10174</v>
      </c>
      <c r="T3722" t="s">
        <v>12902</v>
      </c>
      <c r="U3722" t="s">
        <v>12902</v>
      </c>
      <c r="V3722" t="s">
        <v>12902</v>
      </c>
      <c r="W3722" t="s">
        <v>16580</v>
      </c>
      <c r="X3722">
        <v>51</v>
      </c>
      <c r="Y3722" t="s">
        <v>20112</v>
      </c>
      <c r="Z3722" t="s">
        <v>29297</v>
      </c>
      <c r="AA3722">
        <v>1.041808354050374</v>
      </c>
      <c r="AB3722" t="str">
        <f>HYPERLINK("Melting_Curves/meltCurve_Q5JSZ5_PRRC2B.pdf", "Melting_Curves/meltCurve_Q5JSZ5_PRRC2B.pdf")</f>
        <v>Melting_Curves/meltCurve_Q5JSZ5_PRRC2B.pdf</v>
      </c>
    </row>
    <row r="3723" spans="1:28" x14ac:dyDescent="0.25">
      <c r="A3723" t="s">
        <v>3727</v>
      </c>
      <c r="B3723">
        <v>0.99673306730245903</v>
      </c>
      <c r="C3723">
        <v>0.950626430960129</v>
      </c>
      <c r="D3723">
        <v>0.82977241267892798</v>
      </c>
      <c r="E3723">
        <v>0.50416274571790498</v>
      </c>
      <c r="F3723">
        <v>0.42309054489652898</v>
      </c>
      <c r="G3723">
        <v>0.23553901205261801</v>
      </c>
      <c r="H3723">
        <v>0.22707943062314501</v>
      </c>
      <c r="I3723">
        <v>0.27443563836643597</v>
      </c>
      <c r="J3723">
        <v>0.460397530999543</v>
      </c>
      <c r="K3723">
        <v>0.49034043486866002</v>
      </c>
      <c r="L3723">
        <v>1333.25772101144</v>
      </c>
      <c r="M3723">
        <v>27.975266951403398</v>
      </c>
      <c r="N3723">
        <v>49.728991049939502</v>
      </c>
      <c r="O3723">
        <v>47.4169263410068</v>
      </c>
      <c r="P3723">
        <v>-9.6757382950305407E-2</v>
      </c>
      <c r="Q3723">
        <v>0.34400667829741099</v>
      </c>
      <c r="R3723">
        <v>0.90649547703731104</v>
      </c>
      <c r="S3723" t="s">
        <v>10175</v>
      </c>
      <c r="T3723" t="s">
        <v>12902</v>
      </c>
      <c r="U3723" t="s">
        <v>12902</v>
      </c>
      <c r="V3723" t="s">
        <v>12902</v>
      </c>
      <c r="W3723" t="s">
        <v>16581</v>
      </c>
      <c r="X3723">
        <v>12</v>
      </c>
      <c r="Y3723" t="s">
        <v>22897</v>
      </c>
      <c r="Z3723" t="s">
        <v>29298</v>
      </c>
      <c r="AA3723">
        <v>0.51603578702719366</v>
      </c>
      <c r="AB3723" t="str">
        <f>HYPERLINK("Melting_Curves/meltCurve_Q5JTD0_2_TJAP1.pdf", "Melting_Curves/meltCurve_Q5JTD0_2_TJAP1.pdf")</f>
        <v>Melting_Curves/meltCurve_Q5JTD0_2_TJAP1.pdf</v>
      </c>
    </row>
    <row r="3724" spans="1:28" x14ac:dyDescent="0.25">
      <c r="A3724" t="s">
        <v>3728</v>
      </c>
      <c r="B3724">
        <v>0.99673306730245903</v>
      </c>
      <c r="C3724">
        <v>1.0130268955472499</v>
      </c>
      <c r="D3724">
        <v>0.98870444905841004</v>
      </c>
      <c r="E3724">
        <v>0.96301214653906098</v>
      </c>
      <c r="F3724">
        <v>0.89432751728423499</v>
      </c>
      <c r="G3724">
        <v>0.86560818983672105</v>
      </c>
      <c r="H3724">
        <v>0.72642286004109302</v>
      </c>
      <c r="I3724">
        <v>1.1143359736607601</v>
      </c>
      <c r="J3724">
        <v>1.75949252525864</v>
      </c>
      <c r="K3724">
        <v>1.6184233392152001</v>
      </c>
      <c r="L3724">
        <v>15000</v>
      </c>
      <c r="M3724">
        <v>233.16026570832099</v>
      </c>
      <c r="O3724">
        <v>64.328698576752998</v>
      </c>
      <c r="P3724">
        <v>0.45306424505899001</v>
      </c>
      <c r="Q3724">
        <v>1.5</v>
      </c>
      <c r="R3724">
        <v>0.81093004195921103</v>
      </c>
      <c r="S3724" t="s">
        <v>10176</v>
      </c>
      <c r="T3724" t="s">
        <v>12902</v>
      </c>
      <c r="U3724" t="s">
        <v>12902</v>
      </c>
      <c r="V3724" t="s">
        <v>12902</v>
      </c>
      <c r="W3724" t="s">
        <v>16582</v>
      </c>
      <c r="X3724">
        <v>10</v>
      </c>
      <c r="Y3724" t="s">
        <v>22898</v>
      </c>
      <c r="Z3724" t="s">
        <v>29299</v>
      </c>
      <c r="AA3724">
        <v>1.094377904034977</v>
      </c>
      <c r="AB3724" t="str">
        <f>HYPERLINK("Melting_Curves/meltCurve_Q5JTJ3_3_COA6.pdf", "Melting_Curves/meltCurve_Q5JTJ3_3_COA6.pdf")</f>
        <v>Melting_Curves/meltCurve_Q5JTJ3_3_COA6.pdf</v>
      </c>
    </row>
    <row r="3725" spans="1:28" x14ac:dyDescent="0.25">
      <c r="A3725" t="s">
        <v>3729</v>
      </c>
      <c r="B3725">
        <v>0.99673306730245903</v>
      </c>
      <c r="C3725">
        <v>0.80346342915735403</v>
      </c>
      <c r="D3725">
        <v>0.53544732740824796</v>
      </c>
      <c r="E3725">
        <v>0.35435835891509998</v>
      </c>
      <c r="F3725">
        <v>0.23869520428388899</v>
      </c>
      <c r="G3725">
        <v>0.15931313933920799</v>
      </c>
      <c r="H3725">
        <v>9.6986668104546203E-2</v>
      </c>
      <c r="I3725">
        <v>6.8867123936028798E-2</v>
      </c>
      <c r="J3725">
        <v>6.5222447318637203E-2</v>
      </c>
      <c r="K3725">
        <v>6.4574641613443007E-2</v>
      </c>
      <c r="L3725">
        <v>679.77486352894596</v>
      </c>
      <c r="M3725">
        <v>14.5499168488615</v>
      </c>
      <c r="N3725">
        <v>47.193296285262299</v>
      </c>
      <c r="O3725">
        <v>45.864272961339097</v>
      </c>
      <c r="P3725">
        <v>-7.3936108092134301E-2</v>
      </c>
      <c r="Q3725">
        <v>6.7860353164732601E-2</v>
      </c>
      <c r="R3725">
        <v>0.98984120234528805</v>
      </c>
      <c r="S3725" t="s">
        <v>10177</v>
      </c>
      <c r="T3725" t="s">
        <v>12902</v>
      </c>
      <c r="U3725" t="s">
        <v>12902</v>
      </c>
      <c r="V3725" t="s">
        <v>12902</v>
      </c>
      <c r="W3725" t="s">
        <v>16583</v>
      </c>
      <c r="X3725">
        <v>5</v>
      </c>
      <c r="Y3725" t="s">
        <v>22899</v>
      </c>
      <c r="Z3725" t="s">
        <v>29300</v>
      </c>
      <c r="AA3725">
        <v>0.30412718780205072</v>
      </c>
      <c r="AB3725" t="str">
        <f>HYPERLINK("Melting_Curves/meltCurve_Q5JTV1_GMEB2.pdf", "Melting_Curves/meltCurve_Q5JTV1_GMEB2.pdf")</f>
        <v>Melting_Curves/meltCurve_Q5JTV1_GMEB2.pdf</v>
      </c>
    </row>
    <row r="3726" spans="1:28" x14ac:dyDescent="0.25">
      <c r="A3726" t="s">
        <v>3730</v>
      </c>
      <c r="B3726">
        <v>0.99673306730245903</v>
      </c>
      <c r="C3726">
        <v>0.89660676985321097</v>
      </c>
      <c r="D3726">
        <v>0.98857452980036997</v>
      </c>
      <c r="E3726">
        <v>0.82844758701282195</v>
      </c>
      <c r="F3726">
        <v>0.64277285740984402</v>
      </c>
      <c r="G3726">
        <v>0.34137815602086402</v>
      </c>
      <c r="H3726">
        <v>0.16395375957342001</v>
      </c>
      <c r="I3726">
        <v>0.161528204630148</v>
      </c>
      <c r="J3726">
        <v>0.16798683940881601</v>
      </c>
      <c r="K3726">
        <v>0.17497277294031499</v>
      </c>
      <c r="L3726">
        <v>1111.97361995646</v>
      </c>
      <c r="M3726">
        <v>20.732481376181699</v>
      </c>
      <c r="N3726">
        <v>54.500463895199097</v>
      </c>
      <c r="O3726">
        <v>53.142862581879001</v>
      </c>
      <c r="P3726">
        <v>-8.38458785908162E-2</v>
      </c>
      <c r="Q3726">
        <v>0.14034714689237901</v>
      </c>
      <c r="R3726">
        <v>0.98713736344131198</v>
      </c>
      <c r="S3726" t="s">
        <v>10178</v>
      </c>
      <c r="T3726" t="s">
        <v>12902</v>
      </c>
      <c r="U3726" t="s">
        <v>12902</v>
      </c>
      <c r="V3726" t="s">
        <v>12902</v>
      </c>
      <c r="W3726" t="s">
        <v>13920</v>
      </c>
      <c r="X3726">
        <v>20</v>
      </c>
      <c r="Y3726" t="s">
        <v>20309</v>
      </c>
      <c r="Z3726" t="s">
        <v>29301</v>
      </c>
      <c r="AA3726">
        <v>0.54210292508699587</v>
      </c>
      <c r="AB3726" t="str">
        <f>HYPERLINK("Melting_Curves/meltCurve_Q5JTV8_TOR1AIP1.pdf", "Melting_Curves/meltCurve_Q5JTV8_TOR1AIP1.pdf")</f>
        <v>Melting_Curves/meltCurve_Q5JTV8_TOR1AIP1.pdf</v>
      </c>
    </row>
    <row r="3727" spans="1:28" x14ac:dyDescent="0.25">
      <c r="A3727" t="s">
        <v>3731</v>
      </c>
      <c r="B3727">
        <v>0.99673306730245903</v>
      </c>
      <c r="C3727">
        <v>0.93660967941772899</v>
      </c>
      <c r="D3727">
        <v>0.80168977756853999</v>
      </c>
      <c r="E3727">
        <v>0.50119750009735098</v>
      </c>
      <c r="F3727">
        <v>0.20254657374645199</v>
      </c>
      <c r="G3727">
        <v>0.138815040859538</v>
      </c>
      <c r="H3727">
        <v>9.59556280191559E-2</v>
      </c>
      <c r="I3727">
        <v>8.0458597310942001E-2</v>
      </c>
      <c r="J3727">
        <v>9.2103021008965405E-2</v>
      </c>
      <c r="K3727">
        <v>8.1034558725158398E-2</v>
      </c>
      <c r="L3727">
        <v>1007.83431265968</v>
      </c>
      <c r="M3727">
        <v>20.575038025965299</v>
      </c>
      <c r="N3727">
        <v>49.395092846193499</v>
      </c>
      <c r="O3727">
        <v>48.527681484492199</v>
      </c>
      <c r="P3727">
        <v>-9.7646454760380696E-2</v>
      </c>
      <c r="Q3727">
        <v>7.8802683688873401E-2</v>
      </c>
      <c r="R3727">
        <v>0.99871640245217597</v>
      </c>
      <c r="S3727" t="s">
        <v>10179</v>
      </c>
      <c r="T3727" t="s">
        <v>12902</v>
      </c>
      <c r="U3727" t="s">
        <v>12902</v>
      </c>
      <c r="V3727" t="s">
        <v>12902</v>
      </c>
      <c r="W3727" t="s">
        <v>16584</v>
      </c>
      <c r="X3727">
        <v>26</v>
      </c>
      <c r="Y3727" t="s">
        <v>22900</v>
      </c>
      <c r="Z3727" t="s">
        <v>29302</v>
      </c>
      <c r="AA3727">
        <v>0.36683208722011368</v>
      </c>
      <c r="AB3727" t="str">
        <f>HYPERLINK("Melting_Curves/meltCurve_Q5JTZ9_AARS2.pdf", "Melting_Curves/meltCurve_Q5JTZ9_AARS2.pdf")</f>
        <v>Melting_Curves/meltCurve_Q5JTZ9_AARS2.pdf</v>
      </c>
    </row>
    <row r="3728" spans="1:28" x14ac:dyDescent="0.25">
      <c r="A3728" t="s">
        <v>3732</v>
      </c>
      <c r="B3728">
        <v>0.99673306730245903</v>
      </c>
      <c r="C3728">
        <v>0.91246528234985103</v>
      </c>
      <c r="D3728">
        <v>0.94608452371489105</v>
      </c>
      <c r="E3728">
        <v>0.78520198164348598</v>
      </c>
      <c r="F3728">
        <v>0.39029733464109301</v>
      </c>
      <c r="G3728">
        <v>0.25280895618843602</v>
      </c>
      <c r="H3728">
        <v>0.17010252258203701</v>
      </c>
      <c r="I3728">
        <v>0.13356849553036301</v>
      </c>
      <c r="J3728">
        <v>9.2356909882479798E-2</v>
      </c>
      <c r="K3728">
        <v>7.1412928961150507E-2</v>
      </c>
      <c r="L3728">
        <v>1071.66273184292</v>
      </c>
      <c r="M3728">
        <v>20.653041489864201</v>
      </c>
      <c r="N3728">
        <v>52.448066235848302</v>
      </c>
      <c r="O3728">
        <v>51.4097470856778</v>
      </c>
      <c r="P3728">
        <v>-9.0511229617226796E-2</v>
      </c>
      <c r="Q3728">
        <v>9.8820390358985599E-2</v>
      </c>
      <c r="R3728">
        <v>0.990963735479792</v>
      </c>
      <c r="S3728" t="s">
        <v>10180</v>
      </c>
      <c r="T3728" t="s">
        <v>12902</v>
      </c>
      <c r="U3728" t="s">
        <v>12902</v>
      </c>
      <c r="V3728" t="s">
        <v>12902</v>
      </c>
      <c r="W3728" t="s">
        <v>16585</v>
      </c>
      <c r="X3728">
        <v>3</v>
      </c>
      <c r="Y3728" t="s">
        <v>22901</v>
      </c>
      <c r="Z3728" t="s">
        <v>29303</v>
      </c>
      <c r="AA3728">
        <v>0.46772444823751319</v>
      </c>
      <c r="AB3728" t="str">
        <f>HYPERLINK("Melting_Curves/meltCurve_Q5JU69_TOR2A.pdf", "Melting_Curves/meltCurve_Q5JU69_TOR2A.pdf")</f>
        <v>Melting_Curves/meltCurve_Q5JU69_TOR2A.pdf</v>
      </c>
    </row>
    <row r="3729" spans="1:28" x14ac:dyDescent="0.25">
      <c r="A3729" t="s">
        <v>3733</v>
      </c>
      <c r="B3729">
        <v>0.99673306730245903</v>
      </c>
      <c r="C3729">
        <v>1.01634584700388</v>
      </c>
      <c r="D3729">
        <v>0.69368981128197404</v>
      </c>
      <c r="E3729">
        <v>0.27544921254962901</v>
      </c>
      <c r="F3729">
        <v>0.16159740310325801</v>
      </c>
      <c r="G3729">
        <v>9.7023539412062501E-2</v>
      </c>
      <c r="H3729">
        <v>6.5542250143157302E-2</v>
      </c>
      <c r="I3729">
        <v>4.2477376898355797E-2</v>
      </c>
      <c r="J3729">
        <v>4.1374718324206201E-2</v>
      </c>
      <c r="K3729">
        <v>3.7260102465077702E-2</v>
      </c>
      <c r="L3729">
        <v>1266.3514225628401</v>
      </c>
      <c r="M3729">
        <v>26.693080545984401</v>
      </c>
      <c r="N3729">
        <v>47.674340798519097</v>
      </c>
      <c r="O3729">
        <v>47.177345242768403</v>
      </c>
      <c r="P3729">
        <v>-0.13279635166624901</v>
      </c>
      <c r="Q3729">
        <v>6.1193183519706998E-2</v>
      </c>
      <c r="R3729">
        <v>0.99317386896368298</v>
      </c>
      <c r="S3729" t="s">
        <v>10181</v>
      </c>
      <c r="T3729" t="s">
        <v>12902</v>
      </c>
      <c r="U3729" t="s">
        <v>12902</v>
      </c>
      <c r="V3729" t="s">
        <v>12902</v>
      </c>
      <c r="W3729" t="s">
        <v>16586</v>
      </c>
      <c r="X3729">
        <v>2</v>
      </c>
      <c r="Y3729" t="s">
        <v>22902</v>
      </c>
      <c r="Z3729" t="s">
        <v>29304</v>
      </c>
      <c r="AA3729">
        <v>0.30128205028920119</v>
      </c>
      <c r="AB3729" t="str">
        <f>HYPERLINK("Melting_Curves/meltCurve_Q5JUR7_TEX30.pdf", "Melting_Curves/meltCurve_Q5JUR7_TEX30.pdf")</f>
        <v>Melting_Curves/meltCurve_Q5JUR7_TEX30.pdf</v>
      </c>
    </row>
    <row r="3730" spans="1:28" x14ac:dyDescent="0.25">
      <c r="A3730" t="s">
        <v>3734</v>
      </c>
      <c r="B3730">
        <v>0.99673306730245903</v>
      </c>
      <c r="C3730">
        <v>1.01824551827147</v>
      </c>
      <c r="D3730">
        <v>1.0017237078790699</v>
      </c>
      <c r="E3730">
        <v>0.937777532241024</v>
      </c>
      <c r="F3730">
        <v>0.46169094753240503</v>
      </c>
      <c r="G3730">
        <v>0.202107545021531</v>
      </c>
      <c r="H3730">
        <v>0.11774873430165</v>
      </c>
      <c r="I3730">
        <v>8.7460386333648096E-2</v>
      </c>
      <c r="J3730">
        <v>8.0619409502703507E-2</v>
      </c>
      <c r="K3730">
        <v>6.8460844589337905E-2</v>
      </c>
      <c r="L3730">
        <v>1814.78644165793</v>
      </c>
      <c r="M3730">
        <v>34.385776631111199</v>
      </c>
      <c r="N3730">
        <v>53.089389376571503</v>
      </c>
      <c r="O3730">
        <v>52.599713617851798</v>
      </c>
      <c r="P3730">
        <v>-0.148473386902784</v>
      </c>
      <c r="Q3730">
        <v>9.1528385194566506E-2</v>
      </c>
      <c r="R3730">
        <v>0.99762898704022795</v>
      </c>
      <c r="S3730" t="s">
        <v>10182</v>
      </c>
      <c r="T3730" t="s">
        <v>12902</v>
      </c>
      <c r="U3730" t="s">
        <v>12902</v>
      </c>
      <c r="V3730" t="s">
        <v>12902</v>
      </c>
      <c r="W3730" t="s">
        <v>16587</v>
      </c>
      <c r="X3730">
        <v>11</v>
      </c>
      <c r="Y3730" t="s">
        <v>22903</v>
      </c>
      <c r="Z3730" t="s">
        <v>29305</v>
      </c>
      <c r="AA3730">
        <v>0.48293568151376493</v>
      </c>
      <c r="AB3730" t="str">
        <f>HYPERLINK("Melting_Curves/meltCurve_Q5JUW8_DLG3.pdf", "Melting_Curves/meltCurve_Q5JUW8_DLG3.pdf")</f>
        <v>Melting_Curves/meltCurve_Q5JUW8_DLG3.pdf</v>
      </c>
    </row>
    <row r="3731" spans="1:28" x14ac:dyDescent="0.25">
      <c r="A3731" t="s">
        <v>3735</v>
      </c>
      <c r="B3731">
        <v>0.99673306730245903</v>
      </c>
      <c r="C3731">
        <v>1.04812877773105</v>
      </c>
      <c r="D3731">
        <v>1.0033407964257099</v>
      </c>
      <c r="E3731">
        <v>0.74696111407868204</v>
      </c>
      <c r="F3731">
        <v>0.56948941640916795</v>
      </c>
      <c r="G3731">
        <v>0.30445261620985398</v>
      </c>
      <c r="H3731">
        <v>0.16470097470476</v>
      </c>
      <c r="I3731">
        <v>0.19158918450064799</v>
      </c>
      <c r="J3731">
        <v>9.4934459607983399E-2</v>
      </c>
      <c r="K3731">
        <v>0.13273293966850799</v>
      </c>
      <c r="L3731">
        <v>987.85905090445999</v>
      </c>
      <c r="M3731">
        <v>18.653271052285898</v>
      </c>
      <c r="N3731">
        <v>53.7010842411024</v>
      </c>
      <c r="O3731">
        <v>52.361617914451102</v>
      </c>
      <c r="P3731">
        <v>-7.8945297290136204E-2</v>
      </c>
      <c r="Q3731">
        <v>0.113608282796075</v>
      </c>
      <c r="R3731">
        <v>0.98971477248962203</v>
      </c>
      <c r="S3731" t="s">
        <v>10183</v>
      </c>
      <c r="T3731" t="s">
        <v>12902</v>
      </c>
      <c r="U3731" t="s">
        <v>12902</v>
      </c>
      <c r="V3731" t="s">
        <v>12902</v>
      </c>
      <c r="W3731" t="s">
        <v>16588</v>
      </c>
      <c r="X3731">
        <v>1</v>
      </c>
      <c r="Y3731" t="s">
        <v>22904</v>
      </c>
      <c r="Z3731" t="s">
        <v>29306</v>
      </c>
      <c r="AA3731">
        <v>0.51020856449710439</v>
      </c>
      <c r="AB3731" t="str">
        <f>HYPERLINK("Melting_Curves/meltCurve_Q5JUX0_SPIN3.pdf", "Melting_Curves/meltCurve_Q5JUX0_SPIN3.pdf")</f>
        <v>Melting_Curves/meltCurve_Q5JUX0_SPIN3.pdf</v>
      </c>
    </row>
    <row r="3732" spans="1:28" x14ac:dyDescent="0.25">
      <c r="A3732" t="s">
        <v>3736</v>
      </c>
      <c r="B3732">
        <v>0.99673306730245903</v>
      </c>
      <c r="C3732">
        <v>0.92131709105902004</v>
      </c>
      <c r="D3732">
        <v>0.67418925123168405</v>
      </c>
      <c r="E3732">
        <v>0.25914943123643103</v>
      </c>
      <c r="F3732">
        <v>0.136239249018243</v>
      </c>
      <c r="G3732">
        <v>9.3249150939257494E-2</v>
      </c>
      <c r="H3732">
        <v>5.9566472376159897E-2</v>
      </c>
      <c r="I3732">
        <v>5.4570870278354798E-2</v>
      </c>
      <c r="J3732">
        <v>6.6357716186743299E-2</v>
      </c>
      <c r="K3732">
        <v>7.6926496480921203E-2</v>
      </c>
      <c r="L3732">
        <v>1184.5519018376499</v>
      </c>
      <c r="M3732">
        <v>25.159246553045399</v>
      </c>
      <c r="N3732">
        <v>47.359830466375897</v>
      </c>
      <c r="O3732">
        <v>46.7877657681776</v>
      </c>
      <c r="P3732">
        <v>-0.12521642903597399</v>
      </c>
      <c r="Q3732">
        <v>6.8570338800314198E-2</v>
      </c>
      <c r="R3732">
        <v>0.99905162440000495</v>
      </c>
      <c r="S3732" t="s">
        <v>10184</v>
      </c>
      <c r="T3732" t="s">
        <v>12902</v>
      </c>
      <c r="U3732" t="s">
        <v>12902</v>
      </c>
      <c r="V3732" t="s">
        <v>12902</v>
      </c>
      <c r="W3732" t="s">
        <v>16589</v>
      </c>
      <c r="X3732">
        <v>10</v>
      </c>
      <c r="Y3732" t="s">
        <v>22905</v>
      </c>
      <c r="Z3732" t="s">
        <v>29307</v>
      </c>
      <c r="AA3732">
        <v>0.29664331162262558</v>
      </c>
      <c r="AB3732" t="str">
        <f>HYPERLINK("Melting_Curves/meltCurve_Q5JVF3_3_PCID2.pdf", "Melting_Curves/meltCurve_Q5JVF3_3_PCID2.pdf")</f>
        <v>Melting_Curves/meltCurve_Q5JVF3_3_PCID2.pdf</v>
      </c>
    </row>
    <row r="3733" spans="1:28" x14ac:dyDescent="0.25">
      <c r="A3733" t="s">
        <v>3737</v>
      </c>
      <c r="B3733">
        <v>0.99673306730245903</v>
      </c>
      <c r="C3733">
        <v>0.81136875143531395</v>
      </c>
      <c r="D3733">
        <v>0.67358093699910704</v>
      </c>
      <c r="E3733">
        <v>0.38263994709718302</v>
      </c>
      <c r="F3733">
        <v>0.18329197272568001</v>
      </c>
      <c r="G3733">
        <v>0.140902734909541</v>
      </c>
      <c r="H3733">
        <v>0.114195225630971</v>
      </c>
      <c r="I3733">
        <v>0.107987895101197</v>
      </c>
      <c r="J3733">
        <v>0.175900332895884</v>
      </c>
      <c r="K3733">
        <v>0.183128026110186</v>
      </c>
      <c r="L3733">
        <v>872.69659923055497</v>
      </c>
      <c r="M3733">
        <v>18.600875333953699</v>
      </c>
      <c r="N3733">
        <v>47.694661570383403</v>
      </c>
      <c r="O3733">
        <v>46.384784293032197</v>
      </c>
      <c r="P3733">
        <v>-8.7142603052985407E-2</v>
      </c>
      <c r="Q3733">
        <v>0.13081173485095399</v>
      </c>
      <c r="R3733">
        <v>0.98639047969771998</v>
      </c>
      <c r="S3733" t="s">
        <v>10185</v>
      </c>
      <c r="T3733" t="s">
        <v>12902</v>
      </c>
      <c r="U3733" t="s">
        <v>12902</v>
      </c>
      <c r="V3733" t="s">
        <v>12902</v>
      </c>
      <c r="W3733" t="s">
        <v>16590</v>
      </c>
      <c r="X3733">
        <v>4</v>
      </c>
      <c r="Y3733" t="s">
        <v>22906</v>
      </c>
      <c r="Z3733" t="s">
        <v>29308</v>
      </c>
      <c r="AA3733">
        <v>0.34620221159597597</v>
      </c>
      <c r="AB3733" t="str">
        <f>HYPERLINK("Melting_Curves/meltCurve_Q5JVG8_2_ZNF506.pdf", "Melting_Curves/meltCurve_Q5JVG8_2_ZNF506.pdf")</f>
        <v>Melting_Curves/meltCurve_Q5JVG8_2_ZNF506.pdf</v>
      </c>
    </row>
    <row r="3734" spans="1:28" x14ac:dyDescent="0.25">
      <c r="A3734" t="s">
        <v>3738</v>
      </c>
      <c r="B3734">
        <v>0.99673306730245903</v>
      </c>
      <c r="C3734">
        <v>1.00248566886373</v>
      </c>
      <c r="D3734">
        <v>0.95277991891626002</v>
      </c>
      <c r="E3734">
        <v>0.92399934139802697</v>
      </c>
      <c r="F3734">
        <v>0.93449817647008704</v>
      </c>
      <c r="G3734">
        <v>0.81581396855422195</v>
      </c>
      <c r="H3734">
        <v>0.64295722131641997</v>
      </c>
      <c r="I3734">
        <v>0.97375164243966605</v>
      </c>
      <c r="J3734">
        <v>1.4027859559748099</v>
      </c>
      <c r="K3734">
        <v>1.40603715564698</v>
      </c>
      <c r="L3734">
        <v>15000</v>
      </c>
      <c r="M3734">
        <v>227.61008331533799</v>
      </c>
      <c r="O3734">
        <v>65.897089266469607</v>
      </c>
      <c r="P3734">
        <v>0.35216226586510102</v>
      </c>
      <c r="Q3734">
        <v>1.4078284740973801</v>
      </c>
      <c r="R3734">
        <v>0.65198772485839296</v>
      </c>
      <c r="S3734" t="s">
        <v>10186</v>
      </c>
      <c r="T3734" t="s">
        <v>12902</v>
      </c>
      <c r="U3734" t="s">
        <v>12902</v>
      </c>
      <c r="V3734" t="s">
        <v>12902</v>
      </c>
      <c r="W3734" t="s">
        <v>16591</v>
      </c>
      <c r="X3734">
        <v>8</v>
      </c>
      <c r="Y3734" t="s">
        <v>22907</v>
      </c>
      <c r="Z3734" t="s">
        <v>29309</v>
      </c>
      <c r="AA3734">
        <v>1.055650063329852</v>
      </c>
      <c r="AB3734" t="str">
        <f>HYPERLINK("Melting_Curves/meltCurve_Q5JVS0_HABP4.pdf", "Melting_Curves/meltCurve_Q5JVS0_HABP4.pdf")</f>
        <v>Melting_Curves/meltCurve_Q5JVS0_HABP4.pdf</v>
      </c>
    </row>
    <row r="3735" spans="1:28" x14ac:dyDescent="0.25">
      <c r="A3735" t="s">
        <v>3739</v>
      </c>
      <c r="B3735">
        <v>0.99673306730245903</v>
      </c>
      <c r="C3735">
        <v>0.95724916619989897</v>
      </c>
      <c r="D3735">
        <v>0.85812235413597804</v>
      </c>
      <c r="E3735">
        <v>0.74475498543158902</v>
      </c>
      <c r="F3735">
        <v>0.39019711710204402</v>
      </c>
      <c r="G3735">
        <v>0.267890567190882</v>
      </c>
      <c r="H3735">
        <v>0.157228590509192</v>
      </c>
      <c r="I3735">
        <v>0.18879057990877399</v>
      </c>
      <c r="J3735">
        <v>0.23745967253764499</v>
      </c>
      <c r="K3735">
        <v>0.25307768414209503</v>
      </c>
      <c r="L3735">
        <v>1116.6377947987601</v>
      </c>
      <c r="M3735">
        <v>22.024243920348901</v>
      </c>
      <c r="N3735">
        <v>51.905738709954797</v>
      </c>
      <c r="O3735">
        <v>50.287938934044</v>
      </c>
      <c r="P3735">
        <v>-8.7574175635507803E-2</v>
      </c>
      <c r="Q3735">
        <v>0.20018527247366599</v>
      </c>
      <c r="R3735">
        <v>0.98482967595371695</v>
      </c>
      <c r="S3735" t="s">
        <v>10187</v>
      </c>
      <c r="T3735" t="s">
        <v>12902</v>
      </c>
      <c r="U3735" t="s">
        <v>12902</v>
      </c>
      <c r="V3735" t="s">
        <v>12902</v>
      </c>
      <c r="W3735" t="s">
        <v>16592</v>
      </c>
      <c r="X3735">
        <v>3</v>
      </c>
      <c r="Y3735" t="s">
        <v>22908</v>
      </c>
      <c r="Z3735" t="s">
        <v>29310</v>
      </c>
      <c r="AA3735">
        <v>0.49469746549800447</v>
      </c>
      <c r="AB3735" t="str">
        <f>HYPERLINK("Melting_Curves/meltCurve_Q5JW30_STAU1.pdf", "Melting_Curves/meltCurve_Q5JW30_STAU1.pdf")</f>
        <v>Melting_Curves/meltCurve_Q5JW30_STAU1.pdf</v>
      </c>
    </row>
    <row r="3736" spans="1:28" x14ac:dyDescent="0.25">
      <c r="A3736" t="s">
        <v>3740</v>
      </c>
      <c r="B3736">
        <v>0.99673306730245903</v>
      </c>
      <c r="C3736">
        <v>0.95783758866230095</v>
      </c>
      <c r="D3736">
        <v>0.910659283572962</v>
      </c>
      <c r="E3736">
        <v>0.74477766615859198</v>
      </c>
      <c r="F3736">
        <v>0.71702386264718798</v>
      </c>
      <c r="G3736">
        <v>0.60326750664426099</v>
      </c>
      <c r="H3736">
        <v>0.49159948819923199</v>
      </c>
      <c r="I3736">
        <v>0.61082916869148496</v>
      </c>
      <c r="J3736">
        <v>0.65715261627191202</v>
      </c>
      <c r="K3736">
        <v>0.65419136438516301</v>
      </c>
      <c r="L3736">
        <v>950.07506998673705</v>
      </c>
      <c r="M3736">
        <v>19.545850610663599</v>
      </c>
      <c r="O3736">
        <v>48.1072837621753</v>
      </c>
      <c r="P3736">
        <v>-4.0275586430016802E-2</v>
      </c>
      <c r="Q3736">
        <v>0.60350046721989203</v>
      </c>
      <c r="R3736">
        <v>0.90824820203436196</v>
      </c>
      <c r="S3736" t="s">
        <v>10188</v>
      </c>
      <c r="T3736" t="s">
        <v>12902</v>
      </c>
      <c r="U3736" t="s">
        <v>12902</v>
      </c>
      <c r="V3736" t="s">
        <v>12902</v>
      </c>
      <c r="W3736" t="s">
        <v>16593</v>
      </c>
      <c r="X3736">
        <v>3</v>
      </c>
      <c r="Y3736" t="s">
        <v>22909</v>
      </c>
      <c r="Z3736" t="s">
        <v>29311</v>
      </c>
      <c r="AA3736">
        <v>0.72311192393355128</v>
      </c>
      <c r="AB3736" t="str">
        <f>HYPERLINK("Melting_Curves/meltCurve_Q5JWB9_TMEM230.pdf", "Melting_Curves/meltCurve_Q5JWB9_TMEM230.pdf")</f>
        <v>Melting_Curves/meltCurve_Q5JWB9_TMEM230.pdf</v>
      </c>
    </row>
    <row r="3737" spans="1:28" x14ac:dyDescent="0.25">
      <c r="A3737" t="s">
        <v>3741</v>
      </c>
      <c r="B3737">
        <v>0.99673306730245903</v>
      </c>
      <c r="C3737">
        <v>0.86335227183006802</v>
      </c>
      <c r="D3737">
        <v>0.95220514144116497</v>
      </c>
      <c r="E3737">
        <v>0.95024220376484403</v>
      </c>
      <c r="F3737">
        <v>0.55766540666642395</v>
      </c>
      <c r="G3737">
        <v>0.28214577705945099</v>
      </c>
      <c r="H3737">
        <v>0.14945218585155001</v>
      </c>
      <c r="I3737">
        <v>0.106588748023362</v>
      </c>
      <c r="J3737">
        <v>0.129996379659848</v>
      </c>
      <c r="K3737">
        <v>0.163219385168166</v>
      </c>
      <c r="L3737">
        <v>1573.7046524980201</v>
      </c>
      <c r="M3737">
        <v>29.518702610129001</v>
      </c>
      <c r="N3737">
        <v>53.878878651703801</v>
      </c>
      <c r="O3737">
        <v>53.069240167887102</v>
      </c>
      <c r="P3737">
        <v>-0.120499373197355</v>
      </c>
      <c r="Q3737">
        <v>0.133462414335319</v>
      </c>
      <c r="R3737">
        <v>0.98191849652932595</v>
      </c>
      <c r="S3737" t="s">
        <v>10189</v>
      </c>
      <c r="T3737" t="s">
        <v>12902</v>
      </c>
      <c r="U3737" t="s">
        <v>12902</v>
      </c>
      <c r="V3737" t="s">
        <v>12902</v>
      </c>
      <c r="W3737" t="s">
        <v>16594</v>
      </c>
      <c r="X3737">
        <v>4</v>
      </c>
      <c r="Y3737" t="s">
        <v>22910</v>
      </c>
      <c r="Z3737" t="s">
        <v>29312</v>
      </c>
      <c r="AA3737">
        <v>0.52380162961239296</v>
      </c>
      <c r="AB3737" t="str">
        <f>HYPERLINK("Melting_Curves/meltCurve_Q5JWT2_MED23.pdf", "Melting_Curves/meltCurve_Q5JWT2_MED23.pdf")</f>
        <v>Melting_Curves/meltCurve_Q5JWT2_MED23.pdf</v>
      </c>
    </row>
    <row r="3738" spans="1:28" x14ac:dyDescent="0.25">
      <c r="A3738" t="s">
        <v>3742</v>
      </c>
      <c r="B3738">
        <v>0.99673306730245903</v>
      </c>
      <c r="C3738">
        <v>0.93782685964690504</v>
      </c>
      <c r="D3738">
        <v>0.92900245984998397</v>
      </c>
      <c r="E3738">
        <v>0.80304675738898201</v>
      </c>
      <c r="F3738">
        <v>0.59813505499494202</v>
      </c>
      <c r="G3738">
        <v>0.45742287528513598</v>
      </c>
      <c r="H3738">
        <v>0.30624380114538502</v>
      </c>
      <c r="I3738">
        <v>0.32150521970638202</v>
      </c>
      <c r="J3738">
        <v>0.45104611253051802</v>
      </c>
      <c r="K3738">
        <v>0.46710358155829501</v>
      </c>
      <c r="L3738">
        <v>1098.5735848222801</v>
      </c>
      <c r="M3738">
        <v>21.422712770625999</v>
      </c>
      <c r="N3738">
        <v>55.011024511051097</v>
      </c>
      <c r="O3738">
        <v>50.840212788817503</v>
      </c>
      <c r="P3738">
        <v>-6.4995786185060703E-2</v>
      </c>
      <c r="Q3738">
        <v>0.38302530993685002</v>
      </c>
      <c r="R3738">
        <v>0.95443916842083698</v>
      </c>
      <c r="S3738" t="s">
        <v>10190</v>
      </c>
      <c r="T3738" t="s">
        <v>12902</v>
      </c>
      <c r="U3738" t="s">
        <v>12902</v>
      </c>
      <c r="V3738" t="s">
        <v>12902</v>
      </c>
      <c r="W3738" t="s">
        <v>16595</v>
      </c>
      <c r="X3738">
        <v>9</v>
      </c>
      <c r="Y3738" t="s">
        <v>22911</v>
      </c>
      <c r="Z3738" t="s">
        <v>29313</v>
      </c>
      <c r="AA3738">
        <v>0.6225503050695429</v>
      </c>
      <c r="AB3738" t="str">
        <f>HYPERLINK("Melting_Curves/meltCurve_Q5JXX2_MORF4L2.pdf", "Melting_Curves/meltCurve_Q5JXX2_MORF4L2.pdf")</f>
        <v>Melting_Curves/meltCurve_Q5JXX2_MORF4L2.pdf</v>
      </c>
    </row>
    <row r="3739" spans="1:28" x14ac:dyDescent="0.25">
      <c r="A3739" t="s">
        <v>3743</v>
      </c>
      <c r="B3739">
        <v>0.99673306730245903</v>
      </c>
      <c r="C3739">
        <v>0.85107836529743297</v>
      </c>
      <c r="D3739">
        <v>0.34658493485923503</v>
      </c>
      <c r="E3739">
        <v>0.28763860574953898</v>
      </c>
      <c r="F3739">
        <v>0.23205179638599799</v>
      </c>
      <c r="G3739">
        <v>0.166443707739795</v>
      </c>
      <c r="H3739">
        <v>0.11042838719602099</v>
      </c>
      <c r="I3739">
        <v>8.5294639321390503E-2</v>
      </c>
      <c r="J3739">
        <v>6.4464175375172697E-2</v>
      </c>
      <c r="K3739">
        <v>5.7839432795376698E-2</v>
      </c>
      <c r="L3739">
        <v>1279.31118877836</v>
      </c>
      <c r="M3739">
        <v>28.533402581858201</v>
      </c>
      <c r="N3739">
        <v>45.3049211455779</v>
      </c>
      <c r="O3739">
        <v>44.6170903589083</v>
      </c>
      <c r="P3739">
        <v>-0.139422454568564</v>
      </c>
      <c r="Q3739">
        <v>0.12795931252419801</v>
      </c>
      <c r="R3739">
        <v>0.960931345452258</v>
      </c>
      <c r="S3739" t="s">
        <v>10191</v>
      </c>
      <c r="T3739" t="s">
        <v>12902</v>
      </c>
      <c r="U3739" t="s">
        <v>12902</v>
      </c>
      <c r="V3739" t="s">
        <v>12902</v>
      </c>
      <c r="W3739" t="s">
        <v>16596</v>
      </c>
      <c r="X3739">
        <v>16</v>
      </c>
      <c r="Y3739" t="s">
        <v>22912</v>
      </c>
      <c r="Z3739" t="s">
        <v>29314</v>
      </c>
      <c r="AA3739">
        <v>0.27494580541974262</v>
      </c>
      <c r="AB3739" t="str">
        <f>HYPERLINK("Melting_Curves/meltCurve_Q5JY65_CRNKL1.pdf", "Melting_Curves/meltCurve_Q5JY65_CRNKL1.pdf")</f>
        <v>Melting_Curves/meltCurve_Q5JY65_CRNKL1.pdf</v>
      </c>
    </row>
    <row r="3740" spans="1:28" x14ac:dyDescent="0.25">
      <c r="A3740" t="s">
        <v>3744</v>
      </c>
      <c r="B3740">
        <v>0.99673306730245903</v>
      </c>
      <c r="C3740">
        <v>0.92351505094155195</v>
      </c>
      <c r="D3740">
        <v>0.63203843734766096</v>
      </c>
      <c r="E3740">
        <v>0.26345360977451499</v>
      </c>
      <c r="F3740">
        <v>0.18125609873180801</v>
      </c>
      <c r="G3740">
        <v>0.10354916721023399</v>
      </c>
      <c r="H3740">
        <v>7.6122627137719001E-2</v>
      </c>
      <c r="I3740">
        <v>6.8087598410608505E-2</v>
      </c>
      <c r="J3740">
        <v>9.0871625189665295E-2</v>
      </c>
      <c r="K3740">
        <v>6.0638286874315703E-2</v>
      </c>
      <c r="L3740">
        <v>1098.70965238862</v>
      </c>
      <c r="M3740">
        <v>23.446927874445901</v>
      </c>
      <c r="N3740">
        <v>47.2183022410753</v>
      </c>
      <c r="O3740">
        <v>46.522561293865003</v>
      </c>
      <c r="P3740">
        <v>-0.11571647694107599</v>
      </c>
      <c r="Q3740">
        <v>8.1613843536444103E-2</v>
      </c>
      <c r="R3740">
        <v>0.99683542667160596</v>
      </c>
      <c r="S3740" t="s">
        <v>10192</v>
      </c>
      <c r="T3740" t="s">
        <v>12902</v>
      </c>
      <c r="U3740" t="s">
        <v>12902</v>
      </c>
      <c r="V3740" t="s">
        <v>12902</v>
      </c>
      <c r="W3740" t="s">
        <v>16597</v>
      </c>
      <c r="X3740">
        <v>9</v>
      </c>
      <c r="Y3740" t="s">
        <v>22913</v>
      </c>
      <c r="Z3740" t="s">
        <v>29315</v>
      </c>
      <c r="AA3740">
        <v>0.3010865568496463</v>
      </c>
      <c r="AB3740" t="str">
        <f>HYPERLINK("Melting_Curves/meltCurve_Q5K4L6_SLC27A3.pdf", "Melting_Curves/meltCurve_Q5K4L6_SLC27A3.pdf")</f>
        <v>Melting_Curves/meltCurve_Q5K4L6_SLC27A3.pdf</v>
      </c>
    </row>
    <row r="3741" spans="1:28" x14ac:dyDescent="0.25">
      <c r="A3741" t="s">
        <v>3745</v>
      </c>
      <c r="B3741">
        <v>0.99673306730245903</v>
      </c>
      <c r="C3741">
        <v>0.94610563939205194</v>
      </c>
      <c r="D3741">
        <v>0.86290513287081205</v>
      </c>
      <c r="E3741">
        <v>0.58465995552060501</v>
      </c>
      <c r="F3741">
        <v>0.405234996075653</v>
      </c>
      <c r="G3741">
        <v>0.34570030178435301</v>
      </c>
      <c r="H3741">
        <v>0.31103868264354601</v>
      </c>
      <c r="I3741">
        <v>0.53190901577282002</v>
      </c>
      <c r="J3741">
        <v>0.75247665131340702</v>
      </c>
      <c r="K3741">
        <v>0.76977042190979805</v>
      </c>
      <c r="L3741">
        <v>1938.2802897927399</v>
      </c>
      <c r="M3741">
        <v>41.2524498900042</v>
      </c>
      <c r="O3741">
        <v>46.875830984473303</v>
      </c>
      <c r="P3741">
        <v>-0.105377651983838</v>
      </c>
      <c r="Q3741">
        <v>0.52103168882913797</v>
      </c>
      <c r="R3741">
        <v>0.63262589802607605</v>
      </c>
      <c r="S3741" t="s">
        <v>10193</v>
      </c>
      <c r="T3741" t="s">
        <v>12902</v>
      </c>
      <c r="U3741" t="s">
        <v>12902</v>
      </c>
      <c r="V3741" t="s">
        <v>12902</v>
      </c>
      <c r="W3741" t="s">
        <v>16598</v>
      </c>
      <c r="X3741">
        <v>10</v>
      </c>
      <c r="Y3741" t="s">
        <v>22914</v>
      </c>
      <c r="Z3741" t="s">
        <v>29316</v>
      </c>
      <c r="AA3741">
        <v>0.63403617352592412</v>
      </c>
      <c r="AB3741" t="str">
        <f>HYPERLINK("Melting_Curves/meltCurve_Q5M775_SPECC1.pdf", "Melting_Curves/meltCurve_Q5M775_SPECC1.pdf")</f>
        <v>Melting_Curves/meltCurve_Q5M775_SPECC1.pdf</v>
      </c>
    </row>
    <row r="3742" spans="1:28" x14ac:dyDescent="0.25">
      <c r="A3742" t="s">
        <v>3746</v>
      </c>
      <c r="B3742">
        <v>0.99673306730245903</v>
      </c>
      <c r="C3742">
        <v>1.05835007028825</v>
      </c>
      <c r="D3742">
        <v>0.91548509221443897</v>
      </c>
      <c r="E3742">
        <v>0.67071533176458698</v>
      </c>
      <c r="F3742">
        <v>0.44538232482053303</v>
      </c>
      <c r="G3742">
        <v>0.33892643615222201</v>
      </c>
      <c r="H3742">
        <v>0.30354171280645698</v>
      </c>
      <c r="I3742">
        <v>0.37498410753467498</v>
      </c>
      <c r="J3742">
        <v>0.39079271996907899</v>
      </c>
      <c r="K3742">
        <v>0.39233789818765802</v>
      </c>
      <c r="L3742">
        <v>1451.5092681419501</v>
      </c>
      <c r="M3742">
        <v>29.339201948505998</v>
      </c>
      <c r="N3742">
        <v>51.705750672733501</v>
      </c>
      <c r="O3742">
        <v>49.245239355449002</v>
      </c>
      <c r="P3742">
        <v>-9.5456050711319906E-2</v>
      </c>
      <c r="Q3742">
        <v>0.35912058915670197</v>
      </c>
      <c r="R3742">
        <v>0.98499286312881595</v>
      </c>
      <c r="S3742" t="s">
        <v>10194</v>
      </c>
      <c r="T3742" t="s">
        <v>12902</v>
      </c>
      <c r="U3742" t="s">
        <v>12902</v>
      </c>
      <c r="V3742" t="s">
        <v>12902</v>
      </c>
      <c r="W3742" t="s">
        <v>16599</v>
      </c>
      <c r="X3742">
        <v>3</v>
      </c>
      <c r="Y3742" t="s">
        <v>22915</v>
      </c>
      <c r="Z3742" t="s">
        <v>29317</v>
      </c>
      <c r="AA3742">
        <v>0.56561029367629878</v>
      </c>
      <c r="AB3742" t="str">
        <f>HYPERLINK("Melting_Curves/meltCurve_Q5M8T2_SLC35D3.pdf", "Melting_Curves/meltCurve_Q5M8T2_SLC35D3.pdf")</f>
        <v>Melting_Curves/meltCurve_Q5M8T2_SLC35D3.pdf</v>
      </c>
    </row>
    <row r="3743" spans="1:28" x14ac:dyDescent="0.25">
      <c r="A3743" t="s">
        <v>3747</v>
      </c>
      <c r="B3743">
        <v>0.99673306730245903</v>
      </c>
      <c r="C3743">
        <v>0.88189180819275104</v>
      </c>
      <c r="D3743">
        <v>0.69577027143243797</v>
      </c>
      <c r="E3743">
        <v>0.30644269876175401</v>
      </c>
      <c r="F3743">
        <v>0.149493858997505</v>
      </c>
      <c r="G3743">
        <v>8.9430476479517504E-2</v>
      </c>
      <c r="H3743">
        <v>5.8527161632068198E-2</v>
      </c>
      <c r="I3743">
        <v>5.8991428240858602E-2</v>
      </c>
      <c r="J3743">
        <v>8.1787994432681005E-2</v>
      </c>
      <c r="K3743">
        <v>8.0329530074591399E-2</v>
      </c>
      <c r="L3743">
        <v>1032.71280502432</v>
      </c>
      <c r="M3743">
        <v>21.816572213052801</v>
      </c>
      <c r="N3743">
        <v>47.648304107518001</v>
      </c>
      <c r="O3743">
        <v>46.943832103002002</v>
      </c>
      <c r="P3743">
        <v>-0.108450932631854</v>
      </c>
      <c r="Q3743">
        <v>6.6583908389908394E-2</v>
      </c>
      <c r="R3743">
        <v>0.99813681066279303</v>
      </c>
      <c r="S3743" t="s">
        <v>10195</v>
      </c>
      <c r="T3743" t="s">
        <v>12902</v>
      </c>
      <c r="U3743" t="s">
        <v>12902</v>
      </c>
      <c r="V3743" t="s">
        <v>12902</v>
      </c>
      <c r="W3743" t="s">
        <v>16600</v>
      </c>
      <c r="X3743">
        <v>10</v>
      </c>
      <c r="Y3743" t="s">
        <v>22916</v>
      </c>
      <c r="Z3743" t="s">
        <v>29318</v>
      </c>
      <c r="AA3743">
        <v>0.30600258921282641</v>
      </c>
      <c r="AB3743" t="str">
        <f>HYPERLINK("Melting_Curves/meltCurve_Q5MIZ7_3_SMEK2.pdf", "Melting_Curves/meltCurve_Q5MIZ7_3_SMEK2.pdf")</f>
        <v>Melting_Curves/meltCurve_Q5MIZ7_3_SMEK2.pdf</v>
      </c>
    </row>
    <row r="3744" spans="1:28" x14ac:dyDescent="0.25">
      <c r="A3744" t="s">
        <v>3748</v>
      </c>
      <c r="B3744">
        <v>0.99673306730245903</v>
      </c>
      <c r="C3744">
        <v>1.0695579180399599</v>
      </c>
      <c r="D3744">
        <v>0.98676540152892001</v>
      </c>
      <c r="E3744">
        <v>1.0472981282417899</v>
      </c>
      <c r="F3744">
        <v>0.91339807114678295</v>
      </c>
      <c r="G3744">
        <v>0.91535157668475198</v>
      </c>
      <c r="H3744">
        <v>0.66900339258973496</v>
      </c>
      <c r="I3744">
        <v>0.78755328915890799</v>
      </c>
      <c r="J3744">
        <v>0.51077458906665796</v>
      </c>
      <c r="K3744">
        <v>0.19026934040332699</v>
      </c>
      <c r="L3744">
        <v>1039.80761501034</v>
      </c>
      <c r="M3744">
        <v>15.67588831942</v>
      </c>
      <c r="N3744">
        <v>66.331631963777099</v>
      </c>
      <c r="O3744">
        <v>65.2803288422961</v>
      </c>
      <c r="P3744">
        <v>-6.0038073650879098E-2</v>
      </c>
      <c r="Q3744">
        <v>0</v>
      </c>
      <c r="R3744">
        <v>0.90119823135615695</v>
      </c>
      <c r="S3744" t="s">
        <v>10196</v>
      </c>
      <c r="T3744" t="s">
        <v>12902</v>
      </c>
      <c r="U3744" t="s">
        <v>12902</v>
      </c>
      <c r="V3744" t="s">
        <v>12902</v>
      </c>
      <c r="W3744" t="s">
        <v>16601</v>
      </c>
      <c r="X3744">
        <v>8</v>
      </c>
      <c r="Y3744" t="s">
        <v>22917</v>
      </c>
      <c r="Z3744" t="s">
        <v>29319</v>
      </c>
      <c r="AA3744">
        <v>0.8409921339601627</v>
      </c>
      <c r="AB3744" t="str">
        <f>HYPERLINK("Melting_Curves/meltCurve_Q5MNZ6_WDR45B.pdf", "Melting_Curves/meltCurve_Q5MNZ6_WDR45B.pdf")</f>
        <v>Melting_Curves/meltCurve_Q5MNZ6_WDR45B.pdf</v>
      </c>
    </row>
    <row r="3745" spans="1:28" x14ac:dyDescent="0.25">
      <c r="A3745" t="s">
        <v>3749</v>
      </c>
      <c r="B3745">
        <v>0.99673306730245903</v>
      </c>
      <c r="C3745">
        <v>0.98373748796431304</v>
      </c>
      <c r="D3745">
        <v>0.97805527188459096</v>
      </c>
      <c r="E3745">
        <v>0.77565445673810995</v>
      </c>
      <c r="F3745">
        <v>0.29983841027220698</v>
      </c>
      <c r="G3745">
        <v>0.198702690984809</v>
      </c>
      <c r="H3745">
        <v>0.14700570895755399</v>
      </c>
      <c r="I3745">
        <v>0.12869281305491501</v>
      </c>
      <c r="J3745">
        <v>0.106280911300459</v>
      </c>
      <c r="K3745">
        <v>7.0227800228678097E-2</v>
      </c>
      <c r="L3745">
        <v>1637.2423769299901</v>
      </c>
      <c r="M3745">
        <v>31.987741827563401</v>
      </c>
      <c r="N3745">
        <v>51.6195412475914</v>
      </c>
      <c r="O3745">
        <v>50.984637069065897</v>
      </c>
      <c r="P3745">
        <v>-0.13827846528648799</v>
      </c>
      <c r="Q3745">
        <v>0.118407077879114</v>
      </c>
      <c r="R3745">
        <v>0.99614389334361697</v>
      </c>
      <c r="S3745" t="s">
        <v>10197</v>
      </c>
      <c r="T3745" t="s">
        <v>12902</v>
      </c>
      <c r="U3745" t="s">
        <v>12902</v>
      </c>
      <c r="V3745" t="s">
        <v>12902</v>
      </c>
      <c r="W3745" t="s">
        <v>16602</v>
      </c>
      <c r="X3745">
        <v>6</v>
      </c>
      <c r="Y3745" t="s">
        <v>22918</v>
      </c>
      <c r="Z3745" t="s">
        <v>29320</v>
      </c>
      <c r="AA3745">
        <v>0.45193739426148899</v>
      </c>
      <c r="AB3745" t="str">
        <f>HYPERLINK("Melting_Curves/meltCurve_Q5NDL2_EOGT.pdf", "Melting_Curves/meltCurve_Q5NDL2_EOGT.pdf")</f>
        <v>Melting_Curves/meltCurve_Q5NDL2_EOGT.pdf</v>
      </c>
    </row>
    <row r="3746" spans="1:28" x14ac:dyDescent="0.25">
      <c r="A3746" t="s">
        <v>3750</v>
      </c>
      <c r="B3746">
        <v>0.99673306730245903</v>
      </c>
      <c r="C3746">
        <v>1.0431828284570099</v>
      </c>
      <c r="D3746">
        <v>1.0344573868840401</v>
      </c>
      <c r="E3746">
        <v>0.84060589112656303</v>
      </c>
      <c r="F3746">
        <v>0.57610240683962199</v>
      </c>
      <c r="G3746">
        <v>0.42118554171286898</v>
      </c>
      <c r="H3746">
        <v>0.25608091910268999</v>
      </c>
      <c r="I3746">
        <v>0.31842922616488101</v>
      </c>
      <c r="J3746">
        <v>0.46999169324008599</v>
      </c>
      <c r="K3746">
        <v>0.53228783424111803</v>
      </c>
      <c r="L3746">
        <v>1669.6898715713801</v>
      </c>
      <c r="M3746">
        <v>32.422034861688701</v>
      </c>
      <c r="N3746">
        <v>54.111735682460697</v>
      </c>
      <c r="O3746">
        <v>51.3038846831246</v>
      </c>
      <c r="P3746">
        <v>-9.5500910626089397E-2</v>
      </c>
      <c r="Q3746">
        <v>0.39552908349781302</v>
      </c>
      <c r="R3746">
        <v>0.93222166039091103</v>
      </c>
      <c r="S3746" t="s">
        <v>10198</v>
      </c>
      <c r="T3746" t="s">
        <v>12902</v>
      </c>
      <c r="U3746" t="s">
        <v>12902</v>
      </c>
      <c r="V3746" t="s">
        <v>12902</v>
      </c>
      <c r="W3746" t="s">
        <v>16603</v>
      </c>
      <c r="X3746">
        <v>4</v>
      </c>
      <c r="Y3746" t="s">
        <v>22919</v>
      </c>
      <c r="Z3746" t="s">
        <v>29321</v>
      </c>
      <c r="AA3746">
        <v>0.63049587779546157</v>
      </c>
      <c r="AB3746" t="str">
        <f>HYPERLINK("Melting_Curves/meltCurve_Q5QJE6_DNTTIP2.pdf", "Melting_Curves/meltCurve_Q5QJE6_DNTTIP2.pdf")</f>
        <v>Melting_Curves/meltCurve_Q5QJE6_DNTTIP2.pdf</v>
      </c>
    </row>
    <row r="3747" spans="1:28" x14ac:dyDescent="0.25">
      <c r="A3747" t="s">
        <v>3751</v>
      </c>
      <c r="B3747">
        <v>0.99673306730245903</v>
      </c>
      <c r="C3747">
        <v>0.98691823796016498</v>
      </c>
      <c r="D3747">
        <v>0.92982053778566898</v>
      </c>
      <c r="E3747">
        <v>0.91735779763814096</v>
      </c>
      <c r="F3747">
        <v>0.73247045415775502</v>
      </c>
      <c r="G3747">
        <v>0.53159054678291695</v>
      </c>
      <c r="H3747">
        <v>0.401176286093199</v>
      </c>
      <c r="I3747">
        <v>0.62570966534877603</v>
      </c>
      <c r="J3747">
        <v>0.84219461357821102</v>
      </c>
      <c r="K3747">
        <v>0.86702326963383902</v>
      </c>
      <c r="L3747">
        <v>2156.7322524321698</v>
      </c>
      <c r="M3747">
        <v>42.2895003807755</v>
      </c>
      <c r="O3747">
        <v>50.885571206097197</v>
      </c>
      <c r="P3747">
        <v>-7.12860772081612E-2</v>
      </c>
      <c r="Q3747">
        <v>0.65689560599305197</v>
      </c>
      <c r="R3747">
        <v>0.55274604464420496</v>
      </c>
      <c r="S3747" t="s">
        <v>10199</v>
      </c>
      <c r="T3747" t="s">
        <v>12902</v>
      </c>
      <c r="U3747" t="s">
        <v>12902</v>
      </c>
      <c r="V3747" t="s">
        <v>12902</v>
      </c>
      <c r="W3747" t="s">
        <v>16604</v>
      </c>
      <c r="X3747">
        <v>14</v>
      </c>
      <c r="Y3747" t="s">
        <v>22920</v>
      </c>
      <c r="Z3747" t="s">
        <v>29322</v>
      </c>
      <c r="AA3747">
        <v>0.78377300463256894</v>
      </c>
      <c r="AB3747" t="str">
        <f>HYPERLINK("Melting_Curves/meltCurve_Q5QNY5_PEX19.pdf", "Melting_Curves/meltCurve_Q5QNY5_PEX19.pdf")</f>
        <v>Melting_Curves/meltCurve_Q5QNY5_PEX19.pdf</v>
      </c>
    </row>
    <row r="3748" spans="1:28" x14ac:dyDescent="0.25">
      <c r="A3748" t="s">
        <v>3752</v>
      </c>
      <c r="B3748">
        <v>0.99673306730245903</v>
      </c>
      <c r="C3748">
        <v>0.94891455436524197</v>
      </c>
      <c r="D3748">
        <v>0.95181840535394002</v>
      </c>
      <c r="E3748">
        <v>0.94447125356753903</v>
      </c>
      <c r="F3748">
        <v>0.76259276354907302</v>
      </c>
      <c r="G3748">
        <v>0.67270793055585798</v>
      </c>
      <c r="H3748">
        <v>0.61449881585539701</v>
      </c>
      <c r="I3748">
        <v>0.25099727763566299</v>
      </c>
      <c r="J3748">
        <v>0.14930099282186199</v>
      </c>
      <c r="K3748">
        <v>0.145039804472536</v>
      </c>
      <c r="L3748">
        <v>759.04029037532496</v>
      </c>
      <c r="M3748">
        <v>12.6203470201143</v>
      </c>
      <c r="N3748">
        <v>60.144169590031503</v>
      </c>
      <c r="O3748">
        <v>58.694027719256397</v>
      </c>
      <c r="P3748">
        <v>-5.3765474644416202E-2</v>
      </c>
      <c r="Q3748">
        <v>0</v>
      </c>
      <c r="R3748">
        <v>0.96314383139170701</v>
      </c>
      <c r="S3748" t="s">
        <v>10200</v>
      </c>
      <c r="T3748" t="s">
        <v>12902</v>
      </c>
      <c r="U3748" t="s">
        <v>12902</v>
      </c>
      <c r="V3748" t="s">
        <v>12902</v>
      </c>
      <c r="W3748" t="s">
        <v>16605</v>
      </c>
      <c r="X3748">
        <v>12</v>
      </c>
      <c r="Y3748" t="s">
        <v>22921</v>
      </c>
      <c r="Z3748" t="s">
        <v>29323</v>
      </c>
      <c r="AA3748">
        <v>0.6743645317554644</v>
      </c>
      <c r="AB3748" t="str">
        <f>HYPERLINK("Melting_Curves/meltCurve_Q5QNZ2_ATP5F1.pdf", "Melting_Curves/meltCurve_Q5QNZ2_ATP5F1.pdf")</f>
        <v>Melting_Curves/meltCurve_Q5QNZ2_ATP5F1.pdf</v>
      </c>
    </row>
    <row r="3749" spans="1:28" x14ac:dyDescent="0.25">
      <c r="A3749" t="s">
        <v>3753</v>
      </c>
      <c r="B3749">
        <v>0.99673306730245903</v>
      </c>
      <c r="C3749">
        <v>0.97552598849033301</v>
      </c>
      <c r="D3749">
        <v>0.91328765548371105</v>
      </c>
      <c r="E3749">
        <v>0.74041835505342601</v>
      </c>
      <c r="F3749">
        <v>0.65586438654824097</v>
      </c>
      <c r="G3749">
        <v>0.63910516497962799</v>
      </c>
      <c r="H3749">
        <v>0.50001461136881598</v>
      </c>
      <c r="I3749">
        <v>0.69923357882471204</v>
      </c>
      <c r="J3749">
        <v>0.75578340915117304</v>
      </c>
      <c r="K3749">
        <v>0.67345892292873399</v>
      </c>
      <c r="L3749">
        <v>1449.8797756553399</v>
      </c>
      <c r="M3749">
        <v>30.4093406096822</v>
      </c>
      <c r="O3749">
        <v>47.474000175087099</v>
      </c>
      <c r="P3749">
        <v>-5.5751248353872802E-2</v>
      </c>
      <c r="Q3749">
        <v>0.65185454873061999</v>
      </c>
      <c r="R3749">
        <v>0.83829468297929599</v>
      </c>
      <c r="S3749" t="s">
        <v>10201</v>
      </c>
      <c r="T3749" t="s">
        <v>12902</v>
      </c>
      <c r="U3749" t="s">
        <v>12902</v>
      </c>
      <c r="V3749" t="s">
        <v>12902</v>
      </c>
      <c r="W3749" t="s">
        <v>16606</v>
      </c>
      <c r="X3749">
        <v>2</v>
      </c>
      <c r="Y3749" t="s">
        <v>22922</v>
      </c>
      <c r="Z3749" t="s">
        <v>29324</v>
      </c>
      <c r="AA3749">
        <v>0.74299707943092663</v>
      </c>
      <c r="AB3749" t="str">
        <f>HYPERLINK("Melting_Curves/meltCurve_Q5QP56_BCL2L1.pdf", "Melting_Curves/meltCurve_Q5QP56_BCL2L1.pdf")</f>
        <v>Melting_Curves/meltCurve_Q5QP56_BCL2L1.pdf</v>
      </c>
    </row>
    <row r="3750" spans="1:28" x14ac:dyDescent="0.25">
      <c r="A3750" t="s">
        <v>3754</v>
      </c>
      <c r="B3750">
        <v>0.99673306730245903</v>
      </c>
      <c r="C3750">
        <v>0.94377630464338902</v>
      </c>
      <c r="D3750">
        <v>0.84784681669483997</v>
      </c>
      <c r="E3750">
        <v>0.81406098817392203</v>
      </c>
      <c r="F3750">
        <v>0.52156146630751499</v>
      </c>
      <c r="G3750">
        <v>0.39480640728687799</v>
      </c>
      <c r="H3750">
        <v>0.21548245661713</v>
      </c>
      <c r="I3750">
        <v>0.184140982058634</v>
      </c>
      <c r="J3750">
        <v>0.15557480275362401</v>
      </c>
      <c r="K3750">
        <v>0.14458362838008601</v>
      </c>
      <c r="L3750">
        <v>699.84221770314696</v>
      </c>
      <c r="M3750">
        <v>13.133134871199299</v>
      </c>
      <c r="N3750">
        <v>54.156844262043599</v>
      </c>
      <c r="O3750">
        <v>52.0982010949594</v>
      </c>
      <c r="P3750">
        <v>-5.7046128475645802E-2</v>
      </c>
      <c r="Q3750">
        <v>9.4962124046233803E-2</v>
      </c>
      <c r="R3750">
        <v>0.99147371179917099</v>
      </c>
      <c r="S3750" t="s">
        <v>10202</v>
      </c>
      <c r="T3750" t="s">
        <v>12902</v>
      </c>
      <c r="U3750" t="s">
        <v>12902</v>
      </c>
      <c r="V3750" t="s">
        <v>12902</v>
      </c>
      <c r="W3750" t="s">
        <v>16607</v>
      </c>
      <c r="X3750">
        <v>3</v>
      </c>
      <c r="Y3750" t="s">
        <v>22923</v>
      </c>
      <c r="Z3750" t="s">
        <v>29325</v>
      </c>
      <c r="AA3750">
        <v>0.51859579697252611</v>
      </c>
      <c r="AB3750" t="str">
        <f>HYPERLINK("Melting_Curves/meltCurve_Q5QP82_2_DCAF10.pdf", "Melting_Curves/meltCurve_Q5QP82_2_DCAF10.pdf")</f>
        <v>Melting_Curves/meltCurve_Q5QP82_2_DCAF10.pdf</v>
      </c>
    </row>
    <row r="3751" spans="1:28" x14ac:dyDescent="0.25">
      <c r="A3751" t="s">
        <v>3755</v>
      </c>
      <c r="B3751">
        <v>0.99673306730245903</v>
      </c>
      <c r="C3751">
        <v>0.90463118001381104</v>
      </c>
      <c r="D3751">
        <v>0.85534675948705696</v>
      </c>
      <c r="E3751">
        <v>0.67125477370498599</v>
      </c>
      <c r="F3751">
        <v>0.51467692913928398</v>
      </c>
      <c r="G3751">
        <v>0.41743145628519701</v>
      </c>
      <c r="H3751">
        <v>0.19974446559815801</v>
      </c>
      <c r="I3751">
        <v>9.1177597509724206E-2</v>
      </c>
      <c r="J3751">
        <v>0.10121883274049499</v>
      </c>
      <c r="K3751">
        <v>8.9763791939326404E-2</v>
      </c>
      <c r="L3751">
        <v>567.61888577277603</v>
      </c>
      <c r="M3751">
        <v>10.6121896416856</v>
      </c>
      <c r="N3751">
        <v>53.487441949747399</v>
      </c>
      <c r="O3751">
        <v>51.693000357912297</v>
      </c>
      <c r="P3751">
        <v>-5.1343044991524298E-2</v>
      </c>
      <c r="Q3751">
        <v>0</v>
      </c>
      <c r="R3751">
        <v>0.990966017054836</v>
      </c>
      <c r="S3751" t="s">
        <v>10203</v>
      </c>
      <c r="T3751" t="s">
        <v>12902</v>
      </c>
      <c r="U3751" t="s">
        <v>12902</v>
      </c>
      <c r="V3751" t="s">
        <v>12902</v>
      </c>
      <c r="W3751" t="s">
        <v>16608</v>
      </c>
      <c r="X3751">
        <v>14</v>
      </c>
      <c r="Y3751" t="s">
        <v>22924</v>
      </c>
      <c r="Z3751" t="s">
        <v>29326</v>
      </c>
      <c r="AA3751">
        <v>0.48031746403134018</v>
      </c>
      <c r="AB3751" t="str">
        <f>HYPERLINK("Melting_Curves/meltCurve_Q5QPK2_DPM1.pdf", "Melting_Curves/meltCurve_Q5QPK2_DPM1.pdf")</f>
        <v>Melting_Curves/meltCurve_Q5QPK2_DPM1.pdf</v>
      </c>
    </row>
    <row r="3752" spans="1:28" x14ac:dyDescent="0.25">
      <c r="A3752" t="s">
        <v>3756</v>
      </c>
      <c r="B3752">
        <v>0.99673306730245903</v>
      </c>
      <c r="C3752">
        <v>0.893553690991719</v>
      </c>
      <c r="D3752">
        <v>0.96157427517519201</v>
      </c>
      <c r="E3752">
        <v>0.82302164464665795</v>
      </c>
      <c r="F3752">
        <v>0.77949244526825201</v>
      </c>
      <c r="G3752">
        <v>0.64217837321142102</v>
      </c>
      <c r="H3752">
        <v>0.65261207499018503</v>
      </c>
      <c r="I3752">
        <v>1.2711231813196999</v>
      </c>
      <c r="J3752">
        <v>1.998947154668</v>
      </c>
      <c r="K3752">
        <v>2.00671220966534</v>
      </c>
      <c r="L3752">
        <v>15000</v>
      </c>
      <c r="M3752">
        <v>234.54460179415699</v>
      </c>
      <c r="O3752">
        <v>63.949052108232699</v>
      </c>
      <c r="P3752">
        <v>0.45845975055203902</v>
      </c>
      <c r="Q3752">
        <v>1.5</v>
      </c>
      <c r="R3752">
        <v>0.635002477586049</v>
      </c>
      <c r="S3752" t="s">
        <v>10204</v>
      </c>
      <c r="T3752" t="s">
        <v>12902</v>
      </c>
      <c r="U3752" t="s">
        <v>12902</v>
      </c>
      <c r="V3752" t="s">
        <v>12902</v>
      </c>
      <c r="W3752" t="s">
        <v>16609</v>
      </c>
      <c r="X3752">
        <v>3</v>
      </c>
      <c r="Y3752" t="s">
        <v>22925</v>
      </c>
      <c r="Z3752" t="s">
        <v>29327</v>
      </c>
      <c r="AA3752">
        <v>1.100707558025968</v>
      </c>
      <c r="AB3752" t="str">
        <f>HYPERLINK("Melting_Curves/meltCurve_Q5QPL9_RALY.pdf", "Melting_Curves/meltCurve_Q5QPL9_RALY.pdf")</f>
        <v>Melting_Curves/meltCurve_Q5QPL9_RALY.pdf</v>
      </c>
    </row>
    <row r="3753" spans="1:28" x14ac:dyDescent="0.25">
      <c r="A3753" t="s">
        <v>3757</v>
      </c>
      <c r="B3753">
        <v>0.99673306730245903</v>
      </c>
      <c r="C3753">
        <v>0.99362329130937999</v>
      </c>
      <c r="D3753">
        <v>0.93147184734167399</v>
      </c>
      <c r="E3753">
        <v>0.79863478487389805</v>
      </c>
      <c r="F3753">
        <v>0.31238277964234901</v>
      </c>
      <c r="G3753">
        <v>0.18183740393491099</v>
      </c>
      <c r="H3753">
        <v>0.11768673783391199</v>
      </c>
      <c r="I3753">
        <v>0.136676315027007</v>
      </c>
      <c r="J3753">
        <v>0.18123133515617501</v>
      </c>
      <c r="K3753">
        <v>0.168866768472065</v>
      </c>
      <c r="L3753">
        <v>1828.0598932262801</v>
      </c>
      <c r="M3753">
        <v>35.757278388956799</v>
      </c>
      <c r="N3753">
        <v>51.643603221871402</v>
      </c>
      <c r="O3753">
        <v>50.965025367749497</v>
      </c>
      <c r="P3753">
        <v>-0.14890724733475799</v>
      </c>
      <c r="Q3753">
        <v>0.151049849816179</v>
      </c>
      <c r="R3753">
        <v>0.995799753283795</v>
      </c>
      <c r="S3753" t="s">
        <v>10205</v>
      </c>
      <c r="T3753" t="s">
        <v>12902</v>
      </c>
      <c r="U3753" t="s">
        <v>12902</v>
      </c>
      <c r="V3753" t="s">
        <v>12902</v>
      </c>
      <c r="W3753" t="s">
        <v>16610</v>
      </c>
      <c r="X3753">
        <v>9</v>
      </c>
      <c r="Y3753" t="s">
        <v>22926</v>
      </c>
      <c r="Z3753" t="s">
        <v>29328</v>
      </c>
      <c r="AA3753">
        <v>0.46960391763505099</v>
      </c>
      <c r="AB3753" t="str">
        <f>HYPERLINK("Melting_Curves/meltCurve_Q5QPM7_PSMF1.pdf", "Melting_Curves/meltCurve_Q5QPM7_PSMF1.pdf")</f>
        <v>Melting_Curves/meltCurve_Q5QPM7_PSMF1.pdf</v>
      </c>
    </row>
    <row r="3754" spans="1:28" x14ac:dyDescent="0.25">
      <c r="A3754" t="s">
        <v>3758</v>
      </c>
      <c r="B3754">
        <v>0.99673306730245903</v>
      </c>
      <c r="C3754">
        <v>0.977538343683375</v>
      </c>
      <c r="D3754">
        <v>0.92435598475801894</v>
      </c>
      <c r="E3754">
        <v>0.70800854819242298</v>
      </c>
      <c r="F3754">
        <v>0.210892631531474</v>
      </c>
      <c r="G3754">
        <v>0.14144450601683001</v>
      </c>
      <c r="H3754">
        <v>9.2095699051815194E-2</v>
      </c>
      <c r="I3754">
        <v>8.4313684639180403E-2</v>
      </c>
      <c r="J3754">
        <v>0.10438997352547</v>
      </c>
      <c r="K3754">
        <v>8.3777540391458502E-2</v>
      </c>
      <c r="L3754">
        <v>1733.0126036983099</v>
      </c>
      <c r="M3754">
        <v>34.279190613710703</v>
      </c>
      <c r="N3754">
        <v>50.862445732643003</v>
      </c>
      <c r="O3754">
        <v>50.384699225776501</v>
      </c>
      <c r="P3754">
        <v>-0.15421060724291699</v>
      </c>
      <c r="Q3754">
        <v>9.3347951170811599E-2</v>
      </c>
      <c r="R3754">
        <v>0.99711773934284997</v>
      </c>
      <c r="S3754" t="s">
        <v>10206</v>
      </c>
      <c r="T3754" t="s">
        <v>12902</v>
      </c>
      <c r="U3754" t="s">
        <v>12902</v>
      </c>
      <c r="V3754" t="s">
        <v>12902</v>
      </c>
      <c r="W3754" t="s">
        <v>16611</v>
      </c>
      <c r="X3754">
        <v>8</v>
      </c>
      <c r="Y3754" t="s">
        <v>19967</v>
      </c>
      <c r="Z3754" t="s">
        <v>29329</v>
      </c>
      <c r="AA3754">
        <v>0.41668884975183551</v>
      </c>
      <c r="AB3754" t="str">
        <f>HYPERLINK("Melting_Curves/meltCurve_Q5R372_4_RABGAP1L.pdf", "Melting_Curves/meltCurve_Q5R372_4_RABGAP1L.pdf")</f>
        <v>Melting_Curves/meltCurve_Q5R372_4_RABGAP1L.pdf</v>
      </c>
    </row>
    <row r="3755" spans="1:28" x14ac:dyDescent="0.25">
      <c r="A3755" t="s">
        <v>3759</v>
      </c>
      <c r="B3755">
        <v>0.99673306730245903</v>
      </c>
      <c r="C3755">
        <v>0.94102778368428897</v>
      </c>
      <c r="D3755">
        <v>0.91578731887987896</v>
      </c>
      <c r="E3755">
        <v>0.78992788885591603</v>
      </c>
      <c r="F3755">
        <v>0.66194752056630601</v>
      </c>
      <c r="G3755">
        <v>0.56920963753737397</v>
      </c>
      <c r="H3755">
        <v>0.51182586800567798</v>
      </c>
      <c r="I3755">
        <v>0.84568958128697402</v>
      </c>
      <c r="J3755">
        <v>0.733479893502333</v>
      </c>
      <c r="K3755">
        <v>0.56885135461206704</v>
      </c>
      <c r="L3755">
        <v>1216.78856571043</v>
      </c>
      <c r="M3755">
        <v>25.208492871700901</v>
      </c>
      <c r="O3755">
        <v>47.968309800805997</v>
      </c>
      <c r="P3755">
        <v>-4.6724767208382402E-2</v>
      </c>
      <c r="Q3755">
        <v>0.64436129373505802</v>
      </c>
      <c r="R3755">
        <v>0.69261084243591098</v>
      </c>
      <c r="S3755" t="s">
        <v>10207</v>
      </c>
      <c r="T3755" t="s">
        <v>12902</v>
      </c>
      <c r="U3755" t="s">
        <v>12902</v>
      </c>
      <c r="V3755" t="s">
        <v>12902</v>
      </c>
      <c r="W3755" t="s">
        <v>16612</v>
      </c>
      <c r="X3755">
        <v>4</v>
      </c>
      <c r="Y3755" t="s">
        <v>22927</v>
      </c>
      <c r="Z3755" t="s">
        <v>29330</v>
      </c>
      <c r="AA3755">
        <v>0.74547533439041302</v>
      </c>
      <c r="AB3755" t="str">
        <f>HYPERLINK("Melting_Curves/meltCurve_Q5R3B4_MPC2.pdf", "Melting_Curves/meltCurve_Q5R3B4_MPC2.pdf")</f>
        <v>Melting_Curves/meltCurve_Q5R3B4_MPC2.pdf</v>
      </c>
    </row>
    <row r="3756" spans="1:28" x14ac:dyDescent="0.25">
      <c r="A3756" t="s">
        <v>3760</v>
      </c>
      <c r="B3756">
        <v>0.99673306730245903</v>
      </c>
      <c r="C3756">
        <v>0.98833363276863095</v>
      </c>
      <c r="D3756">
        <v>0.88398445181832297</v>
      </c>
      <c r="E3756">
        <v>0.76327763977682594</v>
      </c>
      <c r="F3756">
        <v>0.64457444302818001</v>
      </c>
      <c r="G3756">
        <v>0.52549880196660304</v>
      </c>
      <c r="H3756">
        <v>0.43946782306679799</v>
      </c>
      <c r="I3756">
        <v>0.529757591030802</v>
      </c>
      <c r="J3756">
        <v>0.65536464206489997</v>
      </c>
      <c r="K3756">
        <v>0.69837018090908198</v>
      </c>
      <c r="L3756">
        <v>1129.4915361875201</v>
      </c>
      <c r="M3756">
        <v>23.197634924672901</v>
      </c>
      <c r="O3756">
        <v>48.332462521060499</v>
      </c>
      <c r="P3756">
        <v>-5.1449130462245897E-2</v>
      </c>
      <c r="Q3756">
        <v>0.57122917470590995</v>
      </c>
      <c r="R3756">
        <v>0.85628781674048504</v>
      </c>
      <c r="S3756" t="s">
        <v>10208</v>
      </c>
      <c r="T3756" t="s">
        <v>12902</v>
      </c>
      <c r="U3756" t="s">
        <v>12902</v>
      </c>
      <c r="V3756" t="s">
        <v>12902</v>
      </c>
      <c r="W3756" t="s">
        <v>16613</v>
      </c>
      <c r="X3756">
        <v>6</v>
      </c>
      <c r="Y3756" t="s">
        <v>22928</v>
      </c>
      <c r="Z3756" t="s">
        <v>29331</v>
      </c>
      <c r="AA3756">
        <v>0.69986063765779172</v>
      </c>
      <c r="AB3756" t="str">
        <f>HYPERLINK("Melting_Curves/meltCurve_Q5RI15_COX20.pdf", "Melting_Curves/meltCurve_Q5RI15_COX20.pdf")</f>
        <v>Melting_Curves/meltCurve_Q5RI15_COX20.pdf</v>
      </c>
    </row>
    <row r="3757" spans="1:28" x14ac:dyDescent="0.25">
      <c r="A3757" t="s">
        <v>3761</v>
      </c>
      <c r="B3757">
        <v>0.99673306730245903</v>
      </c>
      <c r="C3757">
        <v>1.0455286992644199</v>
      </c>
      <c r="D3757">
        <v>1.4219254837047</v>
      </c>
      <c r="E3757">
        <v>1.8328051553904601</v>
      </c>
      <c r="F3757">
        <v>2.1231166082349899</v>
      </c>
      <c r="G3757">
        <v>1.76901010112376</v>
      </c>
      <c r="H3757">
        <v>1.1952643853174101</v>
      </c>
      <c r="I3757">
        <v>0.44493834710570401</v>
      </c>
      <c r="J3757">
        <v>0.286918065885508</v>
      </c>
      <c r="K3757">
        <v>0.22832458879627299</v>
      </c>
      <c r="L3757">
        <v>15000</v>
      </c>
      <c r="M3757">
        <v>235.461137155736</v>
      </c>
      <c r="N3757">
        <v>63.901287424786602</v>
      </c>
      <c r="O3757">
        <v>63.700188648740799</v>
      </c>
      <c r="P3757">
        <v>-0.68603770134682696</v>
      </c>
      <c r="Q3757">
        <v>0.257614590435359</v>
      </c>
      <c r="R3757">
        <v>0.30770909066959501</v>
      </c>
      <c r="S3757" t="s">
        <v>10209</v>
      </c>
      <c r="T3757" t="s">
        <v>12902</v>
      </c>
      <c r="U3757" t="s">
        <v>12902</v>
      </c>
      <c r="V3757" t="s">
        <v>12902</v>
      </c>
      <c r="W3757" t="s">
        <v>16614</v>
      </c>
      <c r="X3757">
        <v>12</v>
      </c>
      <c r="Y3757" t="s">
        <v>22929</v>
      </c>
      <c r="Z3757" t="s">
        <v>29332</v>
      </c>
      <c r="AA3757">
        <v>0.84431092517052087</v>
      </c>
      <c r="AB3757" t="str">
        <f>HYPERLINK("Melting_Curves/meltCurve_Q5RKV6_EXOSC6.pdf", "Melting_Curves/meltCurve_Q5RKV6_EXOSC6.pdf")</f>
        <v>Melting_Curves/meltCurve_Q5RKV6_EXOSC6.pdf</v>
      </c>
    </row>
    <row r="3758" spans="1:28" x14ac:dyDescent="0.25">
      <c r="A3758" t="s">
        <v>3762</v>
      </c>
      <c r="B3758">
        <v>0.99673306730245903</v>
      </c>
      <c r="C3758">
        <v>0.74454304274515304</v>
      </c>
      <c r="D3758">
        <v>0.373455409766976</v>
      </c>
      <c r="E3758">
        <v>0.28603924110087697</v>
      </c>
      <c r="F3758">
        <v>0.326867308076143</v>
      </c>
      <c r="G3758">
        <v>0.16360886930117599</v>
      </c>
      <c r="H3758">
        <v>0.211317978590671</v>
      </c>
      <c r="I3758">
        <v>0.273580548731163</v>
      </c>
      <c r="J3758">
        <v>0.33050165242055402</v>
      </c>
      <c r="K3758">
        <v>0.149720975974972</v>
      </c>
      <c r="L3758">
        <v>1448.1822387371301</v>
      </c>
      <c r="M3758">
        <v>33.049397358264699</v>
      </c>
      <c r="N3758">
        <v>44.7335583406485</v>
      </c>
      <c r="O3758">
        <v>43.6592431523923</v>
      </c>
      <c r="P3758">
        <v>-0.142758915924387</v>
      </c>
      <c r="Q3758">
        <v>0.24564851196604601</v>
      </c>
      <c r="R3758">
        <v>0.95077385453904195</v>
      </c>
      <c r="S3758" t="s">
        <v>10210</v>
      </c>
      <c r="T3758" t="s">
        <v>12902</v>
      </c>
      <c r="U3758" t="s">
        <v>12902</v>
      </c>
      <c r="V3758" t="s">
        <v>12902</v>
      </c>
      <c r="W3758" t="s">
        <v>16615</v>
      </c>
      <c r="X3758">
        <v>2</v>
      </c>
      <c r="Y3758" t="s">
        <v>22930</v>
      </c>
      <c r="Z3758" t="s">
        <v>29333</v>
      </c>
      <c r="AA3758">
        <v>0.34613181635408358</v>
      </c>
      <c r="AB3758" t="str">
        <f>HYPERLINK("Melting_Curves/meltCurve_Q5SQI0_5_ATAT1.pdf", "Melting_Curves/meltCurve_Q5SQI0_5_ATAT1.pdf")</f>
        <v>Melting_Curves/meltCurve_Q5SQI0_5_ATAT1.pdf</v>
      </c>
    </row>
    <row r="3759" spans="1:28" x14ac:dyDescent="0.25">
      <c r="A3759" t="s">
        <v>3763</v>
      </c>
      <c r="B3759">
        <v>0.99673306730245903</v>
      </c>
      <c r="C3759">
        <v>0.88715012260673698</v>
      </c>
      <c r="D3759">
        <v>0.89316950944793405</v>
      </c>
      <c r="E3759">
        <v>0.609268736236525</v>
      </c>
      <c r="F3759">
        <v>0.45177937742678198</v>
      </c>
      <c r="G3759">
        <v>0.231520567435263</v>
      </c>
      <c r="H3759">
        <v>0.13857855020075799</v>
      </c>
      <c r="I3759">
        <v>9.1209748634489302E-2</v>
      </c>
      <c r="J3759">
        <v>9.0919960973843403E-2</v>
      </c>
      <c r="K3759">
        <v>2.2162042244865999E-2</v>
      </c>
      <c r="L3759">
        <v>677.04392408989202</v>
      </c>
      <c r="M3759">
        <v>13.0706123742338</v>
      </c>
      <c r="N3759">
        <v>51.913980324048801</v>
      </c>
      <c r="O3759">
        <v>50.631441330296603</v>
      </c>
      <c r="P3759">
        <v>-6.3627821458686604E-2</v>
      </c>
      <c r="Q3759">
        <v>1.4273838353700099E-2</v>
      </c>
      <c r="R3759">
        <v>0.99255315283750001</v>
      </c>
      <c r="S3759" t="s">
        <v>10211</v>
      </c>
      <c r="T3759" t="s">
        <v>12902</v>
      </c>
      <c r="U3759" t="s">
        <v>12902</v>
      </c>
      <c r="V3759" t="s">
        <v>12902</v>
      </c>
      <c r="W3759" t="s">
        <v>16616</v>
      </c>
      <c r="X3759">
        <v>2</v>
      </c>
      <c r="Y3759" t="s">
        <v>22931</v>
      </c>
      <c r="Z3759" t="s">
        <v>29334</v>
      </c>
      <c r="AA3759">
        <v>0.42917137037145192</v>
      </c>
      <c r="AB3759" t="str">
        <f>HYPERLINK("Melting_Curves/meltCurve_Q5SR50_PIK3CD.pdf", "Melting_Curves/meltCurve_Q5SR50_PIK3CD.pdf")</f>
        <v>Melting_Curves/meltCurve_Q5SR50_PIK3CD.pdf</v>
      </c>
    </row>
    <row r="3760" spans="1:28" x14ac:dyDescent="0.25">
      <c r="A3760" t="s">
        <v>3764</v>
      </c>
      <c r="B3760">
        <v>0.99673306730245903</v>
      </c>
      <c r="C3760">
        <v>0.98713272577630595</v>
      </c>
      <c r="D3760">
        <v>0.86088641161469603</v>
      </c>
      <c r="E3760">
        <v>0.76966993401294204</v>
      </c>
      <c r="F3760">
        <v>0.40112660016590701</v>
      </c>
      <c r="G3760">
        <v>0.21726407196244199</v>
      </c>
      <c r="H3760">
        <v>0.111122501822599</v>
      </c>
      <c r="I3760">
        <v>0.100866161589604</v>
      </c>
      <c r="J3760">
        <v>0.124246061665285</v>
      </c>
      <c r="K3760">
        <v>9.7633471967153398E-2</v>
      </c>
      <c r="L3760">
        <v>1038.19733148705</v>
      </c>
      <c r="M3760">
        <v>20.0916746398429</v>
      </c>
      <c r="N3760">
        <v>52.185290879622201</v>
      </c>
      <c r="O3760">
        <v>51.169284172785602</v>
      </c>
      <c r="P3760">
        <v>-8.9380317553932595E-2</v>
      </c>
      <c r="Q3760">
        <v>8.9497363565843299E-2</v>
      </c>
      <c r="R3760">
        <v>0.99413174029212403</v>
      </c>
      <c r="S3760" t="s">
        <v>10212</v>
      </c>
      <c r="T3760" t="s">
        <v>12902</v>
      </c>
      <c r="U3760" t="s">
        <v>12902</v>
      </c>
      <c r="V3760" t="s">
        <v>12902</v>
      </c>
      <c r="W3760" t="s">
        <v>16617</v>
      </c>
      <c r="X3760">
        <v>4</v>
      </c>
      <c r="Y3760" t="s">
        <v>22932</v>
      </c>
      <c r="Z3760" t="s">
        <v>29335</v>
      </c>
      <c r="AA3760">
        <v>0.45628527498080801</v>
      </c>
      <c r="AB3760" t="str">
        <f>HYPERLINK("Melting_Curves/meltCurve_Q5SR54_CLSTN1.pdf", "Melting_Curves/meltCurve_Q5SR54_CLSTN1.pdf")</f>
        <v>Melting_Curves/meltCurve_Q5SR54_CLSTN1.pdf</v>
      </c>
    </row>
    <row r="3761" spans="1:28" x14ac:dyDescent="0.25">
      <c r="A3761" t="s">
        <v>3765</v>
      </c>
      <c r="B3761">
        <v>0.99673306730245903</v>
      </c>
      <c r="C3761">
        <v>0.91234996245030697</v>
      </c>
      <c r="D3761">
        <v>1.0461050891819601</v>
      </c>
      <c r="E3761">
        <v>0.71245366502926399</v>
      </c>
      <c r="F3761">
        <v>0.63789417116249703</v>
      </c>
      <c r="G3761">
        <v>0.50681327111215102</v>
      </c>
      <c r="H3761">
        <v>0.51525107478224097</v>
      </c>
      <c r="I3761">
        <v>0.71783559273239295</v>
      </c>
      <c r="J3761">
        <v>0.71930434018077805</v>
      </c>
      <c r="K3761">
        <v>0.54637463500679495</v>
      </c>
      <c r="L3761">
        <v>12324.191268660699</v>
      </c>
      <c r="M3761">
        <v>249.47704162719501</v>
      </c>
      <c r="O3761">
        <v>49.396935500877902</v>
      </c>
      <c r="P3761">
        <v>-0.495897384749583</v>
      </c>
      <c r="Q3761">
        <v>0.60724551015907702</v>
      </c>
      <c r="R3761">
        <v>0.83149026960828798</v>
      </c>
      <c r="S3761" t="s">
        <v>10213</v>
      </c>
      <c r="T3761" t="s">
        <v>12902</v>
      </c>
      <c r="U3761" t="s">
        <v>12902</v>
      </c>
      <c r="V3761" t="s">
        <v>12902</v>
      </c>
      <c r="W3761" t="s">
        <v>16618</v>
      </c>
      <c r="X3761">
        <v>1</v>
      </c>
      <c r="Y3761" t="s">
        <v>22933</v>
      </c>
      <c r="Z3761" t="s">
        <v>29336</v>
      </c>
      <c r="AA3761">
        <v>0.7303441105434163</v>
      </c>
      <c r="AB3761" t="str">
        <f>HYPERLINK("Melting_Curves/meltCurve_Q5SR56_HIATL1.pdf", "Melting_Curves/meltCurve_Q5SR56_HIATL1.pdf")</f>
        <v>Melting_Curves/meltCurve_Q5SR56_HIATL1.pdf</v>
      </c>
    </row>
    <row r="3762" spans="1:28" x14ac:dyDescent="0.25">
      <c r="A3762" t="s">
        <v>3766</v>
      </c>
      <c r="B3762">
        <v>0.99673306730245903</v>
      </c>
      <c r="C3762">
        <v>0.92239368035216596</v>
      </c>
      <c r="D3762">
        <v>0.83593231887971897</v>
      </c>
      <c r="E3762">
        <v>0.73804159593276297</v>
      </c>
      <c r="F3762">
        <v>0.34026728125834199</v>
      </c>
      <c r="G3762">
        <v>0.18520100438314899</v>
      </c>
      <c r="H3762">
        <v>8.8859965453048195E-2</v>
      </c>
      <c r="I3762">
        <v>9.3494700130372199E-2</v>
      </c>
      <c r="J3762">
        <v>9.1785561012167102E-2</v>
      </c>
      <c r="K3762">
        <v>7.2206506477325502E-2</v>
      </c>
      <c r="L3762">
        <v>948.91621625431299</v>
      </c>
      <c r="M3762">
        <v>18.532497013094201</v>
      </c>
      <c r="N3762">
        <v>51.570216693259503</v>
      </c>
      <c r="O3762">
        <v>50.617819001266099</v>
      </c>
      <c r="P3762">
        <v>-8.5874894148203804E-2</v>
      </c>
      <c r="Q3762">
        <v>6.1840684424289E-2</v>
      </c>
      <c r="R3762">
        <v>0.99004799217230599</v>
      </c>
      <c r="S3762" t="s">
        <v>10214</v>
      </c>
      <c r="T3762" t="s">
        <v>12902</v>
      </c>
      <c r="U3762" t="s">
        <v>12902</v>
      </c>
      <c r="V3762" t="s">
        <v>12902</v>
      </c>
      <c r="W3762" t="s">
        <v>16619</v>
      </c>
      <c r="X3762">
        <v>6</v>
      </c>
      <c r="Y3762" t="s">
        <v>22934</v>
      </c>
      <c r="Z3762" t="s">
        <v>29337</v>
      </c>
      <c r="AA3762">
        <v>0.42714104813232118</v>
      </c>
      <c r="AB3762" t="str">
        <f>HYPERLINK("Melting_Curves/meltCurve_Q5SRE5_NUP188.pdf", "Melting_Curves/meltCurve_Q5SRE5_NUP188.pdf")</f>
        <v>Melting_Curves/meltCurve_Q5SRE5_NUP188.pdf</v>
      </c>
    </row>
    <row r="3763" spans="1:28" x14ac:dyDescent="0.25">
      <c r="A3763" t="s">
        <v>3767</v>
      </c>
      <c r="B3763">
        <v>0.99673306730245903</v>
      </c>
      <c r="C3763">
        <v>0.96069993261005804</v>
      </c>
      <c r="D3763">
        <v>0.889397723367919</v>
      </c>
      <c r="E3763">
        <v>0.75478223437658698</v>
      </c>
      <c r="F3763">
        <v>0.49785608111885798</v>
      </c>
      <c r="G3763">
        <v>0.29201270554652498</v>
      </c>
      <c r="H3763">
        <v>0.178404028446012</v>
      </c>
      <c r="I3763">
        <v>0.117923157015679</v>
      </c>
      <c r="J3763">
        <v>9.4345353072697299E-2</v>
      </c>
      <c r="K3763">
        <v>6.9410032848165104E-2</v>
      </c>
      <c r="L3763">
        <v>775.76511709971396</v>
      </c>
      <c r="M3763">
        <v>14.6777730046991</v>
      </c>
      <c r="N3763">
        <v>53.229791492412602</v>
      </c>
      <c r="O3763">
        <v>51.901059326083796</v>
      </c>
      <c r="P3763">
        <v>-6.7220132646286998E-2</v>
      </c>
      <c r="Q3763">
        <v>4.9334700357763099E-2</v>
      </c>
      <c r="R3763">
        <v>0.99936882272877203</v>
      </c>
      <c r="S3763" t="s">
        <v>10215</v>
      </c>
      <c r="T3763" t="s">
        <v>12902</v>
      </c>
      <c r="U3763" t="s">
        <v>12902</v>
      </c>
      <c r="V3763" t="s">
        <v>12902</v>
      </c>
      <c r="W3763" t="s">
        <v>16620</v>
      </c>
      <c r="X3763">
        <v>4</v>
      </c>
      <c r="Y3763" t="s">
        <v>22935</v>
      </c>
      <c r="Z3763" t="s">
        <v>29338</v>
      </c>
      <c r="AA3763">
        <v>0.47785062117201738</v>
      </c>
      <c r="AB3763" t="str">
        <f>HYPERLINK("Melting_Curves/meltCurve_Q5SRI9_MANEA.pdf", "Melting_Curves/meltCurve_Q5SRI9_MANEA.pdf")</f>
        <v>Melting_Curves/meltCurve_Q5SRI9_MANEA.pdf</v>
      </c>
    </row>
    <row r="3764" spans="1:28" x14ac:dyDescent="0.25">
      <c r="A3764" t="s">
        <v>3768</v>
      </c>
      <c r="B3764">
        <v>0.99673306730245903</v>
      </c>
      <c r="C3764">
        <v>0.89851259615610202</v>
      </c>
      <c r="D3764">
        <v>0.90763701259826002</v>
      </c>
      <c r="E3764">
        <v>0.94415388684301704</v>
      </c>
      <c r="F3764">
        <v>0.61357027706228595</v>
      </c>
      <c r="G3764">
        <v>0.33802001695521</v>
      </c>
      <c r="H3764">
        <v>8.7018237653835401E-2</v>
      </c>
      <c r="I3764">
        <v>6.7590142985731905E-2</v>
      </c>
      <c r="J3764">
        <v>6.8462684975024807E-2</v>
      </c>
      <c r="K3764">
        <v>6.3755029694122001E-2</v>
      </c>
      <c r="L3764">
        <v>1222.68178503082</v>
      </c>
      <c r="M3764">
        <v>22.488606721996302</v>
      </c>
      <c r="N3764">
        <v>54.589495687775297</v>
      </c>
      <c r="O3764">
        <v>53.944534090928698</v>
      </c>
      <c r="P3764">
        <v>-9.9697112799663701E-2</v>
      </c>
      <c r="Q3764">
        <v>4.3426404340887403E-2</v>
      </c>
      <c r="R3764">
        <v>0.98648929051418899</v>
      </c>
      <c r="S3764" t="s">
        <v>10216</v>
      </c>
      <c r="T3764" t="s">
        <v>12902</v>
      </c>
      <c r="U3764" t="s">
        <v>12902</v>
      </c>
      <c r="V3764" t="s">
        <v>12902</v>
      </c>
      <c r="W3764" t="s">
        <v>16621</v>
      </c>
      <c r="X3764">
        <v>7</v>
      </c>
      <c r="Y3764" t="s">
        <v>22936</v>
      </c>
      <c r="Z3764" t="s">
        <v>29339</v>
      </c>
      <c r="AA3764">
        <v>0.51225247133348084</v>
      </c>
      <c r="AB3764" t="str">
        <f>HYPERLINK("Melting_Curves/meltCurve_Q5SRQ6_CSNK2B.pdf", "Melting_Curves/meltCurve_Q5SRQ6_CSNK2B.pdf")</f>
        <v>Melting_Curves/meltCurve_Q5SRQ6_CSNK2B.pdf</v>
      </c>
    </row>
    <row r="3765" spans="1:28" x14ac:dyDescent="0.25">
      <c r="A3765" t="s">
        <v>3769</v>
      </c>
      <c r="B3765">
        <v>0.99673306730245903</v>
      </c>
      <c r="C3765">
        <v>0.784050090083524</v>
      </c>
      <c r="D3765">
        <v>0.49242753722444099</v>
      </c>
      <c r="E3765">
        <v>0.25308894906305102</v>
      </c>
      <c r="F3765">
        <v>0.21733307373517499</v>
      </c>
      <c r="G3765">
        <v>0.17367269569650901</v>
      </c>
      <c r="H3765">
        <v>0.107692472271866</v>
      </c>
      <c r="I3765">
        <v>0.13060712244695299</v>
      </c>
      <c r="J3765">
        <v>0.21594750056485601</v>
      </c>
      <c r="K3765">
        <v>0.18935424443950799</v>
      </c>
      <c r="L3765">
        <v>1041.49377532015</v>
      </c>
      <c r="M3765">
        <v>23.107951401681898</v>
      </c>
      <c r="N3765">
        <v>45.873062343799603</v>
      </c>
      <c r="O3765">
        <v>44.7373107728232</v>
      </c>
      <c r="P3765">
        <v>-0.107668849188806</v>
      </c>
      <c r="Q3765">
        <v>0.166221511118856</v>
      </c>
      <c r="R3765">
        <v>0.98729700779174101</v>
      </c>
      <c r="S3765" t="s">
        <v>10217</v>
      </c>
      <c r="T3765" t="s">
        <v>12902</v>
      </c>
      <c r="U3765" t="s">
        <v>12902</v>
      </c>
      <c r="V3765" t="s">
        <v>12902</v>
      </c>
      <c r="W3765" t="s">
        <v>16622</v>
      </c>
      <c r="X3765">
        <v>3</v>
      </c>
      <c r="Y3765" t="s">
        <v>22937</v>
      </c>
      <c r="Z3765" t="s">
        <v>29340</v>
      </c>
      <c r="AA3765">
        <v>0.31710868394678909</v>
      </c>
      <c r="AB3765" t="str">
        <f>HYPERLINK("Melting_Curves/meltCurve_Q5SSJ5_HP1BP3.pdf", "Melting_Curves/meltCurve_Q5SSJ5_HP1BP3.pdf")</f>
        <v>Melting_Curves/meltCurve_Q5SSJ5_HP1BP3.pdf</v>
      </c>
    </row>
    <row r="3766" spans="1:28" x14ac:dyDescent="0.25">
      <c r="A3766" t="s">
        <v>3770</v>
      </c>
      <c r="B3766">
        <v>0.99673306730245903</v>
      </c>
      <c r="C3766">
        <v>0.92992717405806802</v>
      </c>
      <c r="D3766">
        <v>0.93853587001244798</v>
      </c>
      <c r="E3766">
        <v>0.73312278035039302</v>
      </c>
      <c r="F3766">
        <v>0.72460807192550702</v>
      </c>
      <c r="G3766">
        <v>0.71541657784727397</v>
      </c>
      <c r="H3766">
        <v>0.68171916170462299</v>
      </c>
      <c r="I3766">
        <v>1.11984985970516</v>
      </c>
      <c r="J3766">
        <v>0.93043033389903795</v>
      </c>
      <c r="K3766">
        <v>0.81190426772795898</v>
      </c>
      <c r="L3766">
        <v>11531.4660083127</v>
      </c>
      <c r="M3766">
        <v>250</v>
      </c>
      <c r="O3766">
        <v>46.122913755484703</v>
      </c>
      <c r="P3766">
        <v>-0.24835598513405599</v>
      </c>
      <c r="Q3766">
        <v>0.81672157913163701</v>
      </c>
      <c r="R3766">
        <v>0.19783652455973599</v>
      </c>
      <c r="S3766" t="s">
        <v>10218</v>
      </c>
      <c r="T3766" t="s">
        <v>12902</v>
      </c>
      <c r="U3766" t="s">
        <v>12902</v>
      </c>
      <c r="V3766" t="s">
        <v>12902</v>
      </c>
      <c r="W3766" t="s">
        <v>16623</v>
      </c>
      <c r="X3766">
        <v>4</v>
      </c>
      <c r="Y3766" t="s">
        <v>22938</v>
      </c>
      <c r="Z3766" t="s">
        <v>29341</v>
      </c>
      <c r="AA3766">
        <v>0.8541610384338888</v>
      </c>
      <c r="AB3766" t="str">
        <f>HYPERLINK("Melting_Curves/meltCurve_Q5SVS4_SLC25A30.pdf", "Melting_Curves/meltCurve_Q5SVS4_SLC25A30.pdf")</f>
        <v>Melting_Curves/meltCurve_Q5SVS4_SLC25A30.pdf</v>
      </c>
    </row>
    <row r="3767" spans="1:28" x14ac:dyDescent="0.25">
      <c r="A3767" t="s">
        <v>3771</v>
      </c>
      <c r="B3767">
        <v>0.99673306730245903</v>
      </c>
      <c r="C3767">
        <v>0.84965830134283005</v>
      </c>
      <c r="D3767">
        <v>0.79320026268434296</v>
      </c>
      <c r="E3767">
        <v>0.63139139267656297</v>
      </c>
      <c r="F3767">
        <v>0.38675162500174998</v>
      </c>
      <c r="G3767">
        <v>0.21515173663047299</v>
      </c>
      <c r="H3767">
        <v>0.16286756428913399</v>
      </c>
      <c r="I3767">
        <v>0.146614139275837</v>
      </c>
      <c r="J3767">
        <v>0.16929375930864299</v>
      </c>
      <c r="K3767">
        <v>0.17862587941480099</v>
      </c>
      <c r="L3767">
        <v>705.18658478768202</v>
      </c>
      <c r="M3767">
        <v>14.128212779722</v>
      </c>
      <c r="N3767">
        <v>50.954117833864203</v>
      </c>
      <c r="O3767">
        <v>48.945297541135197</v>
      </c>
      <c r="P3767">
        <v>-6.31268154463418E-2</v>
      </c>
      <c r="Q3767">
        <v>0.12533416625660199</v>
      </c>
      <c r="R3767">
        <v>0.98706715994674299</v>
      </c>
      <c r="S3767" t="s">
        <v>10219</v>
      </c>
      <c r="T3767" t="s">
        <v>12902</v>
      </c>
      <c r="U3767" t="s">
        <v>12902</v>
      </c>
      <c r="V3767" t="s">
        <v>12902</v>
      </c>
      <c r="W3767" t="s">
        <v>16624</v>
      </c>
      <c r="X3767">
        <v>14</v>
      </c>
      <c r="Y3767" t="s">
        <v>22939</v>
      </c>
      <c r="Z3767" t="s">
        <v>29342</v>
      </c>
      <c r="AA3767">
        <v>0.43759837625139542</v>
      </c>
      <c r="AB3767" t="str">
        <f>HYPERLINK("Melting_Curves/meltCurve_Q5SW79_CEP170.pdf", "Melting_Curves/meltCurve_Q5SW79_CEP170.pdf")</f>
        <v>Melting_Curves/meltCurve_Q5SW79_CEP170.pdf</v>
      </c>
    </row>
    <row r="3768" spans="1:28" x14ac:dyDescent="0.25">
      <c r="A3768" t="s">
        <v>3772</v>
      </c>
      <c r="B3768">
        <v>0.99673306730245903</v>
      </c>
      <c r="C3768">
        <v>0.90151370827116095</v>
      </c>
      <c r="D3768">
        <v>0.86576903036123798</v>
      </c>
      <c r="E3768">
        <v>0.47934716138417799</v>
      </c>
      <c r="F3768">
        <v>0.186213672057642</v>
      </c>
      <c r="G3768">
        <v>0.14705059411948199</v>
      </c>
      <c r="H3768">
        <v>0.137309814702748</v>
      </c>
      <c r="I3768">
        <v>0.12070755128775899</v>
      </c>
      <c r="J3768">
        <v>0.14462848891513799</v>
      </c>
      <c r="K3768">
        <v>0.14737479479952401</v>
      </c>
      <c r="L3768">
        <v>1306.75180071204</v>
      </c>
      <c r="M3768">
        <v>26.803486756635401</v>
      </c>
      <c r="N3768">
        <v>49.310291699812801</v>
      </c>
      <c r="O3768">
        <v>48.484101770304498</v>
      </c>
      <c r="P3768">
        <v>-0.120150254986119</v>
      </c>
      <c r="Q3768">
        <v>0.13066269112946299</v>
      </c>
      <c r="R3768">
        <v>0.99381284222807498</v>
      </c>
      <c r="S3768" t="s">
        <v>10220</v>
      </c>
      <c r="T3768" t="s">
        <v>12902</v>
      </c>
      <c r="U3768" t="s">
        <v>12902</v>
      </c>
      <c r="V3768" t="s">
        <v>12902</v>
      </c>
      <c r="W3768" t="s">
        <v>16625</v>
      </c>
      <c r="X3768">
        <v>1</v>
      </c>
      <c r="Y3768" t="s">
        <v>22940</v>
      </c>
      <c r="Z3768" t="s">
        <v>29343</v>
      </c>
      <c r="AA3768">
        <v>0.39096649028881458</v>
      </c>
      <c r="AB3768" t="str">
        <f>HYPERLINK("Melting_Curves/meltCurve_Q5SWX8_4_ODR4.pdf", "Melting_Curves/meltCurve_Q5SWX8_4_ODR4.pdf")</f>
        <v>Melting_Curves/meltCurve_Q5SWX8_4_ODR4.pdf</v>
      </c>
    </row>
    <row r="3769" spans="1:28" x14ac:dyDescent="0.25">
      <c r="A3769" t="s">
        <v>3773</v>
      </c>
      <c r="B3769">
        <v>0.99673306730245903</v>
      </c>
      <c r="C3769">
        <v>1.0267038235399599</v>
      </c>
      <c r="D3769">
        <v>0.95414868087723403</v>
      </c>
      <c r="E3769">
        <v>0.94944885683813696</v>
      </c>
      <c r="F3769">
        <v>0.73012818743275099</v>
      </c>
      <c r="G3769">
        <v>0.62750750114354903</v>
      </c>
      <c r="H3769">
        <v>0.48617197335379397</v>
      </c>
      <c r="I3769">
        <v>0.71346049801575895</v>
      </c>
      <c r="J3769">
        <v>0.95954779140029001</v>
      </c>
      <c r="K3769">
        <v>0.92060281884595596</v>
      </c>
      <c r="L3769">
        <v>12470.607866763001</v>
      </c>
      <c r="M3769">
        <v>250</v>
      </c>
      <c r="O3769">
        <v>49.879239951698899</v>
      </c>
      <c r="P3769">
        <v>-0.32632591191858101</v>
      </c>
      <c r="Q3769">
        <v>0.73956978818215202</v>
      </c>
      <c r="R3769">
        <v>0.46782614825797703</v>
      </c>
      <c r="S3769" t="s">
        <v>10221</v>
      </c>
      <c r="T3769" t="s">
        <v>12902</v>
      </c>
      <c r="U3769" t="s">
        <v>12902</v>
      </c>
      <c r="V3769" t="s">
        <v>12902</v>
      </c>
      <c r="W3769" t="s">
        <v>16626</v>
      </c>
      <c r="X3769">
        <v>4</v>
      </c>
      <c r="Y3769" t="s">
        <v>22941</v>
      </c>
      <c r="Z3769" t="s">
        <v>29344</v>
      </c>
      <c r="AA3769">
        <v>0.82538204433709172</v>
      </c>
      <c r="AB3769" t="str">
        <f>HYPERLINK("Melting_Curves/meltCurve_Q5SXM8_DNLZ.pdf", "Melting_Curves/meltCurve_Q5SXM8_DNLZ.pdf")</f>
        <v>Melting_Curves/meltCurve_Q5SXM8_DNLZ.pdf</v>
      </c>
    </row>
    <row r="3770" spans="1:28" x14ac:dyDescent="0.25">
      <c r="A3770" t="s">
        <v>3774</v>
      </c>
      <c r="B3770">
        <v>0.99673306730245903</v>
      </c>
      <c r="C3770">
        <v>0.90461984893960601</v>
      </c>
      <c r="D3770">
        <v>0.93600561012954897</v>
      </c>
      <c r="E3770">
        <v>0.81716442038238801</v>
      </c>
      <c r="F3770">
        <v>0.58817623817320897</v>
      </c>
      <c r="G3770">
        <v>0.34927451259952402</v>
      </c>
      <c r="H3770">
        <v>0.25928259820382998</v>
      </c>
      <c r="I3770">
        <v>0.31743861494119902</v>
      </c>
      <c r="J3770">
        <v>0.49557346044788197</v>
      </c>
      <c r="K3770">
        <v>0.59111144634933699</v>
      </c>
      <c r="L3770">
        <v>1505.1252194096901</v>
      </c>
      <c r="M3770">
        <v>29.479719763411399</v>
      </c>
      <c r="N3770">
        <v>54.056724920017302</v>
      </c>
      <c r="O3770">
        <v>50.823076788216603</v>
      </c>
      <c r="P3770">
        <v>-8.6623298499058601E-2</v>
      </c>
      <c r="Q3770">
        <v>0.402649362221841</v>
      </c>
      <c r="R3770">
        <v>0.86206957431018105</v>
      </c>
      <c r="S3770" t="s">
        <v>10222</v>
      </c>
      <c r="T3770" t="s">
        <v>12902</v>
      </c>
      <c r="U3770" t="s">
        <v>12902</v>
      </c>
      <c r="V3770" t="s">
        <v>12902</v>
      </c>
      <c r="W3770" t="s">
        <v>16627</v>
      </c>
      <c r="X3770">
        <v>14</v>
      </c>
      <c r="Y3770" t="s">
        <v>22942</v>
      </c>
      <c r="Z3770" t="s">
        <v>29345</v>
      </c>
      <c r="AA3770">
        <v>0.62669201515140627</v>
      </c>
      <c r="AB3770" t="str">
        <f>HYPERLINK("Melting_Curves/meltCurve_Q5SYE7_2_NHSL1.pdf", "Melting_Curves/meltCurve_Q5SYE7_2_NHSL1.pdf")</f>
        <v>Melting_Curves/meltCurve_Q5SYE7_2_NHSL1.pdf</v>
      </c>
    </row>
    <row r="3771" spans="1:28" x14ac:dyDescent="0.25">
      <c r="A3771" t="s">
        <v>3775</v>
      </c>
      <c r="B3771">
        <v>0.99673306730245903</v>
      </c>
      <c r="C3771">
        <v>0.84317154385667004</v>
      </c>
      <c r="D3771">
        <v>0.95811367073309905</v>
      </c>
      <c r="E3771">
        <v>0.88421278123692204</v>
      </c>
      <c r="F3771">
        <v>0.47037340531896898</v>
      </c>
      <c r="G3771">
        <v>0.25145663391371298</v>
      </c>
      <c r="H3771">
        <v>0.17363331851422401</v>
      </c>
      <c r="I3771">
        <v>0.20037559390131601</v>
      </c>
      <c r="J3771">
        <v>0.20068184140590101</v>
      </c>
      <c r="K3771">
        <v>0.201711087924521</v>
      </c>
      <c r="L3771">
        <v>1702.5202824909099</v>
      </c>
      <c r="M3771">
        <v>32.6278695415836</v>
      </c>
      <c r="N3771">
        <v>52.969310631552901</v>
      </c>
      <c r="O3771">
        <v>51.985113815686297</v>
      </c>
      <c r="P3771">
        <v>-0.12670032166710901</v>
      </c>
      <c r="Q3771">
        <v>0.19253100737870199</v>
      </c>
      <c r="R3771">
        <v>0.97714378524517698</v>
      </c>
      <c r="S3771" t="s">
        <v>10223</v>
      </c>
      <c r="T3771" t="s">
        <v>12902</v>
      </c>
      <c r="U3771" t="s">
        <v>12902</v>
      </c>
      <c r="V3771" t="s">
        <v>12902</v>
      </c>
      <c r="W3771" t="s">
        <v>16628</v>
      </c>
      <c r="X3771">
        <v>1</v>
      </c>
      <c r="Y3771" t="s">
        <v>22943</v>
      </c>
      <c r="Z3771" t="s">
        <v>29346</v>
      </c>
      <c r="AA3771">
        <v>0.52474031779229924</v>
      </c>
      <c r="AB3771" t="str">
        <f>HYPERLINK("Melting_Curves/meltCurve_Q5SZ64_SF3B4.pdf", "Melting_Curves/meltCurve_Q5SZ64_SF3B4.pdf")</f>
        <v>Melting_Curves/meltCurve_Q5SZ64_SF3B4.pdf</v>
      </c>
    </row>
    <row r="3772" spans="1:28" x14ac:dyDescent="0.25">
      <c r="A3772" t="s">
        <v>3776</v>
      </c>
      <c r="B3772">
        <v>0.99673306730245903</v>
      </c>
      <c r="C3772">
        <v>0.95548220620618596</v>
      </c>
      <c r="D3772">
        <v>0.88490179947282799</v>
      </c>
      <c r="E3772">
        <v>0.75654784003317499</v>
      </c>
      <c r="F3772">
        <v>0.438189089759844</v>
      </c>
      <c r="G3772">
        <v>0.26862763387698202</v>
      </c>
      <c r="H3772">
        <v>0.15293396163292999</v>
      </c>
      <c r="I3772">
        <v>8.3903068142385698E-2</v>
      </c>
      <c r="J3772">
        <v>7.51916088650222E-2</v>
      </c>
      <c r="K3772">
        <v>6.3980311675179702E-2</v>
      </c>
      <c r="L3772">
        <v>830.23847693710002</v>
      </c>
      <c r="M3772">
        <v>15.8472768927115</v>
      </c>
      <c r="N3772">
        <v>52.704710783642199</v>
      </c>
      <c r="O3772">
        <v>51.577025288251001</v>
      </c>
      <c r="P3772">
        <v>-7.3351697870189206E-2</v>
      </c>
      <c r="Q3772">
        <v>4.514717390326E-2</v>
      </c>
      <c r="R3772">
        <v>0.99786297471199004</v>
      </c>
      <c r="S3772" t="s">
        <v>10224</v>
      </c>
      <c r="T3772" t="s">
        <v>12902</v>
      </c>
      <c r="U3772" t="s">
        <v>12902</v>
      </c>
      <c r="V3772" t="s">
        <v>12902</v>
      </c>
      <c r="W3772" t="s">
        <v>16629</v>
      </c>
      <c r="X3772">
        <v>1</v>
      </c>
      <c r="Y3772" t="s">
        <v>22944</v>
      </c>
      <c r="Z3772" t="s">
        <v>29347</v>
      </c>
      <c r="AA3772">
        <v>0.45887770559431118</v>
      </c>
      <c r="AB3772" t="str">
        <f>HYPERLINK("Melting_Curves/meltCurve_Q5SZE2_CERS2.pdf", "Melting_Curves/meltCurve_Q5SZE2_CERS2.pdf")</f>
        <v>Melting_Curves/meltCurve_Q5SZE2_CERS2.pdf</v>
      </c>
    </row>
    <row r="3773" spans="1:28" x14ac:dyDescent="0.25">
      <c r="A3773" t="s">
        <v>3777</v>
      </c>
      <c r="B3773">
        <v>0.99673306730245903</v>
      </c>
      <c r="C3773">
        <v>0.93413136442225797</v>
      </c>
      <c r="D3773">
        <v>0.75388194752462701</v>
      </c>
      <c r="E3773">
        <v>0.49430311702476398</v>
      </c>
      <c r="F3773">
        <v>0.34585448981975597</v>
      </c>
      <c r="G3773">
        <v>0.21897173411801901</v>
      </c>
      <c r="H3773">
        <v>0.17974580336422399</v>
      </c>
      <c r="I3773">
        <v>0.20338005937169301</v>
      </c>
      <c r="J3773">
        <v>0.20201163883092901</v>
      </c>
      <c r="K3773">
        <v>0.18367181282772399</v>
      </c>
      <c r="L3773">
        <v>859.81711825855302</v>
      </c>
      <c r="M3773">
        <v>17.784899829194</v>
      </c>
      <c r="N3773">
        <v>49.613368765144003</v>
      </c>
      <c r="O3773">
        <v>47.746545224777698</v>
      </c>
      <c r="P3773">
        <v>-7.6118321594438307E-2</v>
      </c>
      <c r="Q3773">
        <v>0.18263270468934401</v>
      </c>
      <c r="R3773">
        <v>0.99733442222782298</v>
      </c>
      <c r="S3773" t="s">
        <v>10225</v>
      </c>
      <c r="T3773" t="s">
        <v>12902</v>
      </c>
      <c r="U3773" t="s">
        <v>12902</v>
      </c>
      <c r="V3773" t="s">
        <v>12902</v>
      </c>
      <c r="W3773" t="s">
        <v>16630</v>
      </c>
      <c r="X3773">
        <v>3</v>
      </c>
      <c r="Y3773" t="s">
        <v>22945</v>
      </c>
      <c r="Z3773" t="s">
        <v>29348</v>
      </c>
      <c r="AA3773">
        <v>0.42472847604295649</v>
      </c>
      <c r="AB3773" t="str">
        <f>HYPERLINK("Melting_Curves/meltCurve_Q5SZR4_TDRKH.pdf", "Melting_Curves/meltCurve_Q5SZR4_TDRKH.pdf")</f>
        <v>Melting_Curves/meltCurve_Q5SZR4_TDRKH.pdf</v>
      </c>
    </row>
    <row r="3774" spans="1:28" x14ac:dyDescent="0.25">
      <c r="A3774" t="s">
        <v>3778</v>
      </c>
      <c r="B3774">
        <v>0.99673306730245903</v>
      </c>
      <c r="C3774">
        <v>1.06299751963324</v>
      </c>
      <c r="D3774">
        <v>1.0970251011760701</v>
      </c>
      <c r="E3774">
        <v>1.03574999167042</v>
      </c>
      <c r="F3774">
        <v>0.80391378365294897</v>
      </c>
      <c r="G3774">
        <v>0.56857536309823797</v>
      </c>
      <c r="H3774">
        <v>0.41667958589780102</v>
      </c>
      <c r="I3774">
        <v>0.44987868761258598</v>
      </c>
      <c r="J3774">
        <v>0.47033586946705003</v>
      </c>
      <c r="K3774">
        <v>0.44709603735320702</v>
      </c>
      <c r="L3774">
        <v>1964.29671332462</v>
      </c>
      <c r="M3774">
        <v>36.148879059334597</v>
      </c>
      <c r="N3774">
        <v>57.926788230867203</v>
      </c>
      <c r="O3774">
        <v>54.1735858927793</v>
      </c>
      <c r="P3774">
        <v>-9.22997777106698E-2</v>
      </c>
      <c r="Q3774">
        <v>0.44671098490269501</v>
      </c>
      <c r="R3774">
        <v>0.97420574179282005</v>
      </c>
      <c r="S3774" t="s">
        <v>10226</v>
      </c>
      <c r="T3774" t="s">
        <v>12902</v>
      </c>
      <c r="U3774" t="s">
        <v>12902</v>
      </c>
      <c r="V3774" t="s">
        <v>12902</v>
      </c>
      <c r="W3774" t="s">
        <v>16631</v>
      </c>
      <c r="X3774">
        <v>1</v>
      </c>
      <c r="Y3774" t="s">
        <v>22946</v>
      </c>
      <c r="Z3774" t="s">
        <v>29349</v>
      </c>
      <c r="AA3774">
        <v>0.71370129894350931</v>
      </c>
      <c r="AB3774" t="str">
        <f>HYPERLINK("Melting_Curves/meltCurve_Q5T085_AMY1B.pdf", "Melting_Curves/meltCurve_Q5T085_AMY1B.pdf")</f>
        <v>Melting_Curves/meltCurve_Q5T085_AMY1B.pdf</v>
      </c>
    </row>
    <row r="3775" spans="1:28" x14ac:dyDescent="0.25">
      <c r="A3775" t="s">
        <v>3779</v>
      </c>
      <c r="B3775">
        <v>0.99673306730245903</v>
      </c>
      <c r="C3775">
        <v>0.97876461267965298</v>
      </c>
      <c r="D3775">
        <v>1.0070929108484701</v>
      </c>
      <c r="E3775">
        <v>0.92853655336407903</v>
      </c>
      <c r="F3775">
        <v>0.27571850928599301</v>
      </c>
      <c r="G3775">
        <v>0.19729938005745501</v>
      </c>
      <c r="H3775">
        <v>0.13969091774221601</v>
      </c>
      <c r="I3775">
        <v>0.125613413461963</v>
      </c>
      <c r="J3775">
        <v>0.144396824866415</v>
      </c>
      <c r="K3775">
        <v>0.13335680983484199</v>
      </c>
      <c r="L3775">
        <v>2967.4932308057801</v>
      </c>
      <c r="M3775">
        <v>57.473247656479899</v>
      </c>
      <c r="N3775">
        <v>51.946106032084103</v>
      </c>
      <c r="O3775">
        <v>51.570202718449799</v>
      </c>
      <c r="P3775">
        <v>-0.23778573616676099</v>
      </c>
      <c r="Q3775">
        <v>0.146548848537285</v>
      </c>
      <c r="R3775">
        <v>0.99789706056980898</v>
      </c>
      <c r="S3775" t="s">
        <v>10227</v>
      </c>
      <c r="T3775" t="s">
        <v>12902</v>
      </c>
      <c r="U3775" t="s">
        <v>12902</v>
      </c>
      <c r="V3775" t="s">
        <v>12902</v>
      </c>
      <c r="W3775" t="s">
        <v>16632</v>
      </c>
      <c r="X3775">
        <v>10</v>
      </c>
      <c r="Y3775" t="s">
        <v>22947</v>
      </c>
      <c r="Z3775" t="s">
        <v>29350</v>
      </c>
      <c r="AA3775">
        <v>0.47894650097460012</v>
      </c>
      <c r="AB3775" t="str">
        <f>HYPERLINK("Melting_Curves/meltCurve_Q5T0N5_3_FNBP1L.pdf", "Melting_Curves/meltCurve_Q5T0N5_3_FNBP1L.pdf")</f>
        <v>Melting_Curves/meltCurve_Q5T0N5_3_FNBP1L.pdf</v>
      </c>
    </row>
    <row r="3776" spans="1:28" x14ac:dyDescent="0.25">
      <c r="A3776" t="s">
        <v>3780</v>
      </c>
      <c r="B3776">
        <v>0.99673306730245903</v>
      </c>
      <c r="C3776">
        <v>0.84128572403957602</v>
      </c>
      <c r="D3776">
        <v>1.0020526860771599</v>
      </c>
      <c r="E3776">
        <v>0.766896112926572</v>
      </c>
      <c r="F3776">
        <v>0.55337832896060202</v>
      </c>
      <c r="G3776">
        <v>0.444054232657903</v>
      </c>
      <c r="H3776">
        <v>0.32943510923842201</v>
      </c>
      <c r="I3776">
        <v>0.42013294618653202</v>
      </c>
      <c r="J3776">
        <v>0.63140764396923599</v>
      </c>
      <c r="K3776">
        <v>0.64837233864636901</v>
      </c>
      <c r="L3776">
        <v>1991.3127674387399</v>
      </c>
      <c r="M3776">
        <v>39.963689638013399</v>
      </c>
      <c r="N3776">
        <v>57.240908944054297</v>
      </c>
      <c r="O3776">
        <v>49.703773216049797</v>
      </c>
      <c r="P3776">
        <v>-0.101073121738602</v>
      </c>
      <c r="Q3776">
        <v>0.49717304956368602</v>
      </c>
      <c r="R3776">
        <v>0.79207524114072603</v>
      </c>
      <c r="S3776" t="s">
        <v>10228</v>
      </c>
      <c r="T3776" t="s">
        <v>12902</v>
      </c>
      <c r="U3776" t="s">
        <v>12902</v>
      </c>
      <c r="V3776" t="s">
        <v>12902</v>
      </c>
      <c r="W3776" t="s">
        <v>16633</v>
      </c>
      <c r="X3776">
        <v>5</v>
      </c>
      <c r="Y3776" t="s">
        <v>22948</v>
      </c>
      <c r="Z3776" t="s">
        <v>29351</v>
      </c>
      <c r="AA3776">
        <v>0.66363581805617544</v>
      </c>
      <c r="AB3776" t="str">
        <f>HYPERLINK("Melting_Curves/meltCurve_Q5T0Z8_C6orf132.pdf", "Melting_Curves/meltCurve_Q5T0Z8_C6orf132.pdf")</f>
        <v>Melting_Curves/meltCurve_Q5T0Z8_C6orf132.pdf</v>
      </c>
    </row>
    <row r="3777" spans="1:28" x14ac:dyDescent="0.25">
      <c r="A3777" t="s">
        <v>3781</v>
      </c>
      <c r="B3777">
        <v>0.99673306730245903</v>
      </c>
      <c r="C3777">
        <v>1.0372880081915401</v>
      </c>
      <c r="D3777">
        <v>1.1407592761754899</v>
      </c>
      <c r="E3777">
        <v>0.78852890179547197</v>
      </c>
      <c r="F3777">
        <v>0.63085668667142902</v>
      </c>
      <c r="G3777">
        <v>0.36107015993470498</v>
      </c>
      <c r="H3777">
        <v>0.26425959430462698</v>
      </c>
      <c r="I3777">
        <v>0.32986683494992097</v>
      </c>
      <c r="J3777">
        <v>0.74283739610746902</v>
      </c>
      <c r="K3777">
        <v>0.69471336811140905</v>
      </c>
      <c r="L3777">
        <v>1934.69054590833</v>
      </c>
      <c r="M3777">
        <v>38.286877836371197</v>
      </c>
      <c r="N3777">
        <v>56.064419189228097</v>
      </c>
      <c r="O3777">
        <v>50.394175255186397</v>
      </c>
      <c r="P3777">
        <v>-9.71394294325649E-2</v>
      </c>
      <c r="Q3777">
        <v>0.488571697570715</v>
      </c>
      <c r="R3777">
        <v>0.72580260834719701</v>
      </c>
      <c r="S3777" t="s">
        <v>10229</v>
      </c>
      <c r="T3777" t="s">
        <v>12902</v>
      </c>
      <c r="U3777" t="s">
        <v>12902</v>
      </c>
      <c r="V3777" t="s">
        <v>12902</v>
      </c>
      <c r="W3777" t="s">
        <v>16634</v>
      </c>
      <c r="X3777">
        <v>4</v>
      </c>
      <c r="Y3777" t="s">
        <v>22949</v>
      </c>
      <c r="Z3777" t="s">
        <v>29352</v>
      </c>
      <c r="AA3777">
        <v>0.67005875306478102</v>
      </c>
      <c r="AB3777" t="str">
        <f>HYPERLINK("Melting_Curves/meltCurve_Q5T123_SH3BGRL3.pdf", "Melting_Curves/meltCurve_Q5T123_SH3BGRL3.pdf")</f>
        <v>Melting_Curves/meltCurve_Q5T123_SH3BGRL3.pdf</v>
      </c>
    </row>
    <row r="3778" spans="1:28" x14ac:dyDescent="0.25">
      <c r="A3778" t="s">
        <v>3782</v>
      </c>
      <c r="B3778">
        <v>0.99673306730245903</v>
      </c>
      <c r="C3778">
        <v>0.958159250021963</v>
      </c>
      <c r="D3778">
        <v>0.858154678620343</v>
      </c>
      <c r="E3778">
        <v>0.66178654841874396</v>
      </c>
      <c r="F3778">
        <v>0.172475606373824</v>
      </c>
      <c r="G3778">
        <v>0.12093694054231301</v>
      </c>
      <c r="H3778">
        <v>8.7935449131948201E-2</v>
      </c>
      <c r="I3778">
        <v>5.8826814565100298E-2</v>
      </c>
      <c r="J3778">
        <v>5.3825172250676297E-2</v>
      </c>
      <c r="K3778">
        <v>5.0658480598083998E-2</v>
      </c>
      <c r="L3778">
        <v>1344.00714849531</v>
      </c>
      <c r="M3778">
        <v>26.752309219987399</v>
      </c>
      <c r="N3778">
        <v>50.467430483010901</v>
      </c>
      <c r="O3778">
        <v>49.960723753476699</v>
      </c>
      <c r="P3778">
        <v>-0.12623212388876301</v>
      </c>
      <c r="Q3778">
        <v>5.7040929064679197E-2</v>
      </c>
      <c r="R3778">
        <v>0.99157111390311703</v>
      </c>
      <c r="S3778" t="s">
        <v>10230</v>
      </c>
      <c r="T3778" t="s">
        <v>12902</v>
      </c>
      <c r="U3778" t="s">
        <v>12902</v>
      </c>
      <c r="V3778" t="s">
        <v>12902</v>
      </c>
      <c r="W3778" t="s">
        <v>16635</v>
      </c>
      <c r="X3778">
        <v>16</v>
      </c>
      <c r="Y3778" t="s">
        <v>22950</v>
      </c>
      <c r="Z3778" t="s">
        <v>29353</v>
      </c>
      <c r="AA3778">
        <v>0.386245904800948</v>
      </c>
      <c r="AB3778" t="str">
        <f>HYPERLINK("Melting_Curves/meltCurve_Q5T160_RARS2.pdf", "Melting_Curves/meltCurve_Q5T160_RARS2.pdf")</f>
        <v>Melting_Curves/meltCurve_Q5T160_RARS2.pdf</v>
      </c>
    </row>
    <row r="3779" spans="1:28" x14ac:dyDescent="0.25">
      <c r="A3779" t="s">
        <v>3783</v>
      </c>
      <c r="B3779">
        <v>0.99673306730245903</v>
      </c>
      <c r="C3779">
        <v>0.95646161365685101</v>
      </c>
      <c r="D3779">
        <v>0.92944157747298095</v>
      </c>
      <c r="E3779">
        <v>0.82758962989988805</v>
      </c>
      <c r="F3779">
        <v>0.58344020403187302</v>
      </c>
      <c r="G3779">
        <v>0.32123163728231602</v>
      </c>
      <c r="H3779">
        <v>0.13311148573309201</v>
      </c>
      <c r="I3779">
        <v>0.13202858955892299</v>
      </c>
      <c r="J3779">
        <v>0.210669647308143</v>
      </c>
      <c r="K3779">
        <v>0.29099505308020002</v>
      </c>
      <c r="L3779">
        <v>1215.47189313493</v>
      </c>
      <c r="M3779">
        <v>23.0412330187247</v>
      </c>
      <c r="N3779">
        <v>53.811137899191301</v>
      </c>
      <c r="O3779">
        <v>52.3594948620797</v>
      </c>
      <c r="P3779">
        <v>-8.9960791970234794E-2</v>
      </c>
      <c r="Q3779">
        <v>0.182298204620956</v>
      </c>
      <c r="R3779">
        <v>0.97590468709349398</v>
      </c>
      <c r="S3779" t="s">
        <v>10231</v>
      </c>
      <c r="T3779" t="s">
        <v>12902</v>
      </c>
      <c r="U3779" t="s">
        <v>12902</v>
      </c>
      <c r="V3779" t="s">
        <v>12902</v>
      </c>
      <c r="W3779" t="s">
        <v>16636</v>
      </c>
      <c r="X3779">
        <v>2</v>
      </c>
      <c r="Y3779" t="s">
        <v>22951</v>
      </c>
      <c r="Z3779" t="s">
        <v>29354</v>
      </c>
      <c r="AA3779">
        <v>0.53862729573838874</v>
      </c>
      <c r="AB3779" t="str">
        <f>HYPERLINK("Melting_Curves/meltCurve_Q5T171_PYGO2.pdf", "Melting_Curves/meltCurve_Q5T171_PYGO2.pdf")</f>
        <v>Melting_Curves/meltCurve_Q5T171_PYGO2.pdf</v>
      </c>
    </row>
    <row r="3780" spans="1:28" x14ac:dyDescent="0.25">
      <c r="A3780" t="s">
        <v>3784</v>
      </c>
      <c r="B3780">
        <v>0.99673306730245903</v>
      </c>
      <c r="C3780">
        <v>0.93710795684951798</v>
      </c>
      <c r="D3780">
        <v>0.77036079078693698</v>
      </c>
      <c r="E3780">
        <v>0.34033576333759502</v>
      </c>
      <c r="F3780">
        <v>0.15033256518082799</v>
      </c>
      <c r="G3780">
        <v>9.5038856396542401E-2</v>
      </c>
      <c r="H3780">
        <v>6.7197428785331206E-2</v>
      </c>
      <c r="I3780">
        <v>7.0676661795251103E-2</v>
      </c>
      <c r="J3780">
        <v>8.7083099440472295E-2</v>
      </c>
      <c r="K3780">
        <v>8.6452967383410198E-2</v>
      </c>
      <c r="L3780">
        <v>1224.2752350713099</v>
      </c>
      <c r="M3780">
        <v>25.565606393873399</v>
      </c>
      <c r="N3780">
        <v>48.204136143533901</v>
      </c>
      <c r="O3780">
        <v>47.597473068059699</v>
      </c>
      <c r="P3780">
        <v>-0.123905492647223</v>
      </c>
      <c r="Q3780">
        <v>7.7273469201469297E-2</v>
      </c>
      <c r="R3780">
        <v>0.99929617191006304</v>
      </c>
      <c r="S3780" t="s">
        <v>10232</v>
      </c>
      <c r="T3780" t="s">
        <v>12902</v>
      </c>
      <c r="U3780" t="s">
        <v>12902</v>
      </c>
      <c r="V3780" t="s">
        <v>12902</v>
      </c>
      <c r="W3780" t="s">
        <v>16637</v>
      </c>
      <c r="X3780">
        <v>16</v>
      </c>
      <c r="Y3780" t="s">
        <v>22952</v>
      </c>
      <c r="Z3780" t="s">
        <v>29355</v>
      </c>
      <c r="AA3780">
        <v>0.32765508406995569</v>
      </c>
      <c r="AB3780" t="str">
        <f>HYPERLINK("Melting_Curves/meltCurve_Q5T1M5_FKBP15.pdf", "Melting_Curves/meltCurve_Q5T1M5_FKBP15.pdf")</f>
        <v>Melting_Curves/meltCurve_Q5T1M5_FKBP15.pdf</v>
      </c>
    </row>
    <row r="3781" spans="1:28" x14ac:dyDescent="0.25">
      <c r="A3781" t="s">
        <v>3785</v>
      </c>
      <c r="B3781">
        <v>0.99673306730245903</v>
      </c>
      <c r="C3781">
        <v>1.00568834744781</v>
      </c>
      <c r="D3781">
        <v>0.93172004163900701</v>
      </c>
      <c r="E3781">
        <v>0.81609178336104204</v>
      </c>
      <c r="F3781">
        <v>0.32222233695833702</v>
      </c>
      <c r="G3781">
        <v>0.16745980156030599</v>
      </c>
      <c r="H3781">
        <v>9.9729266364921798E-2</v>
      </c>
      <c r="I3781">
        <v>9.2160380123546395E-2</v>
      </c>
      <c r="J3781">
        <v>0.106568003436413</v>
      </c>
      <c r="K3781">
        <v>0.10114600102308401</v>
      </c>
      <c r="L3781">
        <v>1670.5534608324299</v>
      </c>
      <c r="M3781">
        <v>32.4342726865478</v>
      </c>
      <c r="N3781">
        <v>51.868578934100299</v>
      </c>
      <c r="O3781">
        <v>51.311195827529602</v>
      </c>
      <c r="P3781">
        <v>-0.14199160087552501</v>
      </c>
      <c r="Q3781">
        <v>0.101478305981514</v>
      </c>
      <c r="R3781">
        <v>0.997510674425654</v>
      </c>
      <c r="S3781" t="s">
        <v>10233</v>
      </c>
      <c r="T3781" t="s">
        <v>12902</v>
      </c>
      <c r="U3781" t="s">
        <v>12902</v>
      </c>
      <c r="V3781" t="s">
        <v>12902</v>
      </c>
      <c r="W3781" t="s">
        <v>16638</v>
      </c>
      <c r="X3781">
        <v>10</v>
      </c>
      <c r="Y3781" t="s">
        <v>22953</v>
      </c>
      <c r="Z3781" t="s">
        <v>29356</v>
      </c>
      <c r="AA3781">
        <v>0.45095940562662701</v>
      </c>
      <c r="AB3781" t="str">
        <f>HYPERLINK("Melting_Curves/meltCurve_Q5T1V6_DDX59.pdf", "Melting_Curves/meltCurve_Q5T1V6_DDX59.pdf")</f>
        <v>Melting_Curves/meltCurve_Q5T1V6_DDX59.pdf</v>
      </c>
    </row>
    <row r="3782" spans="1:28" x14ac:dyDescent="0.25">
      <c r="A3782" t="s">
        <v>3786</v>
      </c>
      <c r="B3782">
        <v>0.99673306730245903</v>
      </c>
      <c r="C3782">
        <v>0.919148641410519</v>
      </c>
      <c r="D3782">
        <v>0.85934144430503201</v>
      </c>
      <c r="E3782">
        <v>0.57163271511161895</v>
      </c>
      <c r="F3782">
        <v>0.279100110111413</v>
      </c>
      <c r="G3782">
        <v>0.14133235048808199</v>
      </c>
      <c r="H3782">
        <v>0.104176679072383</v>
      </c>
      <c r="I3782">
        <v>9.8851536699373493E-2</v>
      </c>
      <c r="J3782">
        <v>0.128266072850799</v>
      </c>
      <c r="K3782">
        <v>0.102558630882117</v>
      </c>
      <c r="L3782">
        <v>1022.19371978254</v>
      </c>
      <c r="M3782">
        <v>20.559446718650499</v>
      </c>
      <c r="N3782">
        <v>50.237132491374901</v>
      </c>
      <c r="O3782">
        <v>49.255727238418302</v>
      </c>
      <c r="P3782">
        <v>-9.4382963571341502E-2</v>
      </c>
      <c r="Q3782">
        <v>9.5546634600090802E-2</v>
      </c>
      <c r="R3782">
        <v>0.99701563147044103</v>
      </c>
      <c r="S3782" t="s">
        <v>10234</v>
      </c>
      <c r="T3782" t="s">
        <v>12902</v>
      </c>
      <c r="U3782" t="s">
        <v>12902</v>
      </c>
      <c r="V3782" t="s">
        <v>12902</v>
      </c>
      <c r="W3782" t="s">
        <v>16639</v>
      </c>
      <c r="X3782">
        <v>14</v>
      </c>
      <c r="Y3782" t="s">
        <v>22954</v>
      </c>
      <c r="Z3782" t="s">
        <v>29357</v>
      </c>
      <c r="AA3782">
        <v>0.40049428602652321</v>
      </c>
      <c r="AB3782" t="str">
        <f>HYPERLINK("Melting_Curves/meltCurve_Q5T1Z4_PUM1.pdf", "Melting_Curves/meltCurve_Q5T1Z4_PUM1.pdf")</f>
        <v>Melting_Curves/meltCurve_Q5T1Z4_PUM1.pdf</v>
      </c>
    </row>
    <row r="3783" spans="1:28" x14ac:dyDescent="0.25">
      <c r="A3783" t="s">
        <v>3787</v>
      </c>
      <c r="B3783">
        <v>0.99673306730245903</v>
      </c>
      <c r="C3783">
        <v>0.84444862673169097</v>
      </c>
      <c r="D3783">
        <v>0.90536125049678995</v>
      </c>
      <c r="E3783">
        <v>0.58371873121838602</v>
      </c>
      <c r="F3783">
        <v>0.37208473715964202</v>
      </c>
      <c r="G3783">
        <v>0.25258667947497898</v>
      </c>
      <c r="H3783">
        <v>0.20241003205790101</v>
      </c>
      <c r="I3783">
        <v>0.24638488116940299</v>
      </c>
      <c r="J3783">
        <v>0.34413688660216901</v>
      </c>
      <c r="K3783">
        <v>0.33115902795388602</v>
      </c>
      <c r="L3783">
        <v>1159.92709351554</v>
      </c>
      <c r="M3783">
        <v>23.683723957730599</v>
      </c>
      <c r="N3783">
        <v>50.633325232231797</v>
      </c>
      <c r="O3783">
        <v>48.630550650483201</v>
      </c>
      <c r="P3783">
        <v>-8.8914405562405499E-2</v>
      </c>
      <c r="Q3783">
        <v>0.26972901046839398</v>
      </c>
      <c r="R3783">
        <v>0.95648916764038505</v>
      </c>
      <c r="S3783" t="s">
        <v>10235</v>
      </c>
      <c r="T3783" t="s">
        <v>12902</v>
      </c>
      <c r="U3783" t="s">
        <v>12902</v>
      </c>
      <c r="V3783" t="s">
        <v>12902</v>
      </c>
      <c r="W3783" t="s">
        <v>16640</v>
      </c>
      <c r="X3783">
        <v>21</v>
      </c>
      <c r="Y3783" t="s">
        <v>22955</v>
      </c>
      <c r="Z3783" t="s">
        <v>29358</v>
      </c>
      <c r="AA3783">
        <v>0.49545243833304459</v>
      </c>
      <c r="AB3783" t="str">
        <f>HYPERLINK("Melting_Curves/meltCurve_Q5T200_ZC3H13.pdf", "Melting_Curves/meltCurve_Q5T200_ZC3H13.pdf")</f>
        <v>Melting_Curves/meltCurve_Q5T200_ZC3H13.pdf</v>
      </c>
    </row>
    <row r="3784" spans="1:28" x14ac:dyDescent="0.25">
      <c r="A3784" t="s">
        <v>3788</v>
      </c>
      <c r="B3784">
        <v>0.99673306730245903</v>
      </c>
      <c r="C3784">
        <v>1.0076777894325999</v>
      </c>
      <c r="D3784">
        <v>0.99963279899711699</v>
      </c>
      <c r="E3784">
        <v>1.0149114573584099</v>
      </c>
      <c r="F3784">
        <v>0.92095179643101599</v>
      </c>
      <c r="G3784">
        <v>0.67594714838716596</v>
      </c>
      <c r="H3784">
        <v>0.22685944737008401</v>
      </c>
      <c r="I3784">
        <v>7.8321384471033095E-2</v>
      </c>
      <c r="J3784">
        <v>7.1213349913942806E-2</v>
      </c>
      <c r="K3784">
        <v>7.2217441368575205E-2</v>
      </c>
      <c r="L3784">
        <v>1831.52616915319</v>
      </c>
      <c r="M3784">
        <v>31.6337905713252</v>
      </c>
      <c r="N3784">
        <v>58.1114807480309</v>
      </c>
      <c r="O3784">
        <v>57.667880511452502</v>
      </c>
      <c r="P3784">
        <v>-0.12960823319107501</v>
      </c>
      <c r="Q3784">
        <v>5.4910312060972501E-2</v>
      </c>
      <c r="R3784">
        <v>0.998988648995767</v>
      </c>
      <c r="S3784" t="s">
        <v>10236</v>
      </c>
      <c r="T3784" t="s">
        <v>12902</v>
      </c>
      <c r="U3784" t="s">
        <v>12902</v>
      </c>
      <c r="V3784" t="s">
        <v>12902</v>
      </c>
      <c r="W3784" t="s">
        <v>16641</v>
      </c>
      <c r="X3784">
        <v>3</v>
      </c>
      <c r="Y3784" t="s">
        <v>22956</v>
      </c>
      <c r="Z3784" t="s">
        <v>29359</v>
      </c>
      <c r="AA3784">
        <v>0.62444043320006992</v>
      </c>
      <c r="AB3784" t="str">
        <f>HYPERLINK("Melting_Curves/meltCurve_Q5T2E6_C10orf76.pdf", "Melting_Curves/meltCurve_Q5T2E6_C10orf76.pdf")</f>
        <v>Melting_Curves/meltCurve_Q5T2E6_C10orf76.pdf</v>
      </c>
    </row>
    <row r="3785" spans="1:28" x14ac:dyDescent="0.25">
      <c r="A3785" t="s">
        <v>3789</v>
      </c>
      <c r="B3785">
        <v>0.99673306730245903</v>
      </c>
      <c r="C3785">
        <v>0.99576221701088996</v>
      </c>
      <c r="D3785">
        <v>0.90714542549686705</v>
      </c>
      <c r="E3785">
        <v>0.94421295737545596</v>
      </c>
      <c r="F3785">
        <v>0.64693713231946703</v>
      </c>
      <c r="G3785">
        <v>0.37227079587944301</v>
      </c>
      <c r="H3785">
        <v>0.22432670237517</v>
      </c>
      <c r="I3785">
        <v>0.14101125852097601</v>
      </c>
      <c r="J3785">
        <v>0.11121007720044</v>
      </c>
      <c r="K3785">
        <v>0.13277642326813799</v>
      </c>
      <c r="L3785">
        <v>1137.6603615373599</v>
      </c>
      <c r="M3785">
        <v>20.8929256272285</v>
      </c>
      <c r="N3785">
        <v>55.1240606542978</v>
      </c>
      <c r="O3785">
        <v>53.960451028081799</v>
      </c>
      <c r="P3785">
        <v>-8.5915583815818194E-2</v>
      </c>
      <c r="Q3785">
        <v>0.11244264598364</v>
      </c>
      <c r="R3785">
        <v>0.993443213152024</v>
      </c>
      <c r="S3785" t="s">
        <v>10237</v>
      </c>
      <c r="T3785" t="s">
        <v>12902</v>
      </c>
      <c r="U3785" t="s">
        <v>12902</v>
      </c>
      <c r="V3785" t="s">
        <v>12902</v>
      </c>
      <c r="W3785" t="s">
        <v>16642</v>
      </c>
      <c r="X3785">
        <v>2</v>
      </c>
      <c r="Y3785" t="s">
        <v>22957</v>
      </c>
      <c r="Z3785" t="s">
        <v>29360</v>
      </c>
      <c r="AA3785">
        <v>0.55117192449157004</v>
      </c>
      <c r="AB3785" t="str">
        <f>HYPERLINK("Melting_Curves/meltCurve_Q5T2R2_3_PDSS1.pdf", "Melting_Curves/meltCurve_Q5T2R2_3_PDSS1.pdf")</f>
        <v>Melting_Curves/meltCurve_Q5T2R2_3_PDSS1.pdf</v>
      </c>
    </row>
    <row r="3786" spans="1:28" x14ac:dyDescent="0.25">
      <c r="A3786" t="s">
        <v>3790</v>
      </c>
      <c r="B3786">
        <v>0.99673306730245903</v>
      </c>
      <c r="C3786">
        <v>0.90295447213659097</v>
      </c>
      <c r="D3786">
        <v>0.73381871728333004</v>
      </c>
      <c r="E3786">
        <v>0.61813775186457698</v>
      </c>
      <c r="F3786">
        <v>0.61310966749765405</v>
      </c>
      <c r="G3786">
        <v>0.49577021386068199</v>
      </c>
      <c r="H3786">
        <v>0.50698918443123697</v>
      </c>
      <c r="I3786">
        <v>0.724261546794013</v>
      </c>
      <c r="J3786">
        <v>0.88299511515442097</v>
      </c>
      <c r="K3786">
        <v>0.85835401654674204</v>
      </c>
      <c r="L3786">
        <v>1717.3896519021</v>
      </c>
      <c r="M3786">
        <v>39.092953604157898</v>
      </c>
      <c r="O3786">
        <v>43.816445400135699</v>
      </c>
      <c r="P3786">
        <v>-7.3087605997993799E-2</v>
      </c>
      <c r="Q3786">
        <v>0.67232646322131495</v>
      </c>
      <c r="R3786">
        <v>0.45765838314635099</v>
      </c>
      <c r="S3786" t="s">
        <v>10238</v>
      </c>
      <c r="T3786" t="s">
        <v>12902</v>
      </c>
      <c r="U3786" t="s">
        <v>12902</v>
      </c>
      <c r="V3786" t="s">
        <v>12902</v>
      </c>
      <c r="W3786" t="s">
        <v>16643</v>
      </c>
      <c r="X3786">
        <v>2</v>
      </c>
      <c r="Y3786" t="s">
        <v>22958</v>
      </c>
      <c r="Z3786" t="s">
        <v>29361</v>
      </c>
      <c r="AA3786">
        <v>0.7165108139895674</v>
      </c>
      <c r="AB3786" t="str">
        <f>HYPERLINK("Melting_Curves/meltCurve_Q5T2W9_C1orf159.pdf", "Melting_Curves/meltCurve_Q5T2W9_C1orf159.pdf")</f>
        <v>Melting_Curves/meltCurve_Q5T2W9_C1orf159.pdf</v>
      </c>
    </row>
    <row r="3787" spans="1:28" x14ac:dyDescent="0.25">
      <c r="A3787" t="s">
        <v>3791</v>
      </c>
      <c r="B3787">
        <v>0.99673306730245903</v>
      </c>
      <c r="C3787">
        <v>0.94188495181329002</v>
      </c>
      <c r="D3787">
        <v>0.95009375044723798</v>
      </c>
      <c r="E3787">
        <v>0.87742973341617003</v>
      </c>
      <c r="F3787">
        <v>0.592540339930136</v>
      </c>
      <c r="G3787">
        <v>0.420555856882805</v>
      </c>
      <c r="H3787">
        <v>0.24776311429504699</v>
      </c>
      <c r="I3787">
        <v>0.37588765379647698</v>
      </c>
      <c r="J3787">
        <v>0.57774907639927797</v>
      </c>
      <c r="K3787">
        <v>0.69019161251920602</v>
      </c>
      <c r="L3787">
        <v>1939.12056047487</v>
      </c>
      <c r="M3787">
        <v>37.821205648120603</v>
      </c>
      <c r="N3787">
        <v>55.054000934406297</v>
      </c>
      <c r="O3787">
        <v>51.128017442909702</v>
      </c>
      <c r="P3787">
        <v>-9.9341548354081294E-2</v>
      </c>
      <c r="Q3787">
        <v>0.46282798877486903</v>
      </c>
      <c r="R3787">
        <v>0.80110000735476095</v>
      </c>
      <c r="S3787" t="s">
        <v>10239</v>
      </c>
      <c r="T3787" t="s">
        <v>12902</v>
      </c>
      <c r="U3787" t="s">
        <v>12902</v>
      </c>
      <c r="V3787" t="s">
        <v>12902</v>
      </c>
      <c r="W3787" t="s">
        <v>16644</v>
      </c>
      <c r="X3787">
        <v>2</v>
      </c>
      <c r="Y3787" t="s">
        <v>22959</v>
      </c>
      <c r="Z3787" t="s">
        <v>29362</v>
      </c>
      <c r="AA3787">
        <v>0.66676917085698417</v>
      </c>
      <c r="AB3787" t="str">
        <f>HYPERLINK("Melting_Curves/meltCurve_Q5T2Z0_PSRC1.pdf", "Melting_Curves/meltCurve_Q5T2Z0_PSRC1.pdf")</f>
        <v>Melting_Curves/meltCurve_Q5T2Z0_PSRC1.pdf</v>
      </c>
    </row>
    <row r="3788" spans="1:28" x14ac:dyDescent="0.25">
      <c r="A3788" t="s">
        <v>3792</v>
      </c>
      <c r="B3788">
        <v>0.99673306730245903</v>
      </c>
      <c r="C3788">
        <v>0.97530818128436003</v>
      </c>
      <c r="D3788">
        <v>0.89280806993258699</v>
      </c>
      <c r="E3788">
        <v>0.71736933868770403</v>
      </c>
      <c r="F3788">
        <v>0.599342983201685</v>
      </c>
      <c r="G3788">
        <v>0.46346897443086899</v>
      </c>
      <c r="H3788">
        <v>0.40902471057411399</v>
      </c>
      <c r="I3788">
        <v>0.270655685917565</v>
      </c>
      <c r="J3788">
        <v>0.17839899478288901</v>
      </c>
      <c r="K3788">
        <v>0.126261130297982</v>
      </c>
      <c r="L3788">
        <v>486.758273341711</v>
      </c>
      <c r="M3788">
        <v>8.6595943253768297</v>
      </c>
      <c r="N3788">
        <v>56.210285960862301</v>
      </c>
      <c r="O3788">
        <v>53.4538912753912</v>
      </c>
      <c r="P3788">
        <v>-4.0534323069847597E-2</v>
      </c>
      <c r="Q3788">
        <v>0</v>
      </c>
      <c r="R3788">
        <v>0.98863499338052396</v>
      </c>
      <c r="S3788" t="s">
        <v>10240</v>
      </c>
      <c r="T3788" t="s">
        <v>12902</v>
      </c>
      <c r="U3788" t="s">
        <v>12902</v>
      </c>
      <c r="V3788" t="s">
        <v>12902</v>
      </c>
      <c r="W3788" t="s">
        <v>16645</v>
      </c>
      <c r="X3788">
        <v>11</v>
      </c>
      <c r="Y3788" t="s">
        <v>22960</v>
      </c>
      <c r="Z3788" t="s">
        <v>29363</v>
      </c>
      <c r="AA3788">
        <v>0.55948488634780136</v>
      </c>
      <c r="AB3788" t="str">
        <f>HYPERLINK("Melting_Curves/meltCurve_Q5T3F8_TMEM63B.pdf", "Melting_Curves/meltCurve_Q5T3F8_TMEM63B.pdf")</f>
        <v>Melting_Curves/meltCurve_Q5T3F8_TMEM63B.pdf</v>
      </c>
    </row>
    <row r="3789" spans="1:28" x14ac:dyDescent="0.25">
      <c r="A3789" t="s">
        <v>3793</v>
      </c>
      <c r="B3789">
        <v>0.99673306730245903</v>
      </c>
      <c r="C3789">
        <v>1.03376827500493</v>
      </c>
      <c r="D3789">
        <v>1.0337404105100101</v>
      </c>
      <c r="E3789">
        <v>0.915595887108136</v>
      </c>
      <c r="F3789">
        <v>0.63930464750822402</v>
      </c>
      <c r="G3789">
        <v>0.54157440891471897</v>
      </c>
      <c r="H3789">
        <v>0.36394983251788598</v>
      </c>
      <c r="I3789">
        <v>0.70720107221182804</v>
      </c>
      <c r="J3789">
        <v>0.86836161096808695</v>
      </c>
      <c r="K3789">
        <v>0.93455795587622603</v>
      </c>
      <c r="L3789">
        <v>12451.785758574501</v>
      </c>
      <c r="M3789">
        <v>250</v>
      </c>
      <c r="O3789">
        <v>49.803955652922802</v>
      </c>
      <c r="P3789">
        <v>-0.40681392576019298</v>
      </c>
      <c r="Q3789">
        <v>0.67582491654384502</v>
      </c>
      <c r="R3789">
        <v>0.52897225624844502</v>
      </c>
      <c r="S3789" t="s">
        <v>10241</v>
      </c>
      <c r="T3789" t="s">
        <v>12902</v>
      </c>
      <c r="U3789" t="s">
        <v>12902</v>
      </c>
      <c r="V3789" t="s">
        <v>12902</v>
      </c>
      <c r="W3789" t="s">
        <v>16646</v>
      </c>
      <c r="X3789">
        <v>1</v>
      </c>
      <c r="Y3789" t="s">
        <v>22961</v>
      </c>
      <c r="Z3789" t="s">
        <v>29364</v>
      </c>
      <c r="AA3789">
        <v>0.78182763332152594</v>
      </c>
      <c r="AB3789" t="str">
        <f>HYPERLINK("Melting_Curves/meltCurve_Q5T3J3_LRIF1.pdf", "Melting_Curves/meltCurve_Q5T3J3_LRIF1.pdf")</f>
        <v>Melting_Curves/meltCurve_Q5T3J3_LRIF1.pdf</v>
      </c>
    </row>
    <row r="3790" spans="1:28" x14ac:dyDescent="0.25">
      <c r="A3790" t="s">
        <v>3794</v>
      </c>
      <c r="B3790">
        <v>0.99673306730245903</v>
      </c>
      <c r="C3790">
        <v>0.87890930274914802</v>
      </c>
      <c r="D3790">
        <v>0.85430146517682104</v>
      </c>
      <c r="E3790">
        <v>0.73091457882634503</v>
      </c>
      <c r="F3790">
        <v>0.49504411862294301</v>
      </c>
      <c r="G3790">
        <v>0.32021227716423301</v>
      </c>
      <c r="H3790">
        <v>0.23157194562539199</v>
      </c>
      <c r="I3790">
        <v>0.209212558778546</v>
      </c>
      <c r="J3790">
        <v>0.216689049368433</v>
      </c>
      <c r="K3790">
        <v>0.20320633561887</v>
      </c>
      <c r="L3790">
        <v>708.65388877814701</v>
      </c>
      <c r="M3790">
        <v>13.766710091082601</v>
      </c>
      <c r="N3790">
        <v>53.015009113463002</v>
      </c>
      <c r="O3790">
        <v>50.426201485721201</v>
      </c>
      <c r="P3790">
        <v>-5.7016717217104503E-2</v>
      </c>
      <c r="Q3790">
        <v>0.16472987269612999</v>
      </c>
      <c r="R3790">
        <v>0.99026861868773697</v>
      </c>
      <c r="S3790" t="s">
        <v>10242</v>
      </c>
      <c r="T3790" t="s">
        <v>12902</v>
      </c>
      <c r="U3790" t="s">
        <v>12902</v>
      </c>
      <c r="V3790" t="s">
        <v>12902</v>
      </c>
      <c r="W3790" t="s">
        <v>16647</v>
      </c>
      <c r="X3790">
        <v>4</v>
      </c>
      <c r="Y3790" t="s">
        <v>22962</v>
      </c>
      <c r="Z3790" t="s">
        <v>29365</v>
      </c>
      <c r="AA3790">
        <v>0.50595999674635861</v>
      </c>
      <c r="AB3790" t="str">
        <f>HYPERLINK("Melting_Curves/meltCurve_Q5T3U5_2_ABCC10.pdf", "Melting_Curves/meltCurve_Q5T3U5_2_ABCC10.pdf")</f>
        <v>Melting_Curves/meltCurve_Q5T3U5_2_ABCC10.pdf</v>
      </c>
    </row>
    <row r="3791" spans="1:28" x14ac:dyDescent="0.25">
      <c r="A3791" t="s">
        <v>3795</v>
      </c>
      <c r="B3791">
        <v>0.99673306730245903</v>
      </c>
      <c r="C3791">
        <v>1.01687175746272</v>
      </c>
      <c r="D3791">
        <v>0.92910629773316</v>
      </c>
      <c r="E3791">
        <v>0.86407577970767802</v>
      </c>
      <c r="F3791">
        <v>0.493812818207987</v>
      </c>
      <c r="G3791">
        <v>0.15629167905527799</v>
      </c>
      <c r="H3791">
        <v>8.4011448067349698E-2</v>
      </c>
      <c r="I3791">
        <v>7.4150961226582601E-2</v>
      </c>
      <c r="J3791">
        <v>7.0663728352088895E-2</v>
      </c>
      <c r="K3791">
        <v>6.92783425547744E-2</v>
      </c>
      <c r="L3791">
        <v>1468.8448795300801</v>
      </c>
      <c r="M3791">
        <v>27.8290294459709</v>
      </c>
      <c r="N3791">
        <v>53.037576564719998</v>
      </c>
      <c r="O3791">
        <v>52.510748544422697</v>
      </c>
      <c r="P3791">
        <v>-0.12414990486821199</v>
      </c>
      <c r="Q3791">
        <v>6.2971740187682895E-2</v>
      </c>
      <c r="R3791">
        <v>0.99750054218836104</v>
      </c>
      <c r="S3791" t="s">
        <v>10243</v>
      </c>
      <c r="T3791" t="s">
        <v>12902</v>
      </c>
      <c r="U3791" t="s">
        <v>12902</v>
      </c>
      <c r="V3791" t="s">
        <v>12902</v>
      </c>
      <c r="W3791" t="s">
        <v>16648</v>
      </c>
      <c r="X3791">
        <v>12</v>
      </c>
      <c r="Y3791" t="s">
        <v>22963</v>
      </c>
      <c r="Z3791" t="s">
        <v>29366</v>
      </c>
      <c r="AA3791">
        <v>0.46919267259207309</v>
      </c>
      <c r="AB3791" t="str">
        <f>HYPERLINK("Melting_Curves/meltCurve_Q5T440_IBA57.pdf", "Melting_Curves/meltCurve_Q5T440_IBA57.pdf")</f>
        <v>Melting_Curves/meltCurve_Q5T440_IBA57.pdf</v>
      </c>
    </row>
    <row r="3792" spans="1:28" x14ac:dyDescent="0.25">
      <c r="A3792" t="s">
        <v>3796</v>
      </c>
      <c r="B3792">
        <v>0.99673306730245903</v>
      </c>
      <c r="C3792">
        <v>0.97801541639866796</v>
      </c>
      <c r="D3792">
        <v>0.91252418685028602</v>
      </c>
      <c r="E3792">
        <v>0.73269965877234899</v>
      </c>
      <c r="F3792">
        <v>0.56152209303365097</v>
      </c>
      <c r="G3792">
        <v>0.34447757693565501</v>
      </c>
      <c r="H3792">
        <v>0.223722319068895</v>
      </c>
      <c r="I3792">
        <v>0.213397362644239</v>
      </c>
      <c r="J3792">
        <v>0.222929763642364</v>
      </c>
      <c r="K3792">
        <v>0.178591983268583</v>
      </c>
      <c r="L3792">
        <v>823.36376821573401</v>
      </c>
      <c r="M3792">
        <v>15.7424292871329</v>
      </c>
      <c r="N3792">
        <v>53.713119154690098</v>
      </c>
      <c r="O3792">
        <v>51.480034724981401</v>
      </c>
      <c r="P3792">
        <v>-6.3508617721206598E-2</v>
      </c>
      <c r="Q3792">
        <v>0.169339494329492</v>
      </c>
      <c r="R3792">
        <v>0.99696563768859303</v>
      </c>
      <c r="S3792" t="s">
        <v>10244</v>
      </c>
      <c r="T3792" t="s">
        <v>12902</v>
      </c>
      <c r="U3792" t="s">
        <v>12902</v>
      </c>
      <c r="V3792" t="s">
        <v>12902</v>
      </c>
      <c r="W3792" t="s">
        <v>16649</v>
      </c>
      <c r="X3792">
        <v>3</v>
      </c>
      <c r="Y3792" t="s">
        <v>22964</v>
      </c>
      <c r="Z3792" t="s">
        <v>29367</v>
      </c>
      <c r="AA3792">
        <v>0.52704643243877169</v>
      </c>
      <c r="AB3792" t="str">
        <f>HYPERLINK("Melting_Curves/meltCurve_Q5T447_HECTD3.pdf", "Melting_Curves/meltCurve_Q5T447_HECTD3.pdf")</f>
        <v>Melting_Curves/meltCurve_Q5T447_HECTD3.pdf</v>
      </c>
    </row>
    <row r="3793" spans="1:28" x14ac:dyDescent="0.25">
      <c r="A3793" t="s">
        <v>3797</v>
      </c>
      <c r="B3793">
        <v>0.99673306730245903</v>
      </c>
      <c r="C3793">
        <v>0.82647914261414501</v>
      </c>
      <c r="D3793">
        <v>1.05426591910408</v>
      </c>
      <c r="E3793">
        <v>0.87152029612816195</v>
      </c>
      <c r="F3793">
        <v>0.55289403772232804</v>
      </c>
      <c r="G3793">
        <v>0.347067100734189</v>
      </c>
      <c r="H3793">
        <v>0.38111668751003502</v>
      </c>
      <c r="I3793">
        <v>0.50595331478505201</v>
      </c>
      <c r="J3793">
        <v>0.57587423923645098</v>
      </c>
      <c r="K3793">
        <v>0.367815745073586</v>
      </c>
      <c r="L3793">
        <v>2186.5224361268502</v>
      </c>
      <c r="M3793">
        <v>42.727263679806804</v>
      </c>
      <c r="N3793">
        <v>53.791566068319703</v>
      </c>
      <c r="O3793">
        <v>51.062224363189301</v>
      </c>
      <c r="P3793">
        <v>-0.11767378769174699</v>
      </c>
      <c r="Q3793">
        <v>0.43748555731461097</v>
      </c>
      <c r="R3793">
        <v>0.88206522496481998</v>
      </c>
      <c r="S3793" t="s">
        <v>10245</v>
      </c>
      <c r="T3793" t="s">
        <v>12902</v>
      </c>
      <c r="U3793" t="s">
        <v>12902</v>
      </c>
      <c r="V3793" t="s">
        <v>12902</v>
      </c>
      <c r="W3793" t="s">
        <v>16650</v>
      </c>
      <c r="X3793">
        <v>1</v>
      </c>
      <c r="Y3793" t="s">
        <v>22965</v>
      </c>
      <c r="Z3793" t="s">
        <v>29368</v>
      </c>
      <c r="AA3793">
        <v>0.64874439827504971</v>
      </c>
      <c r="AB3793" t="str">
        <f>HYPERLINK("Melting_Curves/meltCurve_Q5T4F4_7_ZFYVE27.pdf", "Melting_Curves/meltCurve_Q5T4F4_7_ZFYVE27.pdf")</f>
        <v>Melting_Curves/meltCurve_Q5T4F4_7_ZFYVE27.pdf</v>
      </c>
    </row>
    <row r="3794" spans="1:28" x14ac:dyDescent="0.25">
      <c r="A3794" t="s">
        <v>3798</v>
      </c>
      <c r="B3794">
        <v>0.99673306730245903</v>
      </c>
      <c r="C3794">
        <v>1.0165496193375401</v>
      </c>
      <c r="D3794">
        <v>0.70193830132850399</v>
      </c>
      <c r="E3794">
        <v>0.30886297280235098</v>
      </c>
      <c r="F3794">
        <v>9.5580951217628898E-2</v>
      </c>
      <c r="G3794">
        <v>6.2704039825056401E-2</v>
      </c>
      <c r="H3794">
        <v>3.9257100988723898E-2</v>
      </c>
      <c r="I3794">
        <v>4.1106728105285602E-2</v>
      </c>
      <c r="J3794">
        <v>6.2546499926178306E-2</v>
      </c>
      <c r="K3794">
        <v>5.6365298594291999E-2</v>
      </c>
      <c r="L3794">
        <v>1286.01946073524</v>
      </c>
      <c r="M3794">
        <v>27.016147970948001</v>
      </c>
      <c r="N3794">
        <v>47.787415302575297</v>
      </c>
      <c r="O3794">
        <v>47.3433614235948</v>
      </c>
      <c r="P3794">
        <v>-0.135559215008453</v>
      </c>
      <c r="Q3794">
        <v>4.9788227699489998E-2</v>
      </c>
      <c r="R3794">
        <v>0.99606149750112805</v>
      </c>
      <c r="S3794" t="s">
        <v>10246</v>
      </c>
      <c r="T3794" t="s">
        <v>12902</v>
      </c>
      <c r="U3794" t="s">
        <v>12902</v>
      </c>
      <c r="V3794" t="s">
        <v>12902</v>
      </c>
      <c r="W3794" t="s">
        <v>16651</v>
      </c>
      <c r="X3794">
        <v>1</v>
      </c>
      <c r="Y3794" t="s">
        <v>22966</v>
      </c>
      <c r="Z3794" t="s">
        <v>29369</v>
      </c>
      <c r="AA3794">
        <v>0.29769298359878271</v>
      </c>
      <c r="AB3794" t="str">
        <f>HYPERLINK("Melting_Curves/meltCurve_Q5T4P9_PLEKHO1.pdf", "Melting_Curves/meltCurve_Q5T4P9_PLEKHO1.pdf")</f>
        <v>Melting_Curves/meltCurve_Q5T4P9_PLEKHO1.pdf</v>
      </c>
    </row>
    <row r="3795" spans="1:28" x14ac:dyDescent="0.25">
      <c r="A3795" t="s">
        <v>3799</v>
      </c>
      <c r="B3795">
        <v>0.99673306730245903</v>
      </c>
      <c r="C3795">
        <v>0.92007042940045702</v>
      </c>
      <c r="D3795">
        <v>0.91599916813822102</v>
      </c>
      <c r="E3795">
        <v>0.60122687122054697</v>
      </c>
      <c r="F3795">
        <v>0.334854053795266</v>
      </c>
      <c r="G3795">
        <v>0.19193344730972201</v>
      </c>
      <c r="H3795">
        <v>0.137372621091396</v>
      </c>
      <c r="I3795">
        <v>0.14048298714556001</v>
      </c>
      <c r="J3795">
        <v>0.166488304468106</v>
      </c>
      <c r="K3795">
        <v>0.13264795161825901</v>
      </c>
      <c r="L3795">
        <v>1082.11344687869</v>
      </c>
      <c r="M3795">
        <v>21.6143633149991</v>
      </c>
      <c r="N3795">
        <v>50.812339789405002</v>
      </c>
      <c r="O3795">
        <v>49.641918850338399</v>
      </c>
      <c r="P3795">
        <v>-9.40249920172571E-2</v>
      </c>
      <c r="Q3795">
        <v>0.136228219231704</v>
      </c>
      <c r="R3795">
        <v>0.995616459212325</v>
      </c>
      <c r="S3795" t="s">
        <v>10247</v>
      </c>
      <c r="T3795" t="s">
        <v>12902</v>
      </c>
      <c r="U3795" t="s">
        <v>12902</v>
      </c>
      <c r="V3795" t="s">
        <v>12902</v>
      </c>
      <c r="W3795" t="s">
        <v>16652</v>
      </c>
      <c r="X3795">
        <v>16</v>
      </c>
      <c r="Y3795" t="s">
        <v>22967</v>
      </c>
      <c r="Z3795" t="s">
        <v>29370</v>
      </c>
      <c r="AA3795">
        <v>0.43633546588817479</v>
      </c>
      <c r="AB3795" t="str">
        <f>HYPERLINK("Melting_Curves/meltCurve_Q5T4S7_3_UBR4.pdf", "Melting_Curves/meltCurve_Q5T4S7_3_UBR4.pdf")</f>
        <v>Melting_Curves/meltCurve_Q5T4S7_3_UBR4.pdf</v>
      </c>
    </row>
    <row r="3796" spans="1:28" x14ac:dyDescent="0.25">
      <c r="A3796" t="s">
        <v>3800</v>
      </c>
      <c r="B3796">
        <v>0.99673306730245903</v>
      </c>
      <c r="C3796">
        <v>0.96075183275559695</v>
      </c>
      <c r="D3796">
        <v>1.0352229177559</v>
      </c>
      <c r="E3796">
        <v>1.1297360087406401</v>
      </c>
      <c r="F3796">
        <v>1.0281941391801099</v>
      </c>
      <c r="G3796">
        <v>0.70914658665477204</v>
      </c>
      <c r="H3796">
        <v>0.171005574592339</v>
      </c>
      <c r="I3796">
        <v>8.2183953466981804E-2</v>
      </c>
      <c r="J3796">
        <v>7.3416812979946594E-2</v>
      </c>
      <c r="K3796">
        <v>6.5032956077699294E-2</v>
      </c>
      <c r="L3796">
        <v>2667.88389063148</v>
      </c>
      <c r="M3796">
        <v>46.142843902740502</v>
      </c>
      <c r="N3796">
        <v>58.014104016409298</v>
      </c>
      <c r="O3796">
        <v>57.709629063604197</v>
      </c>
      <c r="P3796">
        <v>-0.18545374120365901</v>
      </c>
      <c r="Q3796">
        <v>7.2232454420888298E-2</v>
      </c>
      <c r="R3796">
        <v>0.98878573394038205</v>
      </c>
      <c r="S3796" t="s">
        <v>10248</v>
      </c>
      <c r="T3796" t="s">
        <v>12902</v>
      </c>
      <c r="U3796" t="s">
        <v>12902</v>
      </c>
      <c r="V3796" t="s">
        <v>12902</v>
      </c>
      <c r="W3796" t="s">
        <v>16653</v>
      </c>
      <c r="X3796">
        <v>27</v>
      </c>
      <c r="Y3796" t="s">
        <v>22968</v>
      </c>
      <c r="Z3796" t="s">
        <v>29371</v>
      </c>
      <c r="AA3796">
        <v>0.62602394094487723</v>
      </c>
      <c r="AB3796" t="str">
        <f>HYPERLINK("Melting_Curves/meltCurve_Q5T4U5_ACADM.pdf", "Melting_Curves/meltCurve_Q5T4U5_ACADM.pdf")</f>
        <v>Melting_Curves/meltCurve_Q5T4U5_ACADM.pdf</v>
      </c>
    </row>
    <row r="3797" spans="1:28" x14ac:dyDescent="0.25">
      <c r="A3797" t="s">
        <v>3801</v>
      </c>
      <c r="B3797">
        <v>0.99673306730245903</v>
      </c>
      <c r="C3797">
        <v>0.98620674796153096</v>
      </c>
      <c r="D3797">
        <v>0.87327385663609203</v>
      </c>
      <c r="E3797">
        <v>0.68153887857125905</v>
      </c>
      <c r="F3797">
        <v>0.40667987839554798</v>
      </c>
      <c r="G3797">
        <v>0.168792039989868</v>
      </c>
      <c r="H3797">
        <v>8.6847655247301397E-2</v>
      </c>
      <c r="I3797">
        <v>8.4071199295338198E-2</v>
      </c>
      <c r="J3797">
        <v>0.105672661771571</v>
      </c>
      <c r="K3797">
        <v>0.108210380016785</v>
      </c>
      <c r="L3797">
        <v>980.82821838433904</v>
      </c>
      <c r="M3797">
        <v>19.153112573255001</v>
      </c>
      <c r="N3797">
        <v>51.649685360699898</v>
      </c>
      <c r="O3797">
        <v>50.661413454802101</v>
      </c>
      <c r="P3797">
        <v>-8.7406879787679803E-2</v>
      </c>
      <c r="Q3797">
        <v>7.5244805128827502E-2</v>
      </c>
      <c r="R3797">
        <v>0.996443592720476</v>
      </c>
      <c r="S3797" t="s">
        <v>10249</v>
      </c>
      <c r="T3797" t="s">
        <v>12902</v>
      </c>
      <c r="U3797" t="s">
        <v>12902</v>
      </c>
      <c r="V3797" t="s">
        <v>12902</v>
      </c>
      <c r="W3797" t="s">
        <v>16654</v>
      </c>
      <c r="X3797">
        <v>2</v>
      </c>
      <c r="Y3797" t="s">
        <v>22969</v>
      </c>
      <c r="Z3797" t="s">
        <v>29372</v>
      </c>
      <c r="AA3797">
        <v>0.43468513890874683</v>
      </c>
      <c r="AB3797" t="str">
        <f>HYPERLINK("Melting_Curves/meltCurve_Q5T5C0_3_STXBP5.pdf", "Melting_Curves/meltCurve_Q5T5C0_3_STXBP5.pdf")</f>
        <v>Melting_Curves/meltCurve_Q5T5C0_3_STXBP5.pdf</v>
      </c>
    </row>
    <row r="3798" spans="1:28" x14ac:dyDescent="0.25">
      <c r="A3798" t="s">
        <v>3802</v>
      </c>
      <c r="B3798">
        <v>0.99673306730245903</v>
      </c>
      <c r="C3798">
        <v>0.78641445484446704</v>
      </c>
      <c r="D3798">
        <v>0.59178835286894704</v>
      </c>
      <c r="E3798">
        <v>0.47611009935552001</v>
      </c>
      <c r="F3798">
        <v>0.52390984875317903</v>
      </c>
      <c r="G3798">
        <v>0.38443164361228099</v>
      </c>
      <c r="H3798">
        <v>0.31774603900397602</v>
      </c>
      <c r="I3798">
        <v>0.26054169358601398</v>
      </c>
      <c r="J3798">
        <v>0.25841206769787101</v>
      </c>
      <c r="K3798">
        <v>0.247615605109655</v>
      </c>
      <c r="L3798">
        <v>480.41427546939201</v>
      </c>
      <c r="M3798">
        <v>10.1876597679738</v>
      </c>
      <c r="N3798">
        <v>50.376858733903198</v>
      </c>
      <c r="O3798">
        <v>45.447798058354003</v>
      </c>
      <c r="P3798">
        <v>-4.2649060401859902E-2</v>
      </c>
      <c r="Q3798">
        <v>0.23930365922830099</v>
      </c>
      <c r="R3798">
        <v>0.943325391271022</v>
      </c>
      <c r="S3798" t="s">
        <v>10250</v>
      </c>
      <c r="T3798" t="s">
        <v>12902</v>
      </c>
      <c r="U3798" t="s">
        <v>12902</v>
      </c>
      <c r="V3798" t="s">
        <v>12902</v>
      </c>
      <c r="W3798" t="s">
        <v>16655</v>
      </c>
      <c r="X3798">
        <v>6</v>
      </c>
      <c r="Y3798" t="s">
        <v>22970</v>
      </c>
      <c r="Z3798" t="s">
        <v>29373</v>
      </c>
      <c r="AA3798">
        <v>0.46263141371588129</v>
      </c>
      <c r="AB3798" t="str">
        <f>HYPERLINK("Melting_Curves/meltCurve_Q5T5P2_KIAA1217.pdf", "Melting_Curves/meltCurve_Q5T5P2_KIAA1217.pdf")</f>
        <v>Melting_Curves/meltCurve_Q5T5P2_KIAA1217.pdf</v>
      </c>
    </row>
    <row r="3799" spans="1:28" x14ac:dyDescent="0.25">
      <c r="A3799" t="s">
        <v>3803</v>
      </c>
      <c r="B3799">
        <v>0.99673306730245903</v>
      </c>
      <c r="C3799">
        <v>1.06224782211923</v>
      </c>
      <c r="D3799">
        <v>1.0079811185471099</v>
      </c>
      <c r="E3799">
        <v>0.93740927969309795</v>
      </c>
      <c r="F3799">
        <v>1.2046505037825599</v>
      </c>
      <c r="G3799">
        <v>1.24383389841715</v>
      </c>
      <c r="H3799">
        <v>1.0892522383555301</v>
      </c>
      <c r="I3799">
        <v>0.80210523290246905</v>
      </c>
      <c r="J3799">
        <v>0.42632110109039101</v>
      </c>
      <c r="K3799">
        <v>0.13382044691317699</v>
      </c>
      <c r="L3799">
        <v>2887.7204620326502</v>
      </c>
      <c r="M3799">
        <v>43.530383840664904</v>
      </c>
      <c r="N3799">
        <v>66.504334747467297</v>
      </c>
      <c r="O3799">
        <v>66.198498101479899</v>
      </c>
      <c r="P3799">
        <v>-0.15591653595768301</v>
      </c>
      <c r="Q3799">
        <v>5.15658868962732E-2</v>
      </c>
      <c r="R3799">
        <v>0.89009802513833902</v>
      </c>
      <c r="S3799" t="s">
        <v>10251</v>
      </c>
      <c r="T3799" t="s">
        <v>12902</v>
      </c>
      <c r="U3799" t="s">
        <v>12902</v>
      </c>
      <c r="V3799" t="s">
        <v>12902</v>
      </c>
      <c r="W3799" t="s">
        <v>16656</v>
      </c>
      <c r="X3799">
        <v>2</v>
      </c>
      <c r="Y3799" t="s">
        <v>22971</v>
      </c>
      <c r="Z3799" t="s">
        <v>29374</v>
      </c>
      <c r="AA3799">
        <v>0.88237788839390541</v>
      </c>
      <c r="AB3799" t="str">
        <f>HYPERLINK("Melting_Curves/meltCurve_Q5T5U3_ARHGAP21.pdf", "Melting_Curves/meltCurve_Q5T5U3_ARHGAP21.pdf")</f>
        <v>Melting_Curves/meltCurve_Q5T5U3_ARHGAP21.pdf</v>
      </c>
    </row>
    <row r="3800" spans="1:28" x14ac:dyDescent="0.25">
      <c r="A3800" t="s">
        <v>3804</v>
      </c>
      <c r="B3800">
        <v>0.99673306730245903</v>
      </c>
      <c r="C3800">
        <v>0.92836025020631996</v>
      </c>
      <c r="D3800">
        <v>0.891790790697504</v>
      </c>
      <c r="E3800">
        <v>0.55064473285550097</v>
      </c>
      <c r="F3800">
        <v>0.29521442010292498</v>
      </c>
      <c r="G3800">
        <v>0.17683598360571501</v>
      </c>
      <c r="H3800">
        <v>0.16377241574415399</v>
      </c>
      <c r="I3800">
        <v>0.14632003674482999</v>
      </c>
      <c r="J3800">
        <v>0.153363583681077</v>
      </c>
      <c r="K3800">
        <v>0.123162615173996</v>
      </c>
      <c r="L3800">
        <v>1108.9952869144299</v>
      </c>
      <c r="M3800">
        <v>22.403412590714101</v>
      </c>
      <c r="N3800">
        <v>50.235442767155199</v>
      </c>
      <c r="O3800">
        <v>49.111835522637499</v>
      </c>
      <c r="P3800">
        <v>-9.8122071041198994E-2</v>
      </c>
      <c r="Q3800">
        <v>0.13962123322006401</v>
      </c>
      <c r="R3800">
        <v>0.99718461832937599</v>
      </c>
      <c r="S3800" t="s">
        <v>10252</v>
      </c>
      <c r="T3800" t="s">
        <v>12902</v>
      </c>
      <c r="U3800" t="s">
        <v>12902</v>
      </c>
      <c r="V3800" t="s">
        <v>12902</v>
      </c>
      <c r="W3800" t="s">
        <v>16657</v>
      </c>
      <c r="X3800">
        <v>11</v>
      </c>
      <c r="Y3800" t="s">
        <v>22972</v>
      </c>
      <c r="Z3800" t="s">
        <v>29375</v>
      </c>
      <c r="AA3800">
        <v>0.42166871026337438</v>
      </c>
      <c r="AB3800" t="str">
        <f>HYPERLINK("Melting_Curves/meltCurve_Q5T5Y3_2_CAMSAP1.pdf", "Melting_Curves/meltCurve_Q5T5Y3_2_CAMSAP1.pdf")</f>
        <v>Melting_Curves/meltCurve_Q5T5Y3_2_CAMSAP1.pdf</v>
      </c>
    </row>
    <row r="3801" spans="1:28" x14ac:dyDescent="0.25">
      <c r="A3801" t="s">
        <v>3805</v>
      </c>
      <c r="B3801">
        <v>0.99673306730245903</v>
      </c>
      <c r="C3801">
        <v>0.93538342833569199</v>
      </c>
      <c r="D3801">
        <v>1.0088649622298</v>
      </c>
      <c r="E3801">
        <v>0.937330425254986</v>
      </c>
      <c r="F3801">
        <v>0.76914802778124303</v>
      </c>
      <c r="G3801">
        <v>0.62802783128032302</v>
      </c>
      <c r="H3801">
        <v>0.56224848591052301</v>
      </c>
      <c r="I3801">
        <v>0.90125595868830299</v>
      </c>
      <c r="J3801">
        <v>1.5447502320019599</v>
      </c>
      <c r="K3801">
        <v>1.6244049461324199</v>
      </c>
      <c r="L3801">
        <v>15000</v>
      </c>
      <c r="M3801">
        <v>228.58892368408999</v>
      </c>
      <c r="O3801">
        <v>65.614976105388493</v>
      </c>
      <c r="P3801">
        <v>0.43547413213913999</v>
      </c>
      <c r="Q3801">
        <v>1.5</v>
      </c>
      <c r="R3801">
        <v>0.61425925632664002</v>
      </c>
      <c r="S3801" t="s">
        <v>10253</v>
      </c>
      <c r="T3801" t="s">
        <v>12902</v>
      </c>
      <c r="U3801" t="s">
        <v>12902</v>
      </c>
      <c r="V3801" t="s">
        <v>12902</v>
      </c>
      <c r="W3801" t="s">
        <v>16658</v>
      </c>
      <c r="X3801">
        <v>18</v>
      </c>
      <c r="Y3801" t="s">
        <v>22973</v>
      </c>
      <c r="Z3801" t="s">
        <v>29376</v>
      </c>
      <c r="AA3801">
        <v>1.072931504492999</v>
      </c>
      <c r="AB3801" t="str">
        <f>HYPERLINK("Melting_Curves/meltCurve_Q5T6F2_UBAP2.pdf", "Melting_Curves/meltCurve_Q5T6F2_UBAP2.pdf")</f>
        <v>Melting_Curves/meltCurve_Q5T6F2_UBAP2.pdf</v>
      </c>
    </row>
    <row r="3802" spans="1:28" x14ac:dyDescent="0.25">
      <c r="A3802" t="s">
        <v>3806</v>
      </c>
      <c r="B3802">
        <v>0.99673306730245903</v>
      </c>
      <c r="C3802">
        <v>0.94287287292901301</v>
      </c>
      <c r="D3802">
        <v>0.86548774973202103</v>
      </c>
      <c r="E3802">
        <v>0.66126615892928298</v>
      </c>
      <c r="F3802">
        <v>0.44459095862127201</v>
      </c>
      <c r="G3802">
        <v>0.27910771860622102</v>
      </c>
      <c r="H3802">
        <v>0.22519885583263299</v>
      </c>
      <c r="I3802">
        <v>0.38019946031621499</v>
      </c>
      <c r="J3802">
        <v>1.3376694741310899</v>
      </c>
      <c r="K3802">
        <v>1.6669212681451699</v>
      </c>
      <c r="L3802">
        <v>11505.599021034101</v>
      </c>
      <c r="M3802">
        <v>250</v>
      </c>
      <c r="O3802">
        <v>46.019450755464199</v>
      </c>
      <c r="P3802">
        <v>-0.38901371120349798</v>
      </c>
      <c r="Q3802">
        <v>0.71356484187230196</v>
      </c>
      <c r="R3802">
        <v>5.3583651340406803E-2</v>
      </c>
      <c r="S3802" t="s">
        <v>10254</v>
      </c>
      <c r="T3802" t="s">
        <v>12902</v>
      </c>
      <c r="U3802" t="s">
        <v>12902</v>
      </c>
      <c r="V3802" t="s">
        <v>12902</v>
      </c>
      <c r="W3802" t="s">
        <v>16659</v>
      </c>
      <c r="X3802">
        <v>7</v>
      </c>
      <c r="Y3802" t="s">
        <v>22974</v>
      </c>
      <c r="Z3802" t="s">
        <v>29377</v>
      </c>
      <c r="AA3802">
        <v>0.77108884265806532</v>
      </c>
      <c r="AB3802" t="str">
        <f>HYPERLINK("Melting_Curves/meltCurve_Q5T6N4_ABLIM1.pdf", "Melting_Curves/meltCurve_Q5T6N4_ABLIM1.pdf")</f>
        <v>Melting_Curves/meltCurve_Q5T6N4_ABLIM1.pdf</v>
      </c>
    </row>
    <row r="3803" spans="1:28" x14ac:dyDescent="0.25">
      <c r="A3803" t="s">
        <v>3807</v>
      </c>
      <c r="B3803">
        <v>0.99673306730245903</v>
      </c>
      <c r="C3803">
        <v>0.96687508332777194</v>
      </c>
      <c r="D3803">
        <v>0.53404804935471195</v>
      </c>
      <c r="E3803">
        <v>0.209668120144377</v>
      </c>
      <c r="F3803">
        <v>0.11976676154456101</v>
      </c>
      <c r="G3803">
        <v>7.2252549380598399E-2</v>
      </c>
      <c r="H3803">
        <v>5.0320083098045802E-2</v>
      </c>
      <c r="I3803">
        <v>4.7473627571166702E-2</v>
      </c>
      <c r="J3803">
        <v>5.9537190867923001E-2</v>
      </c>
      <c r="K3803">
        <v>5.2698037962445599E-2</v>
      </c>
      <c r="L3803">
        <v>1354.5434906712801</v>
      </c>
      <c r="M3803">
        <v>29.2928372442342</v>
      </c>
      <c r="N3803">
        <v>46.464005584968703</v>
      </c>
      <c r="O3803">
        <v>46.0275681218003</v>
      </c>
      <c r="P3803">
        <v>-0.14869231673409</v>
      </c>
      <c r="Q3803">
        <v>6.5451387788275806E-2</v>
      </c>
      <c r="R3803">
        <v>0.99466529681864302</v>
      </c>
      <c r="S3803" t="s">
        <v>10255</v>
      </c>
      <c r="T3803" t="s">
        <v>12902</v>
      </c>
      <c r="U3803" t="s">
        <v>12902</v>
      </c>
      <c r="V3803" t="s">
        <v>12902</v>
      </c>
      <c r="W3803" t="s">
        <v>16660</v>
      </c>
      <c r="X3803">
        <v>9</v>
      </c>
      <c r="Y3803" t="s">
        <v>22975</v>
      </c>
      <c r="Z3803" t="s">
        <v>29378</v>
      </c>
      <c r="AA3803">
        <v>0.26585037497425568</v>
      </c>
      <c r="AB3803" t="str">
        <f>HYPERLINK("Melting_Curves/meltCurve_Q5T6V5_C9orf64.pdf", "Melting_Curves/meltCurve_Q5T6V5_C9orf64.pdf")</f>
        <v>Melting_Curves/meltCurve_Q5T6V5_C9orf64.pdf</v>
      </c>
    </row>
    <row r="3804" spans="1:28" x14ac:dyDescent="0.25">
      <c r="A3804" t="s">
        <v>3808</v>
      </c>
      <c r="B3804">
        <v>0.99673306730245903</v>
      </c>
      <c r="C3804">
        <v>1.41310811047535</v>
      </c>
      <c r="D3804">
        <v>1.0781252047394101</v>
      </c>
      <c r="E3804">
        <v>0.98360474977118895</v>
      </c>
      <c r="F3804">
        <v>0.88715222645472502</v>
      </c>
      <c r="G3804">
        <v>1.0670743121742099</v>
      </c>
      <c r="H3804">
        <v>0.51485891471608303</v>
      </c>
      <c r="I3804">
        <v>0.94920923776939703</v>
      </c>
      <c r="J3804">
        <v>1.36195955552376</v>
      </c>
      <c r="K3804">
        <v>0.86221257918291105</v>
      </c>
      <c r="L3804">
        <v>12448.0474516666</v>
      </c>
      <c r="M3804">
        <v>250</v>
      </c>
      <c r="O3804">
        <v>49.7890033687288</v>
      </c>
      <c r="P3804">
        <v>-7.4801734803450606E-2</v>
      </c>
      <c r="Q3804">
        <v>0.94041113877054305</v>
      </c>
      <c r="R3804">
        <v>3.4898899014153398E-2</v>
      </c>
      <c r="S3804" t="s">
        <v>10256</v>
      </c>
      <c r="T3804" t="s">
        <v>12902</v>
      </c>
      <c r="U3804" t="s">
        <v>12902</v>
      </c>
      <c r="V3804" t="s">
        <v>12902</v>
      </c>
      <c r="W3804" t="s">
        <v>16661</v>
      </c>
      <c r="X3804">
        <v>1</v>
      </c>
      <c r="Y3804" t="s">
        <v>22976</v>
      </c>
      <c r="Z3804" t="s">
        <v>29379</v>
      </c>
      <c r="AA3804">
        <v>0.95986652723186561</v>
      </c>
      <c r="AB3804" t="str">
        <f>HYPERLINK("Melting_Curves/meltCurve_Q5T750_XP32.pdf", "Melting_Curves/meltCurve_Q5T750_XP32.pdf")</f>
        <v>Melting_Curves/meltCurve_Q5T750_XP32.pdf</v>
      </c>
    </row>
    <row r="3805" spans="1:28" x14ac:dyDescent="0.25">
      <c r="A3805" t="s">
        <v>3809</v>
      </c>
      <c r="B3805">
        <v>0.99673306730245903</v>
      </c>
      <c r="C3805">
        <v>0.91318551839197803</v>
      </c>
      <c r="D3805">
        <v>0.87938990875899503</v>
      </c>
      <c r="E3805">
        <v>0.72178405132023304</v>
      </c>
      <c r="F3805">
        <v>0.58109018776633303</v>
      </c>
      <c r="G3805">
        <v>0.41522009551897299</v>
      </c>
      <c r="H3805">
        <v>0.17326471728318699</v>
      </c>
      <c r="I3805">
        <v>0.126978132946509</v>
      </c>
      <c r="J3805">
        <v>0.13369853571677201</v>
      </c>
      <c r="K3805">
        <v>0.101633651456248</v>
      </c>
      <c r="L3805">
        <v>605.97993733057103</v>
      </c>
      <c r="M3805">
        <v>11.1853149881962</v>
      </c>
      <c r="N3805">
        <v>54.236118478416898</v>
      </c>
      <c r="O3805">
        <v>52.531262257823798</v>
      </c>
      <c r="P3805">
        <v>-5.2922574312119899E-2</v>
      </c>
      <c r="Q3805">
        <v>6.1217094351074903E-3</v>
      </c>
      <c r="R3805">
        <v>0.99172825716213198</v>
      </c>
      <c r="S3805" t="s">
        <v>10257</v>
      </c>
      <c r="T3805" t="s">
        <v>12902</v>
      </c>
      <c r="U3805" t="s">
        <v>12902</v>
      </c>
      <c r="V3805" t="s">
        <v>12902</v>
      </c>
      <c r="W3805" t="s">
        <v>16662</v>
      </c>
      <c r="X3805">
        <v>3</v>
      </c>
      <c r="Y3805" t="s">
        <v>22977</v>
      </c>
      <c r="Z3805" t="s">
        <v>29380</v>
      </c>
      <c r="AA3805">
        <v>0.50283383964615969</v>
      </c>
      <c r="AB3805" t="str">
        <f>HYPERLINK("Melting_Curves/meltCurve_Q5T7M9_FAM69A.pdf", "Melting_Curves/meltCurve_Q5T7M9_FAM69A.pdf")</f>
        <v>Melting_Curves/meltCurve_Q5T7M9_FAM69A.pdf</v>
      </c>
    </row>
    <row r="3806" spans="1:28" x14ac:dyDescent="0.25">
      <c r="A3806" t="s">
        <v>3810</v>
      </c>
      <c r="B3806">
        <v>0.99673306730245903</v>
      </c>
      <c r="C3806">
        <v>0.95677816477415101</v>
      </c>
      <c r="D3806">
        <v>0.94660077060344205</v>
      </c>
      <c r="E3806">
        <v>0.66920785535716698</v>
      </c>
      <c r="F3806">
        <v>0.32404284741570499</v>
      </c>
      <c r="G3806">
        <v>0.24041198908887601</v>
      </c>
      <c r="H3806">
        <v>0.14163043343064599</v>
      </c>
      <c r="I3806">
        <v>0.16509562111547099</v>
      </c>
      <c r="J3806">
        <v>0.239390659229404</v>
      </c>
      <c r="K3806">
        <v>0.22078705219851399</v>
      </c>
      <c r="L3806">
        <v>1434.51049426042</v>
      </c>
      <c r="M3806">
        <v>28.570438775656399</v>
      </c>
      <c r="N3806">
        <v>51.0851310732331</v>
      </c>
      <c r="O3806">
        <v>49.965555189116799</v>
      </c>
      <c r="P3806">
        <v>-0.115279081391</v>
      </c>
      <c r="Q3806">
        <v>0.19358080994753801</v>
      </c>
      <c r="R3806">
        <v>0.99251473750549302</v>
      </c>
      <c r="S3806" t="s">
        <v>10258</v>
      </c>
      <c r="T3806" t="s">
        <v>12902</v>
      </c>
      <c r="U3806" t="s">
        <v>12902</v>
      </c>
      <c r="V3806" t="s">
        <v>12902</v>
      </c>
      <c r="W3806" t="s">
        <v>16663</v>
      </c>
      <c r="X3806">
        <v>2</v>
      </c>
      <c r="Y3806" t="s">
        <v>22978</v>
      </c>
      <c r="Z3806" t="s">
        <v>29381</v>
      </c>
      <c r="AA3806">
        <v>0.47354465065094448</v>
      </c>
      <c r="AB3806" t="str">
        <f>HYPERLINK("Melting_Curves/meltCurve_Q5T7V8_GORAB.pdf", "Melting_Curves/meltCurve_Q5T7V8_GORAB.pdf")</f>
        <v>Melting_Curves/meltCurve_Q5T7V8_GORAB.pdf</v>
      </c>
    </row>
    <row r="3807" spans="1:28" x14ac:dyDescent="0.25">
      <c r="A3807" t="s">
        <v>3811</v>
      </c>
      <c r="B3807">
        <v>0.99673306730245903</v>
      </c>
      <c r="C3807">
        <v>0.80837006869235095</v>
      </c>
      <c r="D3807">
        <v>0.72542160597068805</v>
      </c>
      <c r="E3807">
        <v>0.44087356042621101</v>
      </c>
      <c r="F3807">
        <v>0.38346589408038001</v>
      </c>
      <c r="G3807">
        <v>0.27539695557675098</v>
      </c>
      <c r="H3807">
        <v>0.21226157154693301</v>
      </c>
      <c r="I3807">
        <v>0.215655339020841</v>
      </c>
      <c r="J3807">
        <v>0.25043973584432999</v>
      </c>
      <c r="K3807">
        <v>0.212252850666837</v>
      </c>
      <c r="L3807">
        <v>690.00814577697804</v>
      </c>
      <c r="M3807">
        <v>14.568263250518299</v>
      </c>
      <c r="N3807">
        <v>49.210396534728602</v>
      </c>
      <c r="O3807">
        <v>46.4981925543388</v>
      </c>
      <c r="P3807">
        <v>-6.1841283231034702E-2</v>
      </c>
      <c r="Q3807">
        <v>0.21056297200243401</v>
      </c>
      <c r="R3807">
        <v>0.98525956558914196</v>
      </c>
      <c r="S3807" t="s">
        <v>10259</v>
      </c>
      <c r="T3807" t="s">
        <v>12902</v>
      </c>
      <c r="U3807" t="s">
        <v>12902</v>
      </c>
      <c r="V3807" t="s">
        <v>12902</v>
      </c>
      <c r="W3807" t="s">
        <v>16664</v>
      </c>
      <c r="X3807">
        <v>2</v>
      </c>
      <c r="Y3807" t="s">
        <v>22979</v>
      </c>
      <c r="Z3807" t="s">
        <v>29382</v>
      </c>
      <c r="AA3807">
        <v>0.42660494150496592</v>
      </c>
      <c r="AB3807" t="str">
        <f>HYPERLINK("Melting_Curves/meltCurve_Q5T8D3_4_ACBD5.pdf", "Melting_Curves/meltCurve_Q5T8D3_4_ACBD5.pdf")</f>
        <v>Melting_Curves/meltCurve_Q5T8D3_4_ACBD5.pdf</v>
      </c>
    </row>
    <row r="3808" spans="1:28" x14ac:dyDescent="0.25">
      <c r="A3808" t="s">
        <v>3812</v>
      </c>
      <c r="B3808">
        <v>0.99673306730245903</v>
      </c>
      <c r="C3808">
        <v>1.0730258641582</v>
      </c>
      <c r="D3808">
        <v>1.02459483584268</v>
      </c>
      <c r="E3808">
        <v>0.87943098363045302</v>
      </c>
      <c r="F3808">
        <v>0.76145259427987899</v>
      </c>
      <c r="G3808">
        <v>0.497493522116499</v>
      </c>
      <c r="H3808">
        <v>0.42396964844868601</v>
      </c>
      <c r="I3808">
        <v>0.43780739482363001</v>
      </c>
      <c r="J3808">
        <v>0.51261763312618303</v>
      </c>
      <c r="K3808">
        <v>0.408052024181912</v>
      </c>
      <c r="L3808">
        <v>1444.99317417001</v>
      </c>
      <c r="M3808">
        <v>27.1241997804294</v>
      </c>
      <c r="N3808">
        <v>57.654811297144299</v>
      </c>
      <c r="O3808">
        <v>52.9861699239773</v>
      </c>
      <c r="P3808">
        <v>-7.2134104206908994E-2</v>
      </c>
      <c r="Q3808">
        <v>0.436359751635781</v>
      </c>
      <c r="R3808">
        <v>0.97193825844199899</v>
      </c>
      <c r="S3808" t="s">
        <v>10260</v>
      </c>
      <c r="T3808" t="s">
        <v>12902</v>
      </c>
      <c r="U3808" t="s">
        <v>12902</v>
      </c>
      <c r="V3808" t="s">
        <v>12902</v>
      </c>
      <c r="W3808" t="s">
        <v>16665</v>
      </c>
      <c r="X3808">
        <v>2</v>
      </c>
      <c r="Y3808" t="s">
        <v>22980</v>
      </c>
      <c r="Z3808" t="s">
        <v>29383</v>
      </c>
      <c r="AA3808">
        <v>0.69019423403028868</v>
      </c>
      <c r="AB3808" t="str">
        <f>HYPERLINK("Melting_Curves/meltCurve_Q5T8I0_COX6A1P2.pdf", "Melting_Curves/meltCurve_Q5T8I0_COX6A1P2.pdf")</f>
        <v>Melting_Curves/meltCurve_Q5T8I0_COX6A1P2.pdf</v>
      </c>
    </row>
    <row r="3809" spans="1:28" x14ac:dyDescent="0.25">
      <c r="A3809" t="s">
        <v>3813</v>
      </c>
      <c r="B3809">
        <v>0.99673306730245903</v>
      </c>
      <c r="C3809">
        <v>0.88682810211299501</v>
      </c>
      <c r="D3809">
        <v>0.546503873701077</v>
      </c>
      <c r="E3809">
        <v>0.30972670607921499</v>
      </c>
      <c r="F3809">
        <v>0.158936895443166</v>
      </c>
      <c r="G3809">
        <v>0.108136681908303</v>
      </c>
      <c r="H3809">
        <v>7.4414192474499805E-2</v>
      </c>
      <c r="I3809">
        <v>7.0392730903876599E-2</v>
      </c>
      <c r="J3809">
        <v>7.5989532438032401E-2</v>
      </c>
      <c r="K3809">
        <v>6.9055081865047704E-2</v>
      </c>
      <c r="L3809">
        <v>928.40011867459498</v>
      </c>
      <c r="M3809">
        <v>19.954117174474799</v>
      </c>
      <c r="N3809">
        <v>46.911404936334698</v>
      </c>
      <c r="O3809">
        <v>46.067013346245503</v>
      </c>
      <c r="P3809">
        <v>-0.100119619582586</v>
      </c>
      <c r="Q3809">
        <v>7.5466918689983398E-2</v>
      </c>
      <c r="R3809">
        <v>0.99561200903868596</v>
      </c>
      <c r="S3809" t="s">
        <v>10261</v>
      </c>
      <c r="T3809" t="s">
        <v>12902</v>
      </c>
      <c r="U3809" t="s">
        <v>12902</v>
      </c>
      <c r="V3809" t="s">
        <v>12902</v>
      </c>
      <c r="W3809" t="s">
        <v>16666</v>
      </c>
      <c r="X3809">
        <v>29</v>
      </c>
      <c r="Y3809" t="s">
        <v>22981</v>
      </c>
      <c r="Z3809" t="s">
        <v>29384</v>
      </c>
      <c r="AA3809">
        <v>0.29051412361535772</v>
      </c>
      <c r="AB3809" t="str">
        <f>HYPERLINK("Melting_Curves/meltCurve_Q5T8P6_RBM26.pdf", "Melting_Curves/meltCurve_Q5T8P6_RBM26.pdf")</f>
        <v>Melting_Curves/meltCurve_Q5T8P6_RBM26.pdf</v>
      </c>
    </row>
    <row r="3810" spans="1:28" x14ac:dyDescent="0.25">
      <c r="A3810" t="s">
        <v>3814</v>
      </c>
      <c r="B3810">
        <v>0.99673306730245903</v>
      </c>
      <c r="C3810">
        <v>0.93090261980613598</v>
      </c>
      <c r="D3810">
        <v>0.86204584727340405</v>
      </c>
      <c r="E3810">
        <v>0.70145630433372197</v>
      </c>
      <c r="F3810">
        <v>0.552432460848576</v>
      </c>
      <c r="G3810">
        <v>0.44032019815914403</v>
      </c>
      <c r="H3810">
        <v>0.27781869902836598</v>
      </c>
      <c r="I3810">
        <v>0.18526854603085899</v>
      </c>
      <c r="J3810">
        <v>9.2635279088333397E-2</v>
      </c>
      <c r="K3810">
        <v>5.4190467072038902E-2</v>
      </c>
      <c r="L3810">
        <v>552.42744593692896</v>
      </c>
      <c r="M3810">
        <v>10.1457456846301</v>
      </c>
      <c r="N3810">
        <v>54.449171333886397</v>
      </c>
      <c r="O3810">
        <v>52.460891088170101</v>
      </c>
      <c r="P3810">
        <v>-4.8371341525899801E-2</v>
      </c>
      <c r="Q3810">
        <v>0</v>
      </c>
      <c r="R3810">
        <v>0.994029204570822</v>
      </c>
      <c r="S3810" t="s">
        <v>10262</v>
      </c>
      <c r="T3810" t="s">
        <v>12902</v>
      </c>
      <c r="U3810" t="s">
        <v>12902</v>
      </c>
      <c r="V3810" t="s">
        <v>12902</v>
      </c>
      <c r="W3810" t="s">
        <v>16667</v>
      </c>
      <c r="X3810">
        <v>4</v>
      </c>
      <c r="Y3810" t="s">
        <v>22982</v>
      </c>
      <c r="Z3810" t="s">
        <v>29385</v>
      </c>
      <c r="AA3810">
        <v>0.50971668788792535</v>
      </c>
      <c r="AB3810" t="str">
        <f>HYPERLINK("Melting_Curves/meltCurve_Q5T8U5_SURF4.pdf", "Melting_Curves/meltCurve_Q5T8U5_SURF4.pdf")</f>
        <v>Melting_Curves/meltCurve_Q5T8U5_SURF4.pdf</v>
      </c>
    </row>
    <row r="3811" spans="1:28" x14ac:dyDescent="0.25">
      <c r="A3811" t="s">
        <v>3815</v>
      </c>
      <c r="B3811">
        <v>0.99673306730245903</v>
      </c>
      <c r="C3811">
        <v>1.0523835095883201</v>
      </c>
      <c r="D3811">
        <v>0.85042624236443398</v>
      </c>
      <c r="E3811">
        <v>0.65681271458749302</v>
      </c>
      <c r="F3811">
        <v>0.26853616828344101</v>
      </c>
      <c r="G3811">
        <v>0.161606279751178</v>
      </c>
      <c r="H3811">
        <v>9.0074389163172702E-2</v>
      </c>
      <c r="I3811">
        <v>8.0410429598164204E-2</v>
      </c>
      <c r="J3811">
        <v>9.5379064145443601E-2</v>
      </c>
      <c r="K3811">
        <v>8.9923279734421394E-2</v>
      </c>
      <c r="L3811">
        <v>1155.4457216890501</v>
      </c>
      <c r="M3811">
        <v>22.9258439946796</v>
      </c>
      <c r="N3811">
        <v>50.798233245303301</v>
      </c>
      <c r="O3811">
        <v>50.0205023391362</v>
      </c>
      <c r="P3811">
        <v>-0.105143903816918</v>
      </c>
      <c r="Q3811">
        <v>8.2389101482278196E-2</v>
      </c>
      <c r="R3811">
        <v>0.99319488280925206</v>
      </c>
      <c r="S3811" t="s">
        <v>10263</v>
      </c>
      <c r="T3811" t="s">
        <v>12902</v>
      </c>
      <c r="U3811" t="s">
        <v>12902</v>
      </c>
      <c r="V3811" t="s">
        <v>12902</v>
      </c>
      <c r="W3811" t="s">
        <v>16668</v>
      </c>
      <c r="X3811">
        <v>23</v>
      </c>
      <c r="Y3811" t="s">
        <v>22983</v>
      </c>
      <c r="Z3811" t="s">
        <v>29386</v>
      </c>
      <c r="AA3811">
        <v>0.41025076087398449</v>
      </c>
      <c r="AB3811" t="str">
        <f>HYPERLINK("Melting_Curves/meltCurve_Q5T9B7_AK1.pdf", "Melting_Curves/meltCurve_Q5T9B7_AK1.pdf")</f>
        <v>Melting_Curves/meltCurve_Q5T9B7_AK1.pdf</v>
      </c>
    </row>
    <row r="3812" spans="1:28" x14ac:dyDescent="0.25">
      <c r="A3812" t="s">
        <v>3816</v>
      </c>
      <c r="B3812">
        <v>0.99673306730245903</v>
      </c>
      <c r="C3812">
        <v>0.95102810882966005</v>
      </c>
      <c r="D3812">
        <v>0.93344057460051499</v>
      </c>
      <c r="E3812">
        <v>0.73389140054567403</v>
      </c>
      <c r="F3812">
        <v>0.51658183663462098</v>
      </c>
      <c r="G3812">
        <v>0.26570546039294901</v>
      </c>
      <c r="H3812">
        <v>0.12786859891658101</v>
      </c>
      <c r="I3812">
        <v>0.102326996600325</v>
      </c>
      <c r="J3812">
        <v>0.12972077060204601</v>
      </c>
      <c r="K3812">
        <v>6.9221884760535701E-2</v>
      </c>
      <c r="L3812">
        <v>882.966409385269</v>
      </c>
      <c r="M3812">
        <v>16.784139573047799</v>
      </c>
      <c r="N3812">
        <v>53.051826097510599</v>
      </c>
      <c r="O3812">
        <v>51.877424187007399</v>
      </c>
      <c r="P3812">
        <v>-7.5581587474026005E-2</v>
      </c>
      <c r="Q3812">
        <v>6.5612366214558099E-2</v>
      </c>
      <c r="R3812">
        <v>0.99668120233831003</v>
      </c>
      <c r="S3812" t="s">
        <v>10264</v>
      </c>
      <c r="T3812" t="s">
        <v>12902</v>
      </c>
      <c r="U3812" t="s">
        <v>12902</v>
      </c>
      <c r="V3812" t="s">
        <v>12902</v>
      </c>
      <c r="W3812" t="s">
        <v>16669</v>
      </c>
      <c r="X3812">
        <v>2</v>
      </c>
      <c r="Y3812" t="s">
        <v>22984</v>
      </c>
      <c r="Z3812" t="s">
        <v>29387</v>
      </c>
      <c r="AA3812">
        <v>0.47551963286967752</v>
      </c>
      <c r="AB3812" t="str">
        <f>HYPERLINK("Melting_Curves/meltCurve_Q5T9C2_2_FAM102A.pdf", "Melting_Curves/meltCurve_Q5T9C2_2_FAM102A.pdf")</f>
        <v>Melting_Curves/meltCurve_Q5T9C2_2_FAM102A.pdf</v>
      </c>
    </row>
    <row r="3813" spans="1:28" x14ac:dyDescent="0.25">
      <c r="A3813" t="s">
        <v>3817</v>
      </c>
      <c r="B3813">
        <v>0.99673306730245903</v>
      </c>
      <c r="C3813">
        <v>0.96521961659010203</v>
      </c>
      <c r="D3813">
        <v>0.95745190574766104</v>
      </c>
      <c r="E3813">
        <v>0.95541513938957301</v>
      </c>
      <c r="F3813">
        <v>1.15929471268861</v>
      </c>
      <c r="G3813">
        <v>0.99978700184324498</v>
      </c>
      <c r="H3813">
        <v>0.912104577756358</v>
      </c>
      <c r="I3813">
        <v>0.79718876540938999</v>
      </c>
      <c r="J3813">
        <v>0.68423728014018703</v>
      </c>
      <c r="K3813">
        <v>0.47570475468635198</v>
      </c>
      <c r="L3813">
        <v>1267.3752738753101</v>
      </c>
      <c r="M3813">
        <v>18.3967740412306</v>
      </c>
      <c r="N3813">
        <v>69.723207753511005</v>
      </c>
      <c r="O3813">
        <v>68.092634224328094</v>
      </c>
      <c r="P3813">
        <v>-6.0889199895454903E-2</v>
      </c>
      <c r="Q3813">
        <v>9.8555351089739798E-2</v>
      </c>
      <c r="R3813">
        <v>0.89934400375044099</v>
      </c>
      <c r="S3813" t="s">
        <v>10265</v>
      </c>
      <c r="T3813" t="s">
        <v>12902</v>
      </c>
      <c r="U3813" t="s">
        <v>12902</v>
      </c>
      <c r="V3813" t="s">
        <v>12902</v>
      </c>
      <c r="W3813" t="s">
        <v>16670</v>
      </c>
      <c r="X3813">
        <v>12</v>
      </c>
      <c r="Y3813" t="s">
        <v>22189</v>
      </c>
      <c r="Z3813" t="s">
        <v>29388</v>
      </c>
      <c r="AA3813">
        <v>0.91271689908507014</v>
      </c>
      <c r="AB3813" t="str">
        <f>HYPERLINK("Melting_Curves/meltCurve_Q5TA02_GSTO1.pdf", "Melting_Curves/meltCurve_Q5TA02_GSTO1.pdf")</f>
        <v>Melting_Curves/meltCurve_Q5TA02_GSTO1.pdf</v>
      </c>
    </row>
    <row r="3814" spans="1:28" x14ac:dyDescent="0.25">
      <c r="A3814" t="s">
        <v>3818</v>
      </c>
      <c r="B3814">
        <v>0.99673306730245903</v>
      </c>
      <c r="C3814">
        <v>0.87423115346958202</v>
      </c>
      <c r="D3814">
        <v>0.95551619839822599</v>
      </c>
      <c r="E3814">
        <v>0.590883709535025</v>
      </c>
      <c r="F3814">
        <v>0.787412014429693</v>
      </c>
      <c r="G3814">
        <v>0.26892525621571101</v>
      </c>
      <c r="H3814">
        <v>0.199119870027822</v>
      </c>
      <c r="I3814">
        <v>0.18895649740095799</v>
      </c>
      <c r="J3814">
        <v>0.25601425051876803</v>
      </c>
      <c r="K3814">
        <v>0.34853087920412901</v>
      </c>
      <c r="L3814">
        <v>762.76407198030199</v>
      </c>
      <c r="M3814">
        <v>14.660756369909301</v>
      </c>
      <c r="N3814">
        <v>54.003765539782101</v>
      </c>
      <c r="O3814">
        <v>51.088369205202</v>
      </c>
      <c r="P3814">
        <v>-5.6854853741513903E-2</v>
      </c>
      <c r="Q3814">
        <v>0.20759863315999</v>
      </c>
      <c r="R3814">
        <v>0.86044690996043605</v>
      </c>
      <c r="S3814" t="s">
        <v>10266</v>
      </c>
      <c r="T3814" t="s">
        <v>12902</v>
      </c>
      <c r="U3814" t="s">
        <v>12902</v>
      </c>
      <c r="V3814" t="s">
        <v>12902</v>
      </c>
      <c r="W3814" t="s">
        <v>16671</v>
      </c>
      <c r="X3814">
        <v>1</v>
      </c>
      <c r="Y3814" t="s">
        <v>22985</v>
      </c>
      <c r="Z3814" t="s">
        <v>29389</v>
      </c>
      <c r="AA3814">
        <v>0.54360970262978681</v>
      </c>
      <c r="AB3814" t="str">
        <f>HYPERLINK("Melting_Curves/meltCurve_Q5TA31_RNF187.pdf", "Melting_Curves/meltCurve_Q5TA31_RNF187.pdf")</f>
        <v>Melting_Curves/meltCurve_Q5TA31_RNF187.pdf</v>
      </c>
    </row>
    <row r="3815" spans="1:28" x14ac:dyDescent="0.25">
      <c r="A3815" t="s">
        <v>3819</v>
      </c>
      <c r="B3815">
        <v>0.99673306730245903</v>
      </c>
      <c r="C3815">
        <v>0.92859704482284899</v>
      </c>
      <c r="D3815">
        <v>0.91347134752404202</v>
      </c>
      <c r="E3815">
        <v>1.0306071043271201</v>
      </c>
      <c r="F3815">
        <v>0.92904023758860899</v>
      </c>
      <c r="G3815">
        <v>0.25999507681926498</v>
      </c>
      <c r="H3815">
        <v>0.141577087259455</v>
      </c>
      <c r="I3815">
        <v>0.144278218374401</v>
      </c>
      <c r="J3815">
        <v>0.14786580703744301</v>
      </c>
      <c r="K3815">
        <v>0.143232467460049</v>
      </c>
      <c r="L3815">
        <v>3583.9796861590798</v>
      </c>
      <c r="M3815">
        <v>64.952986933080496</v>
      </c>
      <c r="N3815">
        <v>55.467546995032997</v>
      </c>
      <c r="O3815">
        <v>55.125818938412401</v>
      </c>
      <c r="P3815">
        <v>-0.25222114314416999</v>
      </c>
      <c r="Q3815">
        <v>0.14375641869712799</v>
      </c>
      <c r="R3815">
        <v>0.99144655733660902</v>
      </c>
      <c r="S3815" t="s">
        <v>10267</v>
      </c>
      <c r="T3815" t="s">
        <v>12902</v>
      </c>
      <c r="U3815" t="s">
        <v>12902</v>
      </c>
      <c r="V3815" t="s">
        <v>12902</v>
      </c>
      <c r="W3815" t="s">
        <v>16672</v>
      </c>
      <c r="X3815">
        <v>4</v>
      </c>
      <c r="Y3815" t="s">
        <v>22986</v>
      </c>
      <c r="Z3815" t="s">
        <v>29390</v>
      </c>
      <c r="AA3815">
        <v>0.57819232380674057</v>
      </c>
      <c r="AB3815" t="str">
        <f>HYPERLINK("Melting_Curves/meltCurve_Q5TA45_3_CPSF3L.pdf", "Melting_Curves/meltCurve_Q5TA45_3_CPSF3L.pdf")</f>
        <v>Melting_Curves/meltCurve_Q5TA45_3_CPSF3L.pdf</v>
      </c>
    </row>
    <row r="3816" spans="1:28" x14ac:dyDescent="0.25">
      <c r="A3816" t="s">
        <v>3820</v>
      </c>
      <c r="B3816">
        <v>0.99673306730245903</v>
      </c>
      <c r="C3816">
        <v>0.862862815662504</v>
      </c>
      <c r="D3816">
        <v>0.70668653758851596</v>
      </c>
      <c r="E3816">
        <v>0.22148971902577899</v>
      </c>
      <c r="F3816">
        <v>0.15032656374869999</v>
      </c>
      <c r="G3816">
        <v>0.123885428754702</v>
      </c>
      <c r="H3816">
        <v>0.139496984565049</v>
      </c>
      <c r="I3816">
        <v>0.13765863789923299</v>
      </c>
      <c r="J3816">
        <v>0.10996610186664001</v>
      </c>
      <c r="K3816">
        <v>5.72923365223134E-2</v>
      </c>
      <c r="L3816">
        <v>1314.2849955260499</v>
      </c>
      <c r="M3816">
        <v>28.0731126283168</v>
      </c>
      <c r="N3816">
        <v>47.232661655831102</v>
      </c>
      <c r="O3816">
        <v>46.580877617707898</v>
      </c>
      <c r="P3816">
        <v>-0.134162352186914</v>
      </c>
      <c r="Q3816">
        <v>0.109561211274516</v>
      </c>
      <c r="R3816">
        <v>0.98830120261550702</v>
      </c>
      <c r="S3816" t="s">
        <v>10268</v>
      </c>
      <c r="T3816" t="s">
        <v>12902</v>
      </c>
      <c r="U3816" t="s">
        <v>12902</v>
      </c>
      <c r="V3816" t="s">
        <v>12902</v>
      </c>
      <c r="W3816" t="s">
        <v>16673</v>
      </c>
      <c r="X3816">
        <v>2</v>
      </c>
      <c r="Y3816" t="s">
        <v>22987</v>
      </c>
      <c r="Z3816" t="s">
        <v>29391</v>
      </c>
      <c r="AA3816">
        <v>0.31806322067840781</v>
      </c>
      <c r="AB3816" t="str">
        <f>HYPERLINK("Melting_Curves/meltCurve_Q5TA50_GLTPD1.pdf", "Melting_Curves/meltCurve_Q5TA50_GLTPD1.pdf")</f>
        <v>Melting_Curves/meltCurve_Q5TA50_GLTPD1.pdf</v>
      </c>
    </row>
    <row r="3817" spans="1:28" x14ac:dyDescent="0.25">
      <c r="A3817" t="s">
        <v>3821</v>
      </c>
      <c r="B3817">
        <v>0.99673306730245903</v>
      </c>
      <c r="C3817">
        <v>1.14016749028683</v>
      </c>
      <c r="D3817">
        <v>1.01713206079394</v>
      </c>
      <c r="E3817">
        <v>0.99544104523670696</v>
      </c>
      <c r="F3817">
        <v>1.0060657953741099</v>
      </c>
      <c r="G3817">
        <v>0.92469158399583096</v>
      </c>
      <c r="H3817">
        <v>0.28578066876290198</v>
      </c>
      <c r="I3817">
        <v>6.7200591708978102E-2</v>
      </c>
      <c r="J3817">
        <v>6.14452685830413E-2</v>
      </c>
      <c r="K3817">
        <v>5.3748223871808699E-2</v>
      </c>
      <c r="L3817">
        <v>3116.6061215069599</v>
      </c>
      <c r="M3817">
        <v>52.389321801813999</v>
      </c>
      <c r="N3817">
        <v>59.6158846287816</v>
      </c>
      <c r="O3817">
        <v>59.4028510779318</v>
      </c>
      <c r="P3817">
        <v>-0.20888084995237699</v>
      </c>
      <c r="Q3817">
        <v>5.2623044110944199E-2</v>
      </c>
      <c r="R3817">
        <v>0.98987590346343901</v>
      </c>
      <c r="S3817" t="s">
        <v>10269</v>
      </c>
      <c r="T3817" t="s">
        <v>12902</v>
      </c>
      <c r="U3817" t="s">
        <v>12902</v>
      </c>
      <c r="V3817" t="s">
        <v>12902</v>
      </c>
      <c r="W3817" t="s">
        <v>16674</v>
      </c>
      <c r="X3817">
        <v>5</v>
      </c>
      <c r="Y3817" t="s">
        <v>22988</v>
      </c>
      <c r="Z3817" t="s">
        <v>29392</v>
      </c>
      <c r="AA3817">
        <v>0.67032473375205071</v>
      </c>
      <c r="AB3817" t="str">
        <f>HYPERLINK("Melting_Curves/meltCurve_Q5TAX3_ZCCHC11.pdf", "Melting_Curves/meltCurve_Q5TAX3_ZCCHC11.pdf")</f>
        <v>Melting_Curves/meltCurve_Q5TAX3_ZCCHC11.pdf</v>
      </c>
    </row>
    <row r="3818" spans="1:28" x14ac:dyDescent="0.25">
      <c r="A3818" t="s">
        <v>3822</v>
      </c>
      <c r="B3818">
        <v>0.99673306730245903</v>
      </c>
      <c r="C3818">
        <v>0.86747137044470901</v>
      </c>
      <c r="D3818">
        <v>0.61851921947519095</v>
      </c>
      <c r="E3818">
        <v>0.52563057547215897</v>
      </c>
      <c r="F3818">
        <v>0.24901173312559999</v>
      </c>
      <c r="G3818">
        <v>0.17542748769282199</v>
      </c>
      <c r="H3818">
        <v>0.104395562027623</v>
      </c>
      <c r="I3818">
        <v>7.59203765823247E-2</v>
      </c>
      <c r="J3818">
        <v>5.9684479076417503E-2</v>
      </c>
      <c r="K3818">
        <v>6.9312771905736495E-2</v>
      </c>
      <c r="L3818">
        <v>631.09302315647699</v>
      </c>
      <c r="M3818">
        <v>12.977952826965099</v>
      </c>
      <c r="N3818">
        <v>48.945789335249302</v>
      </c>
      <c r="O3818">
        <v>47.516937175362898</v>
      </c>
      <c r="P3818">
        <v>-6.5534258638183199E-2</v>
      </c>
      <c r="Q3818">
        <v>4.0393008096791097E-2</v>
      </c>
      <c r="R3818">
        <v>0.98806743404541497</v>
      </c>
      <c r="S3818" t="s">
        <v>10270</v>
      </c>
      <c r="T3818" t="s">
        <v>12902</v>
      </c>
      <c r="U3818" t="s">
        <v>12902</v>
      </c>
      <c r="V3818" t="s">
        <v>12902</v>
      </c>
      <c r="W3818" t="s">
        <v>16675</v>
      </c>
      <c r="X3818">
        <v>5</v>
      </c>
      <c r="Y3818" t="s">
        <v>22989</v>
      </c>
      <c r="Z3818" t="s">
        <v>29393</v>
      </c>
      <c r="AA3818">
        <v>0.34782276014935898</v>
      </c>
      <c r="AB3818" t="str">
        <f>HYPERLINK("Melting_Curves/meltCurve_Q5TBA9_FRY.pdf", "Melting_Curves/meltCurve_Q5TBA9_FRY.pdf")</f>
        <v>Melting_Curves/meltCurve_Q5TBA9_FRY.pdf</v>
      </c>
    </row>
    <row r="3819" spans="1:28" x14ac:dyDescent="0.25">
      <c r="A3819" t="s">
        <v>3823</v>
      </c>
      <c r="B3819">
        <v>0.99673306730245903</v>
      </c>
      <c r="C3819">
        <v>1.3446003044088199</v>
      </c>
      <c r="D3819">
        <v>0.19188529373759899</v>
      </c>
      <c r="E3819">
        <v>0.378491449472179</v>
      </c>
      <c r="F3819">
        <v>0.16521395307147199</v>
      </c>
      <c r="G3819">
        <v>9.1498970759631898E-2</v>
      </c>
      <c r="H3819">
        <v>6.3974031719893798E-2</v>
      </c>
      <c r="I3819">
        <v>7.7588698664975198E-2</v>
      </c>
      <c r="J3819">
        <v>8.7563247654661197E-2</v>
      </c>
      <c r="K3819">
        <v>7.79028991035981E-2</v>
      </c>
      <c r="L3819">
        <v>11378.251226447001</v>
      </c>
      <c r="M3819">
        <v>250</v>
      </c>
      <c r="N3819">
        <v>45.570172981086003</v>
      </c>
      <c r="O3819">
        <v>45.510092577483903</v>
      </c>
      <c r="P3819">
        <v>-1.1884663790023899</v>
      </c>
      <c r="Q3819">
        <v>0.13460456591967701</v>
      </c>
      <c r="R3819">
        <v>0.89378705044881201</v>
      </c>
      <c r="S3819" t="s">
        <v>10271</v>
      </c>
      <c r="T3819" t="s">
        <v>12902</v>
      </c>
      <c r="U3819" t="s">
        <v>12902</v>
      </c>
      <c r="V3819" t="s">
        <v>12902</v>
      </c>
      <c r="W3819" t="s">
        <v>16676</v>
      </c>
      <c r="X3819">
        <v>7</v>
      </c>
      <c r="Y3819" t="s">
        <v>22990</v>
      </c>
      <c r="Z3819" t="s">
        <v>29394</v>
      </c>
      <c r="AA3819">
        <v>0.29370466483140378</v>
      </c>
      <c r="AB3819" t="str">
        <f>HYPERLINK("Melting_Curves/meltCurve_Q5TBB1_RNASEH2B.pdf", "Melting_Curves/meltCurve_Q5TBB1_RNASEH2B.pdf")</f>
        <v>Melting_Curves/meltCurve_Q5TBB1_RNASEH2B.pdf</v>
      </c>
    </row>
    <row r="3820" spans="1:28" x14ac:dyDescent="0.25">
      <c r="A3820" t="s">
        <v>3824</v>
      </c>
      <c r="B3820">
        <v>0.99673306730245903</v>
      </c>
      <c r="C3820">
        <v>0.93810613513891306</v>
      </c>
      <c r="D3820">
        <v>1.01115364654023</v>
      </c>
      <c r="E3820">
        <v>0.58564195818562803</v>
      </c>
      <c r="F3820">
        <v>0.31678334835189798</v>
      </c>
      <c r="G3820">
        <v>0.210374566518024</v>
      </c>
      <c r="H3820">
        <v>0.15187153928168201</v>
      </c>
      <c r="I3820">
        <v>0.15456182449756101</v>
      </c>
      <c r="J3820">
        <v>0.142772816841782</v>
      </c>
      <c r="K3820">
        <v>0.13495437482473599</v>
      </c>
      <c r="L3820">
        <v>1403.80109953392</v>
      </c>
      <c r="M3820">
        <v>28.0677988381725</v>
      </c>
      <c r="N3820">
        <v>50.678944745832801</v>
      </c>
      <c r="O3820">
        <v>49.7628313859909</v>
      </c>
      <c r="P3820">
        <v>-0.119306276174278</v>
      </c>
      <c r="Q3820">
        <v>0.153910465606583</v>
      </c>
      <c r="R3820">
        <v>0.99012765076725795</v>
      </c>
      <c r="S3820" t="s">
        <v>10272</v>
      </c>
      <c r="T3820" t="s">
        <v>12902</v>
      </c>
      <c r="U3820" t="s">
        <v>12902</v>
      </c>
      <c r="V3820" t="s">
        <v>12902</v>
      </c>
      <c r="W3820" t="s">
        <v>16677</v>
      </c>
      <c r="X3820">
        <v>4</v>
      </c>
      <c r="Y3820" t="s">
        <v>22991</v>
      </c>
      <c r="Z3820" t="s">
        <v>29395</v>
      </c>
      <c r="AA3820">
        <v>0.44234228769624978</v>
      </c>
      <c r="AB3820" t="str">
        <f>HYPERLINK("Melting_Curves/meltCurve_Q5TBP5_TAF4.pdf", "Melting_Curves/meltCurve_Q5TBP5_TAF4.pdf")</f>
        <v>Melting_Curves/meltCurve_Q5TBP5_TAF4.pdf</v>
      </c>
    </row>
    <row r="3821" spans="1:28" x14ac:dyDescent="0.25">
      <c r="A3821" t="s">
        <v>3825</v>
      </c>
      <c r="B3821">
        <v>0.99673306730245903</v>
      </c>
      <c r="C3821">
        <v>0.98447180851518701</v>
      </c>
      <c r="D3821">
        <v>0.91689575695527503</v>
      </c>
      <c r="E3821">
        <v>0.85489841908696695</v>
      </c>
      <c r="F3821">
        <v>0.38079034233933701</v>
      </c>
      <c r="G3821">
        <v>0.22384741000785699</v>
      </c>
      <c r="H3821">
        <v>0.17943212124850699</v>
      </c>
      <c r="I3821">
        <v>0.20671815861533099</v>
      </c>
      <c r="J3821">
        <v>0.21832853973153499</v>
      </c>
      <c r="K3821">
        <v>0.120394131257011</v>
      </c>
      <c r="L3821">
        <v>1811.1270486538999</v>
      </c>
      <c r="M3821">
        <v>35.108778431890102</v>
      </c>
      <c r="N3821">
        <v>52.256151823642</v>
      </c>
      <c r="O3821">
        <v>51.419657053610202</v>
      </c>
      <c r="P3821">
        <v>-0.13976131343446299</v>
      </c>
      <c r="Q3821">
        <v>0.18123568085496899</v>
      </c>
      <c r="R3821">
        <v>0.99097780393359702</v>
      </c>
      <c r="S3821" t="s">
        <v>10273</v>
      </c>
      <c r="T3821" t="s">
        <v>12902</v>
      </c>
      <c r="U3821" t="s">
        <v>12902</v>
      </c>
      <c r="V3821" t="s">
        <v>12902</v>
      </c>
      <c r="W3821" t="s">
        <v>16678</v>
      </c>
      <c r="X3821">
        <v>3</v>
      </c>
      <c r="Y3821" t="s">
        <v>22992</v>
      </c>
      <c r="Z3821" t="s">
        <v>29396</v>
      </c>
      <c r="AA3821">
        <v>0.50124077594009087</v>
      </c>
      <c r="AB3821" t="str">
        <f>HYPERLINK("Melting_Curves/meltCurve_Q5TD07_NQO2.pdf", "Melting_Curves/meltCurve_Q5TD07_NQO2.pdf")</f>
        <v>Melting_Curves/meltCurve_Q5TD07_NQO2.pdf</v>
      </c>
    </row>
    <row r="3822" spans="1:28" x14ac:dyDescent="0.25">
      <c r="A3822" t="s">
        <v>3826</v>
      </c>
      <c r="B3822">
        <v>0.99673306730245903</v>
      </c>
      <c r="C3822">
        <v>0.92534433113090697</v>
      </c>
      <c r="D3822">
        <v>0.88955773039837205</v>
      </c>
      <c r="E3822">
        <v>0.68897594117188099</v>
      </c>
      <c r="F3822">
        <v>0.56520189535886101</v>
      </c>
      <c r="G3822">
        <v>0.41331339714547799</v>
      </c>
      <c r="H3822">
        <v>0.23736355972040801</v>
      </c>
      <c r="I3822">
        <v>0.19681530833542599</v>
      </c>
      <c r="J3822">
        <v>0.15912017579250501</v>
      </c>
      <c r="K3822">
        <v>0.123619576899842</v>
      </c>
      <c r="L3822">
        <v>573.62821303957605</v>
      </c>
      <c r="M3822">
        <v>10.673003386680101</v>
      </c>
      <c r="N3822">
        <v>54.284378546978601</v>
      </c>
      <c r="O3822">
        <v>51.961964492649003</v>
      </c>
      <c r="P3822">
        <v>-4.87883968075941E-2</v>
      </c>
      <c r="Q3822">
        <v>5.0246460709661801E-2</v>
      </c>
      <c r="R3822">
        <v>0.99631128543584302</v>
      </c>
      <c r="S3822" t="s">
        <v>10274</v>
      </c>
      <c r="T3822" t="s">
        <v>12902</v>
      </c>
      <c r="U3822" t="s">
        <v>12902</v>
      </c>
      <c r="V3822" t="s">
        <v>12902</v>
      </c>
      <c r="W3822" t="s">
        <v>16679</v>
      </c>
      <c r="X3822">
        <v>2</v>
      </c>
      <c r="Y3822" t="s">
        <v>22993</v>
      </c>
      <c r="Z3822" t="s">
        <v>29397</v>
      </c>
      <c r="AA3822">
        <v>0.51363037532120448</v>
      </c>
      <c r="AB3822" t="str">
        <f>HYPERLINK("Melting_Curves/meltCurve_Q5TDC5_C6orf89.pdf", "Melting_Curves/meltCurve_Q5TDC5_C6orf89.pdf")</f>
        <v>Melting_Curves/meltCurve_Q5TDC5_C6orf89.pdf</v>
      </c>
    </row>
    <row r="3823" spans="1:28" x14ac:dyDescent="0.25">
      <c r="A3823" t="s">
        <v>3827</v>
      </c>
      <c r="B3823">
        <v>0.99673306730245903</v>
      </c>
      <c r="C3823">
        <v>0.83821668758025003</v>
      </c>
      <c r="D3823">
        <v>0.77350364173322905</v>
      </c>
      <c r="E3823">
        <v>0.60968277389006198</v>
      </c>
      <c r="F3823">
        <v>0.34765772631807601</v>
      </c>
      <c r="G3823">
        <v>0.22520142386704101</v>
      </c>
      <c r="H3823">
        <v>0.10778078166718399</v>
      </c>
      <c r="I3823">
        <v>0.119305861834881</v>
      </c>
      <c r="J3823">
        <v>0.171653278420481</v>
      </c>
      <c r="K3823">
        <v>0.130717127047943</v>
      </c>
      <c r="L3823">
        <v>677.23095763424396</v>
      </c>
      <c r="M3823">
        <v>13.6081540322014</v>
      </c>
      <c r="N3823">
        <v>50.5434401769106</v>
      </c>
      <c r="O3823">
        <v>48.7287410220761</v>
      </c>
      <c r="P3823">
        <v>-6.3236702022978999E-2</v>
      </c>
      <c r="Q3823">
        <v>9.4369616917537702E-2</v>
      </c>
      <c r="R3823">
        <v>0.98544246153213899</v>
      </c>
      <c r="S3823" t="s">
        <v>10275</v>
      </c>
      <c r="T3823" t="s">
        <v>12902</v>
      </c>
      <c r="U3823" t="s">
        <v>12902</v>
      </c>
      <c r="V3823" t="s">
        <v>12902</v>
      </c>
      <c r="W3823" t="s">
        <v>16680</v>
      </c>
      <c r="X3823">
        <v>4</v>
      </c>
      <c r="Y3823" t="s">
        <v>22994</v>
      </c>
      <c r="Z3823" t="s">
        <v>29398</v>
      </c>
      <c r="AA3823">
        <v>0.41501935027946318</v>
      </c>
      <c r="AB3823" t="str">
        <f>HYPERLINK("Melting_Curves/meltCurve_Q5TDG9_DNAJC16.pdf", "Melting_Curves/meltCurve_Q5TDG9_DNAJC16.pdf")</f>
        <v>Melting_Curves/meltCurve_Q5TDG9_DNAJC16.pdf</v>
      </c>
    </row>
    <row r="3824" spans="1:28" x14ac:dyDescent="0.25">
      <c r="A3824" t="s">
        <v>3828</v>
      </c>
      <c r="B3824">
        <v>0.99673306730245903</v>
      </c>
      <c r="C3824">
        <v>0.99424992090453701</v>
      </c>
      <c r="D3824">
        <v>0.87663297489914205</v>
      </c>
      <c r="E3824">
        <v>0.64471324751972703</v>
      </c>
      <c r="F3824">
        <v>0.26832067554637301</v>
      </c>
      <c r="G3824">
        <v>0.14987534322484999</v>
      </c>
      <c r="H3824">
        <v>9.0783077079880301E-2</v>
      </c>
      <c r="I3824">
        <v>7.3695668479423701E-2</v>
      </c>
      <c r="J3824">
        <v>6.5443148368034304E-2</v>
      </c>
      <c r="K3824">
        <v>5.54761028330195E-2</v>
      </c>
      <c r="L3824">
        <v>1113.6586225394101</v>
      </c>
      <c r="M3824">
        <v>22.059520519622101</v>
      </c>
      <c r="N3824">
        <v>50.791280410532998</v>
      </c>
      <c r="O3824">
        <v>50.074883700883497</v>
      </c>
      <c r="P3824">
        <v>-0.103260722288954</v>
      </c>
      <c r="Q3824">
        <v>6.2417639383737497E-2</v>
      </c>
      <c r="R3824">
        <v>0.99854254190811698</v>
      </c>
      <c r="S3824" t="s">
        <v>10276</v>
      </c>
      <c r="T3824" t="s">
        <v>12902</v>
      </c>
      <c r="U3824" t="s">
        <v>12902</v>
      </c>
      <c r="V3824" t="s">
        <v>12902</v>
      </c>
      <c r="W3824" t="s">
        <v>16681</v>
      </c>
      <c r="X3824">
        <v>19</v>
      </c>
      <c r="Y3824" t="s">
        <v>22995</v>
      </c>
      <c r="Z3824" t="s">
        <v>29399</v>
      </c>
      <c r="AA3824">
        <v>0.40086117539898269</v>
      </c>
      <c r="AB3824" t="str">
        <f>HYPERLINK("Melting_Curves/meltCurve_Q5TDH0_DDI2.pdf", "Melting_Curves/meltCurve_Q5TDH0_DDI2.pdf")</f>
        <v>Melting_Curves/meltCurve_Q5TDH0_DDI2.pdf</v>
      </c>
    </row>
    <row r="3825" spans="1:28" x14ac:dyDescent="0.25">
      <c r="A3825" t="s">
        <v>3829</v>
      </c>
      <c r="B3825">
        <v>0.99673306730245903</v>
      </c>
      <c r="C3825">
        <v>1.00945117547134</v>
      </c>
      <c r="D3825">
        <v>0.95147457603182595</v>
      </c>
      <c r="E3825">
        <v>0.92972234002037202</v>
      </c>
      <c r="F3825">
        <v>0.68385502501220796</v>
      </c>
      <c r="G3825">
        <v>0.33281884715413301</v>
      </c>
      <c r="H3825">
        <v>0.14042557218801699</v>
      </c>
      <c r="I3825">
        <v>0.132031747262574</v>
      </c>
      <c r="J3825">
        <v>0.120421387137088</v>
      </c>
      <c r="K3825">
        <v>0.11479015257573</v>
      </c>
      <c r="L3825">
        <v>1420.2371011497801</v>
      </c>
      <c r="M3825">
        <v>26.1158621359812</v>
      </c>
      <c r="N3825">
        <v>54.8949834357241</v>
      </c>
      <c r="O3825">
        <v>54.066325094491901</v>
      </c>
      <c r="P3825">
        <v>-0.107688274722787</v>
      </c>
      <c r="Q3825">
        <v>0.108244398104963</v>
      </c>
      <c r="R3825">
        <v>0.99841517438600502</v>
      </c>
      <c r="S3825" t="s">
        <v>10277</v>
      </c>
      <c r="T3825" t="s">
        <v>12902</v>
      </c>
      <c r="U3825" t="s">
        <v>12902</v>
      </c>
      <c r="V3825" t="s">
        <v>12902</v>
      </c>
      <c r="W3825" t="s">
        <v>16682</v>
      </c>
      <c r="X3825">
        <v>3</v>
      </c>
      <c r="Y3825" t="s">
        <v>22996</v>
      </c>
      <c r="Z3825" t="s">
        <v>29400</v>
      </c>
      <c r="AA3825">
        <v>0.5433856684586067</v>
      </c>
      <c r="AB3825" t="str">
        <f>HYPERLINK("Melting_Curves/meltCurve_Q5TEU4_2_NDUFAF5.pdf", "Melting_Curves/meltCurve_Q5TEU4_2_NDUFAF5.pdf")</f>
        <v>Melting_Curves/meltCurve_Q5TEU4_2_NDUFAF5.pdf</v>
      </c>
    </row>
    <row r="3826" spans="1:28" x14ac:dyDescent="0.25">
      <c r="A3826" t="s">
        <v>3830</v>
      </c>
      <c r="B3826">
        <v>0.99673306730245903</v>
      </c>
      <c r="C3826">
        <v>1.0232052960056699</v>
      </c>
      <c r="D3826">
        <v>1.0112596101351801</v>
      </c>
      <c r="E3826">
        <v>0.98029788629258996</v>
      </c>
      <c r="F3826">
        <v>0.79490262474948303</v>
      </c>
      <c r="G3826">
        <v>0.53919851484333603</v>
      </c>
      <c r="H3826">
        <v>0.20401019538769799</v>
      </c>
      <c r="I3826">
        <v>0.16136803389589799</v>
      </c>
      <c r="J3826">
        <v>0.14997758838369299</v>
      </c>
      <c r="K3826">
        <v>0.120379787483055</v>
      </c>
      <c r="L3826">
        <v>1361.07373187402</v>
      </c>
      <c r="M3826">
        <v>24.190506694673399</v>
      </c>
      <c r="N3826">
        <v>56.875778710523498</v>
      </c>
      <c r="O3826">
        <v>55.8845268741862</v>
      </c>
      <c r="P3826">
        <v>-9.5835390101664003E-2</v>
      </c>
      <c r="Q3826">
        <v>0.114424131944242</v>
      </c>
      <c r="R3826">
        <v>0.99697369773764699</v>
      </c>
      <c r="S3826" t="s">
        <v>10278</v>
      </c>
      <c r="T3826" t="s">
        <v>12902</v>
      </c>
      <c r="U3826" t="s">
        <v>12902</v>
      </c>
      <c r="V3826" t="s">
        <v>12902</v>
      </c>
      <c r="W3826" t="s">
        <v>16683</v>
      </c>
      <c r="X3826">
        <v>15</v>
      </c>
      <c r="Y3826" t="s">
        <v>22997</v>
      </c>
      <c r="Z3826" t="s">
        <v>29401</v>
      </c>
      <c r="AA3826">
        <v>0.60308835997811971</v>
      </c>
      <c r="AB3826" t="str">
        <f>HYPERLINK("Melting_Curves/meltCurve_Q5TFE4_NT5DC1.pdf", "Melting_Curves/meltCurve_Q5TFE4_NT5DC1.pdf")</f>
        <v>Melting_Curves/meltCurve_Q5TFE4_NT5DC1.pdf</v>
      </c>
    </row>
    <row r="3827" spans="1:28" x14ac:dyDescent="0.25">
      <c r="A3827" t="s">
        <v>3831</v>
      </c>
      <c r="B3827">
        <v>0.99673306730245903</v>
      </c>
      <c r="C3827">
        <v>0.96483878269009005</v>
      </c>
      <c r="D3827">
        <v>0.80874435420088797</v>
      </c>
      <c r="E3827">
        <v>0.50355569814497503</v>
      </c>
      <c r="F3827">
        <v>0.22100843133276199</v>
      </c>
      <c r="G3827">
        <v>0.118978498295102</v>
      </c>
      <c r="H3827">
        <v>9.0835059530823201E-2</v>
      </c>
      <c r="I3827">
        <v>9.4478259386958904E-2</v>
      </c>
      <c r="J3827">
        <v>0.110839143663092</v>
      </c>
      <c r="K3827">
        <v>9.9332284217139299E-2</v>
      </c>
      <c r="L3827">
        <v>1070.20330011084</v>
      </c>
      <c r="M3827">
        <v>21.832427428550101</v>
      </c>
      <c r="N3827">
        <v>49.4679292509961</v>
      </c>
      <c r="O3827">
        <v>48.613284709775201</v>
      </c>
      <c r="P3827">
        <v>-0.10218779459834799</v>
      </c>
      <c r="Q3827">
        <v>8.9873100831259198E-2</v>
      </c>
      <c r="R3827">
        <v>0.99896898405053303</v>
      </c>
      <c r="S3827" t="s">
        <v>10279</v>
      </c>
      <c r="T3827" t="s">
        <v>12902</v>
      </c>
      <c r="U3827" t="s">
        <v>12902</v>
      </c>
      <c r="V3827" t="s">
        <v>12902</v>
      </c>
      <c r="W3827" t="s">
        <v>16684</v>
      </c>
      <c r="X3827">
        <v>4</v>
      </c>
      <c r="Y3827" t="s">
        <v>22998</v>
      </c>
      <c r="Z3827" t="s">
        <v>29402</v>
      </c>
      <c r="AA3827">
        <v>0.37414461734256471</v>
      </c>
      <c r="AB3827" t="str">
        <f>HYPERLINK("Melting_Curves/meltCurve_Q5TH58_C6orf106.pdf", "Melting_Curves/meltCurve_Q5TH58_C6orf106.pdf")</f>
        <v>Melting_Curves/meltCurve_Q5TH58_C6orf106.pdf</v>
      </c>
    </row>
    <row r="3828" spans="1:28" x14ac:dyDescent="0.25">
      <c r="A3828" t="s">
        <v>3832</v>
      </c>
      <c r="B3828">
        <v>0.99673306730245903</v>
      </c>
      <c r="C3828">
        <v>0.91580845414454204</v>
      </c>
      <c r="D3828">
        <v>0.88089053985532095</v>
      </c>
      <c r="E3828">
        <v>0.62781272205990202</v>
      </c>
      <c r="F3828">
        <v>0.25591495073508602</v>
      </c>
      <c r="G3828">
        <v>0.158844680316376</v>
      </c>
      <c r="H3828">
        <v>0.102177969050321</v>
      </c>
      <c r="I3828">
        <v>8.8990619680537106E-2</v>
      </c>
      <c r="J3828">
        <v>9.5868991049522706E-2</v>
      </c>
      <c r="K3828">
        <v>8.2491837798132794E-2</v>
      </c>
      <c r="L3828">
        <v>1094.5230428224099</v>
      </c>
      <c r="M3828">
        <v>21.816085512088801</v>
      </c>
      <c r="N3828">
        <v>50.588984577762503</v>
      </c>
      <c r="O3828">
        <v>49.754619751198398</v>
      </c>
      <c r="P3828">
        <v>-0.100569819719123</v>
      </c>
      <c r="Q3828">
        <v>8.2567273862887106E-2</v>
      </c>
      <c r="R3828">
        <v>0.99559465231463395</v>
      </c>
      <c r="S3828" t="s">
        <v>10280</v>
      </c>
      <c r="T3828" t="s">
        <v>12902</v>
      </c>
      <c r="U3828" t="s">
        <v>12902</v>
      </c>
      <c r="V3828" t="s">
        <v>12902</v>
      </c>
      <c r="W3828" t="s">
        <v>16685</v>
      </c>
      <c r="X3828">
        <v>12</v>
      </c>
      <c r="Y3828" t="s">
        <v>22999</v>
      </c>
      <c r="Z3828" t="s">
        <v>29403</v>
      </c>
      <c r="AA3828">
        <v>0.40436089995563068</v>
      </c>
      <c r="AB3828" t="str">
        <f>HYPERLINK("Melting_Curves/meltCurve_Q5TH69_ARFGEF3.pdf", "Melting_Curves/meltCurve_Q5TH69_ARFGEF3.pdf")</f>
        <v>Melting_Curves/meltCurve_Q5TH69_ARFGEF3.pdf</v>
      </c>
    </row>
    <row r="3829" spans="1:28" x14ac:dyDescent="0.25">
      <c r="A3829" t="s">
        <v>3833</v>
      </c>
      <c r="B3829">
        <v>0.99673306730245903</v>
      </c>
      <c r="C3829">
        <v>0.98409618679631705</v>
      </c>
      <c r="D3829">
        <v>0.92255753494492998</v>
      </c>
      <c r="E3829">
        <v>0.85259666733238404</v>
      </c>
      <c r="F3829">
        <v>0.51985384826855896</v>
      </c>
      <c r="G3829">
        <v>0.33555719082904001</v>
      </c>
      <c r="H3829">
        <v>0.204645004768124</v>
      </c>
      <c r="I3829">
        <v>0.20607237639238901</v>
      </c>
      <c r="J3829">
        <v>0.30353441326108099</v>
      </c>
      <c r="K3829">
        <v>0.32066241290381697</v>
      </c>
      <c r="L3829">
        <v>1407.34057705125</v>
      </c>
      <c r="M3829">
        <v>27.0644583476153</v>
      </c>
      <c r="N3829">
        <v>53.419966303689797</v>
      </c>
      <c r="O3829">
        <v>51.718179665826597</v>
      </c>
      <c r="P3829">
        <v>-9.7266383365451306E-2</v>
      </c>
      <c r="Q3829">
        <v>0.25653182259065199</v>
      </c>
      <c r="R3829">
        <v>0.983133128486126</v>
      </c>
      <c r="S3829" t="s">
        <v>10281</v>
      </c>
      <c r="T3829" t="s">
        <v>12902</v>
      </c>
      <c r="U3829" t="s">
        <v>12902</v>
      </c>
      <c r="V3829" t="s">
        <v>12902</v>
      </c>
      <c r="W3829" t="s">
        <v>16686</v>
      </c>
      <c r="X3829">
        <v>4</v>
      </c>
      <c r="Y3829" t="s">
        <v>23000</v>
      </c>
      <c r="Z3829" t="s">
        <v>29404</v>
      </c>
      <c r="AA3829">
        <v>0.55972729950694322</v>
      </c>
      <c r="AB3829" t="str">
        <f>HYPERLINK("Melting_Curves/meltCurve_Q5THJ1_PRDM2.pdf", "Melting_Curves/meltCurve_Q5THJ1_PRDM2.pdf")</f>
        <v>Melting_Curves/meltCurve_Q5THJ1_PRDM2.pdf</v>
      </c>
    </row>
    <row r="3830" spans="1:28" x14ac:dyDescent="0.25">
      <c r="A3830" t="s">
        <v>3834</v>
      </c>
      <c r="B3830">
        <v>0.99673306730245903</v>
      </c>
      <c r="C3830">
        <v>0.86658349346740104</v>
      </c>
      <c r="D3830">
        <v>0.74950916598513695</v>
      </c>
      <c r="E3830">
        <v>0.59936400996559203</v>
      </c>
      <c r="F3830">
        <v>0.48651321860448898</v>
      </c>
      <c r="G3830">
        <v>0.35992722788350601</v>
      </c>
      <c r="H3830">
        <v>0.28920323861465602</v>
      </c>
      <c r="I3830">
        <v>0.38626199086172702</v>
      </c>
      <c r="J3830">
        <v>0.60380795763810802</v>
      </c>
      <c r="K3830">
        <v>0.63714692239646498</v>
      </c>
      <c r="L3830">
        <v>942.92891856617496</v>
      </c>
      <c r="M3830">
        <v>20.424677860430801</v>
      </c>
      <c r="N3830">
        <v>52.468185158753599</v>
      </c>
      <c r="O3830">
        <v>45.730439778486399</v>
      </c>
      <c r="P3830">
        <v>-6.0632935429853999E-2</v>
      </c>
      <c r="Q3830">
        <v>0.456992586153254</v>
      </c>
      <c r="R3830">
        <v>0.77752818332345297</v>
      </c>
      <c r="S3830" t="s">
        <v>10282</v>
      </c>
      <c r="T3830" t="s">
        <v>12902</v>
      </c>
      <c r="U3830" t="s">
        <v>12902</v>
      </c>
      <c r="V3830" t="s">
        <v>12902</v>
      </c>
      <c r="W3830" t="s">
        <v>16687</v>
      </c>
      <c r="X3830">
        <v>2</v>
      </c>
      <c r="Y3830" t="s">
        <v>23001</v>
      </c>
      <c r="Z3830" t="s">
        <v>29405</v>
      </c>
      <c r="AA3830">
        <v>0.57651348940637281</v>
      </c>
      <c r="AB3830" t="str">
        <f>HYPERLINK("Melting_Curves/meltCurve_Q5THK1_3_PRR14L.pdf", "Melting_Curves/meltCurve_Q5THK1_3_PRR14L.pdf")</f>
        <v>Melting_Curves/meltCurve_Q5THK1_3_PRR14L.pdf</v>
      </c>
    </row>
    <row r="3831" spans="1:28" x14ac:dyDescent="0.25">
      <c r="A3831" t="s">
        <v>3835</v>
      </c>
      <c r="B3831">
        <v>0.99673306730245903</v>
      </c>
      <c r="C3831">
        <v>0.95622795611678801</v>
      </c>
      <c r="D3831">
        <v>0.96806826539151702</v>
      </c>
      <c r="E3831">
        <v>0.85311297845652301</v>
      </c>
      <c r="F3831">
        <v>0.69519982725240503</v>
      </c>
      <c r="G3831">
        <v>0.40359675460236</v>
      </c>
      <c r="H3831">
        <v>0.22952284090682701</v>
      </c>
      <c r="I3831">
        <v>0.226632207105082</v>
      </c>
      <c r="J3831">
        <v>0.20937074660146901</v>
      </c>
      <c r="K3831">
        <v>0.20287444397665899</v>
      </c>
      <c r="L3831">
        <v>1080.5790558072999</v>
      </c>
      <c r="M3831">
        <v>19.971380525632</v>
      </c>
      <c r="N3831">
        <v>55.370865142959303</v>
      </c>
      <c r="O3831">
        <v>53.572660595586498</v>
      </c>
      <c r="P3831">
        <v>-7.6134023626751895E-2</v>
      </c>
      <c r="Q3831">
        <v>0.183117326748686</v>
      </c>
      <c r="R3831">
        <v>0.99508349500747995</v>
      </c>
      <c r="S3831" t="s">
        <v>10283</v>
      </c>
      <c r="T3831" t="s">
        <v>12902</v>
      </c>
      <c r="U3831" t="s">
        <v>12902</v>
      </c>
      <c r="V3831" t="s">
        <v>12902</v>
      </c>
      <c r="W3831" t="s">
        <v>16688</v>
      </c>
      <c r="X3831">
        <v>1</v>
      </c>
      <c r="Y3831" t="s">
        <v>23002</v>
      </c>
      <c r="Z3831" t="s">
        <v>29406</v>
      </c>
      <c r="AA3831">
        <v>0.57833474552594832</v>
      </c>
      <c r="AB3831" t="str">
        <f>HYPERLINK("Melting_Curves/meltCurve_Q5TI78_METTL18.pdf", "Melting_Curves/meltCurve_Q5TI78_METTL18.pdf")</f>
        <v>Melting_Curves/meltCurve_Q5TI78_METTL18.pdf</v>
      </c>
    </row>
    <row r="3832" spans="1:28" x14ac:dyDescent="0.25">
      <c r="A3832" t="s">
        <v>3836</v>
      </c>
      <c r="B3832">
        <v>0.99673306730245903</v>
      </c>
      <c r="C3832">
        <v>1.00371973144962</v>
      </c>
      <c r="D3832">
        <v>0.97171909998677697</v>
      </c>
      <c r="E3832">
        <v>0.87321897106124802</v>
      </c>
      <c r="F3832">
        <v>0.88787940610979998</v>
      </c>
      <c r="G3832">
        <v>0.71746915473224304</v>
      </c>
      <c r="H3832">
        <v>0.54217618384964195</v>
      </c>
      <c r="I3832">
        <v>0.448645970159465</v>
      </c>
      <c r="J3832">
        <v>0.25982699732583098</v>
      </c>
      <c r="K3832">
        <v>0.19969474367085099</v>
      </c>
      <c r="L3832">
        <v>684.58605318018499</v>
      </c>
      <c r="M3832">
        <v>11.0851117079331</v>
      </c>
      <c r="N3832">
        <v>61.757253464239</v>
      </c>
      <c r="O3832">
        <v>59.8496005869237</v>
      </c>
      <c r="P3832">
        <v>-4.6319200722239703E-2</v>
      </c>
      <c r="Q3832">
        <v>0</v>
      </c>
      <c r="R3832">
        <v>0.98980030668168695</v>
      </c>
      <c r="S3832" t="s">
        <v>10284</v>
      </c>
      <c r="T3832" t="s">
        <v>12902</v>
      </c>
      <c r="U3832" t="s">
        <v>12902</v>
      </c>
      <c r="V3832" t="s">
        <v>12902</v>
      </c>
      <c r="W3832" t="s">
        <v>16689</v>
      </c>
      <c r="X3832">
        <v>2</v>
      </c>
      <c r="Y3832" t="s">
        <v>23003</v>
      </c>
      <c r="Z3832" t="s">
        <v>29407</v>
      </c>
      <c r="AA3832">
        <v>0.71198007249501749</v>
      </c>
      <c r="AB3832" t="str">
        <f>HYPERLINK("Melting_Curves/meltCurve_Q5TIE1_SLC19A2.pdf", "Melting_Curves/meltCurve_Q5TIE1_SLC19A2.pdf")</f>
        <v>Melting_Curves/meltCurve_Q5TIE1_SLC19A2.pdf</v>
      </c>
    </row>
    <row r="3833" spans="1:28" x14ac:dyDescent="0.25">
      <c r="A3833" t="s">
        <v>3837</v>
      </c>
      <c r="B3833">
        <v>0.99673306730245903</v>
      </c>
      <c r="C3833">
        <v>1.06240254826993</v>
      </c>
      <c r="D3833">
        <v>0.98394391589616903</v>
      </c>
      <c r="E3833">
        <v>0.85793583144798602</v>
      </c>
      <c r="F3833">
        <v>0.332880687893785</v>
      </c>
      <c r="G3833">
        <v>0.23502109079533001</v>
      </c>
      <c r="H3833">
        <v>0.118783801818573</v>
      </c>
      <c r="I3833">
        <v>0.105153329313681</v>
      </c>
      <c r="J3833">
        <v>0.109230664552041</v>
      </c>
      <c r="K3833">
        <v>9.6261725323456296E-2</v>
      </c>
      <c r="L3833">
        <v>1820.54388075358</v>
      </c>
      <c r="M3833">
        <v>35.196677238150002</v>
      </c>
      <c r="N3833">
        <v>52.132627273874803</v>
      </c>
      <c r="O3833">
        <v>51.558757851573297</v>
      </c>
      <c r="P3833">
        <v>-0.150128698240338</v>
      </c>
      <c r="Q3833">
        <v>0.120323504810222</v>
      </c>
      <c r="R3833">
        <v>0.99251983893982998</v>
      </c>
      <c r="S3833" t="s">
        <v>10285</v>
      </c>
      <c r="T3833" t="s">
        <v>12902</v>
      </c>
      <c r="U3833" t="s">
        <v>12902</v>
      </c>
      <c r="V3833" t="s">
        <v>12902</v>
      </c>
      <c r="W3833" t="s">
        <v>16690</v>
      </c>
      <c r="X3833">
        <v>7</v>
      </c>
      <c r="Y3833" t="s">
        <v>23004</v>
      </c>
      <c r="Z3833" t="s">
        <v>29408</v>
      </c>
      <c r="AA3833">
        <v>0.46819290357307602</v>
      </c>
      <c r="AB3833" t="str">
        <f>HYPERLINK("Melting_Curves/meltCurve_Q5TZA2_CROCC.pdf", "Melting_Curves/meltCurve_Q5TZA2_CROCC.pdf")</f>
        <v>Melting_Curves/meltCurve_Q5TZA2_CROCC.pdf</v>
      </c>
    </row>
    <row r="3834" spans="1:28" x14ac:dyDescent="0.25">
      <c r="A3834" t="s">
        <v>3838</v>
      </c>
      <c r="B3834">
        <v>0.99673306730245903</v>
      </c>
      <c r="C3834">
        <v>1.0692424838285799</v>
      </c>
      <c r="D3834">
        <v>1.0083714570429301</v>
      </c>
      <c r="E3834">
        <v>0.92073951676877497</v>
      </c>
      <c r="F3834">
        <v>0.41879955586890499</v>
      </c>
      <c r="G3834">
        <v>0.179970687835735</v>
      </c>
      <c r="H3834">
        <v>8.6023304384750698E-2</v>
      </c>
      <c r="I3834">
        <v>7.7253513666550103E-2</v>
      </c>
      <c r="J3834">
        <v>0.110967639575611</v>
      </c>
      <c r="K3834">
        <v>0.120774028458767</v>
      </c>
      <c r="L3834">
        <v>2024.6335814496399</v>
      </c>
      <c r="M3834">
        <v>38.619985504923797</v>
      </c>
      <c r="N3834">
        <v>52.742385094431597</v>
      </c>
      <c r="O3834">
        <v>52.284533522072202</v>
      </c>
      <c r="P3834">
        <v>-0.16548944577855801</v>
      </c>
      <c r="Q3834">
        <v>0.103830015605905</v>
      </c>
      <c r="R3834">
        <v>0.99555171462247904</v>
      </c>
      <c r="S3834" t="s">
        <v>10286</v>
      </c>
      <c r="T3834" t="s">
        <v>12902</v>
      </c>
      <c r="U3834" t="s">
        <v>12902</v>
      </c>
      <c r="V3834" t="s">
        <v>12902</v>
      </c>
      <c r="W3834" t="s">
        <v>16691</v>
      </c>
      <c r="X3834">
        <v>6</v>
      </c>
      <c r="Y3834" t="s">
        <v>23005</v>
      </c>
      <c r="Z3834" t="s">
        <v>29409</v>
      </c>
      <c r="AA3834">
        <v>0.47846126137742961</v>
      </c>
      <c r="AB3834" t="str">
        <f>HYPERLINK("Melting_Curves/meltCurve_Q5U5X0_LYRM7.pdf", "Melting_Curves/meltCurve_Q5U5X0_LYRM7.pdf")</f>
        <v>Melting_Curves/meltCurve_Q5U5X0_LYRM7.pdf</v>
      </c>
    </row>
    <row r="3835" spans="1:28" x14ac:dyDescent="0.25">
      <c r="A3835" t="s">
        <v>3839</v>
      </c>
      <c r="B3835">
        <v>0.99673306730245903</v>
      </c>
      <c r="C3835">
        <v>1.09168473270955</v>
      </c>
      <c r="D3835">
        <v>0.94128532412929999</v>
      </c>
      <c r="E3835">
        <v>0.68810564043732603</v>
      </c>
      <c r="F3835">
        <v>0.64102260067156802</v>
      </c>
      <c r="G3835">
        <v>0.43507906725567203</v>
      </c>
      <c r="H3835">
        <v>0.23909054665850701</v>
      </c>
      <c r="I3835">
        <v>0.251417616940457</v>
      </c>
      <c r="J3835">
        <v>0.23239733651967201</v>
      </c>
      <c r="K3835">
        <v>0.153535114923921</v>
      </c>
      <c r="L3835">
        <v>736.59102819803502</v>
      </c>
      <c r="M3835">
        <v>13.7670084917763</v>
      </c>
      <c r="N3835">
        <v>54.935353008199698</v>
      </c>
      <c r="O3835">
        <v>52.413059981564601</v>
      </c>
      <c r="P3835">
        <v>-5.5777797310051301E-2</v>
      </c>
      <c r="Q3835">
        <v>0.15070237902817701</v>
      </c>
      <c r="R3835">
        <v>0.97196262206931405</v>
      </c>
      <c r="S3835" t="s">
        <v>10287</v>
      </c>
      <c r="T3835" t="s">
        <v>12902</v>
      </c>
      <c r="U3835" t="s">
        <v>12902</v>
      </c>
      <c r="V3835" t="s">
        <v>12902</v>
      </c>
      <c r="W3835" t="s">
        <v>16692</v>
      </c>
      <c r="X3835">
        <v>1</v>
      </c>
      <c r="Y3835" t="s">
        <v>23006</v>
      </c>
      <c r="Z3835" t="s">
        <v>29410</v>
      </c>
      <c r="AA3835">
        <v>0.5529114314983542</v>
      </c>
      <c r="AB3835" t="str">
        <f>HYPERLINK("Melting_Curves/meltCurve_Q5U649_C12orf60.pdf", "Melting_Curves/meltCurve_Q5U649_C12orf60.pdf")</f>
        <v>Melting_Curves/meltCurve_Q5U649_C12orf60.pdf</v>
      </c>
    </row>
    <row r="3836" spans="1:28" x14ac:dyDescent="0.25">
      <c r="A3836" t="s">
        <v>3840</v>
      </c>
      <c r="B3836">
        <v>0.99673306730245903</v>
      </c>
      <c r="C3836">
        <v>0.84847067521933395</v>
      </c>
      <c r="D3836">
        <v>0.47204419975932199</v>
      </c>
      <c r="E3836">
        <v>0.25923398780095502</v>
      </c>
      <c r="F3836">
        <v>0.17983304182495499</v>
      </c>
      <c r="G3836">
        <v>0.11919859971659801</v>
      </c>
      <c r="H3836">
        <v>9.1366736726762598E-2</v>
      </c>
      <c r="I3836">
        <v>0.10058271323553</v>
      </c>
      <c r="J3836">
        <v>0.12096965483163399</v>
      </c>
      <c r="K3836">
        <v>0.12044969766918</v>
      </c>
      <c r="L3836">
        <v>1072.51063652576</v>
      </c>
      <c r="M3836">
        <v>23.560381257331699</v>
      </c>
      <c r="N3836">
        <v>46.044234158982597</v>
      </c>
      <c r="O3836">
        <v>45.197641068237502</v>
      </c>
      <c r="P3836">
        <v>-0.11503549138422001</v>
      </c>
      <c r="Q3836">
        <v>0.117290276228251</v>
      </c>
      <c r="R3836">
        <v>0.99447667993928801</v>
      </c>
      <c r="S3836" t="s">
        <v>10288</v>
      </c>
      <c r="T3836" t="s">
        <v>12902</v>
      </c>
      <c r="U3836" t="s">
        <v>12902</v>
      </c>
      <c r="V3836" t="s">
        <v>12902</v>
      </c>
      <c r="W3836" t="s">
        <v>16693</v>
      </c>
      <c r="X3836">
        <v>19</v>
      </c>
      <c r="Y3836" t="s">
        <v>23007</v>
      </c>
      <c r="Z3836" t="s">
        <v>29411</v>
      </c>
      <c r="AA3836">
        <v>0.2894212274021935</v>
      </c>
      <c r="AB3836" t="str">
        <f>HYPERLINK("Melting_Curves/meltCurve_Q5UIP0_2_RIF1.pdf", "Melting_Curves/meltCurve_Q5UIP0_2_RIF1.pdf")</f>
        <v>Melting_Curves/meltCurve_Q5UIP0_2_RIF1.pdf</v>
      </c>
    </row>
    <row r="3837" spans="1:28" x14ac:dyDescent="0.25">
      <c r="A3837" t="s">
        <v>3841</v>
      </c>
      <c r="B3837">
        <v>0.99673306730245903</v>
      </c>
      <c r="C3837">
        <v>0.97019685726270999</v>
      </c>
      <c r="D3837">
        <v>0.86946536151359599</v>
      </c>
      <c r="E3837">
        <v>0.53478269360917097</v>
      </c>
      <c r="F3837">
        <v>0.41291342156906102</v>
      </c>
      <c r="G3837">
        <v>0.349879526003186</v>
      </c>
      <c r="H3837">
        <v>0.23332771056323201</v>
      </c>
      <c r="I3837">
        <v>0.148267604961033</v>
      </c>
      <c r="J3837">
        <v>0.19761539741366199</v>
      </c>
      <c r="K3837">
        <v>0.179447959841885</v>
      </c>
      <c r="L3837">
        <v>792.67830452729095</v>
      </c>
      <c r="M3837">
        <v>15.8987590125389</v>
      </c>
      <c r="N3837">
        <v>51.285293409809398</v>
      </c>
      <c r="O3837">
        <v>49.089086975416897</v>
      </c>
      <c r="P3837">
        <v>-6.6498027526612005E-2</v>
      </c>
      <c r="Q3837">
        <v>0.17878748015718601</v>
      </c>
      <c r="R3837">
        <v>0.98466583154579101</v>
      </c>
      <c r="S3837" t="s">
        <v>10289</v>
      </c>
      <c r="T3837" t="s">
        <v>12902</v>
      </c>
      <c r="U3837" t="s">
        <v>12902</v>
      </c>
      <c r="V3837" t="s">
        <v>12902</v>
      </c>
      <c r="W3837" t="s">
        <v>16694</v>
      </c>
      <c r="X3837">
        <v>6</v>
      </c>
      <c r="Y3837" t="s">
        <v>23008</v>
      </c>
      <c r="Z3837" t="s">
        <v>29412</v>
      </c>
      <c r="AA3837">
        <v>0.46634091523132443</v>
      </c>
      <c r="AB3837" t="str">
        <f>HYPERLINK("Melting_Curves/meltCurve_Q5VIR6_4_VPS53.pdf", "Melting_Curves/meltCurve_Q5VIR6_4_VPS53.pdf")</f>
        <v>Melting_Curves/meltCurve_Q5VIR6_4_VPS53.pdf</v>
      </c>
    </row>
    <row r="3838" spans="1:28" x14ac:dyDescent="0.25">
      <c r="A3838" t="s">
        <v>3842</v>
      </c>
      <c r="B3838">
        <v>0.99673306730245903</v>
      </c>
      <c r="C3838">
        <v>0.89576770472132605</v>
      </c>
      <c r="D3838">
        <v>0.86042871395678</v>
      </c>
      <c r="E3838">
        <v>0.74741449779658597</v>
      </c>
      <c r="F3838">
        <v>0.46759647952793298</v>
      </c>
      <c r="G3838">
        <v>0.22329873641610101</v>
      </c>
      <c r="H3838">
        <v>0.11298930801698299</v>
      </c>
      <c r="I3838">
        <v>9.4651422787968995E-2</v>
      </c>
      <c r="J3838">
        <v>7.6228982193624201E-2</v>
      </c>
      <c r="K3838">
        <v>7.6202306425097094E-2</v>
      </c>
      <c r="L3838">
        <v>806.72678487286498</v>
      </c>
      <c r="M3838">
        <v>15.441382624074199</v>
      </c>
      <c r="N3838">
        <v>52.512679048945301</v>
      </c>
      <c r="O3838">
        <v>51.391746943800399</v>
      </c>
      <c r="P3838">
        <v>-7.2274226138188902E-2</v>
      </c>
      <c r="Q3838">
        <v>3.79191725566735E-2</v>
      </c>
      <c r="R3838">
        <v>0.992280384126766</v>
      </c>
      <c r="S3838" t="s">
        <v>10290</v>
      </c>
      <c r="T3838" t="s">
        <v>12902</v>
      </c>
      <c r="U3838" t="s">
        <v>12902</v>
      </c>
      <c r="V3838" t="s">
        <v>12902</v>
      </c>
      <c r="W3838" t="s">
        <v>16695</v>
      </c>
      <c r="X3838">
        <v>7</v>
      </c>
      <c r="Y3838" t="s">
        <v>23009</v>
      </c>
      <c r="Z3838" t="s">
        <v>29413</v>
      </c>
      <c r="AA3838">
        <v>0.45099937802658652</v>
      </c>
      <c r="AB3838" t="str">
        <f>HYPERLINK("Melting_Curves/meltCurve_Q5VSL9_STRIP1.pdf", "Melting_Curves/meltCurve_Q5VSL9_STRIP1.pdf")</f>
        <v>Melting_Curves/meltCurve_Q5VSL9_STRIP1.pdf</v>
      </c>
    </row>
    <row r="3839" spans="1:28" x14ac:dyDescent="0.25">
      <c r="A3839" t="s">
        <v>3843</v>
      </c>
      <c r="B3839">
        <v>0.99673306730245903</v>
      </c>
      <c r="C3839">
        <v>0.96109287641681895</v>
      </c>
      <c r="D3839">
        <v>0.90952668835359396</v>
      </c>
      <c r="E3839">
        <v>0.82075016370973997</v>
      </c>
      <c r="F3839">
        <v>0.56374671132448895</v>
      </c>
      <c r="G3839">
        <v>0.38581377345873402</v>
      </c>
      <c r="H3839">
        <v>0.144169723486373</v>
      </c>
      <c r="I3839">
        <v>0.103364776305089</v>
      </c>
      <c r="J3839">
        <v>0.11693059876359101</v>
      </c>
      <c r="K3839">
        <v>9.14267321286822E-2</v>
      </c>
      <c r="L3839">
        <v>835.28443412887998</v>
      </c>
      <c r="M3839">
        <v>15.4898395689235</v>
      </c>
      <c r="N3839">
        <v>54.291924918853503</v>
      </c>
      <c r="O3839">
        <v>53.049861219417203</v>
      </c>
      <c r="P3839">
        <v>-6.9372033765099594E-2</v>
      </c>
      <c r="Q3839">
        <v>4.9738221800374197E-2</v>
      </c>
      <c r="R3839">
        <v>0.99509990183834196</v>
      </c>
      <c r="S3839" t="s">
        <v>10291</v>
      </c>
      <c r="T3839" t="s">
        <v>12902</v>
      </c>
      <c r="U3839" t="s">
        <v>12902</v>
      </c>
      <c r="V3839" t="s">
        <v>12902</v>
      </c>
      <c r="W3839" t="s">
        <v>16696</v>
      </c>
      <c r="X3839">
        <v>9</v>
      </c>
      <c r="Y3839" t="s">
        <v>23010</v>
      </c>
      <c r="Z3839" t="s">
        <v>29414</v>
      </c>
      <c r="AA3839">
        <v>0.50959791328487436</v>
      </c>
      <c r="AB3839" t="str">
        <f>HYPERLINK("Melting_Curves/meltCurve_Q5VST6_ABHD17B.pdf", "Melting_Curves/meltCurve_Q5VST6_ABHD17B.pdf")</f>
        <v>Melting_Curves/meltCurve_Q5VST6_ABHD17B.pdf</v>
      </c>
    </row>
    <row r="3840" spans="1:28" x14ac:dyDescent="0.25">
      <c r="A3840" t="s">
        <v>3844</v>
      </c>
      <c r="B3840">
        <v>0.99673306730245903</v>
      </c>
      <c r="C3840">
        <v>0.93345418394670698</v>
      </c>
      <c r="D3840">
        <v>1.0965097920257401</v>
      </c>
      <c r="E3840">
        <v>0.92634919799175897</v>
      </c>
      <c r="F3840">
        <v>0.97536987089660199</v>
      </c>
      <c r="G3840">
        <v>0.89651558403771003</v>
      </c>
      <c r="H3840">
        <v>1.00603454633857</v>
      </c>
      <c r="I3840">
        <v>1.1780105070943501</v>
      </c>
      <c r="J3840">
        <v>1.4976547385130901</v>
      </c>
      <c r="K3840">
        <v>1.1512758900397799</v>
      </c>
      <c r="L3840">
        <v>15000</v>
      </c>
      <c r="M3840">
        <v>234.57028239054401</v>
      </c>
      <c r="O3840">
        <v>63.9420809554084</v>
      </c>
      <c r="P3840">
        <v>0.29757196582683099</v>
      </c>
      <c r="Q3840">
        <v>1.3244633989630801</v>
      </c>
      <c r="R3840">
        <v>0.68729679941451505</v>
      </c>
      <c r="S3840" t="s">
        <v>10292</v>
      </c>
      <c r="T3840" t="s">
        <v>12902</v>
      </c>
      <c r="U3840" t="s">
        <v>12902</v>
      </c>
      <c r="V3840" t="s">
        <v>12902</v>
      </c>
      <c r="W3840" t="s">
        <v>16697</v>
      </c>
      <c r="X3840">
        <v>1</v>
      </c>
      <c r="Y3840" t="s">
        <v>23011</v>
      </c>
      <c r="Z3840" t="s">
        <v>29415</v>
      </c>
      <c r="AA3840">
        <v>1.065427572288808</v>
      </c>
      <c r="AB3840" t="str">
        <f>HYPERLINK("Melting_Curves/meltCurve_Q5VT06_CEP350.pdf", "Melting_Curves/meltCurve_Q5VT06_CEP350.pdf")</f>
        <v>Melting_Curves/meltCurve_Q5VT06_CEP350.pdf</v>
      </c>
    </row>
    <row r="3841" spans="1:28" x14ac:dyDescent="0.25">
      <c r="A3841" t="s">
        <v>3845</v>
      </c>
      <c r="B3841">
        <v>0.99673306730245903</v>
      </c>
      <c r="C3841">
        <v>0.90078824083255005</v>
      </c>
      <c r="D3841">
        <v>0.71902663461039296</v>
      </c>
      <c r="E3841">
        <v>0.31725821412161898</v>
      </c>
      <c r="F3841">
        <v>0.24441927918833201</v>
      </c>
      <c r="G3841">
        <v>0.176737386595854</v>
      </c>
      <c r="H3841">
        <v>0.12551826087468801</v>
      </c>
      <c r="I3841">
        <v>0.10426330607776201</v>
      </c>
      <c r="J3841">
        <v>0.16230863881065299</v>
      </c>
      <c r="K3841">
        <v>0.19525837006882901</v>
      </c>
      <c r="L3841">
        <v>1124.2906305813101</v>
      </c>
      <c r="M3841">
        <v>23.8617585888504</v>
      </c>
      <c r="N3841">
        <v>47.846335947201197</v>
      </c>
      <c r="O3841">
        <v>46.789667923966597</v>
      </c>
      <c r="P3841">
        <v>-0.10805519564084</v>
      </c>
      <c r="Q3841">
        <v>0.15248759507078</v>
      </c>
      <c r="R3841">
        <v>0.99114297989274502</v>
      </c>
      <c r="S3841" t="s">
        <v>10293</v>
      </c>
      <c r="T3841" t="s">
        <v>12902</v>
      </c>
      <c r="U3841" t="s">
        <v>12902</v>
      </c>
      <c r="V3841" t="s">
        <v>12902</v>
      </c>
      <c r="W3841" t="s">
        <v>16698</v>
      </c>
      <c r="X3841">
        <v>15</v>
      </c>
      <c r="Y3841" t="s">
        <v>23012</v>
      </c>
      <c r="Z3841" t="s">
        <v>29416</v>
      </c>
      <c r="AA3841">
        <v>0.36190683957279629</v>
      </c>
      <c r="AB3841" t="str">
        <f>HYPERLINK("Melting_Curves/meltCurve_Q5VT52_3_RPRD2.pdf", "Melting_Curves/meltCurve_Q5VT52_3_RPRD2.pdf")</f>
        <v>Melting_Curves/meltCurve_Q5VT52_3_RPRD2.pdf</v>
      </c>
    </row>
    <row r="3842" spans="1:28" x14ac:dyDescent="0.25">
      <c r="A3842" t="s">
        <v>3846</v>
      </c>
      <c r="B3842">
        <v>0.99673306730245903</v>
      </c>
      <c r="C3842">
        <v>0.94363912210234202</v>
      </c>
      <c r="D3842">
        <v>0.83490219760297701</v>
      </c>
      <c r="E3842">
        <v>0.732437526445603</v>
      </c>
      <c r="F3842">
        <v>0.67756984290543698</v>
      </c>
      <c r="G3842">
        <v>0.48205231056289199</v>
      </c>
      <c r="H3842">
        <v>0.31519410407076898</v>
      </c>
      <c r="I3842">
        <v>0.16667278821519699</v>
      </c>
      <c r="J3842">
        <v>7.4992972662043703E-2</v>
      </c>
      <c r="K3842">
        <v>5.2858097995720298E-2</v>
      </c>
      <c r="L3842">
        <v>599.53471308900703</v>
      </c>
      <c r="M3842">
        <v>10.790164952592001</v>
      </c>
      <c r="N3842">
        <v>55.563072085540099</v>
      </c>
      <c r="O3842">
        <v>53.7567217566178</v>
      </c>
      <c r="P3842">
        <v>-5.0198781244491002E-2</v>
      </c>
      <c r="Q3842">
        <v>0</v>
      </c>
      <c r="R3842">
        <v>0.98218942007846699</v>
      </c>
      <c r="S3842" t="s">
        <v>10294</v>
      </c>
      <c r="T3842" t="s">
        <v>12902</v>
      </c>
      <c r="U3842" t="s">
        <v>12902</v>
      </c>
      <c r="V3842" t="s">
        <v>12902</v>
      </c>
      <c r="W3842" t="s">
        <v>16699</v>
      </c>
      <c r="X3842">
        <v>4</v>
      </c>
      <c r="Y3842" t="s">
        <v>23013</v>
      </c>
      <c r="Z3842" t="s">
        <v>29417</v>
      </c>
      <c r="AA3842">
        <v>0.54156607761731312</v>
      </c>
      <c r="AB3842" t="str">
        <f>HYPERLINK("Melting_Curves/meltCurve_Q5VT66_MARC1.pdf", "Melting_Curves/meltCurve_Q5VT66_MARC1.pdf")</f>
        <v>Melting_Curves/meltCurve_Q5VT66_MARC1.pdf</v>
      </c>
    </row>
    <row r="3843" spans="1:28" x14ac:dyDescent="0.25">
      <c r="A3843" t="s">
        <v>3847</v>
      </c>
      <c r="B3843">
        <v>0.99673306730245903</v>
      </c>
      <c r="C3843">
        <v>1.01558991824817</v>
      </c>
      <c r="D3843">
        <v>0.92672464383765596</v>
      </c>
      <c r="E3843">
        <v>0.86821878875495395</v>
      </c>
      <c r="F3843">
        <v>0.73036637239174995</v>
      </c>
      <c r="G3843">
        <v>0.55573902353236504</v>
      </c>
      <c r="H3843">
        <v>0.44221233290143502</v>
      </c>
      <c r="I3843">
        <v>0.53976647044793402</v>
      </c>
      <c r="J3843">
        <v>0.47507865601621102</v>
      </c>
      <c r="K3843">
        <v>0.35548613007128399</v>
      </c>
      <c r="L3843">
        <v>832.298844418302</v>
      </c>
      <c r="M3843">
        <v>15.6025095073469</v>
      </c>
      <c r="N3843">
        <v>60.088645836676001</v>
      </c>
      <c r="O3843">
        <v>52.490656122877297</v>
      </c>
      <c r="P3843">
        <v>-4.3607321895498603E-2</v>
      </c>
      <c r="Q3843">
        <v>0.41322786075586598</v>
      </c>
      <c r="R3843">
        <v>0.96614986027087701</v>
      </c>
      <c r="S3843" t="s">
        <v>10295</v>
      </c>
      <c r="T3843" t="s">
        <v>12902</v>
      </c>
      <c r="U3843" t="s">
        <v>12902</v>
      </c>
      <c r="V3843" t="s">
        <v>12902</v>
      </c>
      <c r="W3843" t="s">
        <v>16700</v>
      </c>
      <c r="X3843">
        <v>4</v>
      </c>
      <c r="Y3843" t="s">
        <v>23014</v>
      </c>
      <c r="Z3843" t="s">
        <v>29418</v>
      </c>
      <c r="AA3843">
        <v>0.68600813472755939</v>
      </c>
      <c r="AB3843" t="str">
        <f>HYPERLINK("Melting_Curves/meltCurve_Q5VT94_GHITM.pdf", "Melting_Curves/meltCurve_Q5VT94_GHITM.pdf")</f>
        <v>Melting_Curves/meltCurve_Q5VT94_GHITM.pdf</v>
      </c>
    </row>
    <row r="3844" spans="1:28" x14ac:dyDescent="0.25">
      <c r="A3844" t="s">
        <v>3848</v>
      </c>
      <c r="B3844">
        <v>0.99673306730245903</v>
      </c>
      <c r="C3844">
        <v>0.91929004829910399</v>
      </c>
      <c r="D3844">
        <v>0.86722173502087196</v>
      </c>
      <c r="E3844">
        <v>0.90513707431191204</v>
      </c>
      <c r="F3844">
        <v>0.35217064928633701</v>
      </c>
      <c r="G3844">
        <v>0.112875576574255</v>
      </c>
      <c r="H3844">
        <v>6.1414299488427603E-2</v>
      </c>
      <c r="I3844">
        <v>6.4606115194462105E-2</v>
      </c>
      <c r="J3844">
        <v>7.3941557372394995E-2</v>
      </c>
      <c r="K3844">
        <v>7.0418454209818598E-2</v>
      </c>
      <c r="L3844">
        <v>2042.6482779277801</v>
      </c>
      <c r="M3844">
        <v>39.187655791833102</v>
      </c>
      <c r="N3844">
        <v>52.3199295257945</v>
      </c>
      <c r="O3844">
        <v>51.989609096233004</v>
      </c>
      <c r="P3844">
        <v>-0.175628456437182</v>
      </c>
      <c r="Q3844">
        <v>6.7988804362944993E-2</v>
      </c>
      <c r="R3844">
        <v>0.985462925172093</v>
      </c>
      <c r="S3844" t="s">
        <v>10296</v>
      </c>
      <c r="T3844" t="s">
        <v>12902</v>
      </c>
      <c r="U3844" t="s">
        <v>12902</v>
      </c>
      <c r="V3844" t="s">
        <v>12902</v>
      </c>
      <c r="W3844" t="s">
        <v>16701</v>
      </c>
      <c r="X3844">
        <v>8</v>
      </c>
      <c r="Y3844" t="s">
        <v>23015</v>
      </c>
      <c r="Z3844" t="s">
        <v>29419</v>
      </c>
      <c r="AA3844">
        <v>0.44816767498192461</v>
      </c>
      <c r="AB3844" t="str">
        <f>HYPERLINK("Melting_Curves/meltCurve_Q5VTL8_PRPF38B.pdf", "Melting_Curves/meltCurve_Q5VTL8_PRPF38B.pdf")</f>
        <v>Melting_Curves/meltCurve_Q5VTL8_PRPF38B.pdf</v>
      </c>
    </row>
    <row r="3845" spans="1:28" x14ac:dyDescent="0.25">
      <c r="A3845" t="s">
        <v>3849</v>
      </c>
      <c r="B3845">
        <v>0.99673306730245903</v>
      </c>
      <c r="C3845">
        <v>0.97500560959970695</v>
      </c>
      <c r="D3845">
        <v>0.92943444023463695</v>
      </c>
      <c r="E3845">
        <v>0.87097698175030103</v>
      </c>
      <c r="F3845">
        <v>0.64425309698900401</v>
      </c>
      <c r="G3845">
        <v>0.37948661351400098</v>
      </c>
      <c r="H3845">
        <v>0.17956885473335099</v>
      </c>
      <c r="I3845">
        <v>0.16517190303041099</v>
      </c>
      <c r="J3845">
        <v>0.17932143647971299</v>
      </c>
      <c r="K3845">
        <v>0.167219641806926</v>
      </c>
      <c r="L3845">
        <v>1092.0161273635899</v>
      </c>
      <c r="M3845">
        <v>20.247194337207802</v>
      </c>
      <c r="N3845">
        <v>54.841110156867401</v>
      </c>
      <c r="O3845">
        <v>53.416349452498203</v>
      </c>
      <c r="P3845">
        <v>-8.1282040053580806E-2</v>
      </c>
      <c r="Q3845">
        <v>0.142270355311785</v>
      </c>
      <c r="R3845">
        <v>0.995643564612683</v>
      </c>
      <c r="S3845" t="s">
        <v>10297</v>
      </c>
      <c r="T3845" t="s">
        <v>12902</v>
      </c>
      <c r="U3845" t="s">
        <v>12902</v>
      </c>
      <c r="V3845" t="s">
        <v>12902</v>
      </c>
      <c r="W3845" t="s">
        <v>16702</v>
      </c>
      <c r="X3845">
        <v>3</v>
      </c>
      <c r="Y3845" t="s">
        <v>23016</v>
      </c>
      <c r="Z3845" t="s">
        <v>29420</v>
      </c>
      <c r="AA3845">
        <v>0.55210183683094949</v>
      </c>
      <c r="AB3845" t="str">
        <f>HYPERLINK("Melting_Curves/meltCurve_Q5VTQ0_2_TTC39B.pdf", "Melting_Curves/meltCurve_Q5VTQ0_2_TTC39B.pdf")</f>
        <v>Melting_Curves/meltCurve_Q5VTQ0_2_TTC39B.pdf</v>
      </c>
    </row>
    <row r="3846" spans="1:28" x14ac:dyDescent="0.25">
      <c r="A3846" t="s">
        <v>3850</v>
      </c>
      <c r="B3846">
        <v>0.99673306730245903</v>
      </c>
      <c r="C3846">
        <v>0.83732507212710605</v>
      </c>
      <c r="D3846">
        <v>0.48188509516672001</v>
      </c>
      <c r="E3846">
        <v>0.25369905998668102</v>
      </c>
      <c r="F3846">
        <v>0.181058586299325</v>
      </c>
      <c r="G3846">
        <v>0.117621738215237</v>
      </c>
      <c r="H3846">
        <v>7.8832412030011095E-2</v>
      </c>
      <c r="I3846">
        <v>7.92325505141937E-2</v>
      </c>
      <c r="J3846">
        <v>9.95919484765624E-2</v>
      </c>
      <c r="K3846">
        <v>8.85817777621834E-2</v>
      </c>
      <c r="L3846">
        <v>990.66065172004005</v>
      </c>
      <c r="M3846">
        <v>21.688054347176401</v>
      </c>
      <c r="N3846">
        <v>46.139671265671701</v>
      </c>
      <c r="O3846">
        <v>45.294682704603098</v>
      </c>
      <c r="P3846">
        <v>-0.10802534852826</v>
      </c>
      <c r="Q3846">
        <v>9.7593772239411306E-2</v>
      </c>
      <c r="R3846">
        <v>0.99427959434740398</v>
      </c>
      <c r="S3846" t="s">
        <v>10298</v>
      </c>
      <c r="T3846" t="s">
        <v>12902</v>
      </c>
      <c r="U3846" t="s">
        <v>12902</v>
      </c>
      <c r="V3846" t="s">
        <v>12902</v>
      </c>
      <c r="W3846" t="s">
        <v>16703</v>
      </c>
      <c r="X3846">
        <v>24</v>
      </c>
      <c r="Y3846" t="s">
        <v>23017</v>
      </c>
      <c r="Z3846" t="s">
        <v>29421</v>
      </c>
      <c r="AA3846">
        <v>0.28022681241118008</v>
      </c>
      <c r="AB3846" t="str">
        <f>HYPERLINK("Melting_Curves/meltCurve_Q5VTR2_RNF20.pdf", "Melting_Curves/meltCurve_Q5VTR2_RNF20.pdf")</f>
        <v>Melting_Curves/meltCurve_Q5VTR2_RNF20.pdf</v>
      </c>
    </row>
    <row r="3847" spans="1:28" x14ac:dyDescent="0.25">
      <c r="A3847" t="s">
        <v>3851</v>
      </c>
      <c r="B3847">
        <v>0.99673306730245903</v>
      </c>
      <c r="C3847">
        <v>1.0421890699858101</v>
      </c>
      <c r="D3847">
        <v>1.1468065969827199</v>
      </c>
      <c r="E3847">
        <v>1.28087218917956</v>
      </c>
      <c r="F3847">
        <v>0.76013675251708401</v>
      </c>
      <c r="G3847">
        <v>0.35362687649068197</v>
      </c>
      <c r="H3847">
        <v>0.18860161158837899</v>
      </c>
      <c r="I3847">
        <v>0.19874850829774199</v>
      </c>
      <c r="J3847">
        <v>0.23255871188810501</v>
      </c>
      <c r="K3847">
        <v>0.20372348743371299</v>
      </c>
      <c r="L3847">
        <v>2475.3784218764899</v>
      </c>
      <c r="M3847">
        <v>45.4526672681829</v>
      </c>
      <c r="N3847">
        <v>55.123462382176598</v>
      </c>
      <c r="O3847">
        <v>54.3554705729454</v>
      </c>
      <c r="P3847">
        <v>-0.16503930732845001</v>
      </c>
      <c r="Q3847">
        <v>0.21053891578661901</v>
      </c>
      <c r="R3847">
        <v>0.93807087589188198</v>
      </c>
      <c r="S3847" t="s">
        <v>10299</v>
      </c>
      <c r="T3847" t="s">
        <v>12902</v>
      </c>
      <c r="U3847" t="s">
        <v>12902</v>
      </c>
      <c r="V3847" t="s">
        <v>12902</v>
      </c>
      <c r="W3847" t="s">
        <v>16704</v>
      </c>
      <c r="X3847">
        <v>1</v>
      </c>
      <c r="Y3847" t="s">
        <v>23018</v>
      </c>
      <c r="Z3847" t="s">
        <v>29422</v>
      </c>
      <c r="AA3847">
        <v>0.59336970072450035</v>
      </c>
      <c r="AB3847" t="str">
        <f>HYPERLINK("Melting_Curves/meltCurve_Q5VTU3_DYNLT1.pdf", "Melting_Curves/meltCurve_Q5VTU3_DYNLT1.pdf")</f>
        <v>Melting_Curves/meltCurve_Q5VTU3_DYNLT1.pdf</v>
      </c>
    </row>
    <row r="3848" spans="1:28" x14ac:dyDescent="0.25">
      <c r="A3848" t="s">
        <v>3852</v>
      </c>
      <c r="B3848">
        <v>0.99673306730245903</v>
      </c>
      <c r="C3848">
        <v>1.0322514496405499</v>
      </c>
      <c r="D3848">
        <v>1.0584909580806801</v>
      </c>
      <c r="E3848">
        <v>0.95022004388583503</v>
      </c>
      <c r="F3848">
        <v>1.00295102700078</v>
      </c>
      <c r="G3848">
        <v>0.89643576715945805</v>
      </c>
      <c r="H3848">
        <v>0.75441491045452602</v>
      </c>
      <c r="I3848">
        <v>0.86071872357687895</v>
      </c>
      <c r="J3848">
        <v>1.5486726973429701</v>
      </c>
      <c r="K3848">
        <v>1.3375102940075401</v>
      </c>
      <c r="L3848">
        <v>8677.4328677884005</v>
      </c>
      <c r="M3848">
        <v>132.30458145440099</v>
      </c>
      <c r="O3848">
        <v>65.5718062757703</v>
      </c>
      <c r="P3848">
        <v>0.224648267239905</v>
      </c>
      <c r="Q3848">
        <v>1.44535397974733</v>
      </c>
      <c r="R3848">
        <v>0.73772594770925404</v>
      </c>
      <c r="S3848" t="s">
        <v>10300</v>
      </c>
      <c r="T3848" t="s">
        <v>12902</v>
      </c>
      <c r="U3848" t="s">
        <v>12902</v>
      </c>
      <c r="V3848" t="s">
        <v>12902</v>
      </c>
      <c r="W3848" t="s">
        <v>16705</v>
      </c>
      <c r="X3848">
        <v>50</v>
      </c>
      <c r="Y3848" t="s">
        <v>20310</v>
      </c>
      <c r="Z3848" t="s">
        <v>29423</v>
      </c>
      <c r="AA3848">
        <v>1.065333576693225</v>
      </c>
      <c r="AB3848" t="str">
        <f>HYPERLINK("Melting_Curves/meltCurve_Q5VU58_TPM3.pdf", "Melting_Curves/meltCurve_Q5VU58_TPM3.pdf")</f>
        <v>Melting_Curves/meltCurve_Q5VU58_TPM3.pdf</v>
      </c>
    </row>
    <row r="3849" spans="1:28" x14ac:dyDescent="0.25">
      <c r="A3849" t="s">
        <v>3853</v>
      </c>
      <c r="B3849">
        <v>0.99673306730245903</v>
      </c>
      <c r="C3849">
        <v>0.56651822761786996</v>
      </c>
      <c r="D3849">
        <v>0.36656052395093902</v>
      </c>
      <c r="E3849">
        <v>0.24352466498544201</v>
      </c>
      <c r="F3849">
        <v>0.15810040442404</v>
      </c>
      <c r="G3849">
        <v>0.10053055999546499</v>
      </c>
      <c r="H3849">
        <v>8.1201510380836894E-2</v>
      </c>
      <c r="I3849">
        <v>9.6450290312976E-2</v>
      </c>
      <c r="J3849">
        <v>0.15517515868977699</v>
      </c>
      <c r="K3849">
        <v>0.19819450661247301</v>
      </c>
      <c r="L3849">
        <v>992.91872894770802</v>
      </c>
      <c r="M3849">
        <v>22.7995577379059</v>
      </c>
      <c r="N3849">
        <v>44.173951761452898</v>
      </c>
      <c r="O3849">
        <v>43.219032872220303</v>
      </c>
      <c r="P3849">
        <v>-0.113727903344725</v>
      </c>
      <c r="Q3849">
        <v>0.13768246440340101</v>
      </c>
      <c r="R3849">
        <v>0.95952304645157904</v>
      </c>
      <c r="S3849" t="s">
        <v>10301</v>
      </c>
      <c r="T3849" t="s">
        <v>12902</v>
      </c>
      <c r="U3849" t="s">
        <v>12902</v>
      </c>
      <c r="V3849" t="s">
        <v>12902</v>
      </c>
      <c r="W3849" t="s">
        <v>16706</v>
      </c>
      <c r="X3849">
        <v>10</v>
      </c>
      <c r="Y3849" t="s">
        <v>23019</v>
      </c>
      <c r="Z3849" t="s">
        <v>29424</v>
      </c>
      <c r="AA3849">
        <v>0.25316165302791399</v>
      </c>
      <c r="AB3849" t="str">
        <f>HYPERLINK("Melting_Curves/meltCurve_Q5VUA4_ZNF318.pdf", "Melting_Curves/meltCurve_Q5VUA4_ZNF318.pdf")</f>
        <v>Melting_Curves/meltCurve_Q5VUA4_ZNF318.pdf</v>
      </c>
    </row>
    <row r="3850" spans="1:28" x14ac:dyDescent="0.25">
      <c r="A3850" t="s">
        <v>3854</v>
      </c>
      <c r="B3850">
        <v>0.99673306730245903</v>
      </c>
      <c r="C3850">
        <v>1.00807535688198</v>
      </c>
      <c r="D3850">
        <v>1.0043949811527499</v>
      </c>
      <c r="E3850">
        <v>0.81441432995970797</v>
      </c>
      <c r="F3850">
        <v>0.63000838276843796</v>
      </c>
      <c r="G3850">
        <v>0.59194685324205598</v>
      </c>
      <c r="H3850">
        <v>0.36004654140997699</v>
      </c>
      <c r="I3850">
        <v>0.40127763933447402</v>
      </c>
      <c r="J3850">
        <v>0.54367455654097396</v>
      </c>
      <c r="K3850">
        <v>0.42111417684235902</v>
      </c>
      <c r="L3850">
        <v>1080.95674328618</v>
      </c>
      <c r="M3850">
        <v>20.870776480707399</v>
      </c>
      <c r="N3850">
        <v>57.456452655229697</v>
      </c>
      <c r="O3850">
        <v>51.324379563598299</v>
      </c>
      <c r="P3850">
        <v>-5.7328337590450099E-2</v>
      </c>
      <c r="Q3850">
        <v>0.43609947837239199</v>
      </c>
      <c r="R3850">
        <v>0.94727114244796995</v>
      </c>
      <c r="S3850" t="s">
        <v>10302</v>
      </c>
      <c r="T3850" t="s">
        <v>12902</v>
      </c>
      <c r="U3850" t="s">
        <v>12902</v>
      </c>
      <c r="V3850" t="s">
        <v>12902</v>
      </c>
      <c r="W3850" t="s">
        <v>16707</v>
      </c>
      <c r="X3850">
        <v>2</v>
      </c>
      <c r="Y3850" t="s">
        <v>23020</v>
      </c>
      <c r="Z3850" t="s">
        <v>29425</v>
      </c>
      <c r="AA3850">
        <v>0.66499165342386646</v>
      </c>
      <c r="AB3850" t="str">
        <f>HYPERLINK("Melting_Curves/meltCurve_Q5VUE5_C1orf53.pdf", "Melting_Curves/meltCurve_Q5VUE5_C1orf53.pdf")</f>
        <v>Melting_Curves/meltCurve_Q5VUE5_C1orf53.pdf</v>
      </c>
    </row>
    <row r="3851" spans="1:28" x14ac:dyDescent="0.25">
      <c r="A3851" t="s">
        <v>3855</v>
      </c>
      <c r="B3851">
        <v>0.99673306730245903</v>
      </c>
      <c r="C3851">
        <v>1.1569967509629</v>
      </c>
      <c r="D3851">
        <v>1.11115242096682</v>
      </c>
      <c r="E3851">
        <v>1.0403684942079601</v>
      </c>
      <c r="F3851">
        <v>1.09704049266273</v>
      </c>
      <c r="G3851">
        <v>1.13380096345133</v>
      </c>
      <c r="H3851">
        <v>1.08180055352798</v>
      </c>
      <c r="I3851">
        <v>1.11325331527548</v>
      </c>
      <c r="J3851">
        <v>2.6144266068914499</v>
      </c>
      <c r="K3851">
        <v>2.2881808954284</v>
      </c>
      <c r="L3851">
        <v>15000</v>
      </c>
      <c r="M3851">
        <v>233.151738661466</v>
      </c>
      <c r="O3851">
        <v>64.331050931267598</v>
      </c>
      <c r="P3851">
        <v>0.45303110952301301</v>
      </c>
      <c r="Q3851">
        <v>1.5</v>
      </c>
      <c r="R3851">
        <v>0.36126603592384599</v>
      </c>
      <c r="S3851" t="s">
        <v>10303</v>
      </c>
      <c r="T3851" t="s">
        <v>12902</v>
      </c>
      <c r="U3851" t="s">
        <v>12902</v>
      </c>
      <c r="V3851" t="s">
        <v>12902</v>
      </c>
      <c r="W3851" t="s">
        <v>16708</v>
      </c>
      <c r="X3851">
        <v>3</v>
      </c>
      <c r="Y3851" t="s">
        <v>23021</v>
      </c>
      <c r="Z3851" t="s">
        <v>29426</v>
      </c>
      <c r="AA3851">
        <v>1.094338682523228</v>
      </c>
      <c r="AB3851" t="str">
        <f>HYPERLINK("Melting_Curves/meltCurve_Q5VUM1_C6orf57.pdf", "Melting_Curves/meltCurve_Q5VUM1_C6orf57.pdf")</f>
        <v>Melting_Curves/meltCurve_Q5VUM1_C6orf57.pdf</v>
      </c>
    </row>
    <row r="3852" spans="1:28" x14ac:dyDescent="0.25">
      <c r="A3852" t="s">
        <v>3856</v>
      </c>
      <c r="B3852">
        <v>0.99673306730245903</v>
      </c>
      <c r="C3852">
        <v>0.92641664345519503</v>
      </c>
      <c r="D3852">
        <v>0.44879784478079399</v>
      </c>
      <c r="E3852">
        <v>0.24518990823284401</v>
      </c>
      <c r="F3852">
        <v>0.16381858873314101</v>
      </c>
      <c r="G3852">
        <v>0.12273429587092</v>
      </c>
      <c r="H3852">
        <v>9.5120957396325201E-2</v>
      </c>
      <c r="I3852">
        <v>8.5286520319961895E-2</v>
      </c>
      <c r="J3852">
        <v>9.2214607881356603E-2</v>
      </c>
      <c r="K3852">
        <v>7.0210245820759104E-2</v>
      </c>
      <c r="L3852">
        <v>1350.15129131444</v>
      </c>
      <c r="M3852">
        <v>29.6223459297135</v>
      </c>
      <c r="N3852">
        <v>45.9584064084207</v>
      </c>
      <c r="O3852">
        <v>45.372604899285299</v>
      </c>
      <c r="P3852">
        <v>-0.145506309387577</v>
      </c>
      <c r="Q3852">
        <v>0.108516922365111</v>
      </c>
      <c r="R3852">
        <v>0.98868180840846698</v>
      </c>
      <c r="S3852" t="s">
        <v>10304</v>
      </c>
      <c r="T3852" t="s">
        <v>12902</v>
      </c>
      <c r="U3852" t="s">
        <v>12902</v>
      </c>
      <c r="V3852" t="s">
        <v>12902</v>
      </c>
      <c r="W3852" t="s">
        <v>16709</v>
      </c>
      <c r="X3852">
        <v>19</v>
      </c>
      <c r="Y3852" t="s">
        <v>23022</v>
      </c>
      <c r="Z3852" t="s">
        <v>29427</v>
      </c>
      <c r="AA3852">
        <v>0.27998486228105368</v>
      </c>
      <c r="AB3852" t="str">
        <f>HYPERLINK("Melting_Curves/meltCurve_Q5VV41_ARHGEF16.pdf", "Melting_Curves/meltCurve_Q5VV41_ARHGEF16.pdf")</f>
        <v>Melting_Curves/meltCurve_Q5VV41_ARHGEF16.pdf</v>
      </c>
    </row>
    <row r="3853" spans="1:28" x14ac:dyDescent="0.25">
      <c r="A3853" t="s">
        <v>3857</v>
      </c>
      <c r="B3853">
        <v>0.99673306730245903</v>
      </c>
      <c r="C3853">
        <v>0.85909647578646198</v>
      </c>
      <c r="D3853">
        <v>0.70890232899592798</v>
      </c>
      <c r="E3853">
        <v>0.48570401036410499</v>
      </c>
      <c r="F3853">
        <v>0.236794750506721</v>
      </c>
      <c r="G3853">
        <v>0.12076982565623499</v>
      </c>
      <c r="H3853">
        <v>7.3128587151777502E-2</v>
      </c>
      <c r="I3853">
        <v>6.07456340443224E-2</v>
      </c>
      <c r="J3853">
        <v>6.4521607345145296E-2</v>
      </c>
      <c r="K3853">
        <v>4.7250999021311302E-2</v>
      </c>
      <c r="L3853">
        <v>725.95073057664797</v>
      </c>
      <c r="M3853">
        <v>14.8917527883481</v>
      </c>
      <c r="N3853">
        <v>48.9731450458873</v>
      </c>
      <c r="O3853">
        <v>47.894791207840498</v>
      </c>
      <c r="P3853">
        <v>-7.5173242275112698E-2</v>
      </c>
      <c r="Q3853">
        <v>3.3013434571651998E-2</v>
      </c>
      <c r="R3853">
        <v>0.99700598091679804</v>
      </c>
      <c r="S3853" t="s">
        <v>10305</v>
      </c>
      <c r="T3853" t="s">
        <v>12902</v>
      </c>
      <c r="U3853" t="s">
        <v>12902</v>
      </c>
      <c r="V3853" t="s">
        <v>12902</v>
      </c>
      <c r="W3853" t="s">
        <v>16710</v>
      </c>
      <c r="X3853">
        <v>4</v>
      </c>
      <c r="Y3853" t="s">
        <v>23023</v>
      </c>
      <c r="Z3853" t="s">
        <v>29428</v>
      </c>
      <c r="AA3853">
        <v>0.33943404693346418</v>
      </c>
      <c r="AB3853" t="str">
        <f>HYPERLINK("Melting_Curves/meltCurve_Q5VV42_CDKAL1.pdf", "Melting_Curves/meltCurve_Q5VV42_CDKAL1.pdf")</f>
        <v>Melting_Curves/meltCurve_Q5VV42_CDKAL1.pdf</v>
      </c>
    </row>
    <row r="3854" spans="1:28" x14ac:dyDescent="0.25">
      <c r="A3854" t="s">
        <v>3858</v>
      </c>
      <c r="B3854">
        <v>0.99673306730245903</v>
      </c>
      <c r="C3854">
        <v>0.95978586641913799</v>
      </c>
      <c r="D3854">
        <v>1.0366223269570001</v>
      </c>
      <c r="E3854">
        <v>0.96136994111355201</v>
      </c>
      <c r="F3854">
        <v>0.71141579487645201</v>
      </c>
      <c r="G3854">
        <v>0.56498933942663399</v>
      </c>
      <c r="H3854">
        <v>0.42430225901131102</v>
      </c>
      <c r="I3854">
        <v>0.54988896727724701</v>
      </c>
      <c r="J3854">
        <v>0.76144672053123497</v>
      </c>
      <c r="K3854">
        <v>0.82272881927270902</v>
      </c>
      <c r="L3854">
        <v>2808.0454562926702</v>
      </c>
      <c r="M3854">
        <v>54.1167788525525</v>
      </c>
      <c r="O3854">
        <v>51.817917305662398</v>
      </c>
      <c r="P3854">
        <v>-9.7853727087635997E-2</v>
      </c>
      <c r="Q3854">
        <v>0.62521247893112997</v>
      </c>
      <c r="R3854">
        <v>0.72995401711158803</v>
      </c>
      <c r="S3854" t="s">
        <v>10306</v>
      </c>
      <c r="T3854" t="s">
        <v>12902</v>
      </c>
      <c r="U3854" t="s">
        <v>12902</v>
      </c>
      <c r="V3854" t="s">
        <v>12902</v>
      </c>
      <c r="W3854" t="s">
        <v>16711</v>
      </c>
      <c r="X3854">
        <v>5</v>
      </c>
      <c r="Y3854" t="s">
        <v>23024</v>
      </c>
      <c r="Z3854" t="s">
        <v>29429</v>
      </c>
      <c r="AA3854">
        <v>0.77446779237351804</v>
      </c>
      <c r="AB3854" t="str">
        <f>HYPERLINK("Melting_Curves/meltCurve_Q5VV50_ZNF691.pdf", "Melting_Curves/meltCurve_Q5VV50_ZNF691.pdf")</f>
        <v>Melting_Curves/meltCurve_Q5VV50_ZNF691.pdf</v>
      </c>
    </row>
    <row r="3855" spans="1:28" x14ac:dyDescent="0.25">
      <c r="A3855" t="s">
        <v>3859</v>
      </c>
      <c r="B3855">
        <v>0.99673306730245903</v>
      </c>
      <c r="C3855">
        <v>1.0713353994417101</v>
      </c>
      <c r="D3855">
        <v>0.97525596665041603</v>
      </c>
      <c r="E3855">
        <v>0.85781186368418305</v>
      </c>
      <c r="F3855">
        <v>0.64544757511891604</v>
      </c>
      <c r="G3855">
        <v>0.49585627094295198</v>
      </c>
      <c r="H3855">
        <v>0.33003980425476598</v>
      </c>
      <c r="I3855">
        <v>0.29956504432777997</v>
      </c>
      <c r="J3855">
        <v>0.24676874144600799</v>
      </c>
      <c r="K3855">
        <v>0.20482467620091099</v>
      </c>
      <c r="L3855">
        <v>859.812268803091</v>
      </c>
      <c r="M3855">
        <v>15.800702485616201</v>
      </c>
      <c r="N3855">
        <v>56.318512265038102</v>
      </c>
      <c r="O3855">
        <v>53.566830360479599</v>
      </c>
      <c r="P3855">
        <v>-5.84979311026654E-2</v>
      </c>
      <c r="Q3855">
        <v>0.20679713945223199</v>
      </c>
      <c r="R3855">
        <v>0.99082896482777605</v>
      </c>
      <c r="S3855" t="s">
        <v>10307</v>
      </c>
      <c r="T3855" t="s">
        <v>12902</v>
      </c>
      <c r="U3855" t="s">
        <v>12902</v>
      </c>
      <c r="V3855" t="s">
        <v>12902</v>
      </c>
      <c r="W3855" t="s">
        <v>16712</v>
      </c>
      <c r="X3855">
        <v>1</v>
      </c>
      <c r="Y3855" t="s">
        <v>23025</v>
      </c>
      <c r="Z3855" t="s">
        <v>29430</v>
      </c>
      <c r="AA3855">
        <v>0.60288445601862606</v>
      </c>
      <c r="AB3855" t="str">
        <f>HYPERLINK("Melting_Curves/meltCurve_Q5VV87_MGST3.pdf", "Melting_Curves/meltCurve_Q5VV87_MGST3.pdf")</f>
        <v>Melting_Curves/meltCurve_Q5VV87_MGST3.pdf</v>
      </c>
    </row>
    <row r="3856" spans="1:28" x14ac:dyDescent="0.25">
      <c r="A3856" t="s">
        <v>3860</v>
      </c>
      <c r="B3856">
        <v>0.99673306730245903</v>
      </c>
      <c r="C3856">
        <v>0.920791690992945</v>
      </c>
      <c r="D3856">
        <v>0.64916648749914996</v>
      </c>
      <c r="E3856">
        <v>0.339266160924594</v>
      </c>
      <c r="F3856">
        <v>0.20419432242258101</v>
      </c>
      <c r="G3856">
        <v>0.106886676664788</v>
      </c>
      <c r="H3856">
        <v>7.7647526368768205E-2</v>
      </c>
      <c r="I3856">
        <v>5.9267130285401398E-2</v>
      </c>
      <c r="J3856">
        <v>9.3045733607384495E-2</v>
      </c>
      <c r="K3856">
        <v>7.0249021978831094E-2</v>
      </c>
      <c r="L3856">
        <v>932.79250889711295</v>
      </c>
      <c r="M3856">
        <v>19.689388129291601</v>
      </c>
      <c r="N3856">
        <v>47.767884332403099</v>
      </c>
      <c r="O3856">
        <v>46.8948163967586</v>
      </c>
      <c r="P3856">
        <v>-9.7129665040895596E-2</v>
      </c>
      <c r="Q3856">
        <v>7.4685282874947606E-2</v>
      </c>
      <c r="R3856">
        <v>0.99714343953874596</v>
      </c>
      <c r="S3856" t="s">
        <v>10308</v>
      </c>
      <c r="T3856" t="s">
        <v>12902</v>
      </c>
      <c r="U3856" t="s">
        <v>12902</v>
      </c>
      <c r="V3856" t="s">
        <v>12902</v>
      </c>
      <c r="W3856" t="s">
        <v>16713</v>
      </c>
      <c r="X3856">
        <v>1</v>
      </c>
      <c r="Y3856" t="s">
        <v>23026</v>
      </c>
      <c r="Z3856" t="s">
        <v>29431</v>
      </c>
      <c r="AA3856">
        <v>0.31599826449087548</v>
      </c>
      <c r="AB3856" t="str">
        <f>HYPERLINK("Melting_Curves/meltCurve_Q5VVJ2_2_MYSM1.pdf", "Melting_Curves/meltCurve_Q5VVJ2_2_MYSM1.pdf")</f>
        <v>Melting_Curves/meltCurve_Q5VVJ2_2_MYSM1.pdf</v>
      </c>
    </row>
    <row r="3857" spans="1:28" x14ac:dyDescent="0.25">
      <c r="A3857" t="s">
        <v>3861</v>
      </c>
      <c r="B3857">
        <v>0.99673306730245903</v>
      </c>
      <c r="C3857">
        <v>0.99145760078830503</v>
      </c>
      <c r="D3857">
        <v>0.75066453251603504</v>
      </c>
      <c r="E3857">
        <v>0.37435077141873102</v>
      </c>
      <c r="F3857">
        <v>0.25335429163383799</v>
      </c>
      <c r="G3857">
        <v>0.168658969733013</v>
      </c>
      <c r="H3857">
        <v>0.117845639590408</v>
      </c>
      <c r="I3857">
        <v>0.14899707596810499</v>
      </c>
      <c r="J3857">
        <v>0.16985189223548999</v>
      </c>
      <c r="K3857">
        <v>0.17088630613275199</v>
      </c>
      <c r="L3857">
        <v>1221.63088299885</v>
      </c>
      <c r="M3857">
        <v>25.626774807752302</v>
      </c>
      <c r="N3857">
        <v>48.3844085338798</v>
      </c>
      <c r="O3857">
        <v>47.3826646517212</v>
      </c>
      <c r="P3857">
        <v>-0.113917429288585</v>
      </c>
      <c r="Q3857">
        <v>0.15749904764070399</v>
      </c>
      <c r="R3857">
        <v>0.99514823232857097</v>
      </c>
      <c r="S3857" t="s">
        <v>10309</v>
      </c>
      <c r="T3857" t="s">
        <v>12902</v>
      </c>
      <c r="U3857" t="s">
        <v>12902</v>
      </c>
      <c r="V3857" t="s">
        <v>12902</v>
      </c>
      <c r="W3857" t="s">
        <v>16714</v>
      </c>
      <c r="X3857">
        <v>6</v>
      </c>
      <c r="Y3857" t="s">
        <v>23027</v>
      </c>
      <c r="Z3857" t="s">
        <v>29432</v>
      </c>
      <c r="AA3857">
        <v>0.37997285696396832</v>
      </c>
      <c r="AB3857" t="str">
        <f>HYPERLINK("Melting_Curves/meltCurve_Q5VVQ6_2_YOD1.pdf", "Melting_Curves/meltCurve_Q5VVQ6_2_YOD1.pdf")</f>
        <v>Melting_Curves/meltCurve_Q5VVQ6_2_YOD1.pdf</v>
      </c>
    </row>
    <row r="3858" spans="1:28" x14ac:dyDescent="0.25">
      <c r="A3858" t="s">
        <v>3862</v>
      </c>
      <c r="B3858">
        <v>0.99673306730245903</v>
      </c>
      <c r="C3858">
        <v>0.96725574147190896</v>
      </c>
      <c r="D3858">
        <v>0.92326531640619502</v>
      </c>
      <c r="E3858">
        <v>0.92986515201171904</v>
      </c>
      <c r="F3858">
        <v>0.807170219394716</v>
      </c>
      <c r="G3858">
        <v>0.73981983482872904</v>
      </c>
      <c r="H3858">
        <v>0.54763079284479799</v>
      </c>
      <c r="I3858">
        <v>0.98333728003361698</v>
      </c>
      <c r="J3858">
        <v>0.94793175682631803</v>
      </c>
      <c r="K3858">
        <v>0.97562326631666296</v>
      </c>
      <c r="L3858">
        <v>1104.1953802396199</v>
      </c>
      <c r="M3858">
        <v>23.545913191373899</v>
      </c>
      <c r="O3858">
        <v>46.561085144361002</v>
      </c>
      <c r="P3858">
        <v>-2.0433523465752699E-2</v>
      </c>
      <c r="Q3858">
        <v>0.83837691697017003</v>
      </c>
      <c r="R3858">
        <v>0.17907651118151199</v>
      </c>
      <c r="S3858" t="s">
        <v>10310</v>
      </c>
      <c r="T3858" t="s">
        <v>12902</v>
      </c>
      <c r="U3858" t="s">
        <v>12902</v>
      </c>
      <c r="V3858" t="s">
        <v>12902</v>
      </c>
      <c r="W3858" t="s">
        <v>16715</v>
      </c>
      <c r="X3858">
        <v>5</v>
      </c>
      <c r="Y3858" t="s">
        <v>23028</v>
      </c>
      <c r="Z3858" t="s">
        <v>29433</v>
      </c>
      <c r="AA3858">
        <v>0.8771776150613313</v>
      </c>
      <c r="AB3858" t="str">
        <f>HYPERLINK("Melting_Curves/meltCurve_Q5VW27_NFIB.pdf", "Melting_Curves/meltCurve_Q5VW27_NFIB.pdf")</f>
        <v>Melting_Curves/meltCurve_Q5VW27_NFIB.pdf</v>
      </c>
    </row>
    <row r="3859" spans="1:28" x14ac:dyDescent="0.25">
      <c r="A3859" t="s">
        <v>3863</v>
      </c>
      <c r="B3859">
        <v>0.99673306730245903</v>
      </c>
      <c r="C3859">
        <v>1.38287396400675</v>
      </c>
      <c r="D3859">
        <v>0.47806905371071401</v>
      </c>
      <c r="E3859">
        <v>0.45586772419016403</v>
      </c>
      <c r="F3859">
        <v>0.11157581405525301</v>
      </c>
      <c r="G3859">
        <v>6.5572298166048995E-2</v>
      </c>
      <c r="H3859">
        <v>3.88136020090383E-2</v>
      </c>
      <c r="I3859">
        <v>3.2729601377629702E-2</v>
      </c>
      <c r="J3859">
        <v>2.85007279447538E-2</v>
      </c>
      <c r="K3859">
        <v>2.2863021708325802E-2</v>
      </c>
      <c r="L3859">
        <v>1131.9538848797499</v>
      </c>
      <c r="M3859">
        <v>23.6496456637344</v>
      </c>
      <c r="N3859">
        <v>48.024657978285603</v>
      </c>
      <c r="O3859">
        <v>47.525179525591597</v>
      </c>
      <c r="P3859">
        <v>-0.119660898061016</v>
      </c>
      <c r="Q3859">
        <v>3.8157204650148401E-2</v>
      </c>
      <c r="R3859">
        <v>0.86569167683854997</v>
      </c>
      <c r="S3859" t="s">
        <v>10311</v>
      </c>
      <c r="T3859" t="s">
        <v>12902</v>
      </c>
      <c r="U3859" t="s">
        <v>12902</v>
      </c>
      <c r="V3859" t="s">
        <v>12902</v>
      </c>
      <c r="W3859" t="s">
        <v>16716</v>
      </c>
      <c r="X3859">
        <v>12</v>
      </c>
      <c r="Y3859" t="s">
        <v>23029</v>
      </c>
      <c r="Z3859" t="s">
        <v>29434</v>
      </c>
      <c r="AA3859">
        <v>0.29984770892185092</v>
      </c>
      <c r="AB3859" t="str">
        <f>HYPERLINK("Melting_Curves/meltCurve_Q5VW32_BROX.pdf", "Melting_Curves/meltCurve_Q5VW32_BROX.pdf")</f>
        <v>Melting_Curves/meltCurve_Q5VW32_BROX.pdf</v>
      </c>
    </row>
    <row r="3860" spans="1:28" x14ac:dyDescent="0.25">
      <c r="A3860" t="s">
        <v>3864</v>
      </c>
      <c r="B3860">
        <v>0.99673306730245903</v>
      </c>
      <c r="C3860">
        <v>0.89954466666486299</v>
      </c>
      <c r="D3860">
        <v>0.97894200012924504</v>
      </c>
      <c r="E3860">
        <v>1.1033217907184001</v>
      </c>
      <c r="F3860">
        <v>0.65542280262017405</v>
      </c>
      <c r="G3860">
        <v>0.20420822584501699</v>
      </c>
      <c r="H3860">
        <v>0.11216736785328001</v>
      </c>
      <c r="I3860">
        <v>7.9246279487812807E-2</v>
      </c>
      <c r="J3860">
        <v>6.8815212300340697E-2</v>
      </c>
      <c r="K3860">
        <v>6.4035614748919598E-2</v>
      </c>
      <c r="L3860">
        <v>2365.3278328854699</v>
      </c>
      <c r="M3860">
        <v>43.847118241151499</v>
      </c>
      <c r="N3860">
        <v>54.1729126583922</v>
      </c>
      <c r="O3860">
        <v>53.833040199948798</v>
      </c>
      <c r="P3860">
        <v>-0.18646808043520799</v>
      </c>
      <c r="Q3860">
        <v>8.4260992523175093E-2</v>
      </c>
      <c r="R3860">
        <v>0.98451467870975296</v>
      </c>
      <c r="S3860" t="s">
        <v>10312</v>
      </c>
      <c r="T3860" t="s">
        <v>12902</v>
      </c>
      <c r="U3860" t="s">
        <v>12902</v>
      </c>
      <c r="V3860" t="s">
        <v>12902</v>
      </c>
      <c r="W3860" t="s">
        <v>16717</v>
      </c>
      <c r="X3860">
        <v>12</v>
      </c>
      <c r="Y3860" t="s">
        <v>23030</v>
      </c>
      <c r="Z3860" t="s">
        <v>29435</v>
      </c>
      <c r="AA3860">
        <v>0.51275897499139533</v>
      </c>
      <c r="AB3860" t="str">
        <f>HYPERLINK("Melting_Curves/meltCurve_Q5VW36_FOCAD.pdf", "Melting_Curves/meltCurve_Q5VW36_FOCAD.pdf")</f>
        <v>Melting_Curves/meltCurve_Q5VW36_FOCAD.pdf</v>
      </c>
    </row>
    <row r="3861" spans="1:28" x14ac:dyDescent="0.25">
      <c r="A3861" t="s">
        <v>3865</v>
      </c>
      <c r="B3861">
        <v>0.99673306730245903</v>
      </c>
      <c r="C3861">
        <v>0.94772179803509005</v>
      </c>
      <c r="D3861">
        <v>0.93125021413238895</v>
      </c>
      <c r="E3861">
        <v>0.93337522725139899</v>
      </c>
      <c r="F3861">
        <v>0.11299542357749499</v>
      </c>
      <c r="G3861">
        <v>7.3352840438826006E-2</v>
      </c>
      <c r="H3861">
        <v>3.1494507445853699E-2</v>
      </c>
      <c r="I3861">
        <v>4.0004412675525701E-2</v>
      </c>
      <c r="J3861">
        <v>4.8805583486992002E-2</v>
      </c>
      <c r="K3861">
        <v>2.57150898391065E-2</v>
      </c>
      <c r="L3861">
        <v>3746.25411218412</v>
      </c>
      <c r="M3861">
        <v>72.950395714655897</v>
      </c>
      <c r="N3861">
        <v>51.417633696399498</v>
      </c>
      <c r="O3861">
        <v>51.314916250901099</v>
      </c>
      <c r="P3861">
        <v>-0.33993756849610601</v>
      </c>
      <c r="Q3861">
        <v>4.3522278564706599E-2</v>
      </c>
      <c r="R3861">
        <v>0.99546835198404904</v>
      </c>
      <c r="S3861" t="s">
        <v>10313</v>
      </c>
      <c r="T3861" t="s">
        <v>12902</v>
      </c>
      <c r="U3861" t="s">
        <v>12902</v>
      </c>
      <c r="V3861" t="s">
        <v>12902</v>
      </c>
      <c r="W3861" t="s">
        <v>16718</v>
      </c>
      <c r="X3861">
        <v>3</v>
      </c>
      <c r="Y3861" t="s">
        <v>23031</v>
      </c>
      <c r="Z3861" t="s">
        <v>29436</v>
      </c>
      <c r="AA3861">
        <v>0.4065143060154453</v>
      </c>
      <c r="AB3861" t="str">
        <f>HYPERLINK("Melting_Curves/meltCurve_Q5VW52_GPAM.pdf", "Melting_Curves/meltCurve_Q5VW52_GPAM.pdf")</f>
        <v>Melting_Curves/meltCurve_Q5VW52_GPAM.pdf</v>
      </c>
    </row>
    <row r="3862" spans="1:28" x14ac:dyDescent="0.25">
      <c r="A3862" t="s">
        <v>3866</v>
      </c>
      <c r="B3862">
        <v>0.99673306730245903</v>
      </c>
      <c r="C3862">
        <v>1.0042142573400401</v>
      </c>
      <c r="D3862">
        <v>0.93161026244703904</v>
      </c>
      <c r="E3862">
        <v>0.80908551128922201</v>
      </c>
      <c r="F3862">
        <v>0.32990546028643197</v>
      </c>
      <c r="G3862">
        <v>0.21336911014878299</v>
      </c>
      <c r="H3862">
        <v>0.12373246067033999</v>
      </c>
      <c r="I3862">
        <v>9.80834996880416E-2</v>
      </c>
      <c r="J3862">
        <v>0.103251678414746</v>
      </c>
      <c r="K3862">
        <v>8.6499322624836894E-2</v>
      </c>
      <c r="L3862">
        <v>1486.40961569668</v>
      </c>
      <c r="M3862">
        <v>28.841563357704</v>
      </c>
      <c r="N3862">
        <v>51.965933050360903</v>
      </c>
      <c r="O3862">
        <v>51.291212827660701</v>
      </c>
      <c r="P3862">
        <v>-0.12569016697907101</v>
      </c>
      <c r="Q3862">
        <v>0.10590810841942</v>
      </c>
      <c r="R3862">
        <v>0.99553343130455196</v>
      </c>
      <c r="S3862" t="s">
        <v>10314</v>
      </c>
      <c r="T3862" t="s">
        <v>12902</v>
      </c>
      <c r="U3862" t="s">
        <v>12902</v>
      </c>
      <c r="V3862" t="s">
        <v>12902</v>
      </c>
      <c r="W3862" t="s">
        <v>16719</v>
      </c>
      <c r="X3862">
        <v>5</v>
      </c>
      <c r="Y3862" t="s">
        <v>23032</v>
      </c>
      <c r="Z3862" t="s">
        <v>29437</v>
      </c>
      <c r="AA3862">
        <v>0.45588093118981271</v>
      </c>
      <c r="AB3862" t="str">
        <f>HYPERLINK("Melting_Curves/meltCurve_Q5VWJ9_SNX30.pdf", "Melting_Curves/meltCurve_Q5VWJ9_SNX30.pdf")</f>
        <v>Melting_Curves/meltCurve_Q5VWJ9_SNX30.pdf</v>
      </c>
    </row>
    <row r="3863" spans="1:28" x14ac:dyDescent="0.25">
      <c r="A3863" t="s">
        <v>3867</v>
      </c>
      <c r="B3863">
        <v>0.99673306730245903</v>
      </c>
      <c r="C3863">
        <v>0.93558895548272403</v>
      </c>
      <c r="D3863">
        <v>0.79012488801641301</v>
      </c>
      <c r="E3863">
        <v>0.73483866450813795</v>
      </c>
      <c r="F3863">
        <v>0.68853185126716898</v>
      </c>
      <c r="G3863">
        <v>0.58852849786197103</v>
      </c>
      <c r="H3863">
        <v>0.44346473607397802</v>
      </c>
      <c r="I3863">
        <v>0.59583415955389196</v>
      </c>
      <c r="J3863">
        <v>0.63484862226100602</v>
      </c>
      <c r="K3863">
        <v>0.56541162291855196</v>
      </c>
      <c r="L3863">
        <v>679.74331570236404</v>
      </c>
      <c r="M3863">
        <v>14.280067071365201</v>
      </c>
      <c r="O3863">
        <v>46.696557921979</v>
      </c>
      <c r="P3863">
        <v>-3.3778676568952101E-2</v>
      </c>
      <c r="Q3863">
        <v>0.55822206082214698</v>
      </c>
      <c r="R3863">
        <v>0.89058051181561304</v>
      </c>
      <c r="S3863" t="s">
        <v>10315</v>
      </c>
      <c r="T3863" t="s">
        <v>12902</v>
      </c>
      <c r="U3863" t="s">
        <v>12902</v>
      </c>
      <c r="V3863" t="s">
        <v>12902</v>
      </c>
      <c r="W3863" t="s">
        <v>16720</v>
      </c>
      <c r="X3863">
        <v>5</v>
      </c>
      <c r="Y3863" t="s">
        <v>23033</v>
      </c>
      <c r="Z3863" t="s">
        <v>29438</v>
      </c>
      <c r="AA3863">
        <v>0.68294271942795459</v>
      </c>
      <c r="AB3863" t="str">
        <f>HYPERLINK("Melting_Curves/meltCurve_Q5VWP2_FAM46C.pdf", "Melting_Curves/meltCurve_Q5VWP2_FAM46C.pdf")</f>
        <v>Melting_Curves/meltCurve_Q5VWP2_FAM46C.pdf</v>
      </c>
    </row>
    <row r="3864" spans="1:28" x14ac:dyDescent="0.25">
      <c r="A3864" t="s">
        <v>3868</v>
      </c>
      <c r="B3864">
        <v>0.99673306730245903</v>
      </c>
      <c r="C3864">
        <v>0.92496996903919804</v>
      </c>
      <c r="D3864">
        <v>0.90244511568230101</v>
      </c>
      <c r="E3864">
        <v>0.94631504764921703</v>
      </c>
      <c r="F3864">
        <v>0.70118007753587297</v>
      </c>
      <c r="G3864">
        <v>0.393259312760674</v>
      </c>
      <c r="H3864">
        <v>0.16969639988815599</v>
      </c>
      <c r="I3864">
        <v>0.22471854086031101</v>
      </c>
      <c r="J3864">
        <v>0.19770149235635401</v>
      </c>
      <c r="K3864">
        <v>0.20284651781782201</v>
      </c>
      <c r="L3864">
        <v>1461.94180794452</v>
      </c>
      <c r="M3864">
        <v>26.932911818109499</v>
      </c>
      <c r="N3864">
        <v>55.240693690812897</v>
      </c>
      <c r="O3864">
        <v>53.984273755554</v>
      </c>
      <c r="P3864">
        <v>-0.10142046032952701</v>
      </c>
      <c r="Q3864">
        <v>0.186860388507015</v>
      </c>
      <c r="R3864">
        <v>0.98394710268864605</v>
      </c>
      <c r="S3864" t="s">
        <v>10316</v>
      </c>
      <c r="T3864" t="s">
        <v>12902</v>
      </c>
      <c r="U3864" t="s">
        <v>12902</v>
      </c>
      <c r="V3864" t="s">
        <v>12902</v>
      </c>
      <c r="W3864" t="s">
        <v>16721</v>
      </c>
      <c r="X3864">
        <v>10</v>
      </c>
      <c r="Y3864" t="s">
        <v>23034</v>
      </c>
      <c r="Z3864" t="s">
        <v>29439</v>
      </c>
      <c r="AA3864">
        <v>0.58050737931322738</v>
      </c>
      <c r="AB3864" t="str">
        <f>HYPERLINK("Melting_Curves/meltCurve_Q5VWQ0_RSBN1.pdf", "Melting_Curves/meltCurve_Q5VWQ0_RSBN1.pdf")</f>
        <v>Melting_Curves/meltCurve_Q5VWQ0_RSBN1.pdf</v>
      </c>
    </row>
    <row r="3865" spans="1:28" x14ac:dyDescent="0.25">
      <c r="A3865" t="s">
        <v>3869</v>
      </c>
      <c r="B3865">
        <v>0.99673306730245903</v>
      </c>
      <c r="C3865">
        <v>0.86351121845151602</v>
      </c>
      <c r="D3865">
        <v>0.58462187847402303</v>
      </c>
      <c r="E3865">
        <v>0.33873515281147598</v>
      </c>
      <c r="F3865">
        <v>0.26375588902699298</v>
      </c>
      <c r="G3865">
        <v>0.17772680617797701</v>
      </c>
      <c r="H3865">
        <v>0.12823070857716401</v>
      </c>
      <c r="I3865">
        <v>0.14799272107658901</v>
      </c>
      <c r="J3865">
        <v>0.180034911357729</v>
      </c>
      <c r="K3865">
        <v>0.16610235307533799</v>
      </c>
      <c r="L3865">
        <v>913.02470088768905</v>
      </c>
      <c r="M3865">
        <v>19.723620278521501</v>
      </c>
      <c r="N3865">
        <v>47.213599253321298</v>
      </c>
      <c r="O3865">
        <v>45.822969821758299</v>
      </c>
      <c r="P3865">
        <v>-9.0401456017009593E-2</v>
      </c>
      <c r="Q3865">
        <v>0.15992717666411899</v>
      </c>
      <c r="R3865">
        <v>0.99378174183868595</v>
      </c>
      <c r="S3865" t="s">
        <v>10317</v>
      </c>
      <c r="T3865" t="s">
        <v>12902</v>
      </c>
      <c r="U3865" t="s">
        <v>12902</v>
      </c>
      <c r="V3865" t="s">
        <v>12902</v>
      </c>
      <c r="W3865" t="s">
        <v>16722</v>
      </c>
      <c r="X3865">
        <v>14</v>
      </c>
      <c r="Y3865" t="s">
        <v>23035</v>
      </c>
      <c r="Z3865" t="s">
        <v>29440</v>
      </c>
      <c r="AA3865">
        <v>0.34923822741114668</v>
      </c>
      <c r="AB3865" t="str">
        <f>HYPERLINK("Melting_Curves/meltCurve_Q5VWQ8_2_DAB2IP.pdf", "Melting_Curves/meltCurve_Q5VWQ8_2_DAB2IP.pdf")</f>
        <v>Melting_Curves/meltCurve_Q5VWQ8_2_DAB2IP.pdf</v>
      </c>
    </row>
    <row r="3866" spans="1:28" x14ac:dyDescent="0.25">
      <c r="A3866" t="s">
        <v>3870</v>
      </c>
      <c r="B3866">
        <v>0.99673306730245903</v>
      </c>
      <c r="C3866">
        <v>0.891497115760154</v>
      </c>
      <c r="D3866">
        <v>0.63932473327624195</v>
      </c>
      <c r="E3866">
        <v>0.34668025832815902</v>
      </c>
      <c r="F3866">
        <v>0.25519971275856101</v>
      </c>
      <c r="G3866">
        <v>0.169402628725011</v>
      </c>
      <c r="H3866">
        <v>0.116426336793608</v>
      </c>
      <c r="I3866">
        <v>0.119205165333722</v>
      </c>
      <c r="J3866">
        <v>0.14226435077386401</v>
      </c>
      <c r="K3866">
        <v>0.12584655443321399</v>
      </c>
      <c r="L3866">
        <v>897.65809366342398</v>
      </c>
      <c r="M3866">
        <v>19.106223362325601</v>
      </c>
      <c r="N3866">
        <v>47.7285538731062</v>
      </c>
      <c r="O3866">
        <v>46.476896530350601</v>
      </c>
      <c r="P3866">
        <v>-8.9509056194858494E-2</v>
      </c>
      <c r="Q3866">
        <v>0.12909195111139801</v>
      </c>
      <c r="R3866">
        <v>0.99606628486583404</v>
      </c>
      <c r="S3866" t="s">
        <v>10318</v>
      </c>
      <c r="T3866" t="s">
        <v>12902</v>
      </c>
      <c r="U3866" t="s">
        <v>12902</v>
      </c>
      <c r="V3866" t="s">
        <v>12902</v>
      </c>
      <c r="W3866" t="s">
        <v>16723</v>
      </c>
      <c r="X3866">
        <v>14</v>
      </c>
      <c r="Y3866" t="s">
        <v>23036</v>
      </c>
      <c r="Z3866" t="s">
        <v>29441</v>
      </c>
      <c r="AA3866">
        <v>0.34590859927718298</v>
      </c>
      <c r="AB3866" t="str">
        <f>HYPERLINK("Melting_Curves/meltCurve_Q5VWV2_PARD3.pdf", "Melting_Curves/meltCurve_Q5VWV2_PARD3.pdf")</f>
        <v>Melting_Curves/meltCurve_Q5VWV2_PARD3.pdf</v>
      </c>
    </row>
    <row r="3867" spans="1:28" x14ac:dyDescent="0.25">
      <c r="A3867" t="s">
        <v>3871</v>
      </c>
      <c r="B3867">
        <v>0.99673306730245903</v>
      </c>
      <c r="C3867">
        <v>0.96806956859065696</v>
      </c>
      <c r="D3867">
        <v>0.94754149809680599</v>
      </c>
      <c r="E3867">
        <v>0.898227462860402</v>
      </c>
      <c r="F3867">
        <v>0.46484093431933399</v>
      </c>
      <c r="G3867">
        <v>0.198496054227526</v>
      </c>
      <c r="H3867">
        <v>0.11740241067584301</v>
      </c>
      <c r="I3867">
        <v>8.4255466609877094E-2</v>
      </c>
      <c r="J3867">
        <v>7.3246417324738397E-2</v>
      </c>
      <c r="K3867">
        <v>4.8734312634810803E-2</v>
      </c>
      <c r="L3867">
        <v>1490.65615092792</v>
      </c>
      <c r="M3867">
        <v>28.2480369027503</v>
      </c>
      <c r="N3867">
        <v>53.072276217164301</v>
      </c>
      <c r="O3867">
        <v>52.5079173185147</v>
      </c>
      <c r="P3867">
        <v>-0.124509794952335</v>
      </c>
      <c r="Q3867">
        <v>7.42442215883138E-2</v>
      </c>
      <c r="R3867">
        <v>0.99690200002029405</v>
      </c>
      <c r="S3867" t="s">
        <v>10319</v>
      </c>
      <c r="T3867" t="s">
        <v>12902</v>
      </c>
      <c r="U3867" t="s">
        <v>12902</v>
      </c>
      <c r="V3867" t="s">
        <v>12902</v>
      </c>
      <c r="W3867" t="s">
        <v>16724</v>
      </c>
      <c r="X3867">
        <v>6</v>
      </c>
      <c r="Y3867" t="s">
        <v>23037</v>
      </c>
      <c r="Z3867" t="s">
        <v>29442</v>
      </c>
      <c r="AA3867">
        <v>0.47504664815087999</v>
      </c>
      <c r="AB3867" t="str">
        <f>HYPERLINK("Melting_Curves/meltCurve_Q5VWZ2_LYPLAL1.pdf", "Melting_Curves/meltCurve_Q5VWZ2_LYPLAL1.pdf")</f>
        <v>Melting_Curves/meltCurve_Q5VWZ2_LYPLAL1.pdf</v>
      </c>
    </row>
    <row r="3868" spans="1:28" x14ac:dyDescent="0.25">
      <c r="A3868" t="s">
        <v>3872</v>
      </c>
      <c r="B3868">
        <v>0.99673306730245903</v>
      </c>
      <c r="C3868">
        <v>0.84397028424048504</v>
      </c>
      <c r="D3868">
        <v>0.59069450489436004</v>
      </c>
      <c r="E3868">
        <v>0.22659187720976601</v>
      </c>
      <c r="F3868">
        <v>0.169493370858873</v>
      </c>
      <c r="G3868">
        <v>0.115986301884291</v>
      </c>
      <c r="H3868">
        <v>6.9861335512902703E-2</v>
      </c>
      <c r="I3868">
        <v>6.3212500418825507E-2</v>
      </c>
      <c r="J3868">
        <v>6.2839738374305107E-2</v>
      </c>
      <c r="K3868">
        <v>5.5937249264223103E-2</v>
      </c>
      <c r="L3868">
        <v>977.66109050934801</v>
      </c>
      <c r="M3868">
        <v>21.075780990580601</v>
      </c>
      <c r="N3868">
        <v>46.725937098292398</v>
      </c>
      <c r="O3868">
        <v>45.976323306086798</v>
      </c>
      <c r="P3868">
        <v>-0.106500704734354</v>
      </c>
      <c r="Q3868">
        <v>7.0709359462701599E-2</v>
      </c>
      <c r="R3868">
        <v>0.99557827625644102</v>
      </c>
      <c r="S3868" t="s">
        <v>10320</v>
      </c>
      <c r="T3868" t="s">
        <v>12902</v>
      </c>
      <c r="U3868" t="s">
        <v>12902</v>
      </c>
      <c r="V3868" t="s">
        <v>12902</v>
      </c>
      <c r="W3868" t="s">
        <v>16725</v>
      </c>
      <c r="X3868">
        <v>26</v>
      </c>
      <c r="Y3868" t="s">
        <v>23038</v>
      </c>
      <c r="Z3868" t="s">
        <v>29443</v>
      </c>
      <c r="AA3868">
        <v>0.28102725405206369</v>
      </c>
      <c r="AB3868" t="str">
        <f>HYPERLINK("Melting_Curves/meltCurve_Q5VY93_ARHGEF2.pdf", "Melting_Curves/meltCurve_Q5VY93_ARHGEF2.pdf")</f>
        <v>Melting_Curves/meltCurve_Q5VY93_ARHGEF2.pdf</v>
      </c>
    </row>
    <row r="3869" spans="1:28" x14ac:dyDescent="0.25">
      <c r="A3869" t="s">
        <v>3873</v>
      </c>
      <c r="B3869">
        <v>0.99673306730245903</v>
      </c>
      <c r="C3869">
        <v>0.92570182176846705</v>
      </c>
      <c r="D3869">
        <v>0.89861909751464297</v>
      </c>
      <c r="E3869">
        <v>0.63144526491935504</v>
      </c>
      <c r="F3869">
        <v>0.22790891656454401</v>
      </c>
      <c r="G3869">
        <v>0.13257404500902101</v>
      </c>
      <c r="H3869">
        <v>8.4052255412201099E-2</v>
      </c>
      <c r="I3869">
        <v>7.4727765364597298E-2</v>
      </c>
      <c r="J3869">
        <v>6.6793817928778101E-2</v>
      </c>
      <c r="K3869">
        <v>6.5938121208021006E-2</v>
      </c>
      <c r="L3869">
        <v>1228.2052659142701</v>
      </c>
      <c r="M3869">
        <v>24.445933775642601</v>
      </c>
      <c r="N3869">
        <v>50.538812574592001</v>
      </c>
      <c r="O3869">
        <v>49.909115759896402</v>
      </c>
      <c r="P3869">
        <v>-0.114257856832801</v>
      </c>
      <c r="Q3869">
        <v>6.6932788007868199E-2</v>
      </c>
      <c r="R3869">
        <v>0.99623669361606204</v>
      </c>
      <c r="S3869" t="s">
        <v>10321</v>
      </c>
      <c r="T3869" t="s">
        <v>12902</v>
      </c>
      <c r="U3869" t="s">
        <v>12902</v>
      </c>
      <c r="V3869" t="s">
        <v>12902</v>
      </c>
      <c r="W3869" t="s">
        <v>16726</v>
      </c>
      <c r="X3869">
        <v>12</v>
      </c>
      <c r="Y3869" t="s">
        <v>23039</v>
      </c>
      <c r="Z3869" t="s">
        <v>29444</v>
      </c>
      <c r="AA3869">
        <v>0.39421585550409521</v>
      </c>
      <c r="AB3869" t="str">
        <f>HYPERLINK("Melting_Curves/meltCurve_Q5VZE5_NAA35.pdf", "Melting_Curves/meltCurve_Q5VZE5_NAA35.pdf")</f>
        <v>Melting_Curves/meltCurve_Q5VZE5_NAA35.pdf</v>
      </c>
    </row>
    <row r="3870" spans="1:28" x14ac:dyDescent="0.25">
      <c r="A3870" t="s">
        <v>3874</v>
      </c>
      <c r="B3870">
        <v>0.99673306730245903</v>
      </c>
      <c r="C3870">
        <v>0.95418076046195399</v>
      </c>
      <c r="D3870">
        <v>0.96085296588880398</v>
      </c>
      <c r="E3870">
        <v>1.0062635192077301</v>
      </c>
      <c r="F3870">
        <v>0.74410119377131601</v>
      </c>
      <c r="G3870">
        <v>0.24303211020006099</v>
      </c>
      <c r="H3870">
        <v>0.14128643951607001</v>
      </c>
      <c r="I3870">
        <v>0.134935828974731</v>
      </c>
      <c r="J3870">
        <v>0.16044611740252701</v>
      </c>
      <c r="K3870">
        <v>0.18761893097898999</v>
      </c>
      <c r="L3870">
        <v>2581.3348748851799</v>
      </c>
      <c r="M3870">
        <v>47.674571353459299</v>
      </c>
      <c r="N3870">
        <v>54.572374118875402</v>
      </c>
      <c r="O3870">
        <v>54.049888859215599</v>
      </c>
      <c r="P3870">
        <v>-0.186151620533511</v>
      </c>
      <c r="Q3870">
        <v>0.15582133108342799</v>
      </c>
      <c r="R3870">
        <v>0.996119337163621</v>
      </c>
      <c r="S3870" t="s">
        <v>10322</v>
      </c>
      <c r="T3870" t="s">
        <v>12902</v>
      </c>
      <c r="U3870" t="s">
        <v>12902</v>
      </c>
      <c r="V3870" t="s">
        <v>12902</v>
      </c>
      <c r="W3870" t="s">
        <v>16727</v>
      </c>
      <c r="X3870">
        <v>23</v>
      </c>
      <c r="Y3870" t="s">
        <v>23040</v>
      </c>
      <c r="Z3870" t="s">
        <v>29445</v>
      </c>
      <c r="AA3870">
        <v>0.55606652634128195</v>
      </c>
      <c r="AB3870" t="str">
        <f>HYPERLINK("Melting_Curves/meltCurve_Q5VZK9_LRRC16A.pdf", "Melting_Curves/meltCurve_Q5VZK9_LRRC16A.pdf")</f>
        <v>Melting_Curves/meltCurve_Q5VZK9_LRRC16A.pdf</v>
      </c>
    </row>
    <row r="3871" spans="1:28" x14ac:dyDescent="0.25">
      <c r="A3871" t="s">
        <v>3875</v>
      </c>
      <c r="B3871">
        <v>0.99673306730245903</v>
      </c>
      <c r="C3871">
        <v>0.85137098814155299</v>
      </c>
      <c r="D3871">
        <v>0.81594615254110503</v>
      </c>
      <c r="E3871">
        <v>0.57448215668462599</v>
      </c>
      <c r="F3871">
        <v>0.36433223188815</v>
      </c>
      <c r="G3871">
        <v>0.19058541396894099</v>
      </c>
      <c r="H3871">
        <v>0.167273253050117</v>
      </c>
      <c r="I3871">
        <v>0.15662750725367999</v>
      </c>
      <c r="J3871">
        <v>0.13024418761398601</v>
      </c>
      <c r="K3871">
        <v>0.13137964347619199</v>
      </c>
      <c r="L3871">
        <v>726.53740259694098</v>
      </c>
      <c r="M3871">
        <v>14.616506542439501</v>
      </c>
      <c r="N3871">
        <v>50.561558682665698</v>
      </c>
      <c r="O3871">
        <v>48.8040226661033</v>
      </c>
      <c r="P3871">
        <v>-6.6683367402476795E-2</v>
      </c>
      <c r="Q3871">
        <v>0.10948552020141999</v>
      </c>
      <c r="R3871">
        <v>0.99220891490098295</v>
      </c>
      <c r="S3871" t="s">
        <v>10323</v>
      </c>
      <c r="T3871" t="s">
        <v>12902</v>
      </c>
      <c r="U3871" t="s">
        <v>12902</v>
      </c>
      <c r="V3871" t="s">
        <v>12902</v>
      </c>
      <c r="W3871" t="s">
        <v>16728</v>
      </c>
      <c r="X3871">
        <v>3</v>
      </c>
      <c r="Y3871" t="s">
        <v>23041</v>
      </c>
      <c r="Z3871" t="s">
        <v>29446</v>
      </c>
      <c r="AA3871">
        <v>0.42007546367261622</v>
      </c>
      <c r="AB3871" t="str">
        <f>HYPERLINK("Melting_Curves/meltCurve_Q5W0A2_ITM2B.pdf", "Melting_Curves/meltCurve_Q5W0A2_ITM2B.pdf")</f>
        <v>Melting_Curves/meltCurve_Q5W0A2_ITM2B.pdf</v>
      </c>
    </row>
    <row r="3872" spans="1:28" x14ac:dyDescent="0.25">
      <c r="A3872" t="s">
        <v>3876</v>
      </c>
      <c r="B3872">
        <v>0.99673306730245903</v>
      </c>
      <c r="C3872">
        <v>0.87857448005737604</v>
      </c>
      <c r="D3872">
        <v>0.85615659647284903</v>
      </c>
      <c r="E3872">
        <v>0.58818339768859795</v>
      </c>
      <c r="F3872">
        <v>0.29637228880154898</v>
      </c>
      <c r="G3872">
        <v>0.17113869417786201</v>
      </c>
      <c r="H3872">
        <v>9.1928801793156795E-2</v>
      </c>
      <c r="I3872">
        <v>9.3304731911491301E-2</v>
      </c>
      <c r="J3872">
        <v>0.108432795876302</v>
      </c>
      <c r="K3872">
        <v>0.10916328912800199</v>
      </c>
      <c r="L3872">
        <v>904.06854638434299</v>
      </c>
      <c r="M3872">
        <v>18.106326268856002</v>
      </c>
      <c r="N3872">
        <v>50.437455693971202</v>
      </c>
      <c r="O3872">
        <v>49.333970993469201</v>
      </c>
      <c r="P3872">
        <v>-8.41324873615103E-2</v>
      </c>
      <c r="Q3872">
        <v>8.3107177933891302E-2</v>
      </c>
      <c r="R3872">
        <v>0.99343289693141001</v>
      </c>
      <c r="S3872" t="s">
        <v>10324</v>
      </c>
      <c r="T3872" t="s">
        <v>12902</v>
      </c>
      <c r="U3872" t="s">
        <v>12902</v>
      </c>
      <c r="V3872" t="s">
        <v>12902</v>
      </c>
      <c r="W3872" t="s">
        <v>16729</v>
      </c>
      <c r="X3872">
        <v>2</v>
      </c>
      <c r="Y3872" t="s">
        <v>23042</v>
      </c>
      <c r="Z3872" t="s">
        <v>29447</v>
      </c>
      <c r="AA3872">
        <v>0.40210761515553178</v>
      </c>
      <c r="AB3872" t="str">
        <f>HYPERLINK("Melting_Curves/meltCurve_Q5W0U4_BSPRY.pdf", "Melting_Curves/meltCurve_Q5W0U4_BSPRY.pdf")</f>
        <v>Melting_Curves/meltCurve_Q5W0U4_BSPRY.pdf</v>
      </c>
    </row>
    <row r="3873" spans="1:28" x14ac:dyDescent="0.25">
      <c r="A3873" t="s">
        <v>3877</v>
      </c>
      <c r="B3873">
        <v>0.99673306730245903</v>
      </c>
      <c r="C3873">
        <v>0.91869833890063801</v>
      </c>
      <c r="D3873">
        <v>0.77248877049119202</v>
      </c>
      <c r="E3873">
        <v>0.63065593418088495</v>
      </c>
      <c r="F3873">
        <v>0.36536739107419203</v>
      </c>
      <c r="G3873">
        <v>0.22618030699219199</v>
      </c>
      <c r="H3873">
        <v>9.7391511004128906E-2</v>
      </c>
      <c r="I3873">
        <v>7.04002860647166E-2</v>
      </c>
      <c r="J3873">
        <v>1.41427904459441E-2</v>
      </c>
      <c r="K3873">
        <v>0</v>
      </c>
      <c r="L3873">
        <v>673.92220153839605</v>
      </c>
      <c r="M3873">
        <v>13.187696561754001</v>
      </c>
      <c r="N3873">
        <v>51.102343691550601</v>
      </c>
      <c r="O3873">
        <v>49.9701836438811</v>
      </c>
      <c r="P3873">
        <v>-6.5988882714164504E-2</v>
      </c>
      <c r="Q3873">
        <v>0</v>
      </c>
      <c r="R3873">
        <v>0.99625922585161497</v>
      </c>
      <c r="S3873" t="s">
        <v>10325</v>
      </c>
      <c r="T3873" t="s">
        <v>12902</v>
      </c>
      <c r="U3873" t="s">
        <v>12902</v>
      </c>
      <c r="V3873" t="s">
        <v>12902</v>
      </c>
      <c r="W3873" t="s">
        <v>16730</v>
      </c>
      <c r="X3873">
        <v>3</v>
      </c>
      <c r="Y3873" t="s">
        <v>23043</v>
      </c>
      <c r="Z3873" t="s">
        <v>29448</v>
      </c>
      <c r="AA3873">
        <v>0.39830104390755328</v>
      </c>
      <c r="AB3873" t="str">
        <f>HYPERLINK("Melting_Curves/meltCurve_Q5W0V3_FAM160B1.pdf", "Melting_Curves/meltCurve_Q5W0V3_FAM160B1.pdf")</f>
        <v>Melting_Curves/meltCurve_Q5W0V3_FAM160B1.pdf</v>
      </c>
    </row>
    <row r="3874" spans="1:28" x14ac:dyDescent="0.25">
      <c r="A3874" t="s">
        <v>3878</v>
      </c>
      <c r="B3874">
        <v>0.99673306730245903</v>
      </c>
      <c r="C3874">
        <v>0.90228435181834299</v>
      </c>
      <c r="D3874">
        <v>0.88633788799187196</v>
      </c>
      <c r="E3874">
        <v>0.73347434184982696</v>
      </c>
      <c r="F3874">
        <v>0.75061705100110498</v>
      </c>
      <c r="G3874">
        <v>0.57349965884954002</v>
      </c>
      <c r="H3874">
        <v>0.45548843121780802</v>
      </c>
      <c r="I3874">
        <v>0.31489762869284099</v>
      </c>
      <c r="J3874">
        <v>0.214881731724747</v>
      </c>
      <c r="K3874">
        <v>0.145717953857602</v>
      </c>
      <c r="L3874">
        <v>489.551401963594</v>
      </c>
      <c r="M3874">
        <v>8.4116085776352207</v>
      </c>
      <c r="N3874">
        <v>58.199498724343101</v>
      </c>
      <c r="O3874">
        <v>55.189151144688999</v>
      </c>
      <c r="P3874">
        <v>-3.81392519683528E-2</v>
      </c>
      <c r="Q3874">
        <v>0</v>
      </c>
      <c r="R3874">
        <v>0.97704288281769203</v>
      </c>
      <c r="S3874" t="s">
        <v>10326</v>
      </c>
      <c r="T3874" t="s">
        <v>12902</v>
      </c>
      <c r="U3874" t="s">
        <v>12902</v>
      </c>
      <c r="V3874" t="s">
        <v>12902</v>
      </c>
      <c r="W3874" t="s">
        <v>16731</v>
      </c>
      <c r="X3874">
        <v>6</v>
      </c>
      <c r="Y3874" t="s">
        <v>19474</v>
      </c>
      <c r="Z3874" t="s">
        <v>29449</v>
      </c>
      <c r="AA3874">
        <v>0.61029926036413396</v>
      </c>
      <c r="AB3874" t="str">
        <f>HYPERLINK("Melting_Curves/meltCurve_Q5W0Z9_3_ZDHHC20.pdf", "Melting_Curves/meltCurve_Q5W0Z9_3_ZDHHC20.pdf")</f>
        <v>Melting_Curves/meltCurve_Q5W0Z9_3_ZDHHC20.pdf</v>
      </c>
    </row>
    <row r="3875" spans="1:28" x14ac:dyDescent="0.25">
      <c r="A3875" t="s">
        <v>3879</v>
      </c>
      <c r="B3875">
        <v>0.99673306730245903</v>
      </c>
      <c r="C3875">
        <v>1.0431051131468001</v>
      </c>
      <c r="D3875">
        <v>1.0353276416833299</v>
      </c>
      <c r="E3875">
        <v>0.90501950250379704</v>
      </c>
      <c r="F3875">
        <v>0.63965018869749701</v>
      </c>
      <c r="G3875">
        <v>0.25413482271072302</v>
      </c>
      <c r="H3875">
        <v>0.12540556873882999</v>
      </c>
      <c r="I3875">
        <v>0.117806048954875</v>
      </c>
      <c r="J3875">
        <v>0.12599041845101999</v>
      </c>
      <c r="K3875">
        <v>0.13068330110189799</v>
      </c>
      <c r="L3875">
        <v>1634.9890691882299</v>
      </c>
      <c r="M3875">
        <v>30.418338292593599</v>
      </c>
      <c r="N3875">
        <v>54.220315949750898</v>
      </c>
      <c r="O3875">
        <v>53.519393098082404</v>
      </c>
      <c r="P3875">
        <v>-0.12561803652356501</v>
      </c>
      <c r="Q3875">
        <v>0.1159331018167</v>
      </c>
      <c r="R3875">
        <v>0.99677915744621204</v>
      </c>
      <c r="S3875" t="s">
        <v>10327</v>
      </c>
      <c r="T3875" t="s">
        <v>12902</v>
      </c>
      <c r="U3875" t="s">
        <v>12902</v>
      </c>
      <c r="V3875" t="s">
        <v>12902</v>
      </c>
      <c r="W3875" t="s">
        <v>16732</v>
      </c>
      <c r="X3875">
        <v>8</v>
      </c>
      <c r="Y3875" t="s">
        <v>23044</v>
      </c>
      <c r="Z3875" t="s">
        <v>29450</v>
      </c>
      <c r="AA3875">
        <v>0.52677026965983909</v>
      </c>
      <c r="AB3875" t="str">
        <f>HYPERLINK("Melting_Curves/meltCurve_Q5W111_SPRYD7.pdf", "Melting_Curves/meltCurve_Q5W111_SPRYD7.pdf")</f>
        <v>Melting_Curves/meltCurve_Q5W111_SPRYD7.pdf</v>
      </c>
    </row>
    <row r="3876" spans="1:28" x14ac:dyDescent="0.25">
      <c r="A3876" t="s">
        <v>3880</v>
      </c>
      <c r="B3876">
        <v>0.99673306730245903</v>
      </c>
      <c r="C3876">
        <v>1.0206111954286401</v>
      </c>
      <c r="D3876">
        <v>0.99618253045601801</v>
      </c>
      <c r="E3876">
        <v>0.95705034543738599</v>
      </c>
      <c r="F3876">
        <v>1.0610086613880401</v>
      </c>
      <c r="G3876">
        <v>1.1929359138528499</v>
      </c>
      <c r="H3876">
        <v>0.95807223181186696</v>
      </c>
      <c r="I3876">
        <v>0.97066755796844695</v>
      </c>
      <c r="J3876">
        <v>1.0609269870731499</v>
      </c>
      <c r="K3876">
        <v>0.97415660711254404</v>
      </c>
      <c r="L3876">
        <v>3259.3993594878998</v>
      </c>
      <c r="M3876">
        <v>63.282673342353803</v>
      </c>
      <c r="O3876">
        <v>51.454039852686499</v>
      </c>
      <c r="P3876">
        <v>1.0989167071836401E-2</v>
      </c>
      <c r="Q3876">
        <v>1.0357403897334001</v>
      </c>
      <c r="R3876">
        <v>8.2188966676182695E-2</v>
      </c>
      <c r="S3876" t="s">
        <v>10328</v>
      </c>
      <c r="T3876" t="s">
        <v>12902</v>
      </c>
      <c r="U3876" t="s">
        <v>12902</v>
      </c>
      <c r="V3876" t="s">
        <v>12902</v>
      </c>
      <c r="W3876" t="s">
        <v>16733</v>
      </c>
      <c r="X3876">
        <v>7</v>
      </c>
      <c r="Y3876" t="s">
        <v>23045</v>
      </c>
      <c r="Z3876" t="s">
        <v>29451</v>
      </c>
      <c r="AA3876">
        <v>1.0219828913381239</v>
      </c>
      <c r="AB3876" t="str">
        <f>HYPERLINK("Melting_Curves/meltCurve_Q5W145_NDUFB8.pdf", "Melting_Curves/meltCurve_Q5W145_NDUFB8.pdf")</f>
        <v>Melting_Curves/meltCurve_Q5W145_NDUFB8.pdf</v>
      </c>
    </row>
    <row r="3877" spans="1:28" x14ac:dyDescent="0.25">
      <c r="A3877" t="s">
        <v>3881</v>
      </c>
      <c r="B3877">
        <v>0.99673306730245903</v>
      </c>
      <c r="C3877">
        <v>0.97940878357350103</v>
      </c>
      <c r="D3877">
        <v>0.87427227323089296</v>
      </c>
      <c r="E3877">
        <v>0.743204629035773</v>
      </c>
      <c r="F3877">
        <v>0.49179537784932098</v>
      </c>
      <c r="G3877">
        <v>0.439560359216775</v>
      </c>
      <c r="H3877">
        <v>0.34253680792323099</v>
      </c>
      <c r="I3877">
        <v>0.28541832126968403</v>
      </c>
      <c r="J3877">
        <v>0.40161790712950401</v>
      </c>
      <c r="K3877">
        <v>0.32527839099870298</v>
      </c>
      <c r="L3877">
        <v>903.63789357487894</v>
      </c>
      <c r="M3877">
        <v>17.906712538033599</v>
      </c>
      <c r="N3877">
        <v>53.669321844922798</v>
      </c>
      <c r="O3877">
        <v>49.846906766407301</v>
      </c>
      <c r="P3877">
        <v>-6.0316541635727597E-2</v>
      </c>
      <c r="Q3877">
        <v>0.32842131839539102</v>
      </c>
      <c r="R3877">
        <v>0.98442547964973404</v>
      </c>
      <c r="S3877" t="s">
        <v>10329</v>
      </c>
      <c r="T3877" t="s">
        <v>12902</v>
      </c>
      <c r="U3877" t="s">
        <v>12902</v>
      </c>
      <c r="V3877" t="s">
        <v>12902</v>
      </c>
      <c r="W3877" t="s">
        <v>16734</v>
      </c>
      <c r="X3877">
        <v>3</v>
      </c>
      <c r="Y3877" t="s">
        <v>23046</v>
      </c>
      <c r="Z3877" t="s">
        <v>29452</v>
      </c>
      <c r="AA3877">
        <v>0.57415706051017901</v>
      </c>
      <c r="AB3877" t="str">
        <f>HYPERLINK("Melting_Curves/meltCurve_Q5XKP0_QIL1.pdf", "Melting_Curves/meltCurve_Q5XKP0_QIL1.pdf")</f>
        <v>Melting_Curves/meltCurve_Q5XKP0_QIL1.pdf</v>
      </c>
    </row>
    <row r="3878" spans="1:28" x14ac:dyDescent="0.25">
      <c r="A3878" t="s">
        <v>3882</v>
      </c>
      <c r="B3878">
        <v>0.99673306730245903</v>
      </c>
      <c r="C3878">
        <v>0.98843348221834904</v>
      </c>
      <c r="D3878">
        <v>0.97086028342700303</v>
      </c>
      <c r="E3878">
        <v>0.972640260549823</v>
      </c>
      <c r="F3878">
        <v>0.67853923157761498</v>
      </c>
      <c r="G3878">
        <v>0.30405109772060501</v>
      </c>
      <c r="H3878">
        <v>0.17118908154624601</v>
      </c>
      <c r="I3878">
        <v>8.4264236404514803E-2</v>
      </c>
      <c r="J3878">
        <v>7.9017746602431702E-2</v>
      </c>
      <c r="K3878">
        <v>7.1090322981304799E-2</v>
      </c>
      <c r="L3878">
        <v>1470.3952819445501</v>
      </c>
      <c r="M3878">
        <v>26.9720852683263</v>
      </c>
      <c r="N3878">
        <v>54.868028827697302</v>
      </c>
      <c r="O3878">
        <v>54.218405374333202</v>
      </c>
      <c r="P3878">
        <v>-0.114473051356919</v>
      </c>
      <c r="Q3878">
        <v>7.9568924179315798E-2</v>
      </c>
      <c r="R3878">
        <v>0.99779587920796298</v>
      </c>
      <c r="S3878" t="s">
        <v>10330</v>
      </c>
      <c r="T3878" t="s">
        <v>12902</v>
      </c>
      <c r="U3878" t="s">
        <v>12902</v>
      </c>
      <c r="V3878" t="s">
        <v>12902</v>
      </c>
      <c r="W3878" t="s">
        <v>16735</v>
      </c>
      <c r="X3878">
        <v>6</v>
      </c>
      <c r="Y3878" t="s">
        <v>23047</v>
      </c>
      <c r="Z3878" t="s">
        <v>29453</v>
      </c>
      <c r="AA3878">
        <v>0.53234265099538625</v>
      </c>
      <c r="AB3878" t="str">
        <f>HYPERLINK("Melting_Curves/meltCurve_Q5XUX1_3_FBXW9.pdf", "Melting_Curves/meltCurve_Q5XUX1_3_FBXW9.pdf")</f>
        <v>Melting_Curves/meltCurve_Q5XUX1_3_FBXW9.pdf</v>
      </c>
    </row>
    <row r="3879" spans="1:28" x14ac:dyDescent="0.25">
      <c r="A3879" t="s">
        <v>3883</v>
      </c>
      <c r="B3879">
        <v>0.99673306730245903</v>
      </c>
      <c r="C3879">
        <v>0.89019483117136999</v>
      </c>
      <c r="D3879">
        <v>0.86037298532223005</v>
      </c>
      <c r="E3879">
        <v>0.85425774394438303</v>
      </c>
      <c r="F3879">
        <v>0.77892388679227398</v>
      </c>
      <c r="G3879">
        <v>0.70249109621748895</v>
      </c>
      <c r="H3879">
        <v>0.53442407202519004</v>
      </c>
      <c r="I3879">
        <v>0.74378308982931696</v>
      </c>
      <c r="J3879">
        <v>0.56044511145477605</v>
      </c>
      <c r="K3879">
        <v>0.48836501747369099</v>
      </c>
      <c r="L3879">
        <v>294.16556143046301</v>
      </c>
      <c r="M3879">
        <v>4.6996994238897498</v>
      </c>
      <c r="O3879">
        <v>53.808326208905697</v>
      </c>
      <c r="P3879">
        <v>-1.6695902609404099E-2</v>
      </c>
      <c r="Q3879">
        <v>0.24111297246448199</v>
      </c>
      <c r="R3879">
        <v>0.84797909551391204</v>
      </c>
      <c r="S3879" t="s">
        <v>10331</v>
      </c>
      <c r="T3879" t="s">
        <v>12902</v>
      </c>
      <c r="U3879" t="s">
        <v>12902</v>
      </c>
      <c r="V3879" t="s">
        <v>12902</v>
      </c>
      <c r="W3879" t="s">
        <v>16736</v>
      </c>
      <c r="X3879">
        <v>1</v>
      </c>
      <c r="Y3879" t="s">
        <v>23048</v>
      </c>
      <c r="Z3879" t="s">
        <v>29454</v>
      </c>
      <c r="AA3879">
        <v>0.74065615172942889</v>
      </c>
      <c r="AB3879" t="str">
        <f>HYPERLINK("Melting_Curves/meltCurve_Q5ZPR3_CD276.pdf", "Melting_Curves/meltCurve_Q5ZPR3_CD276.pdf")</f>
        <v>Melting_Curves/meltCurve_Q5ZPR3_CD276.pdf</v>
      </c>
    </row>
    <row r="3880" spans="1:28" x14ac:dyDescent="0.25">
      <c r="A3880" t="s">
        <v>3884</v>
      </c>
      <c r="B3880">
        <v>0.99673306730245903</v>
      </c>
      <c r="C3880">
        <v>0.85263385608176301</v>
      </c>
      <c r="D3880">
        <v>0.61265938524733699</v>
      </c>
      <c r="E3880">
        <v>0.23572880938355201</v>
      </c>
      <c r="F3880">
        <v>0.16285173328727501</v>
      </c>
      <c r="G3880">
        <v>8.7291908679539995E-2</v>
      </c>
      <c r="H3880">
        <v>5.79411831109767E-2</v>
      </c>
      <c r="I3880">
        <v>4.6480608644285798E-2</v>
      </c>
      <c r="J3880">
        <v>6.1150986663431099E-2</v>
      </c>
      <c r="K3880">
        <v>4.43241114358272E-2</v>
      </c>
      <c r="L3880">
        <v>973.481953046179</v>
      </c>
      <c r="M3880">
        <v>20.869596782578</v>
      </c>
      <c r="N3880">
        <v>46.912702735882696</v>
      </c>
      <c r="O3880">
        <v>46.2239868929301</v>
      </c>
      <c r="P3880">
        <v>-0.106559781799503</v>
      </c>
      <c r="Q3880">
        <v>5.5950615222098203E-2</v>
      </c>
      <c r="R3880">
        <v>0.99651135754354603</v>
      </c>
      <c r="S3880" t="s">
        <v>10332</v>
      </c>
      <c r="T3880" t="s">
        <v>12902</v>
      </c>
      <c r="U3880" t="s">
        <v>12902</v>
      </c>
      <c r="V3880" t="s">
        <v>12902</v>
      </c>
      <c r="W3880" t="s">
        <v>16737</v>
      </c>
      <c r="X3880">
        <v>14</v>
      </c>
      <c r="Y3880" t="s">
        <v>23049</v>
      </c>
      <c r="Z3880" t="s">
        <v>29455</v>
      </c>
      <c r="AA3880">
        <v>0.27784898635082261</v>
      </c>
      <c r="AB3880" t="str">
        <f>HYPERLINK("Melting_Curves/meltCurve_Q63HN8_RNF213.pdf", "Melting_Curves/meltCurve_Q63HN8_RNF213.pdf")</f>
        <v>Melting_Curves/meltCurve_Q63HN8_RNF213.pdf</v>
      </c>
    </row>
    <row r="3881" spans="1:28" x14ac:dyDescent="0.25">
      <c r="A3881" t="s">
        <v>3885</v>
      </c>
      <c r="B3881">
        <v>0.99673306730245903</v>
      </c>
      <c r="C3881">
        <v>0.94375526507728302</v>
      </c>
      <c r="D3881">
        <v>1.0072816580619799</v>
      </c>
      <c r="E3881">
        <v>0.861633411696899</v>
      </c>
      <c r="F3881">
        <v>0.64348941082664601</v>
      </c>
      <c r="G3881">
        <v>0.500646144509313</v>
      </c>
      <c r="H3881">
        <v>0.30074823295821701</v>
      </c>
      <c r="I3881">
        <v>0.36314496285548498</v>
      </c>
      <c r="J3881">
        <v>0.556272634047006</v>
      </c>
      <c r="K3881">
        <v>0.70012586269711297</v>
      </c>
      <c r="L3881">
        <v>1639.7058635195399</v>
      </c>
      <c r="M3881">
        <v>31.847299351800402</v>
      </c>
      <c r="N3881">
        <v>57.415960773077103</v>
      </c>
      <c r="O3881">
        <v>51.284745067370203</v>
      </c>
      <c r="P3881">
        <v>-8.0518925131653499E-2</v>
      </c>
      <c r="Q3881">
        <v>0.48135341790167302</v>
      </c>
      <c r="R3881">
        <v>0.82399574440339096</v>
      </c>
      <c r="S3881" t="s">
        <v>10333</v>
      </c>
      <c r="T3881" t="s">
        <v>12902</v>
      </c>
      <c r="U3881" t="s">
        <v>12902</v>
      </c>
      <c r="V3881" t="s">
        <v>12902</v>
      </c>
      <c r="W3881" t="s">
        <v>16738</v>
      </c>
      <c r="X3881">
        <v>11</v>
      </c>
      <c r="Y3881" t="s">
        <v>23050</v>
      </c>
      <c r="Z3881" t="s">
        <v>29456</v>
      </c>
      <c r="AA3881">
        <v>0.68285155093515471</v>
      </c>
      <c r="AB3881" t="str">
        <f>HYPERLINK("Melting_Curves/meltCurve_Q641Q2_FAM21A.pdf", "Melting_Curves/meltCurve_Q641Q2_FAM21A.pdf")</f>
        <v>Melting_Curves/meltCurve_Q641Q2_FAM21A.pdf</v>
      </c>
    </row>
    <row r="3882" spans="1:28" x14ac:dyDescent="0.25">
      <c r="A3882" t="s">
        <v>3886</v>
      </c>
      <c r="B3882">
        <v>0.99673306730245903</v>
      </c>
      <c r="C3882">
        <v>0.91995668332309499</v>
      </c>
      <c r="D3882">
        <v>0.78337501551747402</v>
      </c>
      <c r="E3882">
        <v>0.34569044795727999</v>
      </c>
      <c r="F3882">
        <v>0.21469985056622501</v>
      </c>
      <c r="G3882">
        <v>0.166238598758046</v>
      </c>
      <c r="H3882">
        <v>0.14928102603488799</v>
      </c>
      <c r="I3882">
        <v>0.13531863911025399</v>
      </c>
      <c r="J3882">
        <v>0.139987204917185</v>
      </c>
      <c r="K3882">
        <v>8.9335102835800304E-2</v>
      </c>
      <c r="L3882">
        <v>1214.4466493300399</v>
      </c>
      <c r="M3882">
        <v>25.4532404960175</v>
      </c>
      <c r="N3882">
        <v>48.301902274117403</v>
      </c>
      <c r="O3882">
        <v>47.421262443510003</v>
      </c>
      <c r="P3882">
        <v>-0.116284872556271</v>
      </c>
      <c r="Q3882">
        <v>0.13342171743026601</v>
      </c>
      <c r="R3882">
        <v>0.99532496158332195</v>
      </c>
      <c r="S3882" t="s">
        <v>10334</v>
      </c>
      <c r="T3882" t="s">
        <v>12902</v>
      </c>
      <c r="U3882" t="s">
        <v>12902</v>
      </c>
      <c r="V3882" t="s">
        <v>12902</v>
      </c>
      <c r="W3882" t="s">
        <v>16739</v>
      </c>
      <c r="X3882">
        <v>4</v>
      </c>
      <c r="Y3882" t="s">
        <v>23051</v>
      </c>
      <c r="Z3882" t="s">
        <v>29457</v>
      </c>
      <c r="AA3882">
        <v>0.36359353543446898</v>
      </c>
      <c r="AB3882" t="str">
        <f>HYPERLINK("Melting_Curves/meltCurve_Q643R3_LPCAT4.pdf", "Melting_Curves/meltCurve_Q643R3_LPCAT4.pdf")</f>
        <v>Melting_Curves/meltCurve_Q643R3_LPCAT4.pdf</v>
      </c>
    </row>
    <row r="3883" spans="1:28" x14ac:dyDescent="0.25">
      <c r="A3883" t="s">
        <v>3887</v>
      </c>
      <c r="B3883">
        <v>0.99673306730245903</v>
      </c>
      <c r="C3883">
        <v>0.90683282572111301</v>
      </c>
      <c r="D3883">
        <v>1.04737159361619</v>
      </c>
      <c r="E3883">
        <v>1.1162951281290101</v>
      </c>
      <c r="F3883">
        <v>1.04359344299283</v>
      </c>
      <c r="G3883">
        <v>0.61441131119203096</v>
      </c>
      <c r="H3883">
        <v>0.74953123534673105</v>
      </c>
      <c r="I3883">
        <v>0.39311984011677098</v>
      </c>
      <c r="J3883">
        <v>0.12839806809186699</v>
      </c>
      <c r="K3883">
        <v>9.41859711832881E-2</v>
      </c>
      <c r="L3883">
        <v>1129.6863363687501</v>
      </c>
      <c r="M3883">
        <v>18.1715853902848</v>
      </c>
      <c r="N3883">
        <v>62.167738405589901</v>
      </c>
      <c r="O3883">
        <v>61.429518802695299</v>
      </c>
      <c r="P3883">
        <v>-7.3956501001797306E-2</v>
      </c>
      <c r="Q3883">
        <v>0</v>
      </c>
      <c r="R3883">
        <v>0.91148306411191105</v>
      </c>
      <c r="S3883" t="s">
        <v>10335</v>
      </c>
      <c r="T3883" t="s">
        <v>12902</v>
      </c>
      <c r="U3883" t="s">
        <v>12902</v>
      </c>
      <c r="V3883" t="s">
        <v>12902</v>
      </c>
      <c r="W3883" t="s">
        <v>16740</v>
      </c>
      <c r="X3883">
        <v>8</v>
      </c>
      <c r="Y3883" t="s">
        <v>23052</v>
      </c>
      <c r="Z3883" t="s">
        <v>29458</v>
      </c>
      <c r="AA3883">
        <v>0.73988360427687572</v>
      </c>
      <c r="AB3883" t="str">
        <f>HYPERLINK("Melting_Curves/meltCurve_Q658Y4_FAM91A1.pdf", "Melting_Curves/meltCurve_Q658Y4_FAM91A1.pdf")</f>
        <v>Melting_Curves/meltCurve_Q658Y4_FAM91A1.pdf</v>
      </c>
    </row>
    <row r="3884" spans="1:28" x14ac:dyDescent="0.25">
      <c r="A3884" t="s">
        <v>3888</v>
      </c>
      <c r="B3884">
        <v>0.99673306730245903</v>
      </c>
      <c r="C3884">
        <v>0.92525319737124601</v>
      </c>
      <c r="D3884">
        <v>0.80317418954584496</v>
      </c>
      <c r="E3884">
        <v>0.57763174869146705</v>
      </c>
      <c r="F3884">
        <v>0.49824327766320398</v>
      </c>
      <c r="G3884">
        <v>0.363456054965969</v>
      </c>
      <c r="H3884">
        <v>0.27299372897813401</v>
      </c>
      <c r="I3884">
        <v>0.27773381469343</v>
      </c>
      <c r="J3884">
        <v>0.45689861861633702</v>
      </c>
      <c r="K3884">
        <v>0.45325208502960901</v>
      </c>
      <c r="L3884">
        <v>908.21197372719598</v>
      </c>
      <c r="M3884">
        <v>18.937648441904098</v>
      </c>
      <c r="N3884">
        <v>51.467210708537102</v>
      </c>
      <c r="O3884">
        <v>47.432851520850498</v>
      </c>
      <c r="P3884">
        <v>-6.3630002392966595E-2</v>
      </c>
      <c r="Q3884">
        <v>0.36253319196921102</v>
      </c>
      <c r="R3884">
        <v>0.93691725736616505</v>
      </c>
      <c r="S3884" t="s">
        <v>10336</v>
      </c>
      <c r="T3884" t="s">
        <v>12902</v>
      </c>
      <c r="U3884" t="s">
        <v>12902</v>
      </c>
      <c r="V3884" t="s">
        <v>12902</v>
      </c>
      <c r="W3884" t="s">
        <v>16741</v>
      </c>
      <c r="X3884">
        <v>1</v>
      </c>
      <c r="Y3884" t="s">
        <v>23053</v>
      </c>
      <c r="Z3884" t="s">
        <v>29459</v>
      </c>
      <c r="AA3884">
        <v>0.54181052353586234</v>
      </c>
      <c r="AB3884" t="str">
        <f>HYPERLINK("Melting_Curves/meltCurve_Q659C4_LARP1B.pdf", "Melting_Curves/meltCurve_Q659C4_LARP1B.pdf")</f>
        <v>Melting_Curves/meltCurve_Q659C4_LARP1B.pdf</v>
      </c>
    </row>
    <row r="3885" spans="1:28" x14ac:dyDescent="0.25">
      <c r="A3885" t="s">
        <v>3889</v>
      </c>
      <c r="B3885">
        <v>0.99673306730245903</v>
      </c>
      <c r="C3885">
        <v>0.95729754003593404</v>
      </c>
      <c r="D3885">
        <v>0.84946417020415199</v>
      </c>
      <c r="E3885">
        <v>0.49010296183637803</v>
      </c>
      <c r="F3885">
        <v>0.158399155615492</v>
      </c>
      <c r="G3885">
        <v>0.12368937552427101</v>
      </c>
      <c r="H3885">
        <v>6.5184148569578396E-2</v>
      </c>
      <c r="I3885">
        <v>5.8583346256132103E-2</v>
      </c>
      <c r="J3885">
        <v>5.8636788598083203E-2</v>
      </c>
      <c r="K3885">
        <v>5.0573985132743901E-2</v>
      </c>
      <c r="L3885">
        <v>1196.1648847168501</v>
      </c>
      <c r="M3885">
        <v>24.330439043370099</v>
      </c>
      <c r="N3885">
        <v>49.412319800324802</v>
      </c>
      <c r="O3885">
        <v>48.834814834007503</v>
      </c>
      <c r="P3885">
        <v>-0.117370207854109</v>
      </c>
      <c r="Q3885">
        <v>5.7696432221441198E-2</v>
      </c>
      <c r="R3885">
        <v>0.998481682808815</v>
      </c>
      <c r="S3885" t="s">
        <v>10337</v>
      </c>
      <c r="T3885" t="s">
        <v>12902</v>
      </c>
      <c r="U3885" t="s">
        <v>12902</v>
      </c>
      <c r="V3885" t="s">
        <v>12902</v>
      </c>
      <c r="W3885" t="s">
        <v>16742</v>
      </c>
      <c r="X3885">
        <v>11</v>
      </c>
      <c r="Y3885" t="s">
        <v>23054</v>
      </c>
      <c r="Z3885" t="s">
        <v>29460</v>
      </c>
      <c r="AA3885">
        <v>0.35435528606886879</v>
      </c>
      <c r="AB3885" t="str">
        <f>HYPERLINK("Melting_Curves/meltCurve_Q66K14_2_TBC1D9B.pdf", "Melting_Curves/meltCurve_Q66K14_2_TBC1D9B.pdf")</f>
        <v>Melting_Curves/meltCurve_Q66K14_2_TBC1D9B.pdf</v>
      </c>
    </row>
    <row r="3886" spans="1:28" x14ac:dyDescent="0.25">
      <c r="A3886" t="s">
        <v>3890</v>
      </c>
      <c r="B3886">
        <v>0.99673306730245903</v>
      </c>
      <c r="C3886">
        <v>0.92347584795552895</v>
      </c>
      <c r="D3886">
        <v>1.0817323862837001</v>
      </c>
      <c r="E3886">
        <v>1.0162180832382699</v>
      </c>
      <c r="F3886">
        <v>0.59451214471512104</v>
      </c>
      <c r="G3886">
        <v>0.24068071816677999</v>
      </c>
      <c r="H3886">
        <v>0.15260616764396201</v>
      </c>
      <c r="I3886">
        <v>0.156653903031992</v>
      </c>
      <c r="J3886">
        <v>0.15954759396155199</v>
      </c>
      <c r="K3886">
        <v>0.143775626737141</v>
      </c>
      <c r="L3886">
        <v>2397.3743791032098</v>
      </c>
      <c r="M3886">
        <v>44.930097827058702</v>
      </c>
      <c r="N3886">
        <v>53.813521994906999</v>
      </c>
      <c r="O3886">
        <v>53.252508196738702</v>
      </c>
      <c r="P3886">
        <v>-0.17755714211323001</v>
      </c>
      <c r="Q3886">
        <v>0.15821700330112101</v>
      </c>
      <c r="R3886">
        <v>0.98984300560330596</v>
      </c>
      <c r="S3886" t="s">
        <v>10338</v>
      </c>
      <c r="T3886" t="s">
        <v>12902</v>
      </c>
      <c r="U3886" t="s">
        <v>12902</v>
      </c>
      <c r="V3886" t="s">
        <v>12902</v>
      </c>
      <c r="W3886" t="s">
        <v>16743</v>
      </c>
      <c r="X3886">
        <v>3</v>
      </c>
      <c r="Y3886" t="s">
        <v>23055</v>
      </c>
      <c r="Z3886" t="s">
        <v>29461</v>
      </c>
      <c r="AA3886">
        <v>0.53548682435867301</v>
      </c>
      <c r="AB3886" t="str">
        <f>HYPERLINK("Melting_Curves/meltCurve_Q66K64_DCAF15.pdf", "Melting_Curves/meltCurve_Q66K64_DCAF15.pdf")</f>
        <v>Melting_Curves/meltCurve_Q66K64_DCAF15.pdf</v>
      </c>
    </row>
    <row r="3887" spans="1:28" x14ac:dyDescent="0.25">
      <c r="A3887" t="s">
        <v>3891</v>
      </c>
      <c r="B3887">
        <v>0.99673306730245903</v>
      </c>
      <c r="C3887">
        <v>1.00979402706258</v>
      </c>
      <c r="D3887">
        <v>1.0372778156262601</v>
      </c>
      <c r="E3887">
        <v>0.94310525416987501</v>
      </c>
      <c r="F3887">
        <v>0.85774377914102296</v>
      </c>
      <c r="G3887">
        <v>0.73933922717706202</v>
      </c>
      <c r="H3887">
        <v>0.62171425788874501</v>
      </c>
      <c r="I3887">
        <v>0.70386801018612899</v>
      </c>
      <c r="J3887">
        <v>0.93249619128096495</v>
      </c>
      <c r="K3887">
        <v>0.87202294234414801</v>
      </c>
      <c r="L3887">
        <v>1976.51433026978</v>
      </c>
      <c r="M3887">
        <v>38.174735056586499</v>
      </c>
      <c r="O3887">
        <v>51.633990926470801</v>
      </c>
      <c r="P3887">
        <v>-4.1519465427959701E-2</v>
      </c>
      <c r="Q3887">
        <v>0.775368673378659</v>
      </c>
      <c r="R3887">
        <v>0.62344152660669905</v>
      </c>
      <c r="S3887" t="s">
        <v>10339</v>
      </c>
      <c r="T3887" t="s">
        <v>12902</v>
      </c>
      <c r="U3887" t="s">
        <v>12902</v>
      </c>
      <c r="V3887" t="s">
        <v>12902</v>
      </c>
      <c r="W3887" t="s">
        <v>13043</v>
      </c>
      <c r="X3887">
        <v>9</v>
      </c>
      <c r="Y3887" t="s">
        <v>19437</v>
      </c>
      <c r="Z3887" t="s">
        <v>29462</v>
      </c>
      <c r="AA3887">
        <v>0.8644226631827806</v>
      </c>
      <c r="AB3887" t="str">
        <f>HYPERLINK("Melting_Curves/meltCurve_Q66PJ3_ARL6IP4.pdf", "Melting_Curves/meltCurve_Q66PJ3_ARL6IP4.pdf")</f>
        <v>Melting_Curves/meltCurve_Q66PJ3_ARL6IP4.pdf</v>
      </c>
    </row>
    <row r="3888" spans="1:28" x14ac:dyDescent="0.25">
      <c r="A3888" t="s">
        <v>3892</v>
      </c>
      <c r="B3888">
        <v>0.99673306730245903</v>
      </c>
      <c r="C3888">
        <v>1.2250475673930199</v>
      </c>
      <c r="D3888">
        <v>0.53453922407696797</v>
      </c>
      <c r="E3888">
        <v>0.86362702013911397</v>
      </c>
      <c r="F3888">
        <v>0.28779674961766</v>
      </c>
      <c r="G3888">
        <v>0.155368022994509</v>
      </c>
      <c r="H3888">
        <v>0.11351352699294801</v>
      </c>
      <c r="I3888">
        <v>7.2934974237391606E-2</v>
      </c>
      <c r="J3888">
        <v>6.7592212156523293E-2</v>
      </c>
      <c r="K3888">
        <v>5.4511740535726202E-2</v>
      </c>
      <c r="L3888">
        <v>866.24608679610003</v>
      </c>
      <c r="M3888">
        <v>16.926383872118301</v>
      </c>
      <c r="N3888">
        <v>51.415546942463898</v>
      </c>
      <c r="O3888">
        <v>50.478950793510201</v>
      </c>
      <c r="P3888">
        <v>-8.0671750839294606E-2</v>
      </c>
      <c r="Q3888">
        <v>3.7722563510072998E-2</v>
      </c>
      <c r="R3888">
        <v>0.86272810034144898</v>
      </c>
      <c r="S3888" t="s">
        <v>10340</v>
      </c>
      <c r="T3888" t="s">
        <v>12902</v>
      </c>
      <c r="U3888" t="s">
        <v>12902</v>
      </c>
      <c r="V3888" t="s">
        <v>12902</v>
      </c>
      <c r="W3888" t="s">
        <v>16744</v>
      </c>
      <c r="X3888">
        <v>25</v>
      </c>
      <c r="Y3888" t="s">
        <v>23056</v>
      </c>
      <c r="Z3888" t="s">
        <v>29463</v>
      </c>
      <c r="AA3888">
        <v>0.41427656794607731</v>
      </c>
      <c r="AB3888" t="str">
        <f>HYPERLINK("Melting_Curves/meltCurve_Q66S35_PFKFB4.pdf", "Melting_Curves/meltCurve_Q66S35_PFKFB4.pdf")</f>
        <v>Melting_Curves/meltCurve_Q66S35_PFKFB4.pdf</v>
      </c>
    </row>
    <row r="3889" spans="1:28" x14ac:dyDescent="0.25">
      <c r="A3889" t="s">
        <v>3893</v>
      </c>
      <c r="B3889">
        <v>0.99673306730245903</v>
      </c>
      <c r="C3889">
        <v>0.94571267292754302</v>
      </c>
      <c r="D3889">
        <v>0.60286378254501205</v>
      </c>
      <c r="E3889">
        <v>0.179133130392058</v>
      </c>
      <c r="F3889">
        <v>0.12876384331024701</v>
      </c>
      <c r="G3889">
        <v>8.6140941694728995E-2</v>
      </c>
      <c r="H3889">
        <v>6.3957250939039895E-2</v>
      </c>
      <c r="I3889">
        <v>6.0730082983026602E-2</v>
      </c>
      <c r="J3889">
        <v>7.0958878833482203E-2</v>
      </c>
      <c r="K3889">
        <v>6.1122437259346997E-2</v>
      </c>
      <c r="L3889">
        <v>1456.0140106363899</v>
      </c>
      <c r="M3889">
        <v>31.351785067578799</v>
      </c>
      <c r="N3889">
        <v>46.679986223434099</v>
      </c>
      <c r="O3889">
        <v>46.253465219112002</v>
      </c>
      <c r="P3889">
        <v>-0.15690170767629499</v>
      </c>
      <c r="Q3889">
        <v>7.4093158298257494E-2</v>
      </c>
      <c r="R3889">
        <v>0.99835614936724804</v>
      </c>
      <c r="S3889" t="s">
        <v>10341</v>
      </c>
      <c r="T3889" t="s">
        <v>12902</v>
      </c>
      <c r="U3889" t="s">
        <v>12902</v>
      </c>
      <c r="V3889" t="s">
        <v>12902</v>
      </c>
      <c r="W3889" t="s">
        <v>16745</v>
      </c>
      <c r="X3889">
        <v>11</v>
      </c>
      <c r="Y3889" t="s">
        <v>23057</v>
      </c>
      <c r="Z3889" t="s">
        <v>29464</v>
      </c>
      <c r="AA3889">
        <v>0.27796103147837969</v>
      </c>
      <c r="AB3889" t="str">
        <f>HYPERLINK("Melting_Curves/meltCurve_Q68CQ4_DIEXF.pdf", "Melting_Curves/meltCurve_Q68CQ4_DIEXF.pdf")</f>
        <v>Melting_Curves/meltCurve_Q68CQ4_DIEXF.pdf</v>
      </c>
    </row>
    <row r="3890" spans="1:28" x14ac:dyDescent="0.25">
      <c r="A3890" t="s">
        <v>3894</v>
      </c>
      <c r="B3890">
        <v>0.99673306730245903</v>
      </c>
      <c r="C3890">
        <v>0.95198219213963597</v>
      </c>
      <c r="D3890">
        <v>0.87262272402664998</v>
      </c>
      <c r="E3890">
        <v>0.817100294079949</v>
      </c>
      <c r="F3890">
        <v>0.52301508670308705</v>
      </c>
      <c r="G3890">
        <v>0.31662715382904899</v>
      </c>
      <c r="H3890">
        <v>0.18117170884945299</v>
      </c>
      <c r="I3890">
        <v>0.19893264955266801</v>
      </c>
      <c r="J3890">
        <v>0.29075021469630502</v>
      </c>
      <c r="K3890">
        <v>0.299443835227994</v>
      </c>
      <c r="L3890">
        <v>1143.7021980060299</v>
      </c>
      <c r="M3890">
        <v>22.082578828293599</v>
      </c>
      <c r="N3890">
        <v>53.299548686206698</v>
      </c>
      <c r="O3890">
        <v>51.372937677531098</v>
      </c>
      <c r="P3890">
        <v>-8.2505214203314997E-2</v>
      </c>
      <c r="Q3890">
        <v>0.232255972603192</v>
      </c>
      <c r="R3890">
        <v>0.97464259558334199</v>
      </c>
      <c r="S3890" t="s">
        <v>10342</v>
      </c>
      <c r="T3890" t="s">
        <v>12902</v>
      </c>
      <c r="U3890" t="s">
        <v>12902</v>
      </c>
      <c r="V3890" t="s">
        <v>12902</v>
      </c>
      <c r="W3890" t="s">
        <v>16746</v>
      </c>
      <c r="X3890">
        <v>7</v>
      </c>
      <c r="Y3890" t="s">
        <v>23058</v>
      </c>
      <c r="Z3890" t="s">
        <v>29465</v>
      </c>
      <c r="AA3890">
        <v>0.54289166024806002</v>
      </c>
      <c r="AB3890" t="str">
        <f>HYPERLINK("Melting_Curves/meltCurve_Q68D10_SPTY2D1.pdf", "Melting_Curves/meltCurve_Q68D10_SPTY2D1.pdf")</f>
        <v>Melting_Curves/meltCurve_Q68D10_SPTY2D1.pdf</v>
      </c>
    </row>
    <row r="3891" spans="1:28" x14ac:dyDescent="0.25">
      <c r="A3891" t="s">
        <v>3895</v>
      </c>
      <c r="B3891">
        <v>0.99673306730245903</v>
      </c>
      <c r="C3891">
        <v>0.95530363903558402</v>
      </c>
      <c r="D3891">
        <v>0.98817675895079005</v>
      </c>
      <c r="E3891">
        <v>0.793592022894272</v>
      </c>
      <c r="F3891">
        <v>0.67249598070385197</v>
      </c>
      <c r="G3891">
        <v>0.50982872223631903</v>
      </c>
      <c r="H3891">
        <v>0.39293267783831098</v>
      </c>
      <c r="I3891">
        <v>0.42026843849428303</v>
      </c>
      <c r="J3891">
        <v>0.89362869557656399</v>
      </c>
      <c r="K3891">
        <v>0.37532938014357198</v>
      </c>
      <c r="L3891">
        <v>1301.7042233115601</v>
      </c>
      <c r="M3891">
        <v>25.7324515262411</v>
      </c>
      <c r="O3891">
        <v>50.283553114837702</v>
      </c>
      <c r="P3891">
        <v>-6.1714012245128097E-2</v>
      </c>
      <c r="Q3891">
        <v>0.51762658890076296</v>
      </c>
      <c r="R3891">
        <v>0.67437442148383497</v>
      </c>
      <c r="S3891" t="s">
        <v>10343</v>
      </c>
      <c r="T3891" t="s">
        <v>12902</v>
      </c>
      <c r="U3891" t="s">
        <v>12902</v>
      </c>
      <c r="V3891" t="s">
        <v>12902</v>
      </c>
      <c r="W3891" t="s">
        <v>16747</v>
      </c>
      <c r="X3891">
        <v>8</v>
      </c>
      <c r="Y3891" t="s">
        <v>23059</v>
      </c>
      <c r="Z3891" t="s">
        <v>29466</v>
      </c>
      <c r="AA3891">
        <v>0.69193766042333649</v>
      </c>
      <c r="AB3891" t="str">
        <f>HYPERLINK("Melting_Curves/meltCurve_Q68D91_MBLAC2.pdf", "Melting_Curves/meltCurve_Q68D91_MBLAC2.pdf")</f>
        <v>Melting_Curves/meltCurve_Q68D91_MBLAC2.pdf</v>
      </c>
    </row>
    <row r="3892" spans="1:28" x14ac:dyDescent="0.25">
      <c r="A3892" t="s">
        <v>3896</v>
      </c>
      <c r="B3892">
        <v>0.99673306730245903</v>
      </c>
      <c r="C3892">
        <v>1.0079029115553599</v>
      </c>
      <c r="D3892">
        <v>0.69120801317268699</v>
      </c>
      <c r="E3892">
        <v>0.36816640326669697</v>
      </c>
      <c r="F3892">
        <v>0.21663203292508501</v>
      </c>
      <c r="G3892">
        <v>0.103678591990714</v>
      </c>
      <c r="H3892">
        <v>6.4016946832910399E-2</v>
      </c>
      <c r="I3892">
        <v>6.5990705073260394E-2</v>
      </c>
      <c r="J3892">
        <v>6.7561927744770101E-2</v>
      </c>
      <c r="K3892">
        <v>5.3085378749455299E-2</v>
      </c>
      <c r="L3892">
        <v>1009.12695096312</v>
      </c>
      <c r="M3892">
        <v>21.034758522341601</v>
      </c>
      <c r="N3892">
        <v>48.299019178216497</v>
      </c>
      <c r="O3892">
        <v>47.547001266281697</v>
      </c>
      <c r="P3892">
        <v>-0.103308948906582</v>
      </c>
      <c r="Q3892">
        <v>6.5946510154014495E-2</v>
      </c>
      <c r="R3892">
        <v>0.992310958296579</v>
      </c>
      <c r="S3892" t="s">
        <v>10344</v>
      </c>
      <c r="T3892" t="s">
        <v>12902</v>
      </c>
      <c r="U3892" t="s">
        <v>12902</v>
      </c>
      <c r="V3892" t="s">
        <v>12902</v>
      </c>
      <c r="W3892" t="s">
        <v>16748</v>
      </c>
      <c r="X3892">
        <v>4</v>
      </c>
      <c r="Y3892" t="s">
        <v>23060</v>
      </c>
      <c r="Z3892" t="s">
        <v>29467</v>
      </c>
      <c r="AA3892">
        <v>0.32615608731347789</v>
      </c>
      <c r="AB3892" t="str">
        <f>HYPERLINK("Melting_Curves/meltCurve_Q68DA7_5_FMN1.pdf", "Melting_Curves/meltCurve_Q68DA7_5_FMN1.pdf")</f>
        <v>Melting_Curves/meltCurve_Q68DA7_5_FMN1.pdf</v>
      </c>
    </row>
    <row r="3893" spans="1:28" x14ac:dyDescent="0.25">
      <c r="A3893" t="s">
        <v>3897</v>
      </c>
      <c r="B3893">
        <v>0.99673306730245903</v>
      </c>
      <c r="C3893">
        <v>1.0039013856274499</v>
      </c>
      <c r="D3893">
        <v>0.98745150456381703</v>
      </c>
      <c r="E3893">
        <v>0.94532689879727305</v>
      </c>
      <c r="F3893">
        <v>0.85997067111888004</v>
      </c>
      <c r="G3893">
        <v>0.58571733910079604</v>
      </c>
      <c r="H3893">
        <v>0.23850620619107099</v>
      </c>
      <c r="I3893">
        <v>0.186817498458726</v>
      </c>
      <c r="J3893">
        <v>0.15494749686171599</v>
      </c>
      <c r="K3893">
        <v>0.15538998977946</v>
      </c>
      <c r="L3893">
        <v>1470.90947027579</v>
      </c>
      <c r="M3893">
        <v>25.922657186780398</v>
      </c>
      <c r="N3893">
        <v>57.461051412615603</v>
      </c>
      <c r="O3893">
        <v>56.407787333287501</v>
      </c>
      <c r="P3893">
        <v>-9.8981081952583205E-2</v>
      </c>
      <c r="Q3893">
        <v>0.13847739228949699</v>
      </c>
      <c r="R3893">
        <v>0.99782745559183805</v>
      </c>
      <c r="S3893" t="s">
        <v>10345</v>
      </c>
      <c r="T3893" t="s">
        <v>12902</v>
      </c>
      <c r="U3893" t="s">
        <v>12902</v>
      </c>
      <c r="V3893" t="s">
        <v>12902</v>
      </c>
      <c r="W3893" t="s">
        <v>16749</v>
      </c>
      <c r="X3893">
        <v>2</v>
      </c>
      <c r="Y3893" t="s">
        <v>23061</v>
      </c>
      <c r="Z3893" t="s">
        <v>29468</v>
      </c>
      <c r="AA3893">
        <v>0.62663971866728352</v>
      </c>
      <c r="AB3893" t="str">
        <f>HYPERLINK("Melting_Curves/meltCurve_Q68DH5_LMBRD2.pdf", "Melting_Curves/meltCurve_Q68DH5_LMBRD2.pdf")</f>
        <v>Melting_Curves/meltCurve_Q68DH5_LMBRD2.pdf</v>
      </c>
    </row>
    <row r="3894" spans="1:28" x14ac:dyDescent="0.25">
      <c r="A3894" t="s">
        <v>3898</v>
      </c>
      <c r="B3894">
        <v>0.99673306730245903</v>
      </c>
      <c r="C3894">
        <v>0.92218739348509904</v>
      </c>
      <c r="D3894">
        <v>0.77098403535662197</v>
      </c>
      <c r="E3894">
        <v>0.44256304078983399</v>
      </c>
      <c r="F3894">
        <v>0.19840827736109701</v>
      </c>
      <c r="G3894">
        <v>0.12850621647931401</v>
      </c>
      <c r="H3894">
        <v>7.8715051515721002E-2</v>
      </c>
      <c r="I3894">
        <v>6.6798804277457394E-2</v>
      </c>
      <c r="J3894">
        <v>7.2606233113267804E-2</v>
      </c>
      <c r="K3894">
        <v>6.4159257517566501E-2</v>
      </c>
      <c r="L3894">
        <v>950.22909874890297</v>
      </c>
      <c r="M3894">
        <v>19.555237061852299</v>
      </c>
      <c r="N3894">
        <v>48.932197321211497</v>
      </c>
      <c r="O3894">
        <v>48.092459585710401</v>
      </c>
      <c r="P3894">
        <v>-9.5197575073639698E-2</v>
      </c>
      <c r="Q3894">
        <v>6.3550491629615694E-2</v>
      </c>
      <c r="R3894">
        <v>0.99951782228603403</v>
      </c>
      <c r="S3894" t="s">
        <v>10346</v>
      </c>
      <c r="T3894" t="s">
        <v>12902</v>
      </c>
      <c r="U3894" t="s">
        <v>12902</v>
      </c>
      <c r="V3894" t="s">
        <v>12902</v>
      </c>
      <c r="W3894" t="s">
        <v>16750</v>
      </c>
      <c r="X3894">
        <v>9</v>
      </c>
      <c r="Y3894" t="s">
        <v>23062</v>
      </c>
      <c r="Z3894" t="s">
        <v>29469</v>
      </c>
      <c r="AA3894">
        <v>0.34555502309063629</v>
      </c>
      <c r="AB3894" t="str">
        <f>HYPERLINK("Melting_Curves/meltCurve_Q68E01_2_INTS3.pdf", "Melting_Curves/meltCurve_Q68E01_2_INTS3.pdf")</f>
        <v>Melting_Curves/meltCurve_Q68E01_2_INTS3.pdf</v>
      </c>
    </row>
    <row r="3895" spans="1:28" x14ac:dyDescent="0.25">
      <c r="A3895" t="s">
        <v>3899</v>
      </c>
      <c r="B3895">
        <v>0.99673306730245903</v>
      </c>
      <c r="C3895">
        <v>0.96923542643709104</v>
      </c>
      <c r="D3895">
        <v>0.93169700588057403</v>
      </c>
      <c r="E3895">
        <v>0.51642916902317504</v>
      </c>
      <c r="F3895">
        <v>0.45541203426459498</v>
      </c>
      <c r="G3895">
        <v>0.281674786886913</v>
      </c>
      <c r="H3895">
        <v>0.23689614109332099</v>
      </c>
      <c r="I3895">
        <v>0.16672502551377799</v>
      </c>
      <c r="J3895">
        <v>0.177927165613013</v>
      </c>
      <c r="K3895">
        <v>0.172824289090271</v>
      </c>
      <c r="L3895">
        <v>877.79852221849399</v>
      </c>
      <c r="M3895">
        <v>17.547647596976201</v>
      </c>
      <c r="N3895">
        <v>51.3117674997048</v>
      </c>
      <c r="O3895">
        <v>49.3876095720507</v>
      </c>
      <c r="P3895">
        <v>-7.3006472687333304E-2</v>
      </c>
      <c r="Q3895">
        <v>0.17814194295260699</v>
      </c>
      <c r="R3895">
        <v>0.979228343266902</v>
      </c>
      <c r="S3895" t="s">
        <v>10347</v>
      </c>
      <c r="T3895" t="s">
        <v>12902</v>
      </c>
      <c r="U3895" t="s">
        <v>12902</v>
      </c>
      <c r="V3895" t="s">
        <v>12902</v>
      </c>
      <c r="W3895" t="s">
        <v>16751</v>
      </c>
      <c r="X3895">
        <v>9</v>
      </c>
      <c r="Y3895" t="s">
        <v>23063</v>
      </c>
      <c r="Z3895" t="s">
        <v>29470</v>
      </c>
      <c r="AA3895">
        <v>0.46744571999265938</v>
      </c>
      <c r="AB3895" t="str">
        <f>HYPERLINK("Melting_Curves/meltCurve_Q68EM7_2_ARHGAP17.pdf", "Melting_Curves/meltCurve_Q68EM7_2_ARHGAP17.pdf")</f>
        <v>Melting_Curves/meltCurve_Q68EM7_2_ARHGAP17.pdf</v>
      </c>
    </row>
    <row r="3896" spans="1:28" x14ac:dyDescent="0.25">
      <c r="A3896" t="s">
        <v>3900</v>
      </c>
      <c r="B3896">
        <v>0.99673306730245903</v>
      </c>
      <c r="C3896">
        <v>0.99461671798768903</v>
      </c>
      <c r="D3896">
        <v>0.91583256667272395</v>
      </c>
      <c r="E3896">
        <v>0.74287176388820797</v>
      </c>
      <c r="F3896">
        <v>0.60563597165050898</v>
      </c>
      <c r="G3896">
        <v>0.41561022054542901</v>
      </c>
      <c r="H3896">
        <v>0.240799140901583</v>
      </c>
      <c r="I3896">
        <v>0.263797065110352</v>
      </c>
      <c r="J3896">
        <v>0.25491493503498402</v>
      </c>
      <c r="K3896">
        <v>0.231426663392377</v>
      </c>
      <c r="L3896">
        <v>792.56181056301398</v>
      </c>
      <c r="M3896">
        <v>15.055622656025699</v>
      </c>
      <c r="N3896">
        <v>54.5617510379438</v>
      </c>
      <c r="O3896">
        <v>51.739715855599798</v>
      </c>
      <c r="P3896">
        <v>-5.77960471659478E-2</v>
      </c>
      <c r="Q3896">
        <v>0.20559823113084999</v>
      </c>
      <c r="R3896">
        <v>0.99315246878677499</v>
      </c>
      <c r="S3896" t="s">
        <v>10348</v>
      </c>
      <c r="T3896" t="s">
        <v>12902</v>
      </c>
      <c r="U3896" t="s">
        <v>12902</v>
      </c>
      <c r="V3896" t="s">
        <v>12902</v>
      </c>
      <c r="W3896" t="s">
        <v>16752</v>
      </c>
      <c r="X3896">
        <v>7</v>
      </c>
      <c r="Z3896" t="s">
        <v>29471</v>
      </c>
      <c r="AA3896">
        <v>0.55761780437240926</v>
      </c>
      <c r="AB3896" t="str">
        <f>HYPERLINK("Melting_Curves/meltCurve_Q69YL0_.pdf", "Melting_Curves/meltCurve_Q69YL0_.pdf")</f>
        <v>Melting_Curves/meltCurve_Q69YL0_.pdf</v>
      </c>
    </row>
    <row r="3897" spans="1:28" x14ac:dyDescent="0.25">
      <c r="A3897" t="s">
        <v>3901</v>
      </c>
      <c r="B3897">
        <v>0.99673306730245903</v>
      </c>
      <c r="C3897">
        <v>0.98817912440522004</v>
      </c>
      <c r="D3897">
        <v>0.94413163113563903</v>
      </c>
      <c r="E3897">
        <v>0.68328212790939602</v>
      </c>
      <c r="F3897">
        <v>0.16103138842103501</v>
      </c>
      <c r="G3897">
        <v>9.87026790189547E-2</v>
      </c>
      <c r="H3897">
        <v>6.1969168784317297E-2</v>
      </c>
      <c r="I3897">
        <v>5.19938333790258E-2</v>
      </c>
      <c r="J3897">
        <v>5.00582215714424E-2</v>
      </c>
      <c r="K3897">
        <v>4.92984586982445E-2</v>
      </c>
      <c r="L3897">
        <v>1879.3192402304301</v>
      </c>
      <c r="M3897">
        <v>37.251833535121598</v>
      </c>
      <c r="N3897">
        <v>50.6127695585213</v>
      </c>
      <c r="O3897">
        <v>50.3043172105981</v>
      </c>
      <c r="P3897">
        <v>-0.17462499245815</v>
      </c>
      <c r="Q3897">
        <v>5.67587177117116E-2</v>
      </c>
      <c r="R3897">
        <v>0.99864909090588405</v>
      </c>
      <c r="S3897" t="s">
        <v>10349</v>
      </c>
      <c r="T3897" t="s">
        <v>12902</v>
      </c>
      <c r="U3897" t="s">
        <v>12902</v>
      </c>
      <c r="V3897" t="s">
        <v>12902</v>
      </c>
      <c r="W3897" t="s">
        <v>16753</v>
      </c>
      <c r="X3897">
        <v>11</v>
      </c>
      <c r="Y3897" t="s">
        <v>23064</v>
      </c>
      <c r="Z3897" t="s">
        <v>29472</v>
      </c>
      <c r="AA3897">
        <v>0.38908850048760651</v>
      </c>
      <c r="AB3897" t="str">
        <f>HYPERLINK("Melting_Curves/meltCurve_Q69YN2_CWF19L1.pdf", "Melting_Curves/meltCurve_Q69YN2_CWF19L1.pdf")</f>
        <v>Melting_Curves/meltCurve_Q69YN2_CWF19L1.pdf</v>
      </c>
    </row>
    <row r="3898" spans="1:28" x14ac:dyDescent="0.25">
      <c r="A3898" t="s">
        <v>3902</v>
      </c>
      <c r="B3898">
        <v>0.99673306730245903</v>
      </c>
      <c r="C3898">
        <v>0.87651957987882301</v>
      </c>
      <c r="D3898">
        <v>0.87356352207327304</v>
      </c>
      <c r="E3898">
        <v>0.46973276791049701</v>
      </c>
      <c r="F3898">
        <v>0.30112617012959297</v>
      </c>
      <c r="G3898">
        <v>0.219638332424377</v>
      </c>
      <c r="H3898">
        <v>0.13510389994422001</v>
      </c>
      <c r="I3898">
        <v>0.15205108633953099</v>
      </c>
      <c r="J3898">
        <v>0.13176312230247</v>
      </c>
      <c r="K3898">
        <v>0.12160589083090199</v>
      </c>
      <c r="L3898">
        <v>941.01771760585098</v>
      </c>
      <c r="M3898">
        <v>19.208189748940299</v>
      </c>
      <c r="N3898">
        <v>49.784666811647398</v>
      </c>
      <c r="O3898">
        <v>48.468717192614498</v>
      </c>
      <c r="P3898">
        <v>-8.6003973476881698E-2</v>
      </c>
      <c r="Q3898">
        <v>0.131965448956298</v>
      </c>
      <c r="R3898">
        <v>0.98828392319620195</v>
      </c>
      <c r="S3898" t="s">
        <v>10350</v>
      </c>
      <c r="T3898" t="s">
        <v>12902</v>
      </c>
      <c r="U3898" t="s">
        <v>12902</v>
      </c>
      <c r="V3898" t="s">
        <v>12902</v>
      </c>
      <c r="W3898" t="s">
        <v>16754</v>
      </c>
      <c r="X3898">
        <v>8</v>
      </c>
      <c r="Y3898" t="s">
        <v>23065</v>
      </c>
      <c r="Z3898" t="s">
        <v>29473</v>
      </c>
      <c r="AA3898">
        <v>0.40529746452107079</v>
      </c>
      <c r="AB3898" t="str">
        <f>HYPERLINK("Melting_Curves/meltCurve_Q69YN4_KIAA1429.pdf", "Melting_Curves/meltCurve_Q69YN4_KIAA1429.pdf")</f>
        <v>Melting_Curves/meltCurve_Q69YN4_KIAA1429.pdf</v>
      </c>
    </row>
    <row r="3899" spans="1:28" x14ac:dyDescent="0.25">
      <c r="A3899" t="s">
        <v>3903</v>
      </c>
      <c r="B3899">
        <v>0.99673306730245903</v>
      </c>
      <c r="C3899">
        <v>1.0499539443359001</v>
      </c>
      <c r="D3899">
        <v>1.1099147365095501</v>
      </c>
      <c r="E3899">
        <v>0.99906554624881805</v>
      </c>
      <c r="F3899">
        <v>0.82436284258245096</v>
      </c>
      <c r="G3899">
        <v>0.75912251937021102</v>
      </c>
      <c r="H3899">
        <v>0.626176157133982</v>
      </c>
      <c r="I3899">
        <v>0.81644545675476898</v>
      </c>
      <c r="J3899">
        <v>0.86261011650067698</v>
      </c>
      <c r="K3899">
        <v>0.97833979485605405</v>
      </c>
      <c r="L3899">
        <v>13171.953388331</v>
      </c>
      <c r="M3899">
        <v>250</v>
      </c>
      <c r="O3899">
        <v>52.6844420246479</v>
      </c>
      <c r="P3899">
        <v>-0.22713203233538901</v>
      </c>
      <c r="Q3899">
        <v>0.80853881050792697</v>
      </c>
      <c r="R3899">
        <v>0.59097550400536003</v>
      </c>
      <c r="S3899" t="s">
        <v>10351</v>
      </c>
      <c r="T3899" t="s">
        <v>12902</v>
      </c>
      <c r="U3899" t="s">
        <v>12902</v>
      </c>
      <c r="V3899" t="s">
        <v>12902</v>
      </c>
      <c r="W3899" t="s">
        <v>16755</v>
      </c>
      <c r="X3899">
        <v>4</v>
      </c>
      <c r="Y3899" t="s">
        <v>23066</v>
      </c>
      <c r="Z3899" t="s">
        <v>29474</v>
      </c>
      <c r="AA3899">
        <v>0.88953064338010113</v>
      </c>
      <c r="AB3899" t="str">
        <f>HYPERLINK("Melting_Curves/meltCurve_Q69YU5_C12orf73.pdf", "Melting_Curves/meltCurve_Q69YU5_C12orf73.pdf")</f>
        <v>Melting_Curves/meltCurve_Q69YU5_C12orf73.pdf</v>
      </c>
    </row>
    <row r="3900" spans="1:28" x14ac:dyDescent="0.25">
      <c r="A3900" t="s">
        <v>3904</v>
      </c>
      <c r="B3900">
        <v>0.99673306730245903</v>
      </c>
      <c r="C3900">
        <v>0.79623923584597101</v>
      </c>
      <c r="D3900">
        <v>0.24997546818137301</v>
      </c>
      <c r="E3900">
        <v>0.17023477816371299</v>
      </c>
      <c r="F3900">
        <v>0.20139946856824101</v>
      </c>
      <c r="G3900">
        <v>0.15136326631650701</v>
      </c>
      <c r="H3900">
        <v>3.72626033950266E-2</v>
      </c>
      <c r="I3900">
        <v>3.3378107255726999E-2</v>
      </c>
      <c r="J3900">
        <v>0</v>
      </c>
      <c r="K3900">
        <v>0</v>
      </c>
      <c r="L3900">
        <v>1622.71064666864</v>
      </c>
      <c r="M3900">
        <v>36.617348788058301</v>
      </c>
      <c r="N3900">
        <v>44.526197281761398</v>
      </c>
      <c r="O3900">
        <v>44.183803307366098</v>
      </c>
      <c r="P3900">
        <v>-0.19069656609302801</v>
      </c>
      <c r="Q3900">
        <v>7.9597550226239003E-2</v>
      </c>
      <c r="R3900">
        <v>0.96147510918827594</v>
      </c>
      <c r="S3900" t="s">
        <v>10352</v>
      </c>
      <c r="T3900" t="s">
        <v>12902</v>
      </c>
      <c r="U3900" t="s">
        <v>12902</v>
      </c>
      <c r="V3900" t="s">
        <v>12902</v>
      </c>
      <c r="W3900" t="s">
        <v>16756</v>
      </c>
      <c r="X3900">
        <v>1</v>
      </c>
      <c r="Y3900" t="s">
        <v>23067</v>
      </c>
      <c r="Z3900" t="s">
        <v>29475</v>
      </c>
      <c r="AA3900">
        <v>0.21591389693814531</v>
      </c>
      <c r="AB3900" t="str">
        <f>HYPERLINK("Melting_Curves/meltCurve_Q6AZZ1_TRIM68.pdf", "Melting_Curves/meltCurve_Q6AZZ1_TRIM68.pdf")</f>
        <v>Melting_Curves/meltCurve_Q6AZZ1_TRIM68.pdf</v>
      </c>
    </row>
    <row r="3901" spans="1:28" x14ac:dyDescent="0.25">
      <c r="A3901" t="s">
        <v>3905</v>
      </c>
      <c r="B3901">
        <v>0.99673306730245903</v>
      </c>
      <c r="C3901">
        <v>1.0280468922747801</v>
      </c>
      <c r="D3901">
        <v>0.92538004127291196</v>
      </c>
      <c r="E3901">
        <v>0.72744594335267698</v>
      </c>
      <c r="F3901">
        <v>0.66921265061998503</v>
      </c>
      <c r="G3901">
        <v>0.54965418541613698</v>
      </c>
      <c r="H3901">
        <v>0.429571856936033</v>
      </c>
      <c r="I3901">
        <v>0.31217559495128699</v>
      </c>
      <c r="J3901">
        <v>0.24783919733989099</v>
      </c>
      <c r="K3901">
        <v>0.14508708374532001</v>
      </c>
      <c r="L3901">
        <v>494.90149014510399</v>
      </c>
      <c r="M3901">
        <v>8.5558426292125205</v>
      </c>
      <c r="N3901">
        <v>57.843688479169401</v>
      </c>
      <c r="O3901">
        <v>54.943625686675098</v>
      </c>
      <c r="P3901">
        <v>-3.8964321289683898E-2</v>
      </c>
      <c r="Q3901">
        <v>0</v>
      </c>
      <c r="R3901">
        <v>0.98258383088673795</v>
      </c>
      <c r="S3901" t="s">
        <v>10353</v>
      </c>
      <c r="T3901" t="s">
        <v>12902</v>
      </c>
      <c r="U3901" t="s">
        <v>12902</v>
      </c>
      <c r="V3901" t="s">
        <v>12902</v>
      </c>
      <c r="W3901" t="s">
        <v>16757</v>
      </c>
      <c r="X3901">
        <v>1</v>
      </c>
      <c r="Y3901" t="s">
        <v>23068</v>
      </c>
      <c r="Z3901" t="s">
        <v>29476</v>
      </c>
      <c r="AA3901">
        <v>0.60183900596018602</v>
      </c>
      <c r="AB3901" t="str">
        <f>HYPERLINK("Melting_Curves/meltCurve_Q6B0J5_HFE.pdf", "Melting_Curves/meltCurve_Q6B0J5_HFE.pdf")</f>
        <v>Melting_Curves/meltCurve_Q6B0J5_HFE.pdf</v>
      </c>
    </row>
    <row r="3902" spans="1:28" x14ac:dyDescent="0.25">
      <c r="A3902" t="s">
        <v>3906</v>
      </c>
      <c r="B3902">
        <v>0.99673306730245903</v>
      </c>
      <c r="C3902">
        <v>0.90306265780297301</v>
      </c>
      <c r="D3902">
        <v>0.96520295001520295</v>
      </c>
      <c r="E3902">
        <v>1.03037257420761</v>
      </c>
      <c r="F3902">
        <v>0.99844762516777297</v>
      </c>
      <c r="G3902">
        <v>0.461233888556706</v>
      </c>
      <c r="H3902">
        <v>0.155155776533493</v>
      </c>
      <c r="I3902">
        <v>0.11048750763776601</v>
      </c>
      <c r="J3902">
        <v>0.109578786990636</v>
      </c>
      <c r="K3902">
        <v>9.1318003435646306E-2</v>
      </c>
      <c r="L3902">
        <v>3682.3817441895799</v>
      </c>
      <c r="M3902">
        <v>65.259009750892204</v>
      </c>
      <c r="N3902">
        <v>56.652174752486196</v>
      </c>
      <c r="O3902">
        <v>56.374262133583201</v>
      </c>
      <c r="P3902">
        <v>-0.25636471833713098</v>
      </c>
      <c r="Q3902">
        <v>0.11415343155914</v>
      </c>
      <c r="R3902">
        <v>0.99200595330253805</v>
      </c>
      <c r="S3902" t="s">
        <v>10354</v>
      </c>
      <c r="T3902" t="s">
        <v>12902</v>
      </c>
      <c r="U3902" t="s">
        <v>12902</v>
      </c>
      <c r="V3902" t="s">
        <v>12902</v>
      </c>
      <c r="W3902" t="s">
        <v>16758</v>
      </c>
      <c r="X3902">
        <v>4</v>
      </c>
      <c r="Y3902" t="s">
        <v>23069</v>
      </c>
      <c r="Z3902" t="s">
        <v>29477</v>
      </c>
      <c r="AA3902">
        <v>0.60050994194047225</v>
      </c>
      <c r="AB3902" t="str">
        <f>HYPERLINK("Melting_Curves/meltCurve_Q6BDS2_UHRF1BP1.pdf", "Melting_Curves/meltCurve_Q6BDS2_UHRF1BP1.pdf")</f>
        <v>Melting_Curves/meltCurve_Q6BDS2_UHRF1BP1.pdf</v>
      </c>
    </row>
    <row r="3903" spans="1:28" x14ac:dyDescent="0.25">
      <c r="A3903" t="s">
        <v>3907</v>
      </c>
      <c r="B3903">
        <v>0.99673306730245903</v>
      </c>
      <c r="C3903">
        <v>0.963628864611216</v>
      </c>
      <c r="D3903">
        <v>0.97164997619580096</v>
      </c>
      <c r="E3903">
        <v>0.75135144346458604</v>
      </c>
      <c r="F3903">
        <v>0.64826591795016497</v>
      </c>
      <c r="G3903">
        <v>0.44154716288391799</v>
      </c>
      <c r="H3903">
        <v>0.39257183144135899</v>
      </c>
      <c r="I3903">
        <v>0.47310978424780897</v>
      </c>
      <c r="J3903">
        <v>0.69700810393115697</v>
      </c>
      <c r="K3903">
        <v>0.836880220146761</v>
      </c>
      <c r="L3903">
        <v>1747.97993825962</v>
      </c>
      <c r="M3903">
        <v>35.528041690630801</v>
      </c>
      <c r="O3903">
        <v>49.044915432535802</v>
      </c>
      <c r="P3903">
        <v>-7.6884014473978801E-2</v>
      </c>
      <c r="Q3903">
        <v>0.575461282931786</v>
      </c>
      <c r="R3903">
        <v>0.678788834160996</v>
      </c>
      <c r="S3903" t="s">
        <v>10355</v>
      </c>
      <c r="T3903" t="s">
        <v>12902</v>
      </c>
      <c r="U3903" t="s">
        <v>12902</v>
      </c>
      <c r="V3903" t="s">
        <v>12902</v>
      </c>
      <c r="W3903" t="s">
        <v>16759</v>
      </c>
      <c r="X3903">
        <v>6</v>
      </c>
      <c r="Y3903" t="s">
        <v>23070</v>
      </c>
      <c r="Z3903" t="s">
        <v>29478</v>
      </c>
      <c r="AA3903">
        <v>0.70749069500440187</v>
      </c>
      <c r="AB3903" t="str">
        <f>HYPERLINK("Melting_Curves/meltCurve_Q6DD87_ZNF787.pdf", "Melting_Curves/meltCurve_Q6DD87_ZNF787.pdf")</f>
        <v>Melting_Curves/meltCurve_Q6DD87_ZNF787.pdf</v>
      </c>
    </row>
    <row r="3904" spans="1:28" x14ac:dyDescent="0.25">
      <c r="A3904" t="s">
        <v>3908</v>
      </c>
      <c r="B3904">
        <v>0.99673306730245903</v>
      </c>
      <c r="C3904">
        <v>1.0026676833663899</v>
      </c>
      <c r="D3904">
        <v>0.98797754643470104</v>
      </c>
      <c r="E3904">
        <v>0.84035520706479505</v>
      </c>
      <c r="F3904">
        <v>0.26715118949088601</v>
      </c>
      <c r="G3904">
        <v>0.14477171509894199</v>
      </c>
      <c r="H3904">
        <v>7.0556218230703599E-2</v>
      </c>
      <c r="I3904">
        <v>5.9276584132162802E-2</v>
      </c>
      <c r="J3904">
        <v>5.7569052333347803E-2</v>
      </c>
      <c r="K3904">
        <v>5.1169930473669703E-2</v>
      </c>
      <c r="L3904">
        <v>2005.2236742351299</v>
      </c>
      <c r="M3904">
        <v>38.912446555003498</v>
      </c>
      <c r="N3904">
        <v>51.729078953568603</v>
      </c>
      <c r="O3904">
        <v>51.396143438490398</v>
      </c>
      <c r="P3904">
        <v>-0.176218026109871</v>
      </c>
      <c r="Q3904">
        <v>6.8996496193310497E-2</v>
      </c>
      <c r="R3904">
        <v>0.99805049801485701</v>
      </c>
      <c r="S3904" t="s">
        <v>10356</v>
      </c>
      <c r="T3904" t="s">
        <v>12902</v>
      </c>
      <c r="U3904" t="s">
        <v>12902</v>
      </c>
      <c r="V3904" t="s">
        <v>12902</v>
      </c>
      <c r="W3904" t="s">
        <v>16760</v>
      </c>
      <c r="X3904">
        <v>17</v>
      </c>
      <c r="Y3904" t="s">
        <v>23071</v>
      </c>
      <c r="Z3904" t="s">
        <v>29479</v>
      </c>
      <c r="AA3904">
        <v>0.43036872686964162</v>
      </c>
      <c r="AB3904" t="str">
        <f>HYPERLINK("Melting_Curves/meltCurve_Q6DD88_ATL3.pdf", "Melting_Curves/meltCurve_Q6DD88_ATL3.pdf")</f>
        <v>Melting_Curves/meltCurve_Q6DD88_ATL3.pdf</v>
      </c>
    </row>
    <row r="3905" spans="1:28" x14ac:dyDescent="0.25">
      <c r="A3905" t="s">
        <v>3909</v>
      </c>
      <c r="B3905">
        <v>0.99673306730245903</v>
      </c>
      <c r="C3905">
        <v>1.0268325678538901</v>
      </c>
      <c r="D3905">
        <v>1.03783309616605</v>
      </c>
      <c r="E3905">
        <v>0.93486617913449499</v>
      </c>
      <c r="F3905">
        <v>0.90691388359978897</v>
      </c>
      <c r="G3905">
        <v>0.73025082457624202</v>
      </c>
      <c r="H3905">
        <v>0.56448244447146501</v>
      </c>
      <c r="I3905">
        <v>0.44022022360518698</v>
      </c>
      <c r="J3905">
        <v>0.13403223151371299</v>
      </c>
      <c r="K3905">
        <v>9.0287910591363804E-2</v>
      </c>
      <c r="L3905">
        <v>947.789626255332</v>
      </c>
      <c r="M3905">
        <v>15.4345467144376</v>
      </c>
      <c r="N3905">
        <v>61.407026969852403</v>
      </c>
      <c r="O3905">
        <v>60.403905328054599</v>
      </c>
      <c r="P3905">
        <v>-6.3886351406251901E-2</v>
      </c>
      <c r="Q3905">
        <v>0</v>
      </c>
      <c r="R3905">
        <v>0.98013591452507598</v>
      </c>
      <c r="S3905" t="s">
        <v>10357</v>
      </c>
      <c r="T3905" t="s">
        <v>12902</v>
      </c>
      <c r="U3905" t="s">
        <v>12902</v>
      </c>
      <c r="V3905" t="s">
        <v>12902</v>
      </c>
      <c r="W3905" t="s">
        <v>16761</v>
      </c>
      <c r="X3905">
        <v>2</v>
      </c>
      <c r="Y3905" t="s">
        <v>23072</v>
      </c>
      <c r="Z3905" t="s">
        <v>29480</v>
      </c>
      <c r="AA3905">
        <v>0.7146857805348048</v>
      </c>
      <c r="AB3905" t="str">
        <f>HYPERLINK("Melting_Curves/meltCurve_Q6DHV7_3_ADAL.pdf", "Melting_Curves/meltCurve_Q6DHV7_3_ADAL.pdf")</f>
        <v>Melting_Curves/meltCurve_Q6DHV7_3_ADAL.pdf</v>
      </c>
    </row>
    <row r="3906" spans="1:28" x14ac:dyDescent="0.25">
      <c r="A3906" t="s">
        <v>3910</v>
      </c>
      <c r="B3906">
        <v>0.99673306730245903</v>
      </c>
      <c r="C3906">
        <v>1.02080970331761</v>
      </c>
      <c r="D3906">
        <v>0.93598863390532006</v>
      </c>
      <c r="E3906">
        <v>0.89633959715656297</v>
      </c>
      <c r="F3906">
        <v>0.76333816034696</v>
      </c>
      <c r="G3906">
        <v>0.67878346339280105</v>
      </c>
      <c r="H3906">
        <v>0.48571259998121102</v>
      </c>
      <c r="I3906">
        <v>0.56306123930867202</v>
      </c>
      <c r="J3906">
        <v>0.33357603852176398</v>
      </c>
      <c r="K3906">
        <v>0.12932999969526099</v>
      </c>
      <c r="L3906">
        <v>556.50039847031803</v>
      </c>
      <c r="M3906">
        <v>9.0478735714336693</v>
      </c>
      <c r="N3906">
        <v>61.506199105893899</v>
      </c>
      <c r="O3906">
        <v>58.724786129434897</v>
      </c>
      <c r="P3906">
        <v>-3.8545537247659502E-2</v>
      </c>
      <c r="Q3906">
        <v>0</v>
      </c>
      <c r="R3906">
        <v>0.94734482184303204</v>
      </c>
      <c r="S3906" t="s">
        <v>10358</v>
      </c>
      <c r="T3906" t="s">
        <v>12902</v>
      </c>
      <c r="U3906" t="s">
        <v>12902</v>
      </c>
      <c r="V3906" t="s">
        <v>12902</v>
      </c>
      <c r="W3906" t="s">
        <v>16762</v>
      </c>
      <c r="X3906">
        <v>6</v>
      </c>
      <c r="Y3906" t="s">
        <v>23073</v>
      </c>
      <c r="Z3906" t="s">
        <v>29481</v>
      </c>
      <c r="AA3906">
        <v>0.69420163625226095</v>
      </c>
      <c r="AB3906" t="str">
        <f>HYPERLINK("Melting_Curves/meltCurve_Q6DKK2_TTC19.pdf", "Melting_Curves/meltCurve_Q6DKK2_TTC19.pdf")</f>
        <v>Melting_Curves/meltCurve_Q6DKK2_TTC19.pdf</v>
      </c>
    </row>
    <row r="3907" spans="1:28" x14ac:dyDescent="0.25">
      <c r="A3907" t="s">
        <v>3911</v>
      </c>
      <c r="B3907">
        <v>0.99673306730245903</v>
      </c>
      <c r="C3907">
        <v>0.83977048563361401</v>
      </c>
      <c r="D3907">
        <v>0.61638012305818402</v>
      </c>
      <c r="E3907">
        <v>0.35201276172797602</v>
      </c>
      <c r="F3907">
        <v>0.259157271282068</v>
      </c>
      <c r="G3907">
        <v>0.15386194506228901</v>
      </c>
      <c r="H3907">
        <v>0.113876767284398</v>
      </c>
      <c r="I3907">
        <v>9.0594468194238997E-2</v>
      </c>
      <c r="J3907">
        <v>0.11758018049095199</v>
      </c>
      <c r="K3907">
        <v>0.11981782242447001</v>
      </c>
      <c r="L3907">
        <v>779.47872513614504</v>
      </c>
      <c r="M3907">
        <v>16.6096353782719</v>
      </c>
      <c r="N3907">
        <v>47.616526632935198</v>
      </c>
      <c r="O3907">
        <v>46.2648951273734</v>
      </c>
      <c r="P3907">
        <v>-8.0193027265421796E-2</v>
      </c>
      <c r="Q3907">
        <v>0.10657416188218</v>
      </c>
      <c r="R3907">
        <v>0.99496698297193797</v>
      </c>
      <c r="S3907" t="s">
        <v>10359</v>
      </c>
      <c r="T3907" t="s">
        <v>12902</v>
      </c>
      <c r="U3907" t="s">
        <v>12902</v>
      </c>
      <c r="V3907" t="s">
        <v>12902</v>
      </c>
      <c r="W3907" t="s">
        <v>16763</v>
      </c>
      <c r="X3907">
        <v>6</v>
      </c>
      <c r="Y3907" t="s">
        <v>23074</v>
      </c>
      <c r="Z3907" t="s">
        <v>29482</v>
      </c>
      <c r="AA3907">
        <v>0.33261510358387852</v>
      </c>
      <c r="AB3907" t="str">
        <f>HYPERLINK("Melting_Curves/meltCurve_Q6DT37_CDC42BPG.pdf", "Melting_Curves/meltCurve_Q6DT37_CDC42BPG.pdf")</f>
        <v>Melting_Curves/meltCurve_Q6DT37_CDC42BPG.pdf</v>
      </c>
    </row>
    <row r="3908" spans="1:28" x14ac:dyDescent="0.25">
      <c r="A3908" t="s">
        <v>3912</v>
      </c>
      <c r="B3908">
        <v>0.99673306730245903</v>
      </c>
      <c r="C3908">
        <v>1.1166807027290899</v>
      </c>
      <c r="D3908">
        <v>1.0247004159958699</v>
      </c>
      <c r="E3908">
        <v>0.94323132467109005</v>
      </c>
      <c r="F3908">
        <v>0.86350443245345199</v>
      </c>
      <c r="G3908">
        <v>0.80866316140029904</v>
      </c>
      <c r="H3908">
        <v>0.63094177584325895</v>
      </c>
      <c r="I3908">
        <v>0.91725085854752997</v>
      </c>
      <c r="J3908">
        <v>1.46961522586217</v>
      </c>
      <c r="K3908">
        <v>1.37056423216005</v>
      </c>
      <c r="L3908">
        <v>8902.4805258381293</v>
      </c>
      <c r="M3908">
        <v>135.65809121030699</v>
      </c>
      <c r="O3908">
        <v>65.610124799353002</v>
      </c>
      <c r="P3908">
        <v>0.22160890020468901</v>
      </c>
      <c r="Q3908">
        <v>1.4287187121639</v>
      </c>
      <c r="R3908">
        <v>0.60585367269507595</v>
      </c>
      <c r="S3908" t="s">
        <v>10360</v>
      </c>
      <c r="T3908" t="s">
        <v>12902</v>
      </c>
      <c r="U3908" t="s">
        <v>12902</v>
      </c>
      <c r="V3908" t="s">
        <v>12902</v>
      </c>
      <c r="W3908" t="s">
        <v>16764</v>
      </c>
      <c r="X3908">
        <v>3</v>
      </c>
      <c r="Y3908" t="s">
        <v>21226</v>
      </c>
      <c r="Z3908" t="s">
        <v>29483</v>
      </c>
      <c r="AA3908">
        <v>1.062363969520304</v>
      </c>
      <c r="AB3908" t="str">
        <f>HYPERLINK("Melting_Curves/meltCurve_Q6EEV4_2_POLR2M.pdf", "Melting_Curves/meltCurve_Q6EEV4_2_POLR2M.pdf")</f>
        <v>Melting_Curves/meltCurve_Q6EEV4_2_POLR2M.pdf</v>
      </c>
    </row>
    <row r="3909" spans="1:28" x14ac:dyDescent="0.25">
      <c r="A3909" t="s">
        <v>3913</v>
      </c>
      <c r="B3909">
        <v>0.99673306730245903</v>
      </c>
      <c r="C3909">
        <v>1.02306873303432</v>
      </c>
      <c r="D3909">
        <v>0.93061497348672595</v>
      </c>
      <c r="E3909">
        <v>0.83018199260290404</v>
      </c>
      <c r="F3909">
        <v>0.71790567020908003</v>
      </c>
      <c r="G3909">
        <v>0.55409643300759104</v>
      </c>
      <c r="H3909">
        <v>0.26501559384690698</v>
      </c>
      <c r="I3909">
        <v>9.9960248339058699E-2</v>
      </c>
      <c r="J3909">
        <v>7.2394826727882403E-2</v>
      </c>
      <c r="K3909">
        <v>5.6126796450667399E-2</v>
      </c>
      <c r="L3909">
        <v>834.30400759151303</v>
      </c>
      <c r="M3909">
        <v>14.733874517228999</v>
      </c>
      <c r="N3909">
        <v>56.624912664330701</v>
      </c>
      <c r="O3909">
        <v>55.612483026238301</v>
      </c>
      <c r="P3909">
        <v>-6.62417467552429E-2</v>
      </c>
      <c r="Q3909">
        <v>0</v>
      </c>
      <c r="R3909">
        <v>0.99050412378680497</v>
      </c>
      <c r="S3909" t="s">
        <v>10361</v>
      </c>
      <c r="T3909" t="s">
        <v>12902</v>
      </c>
      <c r="U3909" t="s">
        <v>12902</v>
      </c>
      <c r="V3909" t="s">
        <v>12902</v>
      </c>
      <c r="W3909" t="s">
        <v>16765</v>
      </c>
      <c r="X3909">
        <v>3</v>
      </c>
      <c r="Y3909" t="s">
        <v>23075</v>
      </c>
      <c r="Z3909" t="s">
        <v>29484</v>
      </c>
      <c r="AA3909">
        <v>0.57095214427812369</v>
      </c>
      <c r="AB3909" t="str">
        <f>HYPERLINK("Melting_Curves/meltCurve_Q6EMK4_VASN.pdf", "Melting_Curves/meltCurve_Q6EMK4_VASN.pdf")</f>
        <v>Melting_Curves/meltCurve_Q6EMK4_VASN.pdf</v>
      </c>
    </row>
    <row r="3910" spans="1:28" x14ac:dyDescent="0.25">
      <c r="A3910" t="s">
        <v>3914</v>
      </c>
      <c r="B3910">
        <v>0.99673306730245903</v>
      </c>
      <c r="C3910">
        <v>1.21023531921024</v>
      </c>
      <c r="D3910">
        <v>0.46063372606810898</v>
      </c>
      <c r="E3910">
        <v>0.90801810471796995</v>
      </c>
      <c r="F3910">
        <v>0.324521039475757</v>
      </c>
      <c r="G3910">
        <v>0.17688987739486201</v>
      </c>
      <c r="H3910">
        <v>0.10625889420800499</v>
      </c>
      <c r="I3910">
        <v>0.11576372043965601</v>
      </c>
      <c r="J3910">
        <v>0.15372837347823801</v>
      </c>
      <c r="K3910">
        <v>0.14631730607622501</v>
      </c>
      <c r="L3910">
        <v>813.77141112119295</v>
      </c>
      <c r="M3910">
        <v>15.997381232382301</v>
      </c>
      <c r="N3910">
        <v>51.515454909543301</v>
      </c>
      <c r="O3910">
        <v>50.094060072366503</v>
      </c>
      <c r="P3910">
        <v>-7.2582431212595597E-2</v>
      </c>
      <c r="Q3910">
        <v>9.0935378284222906E-2</v>
      </c>
      <c r="R3910">
        <v>0.80401323654340695</v>
      </c>
      <c r="S3910" t="s">
        <v>10362</v>
      </c>
      <c r="T3910" t="s">
        <v>12902</v>
      </c>
      <c r="U3910" t="s">
        <v>12902</v>
      </c>
      <c r="V3910" t="s">
        <v>12902</v>
      </c>
      <c r="W3910" t="s">
        <v>16766</v>
      </c>
      <c r="X3910">
        <v>15</v>
      </c>
      <c r="Y3910" t="s">
        <v>23076</v>
      </c>
      <c r="Z3910" t="s">
        <v>29485</v>
      </c>
      <c r="AA3910">
        <v>0.43919763802362582</v>
      </c>
      <c r="AB3910" t="str">
        <f>HYPERLINK("Melting_Curves/meltCurve_Q6FI81_3_CIAPIN1.pdf", "Melting_Curves/meltCurve_Q6FI81_3_CIAPIN1.pdf")</f>
        <v>Melting_Curves/meltCurve_Q6FI81_3_CIAPIN1.pdf</v>
      </c>
    </row>
    <row r="3911" spans="1:28" x14ac:dyDescent="0.25">
      <c r="A3911" t="s">
        <v>3915</v>
      </c>
      <c r="B3911">
        <v>0.99673306730245903</v>
      </c>
      <c r="C3911">
        <v>0.95150320178792103</v>
      </c>
      <c r="D3911">
        <v>1.0136812271261599</v>
      </c>
      <c r="E3911">
        <v>0.84474011826427098</v>
      </c>
      <c r="F3911">
        <v>0.78741189055438399</v>
      </c>
      <c r="G3911">
        <v>0.75721651154451297</v>
      </c>
      <c r="H3911">
        <v>0.72737254277121899</v>
      </c>
      <c r="I3911">
        <v>1.0231643845755001</v>
      </c>
      <c r="J3911">
        <v>1.4719953910625601</v>
      </c>
      <c r="K3911">
        <v>1.4065649374106199</v>
      </c>
      <c r="L3911">
        <v>15000</v>
      </c>
      <c r="M3911">
        <v>231.49684127234701</v>
      </c>
      <c r="O3911">
        <v>64.790864799404105</v>
      </c>
      <c r="P3911">
        <v>0.39244402035340098</v>
      </c>
      <c r="Q3911">
        <v>1.43934573407057</v>
      </c>
      <c r="R3911">
        <v>0.65088010725912604</v>
      </c>
      <c r="S3911" t="s">
        <v>10363</v>
      </c>
      <c r="T3911" t="s">
        <v>12902</v>
      </c>
      <c r="U3911" t="s">
        <v>12902</v>
      </c>
      <c r="V3911" t="s">
        <v>12902</v>
      </c>
      <c r="W3911" t="s">
        <v>16767</v>
      </c>
      <c r="X3911">
        <v>7</v>
      </c>
      <c r="Y3911" t="s">
        <v>23077</v>
      </c>
      <c r="Z3911" t="s">
        <v>29486</v>
      </c>
      <c r="AA3911">
        <v>1.076157957690028</v>
      </c>
      <c r="AB3911" t="str">
        <f>HYPERLINK("Melting_Curves/meltCurve_Q6FIF0_2_ZFAND6.pdf", "Melting_Curves/meltCurve_Q6FIF0_2_ZFAND6.pdf")</f>
        <v>Melting_Curves/meltCurve_Q6FIF0_2_ZFAND6.pdf</v>
      </c>
    </row>
    <row r="3912" spans="1:28" x14ac:dyDescent="0.25">
      <c r="A3912" t="s">
        <v>3916</v>
      </c>
      <c r="B3912">
        <v>0.99673306730245903</v>
      </c>
      <c r="C3912">
        <v>1.02976012864111</v>
      </c>
      <c r="D3912">
        <v>0.97131552400961096</v>
      </c>
      <c r="E3912">
        <v>0.97235932066615605</v>
      </c>
      <c r="F3912">
        <v>0.63063173114882298</v>
      </c>
      <c r="G3912">
        <v>0.22810256431676201</v>
      </c>
      <c r="H3912">
        <v>0.13438410463321601</v>
      </c>
      <c r="I3912">
        <v>0.149479681221521</v>
      </c>
      <c r="J3912">
        <v>0.15173648356521299</v>
      </c>
      <c r="K3912">
        <v>0.132648176855824</v>
      </c>
      <c r="L3912">
        <v>2121.9223030377102</v>
      </c>
      <c r="M3912">
        <v>39.593478310985098</v>
      </c>
      <c r="N3912">
        <v>54.043260266387001</v>
      </c>
      <c r="O3912">
        <v>53.456554298327703</v>
      </c>
      <c r="P3912">
        <v>-0.15913899237336701</v>
      </c>
      <c r="Q3912">
        <v>0.14056514565019099</v>
      </c>
      <c r="R3912">
        <v>0.998620914259709</v>
      </c>
      <c r="S3912" t="s">
        <v>10364</v>
      </c>
      <c r="T3912" t="s">
        <v>12902</v>
      </c>
      <c r="U3912" t="s">
        <v>12902</v>
      </c>
      <c r="V3912" t="s">
        <v>12902</v>
      </c>
      <c r="W3912" t="s">
        <v>16768</v>
      </c>
      <c r="X3912">
        <v>7</v>
      </c>
      <c r="Y3912" t="s">
        <v>23078</v>
      </c>
      <c r="Z3912" t="s">
        <v>29487</v>
      </c>
      <c r="AA3912">
        <v>0.53321155182620006</v>
      </c>
      <c r="AB3912" t="str">
        <f>HYPERLINK("Melting_Curves/meltCurve_Q6GMV2_SMYD5.pdf", "Melting_Curves/meltCurve_Q6GMV2_SMYD5.pdf")</f>
        <v>Melting_Curves/meltCurve_Q6GMV2_SMYD5.pdf</v>
      </c>
    </row>
    <row r="3913" spans="1:28" x14ac:dyDescent="0.25">
      <c r="A3913" t="s">
        <v>3917</v>
      </c>
      <c r="B3913">
        <v>0.99673306730245903</v>
      </c>
      <c r="C3913">
        <v>0.99431726624900796</v>
      </c>
      <c r="D3913">
        <v>0.94283119651587599</v>
      </c>
      <c r="E3913">
        <v>0.96128407863242604</v>
      </c>
      <c r="F3913">
        <v>0.84224057004031605</v>
      </c>
      <c r="G3913">
        <v>0.76770706938409805</v>
      </c>
      <c r="H3913">
        <v>0.539527853004652</v>
      </c>
      <c r="I3913">
        <v>0.59357431701658203</v>
      </c>
      <c r="J3913">
        <v>0.39278269741891197</v>
      </c>
      <c r="K3913">
        <v>0.27372582067669898</v>
      </c>
      <c r="L3913">
        <v>575.95201471214898</v>
      </c>
      <c r="M3913">
        <v>9.0151140866741208</v>
      </c>
      <c r="N3913">
        <v>63.887371732245903</v>
      </c>
      <c r="O3913">
        <v>60.978800705331203</v>
      </c>
      <c r="P3913">
        <v>-3.6986705019146797E-2</v>
      </c>
      <c r="Q3913">
        <v>0</v>
      </c>
      <c r="R3913">
        <v>0.97052324830060999</v>
      </c>
      <c r="S3913" t="s">
        <v>10365</v>
      </c>
      <c r="T3913" t="s">
        <v>12902</v>
      </c>
      <c r="U3913" t="s">
        <v>12902</v>
      </c>
      <c r="V3913" t="s">
        <v>12902</v>
      </c>
      <c r="W3913" t="s">
        <v>16769</v>
      </c>
      <c r="X3913">
        <v>9</v>
      </c>
      <c r="Y3913" t="s">
        <v>23079</v>
      </c>
      <c r="Z3913" t="s">
        <v>29488</v>
      </c>
      <c r="AA3913">
        <v>0.74678051229005327</v>
      </c>
      <c r="AB3913" t="str">
        <f>HYPERLINK("Melting_Curves/meltCurve_Q6GMV3_PTRHD1.pdf", "Melting_Curves/meltCurve_Q6GMV3_PTRHD1.pdf")</f>
        <v>Melting_Curves/meltCurve_Q6GMV3_PTRHD1.pdf</v>
      </c>
    </row>
    <row r="3914" spans="1:28" x14ac:dyDescent="0.25">
      <c r="A3914" t="s">
        <v>3918</v>
      </c>
      <c r="B3914">
        <v>0.99673306730245903</v>
      </c>
      <c r="C3914">
        <v>1.0108574225785301</v>
      </c>
      <c r="D3914">
        <v>0.84390618901178205</v>
      </c>
      <c r="E3914">
        <v>0.38280321611839901</v>
      </c>
      <c r="F3914">
        <v>0.33748524141979303</v>
      </c>
      <c r="G3914">
        <v>0.17526782668134</v>
      </c>
      <c r="H3914">
        <v>0.11654321164956</v>
      </c>
      <c r="I3914">
        <v>9.7539458812702207E-2</v>
      </c>
      <c r="J3914">
        <v>9.0308880325082802E-2</v>
      </c>
      <c r="K3914">
        <v>7.6282971024497603E-2</v>
      </c>
      <c r="L3914">
        <v>1035.10933943389</v>
      </c>
      <c r="M3914">
        <v>21.216200587796799</v>
      </c>
      <c r="N3914">
        <v>49.343559834852798</v>
      </c>
      <c r="O3914">
        <v>48.361388923573699</v>
      </c>
      <c r="P3914">
        <v>-9.8037321951120193E-2</v>
      </c>
      <c r="Q3914">
        <v>0.1061361245986</v>
      </c>
      <c r="R3914">
        <v>0.98102358216198005</v>
      </c>
      <c r="S3914" t="s">
        <v>10366</v>
      </c>
      <c r="T3914" t="s">
        <v>12902</v>
      </c>
      <c r="U3914" t="s">
        <v>12902</v>
      </c>
      <c r="V3914" t="s">
        <v>12902</v>
      </c>
      <c r="W3914" t="s">
        <v>16770</v>
      </c>
      <c r="X3914">
        <v>6</v>
      </c>
      <c r="Y3914" t="s">
        <v>23080</v>
      </c>
      <c r="Z3914" t="s">
        <v>29489</v>
      </c>
      <c r="AA3914">
        <v>0.37911026747472859</v>
      </c>
      <c r="AB3914" t="str">
        <f>HYPERLINK("Melting_Curves/meltCurve_Q6GQQ9_OTUD7B.pdf", "Melting_Curves/meltCurve_Q6GQQ9_OTUD7B.pdf")</f>
        <v>Melting_Curves/meltCurve_Q6GQQ9_OTUD7B.pdf</v>
      </c>
    </row>
    <row r="3915" spans="1:28" x14ac:dyDescent="0.25">
      <c r="A3915" t="s">
        <v>3919</v>
      </c>
      <c r="B3915">
        <v>0.99673306730245903</v>
      </c>
      <c r="C3915">
        <v>0.94710782796828297</v>
      </c>
      <c r="D3915">
        <v>0.89302564250112604</v>
      </c>
      <c r="E3915">
        <v>0.65664275758567503</v>
      </c>
      <c r="F3915">
        <v>0.609254969930904</v>
      </c>
      <c r="G3915">
        <v>0.40416542213602002</v>
      </c>
      <c r="H3915">
        <v>0.35519667698859497</v>
      </c>
      <c r="I3915">
        <v>0.41571250924493502</v>
      </c>
      <c r="J3915">
        <v>0.50197177742697496</v>
      </c>
      <c r="K3915">
        <v>0.559639766636851</v>
      </c>
      <c r="L3915">
        <v>1029.3911513119499</v>
      </c>
      <c r="M3915">
        <v>21.088662728616601</v>
      </c>
      <c r="N3915">
        <v>54.830805255129803</v>
      </c>
      <c r="O3915">
        <v>48.379979547274601</v>
      </c>
      <c r="P3915">
        <v>-5.98716949020092E-2</v>
      </c>
      <c r="Q3915">
        <v>0.45060245908720797</v>
      </c>
      <c r="R3915">
        <v>0.92196722645066898</v>
      </c>
      <c r="S3915" t="s">
        <v>10367</v>
      </c>
      <c r="T3915" t="s">
        <v>12902</v>
      </c>
      <c r="U3915" t="s">
        <v>12902</v>
      </c>
      <c r="V3915" t="s">
        <v>12902</v>
      </c>
      <c r="W3915" t="s">
        <v>16771</v>
      </c>
      <c r="X3915">
        <v>6</v>
      </c>
      <c r="Y3915" t="s">
        <v>23081</v>
      </c>
      <c r="Z3915" t="s">
        <v>29490</v>
      </c>
      <c r="AA3915">
        <v>0.61890339878506473</v>
      </c>
      <c r="AB3915" t="str">
        <f>HYPERLINK("Melting_Curves/meltCurve_Q6GYA4_SELS.pdf", "Melting_Curves/meltCurve_Q6GYA4_SELS.pdf")</f>
        <v>Melting_Curves/meltCurve_Q6GYA4_SELS.pdf</v>
      </c>
    </row>
    <row r="3916" spans="1:28" x14ac:dyDescent="0.25">
      <c r="A3916" t="s">
        <v>3920</v>
      </c>
      <c r="B3916">
        <v>0.99673306730245903</v>
      </c>
      <c r="C3916">
        <v>0.87986708298026395</v>
      </c>
      <c r="D3916">
        <v>1.06230057359358</v>
      </c>
      <c r="E3916">
        <v>0.85163104695207303</v>
      </c>
      <c r="F3916">
        <v>0.61095759772112102</v>
      </c>
      <c r="G3916">
        <v>0.38526251510364601</v>
      </c>
      <c r="H3916">
        <v>0.40902841527413297</v>
      </c>
      <c r="I3916">
        <v>0.494731793654209</v>
      </c>
      <c r="J3916">
        <v>0.63714073524348103</v>
      </c>
      <c r="K3916">
        <v>0.472275398909625</v>
      </c>
      <c r="L3916">
        <v>1956.57612746571</v>
      </c>
      <c r="M3916">
        <v>38.322724645216297</v>
      </c>
      <c r="N3916">
        <v>55.997074223074797</v>
      </c>
      <c r="O3916">
        <v>50.916822540517501</v>
      </c>
      <c r="P3916">
        <v>-9.7278657732949206E-2</v>
      </c>
      <c r="Q3916">
        <v>0.48301091506357402</v>
      </c>
      <c r="R3916">
        <v>0.88858481573623405</v>
      </c>
      <c r="S3916" t="s">
        <v>10368</v>
      </c>
      <c r="T3916" t="s">
        <v>12902</v>
      </c>
      <c r="U3916" t="s">
        <v>12902</v>
      </c>
      <c r="V3916" t="s">
        <v>12902</v>
      </c>
      <c r="W3916" t="s">
        <v>16772</v>
      </c>
      <c r="X3916">
        <v>1</v>
      </c>
      <c r="Y3916" t="s">
        <v>23082</v>
      </c>
      <c r="Z3916" t="s">
        <v>29491</v>
      </c>
      <c r="AA3916">
        <v>0.67551437040092666</v>
      </c>
      <c r="AB3916" t="str">
        <f>HYPERLINK("Melting_Curves/meltCurve_Q6H9L7_5_ISM2.pdf", "Melting_Curves/meltCurve_Q6H9L7_5_ISM2.pdf")</f>
        <v>Melting_Curves/meltCurve_Q6H9L7_5_ISM2.pdf</v>
      </c>
    </row>
    <row r="3917" spans="1:28" x14ac:dyDescent="0.25">
      <c r="A3917" t="s">
        <v>3921</v>
      </c>
      <c r="B3917">
        <v>0.99673306730245903</v>
      </c>
      <c r="C3917">
        <v>1.07527042940111</v>
      </c>
      <c r="D3917">
        <v>1.4131869258684</v>
      </c>
      <c r="E3917">
        <v>2.33740614345556</v>
      </c>
      <c r="F3917">
        <v>0.66278163962324499</v>
      </c>
      <c r="G3917">
        <v>0.59445898584364698</v>
      </c>
      <c r="H3917">
        <v>0.39006840224719402</v>
      </c>
      <c r="I3917">
        <v>0.48214617811896399</v>
      </c>
      <c r="J3917">
        <v>0.51575051140525596</v>
      </c>
      <c r="K3917">
        <v>0.49928425488203199</v>
      </c>
      <c r="L3917">
        <v>13262.4358048584</v>
      </c>
      <c r="M3917">
        <v>250</v>
      </c>
      <c r="N3917">
        <v>54.114188256222498</v>
      </c>
      <c r="O3917">
        <v>53.046348402793299</v>
      </c>
      <c r="P3917">
        <v>-0.59341780548635403</v>
      </c>
      <c r="Q3917">
        <v>0.49634163820129301</v>
      </c>
      <c r="R3917">
        <v>0.39098854315419201</v>
      </c>
      <c r="S3917" t="s">
        <v>10369</v>
      </c>
      <c r="T3917" t="s">
        <v>12902</v>
      </c>
      <c r="U3917" t="s">
        <v>12902</v>
      </c>
      <c r="V3917" t="s">
        <v>12902</v>
      </c>
      <c r="W3917" t="s">
        <v>16773</v>
      </c>
      <c r="X3917">
        <v>4</v>
      </c>
      <c r="Y3917" t="s">
        <v>23083</v>
      </c>
      <c r="Z3917" t="s">
        <v>29492</v>
      </c>
      <c r="AA3917">
        <v>0.71547560593014814</v>
      </c>
      <c r="AB3917" t="str">
        <f>HYPERLINK("Melting_Curves/meltCurve_Q6I9Y2_THOC7.pdf", "Melting_Curves/meltCurve_Q6I9Y2_THOC7.pdf")</f>
        <v>Melting_Curves/meltCurve_Q6I9Y2_THOC7.pdf</v>
      </c>
    </row>
    <row r="3918" spans="1:28" x14ac:dyDescent="0.25">
      <c r="A3918" t="s">
        <v>3922</v>
      </c>
      <c r="B3918">
        <v>0.99673306730245903</v>
      </c>
      <c r="C3918">
        <v>1.0405645977114499</v>
      </c>
      <c r="D3918">
        <v>0.992935567390966</v>
      </c>
      <c r="E3918">
        <v>0.81677013694571399</v>
      </c>
      <c r="F3918">
        <v>0.35334395276111802</v>
      </c>
      <c r="G3918">
        <v>0.175281151382255</v>
      </c>
      <c r="H3918">
        <v>7.6698837043965698E-2</v>
      </c>
      <c r="I3918">
        <v>5.92851611954038E-2</v>
      </c>
      <c r="J3918">
        <v>5.9051372952176003E-2</v>
      </c>
      <c r="K3918">
        <v>5.2518556858411697E-2</v>
      </c>
      <c r="L3918">
        <v>1510.39985145063</v>
      </c>
      <c r="M3918">
        <v>29.0931004341708</v>
      </c>
      <c r="N3918">
        <v>52.160368643878002</v>
      </c>
      <c r="O3918">
        <v>51.672651669388301</v>
      </c>
      <c r="P3918">
        <v>-0.13179328524814099</v>
      </c>
      <c r="Q3918">
        <v>6.368750179912E-2</v>
      </c>
      <c r="R3918">
        <v>0.99748989758892603</v>
      </c>
      <c r="S3918" t="s">
        <v>10370</v>
      </c>
      <c r="T3918" t="s">
        <v>12902</v>
      </c>
      <c r="U3918" t="s">
        <v>12902</v>
      </c>
      <c r="V3918" t="s">
        <v>12902</v>
      </c>
      <c r="W3918" t="s">
        <v>16774</v>
      </c>
      <c r="X3918">
        <v>8</v>
      </c>
      <c r="Y3918" t="s">
        <v>23084</v>
      </c>
      <c r="Z3918" t="s">
        <v>29493</v>
      </c>
      <c r="AA3918">
        <v>0.44194262622498431</v>
      </c>
      <c r="AB3918" t="str">
        <f>HYPERLINK("Melting_Curves/meltCurve_Q6IA17_SIGIRR.pdf", "Melting_Curves/meltCurve_Q6IA17_SIGIRR.pdf")</f>
        <v>Melting_Curves/meltCurve_Q6IA17_SIGIRR.pdf</v>
      </c>
    </row>
    <row r="3919" spans="1:28" x14ac:dyDescent="0.25">
      <c r="A3919" t="s">
        <v>3923</v>
      </c>
      <c r="B3919">
        <v>0.99673306730245903</v>
      </c>
      <c r="C3919">
        <v>1.0809607975290001</v>
      </c>
      <c r="D3919">
        <v>1.01217259769663</v>
      </c>
      <c r="E3919">
        <v>1.1515276030196899</v>
      </c>
      <c r="F3919">
        <v>1.28795169755146</v>
      </c>
      <c r="G3919">
        <v>1.3038565963708899</v>
      </c>
      <c r="H3919">
        <v>1.15221618453284</v>
      </c>
      <c r="I3919">
        <v>0.390291591005405</v>
      </c>
      <c r="J3919">
        <v>0.174722576466803</v>
      </c>
      <c r="K3919">
        <v>0.133936817743881</v>
      </c>
      <c r="L3919">
        <v>15000</v>
      </c>
      <c r="M3919">
        <v>235.324230738202</v>
      </c>
      <c r="N3919">
        <v>63.841957369733798</v>
      </c>
      <c r="O3919">
        <v>63.737241338176197</v>
      </c>
      <c r="P3919">
        <v>-0.78058012069421401</v>
      </c>
      <c r="Q3919">
        <v>0.154323866998996</v>
      </c>
      <c r="R3919">
        <v>0.87678339518189596</v>
      </c>
      <c r="S3919" t="s">
        <v>10371</v>
      </c>
      <c r="T3919" t="s">
        <v>12902</v>
      </c>
      <c r="U3919" t="s">
        <v>12902</v>
      </c>
      <c r="V3919" t="s">
        <v>12902</v>
      </c>
      <c r="W3919" t="s">
        <v>16775</v>
      </c>
      <c r="X3919">
        <v>1</v>
      </c>
      <c r="Y3919" t="s">
        <v>23085</v>
      </c>
      <c r="Z3919" t="s">
        <v>29494</v>
      </c>
      <c r="AA3919">
        <v>0.82369428550212342</v>
      </c>
      <c r="AB3919" t="str">
        <f>HYPERLINK("Melting_Curves/meltCurve_Q6IA69_NADSYN1.pdf", "Melting_Curves/meltCurve_Q6IA69_NADSYN1.pdf")</f>
        <v>Melting_Curves/meltCurve_Q6IA69_NADSYN1.pdf</v>
      </c>
    </row>
    <row r="3920" spans="1:28" x14ac:dyDescent="0.25">
      <c r="A3920" t="s">
        <v>3924</v>
      </c>
      <c r="B3920">
        <v>0.99673306730245903</v>
      </c>
      <c r="C3920">
        <v>0.97447748366499798</v>
      </c>
      <c r="D3920">
        <v>0.96390607581087495</v>
      </c>
      <c r="E3920">
        <v>1.07796001333945</v>
      </c>
      <c r="F3920">
        <v>0.86104375075097495</v>
      </c>
      <c r="G3920">
        <v>0.63629309007821799</v>
      </c>
      <c r="H3920">
        <v>0.26124342242842102</v>
      </c>
      <c r="I3920">
        <v>0.15850279199422701</v>
      </c>
      <c r="J3920">
        <v>0.16310263111504</v>
      </c>
      <c r="K3920">
        <v>0.13134221217703301</v>
      </c>
      <c r="L3920">
        <v>1593.44069077516</v>
      </c>
      <c r="M3920">
        <v>27.819675128612101</v>
      </c>
      <c r="N3920">
        <v>57.893714369252301</v>
      </c>
      <c r="O3920">
        <v>56.983955804339303</v>
      </c>
      <c r="P3920">
        <v>-0.106410383832143</v>
      </c>
      <c r="Q3920">
        <v>0.12815196343813801</v>
      </c>
      <c r="R3920">
        <v>0.99078117088016304</v>
      </c>
      <c r="S3920" t="s">
        <v>10372</v>
      </c>
      <c r="T3920" t="s">
        <v>12902</v>
      </c>
      <c r="U3920" t="s">
        <v>12902</v>
      </c>
      <c r="V3920" t="s">
        <v>12902</v>
      </c>
      <c r="W3920" t="s">
        <v>16776</v>
      </c>
      <c r="X3920">
        <v>9</v>
      </c>
      <c r="Y3920" t="s">
        <v>23086</v>
      </c>
      <c r="Z3920" t="s">
        <v>29495</v>
      </c>
      <c r="AA3920">
        <v>0.63684539761081504</v>
      </c>
      <c r="AB3920" t="str">
        <f>HYPERLINK("Melting_Curves/meltCurve_Q6IA86_5_ELP2.pdf", "Melting_Curves/meltCurve_Q6IA86_5_ELP2.pdf")</f>
        <v>Melting_Curves/meltCurve_Q6IA86_5_ELP2.pdf</v>
      </c>
    </row>
    <row r="3921" spans="1:28" x14ac:dyDescent="0.25">
      <c r="A3921" t="s">
        <v>3925</v>
      </c>
      <c r="B3921">
        <v>0.99673306730245903</v>
      </c>
      <c r="C3921">
        <v>1.03019037947286</v>
      </c>
      <c r="D3921">
        <v>0.90782393826562402</v>
      </c>
      <c r="E3921">
        <v>0.74552293752488197</v>
      </c>
      <c r="F3921">
        <v>0.64520720479960902</v>
      </c>
      <c r="G3921">
        <v>0.470892277146159</v>
      </c>
      <c r="H3921">
        <v>0.30326092157370499</v>
      </c>
      <c r="I3921">
        <v>0.21043554979117701</v>
      </c>
      <c r="J3921">
        <v>0.142820278184668</v>
      </c>
      <c r="K3921">
        <v>0.105663212396259</v>
      </c>
      <c r="L3921">
        <v>590.87178751376905</v>
      </c>
      <c r="M3921">
        <v>10.5606214481165</v>
      </c>
      <c r="N3921">
        <v>55.9504553307343</v>
      </c>
      <c r="O3921">
        <v>54.056022722666697</v>
      </c>
      <c r="P3921">
        <v>-4.8860370346129701E-2</v>
      </c>
      <c r="Q3921">
        <v>0</v>
      </c>
      <c r="R3921">
        <v>0.99343951198924596</v>
      </c>
      <c r="S3921" t="s">
        <v>10373</v>
      </c>
      <c r="T3921" t="s">
        <v>12902</v>
      </c>
      <c r="U3921" t="s">
        <v>12902</v>
      </c>
      <c r="V3921" t="s">
        <v>12902</v>
      </c>
      <c r="W3921" t="s">
        <v>16777</v>
      </c>
      <c r="X3921">
        <v>8</v>
      </c>
      <c r="Y3921" t="s">
        <v>23087</v>
      </c>
      <c r="Z3921" t="s">
        <v>29496</v>
      </c>
      <c r="AA3921">
        <v>0.55294845581336494</v>
      </c>
      <c r="AB3921" t="str">
        <f>HYPERLINK("Melting_Curves/meltCurve_Q6IAA8_LAMTOR1.pdf", "Melting_Curves/meltCurve_Q6IAA8_LAMTOR1.pdf")</f>
        <v>Melting_Curves/meltCurve_Q6IAA8_LAMTOR1.pdf</v>
      </c>
    </row>
    <row r="3922" spans="1:28" x14ac:dyDescent="0.25">
      <c r="A3922" t="s">
        <v>3926</v>
      </c>
      <c r="B3922">
        <v>0.99673306730245903</v>
      </c>
      <c r="C3922">
        <v>0.97352338294009699</v>
      </c>
      <c r="D3922">
        <v>0.81554290208721902</v>
      </c>
      <c r="E3922">
        <v>0.61502025560621698</v>
      </c>
      <c r="F3922">
        <v>0.29963480563321898</v>
      </c>
      <c r="G3922">
        <v>0.15202259528923701</v>
      </c>
      <c r="H3922">
        <v>0.10624718467087001</v>
      </c>
      <c r="I3922">
        <v>8.9959439427293203E-2</v>
      </c>
      <c r="J3922">
        <v>0.12945577626774199</v>
      </c>
      <c r="K3922">
        <v>9.6084459141462297E-2</v>
      </c>
      <c r="L3922">
        <v>958.60024370604401</v>
      </c>
      <c r="M3922">
        <v>19.165130642465101</v>
      </c>
      <c r="N3922">
        <v>50.530118515136898</v>
      </c>
      <c r="O3922">
        <v>49.482926899341301</v>
      </c>
      <c r="P3922">
        <v>-8.8282652866660705E-2</v>
      </c>
      <c r="Q3922">
        <v>8.8278688398089306E-2</v>
      </c>
      <c r="R3922">
        <v>0.99629766852786195</v>
      </c>
      <c r="S3922" t="s">
        <v>10374</v>
      </c>
      <c r="T3922" t="s">
        <v>12902</v>
      </c>
      <c r="U3922" t="s">
        <v>12902</v>
      </c>
      <c r="V3922" t="s">
        <v>12902</v>
      </c>
      <c r="W3922" t="s">
        <v>16778</v>
      </c>
      <c r="X3922">
        <v>5</v>
      </c>
      <c r="Y3922" t="s">
        <v>23088</v>
      </c>
      <c r="Z3922" t="s">
        <v>29497</v>
      </c>
      <c r="AA3922">
        <v>0.40651676665966791</v>
      </c>
      <c r="AB3922" t="str">
        <f>HYPERLINK("Melting_Curves/meltCurve_Q6IAN0_DHRS7B.pdf", "Melting_Curves/meltCurve_Q6IAN0_DHRS7B.pdf")</f>
        <v>Melting_Curves/meltCurve_Q6IAN0_DHRS7B.pdf</v>
      </c>
    </row>
    <row r="3923" spans="1:28" x14ac:dyDescent="0.25">
      <c r="A3923" t="s">
        <v>3927</v>
      </c>
      <c r="B3923">
        <v>0.99673306730245903</v>
      </c>
      <c r="C3923">
        <v>1.01910218094251</v>
      </c>
      <c r="D3923">
        <v>0.97188754134070798</v>
      </c>
      <c r="E3923">
        <v>0.77777643835231802</v>
      </c>
      <c r="F3923">
        <v>0.39877379551468201</v>
      </c>
      <c r="G3923">
        <v>0.19520303733544001</v>
      </c>
      <c r="H3923">
        <v>0.11956151374362201</v>
      </c>
      <c r="I3923">
        <v>9.4848977224870096E-2</v>
      </c>
      <c r="J3923">
        <v>0.11657707758793399</v>
      </c>
      <c r="K3923">
        <v>8.6798061935608503E-2</v>
      </c>
      <c r="L3923">
        <v>1317.32843366969</v>
      </c>
      <c r="M3923">
        <v>25.4331000274058</v>
      </c>
      <c r="N3923">
        <v>52.245110810986198</v>
      </c>
      <c r="O3923">
        <v>51.478789350461398</v>
      </c>
      <c r="P3923">
        <v>-0.111382033848068</v>
      </c>
      <c r="Q3923">
        <v>9.8223929826681697E-2</v>
      </c>
      <c r="R3923">
        <v>0.99918306797280099</v>
      </c>
      <c r="S3923" t="s">
        <v>10375</v>
      </c>
      <c r="T3923" t="s">
        <v>12902</v>
      </c>
      <c r="U3923" t="s">
        <v>12902</v>
      </c>
      <c r="V3923" t="s">
        <v>12902</v>
      </c>
      <c r="W3923" t="s">
        <v>16779</v>
      </c>
      <c r="X3923">
        <v>14</v>
      </c>
      <c r="Y3923" t="s">
        <v>23089</v>
      </c>
      <c r="Z3923" t="s">
        <v>29498</v>
      </c>
      <c r="AA3923">
        <v>0.46074384691853421</v>
      </c>
      <c r="AB3923" t="str">
        <f>HYPERLINK("Melting_Curves/meltCurve_Q6IBS0_TWF2.pdf", "Melting_Curves/meltCurve_Q6IBS0_TWF2.pdf")</f>
        <v>Melting_Curves/meltCurve_Q6IBS0_TWF2.pdf</v>
      </c>
    </row>
    <row r="3924" spans="1:28" x14ac:dyDescent="0.25">
      <c r="A3924" t="s">
        <v>3928</v>
      </c>
      <c r="B3924">
        <v>0.99673306730245903</v>
      </c>
      <c r="C3924">
        <v>0.88093459060617196</v>
      </c>
      <c r="D3924">
        <v>0.81443497609983695</v>
      </c>
      <c r="E3924">
        <v>0.48442104751916598</v>
      </c>
      <c r="F3924">
        <v>0.293474226254679</v>
      </c>
      <c r="G3924">
        <v>0.21568769632423601</v>
      </c>
      <c r="H3924">
        <v>0.13004607704208401</v>
      </c>
      <c r="I3924">
        <v>0.10450126704309699</v>
      </c>
      <c r="J3924">
        <v>0.10100589244614699</v>
      </c>
      <c r="K3924">
        <v>8.9782465635556502E-2</v>
      </c>
      <c r="L3924">
        <v>786.20469250553299</v>
      </c>
      <c r="M3924">
        <v>15.9929772592491</v>
      </c>
      <c r="N3924">
        <v>49.776116887443202</v>
      </c>
      <c r="O3924">
        <v>48.410033860523598</v>
      </c>
      <c r="P3924">
        <v>-7.5173796012412794E-2</v>
      </c>
      <c r="Q3924">
        <v>8.9880467609603901E-2</v>
      </c>
      <c r="R3924">
        <v>0.99521733584870598</v>
      </c>
      <c r="S3924" t="s">
        <v>10376</v>
      </c>
      <c r="T3924" t="s">
        <v>12902</v>
      </c>
      <c r="U3924" t="s">
        <v>12902</v>
      </c>
      <c r="V3924" t="s">
        <v>12902</v>
      </c>
      <c r="W3924" t="s">
        <v>16780</v>
      </c>
      <c r="X3924">
        <v>3</v>
      </c>
      <c r="Y3924" t="s">
        <v>23090</v>
      </c>
      <c r="Z3924" t="s">
        <v>29499</v>
      </c>
      <c r="AA3924">
        <v>0.38753709060972952</v>
      </c>
      <c r="AB3924" t="str">
        <f>HYPERLINK("Melting_Curves/meltCurve_Q6IBW4_2_NCAPH2.pdf", "Melting_Curves/meltCurve_Q6IBW4_2_NCAPH2.pdf")</f>
        <v>Melting_Curves/meltCurve_Q6IBW4_2_NCAPH2.pdf</v>
      </c>
    </row>
    <row r="3925" spans="1:28" x14ac:dyDescent="0.25">
      <c r="A3925" t="s">
        <v>3929</v>
      </c>
      <c r="B3925">
        <v>0.99673306730245903</v>
      </c>
      <c r="C3925">
        <v>0.77607696399480897</v>
      </c>
      <c r="D3925">
        <v>1.8937920458245602E-2</v>
      </c>
      <c r="E3925">
        <v>0.25802983001025998</v>
      </c>
      <c r="F3925">
        <v>0.13395467435132599</v>
      </c>
      <c r="G3925">
        <v>8.4178540054540105E-2</v>
      </c>
      <c r="H3925">
        <v>5.52941637777669E-2</v>
      </c>
      <c r="I3925">
        <v>6.1596805853505701E-2</v>
      </c>
      <c r="J3925">
        <v>5.8549665007304699E-2</v>
      </c>
      <c r="K3925">
        <v>6.2349993362554298E-2</v>
      </c>
      <c r="L3925">
        <v>10772.9336964916</v>
      </c>
      <c r="M3925">
        <v>250</v>
      </c>
      <c r="N3925">
        <v>43.126667081254404</v>
      </c>
      <c r="O3925">
        <v>43.088977258645301</v>
      </c>
      <c r="P3925">
        <v>-1.3176057772569201</v>
      </c>
      <c r="Q3925">
        <v>9.1611436331697604E-2</v>
      </c>
      <c r="R3925">
        <v>0.96368472134907301</v>
      </c>
      <c r="S3925" t="s">
        <v>10377</v>
      </c>
      <c r="T3925" t="s">
        <v>12902</v>
      </c>
      <c r="U3925" t="s">
        <v>12902</v>
      </c>
      <c r="V3925" t="s">
        <v>12902</v>
      </c>
      <c r="W3925" t="s">
        <v>16781</v>
      </c>
      <c r="X3925">
        <v>2</v>
      </c>
      <c r="Y3925" t="s">
        <v>23091</v>
      </c>
      <c r="Z3925" t="s">
        <v>29500</v>
      </c>
      <c r="AA3925">
        <v>0.1852966842447262</v>
      </c>
      <c r="AB3925" t="str">
        <f>HYPERLINK("Melting_Curves/meltCurve_Q6ICB0_DESI1.pdf", "Melting_Curves/meltCurve_Q6ICB0_DESI1.pdf")</f>
        <v>Melting_Curves/meltCurve_Q6ICB0_DESI1.pdf</v>
      </c>
    </row>
    <row r="3926" spans="1:28" x14ac:dyDescent="0.25">
      <c r="A3926" t="s">
        <v>3930</v>
      </c>
      <c r="B3926">
        <v>0.99673306730245903</v>
      </c>
      <c r="C3926">
        <v>1.01575749084611</v>
      </c>
      <c r="D3926">
        <v>0.98666766347597001</v>
      </c>
      <c r="E3926">
        <v>0.95393807215681403</v>
      </c>
      <c r="F3926">
        <v>0.69062259277932003</v>
      </c>
      <c r="G3926">
        <v>0.42137855725108597</v>
      </c>
      <c r="H3926">
        <v>0.189764607066955</v>
      </c>
      <c r="I3926">
        <v>0.18949140379316301</v>
      </c>
      <c r="J3926">
        <v>0.16996351813188501</v>
      </c>
      <c r="K3926">
        <v>0.14292766424665301</v>
      </c>
      <c r="L3926">
        <v>1302.6568702961099</v>
      </c>
      <c r="M3926">
        <v>23.816060480972698</v>
      </c>
      <c r="N3926">
        <v>55.516685473268602</v>
      </c>
      <c r="O3926">
        <v>54.3153182060218</v>
      </c>
      <c r="P3926">
        <v>-9.3364781204123504E-2</v>
      </c>
      <c r="Q3926">
        <v>0.148296565636858</v>
      </c>
      <c r="R3926">
        <v>0.99769585957528695</v>
      </c>
      <c r="S3926" t="s">
        <v>10378</v>
      </c>
      <c r="T3926" t="s">
        <v>12902</v>
      </c>
      <c r="U3926" t="s">
        <v>12902</v>
      </c>
      <c r="V3926" t="s">
        <v>12902</v>
      </c>
      <c r="W3926" t="s">
        <v>16782</v>
      </c>
      <c r="X3926">
        <v>10</v>
      </c>
      <c r="Y3926" t="s">
        <v>23092</v>
      </c>
      <c r="Z3926" t="s">
        <v>29501</v>
      </c>
      <c r="AA3926">
        <v>0.57411917156903813</v>
      </c>
      <c r="AB3926" t="str">
        <f>HYPERLINK("Melting_Curves/meltCurve_Q6ICG6_KIAA0930.pdf", "Melting_Curves/meltCurve_Q6ICG6_KIAA0930.pdf")</f>
        <v>Melting_Curves/meltCurve_Q6ICG6_KIAA0930.pdf</v>
      </c>
    </row>
    <row r="3927" spans="1:28" x14ac:dyDescent="0.25">
      <c r="A3927" t="s">
        <v>3931</v>
      </c>
      <c r="B3927">
        <v>0.99673306730245903</v>
      </c>
      <c r="C3927">
        <v>0.98538436321876199</v>
      </c>
      <c r="D3927">
        <v>1.10342836177837</v>
      </c>
      <c r="E3927">
        <v>0.928911192027288</v>
      </c>
      <c r="F3927">
        <v>0.67350378833224001</v>
      </c>
      <c r="G3927">
        <v>0.55299376366140096</v>
      </c>
      <c r="H3927">
        <v>0.38997048174635102</v>
      </c>
      <c r="I3927">
        <v>0.30020912053509302</v>
      </c>
      <c r="J3927">
        <v>0.27212448620507701</v>
      </c>
      <c r="K3927">
        <v>0.16156361120951099</v>
      </c>
      <c r="L3927">
        <v>869.09498851044202</v>
      </c>
      <c r="M3927">
        <v>15.5417114081154</v>
      </c>
      <c r="N3927">
        <v>57.6132483604298</v>
      </c>
      <c r="O3927">
        <v>55.018890839372503</v>
      </c>
      <c r="P3927">
        <v>-5.7678771978482202E-2</v>
      </c>
      <c r="Q3927">
        <v>0.183322087502575</v>
      </c>
      <c r="R3927">
        <v>0.97409946308915396</v>
      </c>
      <c r="S3927" t="s">
        <v>10379</v>
      </c>
      <c r="T3927" t="s">
        <v>12902</v>
      </c>
      <c r="U3927" t="s">
        <v>12902</v>
      </c>
      <c r="V3927" t="s">
        <v>12902</v>
      </c>
      <c r="W3927" t="s">
        <v>16783</v>
      </c>
      <c r="X3927">
        <v>6</v>
      </c>
      <c r="Y3927" t="s">
        <v>23093</v>
      </c>
      <c r="Z3927" t="s">
        <v>29502</v>
      </c>
      <c r="AA3927">
        <v>0.63085151408829576</v>
      </c>
      <c r="AB3927" t="str">
        <f>HYPERLINK("Melting_Curves/meltCurve_Q6ICJ4_Em_AP000351_3.pdf", "Melting_Curves/meltCurve_Q6ICJ4_Em_AP000351_3.pdf")</f>
        <v>Melting_Curves/meltCurve_Q6ICJ4_Em_AP000351_3.pdf</v>
      </c>
    </row>
    <row r="3928" spans="1:28" x14ac:dyDescent="0.25">
      <c r="A3928" t="s">
        <v>3932</v>
      </c>
      <c r="B3928">
        <v>0.99673306730245903</v>
      </c>
      <c r="C3928">
        <v>0.93343117463687297</v>
      </c>
      <c r="D3928">
        <v>0.88282970730795396</v>
      </c>
      <c r="E3928">
        <v>0.77392542809584497</v>
      </c>
      <c r="F3928">
        <v>0.31652141387796701</v>
      </c>
      <c r="G3928">
        <v>0.15974218017585701</v>
      </c>
      <c r="H3928">
        <v>8.9898651752637906E-2</v>
      </c>
      <c r="I3928">
        <v>8.0045549446516998E-2</v>
      </c>
      <c r="J3928">
        <v>8.6933737834522407E-2</v>
      </c>
      <c r="K3928">
        <v>8.3618423529038102E-2</v>
      </c>
      <c r="L3928">
        <v>1305.02130631458</v>
      </c>
      <c r="M3928">
        <v>25.427861097720101</v>
      </c>
      <c r="N3928">
        <v>51.665877654764799</v>
      </c>
      <c r="O3928">
        <v>51.008228458291399</v>
      </c>
      <c r="P3928">
        <v>-0.11493865829134101</v>
      </c>
      <c r="Q3928">
        <v>7.7744902021867804E-2</v>
      </c>
      <c r="R3928">
        <v>0.99205803288574002</v>
      </c>
      <c r="S3928" t="s">
        <v>10380</v>
      </c>
      <c r="T3928" t="s">
        <v>12902</v>
      </c>
      <c r="U3928" t="s">
        <v>12902</v>
      </c>
      <c r="V3928" t="s">
        <v>12902</v>
      </c>
      <c r="W3928" t="s">
        <v>16784</v>
      </c>
      <c r="X3928">
        <v>15</v>
      </c>
      <c r="Y3928" t="s">
        <v>23094</v>
      </c>
      <c r="Z3928" t="s">
        <v>29503</v>
      </c>
      <c r="AA3928">
        <v>0.43390692643586443</v>
      </c>
      <c r="AB3928" t="str">
        <f>HYPERLINK("Melting_Curves/meltCurve_Q6IN85_SMEK1.pdf", "Melting_Curves/meltCurve_Q6IN85_SMEK1.pdf")</f>
        <v>Melting_Curves/meltCurve_Q6IN85_SMEK1.pdf</v>
      </c>
    </row>
    <row r="3929" spans="1:28" x14ac:dyDescent="0.25">
      <c r="A3929" t="s">
        <v>3933</v>
      </c>
      <c r="B3929">
        <v>0.99673306730245903</v>
      </c>
      <c r="C3929">
        <v>1.01574737374674</v>
      </c>
      <c r="D3929">
        <v>1.0205663794651201</v>
      </c>
      <c r="E3929">
        <v>0.91270576183357</v>
      </c>
      <c r="F3929">
        <v>0.69104092634368097</v>
      </c>
      <c r="G3929">
        <v>0.51184454368631405</v>
      </c>
      <c r="H3929">
        <v>0.25642108321037299</v>
      </c>
      <c r="I3929">
        <v>0.15810568490367</v>
      </c>
      <c r="J3929">
        <v>0.17099557916302199</v>
      </c>
      <c r="K3929">
        <v>0.13325796932964901</v>
      </c>
      <c r="L3929">
        <v>996.85143671369406</v>
      </c>
      <c r="M3929">
        <v>17.921421898251602</v>
      </c>
      <c r="N3929">
        <v>56.3999478346636</v>
      </c>
      <c r="O3929">
        <v>54.944756361613997</v>
      </c>
      <c r="P3929">
        <v>-7.26318012589523E-2</v>
      </c>
      <c r="Q3929">
        <v>0.10932596175102401</v>
      </c>
      <c r="R3929">
        <v>0.99521255656486296</v>
      </c>
      <c r="S3929" t="s">
        <v>10381</v>
      </c>
      <c r="T3929" t="s">
        <v>12902</v>
      </c>
      <c r="U3929" t="s">
        <v>12902</v>
      </c>
      <c r="V3929" t="s">
        <v>12902</v>
      </c>
      <c r="W3929" t="s">
        <v>16785</v>
      </c>
      <c r="X3929">
        <v>2</v>
      </c>
      <c r="Y3929" t="s">
        <v>23095</v>
      </c>
      <c r="Z3929" t="s">
        <v>29504</v>
      </c>
      <c r="AA3929">
        <v>0.5866398242837737</v>
      </c>
      <c r="AB3929" t="str">
        <f>HYPERLINK("Melting_Curves/meltCurve_Q6IPR1_LYRM5.pdf", "Melting_Curves/meltCurve_Q6IPR1_LYRM5.pdf")</f>
        <v>Melting_Curves/meltCurve_Q6IPR1_LYRM5.pdf</v>
      </c>
    </row>
    <row r="3930" spans="1:28" x14ac:dyDescent="0.25">
      <c r="A3930" t="s">
        <v>3934</v>
      </c>
      <c r="B3930">
        <v>0.99673306730245903</v>
      </c>
      <c r="C3930">
        <v>0.90339925560129297</v>
      </c>
      <c r="D3930">
        <v>0.88421270766041704</v>
      </c>
      <c r="E3930">
        <v>0.87002457051208404</v>
      </c>
      <c r="F3930">
        <v>0.659990872721401</v>
      </c>
      <c r="G3930">
        <v>0.32208605432975801</v>
      </c>
      <c r="H3930">
        <v>0.13986262714323699</v>
      </c>
      <c r="I3930">
        <v>0.115634226975682</v>
      </c>
      <c r="J3930">
        <v>5.0811920150199898E-2</v>
      </c>
      <c r="K3930">
        <v>3.79172228146318E-2</v>
      </c>
      <c r="L3930">
        <v>932.84772837425999</v>
      </c>
      <c r="M3930">
        <v>17.0663996417242</v>
      </c>
      <c r="N3930">
        <v>54.743712307668901</v>
      </c>
      <c r="O3930">
        <v>53.9259915713873</v>
      </c>
      <c r="P3930">
        <v>-7.8104083660865006E-2</v>
      </c>
      <c r="Q3930">
        <v>1.2894803730196599E-2</v>
      </c>
      <c r="R3930">
        <v>0.98767546982115495</v>
      </c>
      <c r="S3930" t="s">
        <v>10382</v>
      </c>
      <c r="T3930" t="s">
        <v>12902</v>
      </c>
      <c r="U3930" t="s">
        <v>12902</v>
      </c>
      <c r="V3930" t="s">
        <v>12902</v>
      </c>
      <c r="W3930" t="s">
        <v>16786</v>
      </c>
      <c r="X3930">
        <v>5</v>
      </c>
      <c r="Y3930" t="s">
        <v>23096</v>
      </c>
      <c r="Z3930" t="s">
        <v>29505</v>
      </c>
      <c r="AA3930">
        <v>0.51188751193876192</v>
      </c>
      <c r="AB3930" t="str">
        <f>HYPERLINK("Melting_Curves/meltCurve_Q6IPR3_TYW3.pdf", "Melting_Curves/meltCurve_Q6IPR3_TYW3.pdf")</f>
        <v>Melting_Curves/meltCurve_Q6IPR3_TYW3.pdf</v>
      </c>
    </row>
    <row r="3931" spans="1:28" x14ac:dyDescent="0.25">
      <c r="A3931" t="s">
        <v>3935</v>
      </c>
      <c r="B3931">
        <v>0.99673306730245903</v>
      </c>
      <c r="C3931">
        <v>1.0220370450355301</v>
      </c>
      <c r="D3931">
        <v>0.98364891756956496</v>
      </c>
      <c r="E3931">
        <v>0.90842084627790998</v>
      </c>
      <c r="F3931">
        <v>0.75755364136402104</v>
      </c>
      <c r="G3931">
        <v>0.50120382230544502</v>
      </c>
      <c r="H3931">
        <v>0.183030176935738</v>
      </c>
      <c r="I3931">
        <v>0.10184831300477799</v>
      </c>
      <c r="J3931">
        <v>9.4246599437586703E-2</v>
      </c>
      <c r="K3931">
        <v>7.9778924521989494E-2</v>
      </c>
      <c r="L3931">
        <v>1127.2770530376899</v>
      </c>
      <c r="M3931">
        <v>20.078300384123999</v>
      </c>
      <c r="N3931">
        <v>56.416126854283803</v>
      </c>
      <c r="O3931">
        <v>55.596017483732197</v>
      </c>
      <c r="P3931">
        <v>-8.6123009847088094E-2</v>
      </c>
      <c r="Q3931">
        <v>4.6145772662772103E-2</v>
      </c>
      <c r="R3931">
        <v>0.99716803560164802</v>
      </c>
      <c r="S3931" t="s">
        <v>10383</v>
      </c>
      <c r="T3931" t="s">
        <v>12902</v>
      </c>
      <c r="U3931" t="s">
        <v>12902</v>
      </c>
      <c r="V3931" t="s">
        <v>12902</v>
      </c>
      <c r="W3931" t="s">
        <v>16787</v>
      </c>
      <c r="X3931">
        <v>13</v>
      </c>
      <c r="Y3931" t="s">
        <v>23097</v>
      </c>
      <c r="Z3931" t="s">
        <v>29506</v>
      </c>
      <c r="AA3931">
        <v>0.57159682245959975</v>
      </c>
      <c r="AB3931" t="str">
        <f>HYPERLINK("Melting_Curves/meltCurve_Q6IQ22_RAB12.pdf", "Melting_Curves/meltCurve_Q6IQ22_RAB12.pdf")</f>
        <v>Melting_Curves/meltCurve_Q6IQ22_RAB12.pdf</v>
      </c>
    </row>
    <row r="3932" spans="1:28" x14ac:dyDescent="0.25">
      <c r="A3932" t="s">
        <v>3936</v>
      </c>
      <c r="B3932">
        <v>0.99673306730245903</v>
      </c>
      <c r="C3932">
        <v>0.878254160634658</v>
      </c>
      <c r="D3932">
        <v>0.652479923961377</v>
      </c>
      <c r="E3932">
        <v>0.373513552172968</v>
      </c>
      <c r="F3932">
        <v>0.218085366821932</v>
      </c>
      <c r="G3932">
        <v>0.12754187516361001</v>
      </c>
      <c r="H3932">
        <v>8.2072460370485698E-2</v>
      </c>
      <c r="I3932">
        <v>7.8071676644539303E-2</v>
      </c>
      <c r="J3932">
        <v>7.8185648021010704E-2</v>
      </c>
      <c r="K3932">
        <v>6.5779077698344998E-2</v>
      </c>
      <c r="L3932">
        <v>810.85106554791901</v>
      </c>
      <c r="M3932">
        <v>17.047789256431301</v>
      </c>
      <c r="N3932">
        <v>47.978293922146797</v>
      </c>
      <c r="O3932">
        <v>46.923431477708803</v>
      </c>
      <c r="P3932">
        <v>-8.4608239187229803E-2</v>
      </c>
      <c r="Q3932">
        <v>6.8532652911216199E-2</v>
      </c>
      <c r="R3932">
        <v>0.99849742764038296</v>
      </c>
      <c r="S3932" t="s">
        <v>10384</v>
      </c>
      <c r="T3932" t="s">
        <v>12902</v>
      </c>
      <c r="U3932" t="s">
        <v>12902</v>
      </c>
      <c r="V3932" t="s">
        <v>12902</v>
      </c>
      <c r="W3932" t="s">
        <v>16788</v>
      </c>
      <c r="X3932">
        <v>3</v>
      </c>
      <c r="Y3932" t="s">
        <v>23098</v>
      </c>
      <c r="Z3932" t="s">
        <v>29507</v>
      </c>
      <c r="AA3932">
        <v>0.32218502649919117</v>
      </c>
      <c r="AB3932" t="str">
        <f>HYPERLINK("Melting_Curves/meltCurve_Q6ISB3_GRHL2.pdf", "Melting_Curves/meltCurve_Q6ISB3_GRHL2.pdf")</f>
        <v>Melting_Curves/meltCurve_Q6ISB3_GRHL2.pdf</v>
      </c>
    </row>
    <row r="3933" spans="1:28" x14ac:dyDescent="0.25">
      <c r="A3933" t="s">
        <v>3937</v>
      </c>
      <c r="B3933">
        <v>0.99673306730245903</v>
      </c>
      <c r="C3933">
        <v>0.95841266303559003</v>
      </c>
      <c r="D3933">
        <v>0.78435302631571602</v>
      </c>
      <c r="E3933">
        <v>0.48866558301889002</v>
      </c>
      <c r="F3933">
        <v>0.187677623342143</v>
      </c>
      <c r="G3933">
        <v>0.113147799444896</v>
      </c>
      <c r="H3933">
        <v>6.9872624277050197E-2</v>
      </c>
      <c r="I3933">
        <v>7.1179130342885394E-2</v>
      </c>
      <c r="J3933">
        <v>9.2049146290076697E-2</v>
      </c>
      <c r="K3933">
        <v>8.3116894582416598E-2</v>
      </c>
      <c r="L3933">
        <v>1041.39424608529</v>
      </c>
      <c r="M3933">
        <v>21.3107456941074</v>
      </c>
      <c r="N3933">
        <v>49.217993380452299</v>
      </c>
      <c r="O3933">
        <v>48.442910047613402</v>
      </c>
      <c r="P3933">
        <v>-0.10223024636103401</v>
      </c>
      <c r="Q3933">
        <v>7.0477502738210004E-2</v>
      </c>
      <c r="R3933">
        <v>0.99826130929008305</v>
      </c>
      <c r="S3933" t="s">
        <v>10385</v>
      </c>
      <c r="T3933" t="s">
        <v>12902</v>
      </c>
      <c r="U3933" t="s">
        <v>12902</v>
      </c>
      <c r="V3933" t="s">
        <v>12902</v>
      </c>
      <c r="W3933" t="s">
        <v>13109</v>
      </c>
      <c r="X3933">
        <v>8</v>
      </c>
      <c r="Y3933" t="s">
        <v>23099</v>
      </c>
      <c r="Z3933" t="s">
        <v>29508</v>
      </c>
      <c r="AA3933">
        <v>0.35666195153418789</v>
      </c>
      <c r="AB3933" t="str">
        <f>HYPERLINK("Melting_Curves/meltCurve_Q6JHV3_USP3.pdf", "Melting_Curves/meltCurve_Q6JHV3_USP3.pdf")</f>
        <v>Melting_Curves/meltCurve_Q6JHV3_USP3.pdf</v>
      </c>
    </row>
    <row r="3934" spans="1:28" x14ac:dyDescent="0.25">
      <c r="A3934" t="s">
        <v>3938</v>
      </c>
      <c r="B3934">
        <v>0.99673306730245903</v>
      </c>
      <c r="C3934">
        <v>0.990036040187254</v>
      </c>
      <c r="D3934">
        <v>0.58728594608418105</v>
      </c>
      <c r="E3934">
        <v>0.65215887775627002</v>
      </c>
      <c r="F3934">
        <v>0.199994741857867</v>
      </c>
      <c r="G3934">
        <v>0.117296645007877</v>
      </c>
      <c r="H3934">
        <v>7.0012236736507194E-2</v>
      </c>
      <c r="I3934">
        <v>5.2565276691789301E-2</v>
      </c>
      <c r="J3934">
        <v>4.7006132495937603E-2</v>
      </c>
      <c r="K3934">
        <v>4.28939680652035E-2</v>
      </c>
      <c r="L3934">
        <v>732.82141263332005</v>
      </c>
      <c r="M3934">
        <v>14.8283171952831</v>
      </c>
      <c r="N3934">
        <v>49.530192315812201</v>
      </c>
      <c r="O3934">
        <v>48.5476954628081</v>
      </c>
      <c r="P3934">
        <v>-7.5132947313954507E-2</v>
      </c>
      <c r="Q3934">
        <v>1.6167233702480899E-2</v>
      </c>
      <c r="R3934">
        <v>0.95256141108862502</v>
      </c>
      <c r="S3934" t="s">
        <v>10386</v>
      </c>
      <c r="T3934" t="s">
        <v>12902</v>
      </c>
      <c r="U3934" t="s">
        <v>12902</v>
      </c>
      <c r="V3934" t="s">
        <v>12902</v>
      </c>
      <c r="W3934" t="s">
        <v>16789</v>
      </c>
      <c r="X3934">
        <v>32</v>
      </c>
      <c r="Y3934" t="s">
        <v>23100</v>
      </c>
      <c r="Z3934" t="s">
        <v>29509</v>
      </c>
      <c r="AA3934">
        <v>0.34953160859660259</v>
      </c>
      <c r="AB3934" t="str">
        <f>HYPERLINK("Melting_Curves/meltCurve_Q6JQN1_ACAD10.pdf", "Melting_Curves/meltCurve_Q6JQN1_ACAD10.pdf")</f>
        <v>Melting_Curves/meltCurve_Q6JQN1_ACAD10.pdf</v>
      </c>
    </row>
    <row r="3935" spans="1:28" x14ac:dyDescent="0.25">
      <c r="A3935" t="s">
        <v>3939</v>
      </c>
      <c r="B3935">
        <v>0.99673306730245903</v>
      </c>
      <c r="C3935">
        <v>0.84144582538463797</v>
      </c>
      <c r="D3935">
        <v>0.554155061788982</v>
      </c>
      <c r="E3935">
        <v>0.27746086393013603</v>
      </c>
      <c r="F3935">
        <v>0.182713207874142</v>
      </c>
      <c r="G3935">
        <v>0.133699527197572</v>
      </c>
      <c r="H3935">
        <v>0.101306010533165</v>
      </c>
      <c r="I3935">
        <v>9.8609615236382495E-2</v>
      </c>
      <c r="J3935">
        <v>0.124842272450642</v>
      </c>
      <c r="K3935">
        <v>0.110643916634327</v>
      </c>
      <c r="L3935">
        <v>964.92264077476602</v>
      </c>
      <c r="M3935">
        <v>20.9447290028012</v>
      </c>
      <c r="N3935">
        <v>46.634376624200598</v>
      </c>
      <c r="O3935">
        <v>45.656146277017903</v>
      </c>
      <c r="P3935">
        <v>-0.101849538286543</v>
      </c>
      <c r="Q3935">
        <v>0.11196147101871699</v>
      </c>
      <c r="R3935">
        <v>0.99781324852324704</v>
      </c>
      <c r="S3935" t="s">
        <v>10387</v>
      </c>
      <c r="T3935" t="s">
        <v>12902</v>
      </c>
      <c r="U3935" t="s">
        <v>12902</v>
      </c>
      <c r="V3935" t="s">
        <v>12902</v>
      </c>
      <c r="W3935" t="s">
        <v>16790</v>
      </c>
      <c r="X3935">
        <v>20</v>
      </c>
      <c r="Y3935" t="s">
        <v>23101</v>
      </c>
      <c r="Z3935" t="s">
        <v>29510</v>
      </c>
      <c r="AA3935">
        <v>0.30393019656950149</v>
      </c>
      <c r="AB3935" t="str">
        <f>HYPERLINK("Melting_Curves/meltCurve_Q6KC79_2_NIPBL.pdf", "Melting_Curves/meltCurve_Q6KC79_2_NIPBL.pdf")</f>
        <v>Melting_Curves/meltCurve_Q6KC79_2_NIPBL.pdf</v>
      </c>
    </row>
    <row r="3936" spans="1:28" x14ac:dyDescent="0.25">
      <c r="A3936" t="s">
        <v>3940</v>
      </c>
      <c r="B3936">
        <v>0.99673306730245903</v>
      </c>
      <c r="C3936">
        <v>0.93969739707743105</v>
      </c>
      <c r="D3936">
        <v>0.86132914717277698</v>
      </c>
      <c r="E3936">
        <v>0.75391172146275998</v>
      </c>
      <c r="F3936">
        <v>0.73008507329669103</v>
      </c>
      <c r="G3936">
        <v>0.52933779851028295</v>
      </c>
      <c r="H3936">
        <v>0.440383501094047</v>
      </c>
      <c r="I3936">
        <v>0.28086580850526199</v>
      </c>
      <c r="J3936">
        <v>0.37063241679168202</v>
      </c>
      <c r="K3936">
        <v>0.32033554591132202</v>
      </c>
      <c r="L3936">
        <v>514.93083722492395</v>
      </c>
      <c r="M3936">
        <v>9.3975947086803604</v>
      </c>
      <c r="N3936">
        <v>58.137212183838997</v>
      </c>
      <c r="O3936">
        <v>52.484574450037499</v>
      </c>
      <c r="P3936">
        <v>-3.5440978392289303E-2</v>
      </c>
      <c r="Q3936">
        <v>0.20875122093843401</v>
      </c>
      <c r="R3936">
        <v>0.97251170097289996</v>
      </c>
      <c r="S3936" t="s">
        <v>10388</v>
      </c>
      <c r="T3936" t="s">
        <v>12902</v>
      </c>
      <c r="U3936" t="s">
        <v>12902</v>
      </c>
      <c r="V3936" t="s">
        <v>12902</v>
      </c>
      <c r="W3936" t="s">
        <v>16791</v>
      </c>
      <c r="X3936">
        <v>6</v>
      </c>
      <c r="Y3936" t="s">
        <v>23102</v>
      </c>
      <c r="Z3936" t="s">
        <v>29511</v>
      </c>
      <c r="AA3936">
        <v>0.62069085389120215</v>
      </c>
      <c r="AB3936" t="str">
        <f>HYPERLINK("Melting_Curves/meltCurve_Q6KCM7_2_SLC25A25.pdf", "Melting_Curves/meltCurve_Q6KCM7_2_SLC25A25.pdf")</f>
        <v>Melting_Curves/meltCurve_Q6KCM7_2_SLC25A25.pdf</v>
      </c>
    </row>
    <row r="3937" spans="1:28" x14ac:dyDescent="0.25">
      <c r="A3937" t="s">
        <v>3941</v>
      </c>
      <c r="B3937">
        <v>0.99673306730245903</v>
      </c>
      <c r="C3937">
        <v>0.97902684660939698</v>
      </c>
      <c r="D3937">
        <v>0.94596742012831403</v>
      </c>
      <c r="E3937">
        <v>0.86374442430762699</v>
      </c>
      <c r="F3937">
        <v>0.37076407360416702</v>
      </c>
      <c r="G3937">
        <v>0.16438061978430599</v>
      </c>
      <c r="H3937">
        <v>9.3325247462107797E-2</v>
      </c>
      <c r="I3937">
        <v>8.7281102454142195E-2</v>
      </c>
      <c r="J3937">
        <v>9.2238751154191903E-2</v>
      </c>
      <c r="K3937">
        <v>7.9029728477375896E-2</v>
      </c>
      <c r="L3937">
        <v>1716.80169698858</v>
      </c>
      <c r="M3937">
        <v>33.007624619679497</v>
      </c>
      <c r="N3937">
        <v>52.322907286242703</v>
      </c>
      <c r="O3937">
        <v>51.822479152123201</v>
      </c>
      <c r="P3937">
        <v>-0.14506652314332899</v>
      </c>
      <c r="Q3937">
        <v>8.8977355635484603E-2</v>
      </c>
      <c r="R3937">
        <v>0.99797985347172202</v>
      </c>
      <c r="S3937" t="s">
        <v>10389</v>
      </c>
      <c r="T3937" t="s">
        <v>12902</v>
      </c>
      <c r="U3937" t="s">
        <v>12902</v>
      </c>
      <c r="V3937" t="s">
        <v>12902</v>
      </c>
      <c r="W3937" t="s">
        <v>16792</v>
      </c>
      <c r="X3937">
        <v>19</v>
      </c>
      <c r="Y3937" t="s">
        <v>23103</v>
      </c>
      <c r="Z3937" t="s">
        <v>29512</v>
      </c>
      <c r="AA3937">
        <v>0.45857264148855731</v>
      </c>
      <c r="AB3937" t="str">
        <f>HYPERLINK("Melting_Curves/meltCurve_Q6L8Q7_2_PDE12.pdf", "Melting_Curves/meltCurve_Q6L8Q7_2_PDE12.pdf")</f>
        <v>Melting_Curves/meltCurve_Q6L8Q7_2_PDE12.pdf</v>
      </c>
    </row>
    <row r="3938" spans="1:28" x14ac:dyDescent="0.25">
      <c r="A3938" t="s">
        <v>3942</v>
      </c>
      <c r="B3938">
        <v>0.99673306730245903</v>
      </c>
      <c r="C3938">
        <v>0.904176521152386</v>
      </c>
      <c r="D3938">
        <v>0.86354518808631497</v>
      </c>
      <c r="E3938">
        <v>0.62515850097609704</v>
      </c>
      <c r="F3938">
        <v>0.27627402379154697</v>
      </c>
      <c r="G3938">
        <v>0.231615241268043</v>
      </c>
      <c r="H3938">
        <v>0.15030174492319601</v>
      </c>
      <c r="I3938">
        <v>0</v>
      </c>
      <c r="J3938">
        <v>0</v>
      </c>
      <c r="K3938">
        <v>0</v>
      </c>
      <c r="L3938">
        <v>759.64610543438005</v>
      </c>
      <c r="M3938">
        <v>14.894559576979701</v>
      </c>
      <c r="N3938">
        <v>51.0015823457964</v>
      </c>
      <c r="O3938">
        <v>50.108694587706403</v>
      </c>
      <c r="P3938">
        <v>-7.4318939209613702E-2</v>
      </c>
      <c r="Q3938">
        <v>0</v>
      </c>
      <c r="R3938">
        <v>0.98701586984464496</v>
      </c>
      <c r="S3938" t="s">
        <v>10390</v>
      </c>
      <c r="T3938" t="s">
        <v>12902</v>
      </c>
      <c r="U3938" t="s">
        <v>12902</v>
      </c>
      <c r="V3938" t="s">
        <v>12902</v>
      </c>
      <c r="W3938" t="s">
        <v>16793</v>
      </c>
      <c r="X3938">
        <v>1</v>
      </c>
      <c r="Y3938" t="s">
        <v>23104</v>
      </c>
      <c r="Z3938" t="s">
        <v>29513</v>
      </c>
      <c r="AA3938">
        <v>0.39009359984178632</v>
      </c>
      <c r="AB3938" t="str">
        <f>HYPERLINK("Melting_Curves/meltCurve_Q6L9W6_B4GALNT3.pdf", "Melting_Curves/meltCurve_Q6L9W6_B4GALNT3.pdf")</f>
        <v>Melting_Curves/meltCurve_Q6L9W6_B4GALNT3.pdf</v>
      </c>
    </row>
    <row r="3939" spans="1:28" x14ac:dyDescent="0.25">
      <c r="A3939" t="s">
        <v>3943</v>
      </c>
      <c r="B3939">
        <v>0.99673306730245903</v>
      </c>
      <c r="C3939">
        <v>0.86604692105386505</v>
      </c>
      <c r="D3939">
        <v>0.80419723385944697</v>
      </c>
      <c r="E3939">
        <v>0.52193516554873498</v>
      </c>
      <c r="F3939">
        <v>0.32741945006784001</v>
      </c>
      <c r="G3939">
        <v>0.25022886073378497</v>
      </c>
      <c r="H3939">
        <v>0.265739009929014</v>
      </c>
      <c r="I3939">
        <v>0.344898626844931</v>
      </c>
      <c r="J3939">
        <v>0.59213626101595296</v>
      </c>
      <c r="K3939">
        <v>0.55355130497842198</v>
      </c>
      <c r="L3939">
        <v>1288.52268793145</v>
      </c>
      <c r="M3939">
        <v>27.478862030370699</v>
      </c>
      <c r="N3939">
        <v>49.601917261228003</v>
      </c>
      <c r="O3939">
        <v>46.645182329816201</v>
      </c>
      <c r="P3939">
        <v>-9.0043679938937193E-2</v>
      </c>
      <c r="Q3939">
        <v>0.388611497390907</v>
      </c>
      <c r="R3939">
        <v>0.80449063986617797</v>
      </c>
      <c r="S3939" t="s">
        <v>10391</v>
      </c>
      <c r="T3939" t="s">
        <v>12902</v>
      </c>
      <c r="U3939" t="s">
        <v>12902</v>
      </c>
      <c r="V3939" t="s">
        <v>12902</v>
      </c>
      <c r="W3939" t="s">
        <v>16794</v>
      </c>
      <c r="X3939">
        <v>1</v>
      </c>
      <c r="Y3939" t="s">
        <v>23105</v>
      </c>
      <c r="Z3939" t="s">
        <v>29514</v>
      </c>
      <c r="AA3939">
        <v>0.53349783420507513</v>
      </c>
      <c r="AB3939" t="str">
        <f>HYPERLINK("Melting_Curves/meltCurve_Q6MZP7_4_LIN54.pdf", "Melting_Curves/meltCurve_Q6MZP7_4_LIN54.pdf")</f>
        <v>Melting_Curves/meltCurve_Q6MZP7_4_LIN54.pdf</v>
      </c>
    </row>
    <row r="3940" spans="1:28" x14ac:dyDescent="0.25">
      <c r="A3940" t="s">
        <v>3944</v>
      </c>
      <c r="B3940">
        <v>0.99673306730245903</v>
      </c>
      <c r="C3940">
        <v>0.95158443831435302</v>
      </c>
      <c r="D3940">
        <v>0.96011708620830605</v>
      </c>
      <c r="E3940">
        <v>0.56433805565088302</v>
      </c>
      <c r="F3940">
        <v>0.90632852811851505</v>
      </c>
      <c r="G3940">
        <v>0.24747353627343499</v>
      </c>
      <c r="H3940">
        <v>0.131474632106236</v>
      </c>
      <c r="I3940">
        <v>0.121641589883424</v>
      </c>
      <c r="J3940">
        <v>0.18967563284563399</v>
      </c>
      <c r="K3940">
        <v>0.11241303497539699</v>
      </c>
      <c r="L3940">
        <v>784.42034538763903</v>
      </c>
      <c r="M3940">
        <v>14.4723332281064</v>
      </c>
      <c r="N3940">
        <v>54.650605248639302</v>
      </c>
      <c r="O3940">
        <v>53.198039903758598</v>
      </c>
      <c r="P3940">
        <v>-6.4205012393226901E-2</v>
      </c>
      <c r="Q3940">
        <v>5.6079385917083703E-2</v>
      </c>
      <c r="R3940">
        <v>0.866076957489198</v>
      </c>
      <c r="S3940" t="s">
        <v>10392</v>
      </c>
      <c r="T3940" t="s">
        <v>12902</v>
      </c>
      <c r="U3940" t="s">
        <v>12902</v>
      </c>
      <c r="V3940" t="s">
        <v>12902</v>
      </c>
      <c r="W3940" t="s">
        <v>16795</v>
      </c>
      <c r="X3940">
        <v>1</v>
      </c>
      <c r="Y3940" t="s">
        <v>23106</v>
      </c>
      <c r="Z3940" t="s">
        <v>29515</v>
      </c>
      <c r="AA3940">
        <v>0.52289070539140803</v>
      </c>
      <c r="AB3940" t="str">
        <f>HYPERLINK("Melting_Curves/meltCurve_Q6N043_2_ZNF280D.pdf", "Melting_Curves/meltCurve_Q6N043_2_ZNF280D.pdf")</f>
        <v>Melting_Curves/meltCurve_Q6N043_2_ZNF280D.pdf</v>
      </c>
    </row>
    <row r="3941" spans="1:28" x14ac:dyDescent="0.25">
      <c r="A3941" t="s">
        <v>3945</v>
      </c>
      <c r="B3941">
        <v>0.99673306730245903</v>
      </c>
      <c r="C3941">
        <v>0.99763234901739895</v>
      </c>
      <c r="D3941">
        <v>0.854076866661444</v>
      </c>
      <c r="E3941">
        <v>0.57226571140693305</v>
      </c>
      <c r="F3941">
        <v>0.36572104593510002</v>
      </c>
      <c r="G3941">
        <v>0.22055006767367499</v>
      </c>
      <c r="H3941">
        <v>0.153221161923521</v>
      </c>
      <c r="I3941">
        <v>0.14187083064921799</v>
      </c>
      <c r="J3941">
        <v>0.136023148576358</v>
      </c>
      <c r="K3941">
        <v>0.102793452980419</v>
      </c>
      <c r="L3941">
        <v>899.44911799749195</v>
      </c>
      <c r="M3941">
        <v>17.958865240695001</v>
      </c>
      <c r="N3941">
        <v>50.855590686667597</v>
      </c>
      <c r="O3941">
        <v>49.475237956347797</v>
      </c>
      <c r="P3941">
        <v>-7.9927038558098407E-2</v>
      </c>
      <c r="Q3941">
        <v>0.11927346518639199</v>
      </c>
      <c r="R3941">
        <v>0.997419335608701</v>
      </c>
      <c r="S3941" t="s">
        <v>10393</v>
      </c>
      <c r="T3941" t="s">
        <v>12902</v>
      </c>
      <c r="U3941" t="s">
        <v>12902</v>
      </c>
      <c r="V3941" t="s">
        <v>12902</v>
      </c>
      <c r="W3941" t="s">
        <v>16796</v>
      </c>
      <c r="X3941">
        <v>4</v>
      </c>
      <c r="Y3941" t="s">
        <v>23107</v>
      </c>
      <c r="Z3941" t="s">
        <v>29516</v>
      </c>
      <c r="AA3941">
        <v>0.43037887237884742</v>
      </c>
      <c r="AB3941" t="str">
        <f>HYPERLINK("Melting_Curves/meltCurve_Q6N063_OGFOD2.pdf", "Melting_Curves/meltCurve_Q6N063_OGFOD2.pdf")</f>
        <v>Melting_Curves/meltCurve_Q6N063_OGFOD2.pdf</v>
      </c>
    </row>
    <row r="3942" spans="1:28" x14ac:dyDescent="0.25">
      <c r="A3942" t="s">
        <v>3946</v>
      </c>
      <c r="B3942">
        <v>0.99673306730245903</v>
      </c>
      <c r="C3942">
        <v>0.92123690955870496</v>
      </c>
      <c r="D3942">
        <v>0.75883862406522096</v>
      </c>
      <c r="E3942">
        <v>0.30483280436409199</v>
      </c>
      <c r="F3942">
        <v>0.18632416207178701</v>
      </c>
      <c r="G3942">
        <v>9.2821304231281807E-2</v>
      </c>
      <c r="H3942">
        <v>5.4440308410703797E-2</v>
      </c>
      <c r="I3942">
        <v>5.6088677892748399E-2</v>
      </c>
      <c r="J3942">
        <v>5.2095300521118403E-2</v>
      </c>
      <c r="K3942">
        <v>3.8464067414920998E-2</v>
      </c>
      <c r="L3942">
        <v>1106.3495325937999</v>
      </c>
      <c r="M3942">
        <v>23.125142849546201</v>
      </c>
      <c r="N3942">
        <v>48.088551536012702</v>
      </c>
      <c r="O3942">
        <v>47.488396054068097</v>
      </c>
      <c r="P3942">
        <v>-0.114933830816787</v>
      </c>
      <c r="Q3942">
        <v>5.5932615519600097E-2</v>
      </c>
      <c r="R3942">
        <v>0.99603897574118605</v>
      </c>
      <c r="S3942" t="s">
        <v>10394</v>
      </c>
      <c r="T3942" t="s">
        <v>12902</v>
      </c>
      <c r="U3942" t="s">
        <v>12902</v>
      </c>
      <c r="V3942" t="s">
        <v>12902</v>
      </c>
      <c r="W3942" t="s">
        <v>16797</v>
      </c>
      <c r="X3942">
        <v>19</v>
      </c>
      <c r="Y3942" t="s">
        <v>23108</v>
      </c>
      <c r="Z3942" t="s">
        <v>29517</v>
      </c>
      <c r="AA3942">
        <v>0.31257134471602421</v>
      </c>
      <c r="AB3942" t="str">
        <f>HYPERLINK("Melting_Curves/meltCurve_Q6N069_NAA16.pdf", "Melting_Curves/meltCurve_Q6N069_NAA16.pdf")</f>
        <v>Melting_Curves/meltCurve_Q6N069_NAA16.pdf</v>
      </c>
    </row>
    <row r="3943" spans="1:28" x14ac:dyDescent="0.25">
      <c r="A3943" t="s">
        <v>3947</v>
      </c>
      <c r="B3943">
        <v>0.99673306730245903</v>
      </c>
      <c r="C3943">
        <v>0.98668642207858603</v>
      </c>
      <c r="D3943">
        <v>0.89275466497554801</v>
      </c>
      <c r="E3943">
        <v>0.82695590633216098</v>
      </c>
      <c r="F3943">
        <v>0.71848891497516998</v>
      </c>
      <c r="G3943">
        <v>0.68584435631031504</v>
      </c>
      <c r="H3943">
        <v>0.54440351022380595</v>
      </c>
      <c r="I3943">
        <v>0.42820317120545098</v>
      </c>
      <c r="J3943">
        <v>0.23620891981191799</v>
      </c>
      <c r="K3943">
        <v>0.118545044846735</v>
      </c>
      <c r="L3943">
        <v>550.46485664568399</v>
      </c>
      <c r="M3943">
        <v>9.1425056720146305</v>
      </c>
      <c r="N3943">
        <v>60.2094030538304</v>
      </c>
      <c r="O3943">
        <v>57.5386624080503</v>
      </c>
      <c r="P3943">
        <v>-3.9750504246662301E-2</v>
      </c>
      <c r="Q3943">
        <v>0</v>
      </c>
      <c r="R3943">
        <v>0.96392156500457604</v>
      </c>
      <c r="S3943" t="s">
        <v>10395</v>
      </c>
      <c r="T3943" t="s">
        <v>12902</v>
      </c>
      <c r="U3943" t="s">
        <v>12902</v>
      </c>
      <c r="V3943" t="s">
        <v>12902</v>
      </c>
      <c r="W3943" t="s">
        <v>16798</v>
      </c>
      <c r="X3943">
        <v>3</v>
      </c>
      <c r="Y3943" t="s">
        <v>23109</v>
      </c>
      <c r="Z3943" t="s">
        <v>29518</v>
      </c>
      <c r="AA3943">
        <v>0.66378203622709264</v>
      </c>
      <c r="AB3943" t="str">
        <f>HYPERLINK("Melting_Curves/meltCurve_Q6NSJ0_KIAA1161.pdf", "Melting_Curves/meltCurve_Q6NSJ0_KIAA1161.pdf")</f>
        <v>Melting_Curves/meltCurve_Q6NSJ0_KIAA1161.pdf</v>
      </c>
    </row>
    <row r="3944" spans="1:28" x14ac:dyDescent="0.25">
      <c r="A3944" t="s">
        <v>3948</v>
      </c>
      <c r="B3944">
        <v>0.99673306730245903</v>
      </c>
      <c r="C3944">
        <v>0.877509146851705</v>
      </c>
      <c r="D3944">
        <v>0.84388924486139105</v>
      </c>
      <c r="E3944">
        <v>0.74700395583117396</v>
      </c>
      <c r="F3944">
        <v>0.65064733142874498</v>
      </c>
      <c r="G3944">
        <v>0.54917351048315899</v>
      </c>
      <c r="H3944">
        <v>0.49718775439960899</v>
      </c>
      <c r="I3944">
        <v>0.61940831518212902</v>
      </c>
      <c r="J3944">
        <v>0.56922087182726699</v>
      </c>
      <c r="K3944">
        <v>0.49599995769230598</v>
      </c>
      <c r="L3944">
        <v>607.10554060877701</v>
      </c>
      <c r="M3944">
        <v>12.541649641045099</v>
      </c>
      <c r="O3944">
        <v>47.225905807414698</v>
      </c>
      <c r="P3944">
        <v>-3.1730918025857403E-2</v>
      </c>
      <c r="Q3944">
        <v>0.52216275999394801</v>
      </c>
      <c r="R3944">
        <v>0.93966957262706696</v>
      </c>
      <c r="S3944" t="s">
        <v>10396</v>
      </c>
      <c r="T3944" t="s">
        <v>12902</v>
      </c>
      <c r="U3944" t="s">
        <v>12902</v>
      </c>
      <c r="V3944" t="s">
        <v>12902</v>
      </c>
      <c r="W3944" t="s">
        <v>16799</v>
      </c>
      <c r="X3944">
        <v>1</v>
      </c>
      <c r="Y3944" t="s">
        <v>23110</v>
      </c>
      <c r="Z3944" t="s">
        <v>29519</v>
      </c>
      <c r="AA3944">
        <v>0.67292562793993327</v>
      </c>
      <c r="AB3944" t="str">
        <f>HYPERLINK("Melting_Curves/meltCurve_Q6NT16_SLC18B1.pdf", "Melting_Curves/meltCurve_Q6NT16_SLC18B1.pdf")</f>
        <v>Melting_Curves/meltCurve_Q6NT16_SLC18B1.pdf</v>
      </c>
    </row>
    <row r="3945" spans="1:28" x14ac:dyDescent="0.25">
      <c r="A3945" t="s">
        <v>3949</v>
      </c>
      <c r="B3945">
        <v>0.99673306730245903</v>
      </c>
      <c r="C3945">
        <v>1.02905950525643</v>
      </c>
      <c r="D3945">
        <v>0.89010010991700195</v>
      </c>
      <c r="E3945">
        <v>0.721051166217059</v>
      </c>
      <c r="F3945">
        <v>0.51321156933568102</v>
      </c>
      <c r="G3945">
        <v>0.32585792731747598</v>
      </c>
      <c r="H3945">
        <v>0.129951479277291</v>
      </c>
      <c r="I3945">
        <v>8.9483615811759995E-2</v>
      </c>
      <c r="J3945">
        <v>0.12631544456840099</v>
      </c>
      <c r="K3945">
        <v>0.154414817780473</v>
      </c>
      <c r="L3945">
        <v>848.59252939000305</v>
      </c>
      <c r="M3945">
        <v>16.178251485462301</v>
      </c>
      <c r="N3945">
        <v>53.099683792369099</v>
      </c>
      <c r="O3945">
        <v>51.670897110488497</v>
      </c>
      <c r="P3945">
        <v>-7.12784627553711E-2</v>
      </c>
      <c r="Q3945">
        <v>8.9457701719161203E-2</v>
      </c>
      <c r="R3945">
        <v>0.99061452361982205</v>
      </c>
      <c r="S3945" t="s">
        <v>10397</v>
      </c>
      <c r="T3945" t="s">
        <v>12902</v>
      </c>
      <c r="U3945" t="s">
        <v>12902</v>
      </c>
      <c r="V3945" t="s">
        <v>12902</v>
      </c>
      <c r="W3945" t="s">
        <v>16800</v>
      </c>
      <c r="X3945">
        <v>3</v>
      </c>
      <c r="Y3945" t="s">
        <v>23111</v>
      </c>
      <c r="Z3945" t="s">
        <v>29520</v>
      </c>
      <c r="AA3945">
        <v>0.48527894302960972</v>
      </c>
      <c r="AB3945" t="str">
        <f>HYPERLINK("Melting_Curves/meltCurve_Q6NTE8_C5orf45.pdf", "Melting_Curves/meltCurve_Q6NTE8_C5orf45.pdf")</f>
        <v>Melting_Curves/meltCurve_Q6NTE8_C5orf45.pdf</v>
      </c>
    </row>
    <row r="3946" spans="1:28" x14ac:dyDescent="0.25">
      <c r="A3946" t="s">
        <v>3950</v>
      </c>
      <c r="B3946">
        <v>0.99673306730245903</v>
      </c>
      <c r="C3946">
        <v>1.0195682025700199</v>
      </c>
      <c r="D3946">
        <v>0.92973294781201699</v>
      </c>
      <c r="E3946">
        <v>0.83408898643411</v>
      </c>
      <c r="F3946">
        <v>0.68836369179116996</v>
      </c>
      <c r="G3946">
        <v>0.64429228149915796</v>
      </c>
      <c r="H3946">
        <v>0.55605841827633495</v>
      </c>
      <c r="I3946">
        <v>0.50789973416689405</v>
      </c>
      <c r="J3946">
        <v>0.18583196416699699</v>
      </c>
      <c r="K3946">
        <v>0.121740425494587</v>
      </c>
      <c r="L3946">
        <v>543.269986021195</v>
      </c>
      <c r="M3946">
        <v>9.0235475652650496</v>
      </c>
      <c r="N3946">
        <v>60.205805462050698</v>
      </c>
      <c r="O3946">
        <v>57.469596071478897</v>
      </c>
      <c r="P3946">
        <v>-3.9281807177991998E-2</v>
      </c>
      <c r="Q3946">
        <v>0</v>
      </c>
      <c r="R3946">
        <v>0.938918494683322</v>
      </c>
      <c r="S3946" t="s">
        <v>10398</v>
      </c>
      <c r="T3946" t="s">
        <v>12902</v>
      </c>
      <c r="U3946" t="s">
        <v>12902</v>
      </c>
      <c r="V3946" t="s">
        <v>12902</v>
      </c>
      <c r="W3946" t="s">
        <v>16801</v>
      </c>
      <c r="X3946">
        <v>15</v>
      </c>
      <c r="Y3946" t="s">
        <v>23112</v>
      </c>
      <c r="Z3946" t="s">
        <v>29521</v>
      </c>
      <c r="AA3946">
        <v>0.66302592881587341</v>
      </c>
      <c r="AB3946" t="str">
        <f>HYPERLINK("Melting_Curves/meltCurve_Q6NUK1_SLC25A24.pdf", "Melting_Curves/meltCurve_Q6NUK1_SLC25A24.pdf")</f>
        <v>Melting_Curves/meltCurve_Q6NUK1_SLC25A24.pdf</v>
      </c>
    </row>
    <row r="3947" spans="1:28" x14ac:dyDescent="0.25">
      <c r="A3947" t="s">
        <v>3951</v>
      </c>
      <c r="B3947">
        <v>0.99673306730245903</v>
      </c>
      <c r="C3947">
        <v>0.88932454306895303</v>
      </c>
      <c r="D3947">
        <v>0.79066308713224398</v>
      </c>
      <c r="E3947">
        <v>0.85790627690536003</v>
      </c>
      <c r="F3947">
        <v>0.65939585388501099</v>
      </c>
      <c r="G3947">
        <v>0.55276576098113295</v>
      </c>
      <c r="H3947">
        <v>0.39739473854763802</v>
      </c>
      <c r="I3947">
        <v>0.54168304467610295</v>
      </c>
      <c r="J3947">
        <v>0.64796154873205403</v>
      </c>
      <c r="K3947">
        <v>0.70276811964948405</v>
      </c>
      <c r="L3947">
        <v>673.16992077846703</v>
      </c>
      <c r="M3947">
        <v>13.990761714522399</v>
      </c>
      <c r="O3947">
        <v>47.164300141497897</v>
      </c>
      <c r="P3947">
        <v>-3.2441434648004398E-2</v>
      </c>
      <c r="Q3947">
        <v>0.56260434626134004</v>
      </c>
      <c r="R3947">
        <v>0.71898902442272805</v>
      </c>
      <c r="S3947" t="s">
        <v>10399</v>
      </c>
      <c r="T3947" t="s">
        <v>12902</v>
      </c>
      <c r="U3947" t="s">
        <v>12902</v>
      </c>
      <c r="V3947" t="s">
        <v>12902</v>
      </c>
      <c r="W3947" t="s">
        <v>16802</v>
      </c>
      <c r="X3947">
        <v>6</v>
      </c>
      <c r="Y3947" t="s">
        <v>23113</v>
      </c>
      <c r="Z3947" t="s">
        <v>29522</v>
      </c>
      <c r="AA3947">
        <v>0.69374000151032444</v>
      </c>
      <c r="AB3947" t="str">
        <f>HYPERLINK("Melting_Curves/meltCurve_Q6NUK4_REEP3.pdf", "Melting_Curves/meltCurve_Q6NUK4_REEP3.pdf")</f>
        <v>Melting_Curves/meltCurve_Q6NUK4_REEP3.pdf</v>
      </c>
    </row>
    <row r="3948" spans="1:28" x14ac:dyDescent="0.25">
      <c r="A3948" t="s">
        <v>3952</v>
      </c>
      <c r="B3948">
        <v>0.99673306730245903</v>
      </c>
      <c r="C3948">
        <v>0.96226261502773103</v>
      </c>
      <c r="D3948">
        <v>0.92900223207872501</v>
      </c>
      <c r="E3948">
        <v>0.76234083677017805</v>
      </c>
      <c r="F3948">
        <v>0.58842692817443598</v>
      </c>
      <c r="G3948">
        <v>0.35727959304670998</v>
      </c>
      <c r="H3948">
        <v>0.199076668823397</v>
      </c>
      <c r="I3948">
        <v>0.14633344547865301</v>
      </c>
      <c r="J3948">
        <v>0.14825546445194901</v>
      </c>
      <c r="K3948">
        <v>0.15451133143255599</v>
      </c>
      <c r="L3948">
        <v>818.12558380223595</v>
      </c>
      <c r="M3948">
        <v>15.3491547542053</v>
      </c>
      <c r="N3948">
        <v>54.136950031861197</v>
      </c>
      <c r="O3948">
        <v>52.420876327470602</v>
      </c>
      <c r="P3948">
        <v>-6.5484311555226493E-2</v>
      </c>
      <c r="Q3948">
        <v>0.10550712081630401</v>
      </c>
      <c r="R3948">
        <v>0.99712295848569399</v>
      </c>
      <c r="S3948" t="s">
        <v>10400</v>
      </c>
      <c r="T3948" t="s">
        <v>12902</v>
      </c>
      <c r="U3948" t="s">
        <v>12902</v>
      </c>
      <c r="V3948" t="s">
        <v>12902</v>
      </c>
      <c r="W3948" t="s">
        <v>16803</v>
      </c>
      <c r="X3948">
        <v>17</v>
      </c>
      <c r="Y3948" t="s">
        <v>23114</v>
      </c>
      <c r="Z3948" t="s">
        <v>29523</v>
      </c>
      <c r="AA3948">
        <v>0.52050668557061808</v>
      </c>
      <c r="AB3948" t="str">
        <f>HYPERLINK("Melting_Curves/meltCurve_Q6NUM9_RETSAT.pdf", "Melting_Curves/meltCurve_Q6NUM9_RETSAT.pdf")</f>
        <v>Melting_Curves/meltCurve_Q6NUM9_RETSAT.pdf</v>
      </c>
    </row>
    <row r="3949" spans="1:28" x14ac:dyDescent="0.25">
      <c r="A3949" t="s">
        <v>3953</v>
      </c>
      <c r="B3949">
        <v>0.99673306730245903</v>
      </c>
      <c r="C3949">
        <v>0.85729782145446598</v>
      </c>
      <c r="D3949">
        <v>0.58908277108189799</v>
      </c>
      <c r="E3949">
        <v>0.32408645478706399</v>
      </c>
      <c r="F3949">
        <v>0.22858403749797099</v>
      </c>
      <c r="G3949">
        <v>0.15845379880025201</v>
      </c>
      <c r="H3949">
        <v>9.9621167683155404E-2</v>
      </c>
      <c r="I3949">
        <v>9.8435504475202898E-2</v>
      </c>
      <c r="J3949">
        <v>0.107364429087449</v>
      </c>
      <c r="K3949">
        <v>9.2036900888468706E-2</v>
      </c>
      <c r="L3949">
        <v>840.49712745191596</v>
      </c>
      <c r="M3949">
        <v>18.009457314473799</v>
      </c>
      <c r="N3949">
        <v>47.275995496505899</v>
      </c>
      <c r="O3949">
        <v>46.105769325811799</v>
      </c>
      <c r="P3949">
        <v>-8.7588653996096999E-2</v>
      </c>
      <c r="Q3949">
        <v>0.103106272605773</v>
      </c>
      <c r="R3949">
        <v>0.99562167179240602</v>
      </c>
      <c r="S3949" t="s">
        <v>10401</v>
      </c>
      <c r="T3949" t="s">
        <v>12902</v>
      </c>
      <c r="U3949" t="s">
        <v>12902</v>
      </c>
      <c r="V3949" t="s">
        <v>12902</v>
      </c>
      <c r="W3949" t="s">
        <v>16804</v>
      </c>
      <c r="X3949">
        <v>3</v>
      </c>
      <c r="Y3949" t="s">
        <v>23115</v>
      </c>
      <c r="Z3949" t="s">
        <v>29524</v>
      </c>
      <c r="AA3949">
        <v>0.31932915673856688</v>
      </c>
      <c r="AB3949" t="str">
        <f>HYPERLINK("Melting_Curves/meltCurve_Q6NUQ1_RINT1.pdf", "Melting_Curves/meltCurve_Q6NUQ1_RINT1.pdf")</f>
        <v>Melting_Curves/meltCurve_Q6NUQ1_RINT1.pdf</v>
      </c>
    </row>
    <row r="3950" spans="1:28" x14ac:dyDescent="0.25">
      <c r="A3950" t="s">
        <v>3954</v>
      </c>
      <c r="B3950">
        <v>0.99673306730245903</v>
      </c>
      <c r="C3950">
        <v>0.905927393200472</v>
      </c>
      <c r="D3950">
        <v>0.90900386432903102</v>
      </c>
      <c r="E3950">
        <v>0.78574278575276002</v>
      </c>
      <c r="F3950">
        <v>0.14617260955720299</v>
      </c>
      <c r="G3950">
        <v>9.5177152350456304E-2</v>
      </c>
      <c r="H3950">
        <v>4.9346699299937999E-2</v>
      </c>
      <c r="I3950">
        <v>4.2061075442467802E-2</v>
      </c>
      <c r="J3950">
        <v>4.34267374036722E-2</v>
      </c>
      <c r="K3950">
        <v>3.74423874797018E-2</v>
      </c>
      <c r="L3950">
        <v>2363.43639677889</v>
      </c>
      <c r="M3950">
        <v>46.469753252438899</v>
      </c>
      <c r="N3950">
        <v>50.975046089654803</v>
      </c>
      <c r="O3950">
        <v>50.765752499244002</v>
      </c>
      <c r="P3950">
        <v>-0.21742120234220999</v>
      </c>
      <c r="Q3950">
        <v>4.99163347827766E-2</v>
      </c>
      <c r="R3950">
        <v>0.98942784057287103</v>
      </c>
      <c r="S3950" t="s">
        <v>10402</v>
      </c>
      <c r="T3950" t="s">
        <v>12902</v>
      </c>
      <c r="U3950" t="s">
        <v>12902</v>
      </c>
      <c r="V3950" t="s">
        <v>12902</v>
      </c>
      <c r="W3950" t="s">
        <v>16805</v>
      </c>
      <c r="X3950">
        <v>16</v>
      </c>
      <c r="Y3950" t="s">
        <v>23116</v>
      </c>
      <c r="Z3950" t="s">
        <v>29525</v>
      </c>
      <c r="AA3950">
        <v>0.39630588958153867</v>
      </c>
      <c r="AB3950" t="str">
        <f>HYPERLINK("Melting_Curves/meltCurve_Q6NUQ4_2_TMEM214.pdf", "Melting_Curves/meltCurve_Q6NUQ4_2_TMEM214.pdf")</f>
        <v>Melting_Curves/meltCurve_Q6NUQ4_2_TMEM214.pdf</v>
      </c>
    </row>
    <row r="3951" spans="1:28" x14ac:dyDescent="0.25">
      <c r="A3951" t="s">
        <v>3955</v>
      </c>
      <c r="B3951">
        <v>0.99673306730245903</v>
      </c>
      <c r="C3951">
        <v>1.0242069199652999</v>
      </c>
      <c r="D3951">
        <v>1.02335147840026</v>
      </c>
      <c r="E3951">
        <v>0.83438996976883495</v>
      </c>
      <c r="F3951">
        <v>0.70368766554454698</v>
      </c>
      <c r="G3951">
        <v>0.51722235936078098</v>
      </c>
      <c r="H3951">
        <v>0.41983091399874001</v>
      </c>
      <c r="I3951">
        <v>0.45354390917654203</v>
      </c>
      <c r="J3951">
        <v>0.15376818983444299</v>
      </c>
      <c r="K3951">
        <v>7.8707384938286301E-2</v>
      </c>
      <c r="L3951">
        <v>597.74093751087298</v>
      </c>
      <c r="M3951">
        <v>10.2230652746711</v>
      </c>
      <c r="N3951">
        <v>58.469830961922199</v>
      </c>
      <c r="O3951">
        <v>56.365005684868201</v>
      </c>
      <c r="P3951">
        <v>-4.5363401697991801E-2</v>
      </c>
      <c r="Q3951">
        <v>0</v>
      </c>
      <c r="R3951">
        <v>0.95524965474678902</v>
      </c>
      <c r="S3951" t="s">
        <v>10403</v>
      </c>
      <c r="T3951" t="s">
        <v>12902</v>
      </c>
      <c r="U3951" t="s">
        <v>12902</v>
      </c>
      <c r="V3951" t="s">
        <v>12902</v>
      </c>
      <c r="W3951" t="s">
        <v>16806</v>
      </c>
      <c r="X3951">
        <v>1</v>
      </c>
      <c r="Y3951" t="s">
        <v>23117</v>
      </c>
      <c r="Z3951" t="s">
        <v>29526</v>
      </c>
      <c r="AA3951">
        <v>0.62313394234761543</v>
      </c>
      <c r="AB3951" t="str">
        <f>HYPERLINK("Melting_Curves/meltCurve_Q6NUS6_TCTN3.pdf", "Melting_Curves/meltCurve_Q6NUS6_TCTN3.pdf")</f>
        <v>Melting_Curves/meltCurve_Q6NUS6_TCTN3.pdf</v>
      </c>
    </row>
    <row r="3952" spans="1:28" x14ac:dyDescent="0.25">
      <c r="A3952" t="s">
        <v>3956</v>
      </c>
      <c r="B3952">
        <v>0.99673306730245903</v>
      </c>
      <c r="C3952">
        <v>0.95886731924403601</v>
      </c>
      <c r="D3952">
        <v>0.93814796655773103</v>
      </c>
      <c r="E3952">
        <v>0.72138532835795599</v>
      </c>
      <c r="F3952">
        <v>0.54321741638412202</v>
      </c>
      <c r="G3952">
        <v>0.393689515727354</v>
      </c>
      <c r="H3952">
        <v>0.33163948743745097</v>
      </c>
      <c r="I3952">
        <v>0.42758757481016701</v>
      </c>
      <c r="J3952">
        <v>0.91561774210342906</v>
      </c>
      <c r="K3952">
        <v>0.89004236449875695</v>
      </c>
      <c r="L3952">
        <v>1956.3393953463101</v>
      </c>
      <c r="M3952">
        <v>40.364174345068903</v>
      </c>
      <c r="O3952">
        <v>48.348715386663997</v>
      </c>
      <c r="P3952">
        <v>-8.6864537254708496E-2</v>
      </c>
      <c r="Q3952">
        <v>0.58381109624722705</v>
      </c>
      <c r="R3952">
        <v>0.46374270155174602</v>
      </c>
      <c r="S3952" t="s">
        <v>10404</v>
      </c>
      <c r="T3952" t="s">
        <v>12902</v>
      </c>
      <c r="U3952" t="s">
        <v>12902</v>
      </c>
      <c r="V3952" t="s">
        <v>12902</v>
      </c>
      <c r="W3952" t="s">
        <v>16807</v>
      </c>
      <c r="X3952">
        <v>3</v>
      </c>
      <c r="Y3952" t="s">
        <v>23118</v>
      </c>
      <c r="Z3952" t="s">
        <v>29527</v>
      </c>
      <c r="AA3952">
        <v>0.70264797023154035</v>
      </c>
      <c r="AB3952" t="str">
        <f>HYPERLINK("Melting_Curves/meltCurve_Q6NV74_KIAA1211L.pdf", "Melting_Curves/meltCurve_Q6NV74_KIAA1211L.pdf")</f>
        <v>Melting_Curves/meltCurve_Q6NV74_KIAA1211L.pdf</v>
      </c>
    </row>
    <row r="3953" spans="1:28" x14ac:dyDescent="0.25">
      <c r="A3953" t="s">
        <v>3957</v>
      </c>
      <c r="B3953">
        <v>0.99673306730245903</v>
      </c>
      <c r="C3953">
        <v>0.94185476704601001</v>
      </c>
      <c r="D3953">
        <v>0.88503448495756998</v>
      </c>
      <c r="E3953">
        <v>0.81257528221148401</v>
      </c>
      <c r="F3953">
        <v>0.85737420056537705</v>
      </c>
      <c r="G3953">
        <v>0.745915990397652</v>
      </c>
      <c r="H3953">
        <v>0.61715238551957796</v>
      </c>
      <c r="I3953">
        <v>0.74212195245854296</v>
      </c>
      <c r="J3953">
        <v>0.90911579187735903</v>
      </c>
      <c r="K3953">
        <v>0.69338631744878099</v>
      </c>
      <c r="L3953">
        <v>666.75345499973503</v>
      </c>
      <c r="M3953">
        <v>14.1654597973137</v>
      </c>
      <c r="O3953">
        <v>46.1607049259419</v>
      </c>
      <c r="P3953">
        <v>-1.9687756006876798E-2</v>
      </c>
      <c r="Q3953">
        <v>0.74340802099141101</v>
      </c>
      <c r="R3953">
        <v>0.581626789786301</v>
      </c>
      <c r="S3953" t="s">
        <v>10405</v>
      </c>
      <c r="T3953" t="s">
        <v>12902</v>
      </c>
      <c r="U3953" t="s">
        <v>12902</v>
      </c>
      <c r="V3953" t="s">
        <v>12902</v>
      </c>
      <c r="W3953" t="s">
        <v>16808</v>
      </c>
      <c r="X3953">
        <v>1</v>
      </c>
      <c r="Y3953" t="s">
        <v>23119</v>
      </c>
      <c r="Z3953" t="s">
        <v>29528</v>
      </c>
      <c r="AA3953">
        <v>0.81166580514764364</v>
      </c>
      <c r="AB3953" t="str">
        <f>HYPERLINK("Melting_Curves/meltCurve_Q6NVH7_SWSAP1.pdf", "Melting_Curves/meltCurve_Q6NVH7_SWSAP1.pdf")</f>
        <v>Melting_Curves/meltCurve_Q6NVH7_SWSAP1.pdf</v>
      </c>
    </row>
    <row r="3954" spans="1:28" x14ac:dyDescent="0.25">
      <c r="A3954" t="s">
        <v>3958</v>
      </c>
      <c r="B3954">
        <v>0.99673306730245903</v>
      </c>
      <c r="C3954">
        <v>0.981751332512529</v>
      </c>
      <c r="D3954">
        <v>0.94977129845324004</v>
      </c>
      <c r="E3954">
        <v>0.72405760754946402</v>
      </c>
      <c r="F3954">
        <v>0.36473072032260401</v>
      </c>
      <c r="G3954">
        <v>0.17727581901918901</v>
      </c>
      <c r="H3954">
        <v>0.12845436347135999</v>
      </c>
      <c r="I3954">
        <v>0.172221937361102</v>
      </c>
      <c r="J3954">
        <v>0.114977371499357</v>
      </c>
      <c r="K3954">
        <v>0.134458040807416</v>
      </c>
      <c r="L3954">
        <v>1323.0927108743399</v>
      </c>
      <c r="M3954">
        <v>25.9061138817315</v>
      </c>
      <c r="N3954">
        <v>51.675932424023699</v>
      </c>
      <c r="O3954">
        <v>50.771195358378698</v>
      </c>
      <c r="P3954">
        <v>-0.11091768927121901</v>
      </c>
      <c r="Q3954">
        <v>0.13049746981750299</v>
      </c>
      <c r="R3954">
        <v>0.99833166760801395</v>
      </c>
      <c r="S3954" t="s">
        <v>10406</v>
      </c>
      <c r="T3954" t="s">
        <v>12902</v>
      </c>
      <c r="U3954" t="s">
        <v>12902</v>
      </c>
      <c r="V3954" t="s">
        <v>12902</v>
      </c>
      <c r="W3954" t="s">
        <v>16809</v>
      </c>
      <c r="X3954">
        <v>2</v>
      </c>
      <c r="Y3954" t="s">
        <v>23120</v>
      </c>
      <c r="Z3954" t="s">
        <v>29529</v>
      </c>
      <c r="AA3954">
        <v>0.45874829287112878</v>
      </c>
      <c r="AB3954" t="str">
        <f>HYPERLINK("Melting_Curves/meltCurve_Q6NVU6_UFSP1.pdf", "Melting_Curves/meltCurve_Q6NVU6_UFSP1.pdf")</f>
        <v>Melting_Curves/meltCurve_Q6NVU6_UFSP1.pdf</v>
      </c>
    </row>
    <row r="3955" spans="1:28" x14ac:dyDescent="0.25">
      <c r="A3955" t="s">
        <v>3959</v>
      </c>
      <c r="B3955">
        <v>0.99673306730245903</v>
      </c>
      <c r="C3955">
        <v>0.943512588273688</v>
      </c>
      <c r="D3955">
        <v>0.85923244729374404</v>
      </c>
      <c r="E3955">
        <v>0.78351227077150098</v>
      </c>
      <c r="F3955">
        <v>0.191083551634252</v>
      </c>
      <c r="G3955">
        <v>0.103162601562152</v>
      </c>
      <c r="H3955">
        <v>5.9327757203863303E-2</v>
      </c>
      <c r="I3955">
        <v>4.6841071859247498E-2</v>
      </c>
      <c r="J3955">
        <v>4.9591844620717598E-2</v>
      </c>
      <c r="K3955">
        <v>4.7386728551263801E-2</v>
      </c>
      <c r="L3955">
        <v>1936.42494563944</v>
      </c>
      <c r="M3955">
        <v>37.974416434816703</v>
      </c>
      <c r="N3955">
        <v>51.145616104316197</v>
      </c>
      <c r="O3955">
        <v>50.852087822212397</v>
      </c>
      <c r="P3955">
        <v>-0.17668365967842301</v>
      </c>
      <c r="Q3955">
        <v>5.3603881432980102E-2</v>
      </c>
      <c r="R3955">
        <v>0.98695562917027702</v>
      </c>
      <c r="S3955" t="s">
        <v>10407</v>
      </c>
      <c r="T3955" t="s">
        <v>12902</v>
      </c>
      <c r="U3955" t="s">
        <v>12902</v>
      </c>
      <c r="V3955" t="s">
        <v>12902</v>
      </c>
      <c r="W3955" t="s">
        <v>16810</v>
      </c>
      <c r="X3955">
        <v>20</v>
      </c>
      <c r="Y3955" t="s">
        <v>23121</v>
      </c>
      <c r="Z3955" t="s">
        <v>29530</v>
      </c>
      <c r="AA3955">
        <v>0.40409500051804681</v>
      </c>
      <c r="AB3955" t="str">
        <f>HYPERLINK("Melting_Curves/meltCurve_Q6NVY1_HIBCH.pdf", "Melting_Curves/meltCurve_Q6NVY1_HIBCH.pdf")</f>
        <v>Melting_Curves/meltCurve_Q6NVY1_HIBCH.pdf</v>
      </c>
    </row>
    <row r="3956" spans="1:28" x14ac:dyDescent="0.25">
      <c r="A3956" t="s">
        <v>3960</v>
      </c>
      <c r="B3956">
        <v>0.99673306730245903</v>
      </c>
      <c r="C3956">
        <v>0.948784338743353</v>
      </c>
      <c r="D3956">
        <v>0.89152081333492095</v>
      </c>
      <c r="E3956">
        <v>0.68985515347265502</v>
      </c>
      <c r="F3956">
        <v>0.696157326929147</v>
      </c>
      <c r="G3956">
        <v>0.79413535475716102</v>
      </c>
      <c r="H3956">
        <v>1.1385144982334201</v>
      </c>
      <c r="I3956">
        <v>2.5365971654183399</v>
      </c>
      <c r="J3956">
        <v>2.9185777640367099</v>
      </c>
      <c r="K3956">
        <v>2.3663416196528302</v>
      </c>
      <c r="L3956">
        <v>15000</v>
      </c>
      <c r="M3956">
        <v>245.751871190347</v>
      </c>
      <c r="O3956">
        <v>61.033115615628702</v>
      </c>
      <c r="P3956">
        <v>0.50331651692895096</v>
      </c>
      <c r="Q3956">
        <v>1.5</v>
      </c>
      <c r="R3956">
        <v>0.38061475403289502</v>
      </c>
      <c r="S3956" t="s">
        <v>10408</v>
      </c>
      <c r="T3956" t="s">
        <v>12902</v>
      </c>
      <c r="U3956" t="s">
        <v>12902</v>
      </c>
      <c r="V3956" t="s">
        <v>12902</v>
      </c>
      <c r="W3956" t="s">
        <v>16811</v>
      </c>
      <c r="X3956">
        <v>7</v>
      </c>
      <c r="Y3956" t="s">
        <v>23122</v>
      </c>
      <c r="Z3956" t="s">
        <v>29531</v>
      </c>
      <c r="AA3956">
        <v>1.149324986755776</v>
      </c>
      <c r="AB3956" t="str">
        <f>HYPERLINK("Melting_Curves/meltCurve_Q6NXS1_PPP1R2P3.pdf", "Melting_Curves/meltCurve_Q6NXS1_PPP1R2P3.pdf")</f>
        <v>Melting_Curves/meltCurve_Q6NXS1_PPP1R2P3.pdf</v>
      </c>
    </row>
    <row r="3957" spans="1:28" x14ac:dyDescent="0.25">
      <c r="A3957" t="s">
        <v>3961</v>
      </c>
      <c r="B3957">
        <v>0.99673306730245903</v>
      </c>
      <c r="C3957">
        <v>0.99703491157048196</v>
      </c>
      <c r="D3957">
        <v>1.0631478457950201</v>
      </c>
      <c r="E3957">
        <v>0.87740831156742405</v>
      </c>
      <c r="F3957">
        <v>0.39760474738188101</v>
      </c>
      <c r="G3957">
        <v>0.194893946223514</v>
      </c>
      <c r="H3957">
        <v>0.16658115296489701</v>
      </c>
      <c r="I3957">
        <v>0.11320061206252</v>
      </c>
      <c r="J3957">
        <v>0.14199114843522501</v>
      </c>
      <c r="K3957">
        <v>0.12720102653719201</v>
      </c>
      <c r="L3957">
        <v>1937.1824370296199</v>
      </c>
      <c r="M3957">
        <v>37.234769628361697</v>
      </c>
      <c r="N3957">
        <v>52.488183060776798</v>
      </c>
      <c r="O3957">
        <v>51.876786216688899</v>
      </c>
      <c r="P3957">
        <v>-0.15436630439594601</v>
      </c>
      <c r="Q3957">
        <v>0.13972818924656599</v>
      </c>
      <c r="R3957">
        <v>0.99577172096748301</v>
      </c>
      <c r="S3957" t="s">
        <v>10409</v>
      </c>
      <c r="T3957" t="s">
        <v>12902</v>
      </c>
      <c r="U3957" t="s">
        <v>12902</v>
      </c>
      <c r="V3957" t="s">
        <v>12902</v>
      </c>
      <c r="W3957" t="s">
        <v>16812</v>
      </c>
      <c r="X3957">
        <v>3</v>
      </c>
      <c r="Y3957" t="s">
        <v>23123</v>
      </c>
      <c r="Z3957" t="s">
        <v>29532</v>
      </c>
      <c r="AA3957">
        <v>0.48815835747825281</v>
      </c>
      <c r="AB3957" t="str">
        <f>HYPERLINK("Melting_Curves/meltCurve_Q6NXT1_ANKRD54.pdf", "Melting_Curves/meltCurve_Q6NXT1_ANKRD54.pdf")</f>
        <v>Melting_Curves/meltCurve_Q6NXT1_ANKRD54.pdf</v>
      </c>
    </row>
    <row r="3958" spans="1:28" x14ac:dyDescent="0.25">
      <c r="A3958" t="s">
        <v>3962</v>
      </c>
      <c r="B3958">
        <v>0.99673306730245903</v>
      </c>
      <c r="C3958">
        <v>0.95246077879549995</v>
      </c>
      <c r="D3958">
        <v>1.0296832630463499</v>
      </c>
      <c r="E3958">
        <v>0.88869743347215602</v>
      </c>
      <c r="F3958">
        <v>0.81177150758726702</v>
      </c>
      <c r="G3958">
        <v>0.78166845581887301</v>
      </c>
      <c r="H3958">
        <v>0.837303122662026</v>
      </c>
      <c r="I3958">
        <v>1.0496778803298199</v>
      </c>
      <c r="J3958">
        <v>0.68541086999044498</v>
      </c>
      <c r="K3958">
        <v>0.37409665825689498</v>
      </c>
      <c r="L3958">
        <v>15000</v>
      </c>
      <c r="M3958">
        <v>223.55719175979701</v>
      </c>
      <c r="N3958">
        <v>67.5132610465011</v>
      </c>
      <c r="O3958">
        <v>67.091551633421005</v>
      </c>
      <c r="P3958">
        <v>-0.52144633574281096</v>
      </c>
      <c r="Q3958">
        <v>0.374036770328045</v>
      </c>
      <c r="R3958">
        <v>0.65017730486039005</v>
      </c>
      <c r="S3958" t="s">
        <v>10410</v>
      </c>
      <c r="T3958" t="s">
        <v>12902</v>
      </c>
      <c r="U3958" t="s">
        <v>12902</v>
      </c>
      <c r="V3958" t="s">
        <v>12902</v>
      </c>
      <c r="W3958" t="s">
        <v>16813</v>
      </c>
      <c r="X3958">
        <v>8</v>
      </c>
      <c r="Y3958" t="s">
        <v>23124</v>
      </c>
      <c r="Z3958" t="s">
        <v>29533</v>
      </c>
      <c r="AA3958">
        <v>0.93951758380877892</v>
      </c>
      <c r="AB3958" t="str">
        <f>HYPERLINK("Melting_Curves/meltCurve_Q6NXT6_TAPT1.pdf", "Melting_Curves/meltCurve_Q6NXT6_TAPT1.pdf")</f>
        <v>Melting_Curves/meltCurve_Q6NXT6_TAPT1.pdf</v>
      </c>
    </row>
    <row r="3959" spans="1:28" x14ac:dyDescent="0.25">
      <c r="A3959" t="s">
        <v>3963</v>
      </c>
      <c r="B3959">
        <v>0.99673306730245903</v>
      </c>
      <c r="C3959">
        <v>0.97094811069029496</v>
      </c>
      <c r="D3959">
        <v>0.73452861262163105</v>
      </c>
      <c r="E3959">
        <v>0.34779397668428003</v>
      </c>
      <c r="F3959">
        <v>0.192711590611756</v>
      </c>
      <c r="G3959">
        <v>0.107877276842821</v>
      </c>
      <c r="H3959">
        <v>6.3206727800388898E-2</v>
      </c>
      <c r="I3959">
        <v>6.2589622086996102E-2</v>
      </c>
      <c r="J3959">
        <v>6.3856259558755304E-2</v>
      </c>
      <c r="K3959">
        <v>5.2267144674836903E-2</v>
      </c>
      <c r="L3959">
        <v>1075.72052978331</v>
      </c>
      <c r="M3959">
        <v>22.427604448013899</v>
      </c>
      <c r="N3959">
        <v>48.265376418886802</v>
      </c>
      <c r="O3959">
        <v>47.5877027140438</v>
      </c>
      <c r="P3959">
        <v>-0.11012934041286</v>
      </c>
      <c r="Q3959">
        <v>6.5314046581367899E-2</v>
      </c>
      <c r="R3959">
        <v>0.99757573504526997</v>
      </c>
      <c r="S3959" t="s">
        <v>10411</v>
      </c>
      <c r="T3959" t="s">
        <v>12902</v>
      </c>
      <c r="U3959" t="s">
        <v>12902</v>
      </c>
      <c r="V3959" t="s">
        <v>12902</v>
      </c>
      <c r="W3959" t="s">
        <v>16814</v>
      </c>
      <c r="X3959">
        <v>9</v>
      </c>
      <c r="Y3959" t="s">
        <v>23125</v>
      </c>
      <c r="Z3959" t="s">
        <v>29534</v>
      </c>
      <c r="AA3959">
        <v>0.32385978884013972</v>
      </c>
      <c r="AB3959" t="str">
        <f>HYPERLINK("Melting_Curves/meltCurve_Q6NYC1_JMJD6.pdf", "Melting_Curves/meltCurve_Q6NYC1_JMJD6.pdf")</f>
        <v>Melting_Curves/meltCurve_Q6NYC1_JMJD6.pdf</v>
      </c>
    </row>
    <row r="3960" spans="1:28" x14ac:dyDescent="0.25">
      <c r="A3960" t="s">
        <v>3964</v>
      </c>
      <c r="B3960">
        <v>0.99673306730245903</v>
      </c>
      <c r="C3960">
        <v>0.93133108590176705</v>
      </c>
      <c r="D3960">
        <v>0.65253482763454396</v>
      </c>
      <c r="E3960">
        <v>0.45982147684910402</v>
      </c>
      <c r="F3960">
        <v>0.416792116428295</v>
      </c>
      <c r="G3960">
        <v>0.180745470749689</v>
      </c>
      <c r="H3960">
        <v>0.107962573276095</v>
      </c>
      <c r="I3960">
        <v>0.14314699713752399</v>
      </c>
      <c r="J3960">
        <v>0.23709281720101799</v>
      </c>
      <c r="K3960">
        <v>0.23826782665892901</v>
      </c>
      <c r="L3960">
        <v>770.19761633925805</v>
      </c>
      <c r="M3960">
        <v>16.1254544098941</v>
      </c>
      <c r="N3960">
        <v>49.076094670972097</v>
      </c>
      <c r="O3960">
        <v>47.046417452384702</v>
      </c>
      <c r="P3960">
        <v>-7.0678673496010605E-2</v>
      </c>
      <c r="Q3960">
        <v>0.17523552774686299</v>
      </c>
      <c r="R3960">
        <v>0.95967370813407504</v>
      </c>
      <c r="S3960" t="s">
        <v>10412</v>
      </c>
      <c r="T3960" t="s">
        <v>12902</v>
      </c>
      <c r="U3960" t="s">
        <v>12902</v>
      </c>
      <c r="V3960" t="s">
        <v>12902</v>
      </c>
      <c r="W3960" t="s">
        <v>16815</v>
      </c>
      <c r="X3960">
        <v>1</v>
      </c>
      <c r="Y3960" t="s">
        <v>23126</v>
      </c>
      <c r="Z3960" t="s">
        <v>29535</v>
      </c>
      <c r="AA3960">
        <v>0.40719490603525182</v>
      </c>
      <c r="AB3960" t="str">
        <f>HYPERLINK("Melting_Curves/meltCurve_Q6NYC8_PPP1R18.pdf", "Melting_Curves/meltCurve_Q6NYC8_PPP1R18.pdf")</f>
        <v>Melting_Curves/meltCurve_Q6NYC8_PPP1R18.pdf</v>
      </c>
    </row>
    <row r="3961" spans="1:28" x14ac:dyDescent="0.25">
      <c r="A3961" t="s">
        <v>3965</v>
      </c>
      <c r="B3961">
        <v>0.99673306730245903</v>
      </c>
      <c r="C3961">
        <v>0.94349618163577598</v>
      </c>
      <c r="D3961">
        <v>1.23459124007313</v>
      </c>
      <c r="E3961">
        <v>1.74402355965416</v>
      </c>
      <c r="F3961">
        <v>0.75283140239372603</v>
      </c>
      <c r="G3961">
        <v>0.43659698896232102</v>
      </c>
      <c r="H3961">
        <v>0.27981080245158102</v>
      </c>
      <c r="I3961">
        <v>0.30225390084429699</v>
      </c>
      <c r="J3961">
        <v>0.28937647660589899</v>
      </c>
      <c r="K3961">
        <v>0.31074459868554799</v>
      </c>
      <c r="L3961">
        <v>5191.0294233511104</v>
      </c>
      <c r="M3961">
        <v>97.0016114724787</v>
      </c>
      <c r="N3961">
        <v>54.094037578168503</v>
      </c>
      <c r="O3961">
        <v>53.492144684813297</v>
      </c>
      <c r="P3961">
        <v>-0.30690728064905798</v>
      </c>
      <c r="Q3961">
        <v>0.323016292823604</v>
      </c>
      <c r="R3961">
        <v>0.71976212980295096</v>
      </c>
      <c r="S3961" t="s">
        <v>10413</v>
      </c>
      <c r="T3961" t="s">
        <v>12902</v>
      </c>
      <c r="U3961" t="s">
        <v>12902</v>
      </c>
      <c r="V3961" t="s">
        <v>12902</v>
      </c>
      <c r="W3961" t="s">
        <v>16816</v>
      </c>
      <c r="X3961">
        <v>8</v>
      </c>
      <c r="Y3961" t="s">
        <v>23127</v>
      </c>
      <c r="Z3961" t="s">
        <v>29536</v>
      </c>
      <c r="AA3961">
        <v>0.62841755943393141</v>
      </c>
      <c r="AB3961" t="str">
        <f>HYPERLINK("Melting_Curves/meltCurve_Q6NZY4_ZCCHC8.pdf", "Melting_Curves/meltCurve_Q6NZY4_ZCCHC8.pdf")</f>
        <v>Melting_Curves/meltCurve_Q6NZY4_ZCCHC8.pdf</v>
      </c>
    </row>
    <row r="3962" spans="1:28" x14ac:dyDescent="0.25">
      <c r="A3962" t="s">
        <v>3966</v>
      </c>
      <c r="B3962">
        <v>0.99673306730245903</v>
      </c>
      <c r="C3962">
        <v>0.98114622799937601</v>
      </c>
      <c r="D3962">
        <v>0.86580159912233401</v>
      </c>
      <c r="E3962">
        <v>0.61981114831611095</v>
      </c>
      <c r="F3962">
        <v>0.296711622015567</v>
      </c>
      <c r="G3962">
        <v>0.15582025794460599</v>
      </c>
      <c r="H3962">
        <v>9.3386849796552499E-2</v>
      </c>
      <c r="I3962">
        <v>6.9241662237520596E-2</v>
      </c>
      <c r="J3962">
        <v>6.4798492482540104E-2</v>
      </c>
      <c r="K3962">
        <v>5.9507716895099802E-2</v>
      </c>
      <c r="L3962">
        <v>997.36175883984401</v>
      </c>
      <c r="M3962">
        <v>19.766653692349099</v>
      </c>
      <c r="N3962">
        <v>50.770890613675697</v>
      </c>
      <c r="O3962">
        <v>49.948875950262398</v>
      </c>
      <c r="P3962">
        <v>-9.3243450197981206E-2</v>
      </c>
      <c r="Q3962">
        <v>5.7554846666851303E-2</v>
      </c>
      <c r="R3962">
        <v>0.99961553069762199</v>
      </c>
      <c r="S3962" t="s">
        <v>10414</v>
      </c>
      <c r="T3962" t="s">
        <v>12902</v>
      </c>
      <c r="U3962" t="s">
        <v>12902</v>
      </c>
      <c r="V3962" t="s">
        <v>12902</v>
      </c>
      <c r="W3962" t="s">
        <v>16817</v>
      </c>
      <c r="X3962">
        <v>6</v>
      </c>
      <c r="Y3962" t="s">
        <v>23128</v>
      </c>
      <c r="Z3962" t="s">
        <v>29537</v>
      </c>
      <c r="AA3962">
        <v>0.39945088055724348</v>
      </c>
      <c r="AB3962" t="str">
        <f>HYPERLINK("Melting_Curves/meltCurve_Q6P087_2_RPUSD3.pdf", "Melting_Curves/meltCurve_Q6P087_2_RPUSD3.pdf")</f>
        <v>Melting_Curves/meltCurve_Q6P087_2_RPUSD3.pdf</v>
      </c>
    </row>
    <row r="3963" spans="1:28" x14ac:dyDescent="0.25">
      <c r="A3963" t="s">
        <v>3967</v>
      </c>
      <c r="B3963">
        <v>0.99673306730245903</v>
      </c>
      <c r="C3963">
        <v>0.942193852405525</v>
      </c>
      <c r="D3963">
        <v>0.90584273302743201</v>
      </c>
      <c r="E3963">
        <v>0.73365219029385198</v>
      </c>
      <c r="F3963">
        <v>0.39485837579535299</v>
      </c>
      <c r="G3963">
        <v>0.212206833544233</v>
      </c>
      <c r="H3963">
        <v>0.18184113753516001</v>
      </c>
      <c r="I3963">
        <v>0.16033240544956401</v>
      </c>
      <c r="J3963">
        <v>0.158616279157235</v>
      </c>
      <c r="K3963">
        <v>0.12364448998204799</v>
      </c>
      <c r="L3963">
        <v>1092.1414668376999</v>
      </c>
      <c r="M3963">
        <v>21.346207072054401</v>
      </c>
      <c r="N3963">
        <v>51.959685963845097</v>
      </c>
      <c r="O3963">
        <v>50.7205765071324</v>
      </c>
      <c r="P3963">
        <v>-9.0536915120436601E-2</v>
      </c>
      <c r="Q3963">
        <v>0.13952494187753001</v>
      </c>
      <c r="R3963">
        <v>0.99649795500883598</v>
      </c>
      <c r="S3963" t="s">
        <v>10415</v>
      </c>
      <c r="T3963" t="s">
        <v>12902</v>
      </c>
      <c r="U3963" t="s">
        <v>12902</v>
      </c>
      <c r="V3963" t="s">
        <v>12902</v>
      </c>
      <c r="W3963" t="s">
        <v>16818</v>
      </c>
      <c r="X3963">
        <v>8</v>
      </c>
      <c r="Y3963" t="s">
        <v>23129</v>
      </c>
      <c r="Z3963" t="s">
        <v>29538</v>
      </c>
      <c r="AA3963">
        <v>0.47028024345467218</v>
      </c>
      <c r="AB3963" t="str">
        <f>HYPERLINK("Melting_Curves/meltCurve_Q6P158_DHX57.pdf", "Melting_Curves/meltCurve_Q6P158_DHX57.pdf")</f>
        <v>Melting_Curves/meltCurve_Q6P158_DHX57.pdf</v>
      </c>
    </row>
    <row r="3964" spans="1:28" x14ac:dyDescent="0.25">
      <c r="A3964" t="s">
        <v>3968</v>
      </c>
      <c r="B3964">
        <v>0.99673306730245903</v>
      </c>
      <c r="C3964">
        <v>0.98006157243971204</v>
      </c>
      <c r="D3964">
        <v>1.1260392129296899</v>
      </c>
      <c r="E3964">
        <v>1.13014397248834</v>
      </c>
      <c r="F3964">
        <v>0.87982419083281305</v>
      </c>
      <c r="G3964">
        <v>0.51698195522416301</v>
      </c>
      <c r="H3964">
        <v>0.28638904043392199</v>
      </c>
      <c r="I3964">
        <v>0.49659049234085401</v>
      </c>
      <c r="J3964">
        <v>0.65649527607717295</v>
      </c>
      <c r="K3964">
        <v>0.79561489680068798</v>
      </c>
      <c r="L3964">
        <v>13353.6440337407</v>
      </c>
      <c r="M3964">
        <v>250</v>
      </c>
      <c r="O3964">
        <v>53.411158105775698</v>
      </c>
      <c r="P3964">
        <v>-0.52609055737524801</v>
      </c>
      <c r="Q3964">
        <v>0.55041430677764702</v>
      </c>
      <c r="R3964">
        <v>0.76143952559957295</v>
      </c>
      <c r="S3964" t="s">
        <v>10416</v>
      </c>
      <c r="T3964" t="s">
        <v>12902</v>
      </c>
      <c r="U3964" t="s">
        <v>12902</v>
      </c>
      <c r="V3964" t="s">
        <v>12902</v>
      </c>
      <c r="W3964" t="s">
        <v>16819</v>
      </c>
      <c r="X3964">
        <v>1</v>
      </c>
      <c r="Y3964" t="s">
        <v>23130</v>
      </c>
      <c r="Z3964" t="s">
        <v>29539</v>
      </c>
      <c r="AA3964">
        <v>0.75148983542459347</v>
      </c>
      <c r="AB3964" t="str">
        <f>HYPERLINK("Melting_Curves/meltCurve_Q6P161_MRPL54.pdf", "Melting_Curves/meltCurve_Q6P161_MRPL54.pdf")</f>
        <v>Melting_Curves/meltCurve_Q6P161_MRPL54.pdf</v>
      </c>
    </row>
    <row r="3965" spans="1:28" x14ac:dyDescent="0.25">
      <c r="A3965" t="s">
        <v>3969</v>
      </c>
      <c r="B3965">
        <v>0.99673306730245903</v>
      </c>
      <c r="C3965">
        <v>1.0144552149185</v>
      </c>
      <c r="D3965">
        <v>1.0311762330765599</v>
      </c>
      <c r="E3965">
        <v>1.0292672405555401</v>
      </c>
      <c r="F3965">
        <v>0.90505444599593798</v>
      </c>
      <c r="G3965">
        <v>0.37278925253584499</v>
      </c>
      <c r="H3965">
        <v>0.15092770908324901</v>
      </c>
      <c r="I3965">
        <v>0.105932284275655</v>
      </c>
      <c r="J3965">
        <v>7.5702274429797697E-2</v>
      </c>
      <c r="K3965">
        <v>5.6402020382054101E-2</v>
      </c>
      <c r="L3965">
        <v>2362.3371011792701</v>
      </c>
      <c r="M3965">
        <v>42.333007520649801</v>
      </c>
      <c r="N3965">
        <v>56.058797201706199</v>
      </c>
      <c r="O3965">
        <v>55.679594065600099</v>
      </c>
      <c r="P3965">
        <v>-0.173420307130668</v>
      </c>
      <c r="Q3965">
        <v>8.7619485849844206E-2</v>
      </c>
      <c r="R3965">
        <v>0.99723703085355997</v>
      </c>
      <c r="S3965" t="s">
        <v>10417</v>
      </c>
      <c r="T3965" t="s">
        <v>12902</v>
      </c>
      <c r="U3965" t="s">
        <v>12902</v>
      </c>
      <c r="V3965" t="s">
        <v>12902</v>
      </c>
      <c r="W3965" t="s">
        <v>16820</v>
      </c>
      <c r="X3965">
        <v>4</v>
      </c>
      <c r="Y3965" t="s">
        <v>23131</v>
      </c>
      <c r="Z3965" t="s">
        <v>29540</v>
      </c>
      <c r="AA3965">
        <v>0.57137892009471936</v>
      </c>
      <c r="AB3965" t="str">
        <f>HYPERLINK("Melting_Curves/meltCurve_Q6P179_3_ERAP2.pdf", "Melting_Curves/meltCurve_Q6P179_3_ERAP2.pdf")</f>
        <v>Melting_Curves/meltCurve_Q6P179_3_ERAP2.pdf</v>
      </c>
    </row>
    <row r="3966" spans="1:28" x14ac:dyDescent="0.25">
      <c r="A3966" t="s">
        <v>3970</v>
      </c>
      <c r="B3966">
        <v>0.99673306730245903</v>
      </c>
      <c r="C3966">
        <v>0.88982261938870499</v>
      </c>
      <c r="D3966">
        <v>0.74129452986834798</v>
      </c>
      <c r="E3966">
        <v>0.279150089687426</v>
      </c>
      <c r="F3966">
        <v>0.149991257873509</v>
      </c>
      <c r="G3966">
        <v>0.103725809126347</v>
      </c>
      <c r="H3966">
        <v>6.7193714488143097E-2</v>
      </c>
      <c r="I3966">
        <v>7.6278337144992603E-2</v>
      </c>
      <c r="J3966">
        <v>7.0854380329415406E-2</v>
      </c>
      <c r="K3966">
        <v>6.6198417448556396E-2</v>
      </c>
      <c r="L3966">
        <v>1179.9210091735799</v>
      </c>
      <c r="M3966">
        <v>24.870925958900699</v>
      </c>
      <c r="N3966">
        <v>47.745062235843598</v>
      </c>
      <c r="O3966">
        <v>47.138264178657202</v>
      </c>
      <c r="P3966">
        <v>-0.122267626007125</v>
      </c>
      <c r="Q3966">
        <v>7.3069661621968707E-2</v>
      </c>
      <c r="R3966">
        <v>0.99613568370962502</v>
      </c>
      <c r="S3966" t="s">
        <v>10418</v>
      </c>
      <c r="T3966" t="s">
        <v>12902</v>
      </c>
      <c r="U3966" t="s">
        <v>12902</v>
      </c>
      <c r="V3966" t="s">
        <v>12902</v>
      </c>
      <c r="W3966" t="s">
        <v>16821</v>
      </c>
      <c r="X3966">
        <v>13</v>
      </c>
      <c r="Y3966" t="s">
        <v>23132</v>
      </c>
      <c r="Z3966" t="s">
        <v>29541</v>
      </c>
      <c r="AA3966">
        <v>0.31131749542974713</v>
      </c>
      <c r="AB3966" t="str">
        <f>HYPERLINK("Melting_Curves/meltCurve_Q6P1J9_CDC73.pdf", "Melting_Curves/meltCurve_Q6P1J9_CDC73.pdf")</f>
        <v>Melting_Curves/meltCurve_Q6P1J9_CDC73.pdf</v>
      </c>
    </row>
    <row r="3967" spans="1:28" x14ac:dyDescent="0.25">
      <c r="A3967" t="s">
        <v>3971</v>
      </c>
      <c r="B3967">
        <v>0.99673306730245903</v>
      </c>
      <c r="C3967">
        <v>0.87704601966441997</v>
      </c>
      <c r="D3967">
        <v>0.821251085825636</v>
      </c>
      <c r="E3967">
        <v>0.69821121810336895</v>
      </c>
      <c r="F3967">
        <v>0.36865695029837298</v>
      </c>
      <c r="G3967">
        <v>0.28814254587834698</v>
      </c>
      <c r="H3967">
        <v>0.198461740030556</v>
      </c>
      <c r="I3967">
        <v>0.16086480967052599</v>
      </c>
      <c r="J3967">
        <v>0.120524959000729</v>
      </c>
      <c r="K3967">
        <v>0.107685736426903</v>
      </c>
      <c r="L3967">
        <v>668.76410911703499</v>
      </c>
      <c r="M3967">
        <v>13.084896774743299</v>
      </c>
      <c r="N3967">
        <v>51.8692327599571</v>
      </c>
      <c r="O3967">
        <v>49.960053051856598</v>
      </c>
      <c r="P3967">
        <v>-5.9778024250496498E-2</v>
      </c>
      <c r="Q3967">
        <v>8.7191808702771698E-2</v>
      </c>
      <c r="R3967">
        <v>0.98933786099291898</v>
      </c>
      <c r="S3967" t="s">
        <v>10419</v>
      </c>
      <c r="T3967" t="s">
        <v>12902</v>
      </c>
      <c r="U3967" t="s">
        <v>12902</v>
      </c>
      <c r="V3967" t="s">
        <v>12902</v>
      </c>
      <c r="W3967" t="s">
        <v>16822</v>
      </c>
      <c r="X3967">
        <v>4</v>
      </c>
      <c r="Y3967" t="s">
        <v>23133</v>
      </c>
      <c r="Z3967" t="s">
        <v>29542</v>
      </c>
      <c r="AA3967">
        <v>0.45128274905240051</v>
      </c>
      <c r="AB3967" t="str">
        <f>HYPERLINK("Melting_Curves/meltCurve_Q6P1K2_4_PMF1.pdf", "Melting_Curves/meltCurve_Q6P1K2_4_PMF1.pdf")</f>
        <v>Melting_Curves/meltCurve_Q6P1K2_4_PMF1.pdf</v>
      </c>
    </row>
    <row r="3968" spans="1:28" x14ac:dyDescent="0.25">
      <c r="A3968" t="s">
        <v>3972</v>
      </c>
      <c r="B3968">
        <v>0.99673306730245903</v>
      </c>
      <c r="C3968">
        <v>0.98674927895338205</v>
      </c>
      <c r="D3968">
        <v>0.98323383709841194</v>
      </c>
      <c r="E3968">
        <v>0.72910074241985601</v>
      </c>
      <c r="F3968">
        <v>0.46675387091562098</v>
      </c>
      <c r="G3968">
        <v>0.36701962358774998</v>
      </c>
      <c r="H3968">
        <v>0.324188845828906</v>
      </c>
      <c r="I3968">
        <v>0.43195384409764498</v>
      </c>
      <c r="J3968">
        <v>0.63974718394527796</v>
      </c>
      <c r="K3968">
        <v>0.52810322800430498</v>
      </c>
      <c r="L3968">
        <v>2899.0540700557999</v>
      </c>
      <c r="M3968">
        <v>58.453535764425403</v>
      </c>
      <c r="N3968">
        <v>51.789187262095702</v>
      </c>
      <c r="O3968">
        <v>49.537923977513103</v>
      </c>
      <c r="P3968">
        <v>-0.15990397853010899</v>
      </c>
      <c r="Q3968">
        <v>0.45794159962821601</v>
      </c>
      <c r="R3968">
        <v>0.89702974362749099</v>
      </c>
      <c r="S3968" t="s">
        <v>10420</v>
      </c>
      <c r="T3968" t="s">
        <v>12902</v>
      </c>
      <c r="U3968" t="s">
        <v>12902</v>
      </c>
      <c r="V3968" t="s">
        <v>12902</v>
      </c>
      <c r="W3968" t="s">
        <v>16823</v>
      </c>
      <c r="X3968">
        <v>4</v>
      </c>
      <c r="Y3968" t="s">
        <v>23134</v>
      </c>
      <c r="Z3968" t="s">
        <v>29543</v>
      </c>
      <c r="AA3968">
        <v>0.63219206048226184</v>
      </c>
      <c r="AB3968" t="str">
        <f>HYPERLINK("Melting_Curves/meltCurve_Q6P1L5_FAM117B.pdf", "Melting_Curves/meltCurve_Q6P1L5_FAM117B.pdf")</f>
        <v>Melting_Curves/meltCurve_Q6P1L5_FAM117B.pdf</v>
      </c>
    </row>
    <row r="3969" spans="1:28" x14ac:dyDescent="0.25">
      <c r="A3969" t="s">
        <v>3973</v>
      </c>
      <c r="B3969">
        <v>0.99673306730245903</v>
      </c>
      <c r="C3969">
        <v>1.0216905574773301</v>
      </c>
      <c r="D3969">
        <v>0.90586266241721403</v>
      </c>
      <c r="E3969">
        <v>0.76310758988210603</v>
      </c>
      <c r="F3969">
        <v>0.33745887105181399</v>
      </c>
      <c r="G3969">
        <v>0.19314257416678299</v>
      </c>
      <c r="H3969">
        <v>0.10368647224244899</v>
      </c>
      <c r="I3969">
        <v>9.6330837962673097E-2</v>
      </c>
      <c r="J3969">
        <v>0.101872769723309</v>
      </c>
      <c r="K3969">
        <v>0.12717193412356101</v>
      </c>
      <c r="L3969">
        <v>1326.24753367266</v>
      </c>
      <c r="M3969">
        <v>25.855513976538401</v>
      </c>
      <c r="N3969">
        <v>51.761317539432298</v>
      </c>
      <c r="O3969">
        <v>50.9906787112647</v>
      </c>
      <c r="P3969">
        <v>-0.11358598050537901</v>
      </c>
      <c r="Q3969">
        <v>0.103980979717763</v>
      </c>
      <c r="R3969">
        <v>0.99609067553793096</v>
      </c>
      <c r="S3969" t="s">
        <v>10421</v>
      </c>
      <c r="T3969" t="s">
        <v>12902</v>
      </c>
      <c r="U3969" t="s">
        <v>12902</v>
      </c>
      <c r="V3969" t="s">
        <v>12902</v>
      </c>
      <c r="W3969" t="s">
        <v>16824</v>
      </c>
      <c r="X3969">
        <v>4</v>
      </c>
      <c r="Y3969" t="s">
        <v>23135</v>
      </c>
      <c r="Z3969" t="s">
        <v>29544</v>
      </c>
      <c r="AA3969">
        <v>0.448921458725758</v>
      </c>
      <c r="AB3969" t="str">
        <f>HYPERLINK("Melting_Curves/meltCurve_Q6P1L8_MRPL14.pdf", "Melting_Curves/meltCurve_Q6P1L8_MRPL14.pdf")</f>
        <v>Melting_Curves/meltCurve_Q6P1L8_MRPL14.pdf</v>
      </c>
    </row>
    <row r="3970" spans="1:28" x14ac:dyDescent="0.25">
      <c r="A3970" t="s">
        <v>3974</v>
      </c>
      <c r="B3970">
        <v>0.99673306730245903</v>
      </c>
      <c r="C3970">
        <v>0.90962882885956597</v>
      </c>
      <c r="D3970">
        <v>0.76962963989737398</v>
      </c>
      <c r="E3970">
        <v>0.493738843314248</v>
      </c>
      <c r="F3970">
        <v>0.138475488270425</v>
      </c>
      <c r="G3970">
        <v>9.7187119280768494E-2</v>
      </c>
      <c r="H3970">
        <v>5.6735364845694199E-2</v>
      </c>
      <c r="I3970">
        <v>5.0379934804582603E-2</v>
      </c>
      <c r="J3970">
        <v>6.1889151396132699E-2</v>
      </c>
      <c r="K3970">
        <v>5.6302608162935003E-2</v>
      </c>
      <c r="L3970">
        <v>988.04443858900299</v>
      </c>
      <c r="M3970">
        <v>20.2416736378037</v>
      </c>
      <c r="N3970">
        <v>49.029552284588902</v>
      </c>
      <c r="O3970">
        <v>48.343466714256898</v>
      </c>
      <c r="P3970">
        <v>-0.100191294859311</v>
      </c>
      <c r="Q3970">
        <v>4.2876826325805001E-2</v>
      </c>
      <c r="R3970">
        <v>0.99464443426190696</v>
      </c>
      <c r="S3970" t="s">
        <v>10422</v>
      </c>
      <c r="T3970" t="s">
        <v>12902</v>
      </c>
      <c r="U3970" t="s">
        <v>12902</v>
      </c>
      <c r="V3970" t="s">
        <v>12902</v>
      </c>
      <c r="W3970" t="s">
        <v>16825</v>
      </c>
      <c r="X3970">
        <v>10</v>
      </c>
      <c r="Y3970" t="s">
        <v>23136</v>
      </c>
      <c r="Z3970" t="s">
        <v>29545</v>
      </c>
      <c r="AA3970">
        <v>0.33713404203882408</v>
      </c>
      <c r="AB3970" t="str">
        <f>HYPERLINK("Melting_Curves/meltCurve_Q6P1M0_SLC27A4.pdf", "Melting_Curves/meltCurve_Q6P1M0_SLC27A4.pdf")</f>
        <v>Melting_Curves/meltCurve_Q6P1M0_SLC27A4.pdf</v>
      </c>
    </row>
    <row r="3971" spans="1:28" x14ac:dyDescent="0.25">
      <c r="A3971" t="s">
        <v>3975</v>
      </c>
      <c r="B3971">
        <v>0.99673306730245903</v>
      </c>
      <c r="C3971">
        <v>0.97947810772897903</v>
      </c>
      <c r="D3971">
        <v>0.92584498610607802</v>
      </c>
      <c r="E3971">
        <v>0.701793342720198</v>
      </c>
      <c r="F3971">
        <v>0.29805823460208403</v>
      </c>
      <c r="G3971">
        <v>0.201647995029518</v>
      </c>
      <c r="H3971">
        <v>0.14261414981654</v>
      </c>
      <c r="I3971">
        <v>0.119094017019445</v>
      </c>
      <c r="J3971">
        <v>0.12763642062736699</v>
      </c>
      <c r="K3971">
        <v>0.107149894353542</v>
      </c>
      <c r="L3971">
        <v>1314.03904283218</v>
      </c>
      <c r="M3971">
        <v>25.9152207579777</v>
      </c>
      <c r="N3971">
        <v>51.261535033188402</v>
      </c>
      <c r="O3971">
        <v>50.406266260115402</v>
      </c>
      <c r="P3971">
        <v>-0.112780393924622</v>
      </c>
      <c r="Q3971">
        <v>0.122558537828815</v>
      </c>
      <c r="R3971">
        <v>0.99815605988793499</v>
      </c>
      <c r="S3971" t="s">
        <v>10423</v>
      </c>
      <c r="T3971" t="s">
        <v>12902</v>
      </c>
      <c r="U3971" t="s">
        <v>12902</v>
      </c>
      <c r="V3971" t="s">
        <v>12902</v>
      </c>
      <c r="W3971" t="s">
        <v>16826</v>
      </c>
      <c r="X3971">
        <v>19</v>
      </c>
      <c r="Y3971" t="s">
        <v>23137</v>
      </c>
      <c r="Z3971" t="s">
        <v>29546</v>
      </c>
      <c r="AA3971">
        <v>0.44302493329427473</v>
      </c>
      <c r="AB3971" t="str">
        <f>HYPERLINK("Melting_Curves/meltCurve_Q6P1N0_CC2D1A.pdf", "Melting_Curves/meltCurve_Q6P1N0_CC2D1A.pdf")</f>
        <v>Melting_Curves/meltCurve_Q6P1N0_CC2D1A.pdf</v>
      </c>
    </row>
    <row r="3972" spans="1:28" x14ac:dyDescent="0.25">
      <c r="A3972" t="s">
        <v>3976</v>
      </c>
      <c r="B3972">
        <v>0.99673306730245903</v>
      </c>
      <c r="C3972">
        <v>0.915345515882237</v>
      </c>
      <c r="D3972">
        <v>0.50785275409356601</v>
      </c>
      <c r="E3972">
        <v>0.160586627895585</v>
      </c>
      <c r="F3972">
        <v>0.10223316970466199</v>
      </c>
      <c r="G3972">
        <v>6.1953615149579699E-2</v>
      </c>
      <c r="H3972">
        <v>4.5233248432330703E-2</v>
      </c>
      <c r="I3972">
        <v>4.65810276555342E-2</v>
      </c>
      <c r="J3972">
        <v>6.3868026869416006E-2</v>
      </c>
      <c r="K3972">
        <v>5.4355546172476503E-2</v>
      </c>
      <c r="L3972">
        <v>1386.4122928087399</v>
      </c>
      <c r="M3972">
        <v>30.186343317279999</v>
      </c>
      <c r="N3972">
        <v>46.123711276866501</v>
      </c>
      <c r="O3972">
        <v>45.7283135315528</v>
      </c>
      <c r="P3972">
        <v>-0.15513358508305999</v>
      </c>
      <c r="Q3972">
        <v>5.99786856782741E-2</v>
      </c>
      <c r="R3972">
        <v>0.99864883714947805</v>
      </c>
      <c r="S3972" t="s">
        <v>10424</v>
      </c>
      <c r="T3972" t="s">
        <v>12902</v>
      </c>
      <c r="U3972" t="s">
        <v>12902</v>
      </c>
      <c r="V3972" t="s">
        <v>12902</v>
      </c>
      <c r="W3972" t="s">
        <v>16827</v>
      </c>
      <c r="X3972">
        <v>6</v>
      </c>
      <c r="Y3972" t="s">
        <v>23138</v>
      </c>
      <c r="Z3972" t="s">
        <v>29547</v>
      </c>
      <c r="AA3972">
        <v>0.25140311173987501</v>
      </c>
      <c r="AB3972" t="str">
        <f>HYPERLINK("Melting_Curves/meltCurve_Q6P1Q9_METTL2B.pdf", "Melting_Curves/meltCurve_Q6P1Q9_METTL2B.pdf")</f>
        <v>Melting_Curves/meltCurve_Q6P1Q9_METTL2B.pdf</v>
      </c>
    </row>
    <row r="3973" spans="1:28" x14ac:dyDescent="0.25">
      <c r="A3973" t="s">
        <v>3977</v>
      </c>
      <c r="B3973">
        <v>0.99673306730245903</v>
      </c>
      <c r="C3973">
        <v>0.82091016460141697</v>
      </c>
      <c r="D3973">
        <v>0.55703163348371898</v>
      </c>
      <c r="E3973">
        <v>0.26124088295190701</v>
      </c>
      <c r="F3973">
        <v>0.156623732349471</v>
      </c>
      <c r="G3973">
        <v>0.10693708979986299</v>
      </c>
      <c r="H3973">
        <v>5.4677200295762403E-2</v>
      </c>
      <c r="I3973">
        <v>4.8297741671186903E-2</v>
      </c>
      <c r="J3973">
        <v>5.72610751348323E-2</v>
      </c>
      <c r="K3973">
        <v>6.2880191523755E-2</v>
      </c>
      <c r="L3973">
        <v>878.63731574846497</v>
      </c>
      <c r="M3973">
        <v>18.964699513738498</v>
      </c>
      <c r="N3973">
        <v>46.639876767333497</v>
      </c>
      <c r="O3973">
        <v>45.824235690275998</v>
      </c>
      <c r="P3973">
        <v>-9.7346576643866603E-2</v>
      </c>
      <c r="Q3973">
        <v>5.9167162537022602E-2</v>
      </c>
      <c r="R3973">
        <v>0.99706582990204595</v>
      </c>
      <c r="S3973" t="s">
        <v>10425</v>
      </c>
      <c r="T3973" t="s">
        <v>12902</v>
      </c>
      <c r="U3973" t="s">
        <v>12902</v>
      </c>
      <c r="V3973" t="s">
        <v>12902</v>
      </c>
      <c r="W3973" t="s">
        <v>16828</v>
      </c>
      <c r="X3973">
        <v>7</v>
      </c>
      <c r="Y3973" t="s">
        <v>23139</v>
      </c>
      <c r="Z3973" t="s">
        <v>29548</v>
      </c>
      <c r="AA3973">
        <v>0.27373889197739337</v>
      </c>
      <c r="AB3973" t="str">
        <f>HYPERLINK("Melting_Curves/meltCurve_Q6P1R4_DUS1L.pdf", "Melting_Curves/meltCurve_Q6P1R4_DUS1L.pdf")</f>
        <v>Melting_Curves/meltCurve_Q6P1R4_DUS1L.pdf</v>
      </c>
    </row>
    <row r="3974" spans="1:28" x14ac:dyDescent="0.25">
      <c r="A3974" t="s">
        <v>3978</v>
      </c>
      <c r="B3974">
        <v>0.99673306730245903</v>
      </c>
      <c r="C3974">
        <v>1.0333187248731599</v>
      </c>
      <c r="D3974">
        <v>0.98673942991467301</v>
      </c>
      <c r="E3974">
        <v>0.89290620464784098</v>
      </c>
      <c r="F3974">
        <v>0.70140179100912903</v>
      </c>
      <c r="G3974">
        <v>0.47541825233260498</v>
      </c>
      <c r="H3974">
        <v>0.146088762970981</v>
      </c>
      <c r="I3974">
        <v>0.10201651683192101</v>
      </c>
      <c r="J3974">
        <v>9.1198435421202304E-2</v>
      </c>
      <c r="K3974">
        <v>6.3822390692987202E-2</v>
      </c>
      <c r="L3974">
        <v>1052.7338453699299</v>
      </c>
      <c r="M3974">
        <v>18.9093727127016</v>
      </c>
      <c r="N3974">
        <v>55.883884460219797</v>
      </c>
      <c r="O3974">
        <v>55.061164878099802</v>
      </c>
      <c r="P3974">
        <v>-8.2897497438906606E-2</v>
      </c>
      <c r="Q3974">
        <v>3.4500523820343798E-2</v>
      </c>
      <c r="R3974">
        <v>0.99526452281437805</v>
      </c>
      <c r="S3974" t="s">
        <v>10426</v>
      </c>
      <c r="T3974" t="s">
        <v>12902</v>
      </c>
      <c r="U3974" t="s">
        <v>12902</v>
      </c>
      <c r="V3974" t="s">
        <v>12902</v>
      </c>
      <c r="W3974" t="s">
        <v>16829</v>
      </c>
      <c r="X3974">
        <v>9</v>
      </c>
      <c r="Y3974" t="s">
        <v>23140</v>
      </c>
      <c r="Z3974" t="s">
        <v>29549</v>
      </c>
      <c r="AA3974">
        <v>0.55249179748899813</v>
      </c>
      <c r="AB3974" t="str">
        <f>HYPERLINK("Melting_Curves/meltCurve_Q6P1X6_C8orf82.pdf", "Melting_Curves/meltCurve_Q6P1X6_C8orf82.pdf")</f>
        <v>Melting_Curves/meltCurve_Q6P1X6_C8orf82.pdf</v>
      </c>
    </row>
    <row r="3975" spans="1:28" x14ac:dyDescent="0.25">
      <c r="A3975" t="s">
        <v>3979</v>
      </c>
      <c r="B3975">
        <v>0.99673306730245903</v>
      </c>
      <c r="C3975">
        <v>0.90363908984464303</v>
      </c>
      <c r="D3975">
        <v>0.92032746770439</v>
      </c>
      <c r="E3975">
        <v>1.03587141499713</v>
      </c>
      <c r="F3975">
        <v>0.40901435905241301</v>
      </c>
      <c r="G3975">
        <v>0.19190519905835601</v>
      </c>
      <c r="H3975">
        <v>0.118964501838416</v>
      </c>
      <c r="I3975">
        <v>0.118161586843396</v>
      </c>
      <c r="J3975">
        <v>0.111964968039033</v>
      </c>
      <c r="K3975">
        <v>9.6806564793950001E-2</v>
      </c>
      <c r="L3975">
        <v>6060.3431493539501</v>
      </c>
      <c r="M3975">
        <v>114.656733424094</v>
      </c>
      <c r="N3975">
        <v>52.9924270317644</v>
      </c>
      <c r="O3975">
        <v>52.8403401651697</v>
      </c>
      <c r="P3975">
        <v>-0.47331780207144902</v>
      </c>
      <c r="Q3975">
        <v>0.127473136225418</v>
      </c>
      <c r="R3975">
        <v>0.98581114076953502</v>
      </c>
      <c r="S3975" t="s">
        <v>10427</v>
      </c>
      <c r="T3975" t="s">
        <v>12902</v>
      </c>
      <c r="U3975" t="s">
        <v>12902</v>
      </c>
      <c r="V3975" t="s">
        <v>12902</v>
      </c>
      <c r="W3975" t="s">
        <v>16830</v>
      </c>
      <c r="X3975">
        <v>10</v>
      </c>
      <c r="Y3975" t="s">
        <v>23141</v>
      </c>
      <c r="Z3975" t="s">
        <v>29550</v>
      </c>
      <c r="AA3975">
        <v>0.50177698136512605</v>
      </c>
      <c r="AB3975" t="str">
        <f>HYPERLINK("Melting_Curves/meltCurve_Q6P275_STAG1.pdf", "Melting_Curves/meltCurve_Q6P275_STAG1.pdf")</f>
        <v>Melting_Curves/meltCurve_Q6P275_STAG1.pdf</v>
      </c>
    </row>
    <row r="3976" spans="1:28" x14ac:dyDescent="0.25">
      <c r="A3976" t="s">
        <v>3980</v>
      </c>
      <c r="B3976">
        <v>0.99673306730245903</v>
      </c>
      <c r="C3976">
        <v>0.88596654231034599</v>
      </c>
      <c r="D3976">
        <v>0.88854549964975404</v>
      </c>
      <c r="E3976">
        <v>0.71558113843559101</v>
      </c>
      <c r="F3976">
        <v>0.347921641888575</v>
      </c>
      <c r="G3976">
        <v>0.26205205376586399</v>
      </c>
      <c r="H3976">
        <v>0.111065304651421</v>
      </c>
      <c r="I3976">
        <v>7.3068432401323394E-2</v>
      </c>
      <c r="J3976">
        <v>7.1524181139741905E-2</v>
      </c>
      <c r="K3976">
        <v>6.3021510378808099E-2</v>
      </c>
      <c r="L3976">
        <v>826.859231240442</v>
      </c>
      <c r="M3976">
        <v>16.035405015171101</v>
      </c>
      <c r="N3976">
        <v>51.863436759103799</v>
      </c>
      <c r="O3976">
        <v>50.782652443242</v>
      </c>
      <c r="P3976">
        <v>-7.5463697405414795E-2</v>
      </c>
      <c r="Q3976">
        <v>4.4127998446174703E-2</v>
      </c>
      <c r="R3976">
        <v>0.98981212893248605</v>
      </c>
      <c r="S3976" t="s">
        <v>10428</v>
      </c>
      <c r="T3976" t="s">
        <v>12902</v>
      </c>
      <c r="U3976" t="s">
        <v>12902</v>
      </c>
      <c r="V3976" t="s">
        <v>12902</v>
      </c>
      <c r="W3976" t="s">
        <v>16831</v>
      </c>
      <c r="X3976">
        <v>36</v>
      </c>
      <c r="Y3976" t="s">
        <v>23142</v>
      </c>
      <c r="Z3976" t="s">
        <v>29551</v>
      </c>
      <c r="AA3976">
        <v>0.43207353097318152</v>
      </c>
      <c r="AB3976" t="str">
        <f>HYPERLINK("Melting_Curves/meltCurve_Q6P2E9_EDC4.pdf", "Melting_Curves/meltCurve_Q6P2E9_EDC4.pdf")</f>
        <v>Melting_Curves/meltCurve_Q6P2E9_EDC4.pdf</v>
      </c>
    </row>
    <row r="3977" spans="1:28" x14ac:dyDescent="0.25">
      <c r="A3977" t="s">
        <v>3981</v>
      </c>
      <c r="B3977">
        <v>0.99673306730245903</v>
      </c>
      <c r="C3977">
        <v>0.69633655835699904</v>
      </c>
      <c r="D3977">
        <v>0.67658558731215102</v>
      </c>
      <c r="E3977">
        <v>0.384109148181497</v>
      </c>
      <c r="F3977">
        <v>0.32209047463706902</v>
      </c>
      <c r="G3977">
        <v>0.123788598979561</v>
      </c>
      <c r="H3977">
        <v>8.7694194036964795E-2</v>
      </c>
      <c r="I3977">
        <v>9.4571242970008795E-2</v>
      </c>
      <c r="J3977">
        <v>0.15852970144203599</v>
      </c>
      <c r="K3977">
        <v>0.118068715597846</v>
      </c>
      <c r="L3977">
        <v>607.28984364521602</v>
      </c>
      <c r="M3977">
        <v>12.861158428165099</v>
      </c>
      <c r="N3977">
        <v>47.917386188686002</v>
      </c>
      <c r="O3977">
        <v>46.121025991885503</v>
      </c>
      <c r="P3977">
        <v>-6.3767136412662004E-2</v>
      </c>
      <c r="Q3977">
        <v>8.5474582255386705E-2</v>
      </c>
      <c r="R3977">
        <v>0.96295979883227001</v>
      </c>
      <c r="S3977" t="s">
        <v>10429</v>
      </c>
      <c r="T3977" t="s">
        <v>12902</v>
      </c>
      <c r="U3977" t="s">
        <v>12902</v>
      </c>
      <c r="V3977" t="s">
        <v>12902</v>
      </c>
      <c r="W3977" t="s">
        <v>16832</v>
      </c>
      <c r="X3977">
        <v>2</v>
      </c>
      <c r="Y3977" t="s">
        <v>23143</v>
      </c>
      <c r="Z3977" t="s">
        <v>29552</v>
      </c>
      <c r="AA3977">
        <v>0.33875089393261731</v>
      </c>
      <c r="AB3977" t="str">
        <f>HYPERLINK("Melting_Curves/meltCurve_Q6P2H3_2_CEP85.pdf", "Melting_Curves/meltCurve_Q6P2H3_2_CEP85.pdf")</f>
        <v>Melting_Curves/meltCurve_Q6P2H3_2_CEP85.pdf</v>
      </c>
    </row>
    <row r="3978" spans="1:28" x14ac:dyDescent="0.25">
      <c r="A3978" t="s">
        <v>3982</v>
      </c>
      <c r="B3978">
        <v>0.99673306730245903</v>
      </c>
      <c r="C3978">
        <v>0.90145644711067796</v>
      </c>
      <c r="D3978">
        <v>0.99624839494595097</v>
      </c>
      <c r="E3978">
        <v>0.72350807651865601</v>
      </c>
      <c r="F3978">
        <v>0.32739801236510202</v>
      </c>
      <c r="G3978">
        <v>0.210619919534486</v>
      </c>
      <c r="H3978">
        <v>0.14061074518323199</v>
      </c>
      <c r="I3978">
        <v>0.14986635735936099</v>
      </c>
      <c r="J3978">
        <v>0.17828035385212901</v>
      </c>
      <c r="K3978">
        <v>0.157337180363472</v>
      </c>
      <c r="L3978">
        <v>1542.53687807501</v>
      </c>
      <c r="M3978">
        <v>30.360463132978801</v>
      </c>
      <c r="N3978">
        <v>51.453886389880402</v>
      </c>
      <c r="O3978">
        <v>50.588523582746703</v>
      </c>
      <c r="P3978">
        <v>-0.126246804065379</v>
      </c>
      <c r="Q3978">
        <v>0.15856359690465799</v>
      </c>
      <c r="R3978">
        <v>0.99109324684832001</v>
      </c>
      <c r="S3978" t="s">
        <v>10430</v>
      </c>
      <c r="T3978" t="s">
        <v>12902</v>
      </c>
      <c r="U3978" t="s">
        <v>12902</v>
      </c>
      <c r="V3978" t="s">
        <v>12902</v>
      </c>
      <c r="W3978" t="s">
        <v>16833</v>
      </c>
      <c r="X3978">
        <v>8</v>
      </c>
      <c r="Y3978" t="s">
        <v>23144</v>
      </c>
      <c r="Z3978" t="s">
        <v>29553</v>
      </c>
      <c r="AA3978">
        <v>0.46683771695155379</v>
      </c>
      <c r="AB3978" t="str">
        <f>HYPERLINK("Melting_Curves/meltCurve_Q6P2P2_PRMT10.pdf", "Melting_Curves/meltCurve_Q6P2P2_PRMT10.pdf")</f>
        <v>Melting_Curves/meltCurve_Q6P2P2_PRMT10.pdf</v>
      </c>
    </row>
    <row r="3979" spans="1:28" x14ac:dyDescent="0.25">
      <c r="A3979" t="s">
        <v>3983</v>
      </c>
      <c r="B3979">
        <v>0.99673306730245903</v>
      </c>
      <c r="C3979">
        <v>0.88903690151409398</v>
      </c>
      <c r="D3979">
        <v>0.99459464551471299</v>
      </c>
      <c r="E3979">
        <v>0.97387945408205101</v>
      </c>
      <c r="F3979">
        <v>0.33522762106165799</v>
      </c>
      <c r="G3979">
        <v>0.20717350401989601</v>
      </c>
      <c r="H3979">
        <v>0.12705564857785601</v>
      </c>
      <c r="I3979">
        <v>0.102306814312424</v>
      </c>
      <c r="J3979">
        <v>0.110456756878659</v>
      </c>
      <c r="K3979">
        <v>9.1782092901018894E-2</v>
      </c>
      <c r="L3979">
        <v>3061.0698809215</v>
      </c>
      <c r="M3979">
        <v>58.652154940445698</v>
      </c>
      <c r="N3979">
        <v>52.448106218782598</v>
      </c>
      <c r="O3979">
        <v>52.129669603868997</v>
      </c>
      <c r="P3979">
        <v>-0.24604744748210799</v>
      </c>
      <c r="Q3979">
        <v>0.125258644733696</v>
      </c>
      <c r="R3979">
        <v>0.98746000192443895</v>
      </c>
      <c r="S3979" t="s">
        <v>10431</v>
      </c>
      <c r="T3979" t="s">
        <v>12902</v>
      </c>
      <c r="U3979" t="s">
        <v>12902</v>
      </c>
      <c r="V3979" t="s">
        <v>12902</v>
      </c>
      <c r="W3979" t="s">
        <v>16834</v>
      </c>
      <c r="X3979">
        <v>21</v>
      </c>
      <c r="Y3979" t="s">
        <v>23145</v>
      </c>
      <c r="Z3979" t="s">
        <v>29554</v>
      </c>
      <c r="AA3979">
        <v>0.48216333538684553</v>
      </c>
      <c r="AB3979" t="str">
        <f>HYPERLINK("Melting_Curves/meltCurve_Q6P2Q9_PRPF8.pdf", "Melting_Curves/meltCurve_Q6P2Q9_PRPF8.pdf")</f>
        <v>Melting_Curves/meltCurve_Q6P2Q9_PRPF8.pdf</v>
      </c>
    </row>
    <row r="3980" spans="1:28" x14ac:dyDescent="0.25">
      <c r="A3980" t="s">
        <v>3984</v>
      </c>
      <c r="B3980">
        <v>0.99673306730245903</v>
      </c>
      <c r="C3980">
        <v>1.0361184936704999</v>
      </c>
      <c r="D3980">
        <v>0.92060661189662196</v>
      </c>
      <c r="E3980">
        <v>0.80943211385915104</v>
      </c>
      <c r="F3980">
        <v>0.57600587259653202</v>
      </c>
      <c r="G3980">
        <v>0.18849946513319599</v>
      </c>
      <c r="H3980">
        <v>0.121386535393013</v>
      </c>
      <c r="I3980">
        <v>0.108557771956258</v>
      </c>
      <c r="J3980">
        <v>0.153232792514574</v>
      </c>
      <c r="K3980">
        <v>0.106849333415634</v>
      </c>
      <c r="L3980">
        <v>1253.07918983942</v>
      </c>
      <c r="M3980">
        <v>23.7049737371178</v>
      </c>
      <c r="N3980">
        <v>53.370336118478498</v>
      </c>
      <c r="O3980">
        <v>52.489563404921199</v>
      </c>
      <c r="P3980">
        <v>-0.101484544160058</v>
      </c>
      <c r="Q3980">
        <v>0.101152202967895</v>
      </c>
      <c r="R3980">
        <v>0.98978767293493497</v>
      </c>
      <c r="S3980" t="s">
        <v>10432</v>
      </c>
      <c r="T3980" t="s">
        <v>12902</v>
      </c>
      <c r="U3980" t="s">
        <v>12902</v>
      </c>
      <c r="V3980" t="s">
        <v>12902</v>
      </c>
      <c r="W3980" t="s">
        <v>16835</v>
      </c>
      <c r="X3980">
        <v>2</v>
      </c>
      <c r="Y3980" t="s">
        <v>23146</v>
      </c>
      <c r="Z3980" t="s">
        <v>29555</v>
      </c>
      <c r="AA3980">
        <v>0.49563310537359401</v>
      </c>
      <c r="AB3980" t="str">
        <f>HYPERLINK("Melting_Curves/meltCurve_Q6P3S6_FBXO42.pdf", "Melting_Curves/meltCurve_Q6P3S6_FBXO42.pdf")</f>
        <v>Melting_Curves/meltCurve_Q6P3S6_FBXO42.pdf</v>
      </c>
    </row>
    <row r="3981" spans="1:28" x14ac:dyDescent="0.25">
      <c r="A3981" t="s">
        <v>3985</v>
      </c>
      <c r="B3981">
        <v>0.99673306730245903</v>
      </c>
      <c r="C3981">
        <v>0.96802399717955401</v>
      </c>
      <c r="D3981">
        <v>0.95947491007475005</v>
      </c>
      <c r="E3981">
        <v>0.89160365908820904</v>
      </c>
      <c r="F3981">
        <v>0.47468474380450898</v>
      </c>
      <c r="G3981">
        <v>0.29726632279753601</v>
      </c>
      <c r="H3981">
        <v>0.29411128053816799</v>
      </c>
      <c r="I3981">
        <v>0.31320140868045898</v>
      </c>
      <c r="J3981">
        <v>0.36897179118027501</v>
      </c>
      <c r="K3981">
        <v>0.200508656155755</v>
      </c>
      <c r="L3981">
        <v>2017.2868024360901</v>
      </c>
      <c r="M3981">
        <v>38.981481609699699</v>
      </c>
      <c r="N3981">
        <v>52.9302390955677</v>
      </c>
      <c r="O3981">
        <v>51.614246275523101</v>
      </c>
      <c r="P3981">
        <v>-0.13398472528939601</v>
      </c>
      <c r="Q3981">
        <v>0.29038051772253098</v>
      </c>
      <c r="R3981">
        <v>0.98273611972737196</v>
      </c>
      <c r="S3981" t="s">
        <v>10433</v>
      </c>
      <c r="T3981" t="s">
        <v>12902</v>
      </c>
      <c r="U3981" t="s">
        <v>12902</v>
      </c>
      <c r="V3981" t="s">
        <v>12902</v>
      </c>
      <c r="W3981" t="s">
        <v>16836</v>
      </c>
      <c r="X3981">
        <v>12</v>
      </c>
      <c r="Y3981" t="s">
        <v>23147</v>
      </c>
      <c r="Z3981" t="s">
        <v>29556</v>
      </c>
      <c r="AA3981">
        <v>0.57098445625393746</v>
      </c>
      <c r="AB3981" t="str">
        <f>HYPERLINK("Melting_Curves/meltCurve_Q6P3W7_SCYL2.pdf", "Melting_Curves/meltCurve_Q6P3W7_SCYL2.pdf")</f>
        <v>Melting_Curves/meltCurve_Q6P3W7_SCYL2.pdf</v>
      </c>
    </row>
    <row r="3982" spans="1:28" x14ac:dyDescent="0.25">
      <c r="A3982" t="s">
        <v>3986</v>
      </c>
      <c r="B3982">
        <v>0.99673306730245903</v>
      </c>
      <c r="C3982">
        <v>0.85879133205992098</v>
      </c>
      <c r="D3982">
        <v>0.48423394094333899</v>
      </c>
      <c r="E3982">
        <v>0.18034261085744399</v>
      </c>
      <c r="F3982">
        <v>0.12765322083918401</v>
      </c>
      <c r="G3982">
        <v>8.3919973779080503E-2</v>
      </c>
      <c r="H3982">
        <v>4.8133527986408103E-2</v>
      </c>
      <c r="I3982">
        <v>4.2186181382669899E-2</v>
      </c>
      <c r="J3982">
        <v>3.6989726459027303E-2</v>
      </c>
      <c r="K3982">
        <v>2.91719069134737E-2</v>
      </c>
      <c r="L3982">
        <v>1116.01534996643</v>
      </c>
      <c r="M3982">
        <v>24.372489893201699</v>
      </c>
      <c r="N3982">
        <v>46.001957893161801</v>
      </c>
      <c r="O3982">
        <v>45.485022608740103</v>
      </c>
      <c r="P3982">
        <v>-0.126845506664826</v>
      </c>
      <c r="Q3982">
        <v>5.3114933047909998E-2</v>
      </c>
      <c r="R3982">
        <v>0.99627276388197705</v>
      </c>
      <c r="S3982" t="s">
        <v>10434</v>
      </c>
      <c r="T3982" t="s">
        <v>12902</v>
      </c>
      <c r="U3982" t="s">
        <v>12902</v>
      </c>
      <c r="V3982" t="s">
        <v>12902</v>
      </c>
      <c r="W3982" t="s">
        <v>16837</v>
      </c>
      <c r="X3982">
        <v>16</v>
      </c>
      <c r="Y3982" t="s">
        <v>23148</v>
      </c>
      <c r="Z3982" t="s">
        <v>29557</v>
      </c>
      <c r="AA3982">
        <v>0.24525300514023701</v>
      </c>
      <c r="AB3982" t="str">
        <f>HYPERLINK("Melting_Curves/meltCurve_Q6P3X3_TTC27.pdf", "Melting_Curves/meltCurve_Q6P3X3_TTC27.pdf")</f>
        <v>Melting_Curves/meltCurve_Q6P3X3_TTC27.pdf</v>
      </c>
    </row>
    <row r="3983" spans="1:28" x14ac:dyDescent="0.25">
      <c r="A3983" t="s">
        <v>3987</v>
      </c>
      <c r="B3983">
        <v>0.99673306730245903</v>
      </c>
      <c r="C3983">
        <v>0.96570906812098201</v>
      </c>
      <c r="D3983">
        <v>0.92808925029684997</v>
      </c>
      <c r="E3983">
        <v>0.82764601420584205</v>
      </c>
      <c r="F3983">
        <v>0.79154869006115003</v>
      </c>
      <c r="G3983">
        <v>0.44967163378275499</v>
      </c>
      <c r="H3983">
        <v>0.33646884708085101</v>
      </c>
      <c r="I3983">
        <v>0.230755039482861</v>
      </c>
      <c r="J3983">
        <v>0.21780111598243501</v>
      </c>
      <c r="K3983">
        <v>0.182357684050724</v>
      </c>
      <c r="L3983">
        <v>809.74292982614304</v>
      </c>
      <c r="M3983">
        <v>14.5676462302996</v>
      </c>
      <c r="N3983">
        <v>56.835291070918302</v>
      </c>
      <c r="O3983">
        <v>54.569082913125698</v>
      </c>
      <c r="P3983">
        <v>-5.7596509486023302E-2</v>
      </c>
      <c r="Q3983">
        <v>0.13709253099105101</v>
      </c>
      <c r="R3983">
        <v>0.98599269768008102</v>
      </c>
      <c r="S3983" t="s">
        <v>10435</v>
      </c>
      <c r="T3983" t="s">
        <v>12902</v>
      </c>
      <c r="U3983" t="s">
        <v>12902</v>
      </c>
      <c r="V3983" t="s">
        <v>12902</v>
      </c>
      <c r="W3983" t="s">
        <v>16838</v>
      </c>
      <c r="X3983">
        <v>4</v>
      </c>
      <c r="Y3983" t="s">
        <v>23149</v>
      </c>
      <c r="Z3983" t="s">
        <v>29558</v>
      </c>
      <c r="AA3983">
        <v>0.60170305263360746</v>
      </c>
      <c r="AB3983" t="str">
        <f>HYPERLINK("Melting_Curves/meltCurve_Q6P4A7_SFXN4.pdf", "Melting_Curves/meltCurve_Q6P4A7_SFXN4.pdf")</f>
        <v>Melting_Curves/meltCurve_Q6P4A7_SFXN4.pdf</v>
      </c>
    </row>
    <row r="3984" spans="1:28" x14ac:dyDescent="0.25">
      <c r="A3984" t="s">
        <v>3988</v>
      </c>
      <c r="B3984">
        <v>0.99673306730245903</v>
      </c>
      <c r="C3984">
        <v>0.97639235586744</v>
      </c>
      <c r="D3984">
        <v>0.98585433260866995</v>
      </c>
      <c r="E3984">
        <v>1.0089401239108</v>
      </c>
      <c r="F3984">
        <v>0.85541950850881399</v>
      </c>
      <c r="G3984">
        <v>0.77886272018523495</v>
      </c>
      <c r="H3984">
        <v>0.63395342222832296</v>
      </c>
      <c r="I3984">
        <v>0.820845975383107</v>
      </c>
      <c r="J3984">
        <v>0.84341677249545899</v>
      </c>
      <c r="K3984">
        <v>0.48607481232899002</v>
      </c>
      <c r="L3984">
        <v>1489.6972424691801</v>
      </c>
      <c r="M3984">
        <v>27.622013683841502</v>
      </c>
      <c r="O3984">
        <v>53.6512259344304</v>
      </c>
      <c r="P3984">
        <v>-3.9261783636169001E-2</v>
      </c>
      <c r="Q3984">
        <v>0.69496449427462703</v>
      </c>
      <c r="R3984">
        <v>0.665479826351841</v>
      </c>
      <c r="S3984" t="s">
        <v>10436</v>
      </c>
      <c r="T3984" t="s">
        <v>12902</v>
      </c>
      <c r="U3984" t="s">
        <v>12902</v>
      </c>
      <c r="V3984" t="s">
        <v>12902</v>
      </c>
      <c r="W3984" t="s">
        <v>16839</v>
      </c>
      <c r="X3984">
        <v>17</v>
      </c>
      <c r="Y3984" t="s">
        <v>23150</v>
      </c>
      <c r="Z3984" t="s">
        <v>29559</v>
      </c>
      <c r="AA3984">
        <v>0.83896260201443651</v>
      </c>
      <c r="AB3984" t="str">
        <f>HYPERLINK("Melting_Curves/meltCurve_Q6P4A8_PLBD1.pdf", "Melting_Curves/meltCurve_Q6P4A8_PLBD1.pdf")</f>
        <v>Melting_Curves/meltCurve_Q6P4A8_PLBD1.pdf</v>
      </c>
    </row>
    <row r="3985" spans="1:28" x14ac:dyDescent="0.25">
      <c r="A3985" t="s">
        <v>3989</v>
      </c>
      <c r="B3985">
        <v>0.99673306730245903</v>
      </c>
      <c r="C3985">
        <v>0.84430552144815696</v>
      </c>
      <c r="D3985">
        <v>0.73129310476674902</v>
      </c>
      <c r="E3985">
        <v>0.61967480248644002</v>
      </c>
      <c r="F3985">
        <v>0.67303623722551897</v>
      </c>
      <c r="G3985">
        <v>0.457702008380588</v>
      </c>
      <c r="H3985">
        <v>0.4372942296865</v>
      </c>
      <c r="I3985">
        <v>0.54922511077381997</v>
      </c>
      <c r="J3985">
        <v>0.77221841955467996</v>
      </c>
      <c r="K3985">
        <v>0.77695133325584198</v>
      </c>
      <c r="L3985">
        <v>1088.1302373067299</v>
      </c>
      <c r="M3985">
        <v>24.702018925771998</v>
      </c>
      <c r="O3985">
        <v>43.764587853981901</v>
      </c>
      <c r="P3985">
        <v>-5.5127774840601697E-2</v>
      </c>
      <c r="Q3985">
        <v>0.60932564040668802</v>
      </c>
      <c r="R3985">
        <v>0.57846141217769897</v>
      </c>
      <c r="S3985" t="s">
        <v>10437</v>
      </c>
      <c r="T3985" t="s">
        <v>12902</v>
      </c>
      <c r="U3985" t="s">
        <v>12902</v>
      </c>
      <c r="V3985" t="s">
        <v>12902</v>
      </c>
      <c r="W3985" t="s">
        <v>16840</v>
      </c>
      <c r="X3985">
        <v>4</v>
      </c>
      <c r="Y3985" t="s">
        <v>23151</v>
      </c>
      <c r="Z3985" t="s">
        <v>29560</v>
      </c>
      <c r="AA3985">
        <v>0.66663635660596698</v>
      </c>
      <c r="AB3985" t="str">
        <f>HYPERLINK("Melting_Curves/meltCurve_Q6P4E1_CASC4.pdf", "Melting_Curves/meltCurve_Q6P4E1_CASC4.pdf")</f>
        <v>Melting_Curves/meltCurve_Q6P4E1_CASC4.pdf</v>
      </c>
    </row>
    <row r="3986" spans="1:28" x14ac:dyDescent="0.25">
      <c r="A3986" t="s">
        <v>3990</v>
      </c>
      <c r="B3986">
        <v>0.99673306730245903</v>
      </c>
      <c r="C3986">
        <v>1.0225712036008401</v>
      </c>
      <c r="D3986">
        <v>1.0144021273821</v>
      </c>
      <c r="E3986">
        <v>0.97159565041209295</v>
      </c>
      <c r="F3986">
        <v>0.90363419038373705</v>
      </c>
      <c r="G3986">
        <v>0.76125152458168299</v>
      </c>
      <c r="H3986">
        <v>0.57063374229192099</v>
      </c>
      <c r="I3986">
        <v>0.68436847217065999</v>
      </c>
      <c r="J3986">
        <v>0.941862338179136</v>
      </c>
      <c r="K3986">
        <v>0.84964438503123196</v>
      </c>
      <c r="L3986">
        <v>3847.0743037982002</v>
      </c>
      <c r="M3986">
        <v>71.933344189188801</v>
      </c>
      <c r="O3986">
        <v>53.439811884884797</v>
      </c>
      <c r="P3986">
        <v>-8.0462529363658705E-2</v>
      </c>
      <c r="Q3986">
        <v>0.76089523276741999</v>
      </c>
      <c r="R3986">
        <v>0.60490723064565</v>
      </c>
      <c r="S3986" t="s">
        <v>10438</v>
      </c>
      <c r="T3986" t="s">
        <v>12902</v>
      </c>
      <c r="U3986" t="s">
        <v>12902</v>
      </c>
      <c r="V3986" t="s">
        <v>12902</v>
      </c>
      <c r="W3986" t="s">
        <v>16841</v>
      </c>
      <c r="X3986">
        <v>4</v>
      </c>
      <c r="Y3986" t="s">
        <v>23152</v>
      </c>
      <c r="Z3986" t="s">
        <v>29561</v>
      </c>
      <c r="AA3986">
        <v>0.86861347189230498</v>
      </c>
      <c r="AB3986" t="str">
        <f>HYPERLINK("Melting_Curves/meltCurve_Q6P4F2_FDX1L.pdf", "Melting_Curves/meltCurve_Q6P4F2_FDX1L.pdf")</f>
        <v>Melting_Curves/meltCurve_Q6P4F2_FDX1L.pdf</v>
      </c>
    </row>
    <row r="3987" spans="1:28" x14ac:dyDescent="0.25">
      <c r="A3987" t="s">
        <v>3991</v>
      </c>
      <c r="B3987">
        <v>0.99673306730245903</v>
      </c>
      <c r="C3987">
        <v>1.0020274229016699</v>
      </c>
      <c r="D3987">
        <v>1.1333682673296099</v>
      </c>
      <c r="E3987">
        <v>1.0141221987092499</v>
      </c>
      <c r="F3987">
        <v>0.36954287787504803</v>
      </c>
      <c r="G3987">
        <v>0.21935876345765901</v>
      </c>
      <c r="H3987">
        <v>0.11437176400256099</v>
      </c>
      <c r="I3987">
        <v>0.127856952991967</v>
      </c>
      <c r="J3987">
        <v>0.114721114971487</v>
      </c>
      <c r="K3987">
        <v>0.12230746708231199</v>
      </c>
      <c r="L3987">
        <v>4408.7031783544999</v>
      </c>
      <c r="M3987">
        <v>83.8686907846634</v>
      </c>
      <c r="N3987">
        <v>52.771999626850103</v>
      </c>
      <c r="O3987">
        <v>52.536869413112299</v>
      </c>
      <c r="P3987">
        <v>-0.343549700124543</v>
      </c>
      <c r="Q3987">
        <v>0.13917703409151899</v>
      </c>
      <c r="R3987">
        <v>0.98582682365683405</v>
      </c>
      <c r="S3987" t="s">
        <v>10439</v>
      </c>
      <c r="T3987" t="s">
        <v>12902</v>
      </c>
      <c r="U3987" t="s">
        <v>12902</v>
      </c>
      <c r="V3987" t="s">
        <v>12902</v>
      </c>
      <c r="W3987" t="s">
        <v>16842</v>
      </c>
      <c r="X3987">
        <v>1</v>
      </c>
      <c r="Y3987" t="s">
        <v>23153</v>
      </c>
      <c r="Z3987" t="s">
        <v>29562</v>
      </c>
      <c r="AA3987">
        <v>0.50047501654126192</v>
      </c>
      <c r="AB3987" t="str">
        <f>HYPERLINK("Melting_Curves/meltCurve_Q6P4G0_RECQL5.pdf", "Melting_Curves/meltCurve_Q6P4G0_RECQL5.pdf")</f>
        <v>Melting_Curves/meltCurve_Q6P4G0_RECQL5.pdf</v>
      </c>
    </row>
    <row r="3988" spans="1:28" x14ac:dyDescent="0.25">
      <c r="A3988" t="s">
        <v>3992</v>
      </c>
      <c r="B3988">
        <v>0.99673306730245903</v>
      </c>
      <c r="C3988">
        <v>0.969606886019173</v>
      </c>
      <c r="D3988">
        <v>0.96842024353078404</v>
      </c>
      <c r="E3988">
        <v>0.90495760916841805</v>
      </c>
      <c r="F3988">
        <v>0.74002101562255196</v>
      </c>
      <c r="G3988">
        <v>0.52119692398176098</v>
      </c>
      <c r="H3988">
        <v>0.211998029705562</v>
      </c>
      <c r="I3988">
        <v>0.19233638946862799</v>
      </c>
      <c r="J3988">
        <v>0.22483234515509901</v>
      </c>
      <c r="K3988">
        <v>0.117190076177484</v>
      </c>
      <c r="L3988">
        <v>1054.3750465798801</v>
      </c>
      <c r="M3988">
        <v>18.944025100922701</v>
      </c>
      <c r="N3988">
        <v>56.537163865111197</v>
      </c>
      <c r="O3988">
        <v>55.048321707596102</v>
      </c>
      <c r="P3988">
        <v>-7.50540616145072E-2</v>
      </c>
      <c r="Q3988">
        <v>0.127654525230356</v>
      </c>
      <c r="R3988">
        <v>0.99064849665216403</v>
      </c>
      <c r="S3988" t="s">
        <v>10440</v>
      </c>
      <c r="T3988" t="s">
        <v>12902</v>
      </c>
      <c r="U3988" t="s">
        <v>12902</v>
      </c>
      <c r="V3988" t="s">
        <v>12902</v>
      </c>
      <c r="W3988" t="s">
        <v>16843</v>
      </c>
      <c r="X3988">
        <v>3</v>
      </c>
      <c r="Y3988" t="s">
        <v>23154</v>
      </c>
      <c r="Z3988" t="s">
        <v>29563</v>
      </c>
      <c r="AA3988">
        <v>0.59520492696566274</v>
      </c>
      <c r="AB3988" t="str">
        <f>HYPERLINK("Melting_Curves/meltCurve_Q6P4I2_WDR73.pdf", "Melting_Curves/meltCurve_Q6P4I2_WDR73.pdf")</f>
        <v>Melting_Curves/meltCurve_Q6P4I2_WDR73.pdf</v>
      </c>
    </row>
    <row r="3989" spans="1:28" x14ac:dyDescent="0.25">
      <c r="A3989" t="s">
        <v>3993</v>
      </c>
      <c r="B3989">
        <v>0.99673306730245903</v>
      </c>
      <c r="C3989">
        <v>0.77668315012050004</v>
      </c>
      <c r="D3989">
        <v>0.40349549489751402</v>
      </c>
      <c r="E3989">
        <v>0.22497639896576499</v>
      </c>
      <c r="F3989">
        <v>0.147043989052629</v>
      </c>
      <c r="G3989">
        <v>0.104515001254792</v>
      </c>
      <c r="H3989">
        <v>7.1273628334829794E-2</v>
      </c>
      <c r="I3989">
        <v>8.6626278102576504E-2</v>
      </c>
      <c r="J3989">
        <v>9.9154528761787902E-2</v>
      </c>
      <c r="K3989">
        <v>0.12117747661011299</v>
      </c>
      <c r="L3989">
        <v>1075.8061523604299</v>
      </c>
      <c r="M3989">
        <v>23.962086322379399</v>
      </c>
      <c r="N3989">
        <v>45.335018111426102</v>
      </c>
      <c r="O3989">
        <v>44.587001328589402</v>
      </c>
      <c r="P3989">
        <v>-0.12045092438384999</v>
      </c>
      <c r="Q3989">
        <v>0.103507172484611</v>
      </c>
      <c r="R3989">
        <v>0.99370878702290899</v>
      </c>
      <c r="S3989" t="s">
        <v>10441</v>
      </c>
      <c r="T3989" t="s">
        <v>12902</v>
      </c>
      <c r="U3989" t="s">
        <v>12902</v>
      </c>
      <c r="V3989" t="s">
        <v>12902</v>
      </c>
      <c r="W3989" t="s">
        <v>16844</v>
      </c>
      <c r="X3989">
        <v>4</v>
      </c>
      <c r="Y3989" t="s">
        <v>23155</v>
      </c>
      <c r="Z3989" t="s">
        <v>29564</v>
      </c>
      <c r="AA3989">
        <v>0.25982262752805618</v>
      </c>
      <c r="AB3989" t="str">
        <f>HYPERLINK("Melting_Curves/meltCurve_Q6P4R8_3_NFRKB.pdf", "Melting_Curves/meltCurve_Q6P4R8_3_NFRKB.pdf")</f>
        <v>Melting_Curves/meltCurve_Q6P4R8_3_NFRKB.pdf</v>
      </c>
    </row>
    <row r="3990" spans="1:28" x14ac:dyDescent="0.25">
      <c r="A3990" t="s">
        <v>3994</v>
      </c>
      <c r="B3990">
        <v>0.99673306730245903</v>
      </c>
      <c r="C3990">
        <v>0.98981939080932002</v>
      </c>
      <c r="D3990">
        <v>1.07318405073852</v>
      </c>
      <c r="E3990">
        <v>1.1228295184035899</v>
      </c>
      <c r="F3990">
        <v>1.0820694187328199</v>
      </c>
      <c r="G3990">
        <v>0.82734361492057695</v>
      </c>
      <c r="H3990">
        <v>0.52873137592447905</v>
      </c>
      <c r="I3990">
        <v>0.75752605670395601</v>
      </c>
      <c r="J3990">
        <v>0.81312805777883401</v>
      </c>
      <c r="K3990">
        <v>0.81732844650922298</v>
      </c>
      <c r="L3990">
        <v>14167.9277434339</v>
      </c>
      <c r="M3990">
        <v>250</v>
      </c>
      <c r="O3990">
        <v>56.6680821519342</v>
      </c>
      <c r="P3990">
        <v>-0.29869272731846902</v>
      </c>
      <c r="Q3990">
        <v>0.72917848559991205</v>
      </c>
      <c r="R3990">
        <v>0.73022687023416499</v>
      </c>
      <c r="S3990" t="s">
        <v>10442</v>
      </c>
      <c r="T3990" t="s">
        <v>12902</v>
      </c>
      <c r="U3990" t="s">
        <v>12902</v>
      </c>
      <c r="V3990" t="s">
        <v>12902</v>
      </c>
      <c r="W3990" t="s">
        <v>16845</v>
      </c>
      <c r="X3990">
        <v>3</v>
      </c>
      <c r="Y3990" t="s">
        <v>23156</v>
      </c>
      <c r="Z3990" t="s">
        <v>29565</v>
      </c>
      <c r="AA3990">
        <v>0.8797073547430917</v>
      </c>
      <c r="AB3990" t="str">
        <f>HYPERLINK("Melting_Curves/meltCurve_Q6P582_MZT2A.pdf", "Melting_Curves/meltCurve_Q6P582_MZT2A.pdf")</f>
        <v>Melting_Curves/meltCurve_Q6P582_MZT2A.pdf</v>
      </c>
    </row>
    <row r="3991" spans="1:28" x14ac:dyDescent="0.25">
      <c r="A3991" t="s">
        <v>3995</v>
      </c>
      <c r="B3991">
        <v>0.99673306730245903</v>
      </c>
      <c r="C3991">
        <v>1.0404535300564599</v>
      </c>
      <c r="D3991">
        <v>1.00487372510748</v>
      </c>
      <c r="E3991">
        <v>0.95788812757022801</v>
      </c>
      <c r="F3991">
        <v>0.91169402961995505</v>
      </c>
      <c r="G3991">
        <v>0.82682572568374002</v>
      </c>
      <c r="H3991">
        <v>0.69970547705626696</v>
      </c>
      <c r="I3991">
        <v>0.86800836086334898</v>
      </c>
      <c r="J3991">
        <v>1.3149188468388</v>
      </c>
      <c r="K3991">
        <v>1.1231956150315301</v>
      </c>
      <c r="L3991">
        <v>12179.799671017199</v>
      </c>
      <c r="M3991">
        <v>250</v>
      </c>
      <c r="O3991">
        <v>48.716081006036497</v>
      </c>
      <c r="P3991">
        <v>-5.4664553985269697E-2</v>
      </c>
      <c r="Q3991">
        <v>0.95739131463234295</v>
      </c>
      <c r="R3991">
        <v>2.3877420276303799E-2</v>
      </c>
      <c r="S3991" t="s">
        <v>10443</v>
      </c>
      <c r="T3991" t="s">
        <v>12902</v>
      </c>
      <c r="U3991" t="s">
        <v>12902</v>
      </c>
      <c r="V3991" t="s">
        <v>12902</v>
      </c>
      <c r="W3991" t="s">
        <v>16846</v>
      </c>
      <c r="X3991">
        <v>13</v>
      </c>
      <c r="Y3991" t="s">
        <v>23157</v>
      </c>
      <c r="Z3991" t="s">
        <v>29566</v>
      </c>
      <c r="AA3991">
        <v>0.96977874418235721</v>
      </c>
      <c r="AB3991" t="str">
        <f>HYPERLINK("Melting_Curves/meltCurve_Q6P587_FAHD1.pdf", "Melting_Curves/meltCurve_Q6P587_FAHD1.pdf")</f>
        <v>Melting_Curves/meltCurve_Q6P587_FAHD1.pdf</v>
      </c>
    </row>
    <row r="3992" spans="1:28" x14ac:dyDescent="0.25">
      <c r="A3992" t="s">
        <v>3996</v>
      </c>
      <c r="B3992">
        <v>0.99673306730245903</v>
      </c>
      <c r="C3992">
        <v>0.97015447714214198</v>
      </c>
      <c r="D3992">
        <v>0.94591889566873</v>
      </c>
      <c r="E3992">
        <v>0.73989467665092001</v>
      </c>
      <c r="F3992">
        <v>0.52812817422394598</v>
      </c>
      <c r="G3992">
        <v>0.36519065024088698</v>
      </c>
      <c r="H3992">
        <v>0.27960731993219201</v>
      </c>
      <c r="I3992">
        <v>0.31485079039151398</v>
      </c>
      <c r="J3992">
        <v>0.39467036659718402</v>
      </c>
      <c r="K3992">
        <v>0.37726741032921102</v>
      </c>
      <c r="L3992">
        <v>1193.43612595885</v>
      </c>
      <c r="M3992">
        <v>23.5541314230132</v>
      </c>
      <c r="N3992">
        <v>53.1921923026607</v>
      </c>
      <c r="O3992">
        <v>50.306837851447398</v>
      </c>
      <c r="P3992">
        <v>-7.7664919363969298E-2</v>
      </c>
      <c r="Q3992">
        <v>0.33650550277549002</v>
      </c>
      <c r="R3992">
        <v>0.98433414666857999</v>
      </c>
      <c r="S3992" t="s">
        <v>10444</v>
      </c>
      <c r="T3992" t="s">
        <v>12902</v>
      </c>
      <c r="U3992" t="s">
        <v>12902</v>
      </c>
      <c r="V3992" t="s">
        <v>12902</v>
      </c>
      <c r="W3992" t="s">
        <v>16847</v>
      </c>
      <c r="X3992">
        <v>17</v>
      </c>
      <c r="Y3992" t="s">
        <v>23158</v>
      </c>
      <c r="Z3992" t="s">
        <v>29567</v>
      </c>
      <c r="AA3992">
        <v>0.57915732664226949</v>
      </c>
      <c r="AB3992" t="str">
        <f>HYPERLINK("Melting_Curves/meltCurve_Q6P6C2_ALKBH5.pdf", "Melting_Curves/meltCurve_Q6P6C2_ALKBH5.pdf")</f>
        <v>Melting_Curves/meltCurve_Q6P6C2_ALKBH5.pdf</v>
      </c>
    </row>
    <row r="3993" spans="1:28" x14ac:dyDescent="0.25">
      <c r="A3993" t="s">
        <v>3997</v>
      </c>
      <c r="B3993">
        <v>0.99673306730245903</v>
      </c>
      <c r="C3993">
        <v>0.97310280433694496</v>
      </c>
      <c r="D3993">
        <v>0.89546079188429395</v>
      </c>
      <c r="E3993">
        <v>0.82284629347445704</v>
      </c>
      <c r="F3993">
        <v>0.57833057220817297</v>
      </c>
      <c r="G3993">
        <v>0.40582023167827902</v>
      </c>
      <c r="H3993">
        <v>0.234246848433562</v>
      </c>
      <c r="I3993">
        <v>0.17688284347506</v>
      </c>
      <c r="J3993">
        <v>0.1627308497504</v>
      </c>
      <c r="K3993">
        <v>0.20940967420314899</v>
      </c>
      <c r="L3993">
        <v>833.01623524075001</v>
      </c>
      <c r="M3993">
        <v>15.6004524402637</v>
      </c>
      <c r="N3993">
        <v>54.583153476050803</v>
      </c>
      <c r="O3993">
        <v>52.542639642182102</v>
      </c>
      <c r="P3993">
        <v>-6.3561304972449703E-2</v>
      </c>
      <c r="Q3993">
        <v>0.14377137996144701</v>
      </c>
      <c r="R3993">
        <v>0.99450478126352604</v>
      </c>
      <c r="S3993" t="s">
        <v>10445</v>
      </c>
      <c r="T3993" t="s">
        <v>12902</v>
      </c>
      <c r="U3993" t="s">
        <v>12902</v>
      </c>
      <c r="V3993" t="s">
        <v>12902</v>
      </c>
      <c r="W3993" t="s">
        <v>16848</v>
      </c>
      <c r="X3993">
        <v>6</v>
      </c>
      <c r="Y3993" t="s">
        <v>23159</v>
      </c>
      <c r="Z3993" t="s">
        <v>29568</v>
      </c>
      <c r="AA3993">
        <v>0.5432970464609298</v>
      </c>
      <c r="AB3993" t="str">
        <f>HYPERLINK("Melting_Curves/meltCurve_Q6P988_NOTUM.pdf", "Melting_Curves/meltCurve_Q6P988_NOTUM.pdf")</f>
        <v>Melting_Curves/meltCurve_Q6P988_NOTUM.pdf</v>
      </c>
    </row>
    <row r="3994" spans="1:28" x14ac:dyDescent="0.25">
      <c r="A3994" t="s">
        <v>3998</v>
      </c>
      <c r="B3994">
        <v>0.99673306730245903</v>
      </c>
      <c r="C3994">
        <v>0.96492673184180899</v>
      </c>
      <c r="D3994">
        <v>0.85820081079042698</v>
      </c>
      <c r="E3994">
        <v>0.88487142383260597</v>
      </c>
      <c r="F3994">
        <v>0.61096876708581904</v>
      </c>
      <c r="G3994">
        <v>0.37632468035189998</v>
      </c>
      <c r="H3994">
        <v>0.116251512578432</v>
      </c>
      <c r="I3994">
        <v>9.1504474517502904E-2</v>
      </c>
      <c r="J3994">
        <v>8.4994421841140505E-2</v>
      </c>
      <c r="K3994">
        <v>0.106915922825346</v>
      </c>
      <c r="L3994">
        <v>970.85846528254399</v>
      </c>
      <c r="M3994">
        <v>17.881316829447002</v>
      </c>
      <c r="N3994">
        <v>54.615480725524499</v>
      </c>
      <c r="O3994">
        <v>53.629170602862402</v>
      </c>
      <c r="P3994">
        <v>-7.92035639036721E-2</v>
      </c>
      <c r="Q3994">
        <v>4.9867178482859299E-2</v>
      </c>
      <c r="R3994">
        <v>0.98660757242806896</v>
      </c>
      <c r="S3994" t="s">
        <v>10446</v>
      </c>
      <c r="T3994" t="s">
        <v>12902</v>
      </c>
      <c r="U3994" t="s">
        <v>12902</v>
      </c>
      <c r="V3994" t="s">
        <v>12902</v>
      </c>
      <c r="W3994" t="s">
        <v>16849</v>
      </c>
      <c r="X3994">
        <v>11</v>
      </c>
      <c r="Y3994" t="s">
        <v>23160</v>
      </c>
      <c r="Z3994" t="s">
        <v>29569</v>
      </c>
      <c r="AA3994">
        <v>0.51780770541044396</v>
      </c>
      <c r="AB3994" t="str">
        <f>HYPERLINK("Melting_Curves/meltCurve_Q6PCB5_RSBN1L.pdf", "Melting_Curves/meltCurve_Q6PCB5_RSBN1L.pdf")</f>
        <v>Melting_Curves/meltCurve_Q6PCB5_RSBN1L.pdf</v>
      </c>
    </row>
    <row r="3995" spans="1:28" x14ac:dyDescent="0.25">
      <c r="A3995" t="s">
        <v>3999</v>
      </c>
      <c r="B3995">
        <v>0.99673306730245903</v>
      </c>
      <c r="C3995">
        <v>0.917611253445065</v>
      </c>
      <c r="D3995">
        <v>0.78296235145647297</v>
      </c>
      <c r="E3995">
        <v>0.60416415391563905</v>
      </c>
      <c r="F3995">
        <v>0.31126264223551497</v>
      </c>
      <c r="G3995">
        <v>0.18617250493849499</v>
      </c>
      <c r="H3995">
        <v>0.10422946263042</v>
      </c>
      <c r="I3995">
        <v>0.113269028557222</v>
      </c>
      <c r="J3995">
        <v>0.118022550777201</v>
      </c>
      <c r="K3995">
        <v>8.5272705039178706E-2</v>
      </c>
      <c r="L3995">
        <v>790.00791265005705</v>
      </c>
      <c r="M3995">
        <v>15.827294001891101</v>
      </c>
      <c r="N3995">
        <v>50.450212944707502</v>
      </c>
      <c r="O3995">
        <v>49.137817083772703</v>
      </c>
      <c r="P3995">
        <v>-7.4300044098475196E-2</v>
      </c>
      <c r="Q3995">
        <v>7.7380033855403194E-2</v>
      </c>
      <c r="R3995">
        <v>0.99607391190776695</v>
      </c>
      <c r="S3995" t="s">
        <v>10447</v>
      </c>
      <c r="T3995" t="s">
        <v>12902</v>
      </c>
      <c r="U3995" t="s">
        <v>12902</v>
      </c>
      <c r="V3995" t="s">
        <v>12902</v>
      </c>
      <c r="W3995" t="s">
        <v>16850</v>
      </c>
      <c r="X3995">
        <v>3</v>
      </c>
      <c r="Y3995" t="s">
        <v>23161</v>
      </c>
      <c r="Z3995" t="s">
        <v>29570</v>
      </c>
      <c r="AA3995">
        <v>0.40231124282190822</v>
      </c>
      <c r="AB3995" t="str">
        <f>HYPERLINK("Melting_Curves/meltCurve_Q6PCB6_2_ABHD17C.pdf", "Melting_Curves/meltCurve_Q6PCB6_2_ABHD17C.pdf")</f>
        <v>Melting_Curves/meltCurve_Q6PCB6_2_ABHD17C.pdf</v>
      </c>
    </row>
    <row r="3996" spans="1:28" x14ac:dyDescent="0.25">
      <c r="A3996" t="s">
        <v>4000</v>
      </c>
      <c r="B3996">
        <v>0.99673306730245903</v>
      </c>
      <c r="C3996">
        <v>1.01027923962614</v>
      </c>
      <c r="D3996">
        <v>0.97295552748109404</v>
      </c>
      <c r="E3996">
        <v>1.0124671886301699</v>
      </c>
      <c r="F3996">
        <v>0.76995978643325502</v>
      </c>
      <c r="G3996">
        <v>0.44332042854041998</v>
      </c>
      <c r="H3996">
        <v>0.18882110912067099</v>
      </c>
      <c r="I3996">
        <v>7.9322897634574396E-2</v>
      </c>
      <c r="J3996">
        <v>6.4097861604703099E-2</v>
      </c>
      <c r="K3996">
        <v>6.2531837845561794E-2</v>
      </c>
      <c r="L3996">
        <v>1355.9429089242601</v>
      </c>
      <c r="M3996">
        <v>24.226077597290701</v>
      </c>
      <c r="N3996">
        <v>56.218947998097804</v>
      </c>
      <c r="O3996">
        <v>55.593200571852798</v>
      </c>
      <c r="P3996">
        <v>-0.103412039109677</v>
      </c>
      <c r="Q3996">
        <v>5.0788375899332702E-2</v>
      </c>
      <c r="R3996">
        <v>0.9974022938821</v>
      </c>
      <c r="S3996" t="s">
        <v>10448</v>
      </c>
      <c r="T3996" t="s">
        <v>12902</v>
      </c>
      <c r="U3996" t="s">
        <v>12902</v>
      </c>
      <c r="V3996" t="s">
        <v>12902</v>
      </c>
      <c r="W3996" t="s">
        <v>16851</v>
      </c>
      <c r="X3996">
        <v>5</v>
      </c>
      <c r="Y3996" t="s">
        <v>23162</v>
      </c>
      <c r="Z3996" t="s">
        <v>29571</v>
      </c>
      <c r="AA3996">
        <v>0.56527743874444858</v>
      </c>
      <c r="AB3996" t="str">
        <f>HYPERLINK("Melting_Curves/meltCurve_Q6PCE3_PGM2L1.pdf", "Melting_Curves/meltCurve_Q6PCE3_PGM2L1.pdf")</f>
        <v>Melting_Curves/meltCurve_Q6PCE3_PGM2L1.pdf</v>
      </c>
    </row>
    <row r="3997" spans="1:28" x14ac:dyDescent="0.25">
      <c r="A3997" t="s">
        <v>4001</v>
      </c>
      <c r="B3997">
        <v>0.99673306730245903</v>
      </c>
      <c r="C3997">
        <v>0.88068299809370798</v>
      </c>
      <c r="D3997">
        <v>0.75797507706808898</v>
      </c>
      <c r="E3997">
        <v>0.31624623468535201</v>
      </c>
      <c r="F3997">
        <v>0.214613492665581</v>
      </c>
      <c r="G3997">
        <v>0.153345129835608</v>
      </c>
      <c r="H3997">
        <v>0.10342103290551601</v>
      </c>
      <c r="I3997">
        <v>0.103814626072499</v>
      </c>
      <c r="J3997">
        <v>9.2327280840765802E-2</v>
      </c>
      <c r="K3997">
        <v>7.6007275997743304E-2</v>
      </c>
      <c r="L3997">
        <v>1037.9962275298201</v>
      </c>
      <c r="M3997">
        <v>21.802752091555099</v>
      </c>
      <c r="N3997">
        <v>48.095749771573402</v>
      </c>
      <c r="O3997">
        <v>47.213394395580302</v>
      </c>
      <c r="P3997">
        <v>-0.104010039759559</v>
      </c>
      <c r="Q3997">
        <v>9.9094368141377301E-2</v>
      </c>
      <c r="R3997">
        <v>0.99250893041586596</v>
      </c>
      <c r="S3997" t="s">
        <v>10449</v>
      </c>
      <c r="T3997" t="s">
        <v>12902</v>
      </c>
      <c r="U3997" t="s">
        <v>12902</v>
      </c>
      <c r="V3997" t="s">
        <v>12902</v>
      </c>
      <c r="W3997" t="s">
        <v>16852</v>
      </c>
      <c r="X3997">
        <v>15</v>
      </c>
      <c r="Y3997" t="s">
        <v>23163</v>
      </c>
      <c r="Z3997" t="s">
        <v>29572</v>
      </c>
      <c r="AA3997">
        <v>0.3383027890978616</v>
      </c>
      <c r="AB3997" t="str">
        <f>HYPERLINK("Melting_Curves/meltCurve_Q6PD62_CTR9.pdf", "Melting_Curves/meltCurve_Q6PD62_CTR9.pdf")</f>
        <v>Melting_Curves/meltCurve_Q6PD62_CTR9.pdf</v>
      </c>
    </row>
    <row r="3998" spans="1:28" x14ac:dyDescent="0.25">
      <c r="A3998" t="s">
        <v>4002</v>
      </c>
      <c r="B3998">
        <v>0.99673306730245903</v>
      </c>
      <c r="C3998">
        <v>0.98796035128144399</v>
      </c>
      <c r="D3998">
        <v>0.69883158884701002</v>
      </c>
      <c r="E3998">
        <v>0.32736068087402598</v>
      </c>
      <c r="F3998">
        <v>0.16027230220361599</v>
      </c>
      <c r="G3998">
        <v>8.9431822129422897E-2</v>
      </c>
      <c r="H3998">
        <v>5.0311870923842601E-2</v>
      </c>
      <c r="I3998">
        <v>3.5710885465527399E-2</v>
      </c>
      <c r="J3998">
        <v>4.42969349491397E-2</v>
      </c>
      <c r="K3998">
        <v>4.0070007104045999E-2</v>
      </c>
      <c r="L3998">
        <v>1096.40469978482</v>
      </c>
      <c r="M3998">
        <v>22.951852552959899</v>
      </c>
      <c r="N3998">
        <v>47.982744278057403</v>
      </c>
      <c r="O3998">
        <v>47.411544372956499</v>
      </c>
      <c r="P3998">
        <v>-0.11516586841892899</v>
      </c>
      <c r="Q3998">
        <v>4.8426892365957298E-2</v>
      </c>
      <c r="R3998">
        <v>0.99653896520355401</v>
      </c>
      <c r="S3998" t="s">
        <v>10450</v>
      </c>
      <c r="T3998" t="s">
        <v>12902</v>
      </c>
      <c r="U3998" t="s">
        <v>12902</v>
      </c>
      <c r="V3998" t="s">
        <v>12902</v>
      </c>
      <c r="W3998" t="s">
        <v>16853</v>
      </c>
      <c r="X3998">
        <v>3</v>
      </c>
      <c r="Y3998" t="s">
        <v>23164</v>
      </c>
      <c r="Z3998" t="s">
        <v>29573</v>
      </c>
      <c r="AA3998">
        <v>0.30498994151464848</v>
      </c>
      <c r="AB3998" t="str">
        <f>HYPERLINK("Melting_Curves/meltCurve_Q6PD74_AAGAB.pdf", "Melting_Curves/meltCurve_Q6PD74_AAGAB.pdf")</f>
        <v>Melting_Curves/meltCurve_Q6PD74_AAGAB.pdf</v>
      </c>
    </row>
    <row r="3999" spans="1:28" x14ac:dyDescent="0.25">
      <c r="A3999" t="s">
        <v>4003</v>
      </c>
      <c r="B3999">
        <v>0.99673306730245903</v>
      </c>
      <c r="C3999">
        <v>0.806034551349603</v>
      </c>
      <c r="D3999">
        <v>0.50916824651207004</v>
      </c>
      <c r="E3999">
        <v>0.25786911165267601</v>
      </c>
      <c r="F3999">
        <v>0.19166579026422501</v>
      </c>
      <c r="G3999">
        <v>0.122113346304994</v>
      </c>
      <c r="H3999">
        <v>8.7905847574101206E-2</v>
      </c>
      <c r="I3999">
        <v>8.3492658211061804E-2</v>
      </c>
      <c r="J3999">
        <v>0.112264213415374</v>
      </c>
      <c r="K3999">
        <v>0.14491848882178701</v>
      </c>
      <c r="L3999">
        <v>949.93770517913595</v>
      </c>
      <c r="M3999">
        <v>20.8142845384323</v>
      </c>
      <c r="N3999">
        <v>46.201458710512497</v>
      </c>
      <c r="O3999">
        <v>45.223734437590402</v>
      </c>
      <c r="P3999">
        <v>-0.10218271455132701</v>
      </c>
      <c r="Q3999">
        <v>0.11196458946157301</v>
      </c>
      <c r="R3999">
        <v>0.99376362631024195</v>
      </c>
      <c r="S3999" t="s">
        <v>10451</v>
      </c>
      <c r="T3999" t="s">
        <v>12902</v>
      </c>
      <c r="U3999" t="s">
        <v>12902</v>
      </c>
      <c r="V3999" t="s">
        <v>12902</v>
      </c>
      <c r="W3999" t="s">
        <v>16854</v>
      </c>
      <c r="X3999">
        <v>13</v>
      </c>
      <c r="Y3999" t="s">
        <v>23165</v>
      </c>
      <c r="Z3999" t="s">
        <v>29574</v>
      </c>
      <c r="AA3999">
        <v>0.2917479132605526</v>
      </c>
      <c r="AB3999" t="str">
        <f>HYPERLINK("Melting_Curves/meltCurve_Q6PGP7_TTC37.pdf", "Melting_Curves/meltCurve_Q6PGP7_TTC37.pdf")</f>
        <v>Melting_Curves/meltCurve_Q6PGP7_TTC37.pdf</v>
      </c>
    </row>
    <row r="4000" spans="1:28" x14ac:dyDescent="0.25">
      <c r="A4000" t="s">
        <v>4004</v>
      </c>
      <c r="B4000">
        <v>0.99673306730245903</v>
      </c>
      <c r="C4000">
        <v>0.98752528136426398</v>
      </c>
      <c r="D4000">
        <v>0.98246957105300803</v>
      </c>
      <c r="E4000">
        <v>0.58752851811176399</v>
      </c>
      <c r="F4000">
        <v>0.233350748438651</v>
      </c>
      <c r="G4000">
        <v>0.150776703581571</v>
      </c>
      <c r="H4000">
        <v>0.11552908191639601</v>
      </c>
      <c r="I4000">
        <v>0.142903967767784</v>
      </c>
      <c r="J4000">
        <v>0.215181184119668</v>
      </c>
      <c r="K4000">
        <v>0.18727768850655899</v>
      </c>
      <c r="L4000">
        <v>1991.8620456882099</v>
      </c>
      <c r="M4000">
        <v>40.105414732938399</v>
      </c>
      <c r="N4000">
        <v>50.1613509868221</v>
      </c>
      <c r="O4000">
        <v>49.542673059104899</v>
      </c>
      <c r="P4000">
        <v>-0.16926890836953601</v>
      </c>
      <c r="Q4000">
        <v>0.163602718471237</v>
      </c>
      <c r="R4000">
        <v>0.99485635349396595</v>
      </c>
      <c r="S4000" t="s">
        <v>10452</v>
      </c>
      <c r="T4000" t="s">
        <v>12902</v>
      </c>
      <c r="U4000" t="s">
        <v>12902</v>
      </c>
      <c r="V4000" t="s">
        <v>12902</v>
      </c>
      <c r="W4000" t="s">
        <v>16855</v>
      </c>
      <c r="X4000">
        <v>3</v>
      </c>
      <c r="Y4000" t="s">
        <v>23166</v>
      </c>
      <c r="Z4000" t="s">
        <v>29575</v>
      </c>
      <c r="AA4000">
        <v>0.43593823187976433</v>
      </c>
      <c r="AB4000" t="str">
        <f>HYPERLINK("Melting_Curves/meltCurve_Q6PH81_C16orf87.pdf", "Melting_Curves/meltCurve_Q6PH81_C16orf87.pdf")</f>
        <v>Melting_Curves/meltCurve_Q6PH81_C16orf87.pdf</v>
      </c>
    </row>
    <row r="4001" spans="1:28" x14ac:dyDescent="0.25">
      <c r="A4001" t="s">
        <v>4005</v>
      </c>
      <c r="B4001">
        <v>0.99673306730245903</v>
      </c>
      <c r="C4001">
        <v>0.88088000548935497</v>
      </c>
      <c r="D4001">
        <v>0.52062499123252404</v>
      </c>
      <c r="E4001">
        <v>0.23119405655078601</v>
      </c>
      <c r="F4001">
        <v>0.12753502252671201</v>
      </c>
      <c r="G4001">
        <v>7.4217721460093394E-2</v>
      </c>
      <c r="H4001">
        <v>3.95619709286507E-2</v>
      </c>
      <c r="I4001">
        <v>3.5477975206582101E-2</v>
      </c>
      <c r="J4001">
        <v>4.4985955113738901E-2</v>
      </c>
      <c r="K4001">
        <v>4.2521363958119E-2</v>
      </c>
      <c r="L4001">
        <v>1033.55881253588</v>
      </c>
      <c r="M4001">
        <v>22.363462917622599</v>
      </c>
      <c r="N4001">
        <v>46.430116913714599</v>
      </c>
      <c r="O4001">
        <v>45.851621358731599</v>
      </c>
      <c r="P4001">
        <v>-0.11597282479997099</v>
      </c>
      <c r="Q4001">
        <v>4.8907538379986099E-2</v>
      </c>
      <c r="R4001">
        <v>0.99693037972471799</v>
      </c>
      <c r="S4001" t="s">
        <v>10453</v>
      </c>
      <c r="T4001" t="s">
        <v>12902</v>
      </c>
      <c r="U4001" t="s">
        <v>12902</v>
      </c>
      <c r="V4001" t="s">
        <v>12902</v>
      </c>
      <c r="W4001" t="s">
        <v>16856</v>
      </c>
      <c r="X4001">
        <v>1</v>
      </c>
      <c r="Y4001" t="s">
        <v>23167</v>
      </c>
      <c r="Z4001" t="s">
        <v>29576</v>
      </c>
      <c r="AA4001">
        <v>0.25721258322593482</v>
      </c>
      <c r="AB4001" t="str">
        <f>HYPERLINK("Melting_Curves/meltCurve_Q6PI47_3_KCTD18.pdf", "Melting_Curves/meltCurve_Q6PI47_3_KCTD18.pdf")</f>
        <v>Melting_Curves/meltCurve_Q6PI47_3_KCTD18.pdf</v>
      </c>
    </row>
    <row r="4002" spans="1:28" x14ac:dyDescent="0.25">
      <c r="A4002" t="s">
        <v>4006</v>
      </c>
      <c r="B4002">
        <v>0.99673306730245903</v>
      </c>
      <c r="C4002">
        <v>0.93145025119227298</v>
      </c>
      <c r="D4002">
        <v>0.92417064803562299</v>
      </c>
      <c r="E4002">
        <v>0.94822913076180904</v>
      </c>
      <c r="F4002">
        <v>0.81165655869023801</v>
      </c>
      <c r="G4002">
        <v>0.562133183741512</v>
      </c>
      <c r="H4002">
        <v>0.25820749219674699</v>
      </c>
      <c r="I4002">
        <v>0.107466946111424</v>
      </c>
      <c r="J4002">
        <v>0.101947671716105</v>
      </c>
      <c r="K4002">
        <v>7.9896654091931293E-2</v>
      </c>
      <c r="L4002">
        <v>1125.06275864854</v>
      </c>
      <c r="M4002">
        <v>19.7087393850464</v>
      </c>
      <c r="N4002">
        <v>57.329977593163903</v>
      </c>
      <c r="O4002">
        <v>56.5065129840049</v>
      </c>
      <c r="P4002">
        <v>-8.3670816680794693E-2</v>
      </c>
      <c r="Q4002">
        <v>4.0469729805473802E-2</v>
      </c>
      <c r="R4002">
        <v>0.99213098267883204</v>
      </c>
      <c r="S4002" t="s">
        <v>10454</v>
      </c>
      <c r="T4002" t="s">
        <v>12902</v>
      </c>
      <c r="U4002" t="s">
        <v>12902</v>
      </c>
      <c r="V4002" t="s">
        <v>12902</v>
      </c>
      <c r="W4002" t="s">
        <v>16857</v>
      </c>
      <c r="X4002">
        <v>26</v>
      </c>
      <c r="Y4002" t="s">
        <v>23168</v>
      </c>
      <c r="Z4002" t="s">
        <v>29577</v>
      </c>
      <c r="AA4002">
        <v>0.59878734123049238</v>
      </c>
      <c r="AB4002" t="str">
        <f>HYPERLINK("Melting_Curves/meltCurve_Q6PI48_DARS2.pdf", "Melting_Curves/meltCurve_Q6PI48_DARS2.pdf")</f>
        <v>Melting_Curves/meltCurve_Q6PI48_DARS2.pdf</v>
      </c>
    </row>
    <row r="4003" spans="1:28" x14ac:dyDescent="0.25">
      <c r="A4003" t="s">
        <v>4007</v>
      </c>
      <c r="B4003">
        <v>0.99673306730245903</v>
      </c>
      <c r="C4003">
        <v>1.0296086915573901</v>
      </c>
      <c r="D4003">
        <v>0.90424594946082104</v>
      </c>
      <c r="E4003">
        <v>0.56421426907138905</v>
      </c>
      <c r="F4003">
        <v>0.153625732182048</v>
      </c>
      <c r="G4003">
        <v>8.6765442814481605E-2</v>
      </c>
      <c r="H4003">
        <v>5.0477302026574203E-2</v>
      </c>
      <c r="I4003">
        <v>4.6151813806199399E-2</v>
      </c>
      <c r="J4003">
        <v>8.6491081829373501E-3</v>
      </c>
      <c r="K4003">
        <v>1.52695870960696E-2</v>
      </c>
      <c r="L4003">
        <v>1423.0635508724099</v>
      </c>
      <c r="M4003">
        <v>28.5264728812217</v>
      </c>
      <c r="N4003">
        <v>49.999164550635598</v>
      </c>
      <c r="O4003">
        <v>49.642501174811898</v>
      </c>
      <c r="P4003">
        <v>-0.139158658337795</v>
      </c>
      <c r="Q4003">
        <v>3.1337918941257002E-2</v>
      </c>
      <c r="R4003">
        <v>0.99769268468183803</v>
      </c>
      <c r="S4003" t="s">
        <v>10455</v>
      </c>
      <c r="T4003" t="s">
        <v>12902</v>
      </c>
      <c r="U4003" t="s">
        <v>12902</v>
      </c>
      <c r="V4003" t="s">
        <v>12902</v>
      </c>
      <c r="W4003" t="s">
        <v>16858</v>
      </c>
      <c r="X4003">
        <v>2</v>
      </c>
      <c r="Y4003" t="s">
        <v>23169</v>
      </c>
      <c r="Z4003" t="s">
        <v>29578</v>
      </c>
      <c r="AA4003">
        <v>0.35715793638033821</v>
      </c>
      <c r="AB4003" t="str">
        <f>HYPERLINK("Melting_Curves/meltCurve_Q6PID6_TTC33.pdf", "Melting_Curves/meltCurve_Q6PID6_TTC33.pdf")</f>
        <v>Melting_Curves/meltCurve_Q6PID6_TTC33.pdf</v>
      </c>
    </row>
    <row r="4004" spans="1:28" x14ac:dyDescent="0.25">
      <c r="A4004" t="s">
        <v>4008</v>
      </c>
      <c r="B4004">
        <v>0.99673306730245903</v>
      </c>
      <c r="C4004">
        <v>1.0378824071010599</v>
      </c>
      <c r="D4004">
        <v>1.10951378372304</v>
      </c>
      <c r="E4004">
        <v>0.93886945444546699</v>
      </c>
      <c r="F4004">
        <v>0.79620312496217605</v>
      </c>
      <c r="G4004">
        <v>0.64446688286771103</v>
      </c>
      <c r="H4004">
        <v>0.46327076396517802</v>
      </c>
      <c r="I4004">
        <v>0.54805698538838798</v>
      </c>
      <c r="J4004">
        <v>0.84212332397808098</v>
      </c>
      <c r="K4004">
        <v>0.85628529758703298</v>
      </c>
      <c r="L4004">
        <v>2253.43522062802</v>
      </c>
      <c r="M4004">
        <v>43.082886828597701</v>
      </c>
      <c r="O4004">
        <v>52.192347775857598</v>
      </c>
      <c r="P4004">
        <v>-6.7934607838979005E-2</v>
      </c>
      <c r="Q4004">
        <v>0.67080569408635105</v>
      </c>
      <c r="R4004">
        <v>0.66268238364013299</v>
      </c>
      <c r="S4004" t="s">
        <v>10456</v>
      </c>
      <c r="T4004" t="s">
        <v>12902</v>
      </c>
      <c r="U4004" t="s">
        <v>12902</v>
      </c>
      <c r="V4004" t="s">
        <v>12902</v>
      </c>
      <c r="W4004" t="s">
        <v>16859</v>
      </c>
      <c r="X4004">
        <v>4</v>
      </c>
      <c r="Y4004" t="s">
        <v>23170</v>
      </c>
      <c r="Z4004" t="s">
        <v>29579</v>
      </c>
      <c r="AA4004">
        <v>0.80685088209366351</v>
      </c>
      <c r="AB4004" t="str">
        <f>HYPERLINK("Melting_Curves/meltCurve_Q6PII3_CCDC174.pdf", "Melting_Curves/meltCurve_Q6PII3_CCDC174.pdf")</f>
        <v>Melting_Curves/meltCurve_Q6PII3_CCDC174.pdf</v>
      </c>
    </row>
    <row r="4005" spans="1:28" x14ac:dyDescent="0.25">
      <c r="A4005" t="s">
        <v>4009</v>
      </c>
      <c r="B4005">
        <v>0.99673306730245903</v>
      </c>
      <c r="C4005">
        <v>0.91207163830207105</v>
      </c>
      <c r="D4005">
        <v>0.80357378418637304</v>
      </c>
      <c r="E4005">
        <v>0.68997599730667802</v>
      </c>
      <c r="F4005">
        <v>0.55349318052298901</v>
      </c>
      <c r="G4005">
        <v>0.40113996503147697</v>
      </c>
      <c r="H4005">
        <v>0.25319766845363401</v>
      </c>
      <c r="I4005">
        <v>0.353991562211667</v>
      </c>
      <c r="J4005">
        <v>0.24434156722199299</v>
      </c>
      <c r="K4005">
        <v>0.17301884502401799</v>
      </c>
      <c r="L4005">
        <v>527.83862205838</v>
      </c>
      <c r="M4005">
        <v>10.119504067096599</v>
      </c>
      <c r="N4005">
        <v>54.117819291687198</v>
      </c>
      <c r="O4005">
        <v>50.246519011252701</v>
      </c>
      <c r="P4005">
        <v>-4.2653227394963099E-2</v>
      </c>
      <c r="Q4005">
        <v>0.15324684147655401</v>
      </c>
      <c r="R4005">
        <v>0.98057323197417401</v>
      </c>
      <c r="S4005" t="s">
        <v>10457</v>
      </c>
      <c r="T4005" t="s">
        <v>12902</v>
      </c>
      <c r="U4005" t="s">
        <v>12902</v>
      </c>
      <c r="V4005" t="s">
        <v>12902</v>
      </c>
      <c r="W4005" t="s">
        <v>16860</v>
      </c>
      <c r="X4005">
        <v>6</v>
      </c>
      <c r="Y4005" t="s">
        <v>23171</v>
      </c>
      <c r="Z4005" t="s">
        <v>29580</v>
      </c>
      <c r="AA4005">
        <v>0.52772979873336567</v>
      </c>
      <c r="AB4005" t="str">
        <f>HYPERLINK("Melting_Curves/meltCurve_Q6PII5_2_HAGHL.pdf", "Melting_Curves/meltCurve_Q6PII5_2_HAGHL.pdf")</f>
        <v>Melting_Curves/meltCurve_Q6PII5_2_HAGHL.pdf</v>
      </c>
    </row>
    <row r="4006" spans="1:28" x14ac:dyDescent="0.25">
      <c r="A4006" t="s">
        <v>4010</v>
      </c>
      <c r="B4006">
        <v>0.99673306730245903</v>
      </c>
      <c r="C4006">
        <v>1.07632068793585</v>
      </c>
      <c r="D4006">
        <v>0.99096991878623897</v>
      </c>
      <c r="E4006">
        <v>0.98911055207036302</v>
      </c>
      <c r="F4006">
        <v>0.97695488809012998</v>
      </c>
      <c r="G4006">
        <v>0.76928690016555301</v>
      </c>
      <c r="H4006">
        <v>0.27121293916234201</v>
      </c>
      <c r="I4006">
        <v>6.1260294363682903E-2</v>
      </c>
      <c r="J4006">
        <v>5.0965111631524701E-2</v>
      </c>
      <c r="K4006">
        <v>5.3381334389047602E-2</v>
      </c>
      <c r="L4006">
        <v>2052.6567122185602</v>
      </c>
      <c r="M4006">
        <v>34.9554995749209</v>
      </c>
      <c r="N4006">
        <v>58.847540391634901</v>
      </c>
      <c r="O4006">
        <v>58.530804120520699</v>
      </c>
      <c r="P4006">
        <v>-0.14393985673116999</v>
      </c>
      <c r="Q4006">
        <v>3.5930153802437297E-2</v>
      </c>
      <c r="R4006">
        <v>0.99620829335936001</v>
      </c>
      <c r="S4006" t="s">
        <v>10458</v>
      </c>
      <c r="T4006" t="s">
        <v>12902</v>
      </c>
      <c r="U4006" t="s">
        <v>12902</v>
      </c>
      <c r="V4006" t="s">
        <v>12902</v>
      </c>
      <c r="W4006" t="s">
        <v>16861</v>
      </c>
      <c r="X4006">
        <v>8</v>
      </c>
      <c r="Y4006" t="s">
        <v>23172</v>
      </c>
      <c r="Z4006" t="s">
        <v>29581</v>
      </c>
      <c r="AA4006">
        <v>0.64241847154323495</v>
      </c>
      <c r="AB4006" t="str">
        <f>HYPERLINK("Melting_Curves/meltCurve_Q6PIJ6_FBXO38.pdf", "Melting_Curves/meltCurve_Q6PIJ6_FBXO38.pdf")</f>
        <v>Melting_Curves/meltCurve_Q6PIJ6_FBXO38.pdf</v>
      </c>
    </row>
    <row r="4007" spans="1:28" x14ac:dyDescent="0.25">
      <c r="A4007" t="s">
        <v>4011</v>
      </c>
      <c r="B4007">
        <v>0.99673306730245903</v>
      </c>
      <c r="C4007">
        <v>0.74240922853242297</v>
      </c>
      <c r="D4007">
        <v>0.356245376674303</v>
      </c>
      <c r="E4007">
        <v>0.22199528311022401</v>
      </c>
      <c r="F4007">
        <v>0.20768671422337101</v>
      </c>
      <c r="G4007">
        <v>0.135800362393586</v>
      </c>
      <c r="H4007">
        <v>8.2515022957137196E-2</v>
      </c>
      <c r="I4007">
        <v>6.80485824245632E-2</v>
      </c>
      <c r="J4007">
        <v>5.5228681087539602E-2</v>
      </c>
      <c r="K4007">
        <v>3.1880122877853898E-2</v>
      </c>
      <c r="L4007">
        <v>995.861108520828</v>
      </c>
      <c r="M4007">
        <v>22.300797763865098</v>
      </c>
      <c r="N4007">
        <v>45.067648301802997</v>
      </c>
      <c r="O4007">
        <v>44.301428038080303</v>
      </c>
      <c r="P4007">
        <v>-0.11424970505123699</v>
      </c>
      <c r="Q4007">
        <v>9.2172807968015205E-2</v>
      </c>
      <c r="R4007">
        <v>0.976100872221908</v>
      </c>
      <c r="S4007" t="s">
        <v>10459</v>
      </c>
      <c r="T4007" t="s">
        <v>12902</v>
      </c>
      <c r="U4007" t="s">
        <v>12902</v>
      </c>
      <c r="V4007" t="s">
        <v>12902</v>
      </c>
      <c r="W4007" t="s">
        <v>16862</v>
      </c>
      <c r="X4007">
        <v>5</v>
      </c>
      <c r="Y4007" t="s">
        <v>23173</v>
      </c>
      <c r="Z4007" t="s">
        <v>29582</v>
      </c>
      <c r="AA4007">
        <v>0.24545522621565599</v>
      </c>
      <c r="AB4007" t="str">
        <f>HYPERLINK("Melting_Curves/meltCurve_Q6PIW4_2_FIGNL1.pdf", "Melting_Curves/meltCurve_Q6PIW4_2_FIGNL1.pdf")</f>
        <v>Melting_Curves/meltCurve_Q6PIW4_2_FIGNL1.pdf</v>
      </c>
    </row>
    <row r="4008" spans="1:28" x14ac:dyDescent="0.25">
      <c r="A4008" t="s">
        <v>4012</v>
      </c>
      <c r="B4008">
        <v>0.99673306730245903</v>
      </c>
      <c r="C4008">
        <v>0.75323029084465298</v>
      </c>
      <c r="D4008">
        <v>0.54778902722396905</v>
      </c>
      <c r="E4008">
        <v>0.24454844233567999</v>
      </c>
      <c r="F4008">
        <v>0.20896935121767299</v>
      </c>
      <c r="G4008">
        <v>0.1513221650155</v>
      </c>
      <c r="H4008">
        <v>4.8843469791248699E-2</v>
      </c>
      <c r="I4008">
        <v>5.1874369564239901E-2</v>
      </c>
      <c r="J4008">
        <v>2.92271023404773E-2</v>
      </c>
      <c r="K4008">
        <v>6.3649788800028598E-2</v>
      </c>
      <c r="L4008">
        <v>747.02009862825298</v>
      </c>
      <c r="M4008">
        <v>16.189877391598401</v>
      </c>
      <c r="N4008">
        <v>46.482603032758298</v>
      </c>
      <c r="O4008">
        <v>45.454439986704898</v>
      </c>
      <c r="P4008">
        <v>-8.4059075593003504E-2</v>
      </c>
      <c r="Q4008">
        <v>5.6059042384528898E-2</v>
      </c>
      <c r="R4008">
        <v>0.98526669252640098</v>
      </c>
      <c r="S4008" t="s">
        <v>10460</v>
      </c>
      <c r="T4008" t="s">
        <v>12902</v>
      </c>
      <c r="U4008" t="s">
        <v>12902</v>
      </c>
      <c r="V4008" t="s">
        <v>12902</v>
      </c>
      <c r="W4008" t="s">
        <v>16863</v>
      </c>
      <c r="X4008">
        <v>4</v>
      </c>
      <c r="Y4008" t="s">
        <v>23174</v>
      </c>
      <c r="Z4008" t="s">
        <v>29583</v>
      </c>
      <c r="AA4008">
        <v>0.27244771118693822</v>
      </c>
      <c r="AB4008" t="str">
        <f>HYPERLINK("Melting_Curves/meltCurve_Q6PJ69_TRIM65.pdf", "Melting_Curves/meltCurve_Q6PJ69_TRIM65.pdf")</f>
        <v>Melting_Curves/meltCurve_Q6PJ69_TRIM65.pdf</v>
      </c>
    </row>
    <row r="4009" spans="1:28" x14ac:dyDescent="0.25">
      <c r="A4009" t="s">
        <v>4013</v>
      </c>
      <c r="B4009">
        <v>0.99673306730245903</v>
      </c>
      <c r="C4009">
        <v>0.93795477061636401</v>
      </c>
      <c r="D4009">
        <v>0.86342350399921497</v>
      </c>
      <c r="E4009">
        <v>0.76196886520137197</v>
      </c>
      <c r="F4009">
        <v>0.53032335664089703</v>
      </c>
      <c r="G4009">
        <v>0.36588720831674598</v>
      </c>
      <c r="H4009">
        <v>0.312290248094659</v>
      </c>
      <c r="I4009">
        <v>0.22125241727519401</v>
      </c>
      <c r="J4009">
        <v>0.239318335412227</v>
      </c>
      <c r="K4009">
        <v>0.18458963535188</v>
      </c>
      <c r="L4009">
        <v>686.69893790743004</v>
      </c>
      <c r="M4009">
        <v>13.125648474897799</v>
      </c>
      <c r="N4009">
        <v>54.039617001605102</v>
      </c>
      <c r="O4009">
        <v>51.147651546409001</v>
      </c>
      <c r="P4009">
        <v>-5.3198961843788001E-2</v>
      </c>
      <c r="Q4009">
        <v>0.170924315305022</v>
      </c>
      <c r="R4009">
        <v>0.99514626365774705</v>
      </c>
      <c r="S4009" t="s">
        <v>10461</v>
      </c>
      <c r="T4009" t="s">
        <v>12902</v>
      </c>
      <c r="U4009" t="s">
        <v>12902</v>
      </c>
      <c r="V4009" t="s">
        <v>12902</v>
      </c>
      <c r="W4009" t="s">
        <v>16864</v>
      </c>
      <c r="X4009">
        <v>2</v>
      </c>
      <c r="Y4009" t="s">
        <v>23175</v>
      </c>
      <c r="Z4009" t="s">
        <v>29584</v>
      </c>
      <c r="AA4009">
        <v>0.53345013959877075</v>
      </c>
      <c r="AB4009" t="str">
        <f>HYPERLINK("Melting_Curves/meltCurve_Q6PJF5_2_RHBDF2.pdf", "Melting_Curves/meltCurve_Q6PJF5_2_RHBDF2.pdf")</f>
        <v>Melting_Curves/meltCurve_Q6PJF5_2_RHBDF2.pdf</v>
      </c>
    </row>
    <row r="4010" spans="1:28" x14ac:dyDescent="0.25">
      <c r="A4010" t="s">
        <v>4014</v>
      </c>
      <c r="B4010">
        <v>0.99673306730245903</v>
      </c>
      <c r="C4010">
        <v>0.65088483863696001</v>
      </c>
      <c r="D4010">
        <v>0.539808489025</v>
      </c>
      <c r="E4010">
        <v>0.40304144226252597</v>
      </c>
      <c r="F4010">
        <v>0.30279380590562199</v>
      </c>
      <c r="G4010">
        <v>0.20517035919215401</v>
      </c>
      <c r="H4010">
        <v>0.105714581519332</v>
      </c>
      <c r="I4010">
        <v>9.13610720845002E-2</v>
      </c>
      <c r="J4010">
        <v>6.5485442925308293E-2</v>
      </c>
      <c r="K4010">
        <v>4.7574338149249301E-2</v>
      </c>
      <c r="L4010">
        <v>475.69131741687198</v>
      </c>
      <c r="M4010">
        <v>10.0833214985967</v>
      </c>
      <c r="N4010">
        <v>47.447360914240498</v>
      </c>
      <c r="O4010">
        <v>45.433242552161403</v>
      </c>
      <c r="P4010">
        <v>-5.3955401704439201E-2</v>
      </c>
      <c r="Q4010">
        <v>2.8012685786630399E-2</v>
      </c>
      <c r="R4010">
        <v>0.965539644490917</v>
      </c>
      <c r="S4010" t="s">
        <v>10462</v>
      </c>
      <c r="T4010" t="s">
        <v>12902</v>
      </c>
      <c r="U4010" t="s">
        <v>12902</v>
      </c>
      <c r="V4010" t="s">
        <v>12902</v>
      </c>
      <c r="W4010" t="s">
        <v>16865</v>
      </c>
      <c r="X4010">
        <v>6</v>
      </c>
      <c r="Y4010" t="s">
        <v>23176</v>
      </c>
      <c r="Z4010" t="s">
        <v>29585</v>
      </c>
      <c r="AA4010">
        <v>0.31481648292722969</v>
      </c>
      <c r="AB4010" t="str">
        <f>HYPERLINK("Melting_Curves/meltCurve_Q6PJG6_BRAT1.pdf", "Melting_Curves/meltCurve_Q6PJG6_BRAT1.pdf")</f>
        <v>Melting_Curves/meltCurve_Q6PJG6_BRAT1.pdf</v>
      </c>
    </row>
    <row r="4011" spans="1:28" x14ac:dyDescent="0.25">
      <c r="A4011" t="s">
        <v>4015</v>
      </c>
      <c r="B4011">
        <v>0.99673306730245903</v>
      </c>
      <c r="C4011">
        <v>0.94829722535688998</v>
      </c>
      <c r="D4011">
        <v>0.79739712986069999</v>
      </c>
      <c r="E4011">
        <v>0.59505781055852802</v>
      </c>
      <c r="F4011">
        <v>0.34908791568988801</v>
      </c>
      <c r="G4011">
        <v>0.236023522856352</v>
      </c>
      <c r="H4011">
        <v>0.16581334405715201</v>
      </c>
      <c r="I4011">
        <v>0.163776911406912</v>
      </c>
      <c r="J4011">
        <v>0.22080542102678</v>
      </c>
      <c r="K4011">
        <v>0.27474509553837001</v>
      </c>
      <c r="L4011">
        <v>928.24260161195105</v>
      </c>
      <c r="M4011">
        <v>18.884167728470601</v>
      </c>
      <c r="N4011">
        <v>50.477769177504896</v>
      </c>
      <c r="O4011">
        <v>48.6132828898714</v>
      </c>
      <c r="P4011">
        <v>-7.8158496310577405E-2</v>
      </c>
      <c r="Q4011">
        <v>0.19522304093894599</v>
      </c>
      <c r="R4011">
        <v>0.98699766280925505</v>
      </c>
      <c r="S4011" t="s">
        <v>10463</v>
      </c>
      <c r="T4011" t="s">
        <v>12902</v>
      </c>
      <c r="U4011" t="s">
        <v>12902</v>
      </c>
      <c r="V4011" t="s">
        <v>12902</v>
      </c>
      <c r="W4011" t="s">
        <v>16866</v>
      </c>
      <c r="X4011">
        <v>22</v>
      </c>
      <c r="Y4011" t="s">
        <v>23177</v>
      </c>
      <c r="Z4011" t="s">
        <v>29586</v>
      </c>
      <c r="AA4011">
        <v>0.45343694617993718</v>
      </c>
      <c r="AB4011" t="str">
        <f>HYPERLINK("Melting_Curves/meltCurve_Q6PJT7_9_ZC3H14.pdf", "Melting_Curves/meltCurve_Q6PJT7_9_ZC3H14.pdf")</f>
        <v>Melting_Curves/meltCurve_Q6PJT7_9_ZC3H14.pdf</v>
      </c>
    </row>
    <row r="4012" spans="1:28" x14ac:dyDescent="0.25">
      <c r="A4012" t="s">
        <v>4016</v>
      </c>
      <c r="B4012">
        <v>0.99673306730245903</v>
      </c>
      <c r="C4012">
        <v>0.83055832952334097</v>
      </c>
      <c r="D4012">
        <v>0.90503216990878899</v>
      </c>
      <c r="E4012">
        <v>0.81247022005490999</v>
      </c>
      <c r="F4012">
        <v>0.89317217580488095</v>
      </c>
      <c r="G4012">
        <v>0.519733863703009</v>
      </c>
      <c r="H4012">
        <v>0.43267273471833201</v>
      </c>
      <c r="I4012">
        <v>0.24675491675093</v>
      </c>
      <c r="J4012">
        <v>0.10376848608448</v>
      </c>
      <c r="K4012">
        <v>7.24380645065828E-2</v>
      </c>
      <c r="L4012">
        <v>740.605994834689</v>
      </c>
      <c r="M4012">
        <v>12.7104606150119</v>
      </c>
      <c r="N4012">
        <v>58.267439523574701</v>
      </c>
      <c r="O4012">
        <v>56.881620101811897</v>
      </c>
      <c r="P4012">
        <v>-5.5874427008246803E-2</v>
      </c>
      <c r="Q4012">
        <v>0</v>
      </c>
      <c r="R4012">
        <v>0.94258018414848499</v>
      </c>
      <c r="S4012" t="s">
        <v>10464</v>
      </c>
      <c r="T4012" t="s">
        <v>12902</v>
      </c>
      <c r="U4012" t="s">
        <v>12902</v>
      </c>
      <c r="V4012" t="s">
        <v>12902</v>
      </c>
      <c r="W4012" t="s">
        <v>16867</v>
      </c>
      <c r="X4012">
        <v>1</v>
      </c>
      <c r="Y4012" t="s">
        <v>23178</v>
      </c>
      <c r="Z4012" t="s">
        <v>29587</v>
      </c>
      <c r="AA4012">
        <v>0.62099054971044365</v>
      </c>
      <c r="AB4012" t="str">
        <f>HYPERLINK("Melting_Curves/meltCurve_Q6PJZ0_RAB17.pdf", "Melting_Curves/meltCurve_Q6PJZ0_RAB17.pdf")</f>
        <v>Melting_Curves/meltCurve_Q6PJZ0_RAB17.pdf</v>
      </c>
    </row>
    <row r="4013" spans="1:28" x14ac:dyDescent="0.25">
      <c r="A4013" t="s">
        <v>4017</v>
      </c>
      <c r="B4013">
        <v>0.99673306730245903</v>
      </c>
      <c r="C4013">
        <v>0.69669548148886695</v>
      </c>
      <c r="D4013">
        <v>0.55383716681554995</v>
      </c>
      <c r="E4013">
        <v>0.38940713305937402</v>
      </c>
      <c r="F4013">
        <v>0.30658091936770798</v>
      </c>
      <c r="G4013">
        <v>0.25049532135740399</v>
      </c>
      <c r="H4013">
        <v>0.23804988606314201</v>
      </c>
      <c r="I4013">
        <v>0.31291777091269102</v>
      </c>
      <c r="J4013">
        <v>0.472744982253469</v>
      </c>
      <c r="K4013">
        <v>0.42297663904854099</v>
      </c>
      <c r="L4013">
        <v>1007.41014776621</v>
      </c>
      <c r="M4013">
        <v>22.950905489685699</v>
      </c>
      <c r="N4013">
        <v>46.132991413839697</v>
      </c>
      <c r="O4013">
        <v>43.564955723900397</v>
      </c>
      <c r="P4013">
        <v>-8.7473843355885594E-2</v>
      </c>
      <c r="Q4013">
        <v>0.33584784348225899</v>
      </c>
      <c r="R4013">
        <v>0.88867733778707403</v>
      </c>
      <c r="S4013" t="s">
        <v>10465</v>
      </c>
      <c r="T4013" t="s">
        <v>12902</v>
      </c>
      <c r="U4013" t="s">
        <v>12902</v>
      </c>
      <c r="V4013" t="s">
        <v>12902</v>
      </c>
      <c r="W4013" t="s">
        <v>16868</v>
      </c>
      <c r="X4013">
        <v>1</v>
      </c>
      <c r="Y4013" t="s">
        <v>23179</v>
      </c>
      <c r="Z4013" t="s">
        <v>29588</v>
      </c>
      <c r="AA4013">
        <v>0.43158784333153111</v>
      </c>
      <c r="AB4013" t="str">
        <f>HYPERLINK("Melting_Curves/meltCurve_Q6PK81_2_ZNF773.pdf", "Melting_Curves/meltCurve_Q6PK81_2_ZNF773.pdf")</f>
        <v>Melting_Curves/meltCurve_Q6PK81_2_ZNF773.pdf</v>
      </c>
    </row>
    <row r="4014" spans="1:28" x14ac:dyDescent="0.25">
      <c r="A4014" t="s">
        <v>4018</v>
      </c>
      <c r="B4014">
        <v>0.99673306730245903</v>
      </c>
      <c r="C4014">
        <v>0.93653669245395099</v>
      </c>
      <c r="D4014">
        <v>0.97704218753455996</v>
      </c>
      <c r="E4014">
        <v>0.87599236811719605</v>
      </c>
      <c r="F4014">
        <v>0.61712692324514795</v>
      </c>
      <c r="G4014">
        <v>0.29721546765157197</v>
      </c>
      <c r="H4014">
        <v>0.25703815319669698</v>
      </c>
      <c r="I4014">
        <v>0.174061370520701</v>
      </c>
      <c r="J4014">
        <v>0.116270959186527</v>
      </c>
      <c r="K4014">
        <v>8.4382432160752793E-2</v>
      </c>
      <c r="L4014">
        <v>1063.5628140932299</v>
      </c>
      <c r="M4014">
        <v>19.753534388657101</v>
      </c>
      <c r="N4014">
        <v>54.541851759716998</v>
      </c>
      <c r="O4014">
        <v>53.298956497221504</v>
      </c>
      <c r="P4014">
        <v>-8.2280266613453598E-2</v>
      </c>
      <c r="Q4014">
        <v>0.11199636070416399</v>
      </c>
      <c r="R4014">
        <v>0.99106650139663899</v>
      </c>
      <c r="S4014" t="s">
        <v>10466</v>
      </c>
      <c r="T4014" t="s">
        <v>12902</v>
      </c>
      <c r="U4014" t="s">
        <v>12902</v>
      </c>
      <c r="V4014" t="s">
        <v>12902</v>
      </c>
      <c r="W4014" t="s">
        <v>16869</v>
      </c>
      <c r="X4014">
        <v>2</v>
      </c>
      <c r="Y4014" t="s">
        <v>23180</v>
      </c>
      <c r="Z4014" t="s">
        <v>29589</v>
      </c>
      <c r="AA4014">
        <v>0.5340541258810354</v>
      </c>
      <c r="AB4014" t="str">
        <f>HYPERLINK("Melting_Curves/meltCurve_Q6PKC3_2_TXNDC11.pdf", "Melting_Curves/meltCurve_Q6PKC3_2_TXNDC11.pdf")</f>
        <v>Melting_Curves/meltCurve_Q6PKC3_2_TXNDC11.pdf</v>
      </c>
    </row>
    <row r="4015" spans="1:28" x14ac:dyDescent="0.25">
      <c r="A4015" t="s">
        <v>4019</v>
      </c>
      <c r="B4015">
        <v>0.99673306730245903</v>
      </c>
      <c r="C4015">
        <v>0.98609664759490601</v>
      </c>
      <c r="D4015">
        <v>0.93727327330903298</v>
      </c>
      <c r="E4015">
        <v>0.88924221815375604</v>
      </c>
      <c r="F4015">
        <v>0.45406004335202099</v>
      </c>
      <c r="G4015">
        <v>0.30620691903049002</v>
      </c>
      <c r="H4015">
        <v>0.21884350390660201</v>
      </c>
      <c r="I4015">
        <v>0.295661565366797</v>
      </c>
      <c r="J4015">
        <v>0.37754501114507899</v>
      </c>
      <c r="K4015">
        <v>0.37906409129617002</v>
      </c>
      <c r="L4015">
        <v>2212.7628208095498</v>
      </c>
      <c r="M4015">
        <v>42.982498662327899</v>
      </c>
      <c r="N4015">
        <v>52.689335429946297</v>
      </c>
      <c r="O4015">
        <v>51.369494584743897</v>
      </c>
      <c r="P4015">
        <v>-0.143607529134816</v>
      </c>
      <c r="Q4015">
        <v>0.31348480529269201</v>
      </c>
      <c r="R4015">
        <v>0.97684113586711596</v>
      </c>
      <c r="S4015" t="s">
        <v>10467</v>
      </c>
      <c r="T4015" t="s">
        <v>12902</v>
      </c>
      <c r="U4015" t="s">
        <v>12902</v>
      </c>
      <c r="V4015" t="s">
        <v>12902</v>
      </c>
      <c r="W4015" t="s">
        <v>16870</v>
      </c>
      <c r="X4015">
        <v>9</v>
      </c>
      <c r="Y4015" t="s">
        <v>23181</v>
      </c>
      <c r="Z4015" t="s">
        <v>29590</v>
      </c>
      <c r="AA4015">
        <v>0.57831717629183677</v>
      </c>
      <c r="AB4015" t="str">
        <f>HYPERLINK("Melting_Curves/meltCurve_Q6PKG0_LARP1.pdf", "Melting_Curves/meltCurve_Q6PKG0_LARP1.pdf")</f>
        <v>Melting_Curves/meltCurve_Q6PKG0_LARP1.pdf</v>
      </c>
    </row>
    <row r="4016" spans="1:28" x14ac:dyDescent="0.25">
      <c r="A4016" t="s">
        <v>4020</v>
      </c>
      <c r="B4016">
        <v>0.99673306730245903</v>
      </c>
      <c r="C4016">
        <v>1.12406984747961</v>
      </c>
      <c r="D4016">
        <v>0.23495280430033</v>
      </c>
      <c r="E4016">
        <v>0.41361243454807101</v>
      </c>
      <c r="F4016">
        <v>0.185856314971859</v>
      </c>
      <c r="G4016">
        <v>0.105363014316422</v>
      </c>
      <c r="H4016">
        <v>7.68389876718054E-2</v>
      </c>
      <c r="I4016">
        <v>7.1861145112124006E-2</v>
      </c>
      <c r="J4016">
        <v>7.8721155418102498E-2</v>
      </c>
      <c r="K4016">
        <v>5.9730766077326698E-2</v>
      </c>
      <c r="L4016">
        <v>11403.1815344608</v>
      </c>
      <c r="M4016">
        <v>250</v>
      </c>
      <c r="N4016">
        <v>45.673635630616502</v>
      </c>
      <c r="O4016">
        <v>45.609808041723298</v>
      </c>
      <c r="P4016">
        <v>-1.17612869631327</v>
      </c>
      <c r="Q4016">
        <v>0.141711951214435</v>
      </c>
      <c r="R4016">
        <v>0.92135899768627505</v>
      </c>
      <c r="S4016" t="s">
        <v>10468</v>
      </c>
      <c r="T4016" t="s">
        <v>12902</v>
      </c>
      <c r="U4016" t="s">
        <v>12902</v>
      </c>
      <c r="V4016" t="s">
        <v>12902</v>
      </c>
      <c r="W4016" t="s">
        <v>16871</v>
      </c>
      <c r="X4016">
        <v>5</v>
      </c>
      <c r="Y4016" t="s">
        <v>23182</v>
      </c>
      <c r="Z4016" t="s">
        <v>29591</v>
      </c>
      <c r="AA4016">
        <v>0.30235851569100952</v>
      </c>
      <c r="AB4016" t="str">
        <f>HYPERLINK("Melting_Curves/meltCurve_Q6PL24_TMED8.pdf", "Melting_Curves/meltCurve_Q6PL24_TMED8.pdf")</f>
        <v>Melting_Curves/meltCurve_Q6PL24_TMED8.pdf</v>
      </c>
    </row>
    <row r="4017" spans="1:28" x14ac:dyDescent="0.25">
      <c r="A4017" t="s">
        <v>4021</v>
      </c>
      <c r="B4017">
        <v>0.99673306730245903</v>
      </c>
      <c r="C4017">
        <v>0.91396029940447199</v>
      </c>
      <c r="D4017">
        <v>0.79309648077586903</v>
      </c>
      <c r="E4017">
        <v>0.56571432553568801</v>
      </c>
      <c r="F4017">
        <v>0.17467227366153801</v>
      </c>
      <c r="G4017">
        <v>0.126657835670555</v>
      </c>
      <c r="H4017">
        <v>8.2965146451494207E-2</v>
      </c>
      <c r="I4017">
        <v>8.1044193333555906E-2</v>
      </c>
      <c r="J4017">
        <v>6.29207438815024E-2</v>
      </c>
      <c r="K4017">
        <v>5.4481923414265901E-2</v>
      </c>
      <c r="L4017">
        <v>968.47467013941696</v>
      </c>
      <c r="M4017">
        <v>19.619440947020401</v>
      </c>
      <c r="N4017">
        <v>49.654065950060499</v>
      </c>
      <c r="O4017">
        <v>48.858755526277399</v>
      </c>
      <c r="P4017">
        <v>-9.4938988920678993E-2</v>
      </c>
      <c r="Q4017">
        <v>5.43180172130086E-2</v>
      </c>
      <c r="R4017">
        <v>0.99237126280713095</v>
      </c>
      <c r="S4017" t="s">
        <v>10469</v>
      </c>
      <c r="T4017" t="s">
        <v>12902</v>
      </c>
      <c r="U4017" t="s">
        <v>12902</v>
      </c>
      <c r="V4017" t="s">
        <v>12902</v>
      </c>
      <c r="W4017" t="s">
        <v>16872</v>
      </c>
      <c r="X4017">
        <v>5</v>
      </c>
      <c r="Y4017" t="s">
        <v>23183</v>
      </c>
      <c r="Z4017" t="s">
        <v>29592</v>
      </c>
      <c r="AA4017">
        <v>0.36319131205747462</v>
      </c>
      <c r="AB4017" t="str">
        <f>HYPERLINK("Melting_Curves/meltCurve_Q6PML9_SLC30A9.pdf", "Melting_Curves/meltCurve_Q6PML9_SLC30A9.pdf")</f>
        <v>Melting_Curves/meltCurve_Q6PML9_SLC30A9.pdf</v>
      </c>
    </row>
    <row r="4018" spans="1:28" x14ac:dyDescent="0.25">
      <c r="A4018" t="s">
        <v>4022</v>
      </c>
      <c r="B4018">
        <v>0.99673306730245903</v>
      </c>
      <c r="C4018">
        <v>0.97824179842731596</v>
      </c>
      <c r="D4018">
        <v>0.99649720979225997</v>
      </c>
      <c r="E4018">
        <v>0.92435872561518795</v>
      </c>
      <c r="F4018">
        <v>0.77204817331282105</v>
      </c>
      <c r="G4018">
        <v>0.52462040346389205</v>
      </c>
      <c r="H4018">
        <v>0.296937724917265</v>
      </c>
      <c r="I4018">
        <v>0.33061254256072797</v>
      </c>
      <c r="J4018">
        <v>0.44868214273642698</v>
      </c>
      <c r="K4018">
        <v>0.50996199101061002</v>
      </c>
      <c r="L4018">
        <v>1739.27346632033</v>
      </c>
      <c r="M4018">
        <v>32.246138021282</v>
      </c>
      <c r="N4018">
        <v>56.735133615796897</v>
      </c>
      <c r="O4018">
        <v>53.731254263726001</v>
      </c>
      <c r="P4018">
        <v>-9.0313899643502199E-2</v>
      </c>
      <c r="Q4018">
        <v>0.398048214298101</v>
      </c>
      <c r="R4018">
        <v>0.95010182472075699</v>
      </c>
      <c r="S4018" t="s">
        <v>10470</v>
      </c>
      <c r="T4018" t="s">
        <v>12902</v>
      </c>
      <c r="U4018" t="s">
        <v>12902</v>
      </c>
      <c r="V4018" t="s">
        <v>12902</v>
      </c>
      <c r="W4018" t="s">
        <v>16873</v>
      </c>
      <c r="X4018">
        <v>8</v>
      </c>
      <c r="Y4018" t="s">
        <v>23184</v>
      </c>
      <c r="Z4018" t="s">
        <v>29593</v>
      </c>
      <c r="AA4018">
        <v>0.68113694960997839</v>
      </c>
      <c r="AB4018" t="str">
        <f>HYPERLINK("Melting_Curves/meltCurve_Q6QNY0_BLOC1S3.pdf", "Melting_Curves/meltCurve_Q6QNY0_BLOC1S3.pdf")</f>
        <v>Melting_Curves/meltCurve_Q6QNY0_BLOC1S3.pdf</v>
      </c>
    </row>
    <row r="4019" spans="1:28" x14ac:dyDescent="0.25">
      <c r="A4019" t="s">
        <v>4023</v>
      </c>
      <c r="B4019">
        <v>0.99673306730245903</v>
      </c>
      <c r="C4019">
        <v>0.98581164919113995</v>
      </c>
      <c r="D4019">
        <v>0.95203905195887695</v>
      </c>
      <c r="E4019">
        <v>0.88006885958248204</v>
      </c>
      <c r="F4019">
        <v>0.71722605364570302</v>
      </c>
      <c r="G4019">
        <v>0.48813313702746502</v>
      </c>
      <c r="H4019">
        <v>0.25264782298239702</v>
      </c>
      <c r="I4019">
        <v>0.27775452087781</v>
      </c>
      <c r="J4019">
        <v>0.29439494561544599</v>
      </c>
      <c r="K4019">
        <v>0.256098536282928</v>
      </c>
      <c r="L4019">
        <v>1097.49799494431</v>
      </c>
      <c r="M4019">
        <v>20.204249374926</v>
      </c>
      <c r="N4019">
        <v>56.165058304397903</v>
      </c>
      <c r="O4019">
        <v>53.796416485410901</v>
      </c>
      <c r="P4019">
        <v>-7.1123664631933106E-2</v>
      </c>
      <c r="Q4019">
        <v>0.24252003365521899</v>
      </c>
      <c r="R4019">
        <v>0.99135053086149405</v>
      </c>
      <c r="S4019" t="s">
        <v>10471</v>
      </c>
      <c r="T4019" t="s">
        <v>12902</v>
      </c>
      <c r="U4019" t="s">
        <v>12902</v>
      </c>
      <c r="V4019" t="s">
        <v>12902</v>
      </c>
      <c r="W4019" t="s">
        <v>16874</v>
      </c>
      <c r="X4019">
        <v>4</v>
      </c>
      <c r="Y4019" t="s">
        <v>23185</v>
      </c>
      <c r="Z4019" t="s">
        <v>29594</v>
      </c>
      <c r="AA4019">
        <v>0.61417006966878962</v>
      </c>
      <c r="AB4019" t="str">
        <f>HYPERLINK("Melting_Curves/meltCurve_Q6QNY1_BLOC1S2.pdf", "Melting_Curves/meltCurve_Q6QNY1_BLOC1S2.pdf")</f>
        <v>Melting_Curves/meltCurve_Q6QNY1_BLOC1S2.pdf</v>
      </c>
    </row>
    <row r="4020" spans="1:28" x14ac:dyDescent="0.25">
      <c r="A4020" t="s">
        <v>4024</v>
      </c>
      <c r="B4020">
        <v>0.99673306730245903</v>
      </c>
      <c r="C4020">
        <v>0.96020861520388401</v>
      </c>
      <c r="D4020">
        <v>0.96013485247894603</v>
      </c>
      <c r="E4020">
        <v>1.1993520171928</v>
      </c>
      <c r="F4020">
        <v>1.25345673990419</v>
      </c>
      <c r="G4020">
        <v>0.85535095307148901</v>
      </c>
      <c r="H4020">
        <v>0.23684158935487001</v>
      </c>
      <c r="I4020">
        <v>0.20511282198165401</v>
      </c>
      <c r="J4020">
        <v>0.12750240937801799</v>
      </c>
      <c r="K4020">
        <v>0.139505820886797</v>
      </c>
      <c r="L4020">
        <v>3454.9090988735602</v>
      </c>
      <c r="M4020">
        <v>59.157620662698498</v>
      </c>
      <c r="N4020">
        <v>58.775913734146698</v>
      </c>
      <c r="O4020">
        <v>58.3351351366545</v>
      </c>
      <c r="P4020">
        <v>-0.21374605763920501</v>
      </c>
      <c r="Q4020">
        <v>0.15690324900400399</v>
      </c>
      <c r="R4020">
        <v>0.94132749178041697</v>
      </c>
      <c r="S4020" t="s">
        <v>10472</v>
      </c>
      <c r="T4020" t="s">
        <v>12902</v>
      </c>
      <c r="U4020" t="s">
        <v>12902</v>
      </c>
      <c r="V4020" t="s">
        <v>12902</v>
      </c>
      <c r="W4020" t="s">
        <v>16875</v>
      </c>
      <c r="X4020">
        <v>1</v>
      </c>
      <c r="Y4020" t="s">
        <v>23186</v>
      </c>
      <c r="Z4020" t="s">
        <v>29595</v>
      </c>
      <c r="AA4020">
        <v>0.67559877079633424</v>
      </c>
      <c r="AB4020" t="str">
        <f>HYPERLINK("Melting_Curves/meltCurve_Q6RFH5_2_WDR74.pdf", "Melting_Curves/meltCurve_Q6RFH5_2_WDR74.pdf")</f>
        <v>Melting_Curves/meltCurve_Q6RFH5_2_WDR74.pdf</v>
      </c>
    </row>
    <row r="4021" spans="1:28" x14ac:dyDescent="0.25">
      <c r="A4021" t="s">
        <v>4025</v>
      </c>
      <c r="B4021">
        <v>0.99673306730245903</v>
      </c>
      <c r="C4021">
        <v>0.92390309406827598</v>
      </c>
      <c r="D4021">
        <v>0.81368308371812204</v>
      </c>
      <c r="E4021">
        <v>0.71722514101729995</v>
      </c>
      <c r="F4021">
        <v>0.614416044758199</v>
      </c>
      <c r="G4021">
        <v>0.48270203705133802</v>
      </c>
      <c r="H4021">
        <v>0.39793540336189898</v>
      </c>
      <c r="I4021">
        <v>0.447794566478943</v>
      </c>
      <c r="J4021">
        <v>0.50173882084157795</v>
      </c>
      <c r="K4021">
        <v>0.490741529031053</v>
      </c>
      <c r="L4021">
        <v>703.47066003427904</v>
      </c>
      <c r="M4021">
        <v>14.3847088200987</v>
      </c>
      <c r="N4021">
        <v>57.7922417151592</v>
      </c>
      <c r="O4021">
        <v>47.988041673214099</v>
      </c>
      <c r="P4021">
        <v>-4.1575424636706403E-2</v>
      </c>
      <c r="Q4021">
        <v>0.44527581223203899</v>
      </c>
      <c r="R4021">
        <v>0.96593785178591396</v>
      </c>
      <c r="S4021" t="s">
        <v>10473</v>
      </c>
      <c r="T4021" t="s">
        <v>12902</v>
      </c>
      <c r="U4021" t="s">
        <v>12902</v>
      </c>
      <c r="V4021" t="s">
        <v>12902</v>
      </c>
      <c r="W4021" t="s">
        <v>16876</v>
      </c>
      <c r="X4021">
        <v>3</v>
      </c>
      <c r="Y4021" t="s">
        <v>23187</v>
      </c>
      <c r="Z4021" t="s">
        <v>29596</v>
      </c>
      <c r="AA4021">
        <v>0.62478157880394136</v>
      </c>
      <c r="AB4021" t="str">
        <f>HYPERLINK("Melting_Curves/meltCurve_Q6RW13_AGTRAP.pdf", "Melting_Curves/meltCurve_Q6RW13_AGTRAP.pdf")</f>
        <v>Melting_Curves/meltCurve_Q6RW13_AGTRAP.pdf</v>
      </c>
    </row>
    <row r="4022" spans="1:28" x14ac:dyDescent="0.25">
      <c r="A4022" t="s">
        <v>4026</v>
      </c>
      <c r="B4022">
        <v>0.99673306730245903</v>
      </c>
      <c r="C4022">
        <v>0.97777669284442204</v>
      </c>
      <c r="D4022">
        <v>0.95897813222069594</v>
      </c>
      <c r="E4022">
        <v>0.97495014153903303</v>
      </c>
      <c r="F4022">
        <v>0.61741972239295995</v>
      </c>
      <c r="G4022">
        <v>0.30671016033618997</v>
      </c>
      <c r="H4022">
        <v>0.15645825280890599</v>
      </c>
      <c r="I4022">
        <v>6.2270995681976797E-2</v>
      </c>
      <c r="J4022">
        <v>7.20979308966328E-2</v>
      </c>
      <c r="K4022">
        <v>7.2105588831352804E-2</v>
      </c>
      <c r="L4022">
        <v>1370.5087142447201</v>
      </c>
      <c r="M4022">
        <v>25.263607624888301</v>
      </c>
      <c r="N4022">
        <v>54.5686664208853</v>
      </c>
      <c r="O4022">
        <v>53.911867248293703</v>
      </c>
      <c r="P4022">
        <v>-0.109079694083691</v>
      </c>
      <c r="Q4022">
        <v>6.8919379831500899E-2</v>
      </c>
      <c r="R4022">
        <v>0.99566735332434997</v>
      </c>
      <c r="S4022" t="s">
        <v>10474</v>
      </c>
      <c r="T4022" t="s">
        <v>12902</v>
      </c>
      <c r="U4022" t="s">
        <v>12902</v>
      </c>
      <c r="V4022" t="s">
        <v>12902</v>
      </c>
      <c r="W4022" t="s">
        <v>16877</v>
      </c>
      <c r="X4022">
        <v>14</v>
      </c>
      <c r="Y4022" t="s">
        <v>23188</v>
      </c>
      <c r="Z4022" t="s">
        <v>29597</v>
      </c>
      <c r="AA4022">
        <v>0.51958943545675862</v>
      </c>
      <c r="AB4022" t="str">
        <f>HYPERLINK("Melting_Curves/meltCurve_Q6S8J3_POTEE.pdf", "Melting_Curves/meltCurve_Q6S8J3_POTEE.pdf")</f>
        <v>Melting_Curves/meltCurve_Q6S8J3_POTEE.pdf</v>
      </c>
    </row>
    <row r="4023" spans="1:28" x14ac:dyDescent="0.25">
      <c r="A4023" t="s">
        <v>4027</v>
      </c>
      <c r="B4023">
        <v>0.99673306730245903</v>
      </c>
      <c r="C4023">
        <v>1.0184541458974501</v>
      </c>
      <c r="D4023">
        <v>0.918462683471576</v>
      </c>
      <c r="E4023">
        <v>0.87004865544060395</v>
      </c>
      <c r="F4023">
        <v>0.78893414555791797</v>
      </c>
      <c r="G4023">
        <v>0.57026558497839397</v>
      </c>
      <c r="H4023">
        <v>0.44150429095705102</v>
      </c>
      <c r="I4023">
        <v>0.47920295299474802</v>
      </c>
      <c r="J4023">
        <v>0.70768582020923299</v>
      </c>
      <c r="K4023">
        <v>0.71908198041746496</v>
      </c>
      <c r="L4023">
        <v>1308.05610457784</v>
      </c>
      <c r="M4023">
        <v>25.2801345982624</v>
      </c>
      <c r="O4023">
        <v>51.421945935855902</v>
      </c>
      <c r="P4023">
        <v>-5.1418442703293203E-2</v>
      </c>
      <c r="Q4023">
        <v>0.58164751026811501</v>
      </c>
      <c r="R4023">
        <v>0.78916744386715698</v>
      </c>
      <c r="S4023" t="s">
        <v>10475</v>
      </c>
      <c r="T4023" t="s">
        <v>12902</v>
      </c>
      <c r="U4023" t="s">
        <v>12902</v>
      </c>
      <c r="V4023" t="s">
        <v>12902</v>
      </c>
      <c r="W4023" t="s">
        <v>16878</v>
      </c>
      <c r="X4023">
        <v>1</v>
      </c>
      <c r="Y4023" t="s">
        <v>23189</v>
      </c>
      <c r="Z4023" t="s">
        <v>29598</v>
      </c>
      <c r="AA4023">
        <v>0.74912489588388553</v>
      </c>
      <c r="AB4023" t="str">
        <f>HYPERLINK("Melting_Curves/meltCurve_Q6SZW1_2_SARM1.pdf", "Melting_Curves/meltCurve_Q6SZW1_2_SARM1.pdf")</f>
        <v>Melting_Curves/meltCurve_Q6SZW1_2_SARM1.pdf</v>
      </c>
    </row>
    <row r="4024" spans="1:28" x14ac:dyDescent="0.25">
      <c r="A4024" t="s">
        <v>4028</v>
      </c>
      <c r="B4024">
        <v>0.99673306730245903</v>
      </c>
      <c r="C4024">
        <v>1.0121994049401499</v>
      </c>
      <c r="D4024">
        <v>1.0108416450648401</v>
      </c>
      <c r="E4024">
        <v>0.89360815900936796</v>
      </c>
      <c r="F4024">
        <v>0.56293211931076304</v>
      </c>
      <c r="G4024">
        <v>0.31082877914449603</v>
      </c>
      <c r="H4024">
        <v>0.16686327283371899</v>
      </c>
      <c r="I4024">
        <v>0.122531047150892</v>
      </c>
      <c r="J4024">
        <v>0.119311930347515</v>
      </c>
      <c r="K4024">
        <v>0.11658057911113701</v>
      </c>
      <c r="L4024">
        <v>1277.08331363404</v>
      </c>
      <c r="M4024">
        <v>23.883099510012801</v>
      </c>
      <c r="N4024">
        <v>54.063604986475198</v>
      </c>
      <c r="O4024">
        <v>53.1016269477158</v>
      </c>
      <c r="P4024">
        <v>-9.95169518047051E-2</v>
      </c>
      <c r="Q4024">
        <v>0.11495160299762899</v>
      </c>
      <c r="R4024">
        <v>0.99852184443969105</v>
      </c>
      <c r="S4024" t="s">
        <v>10476</v>
      </c>
      <c r="T4024" t="s">
        <v>12902</v>
      </c>
      <c r="U4024" t="s">
        <v>12902</v>
      </c>
      <c r="V4024" t="s">
        <v>12902</v>
      </c>
      <c r="W4024" t="s">
        <v>16879</v>
      </c>
      <c r="X4024">
        <v>6</v>
      </c>
      <c r="Y4024" t="s">
        <v>23190</v>
      </c>
      <c r="Z4024" t="s">
        <v>29599</v>
      </c>
      <c r="AA4024">
        <v>0.52129320311982452</v>
      </c>
      <c r="AB4024" t="str">
        <f>HYPERLINK("Melting_Curves/meltCurve_Q6UB28_METAP1D.pdf", "Melting_Curves/meltCurve_Q6UB28_METAP1D.pdf")</f>
        <v>Melting_Curves/meltCurve_Q6UB28_METAP1D.pdf</v>
      </c>
    </row>
    <row r="4025" spans="1:28" x14ac:dyDescent="0.25">
      <c r="A4025" t="s">
        <v>4029</v>
      </c>
      <c r="B4025">
        <v>0.99673306730245903</v>
      </c>
      <c r="C4025">
        <v>0.78932783253203598</v>
      </c>
      <c r="D4025">
        <v>1.0627400399739599</v>
      </c>
      <c r="E4025">
        <v>0.89969427104023303</v>
      </c>
      <c r="F4025">
        <v>0.22904374777522199</v>
      </c>
      <c r="G4025">
        <v>0.116416144916797</v>
      </c>
      <c r="H4025">
        <v>6.4510907694089001E-2</v>
      </c>
      <c r="I4025">
        <v>6.2000742347544401E-2</v>
      </c>
      <c r="J4025">
        <v>6.2497153724024999E-2</v>
      </c>
      <c r="K4025">
        <v>5.1588243729125002E-2</v>
      </c>
      <c r="L4025">
        <v>2677.6844217459402</v>
      </c>
      <c r="M4025">
        <v>51.8789292818146</v>
      </c>
      <c r="N4025">
        <v>51.7624827787808</v>
      </c>
      <c r="O4025">
        <v>51.5375836398118</v>
      </c>
      <c r="P4025">
        <v>-0.23426870542164999</v>
      </c>
      <c r="Q4025">
        <v>6.9091489170278894E-2</v>
      </c>
      <c r="R4025">
        <v>0.97125615257923403</v>
      </c>
      <c r="S4025" t="s">
        <v>10477</v>
      </c>
      <c r="T4025" t="s">
        <v>12902</v>
      </c>
      <c r="U4025" t="s">
        <v>12902</v>
      </c>
      <c r="V4025" t="s">
        <v>12902</v>
      </c>
      <c r="W4025" t="s">
        <v>16880</v>
      </c>
      <c r="X4025">
        <v>44</v>
      </c>
      <c r="Y4025" t="s">
        <v>23191</v>
      </c>
      <c r="Z4025" t="s">
        <v>29600</v>
      </c>
      <c r="AA4025">
        <v>0.43144823609193023</v>
      </c>
      <c r="AB4025" t="str">
        <f>HYPERLINK("Melting_Curves/meltCurve_Q6UB35_MTHFD1L.pdf", "Melting_Curves/meltCurve_Q6UB35_MTHFD1L.pdf")</f>
        <v>Melting_Curves/meltCurve_Q6UB35_MTHFD1L.pdf</v>
      </c>
    </row>
    <row r="4026" spans="1:28" x14ac:dyDescent="0.25">
      <c r="A4026" t="s">
        <v>4030</v>
      </c>
      <c r="B4026">
        <v>0.99673306730245903</v>
      </c>
      <c r="C4026">
        <v>0.95927221237062998</v>
      </c>
      <c r="D4026">
        <v>0.95898111395291397</v>
      </c>
      <c r="E4026">
        <v>0.762467546391837</v>
      </c>
      <c r="F4026">
        <v>0.35592197185102398</v>
      </c>
      <c r="G4026">
        <v>0.23180254024737301</v>
      </c>
      <c r="H4026">
        <v>0.15899868860699101</v>
      </c>
      <c r="I4026">
        <v>0.14360171715693701</v>
      </c>
      <c r="J4026">
        <v>0.21945692868580099</v>
      </c>
      <c r="K4026">
        <v>0.243001689319849</v>
      </c>
      <c r="L4026">
        <v>1598.0905234704901</v>
      </c>
      <c r="M4026">
        <v>31.374592505179098</v>
      </c>
      <c r="N4026">
        <v>51.731869710379598</v>
      </c>
      <c r="O4026">
        <v>50.730232180755301</v>
      </c>
      <c r="P4026">
        <v>-0.12501165542882001</v>
      </c>
      <c r="Q4026">
        <v>0.19146865528042101</v>
      </c>
      <c r="R4026">
        <v>0.99256996561391597</v>
      </c>
      <c r="S4026" t="s">
        <v>10478</v>
      </c>
      <c r="T4026" t="s">
        <v>12902</v>
      </c>
      <c r="U4026" t="s">
        <v>12902</v>
      </c>
      <c r="V4026" t="s">
        <v>12902</v>
      </c>
      <c r="W4026" t="s">
        <v>16881</v>
      </c>
      <c r="X4026">
        <v>6</v>
      </c>
      <c r="Y4026" t="s">
        <v>23192</v>
      </c>
      <c r="Z4026" t="s">
        <v>29601</v>
      </c>
      <c r="AA4026">
        <v>0.49084204769082967</v>
      </c>
      <c r="AB4026" t="str">
        <f>HYPERLINK("Melting_Curves/meltCurve_Q6ULP2_5_AFTPH.pdf", "Melting_Curves/meltCurve_Q6ULP2_5_AFTPH.pdf")</f>
        <v>Melting_Curves/meltCurve_Q6ULP2_5_AFTPH.pdf</v>
      </c>
    </row>
    <row r="4027" spans="1:28" x14ac:dyDescent="0.25">
      <c r="A4027" t="s">
        <v>4031</v>
      </c>
      <c r="B4027">
        <v>0.99673306730245903</v>
      </c>
      <c r="C4027">
        <v>0.89806336603155601</v>
      </c>
      <c r="D4027">
        <v>0.82571052713856696</v>
      </c>
      <c r="E4027">
        <v>0.71153711526166297</v>
      </c>
      <c r="F4027">
        <v>0.78207763475044201</v>
      </c>
      <c r="G4027">
        <v>0.78056154423948598</v>
      </c>
      <c r="H4027">
        <v>0.61658221498989496</v>
      </c>
      <c r="I4027">
        <v>1.0939879298900701</v>
      </c>
      <c r="J4027">
        <v>1.68005868815128</v>
      </c>
      <c r="K4027">
        <v>1.7862536785241301</v>
      </c>
      <c r="L4027">
        <v>15000</v>
      </c>
      <c r="M4027">
        <v>232.91307135342299</v>
      </c>
      <c r="O4027">
        <v>64.396961703339301</v>
      </c>
      <c r="P4027">
        <v>0.452104155908158</v>
      </c>
      <c r="Q4027">
        <v>1.5</v>
      </c>
      <c r="R4027">
        <v>0.66899406829419505</v>
      </c>
      <c r="S4027" t="s">
        <v>10479</v>
      </c>
      <c r="T4027" t="s">
        <v>12902</v>
      </c>
      <c r="U4027" t="s">
        <v>12902</v>
      </c>
      <c r="V4027" t="s">
        <v>12902</v>
      </c>
      <c r="W4027" t="s">
        <v>16882</v>
      </c>
      <c r="X4027">
        <v>13</v>
      </c>
      <c r="Y4027" t="s">
        <v>23193</v>
      </c>
      <c r="Z4027" t="s">
        <v>29602</v>
      </c>
      <c r="AA4027">
        <v>1.0932397288704201</v>
      </c>
      <c r="AB4027" t="str">
        <f>HYPERLINK("Melting_Curves/meltCurve_Q6UN15_FIP1L1.pdf", "Melting_Curves/meltCurve_Q6UN15_FIP1L1.pdf")</f>
        <v>Melting_Curves/meltCurve_Q6UN15_FIP1L1.pdf</v>
      </c>
    </row>
    <row r="4028" spans="1:28" x14ac:dyDescent="0.25">
      <c r="A4028" t="s">
        <v>4032</v>
      </c>
      <c r="B4028">
        <v>0.99673306730245903</v>
      </c>
      <c r="C4028">
        <v>0.996664156151711</v>
      </c>
      <c r="D4028">
        <v>0.94397851388512599</v>
      </c>
      <c r="E4028">
        <v>0.803033075599349</v>
      </c>
      <c r="F4028">
        <v>0.51371967193004597</v>
      </c>
      <c r="G4028">
        <v>0.23232410463867201</v>
      </c>
      <c r="H4028">
        <v>0.105268386782124</v>
      </c>
      <c r="I4028">
        <v>0.16955956386433299</v>
      </c>
      <c r="J4028">
        <v>0.365126752741606</v>
      </c>
      <c r="K4028">
        <v>0.45015790045355802</v>
      </c>
      <c r="L4028">
        <v>1570.24228365007</v>
      </c>
      <c r="M4028">
        <v>30.494355230801599</v>
      </c>
      <c r="N4028">
        <v>52.775334407577198</v>
      </c>
      <c r="O4028">
        <v>51.272961274100602</v>
      </c>
      <c r="P4028">
        <v>-0.109777953118723</v>
      </c>
      <c r="Q4028">
        <v>0.26168547073130899</v>
      </c>
      <c r="R4028">
        <v>0.91798818659261905</v>
      </c>
      <c r="S4028" t="s">
        <v>10480</v>
      </c>
      <c r="T4028" t="s">
        <v>12902</v>
      </c>
      <c r="U4028" t="s">
        <v>12902</v>
      </c>
      <c r="V4028" t="s">
        <v>12902</v>
      </c>
      <c r="W4028" t="s">
        <v>16883</v>
      </c>
      <c r="X4028">
        <v>1</v>
      </c>
      <c r="Y4028" t="s">
        <v>23194</v>
      </c>
      <c r="Z4028" t="s">
        <v>29603</v>
      </c>
      <c r="AA4028">
        <v>0.5490603275426521</v>
      </c>
      <c r="AB4028" t="str">
        <f>HYPERLINK("Melting_Curves/meltCurve_Q6UUV9_3_CRTC1.pdf", "Melting_Curves/meltCurve_Q6UUV9_3_CRTC1.pdf")</f>
        <v>Melting_Curves/meltCurve_Q6UUV9_3_CRTC1.pdf</v>
      </c>
    </row>
    <row r="4029" spans="1:28" x14ac:dyDescent="0.25">
      <c r="A4029" t="s">
        <v>4033</v>
      </c>
      <c r="B4029">
        <v>0.99673306730245903</v>
      </c>
      <c r="C4029">
        <v>0.93073011817890705</v>
      </c>
      <c r="D4029">
        <v>0.86634693739582602</v>
      </c>
      <c r="E4029">
        <v>0.72722149032865702</v>
      </c>
      <c r="F4029">
        <v>0.49586328227063098</v>
      </c>
      <c r="G4029">
        <v>0.278136673377052</v>
      </c>
      <c r="H4029">
        <v>0.339123178371037</v>
      </c>
      <c r="I4029">
        <v>0.33382887019926999</v>
      </c>
      <c r="J4029">
        <v>0.40982357978912098</v>
      </c>
      <c r="K4029">
        <v>0.26718282060174697</v>
      </c>
      <c r="L4029">
        <v>992.91643028380497</v>
      </c>
      <c r="M4029">
        <v>19.819422521219</v>
      </c>
      <c r="N4029">
        <v>52.708161873347301</v>
      </c>
      <c r="O4029">
        <v>49.5964687342357</v>
      </c>
      <c r="P4029">
        <v>-6.8674823929765205E-2</v>
      </c>
      <c r="Q4029">
        <v>0.31261056372208901</v>
      </c>
      <c r="R4029">
        <v>0.96634345191641902</v>
      </c>
      <c r="S4029" t="s">
        <v>10481</v>
      </c>
      <c r="T4029" t="s">
        <v>12902</v>
      </c>
      <c r="U4029" t="s">
        <v>12902</v>
      </c>
      <c r="V4029" t="s">
        <v>12902</v>
      </c>
      <c r="W4029" t="s">
        <v>16884</v>
      </c>
      <c r="X4029">
        <v>1</v>
      </c>
      <c r="Y4029" t="s">
        <v>23195</v>
      </c>
      <c r="Z4029" t="s">
        <v>29604</v>
      </c>
      <c r="AA4029">
        <v>0.55372510401119557</v>
      </c>
      <c r="AB4029" t="str">
        <f>HYPERLINK("Melting_Curves/meltCurve_Q6UW56_ATRAID.pdf", "Melting_Curves/meltCurve_Q6UW56_ATRAID.pdf")</f>
        <v>Melting_Curves/meltCurve_Q6UW56_ATRAID.pdf</v>
      </c>
    </row>
    <row r="4030" spans="1:28" x14ac:dyDescent="0.25">
      <c r="A4030" t="s">
        <v>4034</v>
      </c>
      <c r="B4030">
        <v>0.99673306730245903</v>
      </c>
      <c r="C4030">
        <v>1.00056589007394</v>
      </c>
      <c r="D4030">
        <v>0.94161389382459904</v>
      </c>
      <c r="E4030">
        <v>0.73037394552949997</v>
      </c>
      <c r="F4030">
        <v>0.27894783606232398</v>
      </c>
      <c r="G4030">
        <v>0.186726615296093</v>
      </c>
      <c r="H4030">
        <v>0.14939896708716499</v>
      </c>
      <c r="I4030">
        <v>0.13000419311368699</v>
      </c>
      <c r="J4030">
        <v>0.11666941670380999</v>
      </c>
      <c r="K4030">
        <v>0.101466724907531</v>
      </c>
      <c r="L4030">
        <v>1564.9803862345</v>
      </c>
      <c r="M4030">
        <v>30.816916270557201</v>
      </c>
      <c r="N4030">
        <v>51.2668342011631</v>
      </c>
      <c r="O4030">
        <v>50.570749871605301</v>
      </c>
      <c r="P4030">
        <v>-0.1331286663091</v>
      </c>
      <c r="Q4030">
        <v>0.12614519061239299</v>
      </c>
      <c r="R4030">
        <v>0.997889948342504</v>
      </c>
      <c r="S4030" t="s">
        <v>10482</v>
      </c>
      <c r="T4030" t="s">
        <v>12902</v>
      </c>
      <c r="U4030" t="s">
        <v>12902</v>
      </c>
      <c r="V4030" t="s">
        <v>12902</v>
      </c>
      <c r="W4030" t="s">
        <v>16885</v>
      </c>
      <c r="X4030">
        <v>4</v>
      </c>
      <c r="Y4030" t="s">
        <v>23196</v>
      </c>
      <c r="Z4030" t="s">
        <v>29605</v>
      </c>
      <c r="AA4030">
        <v>0.44542957426137841</v>
      </c>
      <c r="AB4030" t="str">
        <f>HYPERLINK("Melting_Curves/meltCurve_Q6UW63_KDELC1.pdf", "Melting_Curves/meltCurve_Q6UW63_KDELC1.pdf")</f>
        <v>Melting_Curves/meltCurve_Q6UW63_KDELC1.pdf</v>
      </c>
    </row>
    <row r="4031" spans="1:28" x14ac:dyDescent="0.25">
      <c r="A4031" t="s">
        <v>4035</v>
      </c>
      <c r="B4031">
        <v>0.99673306730245903</v>
      </c>
      <c r="C4031">
        <v>0.97767768589188597</v>
      </c>
      <c r="D4031">
        <v>0.92773107862276605</v>
      </c>
      <c r="E4031">
        <v>0.80553703494637596</v>
      </c>
      <c r="F4031">
        <v>0.64529893513965397</v>
      </c>
      <c r="G4031">
        <v>0.50243739664328502</v>
      </c>
      <c r="H4031">
        <v>0.424913007635628</v>
      </c>
      <c r="I4031">
        <v>0.41709645297828901</v>
      </c>
      <c r="J4031">
        <v>0.47661825599663898</v>
      </c>
      <c r="K4031">
        <v>0.45216147995163702</v>
      </c>
      <c r="L4031">
        <v>963.28070108879001</v>
      </c>
      <c r="M4031">
        <v>18.760777703114702</v>
      </c>
      <c r="N4031">
        <v>57.389833495131597</v>
      </c>
      <c r="O4031">
        <v>50.772747227105199</v>
      </c>
      <c r="P4031">
        <v>-5.2593599309349003E-2</v>
      </c>
      <c r="Q4031">
        <v>0.43068252601491303</v>
      </c>
      <c r="R4031">
        <v>0.99129237417840599</v>
      </c>
      <c r="S4031" t="s">
        <v>10483</v>
      </c>
      <c r="T4031" t="s">
        <v>12902</v>
      </c>
      <c r="U4031" t="s">
        <v>12902</v>
      </c>
      <c r="V4031" t="s">
        <v>12902</v>
      </c>
      <c r="W4031" t="s">
        <v>16886</v>
      </c>
      <c r="X4031">
        <v>3</v>
      </c>
      <c r="Y4031" t="s">
        <v>23197</v>
      </c>
      <c r="Z4031" t="s">
        <v>29606</v>
      </c>
      <c r="AA4031">
        <v>0.65486083658247318</v>
      </c>
      <c r="AB4031" t="str">
        <f>HYPERLINK("Melting_Curves/meltCurve_Q6UW78_C11orf83.pdf", "Melting_Curves/meltCurve_Q6UW78_C11orf83.pdf")</f>
        <v>Melting_Curves/meltCurve_Q6UW78_C11orf83.pdf</v>
      </c>
    </row>
    <row r="4032" spans="1:28" x14ac:dyDescent="0.25">
      <c r="A4032" t="s">
        <v>4036</v>
      </c>
      <c r="B4032">
        <v>0.99673306730245903</v>
      </c>
      <c r="C4032">
        <v>1.06425329470842</v>
      </c>
      <c r="D4032">
        <v>0.67687358569706801</v>
      </c>
      <c r="E4032">
        <v>0.60397387419509396</v>
      </c>
      <c r="F4032">
        <v>0.21156332190688601</v>
      </c>
      <c r="G4032">
        <v>0.122158532861223</v>
      </c>
      <c r="H4032">
        <v>8.0271894370043201E-2</v>
      </c>
      <c r="I4032">
        <v>6.8288840055718503E-2</v>
      </c>
      <c r="J4032">
        <v>6.3304733485023607E-2</v>
      </c>
      <c r="K4032">
        <v>5.632996193124E-2</v>
      </c>
      <c r="L4032">
        <v>896.05771135661996</v>
      </c>
      <c r="M4032">
        <v>18.110203748853198</v>
      </c>
      <c r="N4032">
        <v>49.753900498451799</v>
      </c>
      <c r="O4032">
        <v>48.886610612811701</v>
      </c>
      <c r="P4032">
        <v>-8.8193908269359994E-2</v>
      </c>
      <c r="Q4032">
        <v>4.7764673582421098E-2</v>
      </c>
      <c r="R4032">
        <v>0.97152589848277104</v>
      </c>
      <c r="S4032" t="s">
        <v>10484</v>
      </c>
      <c r="T4032" t="s">
        <v>12902</v>
      </c>
      <c r="U4032" t="s">
        <v>12902</v>
      </c>
      <c r="V4032" t="s">
        <v>12902</v>
      </c>
      <c r="W4032" t="s">
        <v>16887</v>
      </c>
      <c r="X4032">
        <v>28</v>
      </c>
      <c r="Y4032" t="s">
        <v>23198</v>
      </c>
      <c r="Z4032" t="s">
        <v>29607</v>
      </c>
      <c r="AA4032">
        <v>0.36477533741601181</v>
      </c>
      <c r="AB4032" t="str">
        <f>HYPERLINK("Melting_Curves/meltCurve_Q6UWE0_LRSAM1.pdf", "Melting_Curves/meltCurve_Q6UWE0_LRSAM1.pdf")</f>
        <v>Melting_Curves/meltCurve_Q6UWE0_LRSAM1.pdf</v>
      </c>
    </row>
    <row r="4033" spans="1:28" x14ac:dyDescent="0.25">
      <c r="A4033" t="s">
        <v>4037</v>
      </c>
      <c r="B4033">
        <v>0.99673306730245903</v>
      </c>
      <c r="C4033">
        <v>1.0293348005688201</v>
      </c>
      <c r="D4033">
        <v>1.0361502330519401</v>
      </c>
      <c r="E4033">
        <v>1.1105309601592099</v>
      </c>
      <c r="F4033">
        <v>0.966881806065778</v>
      </c>
      <c r="G4033">
        <v>0.36312397616334802</v>
      </c>
      <c r="H4033">
        <v>9.61036945251071E-2</v>
      </c>
      <c r="I4033">
        <v>7.1155257165428795E-2</v>
      </c>
      <c r="J4033">
        <v>4.9352984632972198E-2</v>
      </c>
      <c r="K4033">
        <v>3.2355866341984597E-2</v>
      </c>
      <c r="L4033">
        <v>3277.6480459352501</v>
      </c>
      <c r="M4033">
        <v>58.4330776466876</v>
      </c>
      <c r="N4033">
        <v>56.213380553019697</v>
      </c>
      <c r="O4033">
        <v>56.026733480395002</v>
      </c>
      <c r="P4033">
        <v>-0.24532432197891499</v>
      </c>
      <c r="Q4033">
        <v>5.9113768133382601E-2</v>
      </c>
      <c r="R4033">
        <v>0.99242263077081305</v>
      </c>
      <c r="S4033" t="s">
        <v>10485</v>
      </c>
      <c r="T4033" t="s">
        <v>12902</v>
      </c>
      <c r="U4033" t="s">
        <v>12902</v>
      </c>
      <c r="V4033" t="s">
        <v>12902</v>
      </c>
      <c r="W4033" t="s">
        <v>16888</v>
      </c>
      <c r="X4033">
        <v>7</v>
      </c>
      <c r="Y4033" t="s">
        <v>23199</v>
      </c>
      <c r="Z4033" t="s">
        <v>29608</v>
      </c>
      <c r="AA4033">
        <v>0.56551731928504723</v>
      </c>
      <c r="AB4033" t="str">
        <f>HYPERLINK("Melting_Curves/meltCurve_Q6UWP2_DHRS11.pdf", "Melting_Curves/meltCurve_Q6UWP2_DHRS11.pdf")</f>
        <v>Melting_Curves/meltCurve_Q6UWP2_DHRS11.pdf</v>
      </c>
    </row>
    <row r="4034" spans="1:28" x14ac:dyDescent="0.25">
      <c r="A4034" t="s">
        <v>4038</v>
      </c>
      <c r="B4034">
        <v>0.99673306730245903</v>
      </c>
      <c r="C4034">
        <v>0.94673304765965605</v>
      </c>
      <c r="D4034">
        <v>0.89823686265889002</v>
      </c>
      <c r="E4034">
        <v>0.7586591756969</v>
      </c>
      <c r="F4034">
        <v>0.53381064447328397</v>
      </c>
      <c r="G4034">
        <v>0.36480204376341102</v>
      </c>
      <c r="H4034">
        <v>0.18169176017483599</v>
      </c>
      <c r="I4034">
        <v>0.18794042343588199</v>
      </c>
      <c r="J4034">
        <v>0.15950122947753301</v>
      </c>
      <c r="K4034">
        <v>0.10095791245774199</v>
      </c>
      <c r="L4034">
        <v>731.28476763459503</v>
      </c>
      <c r="M4034">
        <v>13.7730835994742</v>
      </c>
      <c r="N4034">
        <v>53.840692292729699</v>
      </c>
      <c r="O4034">
        <v>52.013454705973501</v>
      </c>
      <c r="P4034">
        <v>-6.0461288016760699E-2</v>
      </c>
      <c r="Q4034">
        <v>8.68110465637182E-2</v>
      </c>
      <c r="R4034">
        <v>0.99677121080045605</v>
      </c>
      <c r="S4034" t="s">
        <v>10486</v>
      </c>
      <c r="T4034" t="s">
        <v>12902</v>
      </c>
      <c r="U4034" t="s">
        <v>12902</v>
      </c>
      <c r="V4034" t="s">
        <v>12902</v>
      </c>
      <c r="W4034" t="s">
        <v>16889</v>
      </c>
      <c r="X4034">
        <v>8</v>
      </c>
      <c r="Y4034" t="s">
        <v>23200</v>
      </c>
      <c r="Z4034" t="s">
        <v>29609</v>
      </c>
      <c r="AA4034">
        <v>0.50733892135559366</v>
      </c>
      <c r="AB4034" t="str">
        <f>HYPERLINK("Melting_Curves/meltCurve_Q6UWP7_3_LCLAT1.pdf", "Melting_Curves/meltCurve_Q6UWP7_3_LCLAT1.pdf")</f>
        <v>Melting_Curves/meltCurve_Q6UWP7_3_LCLAT1.pdf</v>
      </c>
    </row>
    <row r="4035" spans="1:28" x14ac:dyDescent="0.25">
      <c r="A4035" t="s">
        <v>4039</v>
      </c>
      <c r="B4035">
        <v>0.99673306730245903</v>
      </c>
      <c r="C4035">
        <v>0.98583931454075102</v>
      </c>
      <c r="D4035">
        <v>0.88919770104056495</v>
      </c>
      <c r="E4035">
        <v>0.65075351443399398</v>
      </c>
      <c r="F4035">
        <v>0.36613199118108503</v>
      </c>
      <c r="G4035">
        <v>0.19187215102501001</v>
      </c>
      <c r="H4035">
        <v>0.137289397587398</v>
      </c>
      <c r="I4035">
        <v>0.116358168218723</v>
      </c>
      <c r="J4035">
        <v>0.12617451246448899</v>
      </c>
      <c r="K4035">
        <v>9.6644146543472795E-2</v>
      </c>
      <c r="L4035">
        <v>998.53960808146905</v>
      </c>
      <c r="M4035">
        <v>19.681413024105002</v>
      </c>
      <c r="N4035">
        <v>51.337900196291599</v>
      </c>
      <c r="O4035">
        <v>50.220089483538999</v>
      </c>
      <c r="P4035">
        <v>-8.7871756806566004E-2</v>
      </c>
      <c r="Q4035">
        <v>0.10315900229795499</v>
      </c>
      <c r="R4035">
        <v>0.99953880869394396</v>
      </c>
      <c r="S4035" t="s">
        <v>10487</v>
      </c>
      <c r="T4035" t="s">
        <v>12902</v>
      </c>
      <c r="U4035" t="s">
        <v>12902</v>
      </c>
      <c r="V4035" t="s">
        <v>12902</v>
      </c>
      <c r="W4035" t="s">
        <v>16890</v>
      </c>
      <c r="X4035">
        <v>4</v>
      </c>
      <c r="Y4035" t="s">
        <v>23201</v>
      </c>
      <c r="Z4035" t="s">
        <v>29610</v>
      </c>
      <c r="AA4035">
        <v>0.43692451483504058</v>
      </c>
      <c r="AB4035" t="str">
        <f>HYPERLINK("Melting_Curves/meltCurve_Q6UWW0_LCN15.pdf", "Melting_Curves/meltCurve_Q6UWW0_LCN15.pdf")</f>
        <v>Melting_Curves/meltCurve_Q6UWW0_LCN15.pdf</v>
      </c>
    </row>
    <row r="4036" spans="1:28" x14ac:dyDescent="0.25">
      <c r="A4036" t="s">
        <v>4040</v>
      </c>
      <c r="B4036">
        <v>0.99673306730245903</v>
      </c>
      <c r="C4036">
        <v>1.0915084803772901</v>
      </c>
      <c r="D4036">
        <v>0.99869080157214196</v>
      </c>
      <c r="E4036">
        <v>0.82864384041615902</v>
      </c>
      <c r="F4036">
        <v>0.374330157106323</v>
      </c>
      <c r="G4036">
        <v>0.19998082515535801</v>
      </c>
      <c r="H4036">
        <v>0.12115929731341001</v>
      </c>
      <c r="I4036">
        <v>0.142805437057446</v>
      </c>
      <c r="J4036">
        <v>0.13546539695346899</v>
      </c>
      <c r="K4036">
        <v>0.12612136508611901</v>
      </c>
      <c r="L4036">
        <v>1703.3212550987801</v>
      </c>
      <c r="M4036">
        <v>32.938713746047597</v>
      </c>
      <c r="N4036">
        <v>52.205368761825</v>
      </c>
      <c r="O4036">
        <v>51.522326008451202</v>
      </c>
      <c r="P4036">
        <v>-0.13844431114766001</v>
      </c>
      <c r="Q4036">
        <v>0.13379208116705199</v>
      </c>
      <c r="R4036">
        <v>0.99389697050054004</v>
      </c>
      <c r="S4036" t="s">
        <v>10488</v>
      </c>
      <c r="T4036" t="s">
        <v>12902</v>
      </c>
      <c r="U4036" t="s">
        <v>12902</v>
      </c>
      <c r="V4036" t="s">
        <v>12902</v>
      </c>
      <c r="W4036" t="s">
        <v>16891</v>
      </c>
      <c r="X4036">
        <v>2</v>
      </c>
      <c r="Y4036" t="s">
        <v>23202</v>
      </c>
      <c r="Z4036" t="s">
        <v>29611</v>
      </c>
      <c r="AA4036">
        <v>0.47652674849359811</v>
      </c>
      <c r="AB4036" t="str">
        <f>HYPERLINK("Melting_Curves/meltCurve_Q6UWY0_ARSK.pdf", "Melting_Curves/meltCurve_Q6UWY0_ARSK.pdf")</f>
        <v>Melting_Curves/meltCurve_Q6UWY0_ARSK.pdf</v>
      </c>
    </row>
    <row r="4037" spans="1:28" x14ac:dyDescent="0.25">
      <c r="A4037" t="s">
        <v>4041</v>
      </c>
      <c r="B4037">
        <v>0.99673306730245903</v>
      </c>
      <c r="C4037">
        <v>0.99230612468037005</v>
      </c>
      <c r="D4037">
        <v>0.87675524889226897</v>
      </c>
      <c r="E4037">
        <v>0.48093891129322802</v>
      </c>
      <c r="F4037">
        <v>0.27179919855714701</v>
      </c>
      <c r="G4037">
        <v>0.160369906768425</v>
      </c>
      <c r="H4037">
        <v>9.6110718007021798E-2</v>
      </c>
      <c r="I4037">
        <v>9.4686216569458401E-2</v>
      </c>
      <c r="J4037">
        <v>9.5653071240574594E-2</v>
      </c>
      <c r="K4037">
        <v>9.7557111095597102E-2</v>
      </c>
      <c r="L4037">
        <v>1132.53143907392</v>
      </c>
      <c r="M4037">
        <v>22.9828107778368</v>
      </c>
      <c r="N4037">
        <v>49.757165375817003</v>
      </c>
      <c r="O4037">
        <v>48.9088263846457</v>
      </c>
      <c r="P4037">
        <v>-0.105802968503923</v>
      </c>
      <c r="Q4037">
        <v>9.9396605586590206E-2</v>
      </c>
      <c r="R4037">
        <v>0.997081890776923</v>
      </c>
      <c r="S4037" t="s">
        <v>10489</v>
      </c>
      <c r="T4037" t="s">
        <v>12902</v>
      </c>
      <c r="U4037" t="s">
        <v>12902</v>
      </c>
      <c r="V4037" t="s">
        <v>12902</v>
      </c>
      <c r="W4037" t="s">
        <v>16892</v>
      </c>
      <c r="X4037">
        <v>11</v>
      </c>
      <c r="Y4037" t="s">
        <v>23203</v>
      </c>
      <c r="Z4037" t="s">
        <v>29612</v>
      </c>
      <c r="AA4037">
        <v>0.38739907670175328</v>
      </c>
      <c r="AB4037" t="str">
        <f>HYPERLINK("Melting_Curves/meltCurve_Q6UX04_CWC27.pdf", "Melting_Curves/meltCurve_Q6UX04_CWC27.pdf")</f>
        <v>Melting_Curves/meltCurve_Q6UX04_CWC27.pdf</v>
      </c>
    </row>
    <row r="4038" spans="1:28" x14ac:dyDescent="0.25">
      <c r="A4038" t="s">
        <v>4042</v>
      </c>
      <c r="B4038">
        <v>0.99673306730245903</v>
      </c>
      <c r="C4038">
        <v>0.96490667905749905</v>
      </c>
      <c r="D4038">
        <v>0.93535152550855405</v>
      </c>
      <c r="E4038">
        <v>0.78277721757136898</v>
      </c>
      <c r="F4038">
        <v>0.615103718295122</v>
      </c>
      <c r="G4038">
        <v>0.479323781957818</v>
      </c>
      <c r="H4038">
        <v>0.205655790917154</v>
      </c>
      <c r="I4038">
        <v>0.14081579545960199</v>
      </c>
      <c r="J4038">
        <v>0.12894013504570601</v>
      </c>
      <c r="K4038">
        <v>0.103222380115133</v>
      </c>
      <c r="L4038">
        <v>693.35082032329899</v>
      </c>
      <c r="M4038">
        <v>12.5760266848305</v>
      </c>
      <c r="N4038">
        <v>55.322836342974803</v>
      </c>
      <c r="O4038">
        <v>53.794420164258497</v>
      </c>
      <c r="P4038">
        <v>-5.7220463244810699E-2</v>
      </c>
      <c r="Q4038">
        <v>2.1146140574312799E-2</v>
      </c>
      <c r="R4038">
        <v>0.993885149227141</v>
      </c>
      <c r="S4038" t="s">
        <v>10490</v>
      </c>
      <c r="T4038" t="s">
        <v>12902</v>
      </c>
      <c r="U4038" t="s">
        <v>12902</v>
      </c>
      <c r="V4038" t="s">
        <v>12902</v>
      </c>
      <c r="W4038" t="s">
        <v>16893</v>
      </c>
      <c r="X4038">
        <v>8</v>
      </c>
      <c r="Y4038" t="s">
        <v>23204</v>
      </c>
      <c r="Z4038" t="s">
        <v>29613</v>
      </c>
      <c r="AA4038">
        <v>0.53676143242030905</v>
      </c>
      <c r="AB4038" t="str">
        <f>HYPERLINK("Melting_Curves/meltCurve_Q6UXG2_2_KIAA1324.pdf", "Melting_Curves/meltCurve_Q6UXG2_2_KIAA1324.pdf")</f>
        <v>Melting_Curves/meltCurve_Q6UXG2_2_KIAA1324.pdf</v>
      </c>
    </row>
    <row r="4039" spans="1:28" x14ac:dyDescent="0.25">
      <c r="A4039" t="s">
        <v>4043</v>
      </c>
      <c r="B4039">
        <v>0.99673306730245903</v>
      </c>
      <c r="C4039">
        <v>1.00073253955218</v>
      </c>
      <c r="D4039">
        <v>0.99385504733784102</v>
      </c>
      <c r="E4039">
        <v>0.92530989454037404</v>
      </c>
      <c r="F4039">
        <v>0.73017018614018903</v>
      </c>
      <c r="G4039">
        <v>0.50594533037318701</v>
      </c>
      <c r="H4039">
        <v>0.37754420200748201</v>
      </c>
      <c r="I4039">
        <v>0.57456827710817704</v>
      </c>
      <c r="J4039">
        <v>0.86602655295462405</v>
      </c>
      <c r="K4039">
        <v>0.840914460325205</v>
      </c>
      <c r="L4039">
        <v>2299.6507286603901</v>
      </c>
      <c r="M4039">
        <v>44.742961634873303</v>
      </c>
      <c r="O4039">
        <v>51.294573193830203</v>
      </c>
      <c r="P4039">
        <v>-7.9273446503361503E-2</v>
      </c>
      <c r="Q4039">
        <v>0.63647536490398604</v>
      </c>
      <c r="R4039">
        <v>0.59379332725227696</v>
      </c>
      <c r="S4039" t="s">
        <v>10491</v>
      </c>
      <c r="T4039" t="s">
        <v>12902</v>
      </c>
      <c r="U4039" t="s">
        <v>12902</v>
      </c>
      <c r="V4039" t="s">
        <v>12902</v>
      </c>
      <c r="W4039" t="s">
        <v>16894</v>
      </c>
      <c r="X4039">
        <v>10</v>
      </c>
      <c r="Y4039" t="s">
        <v>23205</v>
      </c>
      <c r="Z4039" t="s">
        <v>29614</v>
      </c>
      <c r="AA4039">
        <v>0.77560797907597068</v>
      </c>
      <c r="AB4039" t="str">
        <f>HYPERLINK("Melting_Curves/meltCurve_Q6UXH1_5_CRELD2.pdf", "Melting_Curves/meltCurve_Q6UXH1_5_CRELD2.pdf")</f>
        <v>Melting_Curves/meltCurve_Q6UXH1_5_CRELD2.pdf</v>
      </c>
    </row>
    <row r="4040" spans="1:28" x14ac:dyDescent="0.25">
      <c r="A4040" t="s">
        <v>4044</v>
      </c>
      <c r="B4040">
        <v>0.99673306730245903</v>
      </c>
      <c r="C4040">
        <v>0.91280740476529698</v>
      </c>
      <c r="D4040">
        <v>0.844403374291263</v>
      </c>
      <c r="E4040">
        <v>0.81090232725644695</v>
      </c>
      <c r="F4040">
        <v>0.61831365805391203</v>
      </c>
      <c r="G4040">
        <v>0.41967212962614098</v>
      </c>
      <c r="H4040">
        <v>0.23527300494572101</v>
      </c>
      <c r="I4040">
        <v>0.10950487619502999</v>
      </c>
      <c r="J4040">
        <v>9.2099520626458903E-2</v>
      </c>
      <c r="K4040">
        <v>7.5076281923356997E-2</v>
      </c>
      <c r="L4040">
        <v>659.312724953935</v>
      </c>
      <c r="M4040">
        <v>12.0036098202483</v>
      </c>
      <c r="N4040">
        <v>54.926204257753298</v>
      </c>
      <c r="O4040">
        <v>53.4683993123626</v>
      </c>
      <c r="P4040">
        <v>-5.61383134758928E-2</v>
      </c>
      <c r="Q4040">
        <v>0</v>
      </c>
      <c r="R4040">
        <v>0.99092950515461997</v>
      </c>
      <c r="S4040" t="s">
        <v>10492</v>
      </c>
      <c r="T4040" t="s">
        <v>12902</v>
      </c>
      <c r="U4040" t="s">
        <v>12902</v>
      </c>
      <c r="V4040" t="s">
        <v>12902</v>
      </c>
      <c r="W4040" t="s">
        <v>16895</v>
      </c>
      <c r="X4040">
        <v>17</v>
      </c>
      <c r="Y4040" t="s">
        <v>23206</v>
      </c>
      <c r="Z4040" t="s">
        <v>29615</v>
      </c>
      <c r="AA4040">
        <v>0.52119578388446886</v>
      </c>
      <c r="AB4040" t="str">
        <f>HYPERLINK("Melting_Curves/meltCurve_Q6UXN9_WDR82.pdf", "Melting_Curves/meltCurve_Q6UXN9_WDR82.pdf")</f>
        <v>Melting_Curves/meltCurve_Q6UXN9_WDR82.pdf</v>
      </c>
    </row>
    <row r="4041" spans="1:28" x14ac:dyDescent="0.25">
      <c r="A4041" t="s">
        <v>4045</v>
      </c>
      <c r="B4041">
        <v>0.99673306730245903</v>
      </c>
      <c r="C4041">
        <v>1.0163586448392701</v>
      </c>
      <c r="D4041">
        <v>0.98925238824989603</v>
      </c>
      <c r="E4041">
        <v>0.86892783787420502</v>
      </c>
      <c r="F4041">
        <v>0.84354514908331801</v>
      </c>
      <c r="G4041">
        <v>0.81177502766774301</v>
      </c>
      <c r="H4041">
        <v>0.947383058497136</v>
      </c>
      <c r="I4041">
        <v>1.3993253003313699</v>
      </c>
      <c r="J4041">
        <v>1.4849361591072501</v>
      </c>
      <c r="K4041">
        <v>1.6931161084214801</v>
      </c>
      <c r="L4041">
        <v>15000</v>
      </c>
      <c r="M4041">
        <v>235.75280512570899</v>
      </c>
      <c r="O4041">
        <v>63.621363625934599</v>
      </c>
      <c r="P4041">
        <v>0.46319487432511502</v>
      </c>
      <c r="Q4041">
        <v>1.5</v>
      </c>
      <c r="R4041">
        <v>0.86058501196474202</v>
      </c>
      <c r="S4041" t="s">
        <v>10493</v>
      </c>
      <c r="T4041" t="s">
        <v>12902</v>
      </c>
      <c r="U4041" t="s">
        <v>12902</v>
      </c>
      <c r="V4041" t="s">
        <v>12902</v>
      </c>
      <c r="W4041" t="s">
        <v>16896</v>
      </c>
      <c r="X4041">
        <v>12</v>
      </c>
      <c r="Y4041" t="s">
        <v>23207</v>
      </c>
      <c r="Z4041" t="s">
        <v>29616</v>
      </c>
      <c r="AA4041">
        <v>1.106171112408965</v>
      </c>
      <c r="AB4041" t="str">
        <f>HYPERLINK("Melting_Curves/meltCurve_Q6UXV4_APOOL.pdf", "Melting_Curves/meltCurve_Q6UXV4_APOOL.pdf")</f>
        <v>Melting_Curves/meltCurve_Q6UXV4_APOOL.pdf</v>
      </c>
    </row>
    <row r="4042" spans="1:28" x14ac:dyDescent="0.25">
      <c r="A4042" t="s">
        <v>4046</v>
      </c>
      <c r="B4042">
        <v>0.99673306730245903</v>
      </c>
      <c r="C4042">
        <v>0.91147198686325603</v>
      </c>
      <c r="D4042">
        <v>0.87608243695677002</v>
      </c>
      <c r="E4042">
        <v>0.68496403986283805</v>
      </c>
      <c r="F4042">
        <v>0.38685460033817598</v>
      </c>
      <c r="G4042">
        <v>0.22644202087340701</v>
      </c>
      <c r="H4042">
        <v>0.16232100661315299</v>
      </c>
      <c r="I4042">
        <v>0.17332760642772599</v>
      </c>
      <c r="J4042">
        <v>0.24138605226623699</v>
      </c>
      <c r="K4042">
        <v>0.22208276348560599</v>
      </c>
      <c r="L4042">
        <v>1043.8281683725399</v>
      </c>
      <c r="M4042">
        <v>20.740878981321099</v>
      </c>
      <c r="N4042">
        <v>51.480859446119602</v>
      </c>
      <c r="O4042">
        <v>49.866260092794697</v>
      </c>
      <c r="P4042">
        <v>-8.4656575781130103E-2</v>
      </c>
      <c r="Q4042">
        <v>0.18588062577915199</v>
      </c>
      <c r="R4042">
        <v>0.98744659709595395</v>
      </c>
      <c r="S4042" t="s">
        <v>10494</v>
      </c>
      <c r="T4042" t="s">
        <v>12902</v>
      </c>
      <c r="U4042" t="s">
        <v>12902</v>
      </c>
      <c r="V4042" t="s">
        <v>12902</v>
      </c>
      <c r="W4042" t="s">
        <v>16897</v>
      </c>
      <c r="X4042">
        <v>13</v>
      </c>
      <c r="Y4042" t="s">
        <v>20107</v>
      </c>
      <c r="Z4042" t="s">
        <v>29617</v>
      </c>
      <c r="AA4042">
        <v>0.47668265402694532</v>
      </c>
      <c r="AB4042" t="str">
        <f>HYPERLINK("Melting_Curves/meltCurve_Q6WCQ1_2_MPRIP.pdf", "Melting_Curves/meltCurve_Q6WCQ1_2_MPRIP.pdf")</f>
        <v>Melting_Curves/meltCurve_Q6WCQ1_2_MPRIP.pdf</v>
      </c>
    </row>
    <row r="4043" spans="1:28" x14ac:dyDescent="0.25">
      <c r="A4043" t="s">
        <v>4047</v>
      </c>
      <c r="B4043">
        <v>0.99673306730245903</v>
      </c>
      <c r="C4043">
        <v>0.93821533212623598</v>
      </c>
      <c r="D4043">
        <v>0.844942750067321</v>
      </c>
      <c r="E4043">
        <v>0.59129838329391804</v>
      </c>
      <c r="F4043">
        <v>0.22994046386512901</v>
      </c>
      <c r="G4043">
        <v>0.15271574955279399</v>
      </c>
      <c r="H4043">
        <v>9.3920482248137996E-2</v>
      </c>
      <c r="I4043">
        <v>0.106828533254233</v>
      </c>
      <c r="J4043">
        <v>0.13320215252536299</v>
      </c>
      <c r="K4043">
        <v>0.13319715197697701</v>
      </c>
      <c r="L4043">
        <v>1128.1660566448099</v>
      </c>
      <c r="M4043">
        <v>22.7495972637454</v>
      </c>
      <c r="N4043">
        <v>50.1235587119371</v>
      </c>
      <c r="O4043">
        <v>49.212183444591297</v>
      </c>
      <c r="P4043">
        <v>-0.10315537352507</v>
      </c>
      <c r="Q4043">
        <v>0.107430014011465</v>
      </c>
      <c r="R4043">
        <v>0.99486434646011401</v>
      </c>
      <c r="S4043" t="s">
        <v>10495</v>
      </c>
      <c r="T4043" t="s">
        <v>12902</v>
      </c>
      <c r="U4043" t="s">
        <v>12902</v>
      </c>
      <c r="V4043" t="s">
        <v>12902</v>
      </c>
      <c r="W4043" t="s">
        <v>16898</v>
      </c>
      <c r="X4043">
        <v>19</v>
      </c>
      <c r="Y4043" t="s">
        <v>23208</v>
      </c>
      <c r="Z4043" t="s">
        <v>29618</v>
      </c>
      <c r="AA4043">
        <v>0.40239100884126422</v>
      </c>
      <c r="AB4043" t="str">
        <f>HYPERLINK("Melting_Curves/meltCurve_Q6WKZ4_RAB11FIP1.pdf", "Melting_Curves/meltCurve_Q6WKZ4_RAB11FIP1.pdf")</f>
        <v>Melting_Curves/meltCurve_Q6WKZ4_RAB11FIP1.pdf</v>
      </c>
    </row>
    <row r="4044" spans="1:28" x14ac:dyDescent="0.25">
      <c r="A4044" t="s">
        <v>4048</v>
      </c>
      <c r="B4044">
        <v>0.99673306730245903</v>
      </c>
      <c r="C4044">
        <v>0.98891145267469005</v>
      </c>
      <c r="D4044">
        <v>1.0028592946547401</v>
      </c>
      <c r="E4044">
        <v>0.97160180194377599</v>
      </c>
      <c r="F4044">
        <v>0.92582521226813896</v>
      </c>
      <c r="G4044">
        <v>0.81698584112190997</v>
      </c>
      <c r="H4044">
        <v>0.66524242468780204</v>
      </c>
      <c r="I4044">
        <v>0.40199892822125399</v>
      </c>
      <c r="J4044">
        <v>0.16679427792735699</v>
      </c>
      <c r="K4044">
        <v>0.120950532388595</v>
      </c>
      <c r="L4044">
        <v>1145.8842738875701</v>
      </c>
      <c r="M4044">
        <v>18.365783137110299</v>
      </c>
      <c r="N4044">
        <v>62.392346531089501</v>
      </c>
      <c r="O4044">
        <v>61.6667449634717</v>
      </c>
      <c r="P4044">
        <v>-7.4459176929210003E-2</v>
      </c>
      <c r="Q4044">
        <v>0</v>
      </c>
      <c r="R4044">
        <v>0.99246611177744504</v>
      </c>
      <c r="S4044" t="s">
        <v>10496</v>
      </c>
      <c r="T4044" t="s">
        <v>12902</v>
      </c>
      <c r="U4044" t="s">
        <v>12902</v>
      </c>
      <c r="V4044" t="s">
        <v>12902</v>
      </c>
      <c r="W4044" t="s">
        <v>16899</v>
      </c>
      <c r="X4044">
        <v>24</v>
      </c>
      <c r="Y4044" t="s">
        <v>23209</v>
      </c>
      <c r="Z4044" t="s">
        <v>29619</v>
      </c>
      <c r="AA4044">
        <v>0.74658681652112835</v>
      </c>
      <c r="AB4044" t="str">
        <f>HYPERLINK("Melting_Curves/meltCurve_Q6XQN6_NAPRT1.pdf", "Melting_Curves/meltCurve_Q6XQN6_NAPRT1.pdf")</f>
        <v>Melting_Curves/meltCurve_Q6XQN6_NAPRT1.pdf</v>
      </c>
    </row>
    <row r="4045" spans="1:28" x14ac:dyDescent="0.25">
      <c r="A4045" t="s">
        <v>4049</v>
      </c>
      <c r="B4045">
        <v>0.99673306730245903</v>
      </c>
      <c r="C4045">
        <v>0.95839564841958802</v>
      </c>
      <c r="D4045">
        <v>1.0098055954724501</v>
      </c>
      <c r="E4045">
        <v>0.75394166349032998</v>
      </c>
      <c r="F4045">
        <v>0.54283351149752002</v>
      </c>
      <c r="G4045">
        <v>0.34224021594980603</v>
      </c>
      <c r="H4045">
        <v>0.262423592345367</v>
      </c>
      <c r="I4045">
        <v>0.27231249699299998</v>
      </c>
      <c r="J4045">
        <v>0.28193072080078502</v>
      </c>
      <c r="K4045">
        <v>0.25783070698728999</v>
      </c>
      <c r="L4045">
        <v>1136.57588851389</v>
      </c>
      <c r="M4045">
        <v>21.987408929986</v>
      </c>
      <c r="N4045">
        <v>53.463064418169999</v>
      </c>
      <c r="O4045">
        <v>51.270234053967201</v>
      </c>
      <c r="P4045">
        <v>-7.9485242174439197E-2</v>
      </c>
      <c r="Q4045">
        <v>0.25864193141258301</v>
      </c>
      <c r="R4045">
        <v>0.99275094774749095</v>
      </c>
      <c r="S4045" t="s">
        <v>10497</v>
      </c>
      <c r="T4045" t="s">
        <v>12902</v>
      </c>
      <c r="U4045" t="s">
        <v>12902</v>
      </c>
      <c r="V4045" t="s">
        <v>12902</v>
      </c>
      <c r="W4045" t="s">
        <v>16900</v>
      </c>
      <c r="X4045">
        <v>2</v>
      </c>
      <c r="Y4045" t="s">
        <v>23210</v>
      </c>
      <c r="Z4045" t="s">
        <v>29620</v>
      </c>
      <c r="AA4045">
        <v>0.55619865207169805</v>
      </c>
      <c r="AB4045" t="str">
        <f>HYPERLINK("Melting_Curves/meltCurve_Q6Y1H2_PTPLB.pdf", "Melting_Curves/meltCurve_Q6Y1H2_PTPLB.pdf")</f>
        <v>Melting_Curves/meltCurve_Q6Y1H2_PTPLB.pdf</v>
      </c>
    </row>
    <row r="4046" spans="1:28" x14ac:dyDescent="0.25">
      <c r="A4046" t="s">
        <v>4050</v>
      </c>
      <c r="B4046">
        <v>0.99673306730245903</v>
      </c>
      <c r="C4046">
        <v>0.98076165286789196</v>
      </c>
      <c r="D4046">
        <v>0.866715401044584</v>
      </c>
      <c r="E4046">
        <v>0.71171464922414396</v>
      </c>
      <c r="F4046">
        <v>0.42300888409634602</v>
      </c>
      <c r="G4046">
        <v>0.27729462100534902</v>
      </c>
      <c r="H4046">
        <v>0.13482567145004501</v>
      </c>
      <c r="I4046">
        <v>0.161131355106474</v>
      </c>
      <c r="J4046">
        <v>0.187343778737771</v>
      </c>
      <c r="K4046">
        <v>0.19962941088625499</v>
      </c>
      <c r="L4046">
        <v>961.17209500142303</v>
      </c>
      <c r="M4046">
        <v>18.8368126653024</v>
      </c>
      <c r="N4046">
        <v>52.0681290812471</v>
      </c>
      <c r="O4046">
        <v>50.461612614968303</v>
      </c>
      <c r="P4046">
        <v>-7.8673028477046006E-2</v>
      </c>
      <c r="Q4046">
        <v>0.157011496951249</v>
      </c>
      <c r="R4046">
        <v>0.99316001843508805</v>
      </c>
      <c r="S4046" t="s">
        <v>10498</v>
      </c>
      <c r="T4046" t="s">
        <v>12902</v>
      </c>
      <c r="U4046" t="s">
        <v>12902</v>
      </c>
      <c r="V4046" t="s">
        <v>12902</v>
      </c>
      <c r="W4046" t="s">
        <v>16901</v>
      </c>
      <c r="X4046">
        <v>1</v>
      </c>
      <c r="Y4046" t="s">
        <v>23211</v>
      </c>
      <c r="Z4046" t="s">
        <v>29621</v>
      </c>
      <c r="AA4046">
        <v>0.47991931286679801</v>
      </c>
      <c r="AB4046" t="str">
        <f>HYPERLINK("Melting_Curves/meltCurve_Q6Y2X3_DNAJC14.pdf", "Melting_Curves/meltCurve_Q6Y2X3_DNAJC14.pdf")</f>
        <v>Melting_Curves/meltCurve_Q6Y2X3_DNAJC14.pdf</v>
      </c>
    </row>
    <row r="4047" spans="1:28" x14ac:dyDescent="0.25">
      <c r="A4047" t="s">
        <v>4051</v>
      </c>
      <c r="B4047">
        <v>0.99673306730245903</v>
      </c>
      <c r="C4047">
        <v>0.90037853447641703</v>
      </c>
      <c r="D4047">
        <v>0.47791518913091902</v>
      </c>
      <c r="E4047">
        <v>0.38282166268914702</v>
      </c>
      <c r="F4047">
        <v>0.19765654229608101</v>
      </c>
      <c r="G4047">
        <v>0.128762761856166</v>
      </c>
      <c r="H4047">
        <v>8.5804859638689598E-2</v>
      </c>
      <c r="I4047">
        <v>9.6939407652859397E-2</v>
      </c>
      <c r="J4047">
        <v>0.120236524948052</v>
      </c>
      <c r="K4047">
        <v>0.11483835050492699</v>
      </c>
      <c r="L4047">
        <v>869.93691193817699</v>
      </c>
      <c r="M4047">
        <v>18.793237368381</v>
      </c>
      <c r="N4047">
        <v>46.900879310015</v>
      </c>
      <c r="O4047">
        <v>45.775343337915601</v>
      </c>
      <c r="P4047">
        <v>-9.1497980882434396E-2</v>
      </c>
      <c r="Q4047">
        <v>0.108578249844859</v>
      </c>
      <c r="R4047">
        <v>0.97712246318349405</v>
      </c>
      <c r="S4047" t="s">
        <v>10499</v>
      </c>
      <c r="T4047" t="s">
        <v>12902</v>
      </c>
      <c r="U4047" t="s">
        <v>12902</v>
      </c>
      <c r="V4047" t="s">
        <v>12902</v>
      </c>
      <c r="W4047" t="s">
        <v>16902</v>
      </c>
      <c r="X4047">
        <v>23</v>
      </c>
      <c r="Y4047" t="s">
        <v>23212</v>
      </c>
      <c r="Z4047" t="s">
        <v>29622</v>
      </c>
      <c r="AA4047">
        <v>0.31103862006137462</v>
      </c>
      <c r="AB4047" t="str">
        <f>HYPERLINK("Melting_Curves/meltCurve_Q6Y7W6_GIGYF2.pdf", "Melting_Curves/meltCurve_Q6Y7W6_GIGYF2.pdf")</f>
        <v>Melting_Curves/meltCurve_Q6Y7W6_GIGYF2.pdf</v>
      </c>
    </row>
    <row r="4048" spans="1:28" x14ac:dyDescent="0.25">
      <c r="A4048" t="s">
        <v>4052</v>
      </c>
      <c r="B4048">
        <v>0.99673306730245903</v>
      </c>
      <c r="C4048">
        <v>0.97814059626962102</v>
      </c>
      <c r="D4048">
        <v>0.94208161302967597</v>
      </c>
      <c r="E4048">
        <v>0.87660060838986098</v>
      </c>
      <c r="F4048">
        <v>0.78146497676811699</v>
      </c>
      <c r="G4048">
        <v>0.61617653340747403</v>
      </c>
      <c r="H4048">
        <v>0.52910444493461695</v>
      </c>
      <c r="I4048">
        <v>0.46687963796016702</v>
      </c>
      <c r="J4048">
        <v>0.41294194293477199</v>
      </c>
      <c r="K4048">
        <v>0.27563094775367197</v>
      </c>
      <c r="L4048">
        <v>499.57579078131403</v>
      </c>
      <c r="M4048">
        <v>8.3169386293326308</v>
      </c>
      <c r="N4048">
        <v>61.872263987990998</v>
      </c>
      <c r="O4048">
        <v>56.895278767489799</v>
      </c>
      <c r="P4048">
        <v>-3.2640293387554802E-2</v>
      </c>
      <c r="Q4048">
        <v>0.107717718702041</v>
      </c>
      <c r="R4048">
        <v>0.98971474371704404</v>
      </c>
      <c r="S4048" t="s">
        <v>10500</v>
      </c>
      <c r="T4048" t="s">
        <v>12902</v>
      </c>
      <c r="U4048" t="s">
        <v>12902</v>
      </c>
      <c r="V4048" t="s">
        <v>12902</v>
      </c>
      <c r="W4048" t="s">
        <v>16903</v>
      </c>
      <c r="X4048">
        <v>24</v>
      </c>
      <c r="Y4048" t="s">
        <v>23213</v>
      </c>
      <c r="Z4048" t="s">
        <v>29623</v>
      </c>
      <c r="AA4048">
        <v>0.6924539681462164</v>
      </c>
      <c r="AB4048" t="str">
        <f>HYPERLINK("Melting_Curves/meltCurve_Q6YHK3_CD109.pdf", "Melting_Curves/meltCurve_Q6YHK3_CD109.pdf")</f>
        <v>Melting_Curves/meltCurve_Q6YHK3_CD109.pdf</v>
      </c>
    </row>
    <row r="4049" spans="1:28" x14ac:dyDescent="0.25">
      <c r="A4049" t="s">
        <v>4053</v>
      </c>
      <c r="B4049">
        <v>0.99673306730245903</v>
      </c>
      <c r="C4049">
        <v>0.84916370834238097</v>
      </c>
      <c r="D4049">
        <v>0.70479626267719697</v>
      </c>
      <c r="E4049">
        <v>0.29717728489433398</v>
      </c>
      <c r="F4049">
        <v>0.174103422743354</v>
      </c>
      <c r="G4049">
        <v>0.101224094437183</v>
      </c>
      <c r="H4049">
        <v>8.2944173235804497E-2</v>
      </c>
      <c r="I4049">
        <v>6.1772992844080901E-2</v>
      </c>
      <c r="J4049">
        <v>6.9519061272783997E-2</v>
      </c>
      <c r="K4049">
        <v>3.9737426789833698E-2</v>
      </c>
      <c r="L4049">
        <v>937.51247017976596</v>
      </c>
      <c r="M4049">
        <v>19.794188632887099</v>
      </c>
      <c r="N4049">
        <v>47.671079790798601</v>
      </c>
      <c r="O4049">
        <v>46.8875546319994</v>
      </c>
      <c r="P4049">
        <v>-9.9207873303634203E-2</v>
      </c>
      <c r="Q4049">
        <v>6.0035864465199797E-2</v>
      </c>
      <c r="R4049">
        <v>0.99473861049020995</v>
      </c>
      <c r="S4049" t="s">
        <v>10501</v>
      </c>
      <c r="T4049" t="s">
        <v>12902</v>
      </c>
      <c r="U4049" t="s">
        <v>12902</v>
      </c>
      <c r="V4049" t="s">
        <v>12902</v>
      </c>
      <c r="W4049" t="s">
        <v>16904</v>
      </c>
      <c r="X4049">
        <v>8</v>
      </c>
      <c r="Y4049" t="s">
        <v>23214</v>
      </c>
      <c r="Z4049" t="s">
        <v>29624</v>
      </c>
      <c r="AA4049">
        <v>0.30462589928554412</v>
      </c>
      <c r="AB4049" t="str">
        <f>HYPERLINK("Melting_Curves/meltCurve_Q6YHU6_3_THADA.pdf", "Melting_Curves/meltCurve_Q6YHU6_3_THADA.pdf")</f>
        <v>Melting_Curves/meltCurve_Q6YHU6_3_THADA.pdf</v>
      </c>
    </row>
    <row r="4050" spans="1:28" x14ac:dyDescent="0.25">
      <c r="A4050" t="s">
        <v>4054</v>
      </c>
      <c r="B4050">
        <v>0.99673306730245903</v>
      </c>
      <c r="C4050">
        <v>0.964270707304557</v>
      </c>
      <c r="D4050">
        <v>0.78120991111979199</v>
      </c>
      <c r="E4050">
        <v>0.78919901338837795</v>
      </c>
      <c r="F4050">
        <v>0.23203802987404201</v>
      </c>
      <c r="G4050">
        <v>0.113753567449433</v>
      </c>
      <c r="H4050">
        <v>6.3978996888954795E-2</v>
      </c>
      <c r="I4050">
        <v>5.1006932167748903E-2</v>
      </c>
      <c r="J4050">
        <v>4.9834757792744301E-2</v>
      </c>
      <c r="K4050">
        <v>3.7968507452585898E-2</v>
      </c>
      <c r="L4050">
        <v>1324.87291779716</v>
      </c>
      <c r="M4050">
        <v>25.935396606715699</v>
      </c>
      <c r="N4050">
        <v>51.250351068164598</v>
      </c>
      <c r="O4050">
        <v>50.782779956496199</v>
      </c>
      <c r="P4050">
        <v>-0.12251331469332701</v>
      </c>
      <c r="Q4050">
        <v>4.0462813238137899E-2</v>
      </c>
      <c r="R4050">
        <v>0.97382719909917403</v>
      </c>
      <c r="S4050" t="s">
        <v>10502</v>
      </c>
      <c r="T4050" t="s">
        <v>12902</v>
      </c>
      <c r="U4050" t="s">
        <v>12902</v>
      </c>
      <c r="V4050" t="s">
        <v>12902</v>
      </c>
      <c r="W4050" t="s">
        <v>16905</v>
      </c>
      <c r="X4050">
        <v>14</v>
      </c>
      <c r="Y4050" t="s">
        <v>23215</v>
      </c>
      <c r="Z4050" t="s">
        <v>29625</v>
      </c>
      <c r="AA4050">
        <v>0.40303725693103759</v>
      </c>
      <c r="AB4050" t="str">
        <f>HYPERLINK("Melting_Curves/meltCurve_Q6YN16_HSDL2.pdf", "Melting_Curves/meltCurve_Q6YN16_HSDL2.pdf")</f>
        <v>Melting_Curves/meltCurve_Q6YN16_HSDL2.pdf</v>
      </c>
    </row>
    <row r="4051" spans="1:28" x14ac:dyDescent="0.25">
      <c r="A4051" t="s">
        <v>4055</v>
      </c>
      <c r="B4051">
        <v>0.99673306730245903</v>
      </c>
      <c r="C4051">
        <v>1.0034073256396101</v>
      </c>
      <c r="D4051">
        <v>0.97775702877283599</v>
      </c>
      <c r="E4051">
        <v>0.957336808967993</v>
      </c>
      <c r="F4051">
        <v>0.87169107981362404</v>
      </c>
      <c r="G4051">
        <v>0.77053743991318602</v>
      </c>
      <c r="H4051">
        <v>0.58393130911312197</v>
      </c>
      <c r="I4051">
        <v>0.60900836587169305</v>
      </c>
      <c r="J4051">
        <v>0.47989504728360899</v>
      </c>
      <c r="K4051">
        <v>0.243721336967478</v>
      </c>
      <c r="L4051">
        <v>600.06066614733402</v>
      </c>
      <c r="M4051">
        <v>9.2737679483586497</v>
      </c>
      <c r="N4051">
        <v>64.705156112840797</v>
      </c>
      <c r="O4051">
        <v>61.909975518144499</v>
      </c>
      <c r="P4051">
        <v>-3.7472875468934297E-2</v>
      </c>
      <c r="Q4051">
        <v>0</v>
      </c>
      <c r="R4051">
        <v>0.96273386747529899</v>
      </c>
      <c r="S4051" t="s">
        <v>10503</v>
      </c>
      <c r="T4051" t="s">
        <v>12902</v>
      </c>
      <c r="U4051" t="s">
        <v>12902</v>
      </c>
      <c r="V4051" t="s">
        <v>12902</v>
      </c>
      <c r="W4051" t="s">
        <v>16906</v>
      </c>
      <c r="X4051">
        <v>21</v>
      </c>
      <c r="Y4051" t="s">
        <v>23216</v>
      </c>
      <c r="Z4051" t="s">
        <v>29626</v>
      </c>
      <c r="AA4051">
        <v>0.76622660565805023</v>
      </c>
      <c r="AB4051" t="str">
        <f>HYPERLINK("Melting_Curves/meltCurve_Q6YP21_3_CCBL2.pdf", "Melting_Curves/meltCurve_Q6YP21_3_CCBL2.pdf")</f>
        <v>Melting_Curves/meltCurve_Q6YP21_3_CCBL2.pdf</v>
      </c>
    </row>
    <row r="4052" spans="1:28" x14ac:dyDescent="0.25">
      <c r="A4052" t="s">
        <v>4056</v>
      </c>
      <c r="B4052">
        <v>0.99673306730245903</v>
      </c>
      <c r="C4052">
        <v>0.91161538728051394</v>
      </c>
      <c r="D4052">
        <v>0.89943122497653705</v>
      </c>
      <c r="E4052">
        <v>0.67958912274514205</v>
      </c>
      <c r="F4052">
        <v>0.42042282570362999</v>
      </c>
      <c r="G4052">
        <v>0.248417875167674</v>
      </c>
      <c r="H4052">
        <v>0.161503117484807</v>
      </c>
      <c r="I4052">
        <v>0.12916299146886401</v>
      </c>
      <c r="J4052">
        <v>0.147105984925963</v>
      </c>
      <c r="K4052">
        <v>0.13472294823129399</v>
      </c>
      <c r="L4052">
        <v>870.19062444244196</v>
      </c>
      <c r="M4052">
        <v>17.008917780687199</v>
      </c>
      <c r="N4052">
        <v>51.966325517353603</v>
      </c>
      <c r="O4052">
        <v>50.469360075330101</v>
      </c>
      <c r="P4052">
        <v>-7.4495445355832496E-2</v>
      </c>
      <c r="Q4052">
        <v>0.11587424840140401</v>
      </c>
      <c r="R4052">
        <v>0.99651954751262795</v>
      </c>
      <c r="S4052" t="s">
        <v>10504</v>
      </c>
      <c r="T4052" t="s">
        <v>12902</v>
      </c>
      <c r="U4052" t="s">
        <v>12902</v>
      </c>
      <c r="V4052" t="s">
        <v>12902</v>
      </c>
      <c r="W4052" t="s">
        <v>16907</v>
      </c>
      <c r="X4052">
        <v>2</v>
      </c>
      <c r="Y4052" t="s">
        <v>23217</v>
      </c>
      <c r="Z4052" t="s">
        <v>29627</v>
      </c>
      <c r="AA4052">
        <v>0.4612273670057237</v>
      </c>
      <c r="AB4052" t="str">
        <f>HYPERLINK("Melting_Curves/meltCurve_Q6ZMG9_CERS6.pdf", "Melting_Curves/meltCurve_Q6ZMG9_CERS6.pdf")</f>
        <v>Melting_Curves/meltCurve_Q6ZMG9_CERS6.pdf</v>
      </c>
    </row>
    <row r="4053" spans="1:28" x14ac:dyDescent="0.25">
      <c r="A4053" t="s">
        <v>4057</v>
      </c>
      <c r="B4053">
        <v>0.99673306730245903</v>
      </c>
      <c r="C4053">
        <v>0.93677422124916399</v>
      </c>
      <c r="D4053">
        <v>1.02562622118166</v>
      </c>
      <c r="E4053">
        <v>0.62750488902607904</v>
      </c>
      <c r="F4053">
        <v>0.344639404301884</v>
      </c>
      <c r="G4053">
        <v>0.26384880742074601</v>
      </c>
      <c r="H4053">
        <v>0.208391602876596</v>
      </c>
      <c r="I4053">
        <v>0.190968921233965</v>
      </c>
      <c r="J4053">
        <v>0.25390826549301299</v>
      </c>
      <c r="K4053">
        <v>0.237562783166376</v>
      </c>
      <c r="L4053">
        <v>1704.8095959038301</v>
      </c>
      <c r="M4053">
        <v>34.178495186099298</v>
      </c>
      <c r="N4053">
        <v>50.806876412650503</v>
      </c>
      <c r="O4053">
        <v>49.709771045643301</v>
      </c>
      <c r="P4053">
        <v>-0.13200433822742899</v>
      </c>
      <c r="Q4053">
        <v>0.23204577805732801</v>
      </c>
      <c r="R4053">
        <v>0.98844399860663901</v>
      </c>
      <c r="S4053" t="s">
        <v>10505</v>
      </c>
      <c r="T4053" t="s">
        <v>12902</v>
      </c>
      <c r="U4053" t="s">
        <v>12902</v>
      </c>
      <c r="V4053" t="s">
        <v>12902</v>
      </c>
      <c r="W4053" t="s">
        <v>16908</v>
      </c>
      <c r="X4053">
        <v>6</v>
      </c>
      <c r="Y4053" t="s">
        <v>23218</v>
      </c>
      <c r="Z4053" t="s">
        <v>29628</v>
      </c>
      <c r="AA4053">
        <v>0.48858864999725038</v>
      </c>
      <c r="AB4053" t="str">
        <f>HYPERLINK("Melting_Curves/meltCurve_Q6ZMI0_PPP1R21.pdf", "Melting_Curves/meltCurve_Q6ZMI0_PPP1R21.pdf")</f>
        <v>Melting_Curves/meltCurve_Q6ZMI0_PPP1R21.pdf</v>
      </c>
    </row>
    <row r="4054" spans="1:28" x14ac:dyDescent="0.25">
      <c r="A4054" t="s">
        <v>4058</v>
      </c>
      <c r="B4054">
        <v>0.99673306730245903</v>
      </c>
      <c r="C4054">
        <v>0.84402385039458505</v>
      </c>
      <c r="D4054">
        <v>1.2977345179750099</v>
      </c>
      <c r="E4054">
        <v>1.11173003473878</v>
      </c>
      <c r="F4054">
        <v>1.28483163137345</v>
      </c>
      <c r="G4054">
        <v>0.942150941435551</v>
      </c>
      <c r="H4054">
        <v>0.69318500371932901</v>
      </c>
      <c r="I4054">
        <v>0.27429632900475398</v>
      </c>
      <c r="J4054">
        <v>0.20836106156494599</v>
      </c>
      <c r="K4054">
        <v>9.4464807522210995E-2</v>
      </c>
      <c r="L4054">
        <v>2474.9257495955098</v>
      </c>
      <c r="M4054">
        <v>40.120803053617998</v>
      </c>
      <c r="N4054">
        <v>62.130492449880201</v>
      </c>
      <c r="O4054">
        <v>61.5341691919186</v>
      </c>
      <c r="P4054">
        <v>-0.14270028720643399</v>
      </c>
      <c r="Q4054">
        <v>0.124551106330673</v>
      </c>
      <c r="R4054">
        <v>0.87983942152472705</v>
      </c>
      <c r="S4054" t="s">
        <v>10506</v>
      </c>
      <c r="T4054" t="s">
        <v>12902</v>
      </c>
      <c r="U4054" t="s">
        <v>12902</v>
      </c>
      <c r="V4054" t="s">
        <v>12902</v>
      </c>
      <c r="W4054" t="s">
        <v>16909</v>
      </c>
      <c r="X4054">
        <v>3</v>
      </c>
      <c r="Y4054" t="s">
        <v>23219</v>
      </c>
      <c r="Z4054" t="s">
        <v>29629</v>
      </c>
      <c r="AA4054">
        <v>0.76059895450272075</v>
      </c>
      <c r="AB4054" t="str">
        <f>HYPERLINK("Melting_Curves/meltCurve_Q6ZMR3_LDHAL6A.pdf", "Melting_Curves/meltCurve_Q6ZMR3_LDHAL6A.pdf")</f>
        <v>Melting_Curves/meltCurve_Q6ZMR3_LDHAL6A.pdf</v>
      </c>
    </row>
    <row r="4055" spans="1:28" x14ac:dyDescent="0.25">
      <c r="A4055" t="s">
        <v>4059</v>
      </c>
      <c r="B4055">
        <v>0.99673306730245903</v>
      </c>
      <c r="C4055">
        <v>0.84430545418529201</v>
      </c>
      <c r="D4055">
        <v>0.74066120851724504</v>
      </c>
      <c r="E4055">
        <v>0.71739788557671502</v>
      </c>
      <c r="F4055">
        <v>0.47670331176903502</v>
      </c>
      <c r="G4055">
        <v>0.49543556107617898</v>
      </c>
      <c r="H4055">
        <v>0.14740086214732701</v>
      </c>
      <c r="I4055">
        <v>9.8771652833696003E-2</v>
      </c>
      <c r="J4055">
        <v>8.4093174963236497E-2</v>
      </c>
      <c r="K4055">
        <v>0.107905501293018</v>
      </c>
      <c r="L4055">
        <v>508.57791122420201</v>
      </c>
      <c r="M4055">
        <v>9.5765319713677606</v>
      </c>
      <c r="N4055">
        <v>53.1066884768086</v>
      </c>
      <c r="O4055">
        <v>50.945833565249501</v>
      </c>
      <c r="P4055">
        <v>-4.7020655734471603E-2</v>
      </c>
      <c r="Q4055">
        <v>0</v>
      </c>
      <c r="R4055">
        <v>0.95524905439518504</v>
      </c>
      <c r="S4055" t="s">
        <v>10507</v>
      </c>
      <c r="T4055" t="s">
        <v>12902</v>
      </c>
      <c r="U4055" t="s">
        <v>12902</v>
      </c>
      <c r="V4055" t="s">
        <v>12902</v>
      </c>
      <c r="W4055" t="s">
        <v>16910</v>
      </c>
      <c r="X4055">
        <v>1</v>
      </c>
      <c r="Y4055" t="s">
        <v>23220</v>
      </c>
      <c r="Z4055" t="s">
        <v>29630</v>
      </c>
      <c r="AA4055">
        <v>0.47195859838020188</v>
      </c>
      <c r="AB4055" t="str">
        <f>HYPERLINK("Melting_Curves/meltCurve_Q6ZN04_MEX3B.pdf", "Melting_Curves/meltCurve_Q6ZN04_MEX3B.pdf")</f>
        <v>Melting_Curves/meltCurve_Q6ZN04_MEX3B.pdf</v>
      </c>
    </row>
    <row r="4056" spans="1:28" x14ac:dyDescent="0.25">
      <c r="A4056" t="s">
        <v>4060</v>
      </c>
      <c r="B4056">
        <v>0.99673306730245903</v>
      </c>
      <c r="C4056">
        <v>1.1887356379612599</v>
      </c>
      <c r="D4056">
        <v>1.0660390107214699</v>
      </c>
      <c r="E4056">
        <v>0.86695672831594695</v>
      </c>
      <c r="F4056">
        <v>1.1189441638037501</v>
      </c>
      <c r="G4056">
        <v>1.02127885189531</v>
      </c>
      <c r="H4056">
        <v>0.69062899783440801</v>
      </c>
      <c r="I4056">
        <v>0.25261646303221102</v>
      </c>
      <c r="J4056">
        <v>0.154705600038791</v>
      </c>
      <c r="K4056">
        <v>0.17705285857032901</v>
      </c>
      <c r="L4056">
        <v>3430.9950452809999</v>
      </c>
      <c r="M4056">
        <v>55.880094510616999</v>
      </c>
      <c r="N4056">
        <v>61.843941039825701</v>
      </c>
      <c r="O4056">
        <v>61.320750671764301</v>
      </c>
      <c r="P4056">
        <v>-0.190126359215119</v>
      </c>
      <c r="Q4056">
        <v>0.16544989492567599</v>
      </c>
      <c r="R4056">
        <v>0.95144188334475899</v>
      </c>
      <c r="S4056" t="s">
        <v>10508</v>
      </c>
      <c r="T4056" t="s">
        <v>12902</v>
      </c>
      <c r="U4056" t="s">
        <v>12902</v>
      </c>
      <c r="V4056" t="s">
        <v>12902</v>
      </c>
      <c r="W4056" t="s">
        <v>16911</v>
      </c>
      <c r="X4056">
        <v>1</v>
      </c>
      <c r="Y4056" t="s">
        <v>23221</v>
      </c>
      <c r="Z4056" t="s">
        <v>29631</v>
      </c>
      <c r="AA4056">
        <v>0.76250537917321948</v>
      </c>
      <c r="AB4056" t="str">
        <f>HYPERLINK("Melting_Curves/meltCurve_Q6ZN17_2_LIN28B.pdf", "Melting_Curves/meltCurve_Q6ZN17_2_LIN28B.pdf")</f>
        <v>Melting_Curves/meltCurve_Q6ZN17_2_LIN28B.pdf</v>
      </c>
    </row>
    <row r="4057" spans="1:28" x14ac:dyDescent="0.25">
      <c r="A4057" t="s">
        <v>4061</v>
      </c>
      <c r="B4057">
        <v>0.99673306730245903</v>
      </c>
      <c r="C4057">
        <v>0.90697857342470301</v>
      </c>
      <c r="D4057">
        <v>0.84384257896799697</v>
      </c>
      <c r="E4057">
        <v>0.68851010554377401</v>
      </c>
      <c r="F4057">
        <v>0.30239884710652698</v>
      </c>
      <c r="G4057">
        <v>0.16895365222061601</v>
      </c>
      <c r="H4057">
        <v>0.112284638600524</v>
      </c>
      <c r="I4057">
        <v>9.7868555101876697E-2</v>
      </c>
      <c r="J4057">
        <v>0.114031538960888</v>
      </c>
      <c r="K4057">
        <v>0.116624668667274</v>
      </c>
      <c r="L4057">
        <v>996.89962171292098</v>
      </c>
      <c r="M4057">
        <v>19.7342402855842</v>
      </c>
      <c r="N4057">
        <v>51.037814351252102</v>
      </c>
      <c r="O4057">
        <v>50.0060916257748</v>
      </c>
      <c r="P4057">
        <v>-8.9652890598114598E-2</v>
      </c>
      <c r="Q4057">
        <v>9.1318100953781803E-2</v>
      </c>
      <c r="R4057">
        <v>0.99053013067418905</v>
      </c>
      <c r="S4057" t="s">
        <v>10509</v>
      </c>
      <c r="T4057" t="s">
        <v>12902</v>
      </c>
      <c r="U4057" t="s">
        <v>12902</v>
      </c>
      <c r="V4057" t="s">
        <v>12902</v>
      </c>
      <c r="W4057" t="s">
        <v>16912</v>
      </c>
      <c r="X4057">
        <v>8</v>
      </c>
      <c r="Y4057" t="s">
        <v>23222</v>
      </c>
      <c r="Z4057" t="s">
        <v>29632</v>
      </c>
      <c r="AA4057">
        <v>0.42280416000143062</v>
      </c>
      <c r="AB4057" t="str">
        <f>HYPERLINK("Melting_Curves/meltCurve_Q6ZNB6_NFXL1.pdf", "Melting_Curves/meltCurve_Q6ZNB6_NFXL1.pdf")</f>
        <v>Melting_Curves/meltCurve_Q6ZNB6_NFXL1.pdf</v>
      </c>
    </row>
    <row r="4058" spans="1:28" x14ac:dyDescent="0.25">
      <c r="A4058" t="s">
        <v>4062</v>
      </c>
      <c r="B4058">
        <v>0.99673306730245903</v>
      </c>
      <c r="C4058">
        <v>1.0068612297762001</v>
      </c>
      <c r="D4058">
        <v>0.79785674634265602</v>
      </c>
      <c r="E4058">
        <v>0.42772431406558797</v>
      </c>
      <c r="F4058">
        <v>0.16147240978833299</v>
      </c>
      <c r="G4058">
        <v>9.4527643131844599E-2</v>
      </c>
      <c r="H4058">
        <v>5.0573498590471E-2</v>
      </c>
      <c r="I4058">
        <v>3.9423969875868901E-2</v>
      </c>
      <c r="J4058">
        <v>4.2309469307211398E-2</v>
      </c>
      <c r="K4058">
        <v>3.1412916950763502E-2</v>
      </c>
      <c r="L4058">
        <v>1144.2389137364901</v>
      </c>
      <c r="M4058">
        <v>23.461746625104301</v>
      </c>
      <c r="N4058">
        <v>48.951988138575501</v>
      </c>
      <c r="O4058">
        <v>48.420213369209101</v>
      </c>
      <c r="P4058">
        <v>-0.116089771932957</v>
      </c>
      <c r="Q4058">
        <v>4.1674566338913303E-2</v>
      </c>
      <c r="R4058">
        <v>0.99825345612068095</v>
      </c>
      <c r="S4058" t="s">
        <v>10510</v>
      </c>
      <c r="T4058" t="s">
        <v>12902</v>
      </c>
      <c r="U4058" t="s">
        <v>12902</v>
      </c>
      <c r="V4058" t="s">
        <v>12902</v>
      </c>
      <c r="W4058" t="s">
        <v>16913</v>
      </c>
      <c r="X4058">
        <v>7</v>
      </c>
      <c r="Y4058" t="s">
        <v>23223</v>
      </c>
      <c r="Z4058" t="s">
        <v>29633</v>
      </c>
      <c r="AA4058">
        <v>0.33151304389100661</v>
      </c>
      <c r="AB4058" t="str">
        <f>HYPERLINK("Melting_Curves/meltCurve_Q6ZNW5_GDPGP1.pdf", "Melting_Curves/meltCurve_Q6ZNW5_GDPGP1.pdf")</f>
        <v>Melting_Curves/meltCurve_Q6ZNW5_GDPGP1.pdf</v>
      </c>
    </row>
    <row r="4059" spans="1:28" x14ac:dyDescent="0.25">
      <c r="A4059" t="s">
        <v>4063</v>
      </c>
      <c r="B4059">
        <v>0.99673306730245903</v>
      </c>
      <c r="C4059">
        <v>0.89405771150342095</v>
      </c>
      <c r="D4059">
        <v>0.88298540337030895</v>
      </c>
      <c r="E4059">
        <v>0.641898079513329</v>
      </c>
      <c r="F4059">
        <v>0.274037398126594</v>
      </c>
      <c r="G4059">
        <v>0.12827825437478299</v>
      </c>
      <c r="H4059">
        <v>8.9261201328471207E-2</v>
      </c>
      <c r="I4059">
        <v>8.1672801625721603E-2</v>
      </c>
      <c r="J4059">
        <v>5.3866512947651303E-2</v>
      </c>
      <c r="K4059">
        <v>5.2418736981718797E-2</v>
      </c>
      <c r="L4059">
        <v>1034.4150381981599</v>
      </c>
      <c r="M4059">
        <v>20.494295632764199</v>
      </c>
      <c r="N4059">
        <v>50.746830779142499</v>
      </c>
      <c r="O4059">
        <v>50.000127982227603</v>
      </c>
      <c r="P4059">
        <v>-9.7115600403062594E-2</v>
      </c>
      <c r="Q4059">
        <v>5.2292595372509E-2</v>
      </c>
      <c r="R4059">
        <v>0.993888335694046</v>
      </c>
      <c r="S4059" t="s">
        <v>10511</v>
      </c>
      <c r="T4059" t="s">
        <v>12902</v>
      </c>
      <c r="U4059" t="s">
        <v>12902</v>
      </c>
      <c r="V4059" t="s">
        <v>12902</v>
      </c>
      <c r="W4059" t="s">
        <v>16914</v>
      </c>
      <c r="X4059">
        <v>3</v>
      </c>
      <c r="Y4059" t="s">
        <v>23224</v>
      </c>
      <c r="Z4059" t="s">
        <v>29634</v>
      </c>
      <c r="AA4059">
        <v>0.39571745067149128</v>
      </c>
      <c r="AB4059" t="str">
        <f>HYPERLINK("Melting_Curves/meltCurve_Q6ZPD9_DPY19L3.pdf", "Melting_Curves/meltCurve_Q6ZPD9_DPY19L3.pdf")</f>
        <v>Melting_Curves/meltCurve_Q6ZPD9_DPY19L3.pdf</v>
      </c>
    </row>
    <row r="4060" spans="1:28" x14ac:dyDescent="0.25">
      <c r="A4060" t="s">
        <v>4064</v>
      </c>
      <c r="B4060">
        <v>0.99673306730245903</v>
      </c>
      <c r="C4060">
        <v>1.1170411321017399</v>
      </c>
      <c r="D4060">
        <v>0.51252975760406505</v>
      </c>
      <c r="E4060">
        <v>0.73024880308055096</v>
      </c>
      <c r="F4060">
        <v>0.54704669408381901</v>
      </c>
      <c r="G4060">
        <v>0.276207619482915</v>
      </c>
      <c r="H4060">
        <v>8.7740067132597299E-2</v>
      </c>
      <c r="I4060">
        <v>6.7481459802066296E-2</v>
      </c>
      <c r="J4060">
        <v>7.4117694114588906E-2</v>
      </c>
      <c r="K4060">
        <v>5.95428192809902E-2</v>
      </c>
      <c r="L4060">
        <v>594.73073476330205</v>
      </c>
      <c r="M4060">
        <v>11.4041810806999</v>
      </c>
      <c r="N4060">
        <v>52.1502277313947</v>
      </c>
      <c r="O4060">
        <v>50.623947047756303</v>
      </c>
      <c r="P4060">
        <v>-5.6334647295440798E-2</v>
      </c>
      <c r="Q4060">
        <v>0</v>
      </c>
      <c r="R4060">
        <v>0.88839893506234802</v>
      </c>
      <c r="S4060" t="s">
        <v>10512</v>
      </c>
      <c r="T4060" t="s">
        <v>12902</v>
      </c>
      <c r="U4060" t="s">
        <v>12902</v>
      </c>
      <c r="V4060" t="s">
        <v>12902</v>
      </c>
      <c r="W4060" t="s">
        <v>16915</v>
      </c>
      <c r="X4060">
        <v>19</v>
      </c>
      <c r="Y4060" t="s">
        <v>23225</v>
      </c>
      <c r="Z4060" t="s">
        <v>29635</v>
      </c>
      <c r="AA4060">
        <v>0.43726137668727189</v>
      </c>
      <c r="AB4060" t="str">
        <f>HYPERLINK("Melting_Curves/meltCurve_Q6ZRP7_QSOX2.pdf", "Melting_Curves/meltCurve_Q6ZRP7_QSOX2.pdf")</f>
        <v>Melting_Curves/meltCurve_Q6ZRP7_QSOX2.pdf</v>
      </c>
    </row>
    <row r="4061" spans="1:28" x14ac:dyDescent="0.25">
      <c r="A4061" t="s">
        <v>4065</v>
      </c>
      <c r="B4061">
        <v>0.99673306730245903</v>
      </c>
      <c r="C4061">
        <v>0.93478522483179305</v>
      </c>
      <c r="D4061">
        <v>1.0515572652218701</v>
      </c>
      <c r="E4061">
        <v>0.77595903977774605</v>
      </c>
      <c r="F4061">
        <v>0.52270377817531999</v>
      </c>
      <c r="G4061">
        <v>0.208537428316729</v>
      </c>
      <c r="H4061">
        <v>0.11599415604354101</v>
      </c>
      <c r="I4061">
        <v>0.10361203798148499</v>
      </c>
      <c r="J4061">
        <v>0.15287353550521399</v>
      </c>
      <c r="K4061">
        <v>0.15477836402790099</v>
      </c>
      <c r="L4061">
        <v>1304.4501017893499</v>
      </c>
      <c r="M4061">
        <v>24.881562516323999</v>
      </c>
      <c r="N4061">
        <v>53.011667988978999</v>
      </c>
      <c r="O4061">
        <v>52.091245906382802</v>
      </c>
      <c r="P4061">
        <v>-0.105072611979128</v>
      </c>
      <c r="Q4061">
        <v>0.120105370314805</v>
      </c>
      <c r="R4061">
        <v>0.98714850782292396</v>
      </c>
      <c r="S4061" t="s">
        <v>10513</v>
      </c>
      <c r="T4061" t="s">
        <v>12902</v>
      </c>
      <c r="U4061" t="s">
        <v>12902</v>
      </c>
      <c r="V4061" t="s">
        <v>12902</v>
      </c>
      <c r="W4061" t="s">
        <v>16916</v>
      </c>
      <c r="X4061">
        <v>8</v>
      </c>
      <c r="Y4061" t="s">
        <v>23226</v>
      </c>
      <c r="Z4061" t="s">
        <v>29636</v>
      </c>
      <c r="AA4061">
        <v>0.49270640754743511</v>
      </c>
      <c r="AB4061" t="str">
        <f>HYPERLINK("Melting_Curves/meltCurve_Q6ZRS2_2_SRCAP.pdf", "Melting_Curves/meltCurve_Q6ZRS2_2_SRCAP.pdf")</f>
        <v>Melting_Curves/meltCurve_Q6ZRS2_2_SRCAP.pdf</v>
      </c>
    </row>
    <row r="4062" spans="1:28" x14ac:dyDescent="0.25">
      <c r="A4062" t="s">
        <v>4066</v>
      </c>
      <c r="B4062">
        <v>0.99673306730245903</v>
      </c>
      <c r="C4062">
        <v>0.99816080383144401</v>
      </c>
      <c r="D4062">
        <v>0.77763634276242399</v>
      </c>
      <c r="E4062">
        <v>0.36413148752885099</v>
      </c>
      <c r="F4062">
        <v>0.224926966508462</v>
      </c>
      <c r="G4062">
        <v>0.15258790015415499</v>
      </c>
      <c r="H4062">
        <v>8.8928676084232994E-2</v>
      </c>
      <c r="I4062">
        <v>6.8008040904279296E-2</v>
      </c>
      <c r="J4062">
        <v>6.3976404143849794E-2</v>
      </c>
      <c r="K4062">
        <v>6.7845504788667493E-2</v>
      </c>
      <c r="L4062">
        <v>1119.11989677317</v>
      </c>
      <c r="M4062">
        <v>23.204984606896399</v>
      </c>
      <c r="N4062">
        <v>48.615180151736503</v>
      </c>
      <c r="O4062">
        <v>47.8736844344213</v>
      </c>
      <c r="P4062">
        <v>-0.110946172466585</v>
      </c>
      <c r="Q4062">
        <v>8.4454320883388695E-2</v>
      </c>
      <c r="R4062">
        <v>0.99379109137071098</v>
      </c>
      <c r="S4062" t="s">
        <v>10514</v>
      </c>
      <c r="T4062" t="s">
        <v>12902</v>
      </c>
      <c r="U4062" t="s">
        <v>12902</v>
      </c>
      <c r="V4062" t="s">
        <v>12902</v>
      </c>
      <c r="W4062" t="s">
        <v>16917</v>
      </c>
      <c r="X4062">
        <v>6</v>
      </c>
      <c r="Y4062" t="s">
        <v>23227</v>
      </c>
      <c r="Z4062" t="s">
        <v>29637</v>
      </c>
      <c r="AA4062">
        <v>0.34501291864411998</v>
      </c>
      <c r="AB4062" t="str">
        <f>HYPERLINK("Melting_Curves/meltCurve_Q6ZS17_2_FAM65A.pdf", "Melting_Curves/meltCurve_Q6ZS17_2_FAM65A.pdf")</f>
        <v>Melting_Curves/meltCurve_Q6ZS17_2_FAM65A.pdf</v>
      </c>
    </row>
    <row r="4063" spans="1:28" x14ac:dyDescent="0.25">
      <c r="A4063" t="s">
        <v>4067</v>
      </c>
      <c r="B4063">
        <v>0.99673306730245903</v>
      </c>
      <c r="C4063">
        <v>0.99998794895540399</v>
      </c>
      <c r="D4063">
        <v>0.90346482690825303</v>
      </c>
      <c r="E4063">
        <v>0.79639689566803495</v>
      </c>
      <c r="F4063">
        <v>0.37808876258607399</v>
      </c>
      <c r="G4063">
        <v>0.25079224144486301</v>
      </c>
      <c r="H4063">
        <v>0.173475557269402</v>
      </c>
      <c r="I4063">
        <v>0.101838972629651</v>
      </c>
      <c r="J4063">
        <v>6.5167664020581703E-2</v>
      </c>
      <c r="K4063">
        <v>6.7221295912166801E-2</v>
      </c>
      <c r="L4063">
        <v>1046.3960126653001</v>
      </c>
      <c r="M4063">
        <v>20.133583420570599</v>
      </c>
      <c r="N4063">
        <v>52.433811910592503</v>
      </c>
      <c r="O4063">
        <v>51.468091622433199</v>
      </c>
      <c r="P4063">
        <v>-8.986415722952E-2</v>
      </c>
      <c r="Q4063">
        <v>8.1139226816869706E-2</v>
      </c>
      <c r="R4063">
        <v>0.99239704669596196</v>
      </c>
      <c r="S4063" t="s">
        <v>10515</v>
      </c>
      <c r="T4063" t="s">
        <v>12902</v>
      </c>
      <c r="U4063" t="s">
        <v>12902</v>
      </c>
      <c r="V4063" t="s">
        <v>12902</v>
      </c>
      <c r="W4063" t="s">
        <v>16918</v>
      </c>
      <c r="X4063">
        <v>1</v>
      </c>
      <c r="Y4063" t="s">
        <v>23228</v>
      </c>
      <c r="Z4063" t="s">
        <v>29638</v>
      </c>
      <c r="AA4063">
        <v>0.46041245343315629</v>
      </c>
      <c r="AB4063" t="str">
        <f>HYPERLINK("Melting_Curves/meltCurve_Q6ZS30_NBEAL1.pdf", "Melting_Curves/meltCurve_Q6ZS30_NBEAL1.pdf")</f>
        <v>Melting_Curves/meltCurve_Q6ZS30_NBEAL1.pdf</v>
      </c>
    </row>
    <row r="4064" spans="1:28" x14ac:dyDescent="0.25">
      <c r="A4064" t="s">
        <v>4068</v>
      </c>
      <c r="B4064">
        <v>0.99673306730245903</v>
      </c>
      <c r="C4064">
        <v>0.89694554423097494</v>
      </c>
      <c r="D4064">
        <v>0.54000538264422104</v>
      </c>
      <c r="E4064">
        <v>0.38079790480173398</v>
      </c>
      <c r="F4064">
        <v>0.28140498377854101</v>
      </c>
      <c r="G4064">
        <v>0.20956564501307001</v>
      </c>
      <c r="H4064">
        <v>0.156947294614799</v>
      </c>
      <c r="I4064">
        <v>0.20817270274487301</v>
      </c>
      <c r="J4064">
        <v>0.31064301209258499</v>
      </c>
      <c r="K4064">
        <v>0.308046117009939</v>
      </c>
      <c r="L4064">
        <v>1164.3052348896199</v>
      </c>
      <c r="M4064">
        <v>25.5582097109661</v>
      </c>
      <c r="N4064">
        <v>46.798530202440197</v>
      </c>
      <c r="O4064">
        <v>45.278874842097601</v>
      </c>
      <c r="P4064">
        <v>-0.10633656448658101</v>
      </c>
      <c r="Q4064">
        <v>0.24646630922776699</v>
      </c>
      <c r="R4064">
        <v>0.96843547539094199</v>
      </c>
      <c r="S4064" t="s">
        <v>10516</v>
      </c>
      <c r="T4064" t="s">
        <v>12902</v>
      </c>
      <c r="U4064" t="s">
        <v>12902</v>
      </c>
      <c r="V4064" t="s">
        <v>12902</v>
      </c>
      <c r="W4064" t="s">
        <v>16919</v>
      </c>
      <c r="X4064">
        <v>3</v>
      </c>
      <c r="Y4064" t="s">
        <v>23229</v>
      </c>
      <c r="Z4064" t="s">
        <v>29639</v>
      </c>
      <c r="AA4064">
        <v>0.39278815943704742</v>
      </c>
      <c r="AB4064" t="str">
        <f>HYPERLINK("Melting_Curves/meltCurve_Q6ZSJ8_C1orf122.pdf", "Melting_Curves/meltCurve_Q6ZSJ8_C1orf122.pdf")</f>
        <v>Melting_Curves/meltCurve_Q6ZSJ8_C1orf122.pdf</v>
      </c>
    </row>
    <row r="4065" spans="1:28" x14ac:dyDescent="0.25">
      <c r="A4065" t="s">
        <v>4069</v>
      </c>
      <c r="B4065">
        <v>0.99673306730245903</v>
      </c>
      <c r="C4065">
        <v>1.0018716640651999</v>
      </c>
      <c r="D4065">
        <v>1.03616771975264</v>
      </c>
      <c r="E4065">
        <v>0.75892757387125498</v>
      </c>
      <c r="F4065">
        <v>0.80850298919170704</v>
      </c>
      <c r="G4065">
        <v>0.60707810817541297</v>
      </c>
      <c r="H4065">
        <v>0.74659856313848805</v>
      </c>
      <c r="I4065">
        <v>1.21135564711136</v>
      </c>
      <c r="J4065">
        <v>1.44804673437766</v>
      </c>
      <c r="K4065">
        <v>1.62066358529837</v>
      </c>
      <c r="L4065">
        <v>10941.3061393635</v>
      </c>
      <c r="M4065">
        <v>170.644603305402</v>
      </c>
      <c r="O4065">
        <v>64.1086992215007</v>
      </c>
      <c r="P4065">
        <v>0.33272513449465102</v>
      </c>
      <c r="Q4065">
        <v>1.5</v>
      </c>
      <c r="R4065">
        <v>0.64676429269705404</v>
      </c>
      <c r="S4065" t="s">
        <v>10517</v>
      </c>
      <c r="T4065" t="s">
        <v>12902</v>
      </c>
      <c r="U4065" t="s">
        <v>12902</v>
      </c>
      <c r="V4065" t="s">
        <v>12902</v>
      </c>
      <c r="W4065" t="s">
        <v>16920</v>
      </c>
      <c r="X4065">
        <v>3</v>
      </c>
      <c r="Y4065" t="s">
        <v>23230</v>
      </c>
      <c r="Z4065" t="s">
        <v>29640</v>
      </c>
      <c r="AA4065">
        <v>1.0979208059504539</v>
      </c>
      <c r="AB4065" t="str">
        <f>HYPERLINK("Melting_Curves/meltCurve_Q6ZSS7_MFSD6.pdf", "Melting_Curves/meltCurve_Q6ZSS7_MFSD6.pdf")</f>
        <v>Melting_Curves/meltCurve_Q6ZSS7_MFSD6.pdf</v>
      </c>
    </row>
    <row r="4066" spans="1:28" x14ac:dyDescent="0.25">
      <c r="A4066" t="s">
        <v>4070</v>
      </c>
      <c r="B4066">
        <v>0.99673306730245903</v>
      </c>
      <c r="C4066">
        <v>0.88519675954930399</v>
      </c>
      <c r="D4066">
        <v>0.59582658370619201</v>
      </c>
      <c r="E4066">
        <v>0.386023757583069</v>
      </c>
      <c r="F4066">
        <v>0.35479896743871697</v>
      </c>
      <c r="G4066">
        <v>0.15976907089499501</v>
      </c>
      <c r="H4066">
        <v>0.123249555864598</v>
      </c>
      <c r="I4066">
        <v>7.7473502265843597E-2</v>
      </c>
      <c r="J4066">
        <v>9.1247484123710906E-2</v>
      </c>
      <c r="K4066">
        <v>6.5655250829571798E-2</v>
      </c>
      <c r="L4066">
        <v>645.62443036693503</v>
      </c>
      <c r="M4066">
        <v>13.4895003615859</v>
      </c>
      <c r="N4066">
        <v>48.396757864491299</v>
      </c>
      <c r="O4066">
        <v>46.846155780968601</v>
      </c>
      <c r="P4066">
        <v>-6.7007730068169402E-2</v>
      </c>
      <c r="Q4066">
        <v>6.9328188502994104E-2</v>
      </c>
      <c r="R4066">
        <v>0.980449055463118</v>
      </c>
      <c r="S4066" t="s">
        <v>10518</v>
      </c>
      <c r="T4066" t="s">
        <v>12902</v>
      </c>
      <c r="U4066" t="s">
        <v>12902</v>
      </c>
      <c r="V4066" t="s">
        <v>12902</v>
      </c>
      <c r="W4066" t="s">
        <v>16921</v>
      </c>
      <c r="X4066">
        <v>5</v>
      </c>
      <c r="Y4066" t="s">
        <v>23231</v>
      </c>
      <c r="Z4066" t="s">
        <v>29641</v>
      </c>
      <c r="AA4066">
        <v>0.34284549824704291</v>
      </c>
      <c r="AB4066" t="str">
        <f>HYPERLINK("Melting_Curves/meltCurve_Q6ZT12_UBR3.pdf", "Melting_Curves/meltCurve_Q6ZT12_UBR3.pdf")</f>
        <v>Melting_Curves/meltCurve_Q6ZT12_UBR3.pdf</v>
      </c>
    </row>
    <row r="4067" spans="1:28" x14ac:dyDescent="0.25">
      <c r="A4067" t="s">
        <v>4071</v>
      </c>
      <c r="B4067">
        <v>0.99673306730245903</v>
      </c>
      <c r="C4067">
        <v>0.90209718355799096</v>
      </c>
      <c r="D4067">
        <v>0.86505979259059895</v>
      </c>
      <c r="E4067">
        <v>0.68597394620436103</v>
      </c>
      <c r="F4067">
        <v>0.53872629391115201</v>
      </c>
      <c r="G4067">
        <v>0.43352907923688</v>
      </c>
      <c r="H4067">
        <v>0.36330021784095601</v>
      </c>
      <c r="I4067">
        <v>0.42301248359722299</v>
      </c>
      <c r="J4067">
        <v>0.53579955362613796</v>
      </c>
      <c r="K4067">
        <v>0.51127947240333005</v>
      </c>
      <c r="L4067">
        <v>943.20433792492599</v>
      </c>
      <c r="M4067">
        <v>19.452928835077699</v>
      </c>
      <c r="N4067">
        <v>54.853093082411398</v>
      </c>
      <c r="O4067">
        <v>47.982824254298798</v>
      </c>
      <c r="P4067">
        <v>-5.5978436296791799E-2</v>
      </c>
      <c r="Q4067">
        <v>0.44771176077032199</v>
      </c>
      <c r="R4067">
        <v>0.94018477901742703</v>
      </c>
      <c r="S4067" t="s">
        <v>10519</v>
      </c>
      <c r="T4067" t="s">
        <v>12902</v>
      </c>
      <c r="U4067" t="s">
        <v>12902</v>
      </c>
      <c r="V4067" t="s">
        <v>12902</v>
      </c>
      <c r="W4067" t="s">
        <v>16922</v>
      </c>
      <c r="X4067">
        <v>1</v>
      </c>
      <c r="Y4067" t="s">
        <v>23232</v>
      </c>
      <c r="Z4067" t="s">
        <v>29642</v>
      </c>
      <c r="AA4067">
        <v>0.61218839650018986</v>
      </c>
      <c r="AB4067" t="str">
        <f>HYPERLINK("Melting_Curves/meltCurve_Q6ZT21_2_TMPPE.pdf", "Melting_Curves/meltCurve_Q6ZT21_2_TMPPE.pdf")</f>
        <v>Melting_Curves/meltCurve_Q6ZT21_2_TMPPE.pdf</v>
      </c>
    </row>
    <row r="4068" spans="1:28" x14ac:dyDescent="0.25">
      <c r="A4068" t="s">
        <v>4072</v>
      </c>
      <c r="B4068">
        <v>0.99673306730245903</v>
      </c>
      <c r="C4068">
        <v>0.966541839951085</v>
      </c>
      <c r="D4068">
        <v>0.85936920127238103</v>
      </c>
      <c r="E4068">
        <v>0.78235766386134098</v>
      </c>
      <c r="F4068">
        <v>0.41176886924139799</v>
      </c>
      <c r="G4068">
        <v>0.181587256867836</v>
      </c>
      <c r="H4068">
        <v>0.10964897196357699</v>
      </c>
      <c r="I4068">
        <v>9.9734449937223094E-2</v>
      </c>
      <c r="J4068">
        <v>0.12075439986533899</v>
      </c>
      <c r="K4068">
        <v>0.10813846287786801</v>
      </c>
      <c r="L4068">
        <v>1114.14752241668</v>
      </c>
      <c r="M4068">
        <v>21.546146741186298</v>
      </c>
      <c r="N4068">
        <v>52.197152454525998</v>
      </c>
      <c r="O4068">
        <v>51.270574475088999</v>
      </c>
      <c r="P4068">
        <v>-9.5491636839539498E-2</v>
      </c>
      <c r="Q4068">
        <v>9.1105728344197501E-2</v>
      </c>
      <c r="R4068">
        <v>0.99228415376026102</v>
      </c>
      <c r="S4068" t="s">
        <v>10520</v>
      </c>
      <c r="T4068" t="s">
        <v>12902</v>
      </c>
      <c r="U4068" t="s">
        <v>12902</v>
      </c>
      <c r="V4068" t="s">
        <v>12902</v>
      </c>
      <c r="W4068" t="s">
        <v>16923</v>
      </c>
      <c r="X4068">
        <v>11</v>
      </c>
      <c r="Y4068" t="s">
        <v>23233</v>
      </c>
      <c r="Z4068" t="s">
        <v>29643</v>
      </c>
      <c r="AA4068">
        <v>0.45685133476904949</v>
      </c>
      <c r="AB4068" t="str">
        <f>HYPERLINK("Melting_Curves/meltCurve_Q6ZT62_SH3BP1.pdf", "Melting_Curves/meltCurve_Q6ZT62_SH3BP1.pdf")</f>
        <v>Melting_Curves/meltCurve_Q6ZT62_SH3BP1.pdf</v>
      </c>
    </row>
    <row r="4069" spans="1:28" x14ac:dyDescent="0.25">
      <c r="A4069" t="s">
        <v>4073</v>
      </c>
      <c r="B4069">
        <v>0.99673306730245903</v>
      </c>
      <c r="C4069">
        <v>0.79864385319466102</v>
      </c>
      <c r="D4069">
        <v>0.38958402394404001</v>
      </c>
      <c r="E4069">
        <v>0.31261687098803498</v>
      </c>
      <c r="F4069">
        <v>0.26784303330976</v>
      </c>
      <c r="G4069">
        <v>0.28144656205424201</v>
      </c>
      <c r="H4069">
        <v>0.17258580937638701</v>
      </c>
      <c r="I4069">
        <v>0.19019494114650901</v>
      </c>
      <c r="J4069">
        <v>7.2195672939261102E-2</v>
      </c>
      <c r="K4069">
        <v>5.7234646131257498E-2</v>
      </c>
      <c r="L4069">
        <v>1032.64577656859</v>
      </c>
      <c r="M4069">
        <v>23.088763994894201</v>
      </c>
      <c r="N4069">
        <v>45.556210745199699</v>
      </c>
      <c r="O4069">
        <v>44.3935937632519</v>
      </c>
      <c r="P4069">
        <v>-0.10767556400362401</v>
      </c>
      <c r="Q4069">
        <v>0.17188882729950899</v>
      </c>
      <c r="R4069">
        <v>0.93976882694041297</v>
      </c>
      <c r="S4069" t="s">
        <v>10521</v>
      </c>
      <c r="T4069" t="s">
        <v>12902</v>
      </c>
      <c r="U4069" t="s">
        <v>12902</v>
      </c>
      <c r="V4069" t="s">
        <v>12902</v>
      </c>
      <c r="W4069" t="s">
        <v>16924</v>
      </c>
      <c r="X4069">
        <v>5</v>
      </c>
      <c r="Y4069" t="s">
        <v>23234</v>
      </c>
      <c r="Z4069" t="s">
        <v>29644</v>
      </c>
      <c r="AA4069">
        <v>0.31262750955226021</v>
      </c>
      <c r="AB4069" t="str">
        <f>HYPERLINK("Melting_Curves/meltCurve_Q6ZTQ3_4_RASSF6.pdf", "Melting_Curves/meltCurve_Q6ZTQ3_4_RASSF6.pdf")</f>
        <v>Melting_Curves/meltCurve_Q6ZTQ3_4_RASSF6.pdf</v>
      </c>
    </row>
    <row r="4070" spans="1:28" x14ac:dyDescent="0.25">
      <c r="A4070" t="s">
        <v>4074</v>
      </c>
      <c r="B4070">
        <v>0.99673306730245903</v>
      </c>
      <c r="C4070">
        <v>0.98352364067731501</v>
      </c>
      <c r="D4070">
        <v>0.92037970890788801</v>
      </c>
      <c r="E4070">
        <v>0.78875796172880097</v>
      </c>
      <c r="F4070">
        <v>0.65683594128877798</v>
      </c>
      <c r="G4070">
        <v>0.49447863919499002</v>
      </c>
      <c r="H4070">
        <v>0.41409482933176101</v>
      </c>
      <c r="I4070">
        <v>0.62516462293127895</v>
      </c>
      <c r="J4070">
        <v>0.85747223077347101</v>
      </c>
      <c r="K4070">
        <v>0.92419905216745502</v>
      </c>
      <c r="L4070">
        <v>1565.2146126047701</v>
      </c>
      <c r="M4070">
        <v>32.440877280858899</v>
      </c>
      <c r="O4070">
        <v>48.066014840064497</v>
      </c>
      <c r="P4070">
        <v>-5.7037796472647999E-2</v>
      </c>
      <c r="Q4070">
        <v>0.66196164366074495</v>
      </c>
      <c r="R4070">
        <v>0.48217362244006701</v>
      </c>
      <c r="S4070" t="s">
        <v>10522</v>
      </c>
      <c r="T4070" t="s">
        <v>12902</v>
      </c>
      <c r="U4070" t="s">
        <v>12902</v>
      </c>
      <c r="V4070" t="s">
        <v>12902</v>
      </c>
      <c r="W4070" t="s">
        <v>16925</v>
      </c>
      <c r="X4070">
        <v>7</v>
      </c>
      <c r="Y4070" t="s">
        <v>23235</v>
      </c>
      <c r="Z4070" t="s">
        <v>29645</v>
      </c>
      <c r="AA4070">
        <v>0.75663665832720706</v>
      </c>
      <c r="AB4070" t="str">
        <f>HYPERLINK("Melting_Curves/meltCurve_Q6ZVF9_GPRIN3.pdf", "Melting_Curves/meltCurve_Q6ZVF9_GPRIN3.pdf")</f>
        <v>Melting_Curves/meltCurve_Q6ZVF9_GPRIN3.pdf</v>
      </c>
    </row>
    <row r="4071" spans="1:28" x14ac:dyDescent="0.25">
      <c r="A4071" t="s">
        <v>4075</v>
      </c>
      <c r="B4071">
        <v>0.99673306730245903</v>
      </c>
      <c r="C4071">
        <v>0.99581510564437703</v>
      </c>
      <c r="D4071">
        <v>0.79793682092996399</v>
      </c>
      <c r="E4071">
        <v>0.45617829957450201</v>
      </c>
      <c r="F4071">
        <v>0.18473614598062399</v>
      </c>
      <c r="G4071">
        <v>0.103186439818618</v>
      </c>
      <c r="H4071">
        <v>6.3071442410567904E-2</v>
      </c>
      <c r="I4071">
        <v>5.8333163506283002E-2</v>
      </c>
      <c r="J4071">
        <v>5.1169533539469E-2</v>
      </c>
      <c r="K4071">
        <v>4.6876223911199097E-2</v>
      </c>
      <c r="L4071">
        <v>1090.7030662350701</v>
      </c>
      <c r="M4071">
        <v>22.301769241732899</v>
      </c>
      <c r="N4071">
        <v>49.1485927528772</v>
      </c>
      <c r="O4071">
        <v>48.5184552776808</v>
      </c>
      <c r="P4071">
        <v>-0.108940395958684</v>
      </c>
      <c r="Q4071">
        <v>5.2002321135667398E-2</v>
      </c>
      <c r="R4071">
        <v>0.99883680944948905</v>
      </c>
      <c r="S4071" t="s">
        <v>10523</v>
      </c>
      <c r="T4071" t="s">
        <v>12902</v>
      </c>
      <c r="U4071" t="s">
        <v>12902</v>
      </c>
      <c r="V4071" t="s">
        <v>12902</v>
      </c>
      <c r="W4071" t="s">
        <v>16926</v>
      </c>
      <c r="X4071">
        <v>4</v>
      </c>
      <c r="Y4071" t="s">
        <v>23236</v>
      </c>
      <c r="Z4071" t="s">
        <v>29646</v>
      </c>
      <c r="AA4071">
        <v>0.34407772267302572</v>
      </c>
      <c r="AB4071" t="str">
        <f>HYPERLINK("Melting_Curves/meltCurve_Q6ZVM7_2_TOM1L2.pdf", "Melting_Curves/meltCurve_Q6ZVM7_2_TOM1L2.pdf")</f>
        <v>Melting_Curves/meltCurve_Q6ZVM7_2_TOM1L2.pdf</v>
      </c>
    </row>
    <row r="4072" spans="1:28" x14ac:dyDescent="0.25">
      <c r="A4072" t="s">
        <v>4076</v>
      </c>
      <c r="B4072">
        <v>0.99673306730245903</v>
      </c>
      <c r="C4072">
        <v>0.93059730802799001</v>
      </c>
      <c r="D4072">
        <v>0.91819350303709102</v>
      </c>
      <c r="E4072">
        <v>0.80603943480521401</v>
      </c>
      <c r="F4072">
        <v>0.55718211707521703</v>
      </c>
      <c r="G4072">
        <v>0.41695100093540699</v>
      </c>
      <c r="H4072">
        <v>0.36806341504922602</v>
      </c>
      <c r="I4072">
        <v>0.34788810711805401</v>
      </c>
      <c r="J4072">
        <v>0.50123066967915597</v>
      </c>
      <c r="K4072">
        <v>0.478846236669909</v>
      </c>
      <c r="L4072">
        <v>1293.1884001526701</v>
      </c>
      <c r="M4072">
        <v>25.524323349887499</v>
      </c>
      <c r="N4072">
        <v>54.462749677307301</v>
      </c>
      <c r="O4072">
        <v>50.357009741694398</v>
      </c>
      <c r="P4072">
        <v>-7.4045388952223304E-2</v>
      </c>
      <c r="Q4072">
        <v>0.415669699912251</v>
      </c>
      <c r="R4072">
        <v>0.954091185189052</v>
      </c>
      <c r="S4072" t="s">
        <v>10524</v>
      </c>
      <c r="T4072" t="s">
        <v>12902</v>
      </c>
      <c r="U4072" t="s">
        <v>12902</v>
      </c>
      <c r="V4072" t="s">
        <v>12902</v>
      </c>
      <c r="W4072" t="s">
        <v>16927</v>
      </c>
      <c r="X4072">
        <v>3</v>
      </c>
      <c r="Y4072" t="s">
        <v>23237</v>
      </c>
      <c r="Z4072" t="s">
        <v>29647</v>
      </c>
      <c r="AA4072">
        <v>0.62844536028571318</v>
      </c>
      <c r="AB4072" t="str">
        <f>HYPERLINK("Melting_Curves/meltCurve_Q6ZW13_C16orf86.pdf", "Melting_Curves/meltCurve_Q6ZW13_C16orf86.pdf")</f>
        <v>Melting_Curves/meltCurve_Q6ZW13_C16orf86.pdf</v>
      </c>
    </row>
    <row r="4073" spans="1:28" x14ac:dyDescent="0.25">
      <c r="A4073" t="s">
        <v>4077</v>
      </c>
      <c r="B4073">
        <v>0.99673306730245903</v>
      </c>
      <c r="C4073">
        <v>0.83568493300299895</v>
      </c>
      <c r="D4073">
        <v>0.67246008202540697</v>
      </c>
      <c r="E4073">
        <v>0.50190453367908405</v>
      </c>
      <c r="F4073">
        <v>0.29802016248442098</v>
      </c>
      <c r="G4073">
        <v>0.184717094807645</v>
      </c>
      <c r="H4073">
        <v>0.112249696887086</v>
      </c>
      <c r="I4073">
        <v>9.2880611822551501E-2</v>
      </c>
      <c r="J4073">
        <v>0.10543711145093</v>
      </c>
      <c r="K4073">
        <v>9.4160154463944101E-2</v>
      </c>
      <c r="L4073">
        <v>630.11887506698497</v>
      </c>
      <c r="M4073">
        <v>12.9613794051509</v>
      </c>
      <c r="N4073">
        <v>49.148487602694097</v>
      </c>
      <c r="O4073">
        <v>47.501520226045798</v>
      </c>
      <c r="P4073">
        <v>-6.37514715024457E-2</v>
      </c>
      <c r="Q4073">
        <v>6.5608500725377605E-2</v>
      </c>
      <c r="R4073">
        <v>0.99480433008896296</v>
      </c>
      <c r="S4073" t="s">
        <v>10525</v>
      </c>
      <c r="T4073" t="s">
        <v>12902</v>
      </c>
      <c r="U4073" t="s">
        <v>12902</v>
      </c>
      <c r="V4073" t="s">
        <v>12902</v>
      </c>
      <c r="W4073" t="s">
        <v>16928</v>
      </c>
      <c r="X4073">
        <v>9</v>
      </c>
      <c r="Y4073" t="s">
        <v>23238</v>
      </c>
      <c r="Z4073" t="s">
        <v>29648</v>
      </c>
      <c r="AA4073">
        <v>0.36464776193486043</v>
      </c>
      <c r="AB4073" t="str">
        <f>HYPERLINK("Melting_Curves/meltCurve_Q6ZW49_4_PAXIP1.pdf", "Melting_Curves/meltCurve_Q6ZW49_4_PAXIP1.pdf")</f>
        <v>Melting_Curves/meltCurve_Q6ZW49_4_PAXIP1.pdf</v>
      </c>
    </row>
    <row r="4074" spans="1:28" x14ac:dyDescent="0.25">
      <c r="A4074" t="s">
        <v>4078</v>
      </c>
      <c r="B4074">
        <v>0.99673306730245903</v>
      </c>
      <c r="C4074">
        <v>0.92932629427758395</v>
      </c>
      <c r="D4074">
        <v>0.827522651167798</v>
      </c>
      <c r="E4074">
        <v>0.51113554317219101</v>
      </c>
      <c r="F4074">
        <v>0.26407232395207197</v>
      </c>
      <c r="G4074">
        <v>0.17166945609031201</v>
      </c>
      <c r="H4074">
        <v>9.9549941539424494E-2</v>
      </c>
      <c r="I4074">
        <v>8.4367079803236794E-2</v>
      </c>
      <c r="J4074">
        <v>8.2577897182624302E-2</v>
      </c>
      <c r="K4074">
        <v>0.113433170342272</v>
      </c>
      <c r="L4074">
        <v>939.62841639048497</v>
      </c>
      <c r="M4074">
        <v>19.062011692225099</v>
      </c>
      <c r="N4074">
        <v>49.7918019334642</v>
      </c>
      <c r="O4074">
        <v>48.760369365574498</v>
      </c>
      <c r="P4074">
        <v>-8.9245827845289796E-2</v>
      </c>
      <c r="Q4074">
        <v>8.6877647419720996E-2</v>
      </c>
      <c r="R4074">
        <v>0.99848195531184503</v>
      </c>
      <c r="S4074" t="s">
        <v>10526</v>
      </c>
      <c r="T4074" t="s">
        <v>12902</v>
      </c>
      <c r="U4074" t="s">
        <v>12902</v>
      </c>
      <c r="V4074" t="s">
        <v>12902</v>
      </c>
      <c r="W4074" t="s">
        <v>16929</v>
      </c>
      <c r="X4074">
        <v>15</v>
      </c>
      <c r="Y4074" t="s">
        <v>23239</v>
      </c>
      <c r="Z4074" t="s">
        <v>29649</v>
      </c>
      <c r="AA4074">
        <v>0.38378655940974571</v>
      </c>
      <c r="AB4074" t="str">
        <f>HYPERLINK("Melting_Curves/meltCurve_Q6ZXV5_2_TMTC3.pdf", "Melting_Curves/meltCurve_Q6ZXV5_2_TMTC3.pdf")</f>
        <v>Melting_Curves/meltCurve_Q6ZXV5_2_TMTC3.pdf</v>
      </c>
    </row>
    <row r="4075" spans="1:28" x14ac:dyDescent="0.25">
      <c r="A4075" t="s">
        <v>4079</v>
      </c>
      <c r="B4075">
        <v>0.99673306730245903</v>
      </c>
      <c r="C4075">
        <v>0.89183417648622698</v>
      </c>
      <c r="D4075">
        <v>0.80098967413446598</v>
      </c>
      <c r="E4075">
        <v>0.58990843868311904</v>
      </c>
      <c r="F4075">
        <v>0.58091327247680402</v>
      </c>
      <c r="G4075">
        <v>0.64969626243227996</v>
      </c>
      <c r="H4075">
        <v>0.57055545935126994</v>
      </c>
      <c r="I4075">
        <v>0.80528471470361995</v>
      </c>
      <c r="J4075">
        <v>0.89471472882682201</v>
      </c>
      <c r="K4075">
        <v>0.83129768841775498</v>
      </c>
      <c r="L4075">
        <v>1488.8203325178399</v>
      </c>
      <c r="M4075">
        <v>33.910297836018401</v>
      </c>
      <c r="O4075">
        <v>43.752829536396497</v>
      </c>
      <c r="P4075">
        <v>-5.6788062988430602E-2</v>
      </c>
      <c r="Q4075">
        <v>0.70691757293690605</v>
      </c>
      <c r="R4075">
        <v>0.44794605911544499</v>
      </c>
      <c r="S4075" t="s">
        <v>10527</v>
      </c>
      <c r="T4075" t="s">
        <v>12902</v>
      </c>
      <c r="U4075" t="s">
        <v>12902</v>
      </c>
      <c r="V4075" t="s">
        <v>12902</v>
      </c>
      <c r="W4075" t="s">
        <v>16930</v>
      </c>
      <c r="X4075">
        <v>1</v>
      </c>
      <c r="Y4075" t="s">
        <v>23240</v>
      </c>
      <c r="Z4075" t="s">
        <v>29650</v>
      </c>
      <c r="AA4075">
        <v>0.74666362864238978</v>
      </c>
      <c r="AB4075" t="str">
        <f>HYPERLINK("Melting_Curves/meltCurve_Q6ZYL4_GTF2H5.pdf", "Melting_Curves/meltCurve_Q6ZYL4_GTF2H5.pdf")</f>
        <v>Melting_Curves/meltCurve_Q6ZYL4_GTF2H5.pdf</v>
      </c>
    </row>
    <row r="4076" spans="1:28" x14ac:dyDescent="0.25">
      <c r="A4076" t="s">
        <v>4080</v>
      </c>
      <c r="B4076">
        <v>0.99673306730245903</v>
      </c>
      <c r="C4076">
        <v>0.94016573775319201</v>
      </c>
      <c r="D4076">
        <v>0.996407890543066</v>
      </c>
      <c r="E4076">
        <v>1.08309747377678</v>
      </c>
      <c r="F4076">
        <v>0.484302480660871</v>
      </c>
      <c r="G4076">
        <v>0.215121178196027</v>
      </c>
      <c r="H4076">
        <v>0.118434705543918</v>
      </c>
      <c r="I4076">
        <v>0.102843436193215</v>
      </c>
      <c r="J4076">
        <v>9.9811206148802803E-2</v>
      </c>
      <c r="K4076">
        <v>8.6946575977149401E-2</v>
      </c>
      <c r="L4076">
        <v>4606.7003952488803</v>
      </c>
      <c r="M4076">
        <v>86.941002074885702</v>
      </c>
      <c r="N4076">
        <v>53.160592732980099</v>
      </c>
      <c r="O4076">
        <v>52.958496292115697</v>
      </c>
      <c r="P4076">
        <v>-0.35957768702827902</v>
      </c>
      <c r="Q4076">
        <v>0.123879810695052</v>
      </c>
      <c r="R4076">
        <v>0.98783134772410597</v>
      </c>
      <c r="S4076" t="s">
        <v>10528</v>
      </c>
      <c r="T4076" t="s">
        <v>12902</v>
      </c>
      <c r="U4076" t="s">
        <v>12902</v>
      </c>
      <c r="V4076" t="s">
        <v>12902</v>
      </c>
      <c r="W4076" t="s">
        <v>16931</v>
      </c>
      <c r="X4076">
        <v>34</v>
      </c>
      <c r="Y4076" t="s">
        <v>23241</v>
      </c>
      <c r="Z4076" t="s">
        <v>29651</v>
      </c>
      <c r="AA4076">
        <v>0.50381270607311335</v>
      </c>
      <c r="AB4076" t="str">
        <f>HYPERLINK("Melting_Curves/meltCurve_Q709C8_3_VPS13C.pdf", "Melting_Curves/meltCurve_Q709C8_3_VPS13C.pdf")</f>
        <v>Melting_Curves/meltCurve_Q709C8_3_VPS13C.pdf</v>
      </c>
    </row>
    <row r="4077" spans="1:28" x14ac:dyDescent="0.25">
      <c r="A4077" t="s">
        <v>4081</v>
      </c>
      <c r="B4077">
        <v>0.99673306730245903</v>
      </c>
      <c r="C4077">
        <v>0.92733287016547705</v>
      </c>
      <c r="D4077">
        <v>0.86033754822108099</v>
      </c>
      <c r="E4077">
        <v>0.79395321642926597</v>
      </c>
      <c r="F4077">
        <v>0.52990142270501905</v>
      </c>
      <c r="G4077">
        <v>0.25943500946599801</v>
      </c>
      <c r="H4077">
        <v>0.102877516071958</v>
      </c>
      <c r="I4077">
        <v>8.6174872132961405E-2</v>
      </c>
      <c r="J4077">
        <v>7.1580734574831203E-2</v>
      </c>
      <c r="K4077">
        <v>6.3061165413519596E-2</v>
      </c>
      <c r="L4077">
        <v>844.19085612811102</v>
      </c>
      <c r="M4077">
        <v>15.897176531418101</v>
      </c>
      <c r="N4077">
        <v>53.267800315625799</v>
      </c>
      <c r="O4077">
        <v>52.284203219187702</v>
      </c>
      <c r="P4077">
        <v>-7.4197460183023603E-2</v>
      </c>
      <c r="Q4077">
        <v>2.3966698463471801E-2</v>
      </c>
      <c r="R4077">
        <v>0.99249231430757001</v>
      </c>
      <c r="S4077" t="s">
        <v>10529</v>
      </c>
      <c r="T4077" t="s">
        <v>12902</v>
      </c>
      <c r="U4077" t="s">
        <v>12902</v>
      </c>
      <c r="V4077" t="s">
        <v>12902</v>
      </c>
      <c r="W4077" t="s">
        <v>16932</v>
      </c>
      <c r="X4077">
        <v>4</v>
      </c>
      <c r="Y4077" t="s">
        <v>23242</v>
      </c>
      <c r="Z4077" t="s">
        <v>29652</v>
      </c>
      <c r="AA4077">
        <v>0.46953539118455467</v>
      </c>
      <c r="AB4077" t="str">
        <f>HYPERLINK("Melting_Curves/meltCurve_Q709F0_ACAD11.pdf", "Melting_Curves/meltCurve_Q709F0_ACAD11.pdf")</f>
        <v>Melting_Curves/meltCurve_Q709F0_ACAD11.pdf</v>
      </c>
    </row>
    <row r="4078" spans="1:28" x14ac:dyDescent="0.25">
      <c r="A4078" t="s">
        <v>4082</v>
      </c>
      <c r="B4078">
        <v>0.99673306730245903</v>
      </c>
      <c r="C4078">
        <v>0.810957079148525</v>
      </c>
      <c r="D4078">
        <v>0.61815530712447198</v>
      </c>
      <c r="E4078">
        <v>0.26186606005372398</v>
      </c>
      <c r="F4078">
        <v>0.13201122848028499</v>
      </c>
      <c r="G4078">
        <v>8.0409331891098806E-2</v>
      </c>
      <c r="H4078">
        <v>5.6149028533630803E-2</v>
      </c>
      <c r="I4078">
        <v>5.2113089603181E-2</v>
      </c>
      <c r="J4078">
        <v>5.20919882304604E-2</v>
      </c>
      <c r="K4078">
        <v>4.0586734893315199E-2</v>
      </c>
      <c r="L4078">
        <v>891.15165369032502</v>
      </c>
      <c r="M4078">
        <v>19.087933811545302</v>
      </c>
      <c r="N4078">
        <v>46.918869907970198</v>
      </c>
      <c r="O4078">
        <v>46.183284880975201</v>
      </c>
      <c r="P4078">
        <v>-9.86735184187328E-2</v>
      </c>
      <c r="Q4078">
        <v>4.50744645222299E-2</v>
      </c>
      <c r="R4078">
        <v>0.99663412416647001</v>
      </c>
      <c r="S4078" t="s">
        <v>10530</v>
      </c>
      <c r="T4078" t="s">
        <v>12902</v>
      </c>
      <c r="U4078" t="s">
        <v>12902</v>
      </c>
      <c r="V4078" t="s">
        <v>12902</v>
      </c>
      <c r="W4078" t="s">
        <v>16933</v>
      </c>
      <c r="X4078">
        <v>7</v>
      </c>
      <c r="Y4078" t="s">
        <v>23243</v>
      </c>
      <c r="Z4078" t="s">
        <v>29653</v>
      </c>
      <c r="AA4078">
        <v>0.27364706408628559</v>
      </c>
      <c r="AB4078" t="str">
        <f>HYPERLINK("Melting_Curves/meltCurve_Q70CQ2_USP34.pdf", "Melting_Curves/meltCurve_Q70CQ2_USP34.pdf")</f>
        <v>Melting_Curves/meltCurve_Q70CQ2_USP34.pdf</v>
      </c>
    </row>
    <row r="4079" spans="1:28" x14ac:dyDescent="0.25">
      <c r="A4079" t="s">
        <v>4083</v>
      </c>
      <c r="B4079">
        <v>0.99673306730245903</v>
      </c>
      <c r="C4079">
        <v>1.0063767946037401</v>
      </c>
      <c r="D4079">
        <v>0.87165463948869104</v>
      </c>
      <c r="E4079">
        <v>0.40475685492008501</v>
      </c>
      <c r="F4079">
        <v>0.235525268681327</v>
      </c>
      <c r="G4079">
        <v>0.142937440711319</v>
      </c>
      <c r="H4079">
        <v>9.4048184965852696E-2</v>
      </c>
      <c r="I4079">
        <v>9.8361920065224998E-2</v>
      </c>
      <c r="J4079">
        <v>0.11542875528375</v>
      </c>
      <c r="K4079">
        <v>9.8667370505873805E-2</v>
      </c>
      <c r="L4079">
        <v>1385.97924442351</v>
      </c>
      <c r="M4079">
        <v>28.504788794185899</v>
      </c>
      <c r="N4079">
        <v>49.061984729351501</v>
      </c>
      <c r="O4079">
        <v>48.3852681245017</v>
      </c>
      <c r="P4079">
        <v>-0.13069284251282801</v>
      </c>
      <c r="Q4079">
        <v>0.112632377844486</v>
      </c>
      <c r="R4079">
        <v>0.995844332238497</v>
      </c>
      <c r="S4079" t="s">
        <v>10531</v>
      </c>
      <c r="T4079" t="s">
        <v>12902</v>
      </c>
      <c r="U4079" t="s">
        <v>12902</v>
      </c>
      <c r="V4079" t="s">
        <v>12902</v>
      </c>
      <c r="W4079" t="s">
        <v>16934</v>
      </c>
      <c r="X4079">
        <v>4</v>
      </c>
      <c r="Y4079" t="s">
        <v>23244</v>
      </c>
      <c r="Z4079" t="s">
        <v>29654</v>
      </c>
      <c r="AA4079">
        <v>0.3736581757676426</v>
      </c>
      <c r="AB4079" t="str">
        <f>HYPERLINK("Melting_Curves/meltCurve_Q70IA6_MOB2.pdf", "Melting_Curves/meltCurve_Q70IA6_MOB2.pdf")</f>
        <v>Melting_Curves/meltCurve_Q70IA6_MOB2.pdf</v>
      </c>
    </row>
    <row r="4080" spans="1:28" x14ac:dyDescent="0.25">
      <c r="A4080" t="s">
        <v>4084</v>
      </c>
      <c r="B4080">
        <v>0.99673306730245903</v>
      </c>
      <c r="C4080">
        <v>0.966657672347631</v>
      </c>
      <c r="D4080">
        <v>0.88509433472195398</v>
      </c>
      <c r="E4080">
        <v>0.73235310150685995</v>
      </c>
      <c r="F4080">
        <v>0.47743016001822403</v>
      </c>
      <c r="G4080">
        <v>0.22934036465992599</v>
      </c>
      <c r="H4080">
        <v>0.11798231214621201</v>
      </c>
      <c r="I4080">
        <v>7.9940519352141304E-2</v>
      </c>
      <c r="J4080">
        <v>8.8665246950300106E-2</v>
      </c>
      <c r="K4080">
        <v>7.7532182324088206E-2</v>
      </c>
      <c r="L4080">
        <v>876.366849900734</v>
      </c>
      <c r="M4080">
        <v>16.7679910702002</v>
      </c>
      <c r="N4080">
        <v>52.598376790402902</v>
      </c>
      <c r="O4080">
        <v>51.537915490153601</v>
      </c>
      <c r="P4080">
        <v>-7.7234236586584307E-2</v>
      </c>
      <c r="Q4080">
        <v>5.0517034530225602E-2</v>
      </c>
      <c r="R4080">
        <v>0.99822518211772504</v>
      </c>
      <c r="S4080" t="s">
        <v>10532</v>
      </c>
      <c r="T4080" t="s">
        <v>12902</v>
      </c>
      <c r="U4080" t="s">
        <v>12902</v>
      </c>
      <c r="V4080" t="s">
        <v>12902</v>
      </c>
      <c r="W4080" t="s">
        <v>16935</v>
      </c>
      <c r="X4080">
        <v>7</v>
      </c>
      <c r="Y4080" t="s">
        <v>23245</v>
      </c>
      <c r="Z4080" t="s">
        <v>29655</v>
      </c>
      <c r="AA4080">
        <v>0.45636207189856698</v>
      </c>
      <c r="AB4080" t="str">
        <f>HYPERLINK("Melting_Curves/meltCurve_Q70UQ0_IKBIP.pdf", "Melting_Curves/meltCurve_Q70UQ0_IKBIP.pdf")</f>
        <v>Melting_Curves/meltCurve_Q70UQ0_IKBIP.pdf</v>
      </c>
    </row>
    <row r="4081" spans="1:28" x14ac:dyDescent="0.25">
      <c r="A4081" t="s">
        <v>4085</v>
      </c>
      <c r="B4081">
        <v>0.99673306730245903</v>
      </c>
      <c r="C4081">
        <v>0.96206745014497697</v>
      </c>
      <c r="D4081">
        <v>0.50751452668803998</v>
      </c>
      <c r="E4081">
        <v>0.71832180901895903</v>
      </c>
      <c r="F4081">
        <v>0.38430216156463398</v>
      </c>
      <c r="G4081">
        <v>0.22106990693276701</v>
      </c>
      <c r="H4081">
        <v>0.12665560332543499</v>
      </c>
      <c r="I4081">
        <v>9.7300208382365E-2</v>
      </c>
      <c r="J4081">
        <v>0.12416706803111099</v>
      </c>
      <c r="K4081">
        <v>0.168468164263189</v>
      </c>
      <c r="L4081">
        <v>564.78789408159503</v>
      </c>
      <c r="M4081">
        <v>11.3232451323615</v>
      </c>
      <c r="N4081">
        <v>50.530094287904298</v>
      </c>
      <c r="O4081">
        <v>48.398898152773903</v>
      </c>
      <c r="P4081">
        <v>-5.4533290827463103E-2</v>
      </c>
      <c r="Q4081">
        <v>6.7915635607257205E-2</v>
      </c>
      <c r="R4081">
        <v>0.90616331377006298</v>
      </c>
      <c r="S4081" t="s">
        <v>10533</v>
      </c>
      <c r="T4081" t="s">
        <v>12902</v>
      </c>
      <c r="U4081" t="s">
        <v>12902</v>
      </c>
      <c r="V4081" t="s">
        <v>12902</v>
      </c>
      <c r="W4081" t="s">
        <v>16936</v>
      </c>
      <c r="X4081">
        <v>12</v>
      </c>
      <c r="Y4081" t="s">
        <v>23245</v>
      </c>
      <c r="Z4081" t="s">
        <v>29656</v>
      </c>
      <c r="AA4081">
        <v>0.41038614538301682</v>
      </c>
      <c r="AB4081" t="str">
        <f>HYPERLINK("Melting_Curves/meltCurve_Q70UQ0_4_IKBIP.pdf", "Melting_Curves/meltCurve_Q70UQ0_4_IKBIP.pdf")</f>
        <v>Melting_Curves/meltCurve_Q70UQ0_4_IKBIP.pdf</v>
      </c>
    </row>
    <row r="4082" spans="1:28" x14ac:dyDescent="0.25">
      <c r="A4082" t="s">
        <v>4086</v>
      </c>
      <c r="B4082">
        <v>0.99673306730245903</v>
      </c>
      <c r="C4082">
        <v>0.98950984401333997</v>
      </c>
      <c r="D4082">
        <v>0.79768201871996502</v>
      </c>
      <c r="E4082">
        <v>0.49254632703158502</v>
      </c>
      <c r="F4082">
        <v>0.32689387365700101</v>
      </c>
      <c r="G4082">
        <v>0.188622081035141</v>
      </c>
      <c r="H4082">
        <v>0.13577675823959101</v>
      </c>
      <c r="I4082">
        <v>8.3020212205802302E-2</v>
      </c>
      <c r="J4082">
        <v>9.7326057272204794E-2</v>
      </c>
      <c r="K4082">
        <v>7.3417429455720606E-2</v>
      </c>
      <c r="L4082">
        <v>845.05923078437695</v>
      </c>
      <c r="M4082">
        <v>17.085693800294798</v>
      </c>
      <c r="N4082">
        <v>50.000846112365402</v>
      </c>
      <c r="O4082">
        <v>48.797410547574202</v>
      </c>
      <c r="P4082">
        <v>-8.0154084981354498E-2</v>
      </c>
      <c r="Q4082">
        <v>8.4362656707131806E-2</v>
      </c>
      <c r="R4082">
        <v>0.99500352593826502</v>
      </c>
      <c r="S4082" t="s">
        <v>10534</v>
      </c>
      <c r="T4082" t="s">
        <v>12902</v>
      </c>
      <c r="U4082" t="s">
        <v>12902</v>
      </c>
      <c r="V4082" t="s">
        <v>12902</v>
      </c>
      <c r="W4082" t="s">
        <v>16937</v>
      </c>
      <c r="X4082">
        <v>5</v>
      </c>
      <c r="Y4082" t="s">
        <v>23246</v>
      </c>
      <c r="Z4082" t="s">
        <v>29657</v>
      </c>
      <c r="AA4082">
        <v>0.39050140021137081</v>
      </c>
      <c r="AB4082" t="str">
        <f>HYPERLINK("Melting_Curves/meltCurve_Q70Z53_2_FRA10AC1.pdf", "Melting_Curves/meltCurve_Q70Z53_2_FRA10AC1.pdf")</f>
        <v>Melting_Curves/meltCurve_Q70Z53_2_FRA10AC1.pdf</v>
      </c>
    </row>
    <row r="4083" spans="1:28" x14ac:dyDescent="0.25">
      <c r="A4083" t="s">
        <v>4087</v>
      </c>
      <c r="B4083">
        <v>0.99673306730245903</v>
      </c>
      <c r="C4083">
        <v>1.0100515294655801</v>
      </c>
      <c r="D4083">
        <v>0.946912666833858</v>
      </c>
      <c r="E4083">
        <v>0.981305171889848</v>
      </c>
      <c r="F4083">
        <v>0.28530516543071999</v>
      </c>
      <c r="G4083">
        <v>0.165165309523927</v>
      </c>
      <c r="H4083">
        <v>9.9992108506241004E-2</v>
      </c>
      <c r="I4083">
        <v>9.5329601811135006E-2</v>
      </c>
      <c r="J4083">
        <v>0.117343991097752</v>
      </c>
      <c r="K4083">
        <v>9.8332948076462798E-2</v>
      </c>
      <c r="L4083">
        <v>3667.2707270380401</v>
      </c>
      <c r="M4083">
        <v>70.351601243949005</v>
      </c>
      <c r="N4083">
        <v>52.3209838500403</v>
      </c>
      <c r="O4083">
        <v>52.085679597204297</v>
      </c>
      <c r="P4083">
        <v>-0.29904418809804101</v>
      </c>
      <c r="Q4083">
        <v>0.114395935625908</v>
      </c>
      <c r="R4083">
        <v>0.99646091994740604</v>
      </c>
      <c r="S4083" t="s">
        <v>10535</v>
      </c>
      <c r="T4083" t="s">
        <v>12902</v>
      </c>
      <c r="U4083" t="s">
        <v>12902</v>
      </c>
      <c r="V4083" t="s">
        <v>12902</v>
      </c>
      <c r="W4083" t="s">
        <v>16938</v>
      </c>
      <c r="X4083">
        <v>5</v>
      </c>
      <c r="Y4083" t="s">
        <v>23247</v>
      </c>
      <c r="Z4083" t="s">
        <v>29658</v>
      </c>
      <c r="AA4083">
        <v>0.47343451476499437</v>
      </c>
      <c r="AB4083" t="str">
        <f>HYPERLINK("Melting_Curves/meltCurve_Q712K3_UBE2R2.pdf", "Melting_Curves/meltCurve_Q712K3_UBE2R2.pdf")</f>
        <v>Melting_Curves/meltCurve_Q712K3_UBE2R2.pdf</v>
      </c>
    </row>
    <row r="4084" spans="1:28" x14ac:dyDescent="0.25">
      <c r="A4084" t="s">
        <v>4088</v>
      </c>
      <c r="B4084">
        <v>0.99673306730245903</v>
      </c>
      <c r="C4084">
        <v>0.82724610221221795</v>
      </c>
      <c r="D4084">
        <v>0.62823176917727697</v>
      </c>
      <c r="E4084">
        <v>0.367113407491866</v>
      </c>
      <c r="F4084">
        <v>0.24504806138318</v>
      </c>
      <c r="G4084">
        <v>0.16494724355014301</v>
      </c>
      <c r="H4084">
        <v>0.10972201349921901</v>
      </c>
      <c r="I4084">
        <v>0.118610291364242</v>
      </c>
      <c r="J4084">
        <v>0.171699253257908</v>
      </c>
      <c r="K4084">
        <v>0.164963428959953</v>
      </c>
      <c r="L4084">
        <v>820.75408718645599</v>
      </c>
      <c r="M4084">
        <v>17.569102162116099</v>
      </c>
      <c r="N4084">
        <v>47.578350043784397</v>
      </c>
      <c r="O4084">
        <v>46.123161486755201</v>
      </c>
      <c r="P4084">
        <v>-8.2245549337577301E-2</v>
      </c>
      <c r="Q4084">
        <v>0.13638889757157199</v>
      </c>
      <c r="R4084">
        <v>0.99308562025922997</v>
      </c>
      <c r="S4084" t="s">
        <v>10536</v>
      </c>
      <c r="T4084" t="s">
        <v>12902</v>
      </c>
      <c r="U4084" t="s">
        <v>12902</v>
      </c>
      <c r="V4084" t="s">
        <v>12902</v>
      </c>
      <c r="W4084" t="s">
        <v>16939</v>
      </c>
      <c r="X4084">
        <v>5</v>
      </c>
      <c r="Y4084" t="s">
        <v>23248</v>
      </c>
      <c r="Z4084" t="s">
        <v>29659</v>
      </c>
      <c r="AA4084">
        <v>0.34677111690912399</v>
      </c>
      <c r="AB4084" t="str">
        <f>HYPERLINK("Melting_Curves/meltCurve_Q71RC2_5_LARP4.pdf", "Melting_Curves/meltCurve_Q71RC2_5_LARP4.pdf")</f>
        <v>Melting_Curves/meltCurve_Q71RC2_5_LARP4.pdf</v>
      </c>
    </row>
    <row r="4085" spans="1:28" x14ac:dyDescent="0.25">
      <c r="A4085" t="s">
        <v>4089</v>
      </c>
      <c r="B4085">
        <v>0.99673306730245903</v>
      </c>
      <c r="C4085">
        <v>1.00006601318119</v>
      </c>
      <c r="D4085">
        <v>0.74591370384128197</v>
      </c>
      <c r="E4085">
        <v>0.76934001032507804</v>
      </c>
      <c r="F4085">
        <v>0.358242285373015</v>
      </c>
      <c r="G4085">
        <v>0.126997926895934</v>
      </c>
      <c r="H4085">
        <v>5.02930630186798E-2</v>
      </c>
      <c r="I4085">
        <v>4.5884835172449803E-2</v>
      </c>
      <c r="J4085">
        <v>4.4320721249991403E-2</v>
      </c>
      <c r="K4085">
        <v>2.8894002392871099E-2</v>
      </c>
      <c r="L4085">
        <v>903.17417005783102</v>
      </c>
      <c r="M4085">
        <v>17.520064947285299</v>
      </c>
      <c r="N4085">
        <v>51.583274897667302</v>
      </c>
      <c r="O4085">
        <v>50.893304801851201</v>
      </c>
      <c r="P4085">
        <v>-8.5596056245862806E-2</v>
      </c>
      <c r="Q4085">
        <v>5.4769511044920199E-3</v>
      </c>
      <c r="R4085">
        <v>0.97695522517596201</v>
      </c>
      <c r="S4085" t="s">
        <v>10537</v>
      </c>
      <c r="T4085" t="s">
        <v>12902</v>
      </c>
      <c r="U4085" t="s">
        <v>12902</v>
      </c>
      <c r="V4085" t="s">
        <v>12902</v>
      </c>
      <c r="W4085" t="s">
        <v>16940</v>
      </c>
      <c r="X4085">
        <v>3</v>
      </c>
      <c r="Y4085" t="s">
        <v>23249</v>
      </c>
      <c r="Z4085" t="s">
        <v>29660</v>
      </c>
      <c r="AA4085">
        <v>0.40584454694024008</v>
      </c>
      <c r="AB4085" t="str">
        <f>HYPERLINK("Melting_Curves/meltCurve_Q71SY5_5_MED25.pdf", "Melting_Curves/meltCurve_Q71SY5_5_MED25.pdf")</f>
        <v>Melting_Curves/meltCurve_Q71SY5_5_MED25.pdf</v>
      </c>
    </row>
    <row r="4086" spans="1:28" x14ac:dyDescent="0.25">
      <c r="A4086" t="s">
        <v>4090</v>
      </c>
      <c r="B4086">
        <v>0.99673306730245903</v>
      </c>
      <c r="C4086">
        <v>0.87982637772952399</v>
      </c>
      <c r="D4086">
        <v>0.77218038293879399</v>
      </c>
      <c r="E4086">
        <v>0.624282483246002</v>
      </c>
      <c r="F4086">
        <v>0.550252660798214</v>
      </c>
      <c r="G4086">
        <v>0.33414735649836902</v>
      </c>
      <c r="H4086">
        <v>0.53624891386236295</v>
      </c>
      <c r="I4086">
        <v>0.58012106470818003</v>
      </c>
      <c r="J4086">
        <v>0.61487302301170099</v>
      </c>
      <c r="K4086">
        <v>0.67677597036616399</v>
      </c>
      <c r="L4086">
        <v>1062.14230370359</v>
      </c>
      <c r="M4086">
        <v>23.3080065993483</v>
      </c>
      <c r="O4086">
        <v>45.238380221506397</v>
      </c>
      <c r="P4086">
        <v>-5.8105631086644897E-2</v>
      </c>
      <c r="Q4086">
        <v>0.54890042290202501</v>
      </c>
      <c r="R4086">
        <v>0.77286299523092605</v>
      </c>
      <c r="S4086" t="s">
        <v>10538</v>
      </c>
      <c r="T4086" t="s">
        <v>12902</v>
      </c>
      <c r="U4086" t="s">
        <v>12902</v>
      </c>
      <c r="V4086" t="s">
        <v>12902</v>
      </c>
      <c r="W4086" t="s">
        <v>16941</v>
      </c>
      <c r="X4086">
        <v>3</v>
      </c>
      <c r="Y4086" t="s">
        <v>23250</v>
      </c>
      <c r="Z4086" t="s">
        <v>29661</v>
      </c>
      <c r="AA4086">
        <v>0.63769655787582102</v>
      </c>
      <c r="AB4086" t="str">
        <f>HYPERLINK("Melting_Curves/meltCurve_Q71UI9_H2AFV.pdf", "Melting_Curves/meltCurve_Q71UI9_H2AFV.pdf")</f>
        <v>Melting_Curves/meltCurve_Q71UI9_H2AFV.pdf</v>
      </c>
    </row>
    <row r="4087" spans="1:28" x14ac:dyDescent="0.25">
      <c r="A4087" t="s">
        <v>4091</v>
      </c>
      <c r="B4087">
        <v>0.99673306730245903</v>
      </c>
      <c r="C4087">
        <v>0.93062294234690801</v>
      </c>
      <c r="D4087">
        <v>0.94781482651970295</v>
      </c>
      <c r="E4087">
        <v>1.02832118051091</v>
      </c>
      <c r="F4087">
        <v>0.34411458128883299</v>
      </c>
      <c r="G4087">
        <v>0.30300931398207298</v>
      </c>
      <c r="H4087">
        <v>0.26699491415910698</v>
      </c>
      <c r="I4087">
        <v>4.3937931866656801E-2</v>
      </c>
      <c r="J4087">
        <v>1.35117058437513E-2</v>
      </c>
      <c r="K4087">
        <v>9.1207673108324207E-3</v>
      </c>
      <c r="L4087">
        <v>4124.8678148563804</v>
      </c>
      <c r="M4087">
        <v>78.610679816389407</v>
      </c>
      <c r="N4087">
        <v>52.667024952535101</v>
      </c>
      <c r="O4087">
        <v>52.438176311594397</v>
      </c>
      <c r="P4087">
        <v>-0.327474681493161</v>
      </c>
      <c r="Q4087">
        <v>0.12621680123131601</v>
      </c>
      <c r="R4087">
        <v>0.94604561047688995</v>
      </c>
      <c r="S4087" t="s">
        <v>10539</v>
      </c>
      <c r="T4087" t="s">
        <v>12902</v>
      </c>
      <c r="U4087" t="s">
        <v>12902</v>
      </c>
      <c r="V4087" t="s">
        <v>12902</v>
      </c>
      <c r="W4087" t="s">
        <v>16942</v>
      </c>
      <c r="X4087">
        <v>1</v>
      </c>
      <c r="Y4087" t="s">
        <v>23251</v>
      </c>
      <c r="Z4087" t="s">
        <v>29662</v>
      </c>
      <c r="AA4087">
        <v>0.49029610717861932</v>
      </c>
      <c r="AB4087" t="str">
        <f>HYPERLINK("Melting_Curves/meltCurve_Q75QN2_2_INTS8.pdf", "Melting_Curves/meltCurve_Q75QN2_2_INTS8.pdf")</f>
        <v>Melting_Curves/meltCurve_Q75QN2_2_INTS8.pdf</v>
      </c>
    </row>
    <row r="4088" spans="1:28" x14ac:dyDescent="0.25">
      <c r="A4088" t="s">
        <v>4092</v>
      </c>
      <c r="B4088">
        <v>0.99673306730245903</v>
      </c>
      <c r="C4088">
        <v>0.87067342009910398</v>
      </c>
      <c r="D4088">
        <v>1.1383907646475899</v>
      </c>
      <c r="E4088">
        <v>1.04176708769443</v>
      </c>
      <c r="F4088">
        <v>0.84267944811801399</v>
      </c>
      <c r="G4088">
        <v>0.36324934003912102</v>
      </c>
      <c r="H4088">
        <v>0.196573300879369</v>
      </c>
      <c r="I4088">
        <v>0.161705412170394</v>
      </c>
      <c r="J4088">
        <v>0.14371385821322899</v>
      </c>
      <c r="K4088">
        <v>9.9420375939755695E-2</v>
      </c>
      <c r="L4088">
        <v>2136.41845318168</v>
      </c>
      <c r="M4088">
        <v>38.635050697556402</v>
      </c>
      <c r="N4088">
        <v>55.777272400269297</v>
      </c>
      <c r="O4088">
        <v>55.149891573609999</v>
      </c>
      <c r="P4088">
        <v>-0.150372820382178</v>
      </c>
      <c r="Q4088">
        <v>0.14139884891234</v>
      </c>
      <c r="R4088">
        <v>0.97464403035269098</v>
      </c>
      <c r="S4088" t="s">
        <v>10540</v>
      </c>
      <c r="T4088" t="s">
        <v>12902</v>
      </c>
      <c r="U4088" t="s">
        <v>12902</v>
      </c>
      <c r="V4088" t="s">
        <v>12902</v>
      </c>
      <c r="W4088" t="s">
        <v>16943</v>
      </c>
      <c r="X4088">
        <v>3</v>
      </c>
      <c r="Y4088" t="s">
        <v>23252</v>
      </c>
      <c r="Z4088" t="s">
        <v>29663</v>
      </c>
      <c r="AA4088">
        <v>0.58271151936659971</v>
      </c>
      <c r="AB4088" t="str">
        <f>HYPERLINK("Melting_Curves/meltCurve_Q765P7_MTSS1L.pdf", "Melting_Curves/meltCurve_Q765P7_MTSS1L.pdf")</f>
        <v>Melting_Curves/meltCurve_Q765P7_MTSS1L.pdf</v>
      </c>
    </row>
    <row r="4089" spans="1:28" x14ac:dyDescent="0.25">
      <c r="A4089" t="s">
        <v>4093</v>
      </c>
      <c r="B4089">
        <v>0.99673306730245903</v>
      </c>
      <c r="C4089">
        <v>0.93470812523104196</v>
      </c>
      <c r="D4089">
        <v>0.87517669038360202</v>
      </c>
      <c r="E4089">
        <v>0.40462722592268102</v>
      </c>
      <c r="F4089">
        <v>0.21414088852625901</v>
      </c>
      <c r="G4089">
        <v>0.14057757999036599</v>
      </c>
      <c r="H4089">
        <v>9.1112036006874703E-2</v>
      </c>
      <c r="I4089">
        <v>7.6274451942493701E-2</v>
      </c>
      <c r="J4089">
        <v>6.68744372603923E-2</v>
      </c>
      <c r="K4089">
        <v>5.6413862808034697E-2</v>
      </c>
      <c r="L4089">
        <v>1224.8679499632401</v>
      </c>
      <c r="M4089">
        <v>25.125147889089501</v>
      </c>
      <c r="N4089">
        <v>49.0980292816201</v>
      </c>
      <c r="O4089">
        <v>48.445015132169203</v>
      </c>
      <c r="P4089">
        <v>-0.119102278008808</v>
      </c>
      <c r="Q4089">
        <v>8.1424989369115006E-2</v>
      </c>
      <c r="R4089">
        <v>0.99442544917479903</v>
      </c>
      <c r="S4089" t="s">
        <v>10541</v>
      </c>
      <c r="T4089" t="s">
        <v>12902</v>
      </c>
      <c r="U4089" t="s">
        <v>12902</v>
      </c>
      <c r="V4089" t="s">
        <v>12902</v>
      </c>
      <c r="W4089" t="s">
        <v>16944</v>
      </c>
      <c r="X4089">
        <v>39</v>
      </c>
      <c r="Y4089" t="s">
        <v>23253</v>
      </c>
      <c r="Z4089" t="s">
        <v>29664</v>
      </c>
      <c r="AA4089">
        <v>0.3574080885403107</v>
      </c>
      <c r="AB4089" t="str">
        <f>HYPERLINK("Melting_Curves/meltCurve_Q7KZ85_SUPT6H.pdf", "Melting_Curves/meltCurve_Q7KZ85_SUPT6H.pdf")</f>
        <v>Melting_Curves/meltCurve_Q7KZ85_SUPT6H.pdf</v>
      </c>
    </row>
    <row r="4090" spans="1:28" x14ac:dyDescent="0.25">
      <c r="A4090" t="s">
        <v>4094</v>
      </c>
      <c r="B4090">
        <v>0.99673306730245903</v>
      </c>
      <c r="C4090">
        <v>1.1165364859122699</v>
      </c>
      <c r="D4090">
        <v>1.10251129083072</v>
      </c>
      <c r="E4090">
        <v>1.1201294896140801</v>
      </c>
      <c r="F4090">
        <v>0.76005876302722997</v>
      </c>
      <c r="G4090">
        <v>0.79020221793127898</v>
      </c>
      <c r="H4090">
        <v>0.54147222063823797</v>
      </c>
      <c r="I4090">
        <v>1.12850069588872</v>
      </c>
      <c r="J4090">
        <v>1.41485387478292</v>
      </c>
      <c r="K4090">
        <v>1.51130803484544</v>
      </c>
      <c r="L4090">
        <v>4955.4987252853098</v>
      </c>
      <c r="M4090">
        <v>76.0840056796103</v>
      </c>
      <c r="O4090">
        <v>65.086994785953905</v>
      </c>
      <c r="P4090">
        <v>0.14355911533924201</v>
      </c>
      <c r="Q4090">
        <v>1.4912374557154899</v>
      </c>
      <c r="R4090">
        <v>0.54394999387111498</v>
      </c>
      <c r="S4090" t="s">
        <v>10542</v>
      </c>
      <c r="T4090" t="s">
        <v>12902</v>
      </c>
      <c r="U4090" t="s">
        <v>12902</v>
      </c>
      <c r="V4090" t="s">
        <v>12902</v>
      </c>
      <c r="W4090" t="s">
        <v>16945</v>
      </c>
      <c r="X4090">
        <v>16</v>
      </c>
      <c r="Y4090" t="s">
        <v>23253</v>
      </c>
      <c r="Z4090" t="s">
        <v>29665</v>
      </c>
      <c r="AA4090">
        <v>1.0791886485349531</v>
      </c>
      <c r="AB4090" t="str">
        <f>HYPERLINK("Melting_Curves/meltCurve_Q7KZ85_2_SUPT6H.pdf", "Melting_Curves/meltCurve_Q7KZ85_2_SUPT6H.pdf")</f>
        <v>Melting_Curves/meltCurve_Q7KZ85_2_SUPT6H.pdf</v>
      </c>
    </row>
    <row r="4091" spans="1:28" x14ac:dyDescent="0.25">
      <c r="A4091" t="s">
        <v>4095</v>
      </c>
      <c r="B4091">
        <v>0.99673306730245903</v>
      </c>
      <c r="C4091">
        <v>0.89986474345202905</v>
      </c>
      <c r="D4091">
        <v>0.32656360127139999</v>
      </c>
      <c r="E4091">
        <v>0.170822533582314</v>
      </c>
      <c r="F4091">
        <v>0.112297640547097</v>
      </c>
      <c r="G4091">
        <v>7.0699361070023406E-2</v>
      </c>
      <c r="H4091">
        <v>4.4935411514425302E-2</v>
      </c>
      <c r="I4091">
        <v>4.1275323274780597E-2</v>
      </c>
      <c r="J4091">
        <v>4.4132098060893001E-2</v>
      </c>
      <c r="K4091">
        <v>4.0123788192165701E-2</v>
      </c>
      <c r="L4091">
        <v>1772.2872459113501</v>
      </c>
      <c r="M4091">
        <v>39.387618191179598</v>
      </c>
      <c r="N4091">
        <v>45.167098190906401</v>
      </c>
      <c r="O4091">
        <v>44.880508084977699</v>
      </c>
      <c r="P4091">
        <v>-0.20420176696690301</v>
      </c>
      <c r="Q4091">
        <v>6.9284816991713905E-2</v>
      </c>
      <c r="R4091">
        <v>0.99059922289823199</v>
      </c>
      <c r="S4091" t="s">
        <v>10543</v>
      </c>
      <c r="T4091" t="s">
        <v>12902</v>
      </c>
      <c r="U4091" t="s">
        <v>12902</v>
      </c>
      <c r="V4091" t="s">
        <v>12902</v>
      </c>
      <c r="W4091" t="s">
        <v>16946</v>
      </c>
      <c r="X4091">
        <v>53</v>
      </c>
      <c r="Y4091" t="s">
        <v>23254</v>
      </c>
      <c r="Z4091" t="s">
        <v>29666</v>
      </c>
      <c r="AA4091">
        <v>0.22746371334858079</v>
      </c>
      <c r="AB4091" t="str">
        <f>HYPERLINK("Melting_Curves/meltCurve_Q7KZF4_SND1.pdf", "Melting_Curves/meltCurve_Q7KZF4_SND1.pdf")</f>
        <v>Melting_Curves/meltCurve_Q7KZF4_SND1.pdf</v>
      </c>
    </row>
    <row r="4092" spans="1:28" x14ac:dyDescent="0.25">
      <c r="A4092" t="s">
        <v>4096</v>
      </c>
      <c r="B4092">
        <v>0.99673306730245903</v>
      </c>
      <c r="C4092">
        <v>1.0576409034706</v>
      </c>
      <c r="D4092">
        <v>0.90966497896086096</v>
      </c>
      <c r="E4092">
        <v>0.84521156009610598</v>
      </c>
      <c r="F4092">
        <v>0.86959853811881904</v>
      </c>
      <c r="G4092">
        <v>0.63268991515817996</v>
      </c>
      <c r="H4092">
        <v>0.50665944398616403</v>
      </c>
      <c r="I4092">
        <v>0.48578214431251099</v>
      </c>
      <c r="J4092">
        <v>0.38797454768613998</v>
      </c>
      <c r="K4092">
        <v>0.30736398017000599</v>
      </c>
      <c r="L4092">
        <v>572.975995805602</v>
      </c>
      <c r="M4092">
        <v>9.67428220667591</v>
      </c>
      <c r="N4092">
        <v>62.0007933023712</v>
      </c>
      <c r="O4092">
        <v>56.862159466249103</v>
      </c>
      <c r="P4092">
        <v>-3.5081275731831001E-2</v>
      </c>
      <c r="Q4092">
        <v>0.17567174439955299</v>
      </c>
      <c r="R4092">
        <v>0.96867524084123102</v>
      </c>
      <c r="S4092" t="s">
        <v>10544</v>
      </c>
      <c r="T4092" t="s">
        <v>12902</v>
      </c>
      <c r="U4092" t="s">
        <v>12902</v>
      </c>
      <c r="V4092" t="s">
        <v>12902</v>
      </c>
      <c r="W4092" t="s">
        <v>16947</v>
      </c>
      <c r="X4092">
        <v>4</v>
      </c>
      <c r="Y4092" t="s">
        <v>23255</v>
      </c>
      <c r="Z4092" t="s">
        <v>29667</v>
      </c>
      <c r="AA4092">
        <v>0.70445724772839469</v>
      </c>
      <c r="AB4092" t="str">
        <f>HYPERLINK("Melting_Curves/meltCurve_Q7KZN9_2_COX15.pdf", "Melting_Curves/meltCurve_Q7KZN9_2_COX15.pdf")</f>
        <v>Melting_Curves/meltCurve_Q7KZN9_2_COX15.pdf</v>
      </c>
    </row>
    <row r="4093" spans="1:28" x14ac:dyDescent="0.25">
      <c r="A4093" t="s">
        <v>4097</v>
      </c>
      <c r="B4093">
        <v>0.99673306730245903</v>
      </c>
      <c r="C4093">
        <v>0.96981353637039402</v>
      </c>
      <c r="D4093">
        <v>0.72585836384350599</v>
      </c>
      <c r="E4093">
        <v>0.46918871919618099</v>
      </c>
      <c r="F4093">
        <v>0.138729900782157</v>
      </c>
      <c r="G4093">
        <v>8.8267635393948704E-2</v>
      </c>
      <c r="H4093">
        <v>5.3635150628354798E-2</v>
      </c>
      <c r="I4093">
        <v>4.96346286615914E-2</v>
      </c>
      <c r="J4093">
        <v>5.2039022553699903E-2</v>
      </c>
      <c r="K4093">
        <v>4.6569354868444698E-2</v>
      </c>
      <c r="L4093">
        <v>992.68913225809104</v>
      </c>
      <c r="M4093">
        <v>20.426257831675098</v>
      </c>
      <c r="N4093">
        <v>48.796639557065298</v>
      </c>
      <c r="O4093">
        <v>48.140076567508899</v>
      </c>
      <c r="P4093">
        <v>-0.10186230870390001</v>
      </c>
      <c r="Q4093">
        <v>3.9762995499811701E-2</v>
      </c>
      <c r="R4093">
        <v>0.99518296151512997</v>
      </c>
      <c r="S4093" t="s">
        <v>10545</v>
      </c>
      <c r="T4093" t="s">
        <v>12902</v>
      </c>
      <c r="U4093" t="s">
        <v>12902</v>
      </c>
      <c r="V4093" t="s">
        <v>12902</v>
      </c>
      <c r="W4093" t="s">
        <v>16948</v>
      </c>
      <c r="X4093">
        <v>47</v>
      </c>
      <c r="Y4093" t="s">
        <v>23256</v>
      </c>
      <c r="Z4093" t="s">
        <v>29668</v>
      </c>
      <c r="AA4093">
        <v>0.32792246301847489</v>
      </c>
      <c r="AB4093" t="str">
        <f>HYPERLINK("Melting_Curves/meltCurve_Q7L014_DDX46.pdf", "Melting_Curves/meltCurve_Q7L014_DDX46.pdf")</f>
        <v>Melting_Curves/meltCurve_Q7L014_DDX46.pdf</v>
      </c>
    </row>
    <row r="4094" spans="1:28" x14ac:dyDescent="0.25">
      <c r="A4094" t="s">
        <v>4098</v>
      </c>
      <c r="B4094">
        <v>0.99673306730245903</v>
      </c>
      <c r="C4094">
        <v>0.95765863086485004</v>
      </c>
      <c r="D4094">
        <v>0.83348507877425404</v>
      </c>
      <c r="E4094">
        <v>0.37841179057972202</v>
      </c>
      <c r="F4094">
        <v>0.18322811691030699</v>
      </c>
      <c r="G4094">
        <v>0.11508888319009</v>
      </c>
      <c r="H4094">
        <v>7.1253982594169596E-2</v>
      </c>
      <c r="I4094">
        <v>5.7421201133940301E-2</v>
      </c>
      <c r="J4094">
        <v>6.3550189051626599E-2</v>
      </c>
      <c r="K4094">
        <v>7.0808993400719694E-2</v>
      </c>
      <c r="L4094">
        <v>1252.37396180122</v>
      </c>
      <c r="M4094">
        <v>25.844768782288899</v>
      </c>
      <c r="N4094">
        <v>48.752776058447502</v>
      </c>
      <c r="O4094">
        <v>48.170196384153499</v>
      </c>
      <c r="P4094">
        <v>-0.12441765830851</v>
      </c>
      <c r="Q4094">
        <v>7.2438168179522297E-2</v>
      </c>
      <c r="R4094">
        <v>0.99811145313978999</v>
      </c>
      <c r="S4094" t="s">
        <v>10546</v>
      </c>
      <c r="T4094" t="s">
        <v>12902</v>
      </c>
      <c r="U4094" t="s">
        <v>12902</v>
      </c>
      <c r="V4094" t="s">
        <v>12902</v>
      </c>
      <c r="W4094" t="s">
        <v>16949</v>
      </c>
      <c r="X4094">
        <v>4</v>
      </c>
      <c r="Y4094" t="s">
        <v>23257</v>
      </c>
      <c r="Z4094" t="s">
        <v>29669</v>
      </c>
      <c r="AA4094">
        <v>0.34158324496793102</v>
      </c>
      <c r="AB4094" t="str">
        <f>HYPERLINK("Melting_Curves/meltCurve_Q7L099_4_RUFY3.pdf", "Melting_Curves/meltCurve_Q7L099_4_RUFY3.pdf")</f>
        <v>Melting_Curves/meltCurve_Q7L099_4_RUFY3.pdf</v>
      </c>
    </row>
    <row r="4095" spans="1:28" x14ac:dyDescent="0.25">
      <c r="A4095" t="s">
        <v>4099</v>
      </c>
      <c r="B4095">
        <v>0.99673306730245903</v>
      </c>
      <c r="C4095">
        <v>0.73321328563417798</v>
      </c>
      <c r="D4095">
        <v>1.01315818435991</v>
      </c>
      <c r="E4095">
        <v>0.88500357053224898</v>
      </c>
      <c r="F4095">
        <v>0.217440484671512</v>
      </c>
      <c r="G4095">
        <v>0.15294207585519101</v>
      </c>
      <c r="H4095">
        <v>0.10363256191572</v>
      </c>
      <c r="I4095">
        <v>8.7079315411870306E-2</v>
      </c>
      <c r="J4095">
        <v>7.9050589901461396E-2</v>
      </c>
      <c r="K4095">
        <v>6.7359631386179203E-2</v>
      </c>
      <c r="L4095">
        <v>2728.42091452264</v>
      </c>
      <c r="M4095">
        <v>53.103705524561803</v>
      </c>
      <c r="N4095">
        <v>51.586176395597398</v>
      </c>
      <c r="O4095">
        <v>51.306402742569603</v>
      </c>
      <c r="P4095">
        <v>-0.23392040930838501</v>
      </c>
      <c r="Q4095">
        <v>9.5987303619893993E-2</v>
      </c>
      <c r="R4095">
        <v>0.95175779746749101</v>
      </c>
      <c r="S4095" t="s">
        <v>10547</v>
      </c>
      <c r="T4095" t="s">
        <v>12902</v>
      </c>
      <c r="U4095" t="s">
        <v>12902</v>
      </c>
      <c r="V4095" t="s">
        <v>12902</v>
      </c>
      <c r="W4095" t="s">
        <v>16950</v>
      </c>
      <c r="X4095">
        <v>30</v>
      </c>
      <c r="Y4095" t="s">
        <v>23258</v>
      </c>
      <c r="Z4095" t="s">
        <v>29670</v>
      </c>
      <c r="AA4095">
        <v>0.44069763783517329</v>
      </c>
      <c r="AB4095" t="str">
        <f>HYPERLINK("Melting_Curves/meltCurve_Q7L0Y3_TRMT10C.pdf", "Melting_Curves/meltCurve_Q7L0Y3_TRMT10C.pdf")</f>
        <v>Melting_Curves/meltCurve_Q7L0Y3_TRMT10C.pdf</v>
      </c>
    </row>
    <row r="4096" spans="1:28" x14ac:dyDescent="0.25">
      <c r="A4096" t="s">
        <v>4100</v>
      </c>
      <c r="B4096">
        <v>0.99673306730245903</v>
      </c>
      <c r="C4096">
        <v>0.97495391413072197</v>
      </c>
      <c r="D4096">
        <v>0.59090811308879798</v>
      </c>
      <c r="E4096">
        <v>0.33089443627579601</v>
      </c>
      <c r="F4096">
        <v>0.16964824699914399</v>
      </c>
      <c r="G4096">
        <v>0.108695065684612</v>
      </c>
      <c r="H4096">
        <v>6.7523763504933401E-2</v>
      </c>
      <c r="I4096">
        <v>6.0750271058632198E-2</v>
      </c>
      <c r="J4096">
        <v>6.3052187420860897E-2</v>
      </c>
      <c r="K4096">
        <v>5.1580267569561501E-2</v>
      </c>
      <c r="L4096">
        <v>997.41566120842901</v>
      </c>
      <c r="M4096">
        <v>21.161493052662401</v>
      </c>
      <c r="N4096">
        <v>47.4593232131242</v>
      </c>
      <c r="O4096">
        <v>46.71866771773</v>
      </c>
      <c r="P4096">
        <v>-0.10558605433424501</v>
      </c>
      <c r="Q4096">
        <v>6.7606175456527001E-2</v>
      </c>
      <c r="R4096">
        <v>0.99066204690467996</v>
      </c>
      <c r="S4096" t="s">
        <v>10548</v>
      </c>
      <c r="T4096" t="s">
        <v>12902</v>
      </c>
      <c r="U4096" t="s">
        <v>12902</v>
      </c>
      <c r="V4096" t="s">
        <v>12902</v>
      </c>
      <c r="W4096" t="s">
        <v>16951</v>
      </c>
      <c r="X4096">
        <v>21</v>
      </c>
      <c r="Y4096" t="s">
        <v>23259</v>
      </c>
      <c r="Z4096" t="s">
        <v>29671</v>
      </c>
      <c r="AA4096">
        <v>0.30130591034775828</v>
      </c>
      <c r="AB4096" t="str">
        <f>HYPERLINK("Melting_Curves/meltCurve_Q7L1Q6_2_BZW1.pdf", "Melting_Curves/meltCurve_Q7L1Q6_2_BZW1.pdf")</f>
        <v>Melting_Curves/meltCurve_Q7L1Q6_2_BZW1.pdf</v>
      </c>
    </row>
    <row r="4097" spans="1:28" x14ac:dyDescent="0.25">
      <c r="A4097" t="s">
        <v>4101</v>
      </c>
      <c r="B4097">
        <v>0.99673306730245903</v>
      </c>
      <c r="C4097">
        <v>0.99065155997530296</v>
      </c>
      <c r="D4097">
        <v>0.94184444847386395</v>
      </c>
      <c r="E4097">
        <v>0.83372314859384899</v>
      </c>
      <c r="F4097">
        <v>0.46817669405110801</v>
      </c>
      <c r="G4097">
        <v>0.16272907944294601</v>
      </c>
      <c r="H4097">
        <v>0.10136129693799099</v>
      </c>
      <c r="I4097">
        <v>8.3694623127798198E-2</v>
      </c>
      <c r="J4097">
        <v>9.1097482135309799E-2</v>
      </c>
      <c r="K4097">
        <v>8.2828673651403797E-2</v>
      </c>
      <c r="L4097">
        <v>1384.8118233360501</v>
      </c>
      <c r="M4097">
        <v>26.399776964143499</v>
      </c>
      <c r="N4097">
        <v>52.792144655666</v>
      </c>
      <c r="O4097">
        <v>52.157227243415299</v>
      </c>
      <c r="P4097">
        <v>-0.11673606780802601</v>
      </c>
      <c r="Q4097">
        <v>7.7482562900218099E-2</v>
      </c>
      <c r="R4097">
        <v>0.99860644201843096</v>
      </c>
      <c r="S4097" t="s">
        <v>10549</v>
      </c>
      <c r="T4097" t="s">
        <v>12902</v>
      </c>
      <c r="U4097" t="s">
        <v>12902</v>
      </c>
      <c r="V4097" t="s">
        <v>12902</v>
      </c>
      <c r="W4097" t="s">
        <v>16952</v>
      </c>
      <c r="X4097">
        <v>7</v>
      </c>
      <c r="Y4097" t="s">
        <v>23260</v>
      </c>
      <c r="Z4097" t="s">
        <v>29672</v>
      </c>
      <c r="AA4097">
        <v>0.46811301124150229</v>
      </c>
      <c r="AB4097" t="str">
        <f>HYPERLINK("Melting_Curves/meltCurve_Q7L1T6_CYB5R4.pdf", "Melting_Curves/meltCurve_Q7L1T6_CYB5R4.pdf")</f>
        <v>Melting_Curves/meltCurve_Q7L1T6_CYB5R4.pdf</v>
      </c>
    </row>
    <row r="4098" spans="1:28" x14ac:dyDescent="0.25">
      <c r="A4098" t="s">
        <v>4102</v>
      </c>
      <c r="B4098">
        <v>0.99673306730245903</v>
      </c>
      <c r="C4098">
        <v>0.98328450932137001</v>
      </c>
      <c r="D4098">
        <v>1.02347356815923</v>
      </c>
      <c r="E4098">
        <v>1.0997890637910199</v>
      </c>
      <c r="F4098">
        <v>0.81639048665777303</v>
      </c>
      <c r="G4098">
        <v>0.87517746658792095</v>
      </c>
      <c r="H4098">
        <v>0.66764788770552197</v>
      </c>
      <c r="I4098">
        <v>1.0537598705190401</v>
      </c>
      <c r="J4098">
        <v>0.89823088382444705</v>
      </c>
      <c r="K4098">
        <v>0.45895829425030898</v>
      </c>
      <c r="L4098">
        <v>618.30762314856997</v>
      </c>
      <c r="M4098">
        <v>8.2306712769148902</v>
      </c>
      <c r="Q4098">
        <v>0</v>
      </c>
      <c r="R4098">
        <v>0.40497668114295898</v>
      </c>
      <c r="S4098" t="s">
        <v>10550</v>
      </c>
      <c r="T4098" t="s">
        <v>12902</v>
      </c>
      <c r="U4098" t="s">
        <v>12902</v>
      </c>
      <c r="V4098" t="s">
        <v>12902</v>
      </c>
      <c r="W4098" t="s">
        <v>16953</v>
      </c>
      <c r="X4098">
        <v>2</v>
      </c>
      <c r="Y4098" t="s">
        <v>23261</v>
      </c>
      <c r="Z4098" t="s">
        <v>29673</v>
      </c>
      <c r="AA4098">
        <v>0.90652101192498991</v>
      </c>
      <c r="AB4098" t="str">
        <f>HYPERLINK("Melting_Curves/meltCurve_Q7L266_ASRGL1.pdf", "Melting_Curves/meltCurve_Q7L266_ASRGL1.pdf")</f>
        <v>Melting_Curves/meltCurve_Q7L266_ASRGL1.pdf</v>
      </c>
    </row>
    <row r="4099" spans="1:28" x14ac:dyDescent="0.25">
      <c r="A4099" t="s">
        <v>4103</v>
      </c>
      <c r="B4099">
        <v>0.99673306730245903</v>
      </c>
      <c r="C4099">
        <v>0.94888642317239602</v>
      </c>
      <c r="D4099">
        <v>0.960400320174434</v>
      </c>
      <c r="E4099">
        <v>0.92572124605171502</v>
      </c>
      <c r="F4099">
        <v>0.41593342534824301</v>
      </c>
      <c r="G4099">
        <v>0.196128678578015</v>
      </c>
      <c r="H4099">
        <v>0.105483209729113</v>
      </c>
      <c r="I4099">
        <v>0.10910481117650001</v>
      </c>
      <c r="J4099">
        <v>0.118597030824836</v>
      </c>
      <c r="K4099">
        <v>0.109393099809192</v>
      </c>
      <c r="L4099">
        <v>2008.11373302738</v>
      </c>
      <c r="M4099">
        <v>38.344692984146199</v>
      </c>
      <c r="N4099">
        <v>52.734581643035199</v>
      </c>
      <c r="O4099">
        <v>52.2282261197035</v>
      </c>
      <c r="P4099">
        <v>-0.162176407419099</v>
      </c>
      <c r="Q4099">
        <v>0.11641850343179599</v>
      </c>
      <c r="R4099">
        <v>0.996027410822246</v>
      </c>
      <c r="S4099" t="s">
        <v>10551</v>
      </c>
      <c r="T4099" t="s">
        <v>12902</v>
      </c>
      <c r="U4099" t="s">
        <v>12902</v>
      </c>
      <c r="V4099" t="s">
        <v>12902</v>
      </c>
      <c r="W4099" t="s">
        <v>16954</v>
      </c>
      <c r="X4099">
        <v>4</v>
      </c>
      <c r="Y4099" t="s">
        <v>23262</v>
      </c>
      <c r="Z4099" t="s">
        <v>29674</v>
      </c>
      <c r="AA4099">
        <v>0.48422987161865821</v>
      </c>
      <c r="AB4099" t="str">
        <f>HYPERLINK("Melting_Curves/meltCurve_Q7L273_KCTD9.pdf", "Melting_Curves/meltCurve_Q7L273_KCTD9.pdf")</f>
        <v>Melting_Curves/meltCurve_Q7L273_KCTD9.pdf</v>
      </c>
    </row>
    <row r="4100" spans="1:28" x14ac:dyDescent="0.25">
      <c r="A4100" t="s">
        <v>4104</v>
      </c>
      <c r="B4100">
        <v>0.99673306730245903</v>
      </c>
      <c r="C4100">
        <v>0.97551303515108101</v>
      </c>
      <c r="D4100">
        <v>0.84726625860515603</v>
      </c>
      <c r="E4100">
        <v>0.74835763870268801</v>
      </c>
      <c r="F4100">
        <v>0.33990542052889999</v>
      </c>
      <c r="G4100">
        <v>0.21268681877373299</v>
      </c>
      <c r="H4100">
        <v>0.129707949445617</v>
      </c>
      <c r="I4100">
        <v>0.110343288481614</v>
      </c>
      <c r="J4100">
        <v>0.107632800382888</v>
      </c>
      <c r="K4100">
        <v>8.2143143514713302E-2</v>
      </c>
      <c r="L4100">
        <v>1014.19782699735</v>
      </c>
      <c r="M4100">
        <v>19.802776421326399</v>
      </c>
      <c r="N4100">
        <v>51.726192471901399</v>
      </c>
      <c r="O4100">
        <v>50.7012388709202</v>
      </c>
      <c r="P4100">
        <v>-8.8968142346927695E-2</v>
      </c>
      <c r="Q4100">
        <v>8.8886859886434494E-2</v>
      </c>
      <c r="R4100">
        <v>0.99235541112499803</v>
      </c>
      <c r="S4100" t="s">
        <v>10552</v>
      </c>
      <c r="T4100" t="s">
        <v>12902</v>
      </c>
      <c r="U4100" t="s">
        <v>12902</v>
      </c>
      <c r="V4100" t="s">
        <v>12902</v>
      </c>
      <c r="W4100" t="s">
        <v>16955</v>
      </c>
      <c r="X4100">
        <v>12</v>
      </c>
      <c r="Y4100" t="s">
        <v>23263</v>
      </c>
      <c r="Z4100" t="s">
        <v>29675</v>
      </c>
      <c r="AA4100">
        <v>0.44236418305475228</v>
      </c>
      <c r="AB4100" t="str">
        <f>HYPERLINK("Melting_Curves/meltCurve_Q7L2H7_EIF3M.pdf", "Melting_Curves/meltCurve_Q7L2H7_EIF3M.pdf")</f>
        <v>Melting_Curves/meltCurve_Q7L2H7_EIF3M.pdf</v>
      </c>
    </row>
    <row r="4101" spans="1:28" x14ac:dyDescent="0.25">
      <c r="A4101" t="s">
        <v>4105</v>
      </c>
      <c r="B4101">
        <v>0.99673306730245903</v>
      </c>
      <c r="C4101">
        <v>0.85432887459279605</v>
      </c>
      <c r="D4101">
        <v>0.69998677887287797</v>
      </c>
      <c r="E4101">
        <v>0.44738067014181798</v>
      </c>
      <c r="F4101">
        <v>0.37393557108223102</v>
      </c>
      <c r="G4101">
        <v>0.27040669818012603</v>
      </c>
      <c r="H4101">
        <v>0.190057248965458</v>
      </c>
      <c r="I4101">
        <v>0.17177564773093801</v>
      </c>
      <c r="J4101">
        <v>0.217854094689658</v>
      </c>
      <c r="K4101">
        <v>0.28276842301532501</v>
      </c>
      <c r="L4101">
        <v>752.31408764667697</v>
      </c>
      <c r="M4101">
        <v>15.8916226131669</v>
      </c>
      <c r="N4101">
        <v>49.0420323900846</v>
      </c>
      <c r="O4101">
        <v>46.609712063122302</v>
      </c>
      <c r="P4101">
        <v>-6.7177905080063105E-2</v>
      </c>
      <c r="Q4101">
        <v>0.21193973833225299</v>
      </c>
      <c r="R4101">
        <v>0.98296897085424595</v>
      </c>
      <c r="S4101" t="s">
        <v>10553</v>
      </c>
      <c r="T4101" t="s">
        <v>12902</v>
      </c>
      <c r="U4101" t="s">
        <v>12902</v>
      </c>
      <c r="V4101" t="s">
        <v>12902</v>
      </c>
      <c r="W4101" t="s">
        <v>16956</v>
      </c>
      <c r="X4101">
        <v>10</v>
      </c>
      <c r="Y4101" t="s">
        <v>23264</v>
      </c>
      <c r="Z4101" t="s">
        <v>29676</v>
      </c>
      <c r="AA4101">
        <v>0.42339299099615407</v>
      </c>
      <c r="AB4101" t="str">
        <f>HYPERLINK("Melting_Curves/meltCurve_Q7L2J0_MEPCE.pdf", "Melting_Curves/meltCurve_Q7L2J0_MEPCE.pdf")</f>
        <v>Melting_Curves/meltCurve_Q7L2J0_MEPCE.pdf</v>
      </c>
    </row>
    <row r="4102" spans="1:28" x14ac:dyDescent="0.25">
      <c r="A4102" t="s">
        <v>4106</v>
      </c>
      <c r="B4102">
        <v>0.99673306730245903</v>
      </c>
      <c r="C4102">
        <v>0.99006667722114405</v>
      </c>
      <c r="D4102">
        <v>0.94120332469256396</v>
      </c>
      <c r="E4102">
        <v>0.92901696424851499</v>
      </c>
      <c r="F4102">
        <v>0.75910110217045701</v>
      </c>
      <c r="G4102">
        <v>0.64587587610931196</v>
      </c>
      <c r="H4102">
        <v>0.30953047414361201</v>
      </c>
      <c r="I4102">
        <v>0.14298335876071999</v>
      </c>
      <c r="J4102">
        <v>8.2844720375201297E-2</v>
      </c>
      <c r="K4102">
        <v>7.2422111222437496E-2</v>
      </c>
      <c r="L4102">
        <v>936.877680411494</v>
      </c>
      <c r="M4102">
        <v>16.173519659979501</v>
      </c>
      <c r="N4102">
        <v>57.926642258468199</v>
      </c>
      <c r="O4102">
        <v>57.062787227404499</v>
      </c>
      <c r="P4102">
        <v>-7.0863763957392897E-2</v>
      </c>
      <c r="Q4102">
        <v>0</v>
      </c>
      <c r="R4102">
        <v>0.99245304424844805</v>
      </c>
      <c r="S4102" t="s">
        <v>10554</v>
      </c>
      <c r="T4102" t="s">
        <v>12902</v>
      </c>
      <c r="U4102" t="s">
        <v>12902</v>
      </c>
      <c r="V4102" t="s">
        <v>12902</v>
      </c>
      <c r="W4102" t="s">
        <v>16957</v>
      </c>
      <c r="X4102">
        <v>11</v>
      </c>
      <c r="Y4102" t="s">
        <v>23265</v>
      </c>
      <c r="Z4102" t="s">
        <v>29677</v>
      </c>
      <c r="AA4102">
        <v>0.61084683771505932</v>
      </c>
      <c r="AB4102" t="str">
        <f>HYPERLINK("Melting_Curves/meltCurve_Q7L3T8_PARS2.pdf", "Melting_Curves/meltCurve_Q7L3T8_PARS2.pdf")</f>
        <v>Melting_Curves/meltCurve_Q7L3T8_PARS2.pdf</v>
      </c>
    </row>
    <row r="4103" spans="1:28" x14ac:dyDescent="0.25">
      <c r="A4103" t="s">
        <v>4107</v>
      </c>
      <c r="B4103">
        <v>0.99673306730245903</v>
      </c>
      <c r="C4103">
        <v>0.969284983872721</v>
      </c>
      <c r="D4103">
        <v>0.92698785289721497</v>
      </c>
      <c r="E4103">
        <v>0.79933949825041195</v>
      </c>
      <c r="F4103">
        <v>0.58130319785447904</v>
      </c>
      <c r="G4103">
        <v>0.36883182055189101</v>
      </c>
      <c r="H4103">
        <v>0.25720687202161102</v>
      </c>
      <c r="I4103">
        <v>0.48181765573657398</v>
      </c>
      <c r="J4103">
        <v>0.86549050991505905</v>
      </c>
      <c r="K4103">
        <v>0.97298203463750998</v>
      </c>
      <c r="L4103">
        <v>2348.9648633839602</v>
      </c>
      <c r="M4103">
        <v>47.407410907709597</v>
      </c>
      <c r="O4103">
        <v>49.460549335239797</v>
      </c>
      <c r="P4103">
        <v>-9.9174116778677296E-2</v>
      </c>
      <c r="Q4103">
        <v>0.58612368732072295</v>
      </c>
      <c r="R4103">
        <v>0.41751857677155002</v>
      </c>
      <c r="S4103" t="s">
        <v>10555</v>
      </c>
      <c r="T4103" t="s">
        <v>12902</v>
      </c>
      <c r="U4103" t="s">
        <v>12902</v>
      </c>
      <c r="V4103" t="s">
        <v>12902</v>
      </c>
      <c r="W4103" t="s">
        <v>16958</v>
      </c>
      <c r="X4103">
        <v>14</v>
      </c>
      <c r="Y4103" t="s">
        <v>23266</v>
      </c>
      <c r="Z4103" t="s">
        <v>29678</v>
      </c>
      <c r="AA4103">
        <v>0.71886019232883414</v>
      </c>
      <c r="AB4103" t="str">
        <f>HYPERLINK("Melting_Curves/meltCurve_Q7L4I2_RSRC2.pdf", "Melting_Curves/meltCurve_Q7L4I2_RSRC2.pdf")</f>
        <v>Melting_Curves/meltCurve_Q7L4I2_RSRC2.pdf</v>
      </c>
    </row>
    <row r="4104" spans="1:28" x14ac:dyDescent="0.25">
      <c r="A4104" t="s">
        <v>4108</v>
      </c>
      <c r="B4104">
        <v>0.99673306730245903</v>
      </c>
      <c r="C4104">
        <v>0.99994317479816497</v>
      </c>
      <c r="D4104">
        <v>1.0104902271290599</v>
      </c>
      <c r="E4104">
        <v>0.97378393779301997</v>
      </c>
      <c r="F4104">
        <v>0.66227423736790203</v>
      </c>
      <c r="G4104">
        <v>0.55848121254149197</v>
      </c>
      <c r="H4104">
        <v>0.43244941292441902</v>
      </c>
      <c r="I4104">
        <v>0.44813654727236601</v>
      </c>
      <c r="J4104">
        <v>0.207710409210078</v>
      </c>
      <c r="K4104">
        <v>9.4057775937280402E-2</v>
      </c>
      <c r="L4104">
        <v>615.43581413084905</v>
      </c>
      <c r="M4104">
        <v>10.4046108438286</v>
      </c>
      <c r="N4104">
        <v>59.150280320517297</v>
      </c>
      <c r="O4104">
        <v>57.090439656016301</v>
      </c>
      <c r="P4104">
        <v>-4.5581004598159502E-2</v>
      </c>
      <c r="Q4104">
        <v>0</v>
      </c>
      <c r="R4104">
        <v>0.95490737267607595</v>
      </c>
      <c r="S4104" t="s">
        <v>10556</v>
      </c>
      <c r="T4104" t="s">
        <v>12902</v>
      </c>
      <c r="U4104" t="s">
        <v>12902</v>
      </c>
      <c r="V4104" t="s">
        <v>12902</v>
      </c>
      <c r="W4104" t="s">
        <v>16959</v>
      </c>
      <c r="X4104">
        <v>6</v>
      </c>
      <c r="Y4104" t="s">
        <v>23267</v>
      </c>
      <c r="Z4104" t="s">
        <v>29679</v>
      </c>
      <c r="AA4104">
        <v>0.64188740487747564</v>
      </c>
      <c r="AB4104" t="str">
        <f>HYPERLINK("Melting_Curves/meltCurve_Q7L523_RRAGA.pdf", "Melting_Curves/meltCurve_Q7L523_RRAGA.pdf")</f>
        <v>Melting_Curves/meltCurve_Q7L523_RRAGA.pdf</v>
      </c>
    </row>
    <row r="4105" spans="1:28" x14ac:dyDescent="0.25">
      <c r="A4105" t="s">
        <v>4109</v>
      </c>
      <c r="B4105">
        <v>0.99673306730245903</v>
      </c>
      <c r="C4105">
        <v>0.84098069512423101</v>
      </c>
      <c r="D4105">
        <v>0.85738626113678595</v>
      </c>
      <c r="E4105">
        <v>0.85482712744948197</v>
      </c>
      <c r="F4105">
        <v>0.21919504284475899</v>
      </c>
      <c r="G4105">
        <v>0.116436258642463</v>
      </c>
      <c r="H4105">
        <v>7.0504341282998303E-2</v>
      </c>
      <c r="I4105">
        <v>6.2961901156237302E-2</v>
      </c>
      <c r="J4105">
        <v>7.1455155352225394E-2</v>
      </c>
      <c r="K4105">
        <v>6.6099550398374896E-2</v>
      </c>
      <c r="L4105">
        <v>2316.0908090978801</v>
      </c>
      <c r="M4105">
        <v>45.121893735000903</v>
      </c>
      <c r="N4105">
        <v>51.5105200714519</v>
      </c>
      <c r="O4105">
        <v>51.229134519168703</v>
      </c>
      <c r="P4105">
        <v>-0.20406468218657201</v>
      </c>
      <c r="Q4105">
        <v>7.3262063817729803E-2</v>
      </c>
      <c r="R4105">
        <v>0.96991611113262399</v>
      </c>
      <c r="S4105" t="s">
        <v>10557</v>
      </c>
      <c r="T4105" t="s">
        <v>12902</v>
      </c>
      <c r="U4105" t="s">
        <v>12902</v>
      </c>
      <c r="V4105" t="s">
        <v>12902</v>
      </c>
      <c r="W4105" t="s">
        <v>16960</v>
      </c>
      <c r="X4105">
        <v>18</v>
      </c>
      <c r="Y4105" t="s">
        <v>23268</v>
      </c>
      <c r="Z4105" t="s">
        <v>29680</v>
      </c>
      <c r="AA4105">
        <v>0.42582861618216711</v>
      </c>
      <c r="AB4105" t="str">
        <f>HYPERLINK("Melting_Curves/meltCurve_Q7L576_CYFIP1.pdf", "Melting_Curves/meltCurve_Q7L576_CYFIP1.pdf")</f>
        <v>Melting_Curves/meltCurve_Q7L576_CYFIP1.pdf</v>
      </c>
    </row>
    <row r="4106" spans="1:28" x14ac:dyDescent="0.25">
      <c r="A4106" t="s">
        <v>4110</v>
      </c>
      <c r="B4106">
        <v>0.99673306730245903</v>
      </c>
      <c r="C4106">
        <v>0.95480087586535201</v>
      </c>
      <c r="D4106">
        <v>0.80934851437531397</v>
      </c>
      <c r="E4106">
        <v>0.42232080976344599</v>
      </c>
      <c r="F4106">
        <v>0.209674198752929</v>
      </c>
      <c r="G4106">
        <v>0.14331388113500401</v>
      </c>
      <c r="H4106">
        <v>0.10981921191452899</v>
      </c>
      <c r="I4106">
        <v>9.7633859142048196E-2</v>
      </c>
      <c r="J4106">
        <v>7.7482442992633696E-2</v>
      </c>
      <c r="K4106">
        <v>6.7375154879204799E-2</v>
      </c>
      <c r="L4106">
        <v>1092.41881809965</v>
      </c>
      <c r="M4106">
        <v>22.4979480817499</v>
      </c>
      <c r="N4106">
        <v>48.983138492669397</v>
      </c>
      <c r="O4106">
        <v>48.177652197166999</v>
      </c>
      <c r="P4106">
        <v>-0.10635681156736999</v>
      </c>
      <c r="Q4106">
        <v>8.8998817437478797E-2</v>
      </c>
      <c r="R4106">
        <v>0.99866247062673896</v>
      </c>
      <c r="S4106" t="s">
        <v>10558</v>
      </c>
      <c r="T4106" t="s">
        <v>12902</v>
      </c>
      <c r="U4106" t="s">
        <v>12902</v>
      </c>
      <c r="V4106" t="s">
        <v>12902</v>
      </c>
      <c r="W4106" t="s">
        <v>16961</v>
      </c>
      <c r="X4106">
        <v>18</v>
      </c>
      <c r="Y4106" t="s">
        <v>23269</v>
      </c>
      <c r="Z4106" t="s">
        <v>29681</v>
      </c>
      <c r="AA4106">
        <v>0.3588668868978051</v>
      </c>
      <c r="AB4106" t="str">
        <f>HYPERLINK("Melting_Curves/meltCurve_Q7L592_NDUFAF7.pdf", "Melting_Curves/meltCurve_Q7L592_NDUFAF7.pdf")</f>
        <v>Melting_Curves/meltCurve_Q7L592_NDUFAF7.pdf</v>
      </c>
    </row>
    <row r="4107" spans="1:28" x14ac:dyDescent="0.25">
      <c r="A4107" t="s">
        <v>4111</v>
      </c>
      <c r="B4107">
        <v>0.99673306730245903</v>
      </c>
      <c r="C4107">
        <v>0.93377150246288199</v>
      </c>
      <c r="D4107">
        <v>0.75063410960223498</v>
      </c>
      <c r="E4107">
        <v>0.44345362910581398</v>
      </c>
      <c r="F4107">
        <v>0.24745521570276899</v>
      </c>
      <c r="G4107">
        <v>0.21201476585296</v>
      </c>
      <c r="H4107">
        <v>7.6832772978494196E-2</v>
      </c>
      <c r="I4107">
        <v>9.4819596302681899E-2</v>
      </c>
      <c r="J4107">
        <v>0.112786191653119</v>
      </c>
      <c r="K4107">
        <v>9.3839668297013901E-2</v>
      </c>
      <c r="L4107">
        <v>870.32216497590696</v>
      </c>
      <c r="M4107">
        <v>17.946947041470999</v>
      </c>
      <c r="N4107">
        <v>49.068278354610797</v>
      </c>
      <c r="O4107">
        <v>47.904100759333197</v>
      </c>
      <c r="P4107">
        <v>-8.4795176895128097E-2</v>
      </c>
      <c r="Q4107">
        <v>9.4701996390111898E-2</v>
      </c>
      <c r="R4107">
        <v>0.99516216794764101</v>
      </c>
      <c r="S4107" t="s">
        <v>10559</v>
      </c>
      <c r="T4107" t="s">
        <v>12902</v>
      </c>
      <c r="U4107" t="s">
        <v>12902</v>
      </c>
      <c r="V4107" t="s">
        <v>12902</v>
      </c>
      <c r="W4107" t="s">
        <v>16962</v>
      </c>
      <c r="X4107">
        <v>3</v>
      </c>
      <c r="Y4107" t="s">
        <v>23270</v>
      </c>
      <c r="Z4107" t="s">
        <v>29682</v>
      </c>
      <c r="AA4107">
        <v>0.36697247622085039</v>
      </c>
      <c r="AB4107" t="str">
        <f>HYPERLINK("Melting_Curves/meltCurve_Q7L5D6_GET4.pdf", "Melting_Curves/meltCurve_Q7L5D6_GET4.pdf")</f>
        <v>Melting_Curves/meltCurve_Q7L5D6_GET4.pdf</v>
      </c>
    </row>
    <row r="4108" spans="1:28" x14ac:dyDescent="0.25">
      <c r="A4108" t="s">
        <v>4112</v>
      </c>
      <c r="B4108">
        <v>0.99673306730245903</v>
      </c>
      <c r="C4108">
        <v>1.01050358021996</v>
      </c>
      <c r="D4108">
        <v>0.86689005979026901</v>
      </c>
      <c r="E4108">
        <v>0.63900414464306399</v>
      </c>
      <c r="F4108">
        <v>0.144222341598221</v>
      </c>
      <c r="G4108">
        <v>0.106062797450257</v>
      </c>
      <c r="H4108">
        <v>6.3975364699609696E-2</v>
      </c>
      <c r="I4108">
        <v>5.95571499887564E-2</v>
      </c>
      <c r="J4108">
        <v>6.1438065629248501E-2</v>
      </c>
      <c r="K4108">
        <v>5.05608966923866E-2</v>
      </c>
      <c r="L4108">
        <v>1522.3206498597301</v>
      </c>
      <c r="M4108">
        <v>30.386515227690399</v>
      </c>
      <c r="N4108">
        <v>50.294801219180101</v>
      </c>
      <c r="O4108">
        <v>49.883077061004897</v>
      </c>
      <c r="P4108">
        <v>-0.14377633333026199</v>
      </c>
      <c r="Q4108">
        <v>5.5901978404649798E-2</v>
      </c>
      <c r="R4108">
        <v>0.99358764287433399</v>
      </c>
      <c r="S4108" t="s">
        <v>10560</v>
      </c>
      <c r="T4108" t="s">
        <v>12902</v>
      </c>
      <c r="U4108" t="s">
        <v>12902</v>
      </c>
      <c r="V4108" t="s">
        <v>12902</v>
      </c>
      <c r="W4108" t="s">
        <v>16963</v>
      </c>
      <c r="X4108">
        <v>3</v>
      </c>
      <c r="Y4108" t="s">
        <v>23271</v>
      </c>
      <c r="Z4108" t="s">
        <v>29683</v>
      </c>
      <c r="AA4108">
        <v>0.37940230997586011</v>
      </c>
      <c r="AB4108" t="str">
        <f>HYPERLINK("Melting_Curves/meltCurve_Q7L5N7_LPCAT2.pdf", "Melting_Curves/meltCurve_Q7L5N7_LPCAT2.pdf")</f>
        <v>Melting_Curves/meltCurve_Q7L5N7_LPCAT2.pdf</v>
      </c>
    </row>
    <row r="4109" spans="1:28" x14ac:dyDescent="0.25">
      <c r="A4109" t="s">
        <v>4113</v>
      </c>
      <c r="B4109">
        <v>0.99673306730245903</v>
      </c>
      <c r="C4109">
        <v>0.97281497889961299</v>
      </c>
      <c r="D4109">
        <v>0.92968924605853398</v>
      </c>
      <c r="E4109">
        <v>0.777994894321557</v>
      </c>
      <c r="F4109">
        <v>0.65555006964385498</v>
      </c>
      <c r="G4109">
        <v>0.46134544310240799</v>
      </c>
      <c r="H4109">
        <v>0.356933783655347</v>
      </c>
      <c r="I4109">
        <v>0.27731350134298599</v>
      </c>
      <c r="J4109">
        <v>0.14739559206442801</v>
      </c>
      <c r="K4109">
        <v>0.107791433890609</v>
      </c>
      <c r="L4109">
        <v>564.03854889404204</v>
      </c>
      <c r="M4109">
        <v>9.9770495274287896</v>
      </c>
      <c r="N4109">
        <v>56.5336097118835</v>
      </c>
      <c r="O4109">
        <v>54.4031437818225</v>
      </c>
      <c r="P4109">
        <v>-4.5870258118826897E-2</v>
      </c>
      <c r="Q4109">
        <v>0</v>
      </c>
      <c r="R4109">
        <v>0.99499300123202095</v>
      </c>
      <c r="S4109" t="s">
        <v>10561</v>
      </c>
      <c r="T4109" t="s">
        <v>12902</v>
      </c>
      <c r="U4109" t="s">
        <v>12902</v>
      </c>
      <c r="V4109" t="s">
        <v>12902</v>
      </c>
      <c r="W4109" t="s">
        <v>16964</v>
      </c>
      <c r="X4109">
        <v>6</v>
      </c>
      <c r="Y4109" t="s">
        <v>23272</v>
      </c>
      <c r="Z4109" t="s">
        <v>29684</v>
      </c>
      <c r="AA4109">
        <v>0.56945138240019333</v>
      </c>
      <c r="AB4109" t="str">
        <f>HYPERLINK("Melting_Curves/meltCurve_Q7L5Y1_ENOSF1.pdf", "Melting_Curves/meltCurve_Q7L5Y1_ENOSF1.pdf")</f>
        <v>Melting_Curves/meltCurve_Q7L5Y1_ENOSF1.pdf</v>
      </c>
    </row>
    <row r="4110" spans="1:28" x14ac:dyDescent="0.25">
      <c r="A4110" t="s">
        <v>4114</v>
      </c>
      <c r="B4110">
        <v>0.99673306730245903</v>
      </c>
      <c r="C4110">
        <v>0.97032760532107798</v>
      </c>
      <c r="D4110">
        <v>0.86845173653033403</v>
      </c>
      <c r="E4110">
        <v>0.74884424235520097</v>
      </c>
      <c r="F4110">
        <v>0.27607741109184403</v>
      </c>
      <c r="G4110">
        <v>0.140314895226931</v>
      </c>
      <c r="H4110">
        <v>8.8107273410405501E-2</v>
      </c>
      <c r="I4110">
        <v>8.1560666354158706E-2</v>
      </c>
      <c r="J4110">
        <v>9.0815453533325194E-2</v>
      </c>
      <c r="K4110">
        <v>7.8866666669803007E-2</v>
      </c>
      <c r="L4110">
        <v>1363.6379892249199</v>
      </c>
      <c r="M4110">
        <v>26.742194558254798</v>
      </c>
      <c r="N4110">
        <v>51.3188155690952</v>
      </c>
      <c r="O4110">
        <v>50.709419546333301</v>
      </c>
      <c r="P4110">
        <v>-0.12151916690538</v>
      </c>
      <c r="Q4110">
        <v>7.8295106645708504E-2</v>
      </c>
      <c r="R4110">
        <v>0.99286717167398697</v>
      </c>
      <c r="S4110" t="s">
        <v>10562</v>
      </c>
      <c r="T4110" t="s">
        <v>12902</v>
      </c>
      <c r="U4110" t="s">
        <v>12902</v>
      </c>
      <c r="V4110" t="s">
        <v>12902</v>
      </c>
      <c r="W4110" t="s">
        <v>16965</v>
      </c>
      <c r="X4110">
        <v>8</v>
      </c>
      <c r="Y4110" t="s">
        <v>23273</v>
      </c>
      <c r="Z4110" t="s">
        <v>29685</v>
      </c>
      <c r="AA4110">
        <v>0.42329564884468512</v>
      </c>
      <c r="AB4110" t="str">
        <f>HYPERLINK("Melting_Curves/meltCurve_Q7L775_EPM2AIP1.pdf", "Melting_Curves/meltCurve_Q7L775_EPM2AIP1.pdf")</f>
        <v>Melting_Curves/meltCurve_Q7L775_EPM2AIP1.pdf</v>
      </c>
    </row>
    <row r="4111" spans="1:28" x14ac:dyDescent="0.25">
      <c r="A4111" t="s">
        <v>4115</v>
      </c>
      <c r="B4111">
        <v>0.99673306730245903</v>
      </c>
      <c r="C4111">
        <v>0.85733667027049099</v>
      </c>
      <c r="D4111">
        <v>0.65194941121987904</v>
      </c>
      <c r="E4111">
        <v>0.26712464635833899</v>
      </c>
      <c r="F4111">
        <v>0.125260103754259</v>
      </c>
      <c r="G4111">
        <v>7.6721704663393106E-2</v>
      </c>
      <c r="H4111">
        <v>4.3988982316503902E-2</v>
      </c>
      <c r="I4111">
        <v>4.87763094787729E-2</v>
      </c>
      <c r="J4111">
        <v>7.7859237378926194E-2</v>
      </c>
      <c r="K4111">
        <v>4.38431601757324E-2</v>
      </c>
      <c r="L4111">
        <v>1002.7133788858</v>
      </c>
      <c r="M4111">
        <v>21.350615914028001</v>
      </c>
      <c r="N4111">
        <v>47.199514278501503</v>
      </c>
      <c r="O4111">
        <v>46.557967178097996</v>
      </c>
      <c r="P4111">
        <v>-0.10885861311974999</v>
      </c>
      <c r="Q4111">
        <v>5.0498892842422802E-2</v>
      </c>
      <c r="R4111">
        <v>0.99755610602489697</v>
      </c>
      <c r="S4111" t="s">
        <v>10563</v>
      </c>
      <c r="T4111" t="s">
        <v>12902</v>
      </c>
      <c r="U4111" t="s">
        <v>12902</v>
      </c>
      <c r="V4111" t="s">
        <v>12902</v>
      </c>
      <c r="W4111" t="s">
        <v>16966</v>
      </c>
      <c r="X4111">
        <v>5</v>
      </c>
      <c r="Y4111" t="s">
        <v>23274</v>
      </c>
      <c r="Z4111" t="s">
        <v>29686</v>
      </c>
      <c r="AA4111">
        <v>0.28295579977504448</v>
      </c>
      <c r="AB4111" t="str">
        <f>HYPERLINK("Melting_Curves/meltCurve_Q7L7V1_DHX32.pdf", "Melting_Curves/meltCurve_Q7L7V1_DHX32.pdf")</f>
        <v>Melting_Curves/meltCurve_Q7L7V1_DHX32.pdf</v>
      </c>
    </row>
    <row r="4112" spans="1:28" x14ac:dyDescent="0.25">
      <c r="A4112" t="s">
        <v>4116</v>
      </c>
      <c r="B4112">
        <v>0.99673306730245903</v>
      </c>
      <c r="C4112">
        <v>0.89581705561389802</v>
      </c>
      <c r="D4112">
        <v>0.76254756032263205</v>
      </c>
      <c r="E4112">
        <v>0.75294382597851095</v>
      </c>
      <c r="F4112">
        <v>0.15962875003919999</v>
      </c>
      <c r="G4112">
        <v>9.8117366406931403E-2</v>
      </c>
      <c r="H4112">
        <v>6.2828536616105907E-2</v>
      </c>
      <c r="I4112">
        <v>5.5297276219473702E-2</v>
      </c>
      <c r="J4112">
        <v>7.1723890737243098E-2</v>
      </c>
      <c r="K4112">
        <v>6.5720177236510205E-2</v>
      </c>
      <c r="S4112" t="s">
        <v>10564</v>
      </c>
      <c r="T4112" t="s">
        <v>12902</v>
      </c>
      <c r="U4112" t="s">
        <v>12903</v>
      </c>
      <c r="V4112" t="s">
        <v>12902</v>
      </c>
      <c r="W4112" t="s">
        <v>16967</v>
      </c>
      <c r="X4112">
        <v>19</v>
      </c>
      <c r="Y4112" t="s">
        <v>23275</v>
      </c>
      <c r="Z4112" t="s">
        <v>29687</v>
      </c>
      <c r="AB4112" t="str">
        <f>HYPERLINK("Melting_Curves/meltCurve_Q7L7X3_TAOK1.pdf", "Melting_Curves/meltCurve_Q7L7X3_TAOK1.pdf")</f>
        <v>Melting_Curves/meltCurve_Q7L7X3_TAOK1.pdf</v>
      </c>
    </row>
    <row r="4113" spans="1:28" x14ac:dyDescent="0.25">
      <c r="A4113" t="s">
        <v>4117</v>
      </c>
      <c r="B4113">
        <v>0.99673306730245903</v>
      </c>
      <c r="C4113">
        <v>0.85140864391023696</v>
      </c>
      <c r="D4113">
        <v>0.55937481423820701</v>
      </c>
      <c r="E4113">
        <v>0.20757070590795701</v>
      </c>
      <c r="F4113">
        <v>0.135936591284678</v>
      </c>
      <c r="G4113">
        <v>8.3020114899387001E-2</v>
      </c>
      <c r="H4113">
        <v>5.4159614138560699E-2</v>
      </c>
      <c r="I4113">
        <v>4.7994936413240499E-2</v>
      </c>
      <c r="J4113">
        <v>5.2619919896644801E-2</v>
      </c>
      <c r="K4113">
        <v>4.8502334786664901E-2</v>
      </c>
      <c r="L4113">
        <v>1035.8899280907401</v>
      </c>
      <c r="M4113">
        <v>22.407623325921101</v>
      </c>
      <c r="N4113">
        <v>46.477512935563503</v>
      </c>
      <c r="O4113">
        <v>45.865888839431001</v>
      </c>
      <c r="P4113">
        <v>-0.115252959272959</v>
      </c>
      <c r="Q4113">
        <v>5.6380254139559799E-2</v>
      </c>
      <c r="R4113">
        <v>0.99796218218758204</v>
      </c>
      <c r="S4113" t="s">
        <v>10565</v>
      </c>
      <c r="T4113" t="s">
        <v>12902</v>
      </c>
      <c r="U4113" t="s">
        <v>12902</v>
      </c>
      <c r="V4113" t="s">
        <v>12902</v>
      </c>
      <c r="W4113" t="s">
        <v>16968</v>
      </c>
      <c r="X4113">
        <v>13</v>
      </c>
      <c r="Y4113" t="s">
        <v>23276</v>
      </c>
      <c r="Z4113" t="s">
        <v>29688</v>
      </c>
      <c r="AA4113">
        <v>0.26339804607715089</v>
      </c>
      <c r="AB4113" t="str">
        <f>HYPERLINK("Melting_Curves/meltCurve_Q7L8L6_FASTKD5.pdf", "Melting_Curves/meltCurve_Q7L8L6_FASTKD5.pdf")</f>
        <v>Melting_Curves/meltCurve_Q7L8L6_FASTKD5.pdf</v>
      </c>
    </row>
    <row r="4114" spans="1:28" x14ac:dyDescent="0.25">
      <c r="A4114" t="s">
        <v>4118</v>
      </c>
      <c r="B4114">
        <v>0.99673306730245903</v>
      </c>
      <c r="C4114">
        <v>0.97904665782773204</v>
      </c>
      <c r="D4114">
        <v>0.78134058413930296</v>
      </c>
      <c r="E4114">
        <v>0.61416354605731205</v>
      </c>
      <c r="F4114">
        <v>0.34214152113519702</v>
      </c>
      <c r="G4114">
        <v>0.22781410965148799</v>
      </c>
      <c r="H4114">
        <v>0.12031493584505799</v>
      </c>
      <c r="I4114">
        <v>8.0388282069476305E-2</v>
      </c>
      <c r="J4114">
        <v>4.3990649525214601E-2</v>
      </c>
      <c r="K4114">
        <v>3.2618203446173603E-2</v>
      </c>
      <c r="L4114">
        <v>711.76164281701006</v>
      </c>
      <c r="M4114">
        <v>13.989358180409701</v>
      </c>
      <c r="N4114">
        <v>51.038950357480502</v>
      </c>
      <c r="O4114">
        <v>49.872959859930802</v>
      </c>
      <c r="P4114">
        <v>-6.8628413088439699E-2</v>
      </c>
      <c r="Q4114">
        <v>2.1471084357061802E-2</v>
      </c>
      <c r="R4114">
        <v>0.99592473523428704</v>
      </c>
      <c r="S4114" t="s">
        <v>10566</v>
      </c>
      <c r="T4114" t="s">
        <v>12902</v>
      </c>
      <c r="U4114" t="s">
        <v>12902</v>
      </c>
      <c r="V4114" t="s">
        <v>12902</v>
      </c>
      <c r="W4114" t="s">
        <v>16969</v>
      </c>
      <c r="X4114">
        <v>7</v>
      </c>
      <c r="Y4114" t="s">
        <v>23277</v>
      </c>
      <c r="Z4114" t="s">
        <v>29689</v>
      </c>
      <c r="AA4114">
        <v>0.40175025639246881</v>
      </c>
      <c r="AB4114" t="str">
        <f>HYPERLINK("Melting_Curves/meltCurve_Q7L8W6_ATPBD4.pdf", "Melting_Curves/meltCurve_Q7L8W6_ATPBD4.pdf")</f>
        <v>Melting_Curves/meltCurve_Q7L8W6_ATPBD4.pdf</v>
      </c>
    </row>
    <row r="4115" spans="1:28" x14ac:dyDescent="0.25">
      <c r="A4115" t="s">
        <v>4119</v>
      </c>
      <c r="B4115">
        <v>0.99673306730245903</v>
      </c>
      <c r="C4115">
        <v>0.77081115793566601</v>
      </c>
      <c r="D4115">
        <v>0.39308113275201501</v>
      </c>
      <c r="E4115">
        <v>0.52218265325109703</v>
      </c>
      <c r="F4115">
        <v>0.20195737843740599</v>
      </c>
      <c r="G4115">
        <v>0.12524625837560199</v>
      </c>
      <c r="H4115">
        <v>7.6896944968716296E-2</v>
      </c>
      <c r="I4115">
        <v>6.6300016967730205E-2</v>
      </c>
      <c r="J4115">
        <v>5.7498531701453998E-2</v>
      </c>
      <c r="K4115">
        <v>5.0069880882435899E-2</v>
      </c>
      <c r="L4115">
        <v>560.20485543855602</v>
      </c>
      <c r="M4115">
        <v>11.9506887836326</v>
      </c>
      <c r="N4115">
        <v>47.133126729215597</v>
      </c>
      <c r="O4115">
        <v>45.621636193289199</v>
      </c>
      <c r="P4115">
        <v>-6.3439923091318504E-2</v>
      </c>
      <c r="Q4115">
        <v>3.1511941647790198E-2</v>
      </c>
      <c r="R4115">
        <v>0.93233954901278404</v>
      </c>
      <c r="S4115" t="s">
        <v>10567</v>
      </c>
      <c r="T4115" t="s">
        <v>12902</v>
      </c>
      <c r="U4115" t="s">
        <v>12902</v>
      </c>
      <c r="V4115" t="s">
        <v>12902</v>
      </c>
      <c r="W4115" t="s">
        <v>16970</v>
      </c>
      <c r="X4115">
        <v>14</v>
      </c>
      <c r="Y4115" t="s">
        <v>23278</v>
      </c>
      <c r="Z4115" t="s">
        <v>29690</v>
      </c>
      <c r="AA4115">
        <v>0.29485301495918048</v>
      </c>
      <c r="AB4115" t="str">
        <f>HYPERLINK("Melting_Curves/meltCurve_Q7L9B9_EEPD1.pdf", "Melting_Curves/meltCurve_Q7L9B9_EEPD1.pdf")</f>
        <v>Melting_Curves/meltCurve_Q7L9B9_EEPD1.pdf</v>
      </c>
    </row>
    <row r="4116" spans="1:28" x14ac:dyDescent="0.25">
      <c r="A4116" t="s">
        <v>4120</v>
      </c>
      <c r="B4116">
        <v>0.99673306730245903</v>
      </c>
      <c r="C4116">
        <v>0.89543984341469296</v>
      </c>
      <c r="D4116">
        <v>0.72002141365852801</v>
      </c>
      <c r="E4116">
        <v>0.38802080794353599</v>
      </c>
      <c r="F4116">
        <v>0.21187345836000299</v>
      </c>
      <c r="G4116">
        <v>0.12590313667013101</v>
      </c>
      <c r="H4116">
        <v>8.74529662395227E-2</v>
      </c>
      <c r="I4116">
        <v>8.6522496968646403E-2</v>
      </c>
      <c r="J4116">
        <v>8.7734530389312101E-2</v>
      </c>
      <c r="K4116">
        <v>7.6364044849615106E-2</v>
      </c>
      <c r="L4116">
        <v>900.12924041010695</v>
      </c>
      <c r="M4116">
        <v>18.780750981228501</v>
      </c>
      <c r="N4116">
        <v>48.364471527478798</v>
      </c>
      <c r="O4116">
        <v>47.394801921278997</v>
      </c>
      <c r="P4116">
        <v>-9.1351468962117502E-2</v>
      </c>
      <c r="Q4116">
        <v>7.7905926419329405E-2</v>
      </c>
      <c r="R4116">
        <v>0.99927683583151905</v>
      </c>
      <c r="S4116" t="s">
        <v>10568</v>
      </c>
      <c r="T4116" t="s">
        <v>12902</v>
      </c>
      <c r="U4116" t="s">
        <v>12902</v>
      </c>
      <c r="V4116" t="s">
        <v>12902</v>
      </c>
      <c r="W4116" t="s">
        <v>16971</v>
      </c>
      <c r="X4116">
        <v>26</v>
      </c>
      <c r="Y4116" t="s">
        <v>23279</v>
      </c>
      <c r="Z4116" t="s">
        <v>29691</v>
      </c>
      <c r="AA4116">
        <v>0.33658929442073332</v>
      </c>
      <c r="AB4116" t="str">
        <f>HYPERLINK("Melting_Curves/meltCurve_Q7LBC6_KDM3B.pdf", "Melting_Curves/meltCurve_Q7LBC6_KDM3B.pdf")</f>
        <v>Melting_Curves/meltCurve_Q7LBC6_KDM3B.pdf</v>
      </c>
    </row>
    <row r="4117" spans="1:28" x14ac:dyDescent="0.25">
      <c r="A4117" t="s">
        <v>4121</v>
      </c>
      <c r="B4117">
        <v>0.99673306730245903</v>
      </c>
      <c r="C4117">
        <v>1.0848369512206</v>
      </c>
      <c r="D4117">
        <v>1.0556834966752999</v>
      </c>
      <c r="E4117">
        <v>0.98150493588807097</v>
      </c>
      <c r="F4117">
        <v>0.37061813765528701</v>
      </c>
      <c r="G4117">
        <v>0.169264597584982</v>
      </c>
      <c r="H4117">
        <v>0.12524201434733201</v>
      </c>
      <c r="I4117">
        <v>0.154316040026927</v>
      </c>
      <c r="J4117">
        <v>0.19012573827705101</v>
      </c>
      <c r="K4117">
        <v>0.20279889430757</v>
      </c>
      <c r="L4117">
        <v>3643.7510693035501</v>
      </c>
      <c r="M4117">
        <v>69.624248621492697</v>
      </c>
      <c r="N4117">
        <v>52.643354364686502</v>
      </c>
      <c r="O4117">
        <v>52.291387142924897</v>
      </c>
      <c r="P4117">
        <v>-0.27705715629565397</v>
      </c>
      <c r="Q4117">
        <v>0.16766356961470599</v>
      </c>
      <c r="R4117">
        <v>0.99168630846224104</v>
      </c>
      <c r="S4117" t="s">
        <v>10569</v>
      </c>
      <c r="T4117" t="s">
        <v>12902</v>
      </c>
      <c r="U4117" t="s">
        <v>12902</v>
      </c>
      <c r="V4117" t="s">
        <v>12902</v>
      </c>
      <c r="W4117" t="s">
        <v>16972</v>
      </c>
      <c r="X4117">
        <v>5</v>
      </c>
      <c r="Y4117" t="s">
        <v>23280</v>
      </c>
      <c r="Z4117" t="s">
        <v>29692</v>
      </c>
      <c r="AA4117">
        <v>0.51086727422242506</v>
      </c>
      <c r="AB4117" t="str">
        <f>HYPERLINK("Melting_Curves/meltCurve_Q7LBR1_CHMP1B.pdf", "Melting_Curves/meltCurve_Q7LBR1_CHMP1B.pdf")</f>
        <v>Melting_Curves/meltCurve_Q7LBR1_CHMP1B.pdf</v>
      </c>
    </row>
    <row r="4118" spans="1:28" x14ac:dyDescent="0.25">
      <c r="A4118" t="s">
        <v>4122</v>
      </c>
      <c r="B4118">
        <v>0.99673306730245903</v>
      </c>
      <c r="C4118">
        <v>0.88990090236899</v>
      </c>
      <c r="D4118">
        <v>0.83381663945967499</v>
      </c>
      <c r="E4118">
        <v>0.66297652756227499</v>
      </c>
      <c r="F4118">
        <v>0.54882933269996603</v>
      </c>
      <c r="G4118">
        <v>0.36030254797835198</v>
      </c>
      <c r="H4118">
        <v>0.28401576028438003</v>
      </c>
      <c r="I4118">
        <v>0.300279370596436</v>
      </c>
      <c r="J4118">
        <v>0.28565087535646699</v>
      </c>
      <c r="K4118">
        <v>0.263222746949202</v>
      </c>
      <c r="L4118">
        <v>627.37338183466795</v>
      </c>
      <c r="M4118">
        <v>12.3853943774442</v>
      </c>
      <c r="N4118">
        <v>53.366601145378198</v>
      </c>
      <c r="O4118">
        <v>49.3881100256515</v>
      </c>
      <c r="P4118">
        <v>-4.8061302265653597E-2</v>
      </c>
      <c r="Q4118">
        <v>0.233564742915016</v>
      </c>
      <c r="R4118">
        <v>0.99105692788279798</v>
      </c>
      <c r="S4118" t="s">
        <v>10570</v>
      </c>
      <c r="T4118" t="s">
        <v>12902</v>
      </c>
      <c r="U4118" t="s">
        <v>12902</v>
      </c>
      <c r="V4118" t="s">
        <v>12902</v>
      </c>
      <c r="W4118" t="s">
        <v>16973</v>
      </c>
      <c r="X4118">
        <v>4</v>
      </c>
      <c r="Y4118" t="s">
        <v>23281</v>
      </c>
      <c r="Z4118" t="s">
        <v>29693</v>
      </c>
      <c r="AA4118">
        <v>0.53010478953680995</v>
      </c>
      <c r="AB4118" t="str">
        <f>HYPERLINK("Melting_Curves/meltCurve_Q7LGA3_HS2ST1.pdf", "Melting_Curves/meltCurve_Q7LGA3_HS2ST1.pdf")</f>
        <v>Melting_Curves/meltCurve_Q7LGA3_HS2ST1.pdf</v>
      </c>
    </row>
    <row r="4119" spans="1:28" x14ac:dyDescent="0.25">
      <c r="A4119" t="s">
        <v>4123</v>
      </c>
      <c r="B4119">
        <v>0.99673306730245903</v>
      </c>
      <c r="C4119">
        <v>0.92963932294179996</v>
      </c>
      <c r="D4119">
        <v>0.86721534896476904</v>
      </c>
      <c r="E4119">
        <v>0.65472021437795003</v>
      </c>
      <c r="F4119">
        <v>0.30494362451450302</v>
      </c>
      <c r="G4119">
        <v>0.182026968345288</v>
      </c>
      <c r="H4119">
        <v>0.116225967934035</v>
      </c>
      <c r="I4119">
        <v>0.12773883227223501</v>
      </c>
      <c r="J4119">
        <v>0.143273155707211</v>
      </c>
      <c r="K4119">
        <v>0.14988840179618301</v>
      </c>
      <c r="L4119">
        <v>1078.7751588589399</v>
      </c>
      <c r="M4119">
        <v>21.4813698737557</v>
      </c>
      <c r="N4119">
        <v>50.886014013405799</v>
      </c>
      <c r="O4119">
        <v>49.789973955924701</v>
      </c>
      <c r="P4119">
        <v>-9.4629413232684007E-2</v>
      </c>
      <c r="Q4119">
        <v>0.122685286475268</v>
      </c>
      <c r="R4119">
        <v>0.99488221330512605</v>
      </c>
      <c r="S4119" t="s">
        <v>10571</v>
      </c>
      <c r="T4119" t="s">
        <v>12902</v>
      </c>
      <c r="U4119" t="s">
        <v>12902</v>
      </c>
      <c r="V4119" t="s">
        <v>12902</v>
      </c>
      <c r="W4119" t="s">
        <v>16974</v>
      </c>
      <c r="X4119">
        <v>11</v>
      </c>
      <c r="Y4119" t="s">
        <v>23282</v>
      </c>
      <c r="Z4119" t="s">
        <v>29694</v>
      </c>
      <c r="AA4119">
        <v>0.43214906809528808</v>
      </c>
      <c r="AB4119" t="str">
        <f>HYPERLINK("Melting_Curves/meltCurve_Q7RTP6_MICAL3.pdf", "Melting_Curves/meltCurve_Q7RTP6_MICAL3.pdf")</f>
        <v>Melting_Curves/meltCurve_Q7RTP6_MICAL3.pdf</v>
      </c>
    </row>
    <row r="4120" spans="1:28" x14ac:dyDescent="0.25">
      <c r="A4120" t="s">
        <v>4124</v>
      </c>
      <c r="B4120">
        <v>0.99673306730245903</v>
      </c>
      <c r="C4120">
        <v>1.01538622409196</v>
      </c>
      <c r="D4120">
        <v>1.2554515902799599</v>
      </c>
      <c r="E4120">
        <v>1.56466438760494</v>
      </c>
      <c r="F4120">
        <v>1.40697504819007</v>
      </c>
      <c r="G4120">
        <v>1.1220360749079199</v>
      </c>
      <c r="H4120">
        <v>0.57147618917096699</v>
      </c>
      <c r="I4120">
        <v>0.31431644812920001</v>
      </c>
      <c r="J4120">
        <v>0.35043238402514199</v>
      </c>
      <c r="K4120">
        <v>0.33046808539844902</v>
      </c>
      <c r="L4120">
        <v>15000</v>
      </c>
      <c r="M4120">
        <v>247.29132818748101</v>
      </c>
      <c r="N4120">
        <v>60.925529538088497</v>
      </c>
      <c r="O4120">
        <v>60.653214475328497</v>
      </c>
      <c r="P4120">
        <v>-0.68114784352333302</v>
      </c>
      <c r="Q4120">
        <v>0.33173847518843902</v>
      </c>
      <c r="R4120">
        <v>0.71350514968553902</v>
      </c>
      <c r="S4120" t="s">
        <v>10572</v>
      </c>
      <c r="T4120" t="s">
        <v>12902</v>
      </c>
      <c r="U4120" t="s">
        <v>12902</v>
      </c>
      <c r="V4120" t="s">
        <v>12902</v>
      </c>
      <c r="W4120" t="s">
        <v>16975</v>
      </c>
      <c r="X4120">
        <v>12</v>
      </c>
      <c r="Y4120" t="s">
        <v>23283</v>
      </c>
      <c r="Z4120" t="s">
        <v>29695</v>
      </c>
      <c r="AA4120">
        <v>0.79195828657389655</v>
      </c>
      <c r="AB4120" t="str">
        <f>HYPERLINK("Melting_Curves/meltCurve_Q7RTV0_PHF5A.pdf", "Melting_Curves/meltCurve_Q7RTV0_PHF5A.pdf")</f>
        <v>Melting_Curves/meltCurve_Q7RTV0_PHF5A.pdf</v>
      </c>
    </row>
    <row r="4121" spans="1:28" x14ac:dyDescent="0.25">
      <c r="A4121" t="s">
        <v>4125</v>
      </c>
      <c r="B4121">
        <v>0.99673306730245903</v>
      </c>
      <c r="C4121">
        <v>0.93971537184711496</v>
      </c>
      <c r="D4121">
        <v>0.91899306497997202</v>
      </c>
      <c r="E4121">
        <v>0.70581740263579595</v>
      </c>
      <c r="F4121">
        <v>0.50604425884794701</v>
      </c>
      <c r="G4121">
        <v>0.49044408533825701</v>
      </c>
      <c r="H4121">
        <v>0.355997700163179</v>
      </c>
      <c r="I4121">
        <v>0.29166349375105199</v>
      </c>
      <c r="J4121">
        <v>0.336195084088108</v>
      </c>
      <c r="K4121">
        <v>0.282632427773918</v>
      </c>
      <c r="L4121">
        <v>724.63861593390595</v>
      </c>
      <c r="M4121">
        <v>14.1618048677934</v>
      </c>
      <c r="N4121">
        <v>54.431359149495698</v>
      </c>
      <c r="O4121">
        <v>50.180685492274101</v>
      </c>
      <c r="P4121">
        <v>-5.0377697030320599E-2</v>
      </c>
      <c r="Q4121">
        <v>0.28606087826079601</v>
      </c>
      <c r="R4121">
        <v>0.98588908221138905</v>
      </c>
      <c r="S4121" t="s">
        <v>10573</v>
      </c>
      <c r="T4121" t="s">
        <v>12902</v>
      </c>
      <c r="U4121" t="s">
        <v>12902</v>
      </c>
      <c r="V4121" t="s">
        <v>12902</v>
      </c>
      <c r="W4121" t="s">
        <v>16976</v>
      </c>
      <c r="X4121">
        <v>1</v>
      </c>
      <c r="Y4121" t="s">
        <v>23284</v>
      </c>
      <c r="Z4121" t="s">
        <v>29696</v>
      </c>
      <c r="AA4121">
        <v>0.56984352402951077</v>
      </c>
      <c r="AB4121" t="str">
        <f>HYPERLINK("Melting_Curves/meltCurve_Q7RTX0_TAS1R3.pdf", "Melting_Curves/meltCurve_Q7RTX0_TAS1R3.pdf")</f>
        <v>Melting_Curves/meltCurve_Q7RTX0_TAS1R3.pdf</v>
      </c>
    </row>
    <row r="4122" spans="1:28" x14ac:dyDescent="0.25">
      <c r="A4122" t="s">
        <v>4126</v>
      </c>
      <c r="B4122">
        <v>0.99673306730245903</v>
      </c>
      <c r="C4122">
        <v>0.91683858952068098</v>
      </c>
      <c r="D4122">
        <v>0.67545757567890397</v>
      </c>
      <c r="E4122">
        <v>0.26809854426871199</v>
      </c>
      <c r="F4122">
        <v>0.139496940615709</v>
      </c>
      <c r="G4122">
        <v>9.0572333322400195E-2</v>
      </c>
      <c r="H4122">
        <v>6.2225554470231398E-2</v>
      </c>
      <c r="I4122">
        <v>5.2027918759997897E-2</v>
      </c>
      <c r="J4122">
        <v>4.9582944420084998E-2</v>
      </c>
      <c r="K4122">
        <v>3.68569591789338E-2</v>
      </c>
      <c r="L4122">
        <v>1109.4959189098799</v>
      </c>
      <c r="M4122">
        <v>23.501699531656101</v>
      </c>
      <c r="N4122">
        <v>47.444386011862498</v>
      </c>
      <c r="O4122">
        <v>46.871357342173702</v>
      </c>
      <c r="P4122">
        <v>-0.118460533191001</v>
      </c>
      <c r="Q4122">
        <v>5.4994209059140001E-2</v>
      </c>
      <c r="R4122">
        <v>0.998738148625681</v>
      </c>
      <c r="S4122" t="s">
        <v>10574</v>
      </c>
      <c r="T4122" t="s">
        <v>12902</v>
      </c>
      <c r="U4122" t="s">
        <v>12902</v>
      </c>
      <c r="V4122" t="s">
        <v>12902</v>
      </c>
      <c r="W4122" t="s">
        <v>16977</v>
      </c>
      <c r="X4122">
        <v>6</v>
      </c>
      <c r="Y4122" t="s">
        <v>23285</v>
      </c>
      <c r="Z4122" t="s">
        <v>29697</v>
      </c>
      <c r="AA4122">
        <v>0.29171129674253959</v>
      </c>
      <c r="AB4122" t="str">
        <f>HYPERLINK("Melting_Curves/meltCurve_Q7Z2E3_8_APTX.pdf", "Melting_Curves/meltCurve_Q7Z2E3_8_APTX.pdf")</f>
        <v>Melting_Curves/meltCurve_Q7Z2E3_8_APTX.pdf</v>
      </c>
    </row>
    <row r="4123" spans="1:28" x14ac:dyDescent="0.25">
      <c r="A4123" t="s">
        <v>4127</v>
      </c>
      <c r="B4123">
        <v>0.99673306730245903</v>
      </c>
      <c r="C4123">
        <v>1.0733211400784</v>
      </c>
      <c r="D4123">
        <v>1.0042337004830699</v>
      </c>
      <c r="E4123">
        <v>0.76511236835574503</v>
      </c>
      <c r="F4123">
        <v>0.73846202748533996</v>
      </c>
      <c r="G4123">
        <v>0.65855175524085796</v>
      </c>
      <c r="H4123">
        <v>0.52350309956709695</v>
      </c>
      <c r="I4123">
        <v>0.72394058522471405</v>
      </c>
      <c r="J4123">
        <v>0.92204327398046504</v>
      </c>
      <c r="K4123">
        <v>1.1291948154776299</v>
      </c>
      <c r="L4123">
        <v>11904.8088500713</v>
      </c>
      <c r="M4123">
        <v>250</v>
      </c>
      <c r="O4123">
        <v>47.616188101946499</v>
      </c>
      <c r="P4123">
        <v>-0.28861749790874403</v>
      </c>
      <c r="Q4123">
        <v>0.78011415921669003</v>
      </c>
      <c r="R4123">
        <v>0.34691955873382202</v>
      </c>
      <c r="S4123" t="s">
        <v>10575</v>
      </c>
      <c r="T4123" t="s">
        <v>12902</v>
      </c>
      <c r="U4123" t="s">
        <v>12902</v>
      </c>
      <c r="V4123" t="s">
        <v>12902</v>
      </c>
      <c r="W4123" t="s">
        <v>16978</v>
      </c>
      <c r="X4123">
        <v>2</v>
      </c>
      <c r="Y4123" t="s">
        <v>23286</v>
      </c>
      <c r="Z4123" t="s">
        <v>29698</v>
      </c>
      <c r="AA4123">
        <v>0.83597793470395299</v>
      </c>
      <c r="AB4123" t="str">
        <f>HYPERLINK("Melting_Curves/meltCurve_Q7Z2K8_GPRIN1.pdf", "Melting_Curves/meltCurve_Q7Z2K8_GPRIN1.pdf")</f>
        <v>Melting_Curves/meltCurve_Q7Z2K8_GPRIN1.pdf</v>
      </c>
    </row>
    <row r="4124" spans="1:28" x14ac:dyDescent="0.25">
      <c r="A4124" t="s">
        <v>4128</v>
      </c>
      <c r="B4124">
        <v>0.99673306730245903</v>
      </c>
      <c r="C4124">
        <v>0.884336915313789</v>
      </c>
      <c r="D4124">
        <v>0.72053115612015595</v>
      </c>
      <c r="E4124">
        <v>0.47429794016808102</v>
      </c>
      <c r="F4124">
        <v>0.21182316791362099</v>
      </c>
      <c r="G4124">
        <v>0.132430237978718</v>
      </c>
      <c r="H4124">
        <v>0.10547929915845</v>
      </c>
      <c r="I4124">
        <v>7.9647337359827805E-2</v>
      </c>
      <c r="J4124">
        <v>5.15013684994724E-2</v>
      </c>
      <c r="K4124">
        <v>4.9860078087373097E-2</v>
      </c>
      <c r="L4124">
        <v>784.094736751082</v>
      </c>
      <c r="M4124">
        <v>16.130879608954</v>
      </c>
      <c r="N4124">
        <v>48.928347896829102</v>
      </c>
      <c r="O4124">
        <v>47.879663402496703</v>
      </c>
      <c r="P4124">
        <v>-8.0015148048405496E-2</v>
      </c>
      <c r="Q4124">
        <v>5.00683861452903E-2</v>
      </c>
      <c r="R4124">
        <v>0.99757995585021697</v>
      </c>
      <c r="S4124" t="s">
        <v>10576</v>
      </c>
      <c r="T4124" t="s">
        <v>12902</v>
      </c>
      <c r="U4124" t="s">
        <v>12902</v>
      </c>
      <c r="V4124" t="s">
        <v>12902</v>
      </c>
      <c r="W4124" t="s">
        <v>16979</v>
      </c>
      <c r="X4124">
        <v>1</v>
      </c>
      <c r="Y4124" t="s">
        <v>23287</v>
      </c>
      <c r="Z4124" t="s">
        <v>29699</v>
      </c>
      <c r="AA4124">
        <v>0.34330727773434883</v>
      </c>
      <c r="AB4124" t="str">
        <f>HYPERLINK("Melting_Curves/meltCurve_Q7Z2T5_TRMT1L.pdf", "Melting_Curves/meltCurve_Q7Z2T5_TRMT1L.pdf")</f>
        <v>Melting_Curves/meltCurve_Q7Z2T5_TRMT1L.pdf</v>
      </c>
    </row>
    <row r="4125" spans="1:28" x14ac:dyDescent="0.25">
      <c r="A4125" t="s">
        <v>4129</v>
      </c>
      <c r="B4125">
        <v>0.99673306730245903</v>
      </c>
      <c r="C4125">
        <v>0.85744484818006195</v>
      </c>
      <c r="D4125">
        <v>0.72008846262301296</v>
      </c>
      <c r="E4125">
        <v>0.32006591847037502</v>
      </c>
      <c r="F4125">
        <v>0.178903434343574</v>
      </c>
      <c r="G4125">
        <v>9.3081339696683293E-2</v>
      </c>
      <c r="H4125">
        <v>6.12168453256259E-2</v>
      </c>
      <c r="I4125">
        <v>6.5559946445593598E-2</v>
      </c>
      <c r="J4125">
        <v>9.2784925850821404E-2</v>
      </c>
      <c r="K4125">
        <v>7.5903343610511098E-2</v>
      </c>
      <c r="L4125">
        <v>968.05594255156495</v>
      </c>
      <c r="M4125">
        <v>20.380173364521699</v>
      </c>
      <c r="N4125">
        <v>47.845919653208597</v>
      </c>
      <c r="O4125">
        <v>47.0496322284176</v>
      </c>
      <c r="P4125">
        <v>-0.10087341779320599</v>
      </c>
      <c r="Q4125">
        <v>6.8522940996002493E-2</v>
      </c>
      <c r="R4125">
        <v>0.99523595154338096</v>
      </c>
      <c r="S4125" t="s">
        <v>10577</v>
      </c>
      <c r="T4125" t="s">
        <v>12902</v>
      </c>
      <c r="U4125" t="s">
        <v>12902</v>
      </c>
      <c r="V4125" t="s">
        <v>12902</v>
      </c>
      <c r="W4125" t="s">
        <v>16980</v>
      </c>
      <c r="X4125">
        <v>13</v>
      </c>
      <c r="Y4125" t="s">
        <v>23288</v>
      </c>
      <c r="Z4125" t="s">
        <v>29700</v>
      </c>
      <c r="AA4125">
        <v>0.31425546049870218</v>
      </c>
      <c r="AB4125" t="str">
        <f>HYPERLINK("Melting_Curves/meltCurve_Q7Z2W4_ZC3HAV1.pdf", "Melting_Curves/meltCurve_Q7Z2W4_ZC3HAV1.pdf")</f>
        <v>Melting_Curves/meltCurve_Q7Z2W4_ZC3HAV1.pdf</v>
      </c>
    </row>
    <row r="4126" spans="1:28" x14ac:dyDescent="0.25">
      <c r="A4126" t="s">
        <v>4130</v>
      </c>
      <c r="B4126">
        <v>0.99673306730245903</v>
      </c>
      <c r="C4126">
        <v>1.01488955332112</v>
      </c>
      <c r="D4126">
        <v>1.71798412594877</v>
      </c>
      <c r="E4126">
        <v>2.5104923720553902</v>
      </c>
      <c r="F4126">
        <v>1.67083611469519</v>
      </c>
      <c r="G4126">
        <v>0.55219076779832199</v>
      </c>
      <c r="H4126">
        <v>0.32398260402872098</v>
      </c>
      <c r="I4126">
        <v>0.28040667329534302</v>
      </c>
      <c r="J4126">
        <v>0.33804364653617203</v>
      </c>
      <c r="K4126">
        <v>0.32838612664730099</v>
      </c>
      <c r="L4126">
        <v>14163.252138399401</v>
      </c>
      <c r="M4126">
        <v>250</v>
      </c>
      <c r="N4126">
        <v>56.8825821708297</v>
      </c>
      <c r="O4126">
        <v>56.649383228515603</v>
      </c>
      <c r="P4126">
        <v>-0.75276114930870996</v>
      </c>
      <c r="Q4126">
        <v>0.31770472467647198</v>
      </c>
      <c r="R4126">
        <v>0.3874863640706</v>
      </c>
      <c r="S4126" t="s">
        <v>10578</v>
      </c>
      <c r="T4126" t="s">
        <v>12902</v>
      </c>
      <c r="U4126" t="s">
        <v>12902</v>
      </c>
      <c r="V4126" t="s">
        <v>12902</v>
      </c>
      <c r="W4126" t="s">
        <v>16981</v>
      </c>
      <c r="X4126">
        <v>1</v>
      </c>
      <c r="Y4126" t="s">
        <v>23289</v>
      </c>
      <c r="Z4126" t="s">
        <v>29701</v>
      </c>
      <c r="AA4126">
        <v>0.69651486385346739</v>
      </c>
      <c r="AB4126" t="str">
        <f>HYPERLINK("Melting_Curves/meltCurve_Q7Z2Y8_GVINP1.pdf", "Melting_Curves/meltCurve_Q7Z2Y8_GVINP1.pdf")</f>
        <v>Melting_Curves/meltCurve_Q7Z2Y8_GVINP1.pdf</v>
      </c>
    </row>
    <row r="4127" spans="1:28" x14ac:dyDescent="0.25">
      <c r="A4127" t="s">
        <v>4131</v>
      </c>
      <c r="B4127">
        <v>0.99673306730245903</v>
      </c>
      <c r="C4127">
        <v>0.99436103504060203</v>
      </c>
      <c r="D4127">
        <v>0.94577379017214702</v>
      </c>
      <c r="E4127">
        <v>0.77807619547541595</v>
      </c>
      <c r="F4127">
        <v>0.19049502938451399</v>
      </c>
      <c r="G4127">
        <v>0.133226746345285</v>
      </c>
      <c r="H4127">
        <v>7.3685812603863102E-2</v>
      </c>
      <c r="I4127">
        <v>6.4204271332609295E-2</v>
      </c>
      <c r="J4127">
        <v>6.1128576450397397E-2</v>
      </c>
      <c r="K4127">
        <v>5.1124093064948202E-2</v>
      </c>
      <c r="L4127">
        <v>2120.2849310899501</v>
      </c>
      <c r="M4127">
        <v>41.640980842015999</v>
      </c>
      <c r="N4127">
        <v>51.108180669941603</v>
      </c>
      <c r="O4127">
        <v>50.801227984735597</v>
      </c>
      <c r="P4127">
        <v>-0.19023197650760801</v>
      </c>
      <c r="Q4127">
        <v>7.1683845560950005E-2</v>
      </c>
      <c r="R4127">
        <v>0.996939971085118</v>
      </c>
      <c r="S4127" t="s">
        <v>10579</v>
      </c>
      <c r="T4127" t="s">
        <v>12902</v>
      </c>
      <c r="U4127" t="s">
        <v>12902</v>
      </c>
      <c r="V4127" t="s">
        <v>12902</v>
      </c>
      <c r="W4127" t="s">
        <v>16982</v>
      </c>
      <c r="X4127">
        <v>29</v>
      </c>
      <c r="Y4127" t="s">
        <v>23290</v>
      </c>
      <c r="Z4127" t="s">
        <v>29702</v>
      </c>
      <c r="AA4127">
        <v>0.4125491011045837</v>
      </c>
      <c r="AB4127" t="str">
        <f>HYPERLINK("Melting_Curves/meltCurve_Q7Z2Z2_EFTUD1.pdf", "Melting_Curves/meltCurve_Q7Z2Z2_EFTUD1.pdf")</f>
        <v>Melting_Curves/meltCurve_Q7Z2Z2_EFTUD1.pdf</v>
      </c>
    </row>
    <row r="4128" spans="1:28" x14ac:dyDescent="0.25">
      <c r="A4128" t="s">
        <v>4132</v>
      </c>
      <c r="B4128">
        <v>0.99673306730245903</v>
      </c>
      <c r="C4128">
        <v>0.95188730522794396</v>
      </c>
      <c r="D4128">
        <v>0.99600251372555804</v>
      </c>
      <c r="E4128">
        <v>0.84115602574152704</v>
      </c>
      <c r="F4128">
        <v>0.71883854186826301</v>
      </c>
      <c r="G4128">
        <v>0.488422801740794</v>
      </c>
      <c r="H4128">
        <v>0.35867056175432699</v>
      </c>
      <c r="I4128">
        <v>0.44408196373704001</v>
      </c>
      <c r="J4128">
        <v>0.60934785816211201</v>
      </c>
      <c r="K4128">
        <v>0.67207297561757795</v>
      </c>
      <c r="L4128">
        <v>1458.52817176391</v>
      </c>
      <c r="M4128">
        <v>28.295649127998001</v>
      </c>
      <c r="O4128">
        <v>51.290623722672201</v>
      </c>
      <c r="P4128">
        <v>-6.7000958034341598E-2</v>
      </c>
      <c r="Q4128">
        <v>0.51420196645362004</v>
      </c>
      <c r="R4128">
        <v>0.84571225815104201</v>
      </c>
      <c r="S4128" t="s">
        <v>10580</v>
      </c>
      <c r="T4128" t="s">
        <v>12902</v>
      </c>
      <c r="U4128" t="s">
        <v>12902</v>
      </c>
      <c r="V4128" t="s">
        <v>12902</v>
      </c>
      <c r="W4128" t="s">
        <v>16983</v>
      </c>
      <c r="X4128">
        <v>4</v>
      </c>
      <c r="Y4128" t="s">
        <v>23291</v>
      </c>
      <c r="Z4128" t="s">
        <v>29703</v>
      </c>
      <c r="AA4128">
        <v>0.7046311973653574</v>
      </c>
      <c r="AB4128" t="str">
        <f>HYPERLINK("Melting_Curves/meltCurve_Q7Z309_FAM122B.pdf", "Melting_Curves/meltCurve_Q7Z309_FAM122B.pdf")</f>
        <v>Melting_Curves/meltCurve_Q7Z309_FAM122B.pdf</v>
      </c>
    </row>
    <row r="4129" spans="1:28" x14ac:dyDescent="0.25">
      <c r="A4129" t="s">
        <v>4133</v>
      </c>
      <c r="B4129">
        <v>0.99673306730245903</v>
      </c>
      <c r="C4129">
        <v>0.92947371243620802</v>
      </c>
      <c r="D4129">
        <v>0.90816904259421405</v>
      </c>
      <c r="E4129">
        <v>0.76212480315532405</v>
      </c>
      <c r="F4129">
        <v>0.54083748789363595</v>
      </c>
      <c r="G4129">
        <v>0.32077399758797498</v>
      </c>
      <c r="H4129">
        <v>0.20601108509341901</v>
      </c>
      <c r="I4129">
        <v>0.20018399745859</v>
      </c>
      <c r="J4129">
        <v>0.456505314995447</v>
      </c>
      <c r="K4129">
        <v>0.54259739885805003</v>
      </c>
      <c r="L4129">
        <v>1272.76808970906</v>
      </c>
      <c r="M4129">
        <v>25.130042032488699</v>
      </c>
      <c r="N4129">
        <v>53.083569612894003</v>
      </c>
      <c r="O4129">
        <v>50.329841833972502</v>
      </c>
      <c r="P4129">
        <v>-8.2110648469416903E-2</v>
      </c>
      <c r="Q4129">
        <v>0.342212022146138</v>
      </c>
      <c r="R4129">
        <v>0.86700147716332998</v>
      </c>
      <c r="S4129" t="s">
        <v>10581</v>
      </c>
      <c r="T4129" t="s">
        <v>12902</v>
      </c>
      <c r="U4129" t="s">
        <v>12902</v>
      </c>
      <c r="V4129" t="s">
        <v>12902</v>
      </c>
      <c r="W4129" t="s">
        <v>16984</v>
      </c>
      <c r="X4129">
        <v>3</v>
      </c>
      <c r="Y4129" t="s">
        <v>23291</v>
      </c>
      <c r="Z4129" t="s">
        <v>29704</v>
      </c>
      <c r="AA4129">
        <v>0.58152595143837538</v>
      </c>
      <c r="AB4129" t="str">
        <f>HYPERLINK("Melting_Curves/meltCurve_Q7Z309_4_FAM122B.pdf", "Melting_Curves/meltCurve_Q7Z309_4_FAM122B.pdf")</f>
        <v>Melting_Curves/meltCurve_Q7Z309_4_FAM122B.pdf</v>
      </c>
    </row>
    <row r="4130" spans="1:28" x14ac:dyDescent="0.25">
      <c r="A4130" t="s">
        <v>4134</v>
      </c>
      <c r="B4130">
        <v>0.99673306730245903</v>
      </c>
      <c r="C4130">
        <v>0.94432603535737403</v>
      </c>
      <c r="D4130">
        <v>0.88225898977774797</v>
      </c>
      <c r="E4130">
        <v>0.75364962678768799</v>
      </c>
      <c r="F4130">
        <v>0.60953472596241298</v>
      </c>
      <c r="G4130">
        <v>0.53896447136929704</v>
      </c>
      <c r="H4130">
        <v>0.455429195112869</v>
      </c>
      <c r="I4130">
        <v>0.52508561904907602</v>
      </c>
      <c r="J4130">
        <v>0.67582788085449497</v>
      </c>
      <c r="K4130">
        <v>0.57816198838662103</v>
      </c>
      <c r="L4130">
        <v>1017.90342878656</v>
      </c>
      <c r="M4130">
        <v>20.967037734620199</v>
      </c>
      <c r="O4130">
        <v>48.112654815309099</v>
      </c>
      <c r="P4130">
        <v>-4.8938665082333598E-2</v>
      </c>
      <c r="Q4130">
        <v>0.55081775889436102</v>
      </c>
      <c r="R4130">
        <v>0.90748068433470597</v>
      </c>
      <c r="S4130" t="s">
        <v>10582</v>
      </c>
      <c r="T4130" t="s">
        <v>12902</v>
      </c>
      <c r="U4130" t="s">
        <v>12902</v>
      </c>
      <c r="V4130" t="s">
        <v>12902</v>
      </c>
      <c r="W4130" t="s">
        <v>16985</v>
      </c>
      <c r="X4130">
        <v>2</v>
      </c>
      <c r="Y4130" t="s">
        <v>23292</v>
      </c>
      <c r="Z4130" t="s">
        <v>29705</v>
      </c>
      <c r="AA4130">
        <v>0.68453536831654416</v>
      </c>
      <c r="AB4130" t="str">
        <f>HYPERLINK("Melting_Curves/meltCurve_Q7Z3B1_NEGR1.pdf", "Melting_Curves/meltCurve_Q7Z3B1_NEGR1.pdf")</f>
        <v>Melting_Curves/meltCurve_Q7Z3B1_NEGR1.pdf</v>
      </c>
    </row>
    <row r="4131" spans="1:28" x14ac:dyDescent="0.25">
      <c r="A4131" t="s">
        <v>4135</v>
      </c>
      <c r="B4131">
        <v>0.99673306730245903</v>
      </c>
      <c r="C4131">
        <v>1.0105381460266201</v>
      </c>
      <c r="D4131">
        <v>0.87942537828658496</v>
      </c>
      <c r="E4131">
        <v>0.79480200800772605</v>
      </c>
      <c r="F4131">
        <v>0.62982561505188295</v>
      </c>
      <c r="G4131">
        <v>0.44156879494470802</v>
      </c>
      <c r="H4131">
        <v>0.264228338445398</v>
      </c>
      <c r="I4131">
        <v>0.23373470865861401</v>
      </c>
      <c r="J4131">
        <v>0.211197727158834</v>
      </c>
      <c r="K4131">
        <v>0.224732029746254</v>
      </c>
      <c r="L4131">
        <v>750.65245515501999</v>
      </c>
      <c r="M4131">
        <v>13.992577299553901</v>
      </c>
      <c r="N4131">
        <v>55.239031287941401</v>
      </c>
      <c r="O4131">
        <v>52.586379018142203</v>
      </c>
      <c r="P4131">
        <v>-5.5487868035833901E-2</v>
      </c>
      <c r="Q4131">
        <v>0.16598055702140899</v>
      </c>
      <c r="R4131">
        <v>0.993674733831168</v>
      </c>
      <c r="S4131" t="s">
        <v>10583</v>
      </c>
      <c r="T4131" t="s">
        <v>12902</v>
      </c>
      <c r="U4131" t="s">
        <v>12902</v>
      </c>
      <c r="V4131" t="s">
        <v>12902</v>
      </c>
      <c r="W4131" t="s">
        <v>16986</v>
      </c>
      <c r="X4131">
        <v>4</v>
      </c>
      <c r="Y4131" t="s">
        <v>23293</v>
      </c>
      <c r="Z4131" t="s">
        <v>29706</v>
      </c>
      <c r="AA4131">
        <v>0.56436900544544011</v>
      </c>
      <c r="AB4131" t="str">
        <f>HYPERLINK("Melting_Curves/meltCurve_Q7Z3D4_LYSMD3.pdf", "Melting_Curves/meltCurve_Q7Z3D4_LYSMD3.pdf")</f>
        <v>Melting_Curves/meltCurve_Q7Z3D4_LYSMD3.pdf</v>
      </c>
    </row>
    <row r="4132" spans="1:28" x14ac:dyDescent="0.25">
      <c r="A4132" t="s">
        <v>4136</v>
      </c>
      <c r="B4132">
        <v>0.99673306730245903</v>
      </c>
      <c r="C4132">
        <v>1.0115971489254201</v>
      </c>
      <c r="D4132">
        <v>0.92384591694213603</v>
      </c>
      <c r="E4132">
        <v>0.81665369114509101</v>
      </c>
      <c r="F4132">
        <v>0.38503184986128502</v>
      </c>
      <c r="G4132">
        <v>0.15739831127523199</v>
      </c>
      <c r="H4132">
        <v>8.6348976459427407E-2</v>
      </c>
      <c r="I4132">
        <v>8.0889872039965102E-2</v>
      </c>
      <c r="J4132">
        <v>5.7306324228483703E-2</v>
      </c>
      <c r="K4132">
        <v>5.0817377177266997E-2</v>
      </c>
      <c r="L4132">
        <v>1369.11028823129</v>
      </c>
      <c r="M4132">
        <v>26.3209290118286</v>
      </c>
      <c r="N4132">
        <v>52.274085581691999</v>
      </c>
      <c r="O4132">
        <v>51.718566766036098</v>
      </c>
      <c r="P4132">
        <v>-0.11948150094490299</v>
      </c>
      <c r="Q4132">
        <v>6.0923142047494799E-2</v>
      </c>
      <c r="R4132">
        <v>0.99793823513960001</v>
      </c>
      <c r="S4132" t="s">
        <v>10584</v>
      </c>
      <c r="T4132" t="s">
        <v>12902</v>
      </c>
      <c r="U4132" t="s">
        <v>12902</v>
      </c>
      <c r="V4132" t="s">
        <v>12902</v>
      </c>
      <c r="W4132" t="s">
        <v>16987</v>
      </c>
      <c r="X4132">
        <v>11</v>
      </c>
      <c r="Y4132" t="s">
        <v>23294</v>
      </c>
      <c r="Z4132" t="s">
        <v>29707</v>
      </c>
      <c r="AA4132">
        <v>0.44481695780196301</v>
      </c>
      <c r="AB4132" t="str">
        <f>HYPERLINK("Melting_Curves/meltCurve_Q7Z3D6_2_C14orf159.pdf", "Melting_Curves/meltCurve_Q7Z3D6_2_C14orf159.pdf")</f>
        <v>Melting_Curves/meltCurve_Q7Z3D6_2_C14orf159.pdf</v>
      </c>
    </row>
    <row r="4133" spans="1:28" x14ac:dyDescent="0.25">
      <c r="A4133" t="s">
        <v>4137</v>
      </c>
      <c r="B4133">
        <v>0.99673306730245903</v>
      </c>
      <c r="C4133">
        <v>0.91687502125235099</v>
      </c>
      <c r="D4133">
        <v>0.79995468654019497</v>
      </c>
      <c r="E4133">
        <v>0.409793598472179</v>
      </c>
      <c r="F4133">
        <v>0.208591183802908</v>
      </c>
      <c r="G4133">
        <v>0.14706023779643601</v>
      </c>
      <c r="H4133">
        <v>0.111259004401419</v>
      </c>
      <c r="I4133">
        <v>0.12350323969126201</v>
      </c>
      <c r="J4133">
        <v>0.170336656046469</v>
      </c>
      <c r="K4133">
        <v>0.15525622153197499</v>
      </c>
      <c r="L4133">
        <v>1175.0670079588399</v>
      </c>
      <c r="M4133">
        <v>24.4439214479839</v>
      </c>
      <c r="N4133">
        <v>48.702418704126202</v>
      </c>
      <c r="O4133">
        <v>47.753681503162298</v>
      </c>
      <c r="P4133">
        <v>-0.11061425448927199</v>
      </c>
      <c r="Q4133">
        <v>0.13562806190757501</v>
      </c>
      <c r="R4133">
        <v>0.99609104207577903</v>
      </c>
      <c r="S4133" t="s">
        <v>10585</v>
      </c>
      <c r="T4133" t="s">
        <v>12902</v>
      </c>
      <c r="U4133" t="s">
        <v>12902</v>
      </c>
      <c r="V4133" t="s">
        <v>12902</v>
      </c>
      <c r="W4133" t="s">
        <v>16988</v>
      </c>
      <c r="X4133">
        <v>17</v>
      </c>
      <c r="Y4133" t="s">
        <v>23295</v>
      </c>
      <c r="Z4133" t="s">
        <v>29708</v>
      </c>
      <c r="AA4133">
        <v>0.37621222007384408</v>
      </c>
      <c r="AB4133" t="str">
        <f>HYPERLINK("Melting_Curves/meltCurve_Q7Z3E2_C10orf118.pdf", "Melting_Curves/meltCurve_Q7Z3E2_C10orf118.pdf")</f>
        <v>Melting_Curves/meltCurve_Q7Z3E2_C10orf118.pdf</v>
      </c>
    </row>
    <row r="4134" spans="1:28" x14ac:dyDescent="0.25">
      <c r="A4134" t="s">
        <v>4138</v>
      </c>
      <c r="B4134">
        <v>0.99673306730245903</v>
      </c>
      <c r="C4134">
        <v>0.90573941632722099</v>
      </c>
      <c r="D4134">
        <v>1.0040006927576099</v>
      </c>
      <c r="E4134">
        <v>0.62440768347734199</v>
      </c>
      <c r="F4134">
        <v>0.362190153892333</v>
      </c>
      <c r="G4134">
        <v>0.23301243203279801</v>
      </c>
      <c r="H4134">
        <v>0.113263724765664</v>
      </c>
      <c r="I4134">
        <v>0.14478574895412899</v>
      </c>
      <c r="J4134">
        <v>0.28343513087571298</v>
      </c>
      <c r="K4134">
        <v>0.157870818045349</v>
      </c>
      <c r="L4134">
        <v>1329.5134430895</v>
      </c>
      <c r="M4134">
        <v>26.458502506637998</v>
      </c>
      <c r="N4134">
        <v>51.106693002457902</v>
      </c>
      <c r="O4134">
        <v>49.964597247373497</v>
      </c>
      <c r="P4134">
        <v>-0.108653456615075</v>
      </c>
      <c r="Q4134">
        <v>0.17927817305038399</v>
      </c>
      <c r="R4134">
        <v>0.97303902553461497</v>
      </c>
      <c r="S4134" t="s">
        <v>10586</v>
      </c>
      <c r="T4134" t="s">
        <v>12902</v>
      </c>
      <c r="U4134" t="s">
        <v>12902</v>
      </c>
      <c r="V4134" t="s">
        <v>12902</v>
      </c>
      <c r="W4134" t="s">
        <v>16989</v>
      </c>
      <c r="X4134">
        <v>1</v>
      </c>
      <c r="Y4134" t="s">
        <v>23296</v>
      </c>
      <c r="Z4134" t="s">
        <v>29709</v>
      </c>
      <c r="AA4134">
        <v>0.46622856943607599</v>
      </c>
      <c r="AB4134" t="str">
        <f>HYPERLINK("Melting_Curves/meltCurve_Q7Z3F1_GPR155.pdf", "Melting_Curves/meltCurve_Q7Z3F1_GPR155.pdf")</f>
        <v>Melting_Curves/meltCurve_Q7Z3F1_GPR155.pdf</v>
      </c>
    </row>
    <row r="4135" spans="1:28" x14ac:dyDescent="0.25">
      <c r="A4135" t="s">
        <v>4139</v>
      </c>
      <c r="B4135">
        <v>0.99673306730245903</v>
      </c>
      <c r="C4135">
        <v>0.87471011219803096</v>
      </c>
      <c r="D4135">
        <v>0.76275054309070101</v>
      </c>
      <c r="E4135">
        <v>0.52517151675651297</v>
      </c>
      <c r="F4135">
        <v>0.409299276435446</v>
      </c>
      <c r="G4135">
        <v>0.26182912615259402</v>
      </c>
      <c r="H4135">
        <v>0.18093003171160099</v>
      </c>
      <c r="I4135">
        <v>0.17025469470881499</v>
      </c>
      <c r="J4135">
        <v>0.1697056790283</v>
      </c>
      <c r="K4135">
        <v>0.14169776383049901</v>
      </c>
      <c r="L4135">
        <v>635.37713810865603</v>
      </c>
      <c r="M4135">
        <v>12.866219298478899</v>
      </c>
      <c r="N4135">
        <v>50.5412294832676</v>
      </c>
      <c r="O4135">
        <v>48.236011907128102</v>
      </c>
      <c r="P4135">
        <v>-5.81826075214468E-2</v>
      </c>
      <c r="Q4135">
        <v>0.127643839562123</v>
      </c>
      <c r="R4135">
        <v>0.9956693663717</v>
      </c>
      <c r="S4135" t="s">
        <v>10587</v>
      </c>
      <c r="T4135" t="s">
        <v>12902</v>
      </c>
      <c r="U4135" t="s">
        <v>12902</v>
      </c>
      <c r="V4135" t="s">
        <v>12902</v>
      </c>
      <c r="W4135" t="s">
        <v>16990</v>
      </c>
      <c r="X4135">
        <v>9</v>
      </c>
      <c r="Y4135" t="s">
        <v>23297</v>
      </c>
      <c r="Z4135" t="s">
        <v>29710</v>
      </c>
      <c r="AA4135">
        <v>0.42837830329358317</v>
      </c>
      <c r="AB4135" t="str">
        <f>HYPERLINK("Melting_Curves/meltCurve_Q7Z3K3_5_POGZ.pdf", "Melting_Curves/meltCurve_Q7Z3K3_5_POGZ.pdf")</f>
        <v>Melting_Curves/meltCurve_Q7Z3K3_5_POGZ.pdf</v>
      </c>
    </row>
    <row r="4136" spans="1:28" x14ac:dyDescent="0.25">
      <c r="A4136" t="s">
        <v>4140</v>
      </c>
      <c r="B4136">
        <v>0.99673306730245903</v>
      </c>
      <c r="C4136">
        <v>1.0065410151317</v>
      </c>
      <c r="D4136">
        <v>0.98334840933204803</v>
      </c>
      <c r="E4136">
        <v>0.92221434577998995</v>
      </c>
      <c r="F4136">
        <v>0.46238503762795902</v>
      </c>
      <c r="G4136">
        <v>0.19150816667145601</v>
      </c>
      <c r="H4136">
        <v>0.102252682299297</v>
      </c>
      <c r="I4136">
        <v>9.1841189667901293E-2</v>
      </c>
      <c r="J4136">
        <v>9.4013387099685E-2</v>
      </c>
      <c r="K4136">
        <v>9.3141306473423294E-2</v>
      </c>
      <c r="L4136">
        <v>1808.56451168281</v>
      </c>
      <c r="M4136">
        <v>34.319372474328802</v>
      </c>
      <c r="N4136">
        <v>53.029643348049603</v>
      </c>
      <c r="O4136">
        <v>52.5201030792228</v>
      </c>
      <c r="P4136">
        <v>-0.147588788485847</v>
      </c>
      <c r="Q4136">
        <v>9.6562875056717401E-2</v>
      </c>
      <c r="R4136">
        <v>0.99919137869695096</v>
      </c>
      <c r="S4136" t="s">
        <v>10588</v>
      </c>
      <c r="T4136" t="s">
        <v>12902</v>
      </c>
      <c r="U4136" t="s">
        <v>12902</v>
      </c>
      <c r="V4136" t="s">
        <v>12902</v>
      </c>
      <c r="W4136" t="s">
        <v>16991</v>
      </c>
      <c r="X4136">
        <v>2</v>
      </c>
      <c r="Y4136" t="s">
        <v>23298</v>
      </c>
      <c r="Z4136" t="s">
        <v>29711</v>
      </c>
      <c r="AA4136">
        <v>0.48342792229480358</v>
      </c>
      <c r="AB4136" t="str">
        <f>HYPERLINK("Melting_Curves/meltCurve_Q7Z3T8_ZFYVE16.pdf", "Melting_Curves/meltCurve_Q7Z3T8_ZFYVE16.pdf")</f>
        <v>Melting_Curves/meltCurve_Q7Z3T8_ZFYVE16.pdf</v>
      </c>
    </row>
    <row r="4137" spans="1:28" x14ac:dyDescent="0.25">
      <c r="A4137" t="s">
        <v>4141</v>
      </c>
      <c r="B4137">
        <v>0.99673306730245903</v>
      </c>
      <c r="C4137">
        <v>0.89295225804378098</v>
      </c>
      <c r="D4137">
        <v>0.83213072787444897</v>
      </c>
      <c r="E4137">
        <v>0.65363744581507699</v>
      </c>
      <c r="F4137">
        <v>0.40624984734538999</v>
      </c>
      <c r="G4137">
        <v>0.26608969615799499</v>
      </c>
      <c r="H4137">
        <v>0.101910321063095</v>
      </c>
      <c r="I4137">
        <v>0.109707985680551</v>
      </c>
      <c r="J4137">
        <v>0.145074133807648</v>
      </c>
      <c r="K4137">
        <v>0.17923905062732201</v>
      </c>
      <c r="L4137">
        <v>763.90325896535899</v>
      </c>
      <c r="M4137">
        <v>15.063154910695401</v>
      </c>
      <c r="N4137">
        <v>51.519204150528999</v>
      </c>
      <c r="O4137">
        <v>49.844747262911604</v>
      </c>
      <c r="P4137">
        <v>-6.7627624610582499E-2</v>
      </c>
      <c r="Q4137">
        <v>0.104955924368037</v>
      </c>
      <c r="R4137">
        <v>0.98748784257995503</v>
      </c>
      <c r="S4137" t="s">
        <v>10589</v>
      </c>
      <c r="T4137" t="s">
        <v>12902</v>
      </c>
      <c r="U4137" t="s">
        <v>12902</v>
      </c>
      <c r="V4137" t="s">
        <v>12902</v>
      </c>
      <c r="W4137" t="s">
        <v>16992</v>
      </c>
      <c r="X4137">
        <v>1</v>
      </c>
      <c r="Y4137" t="s">
        <v>23299</v>
      </c>
      <c r="Z4137" t="s">
        <v>29712</v>
      </c>
      <c r="AA4137">
        <v>0.44530651021162349</v>
      </c>
      <c r="AB4137" t="str">
        <f>HYPERLINK("Melting_Curves/meltCurve_Q7Z401_DENND4A.pdf", "Melting_Curves/meltCurve_Q7Z401_DENND4A.pdf")</f>
        <v>Melting_Curves/meltCurve_Q7Z401_DENND4A.pdf</v>
      </c>
    </row>
    <row r="4138" spans="1:28" x14ac:dyDescent="0.25">
      <c r="A4138" t="s">
        <v>4142</v>
      </c>
      <c r="B4138">
        <v>0.99673306730245903</v>
      </c>
      <c r="C4138">
        <v>0.85313093828120001</v>
      </c>
      <c r="D4138">
        <v>0.92456445659509001</v>
      </c>
      <c r="E4138">
        <v>0.494064052471957</v>
      </c>
      <c r="F4138">
        <v>0.32371256074348298</v>
      </c>
      <c r="G4138">
        <v>0.22155321524075899</v>
      </c>
      <c r="H4138">
        <v>0.152642564578338</v>
      </c>
      <c r="I4138">
        <v>0.16554872520906899</v>
      </c>
      <c r="J4138">
        <v>6.3898055044300101E-2</v>
      </c>
      <c r="K4138">
        <v>0</v>
      </c>
      <c r="L4138">
        <v>771.81060761288904</v>
      </c>
      <c r="M4138">
        <v>15.4210906265719</v>
      </c>
      <c r="N4138">
        <v>50.510245968967702</v>
      </c>
      <c r="O4138">
        <v>49.230063424509801</v>
      </c>
      <c r="P4138">
        <v>-7.3174976177692197E-2</v>
      </c>
      <c r="Q4138">
        <v>6.5673880079719804E-2</v>
      </c>
      <c r="R4138">
        <v>0.97008327458657995</v>
      </c>
      <c r="S4138" t="s">
        <v>10590</v>
      </c>
      <c r="T4138" t="s">
        <v>12902</v>
      </c>
      <c r="U4138" t="s">
        <v>12902</v>
      </c>
      <c r="V4138" t="s">
        <v>12902</v>
      </c>
      <c r="W4138" t="s">
        <v>16993</v>
      </c>
      <c r="X4138">
        <v>2</v>
      </c>
      <c r="Y4138" t="s">
        <v>23300</v>
      </c>
      <c r="Z4138" t="s">
        <v>29713</v>
      </c>
      <c r="AA4138">
        <v>0.39982005948054983</v>
      </c>
      <c r="AB4138" t="str">
        <f>HYPERLINK("Melting_Curves/meltCurve_Q7Z404_1_TMC4.pdf", "Melting_Curves/meltCurve_Q7Z404_1_TMC4.pdf")</f>
        <v>Melting_Curves/meltCurve_Q7Z404_1_TMC4.pdf</v>
      </c>
    </row>
    <row r="4139" spans="1:28" x14ac:dyDescent="0.25">
      <c r="A4139" t="s">
        <v>4143</v>
      </c>
      <c r="B4139">
        <v>0.99673306730245903</v>
      </c>
      <c r="C4139">
        <v>0.89648475378014403</v>
      </c>
      <c r="D4139">
        <v>0.87225835794472895</v>
      </c>
      <c r="E4139">
        <v>0.78960678790346295</v>
      </c>
      <c r="F4139">
        <v>0.63848517738753396</v>
      </c>
      <c r="G4139">
        <v>0.28361610921466102</v>
      </c>
      <c r="H4139">
        <v>0.151917006996759</v>
      </c>
      <c r="I4139">
        <v>0.21227497873374701</v>
      </c>
      <c r="J4139">
        <v>0.32234628247668601</v>
      </c>
      <c r="K4139">
        <v>0.41681249177342899</v>
      </c>
      <c r="L4139">
        <v>1136.1629085064501</v>
      </c>
      <c r="M4139">
        <v>21.8616499394026</v>
      </c>
      <c r="N4139">
        <v>53.787255434368497</v>
      </c>
      <c r="O4139">
        <v>51.541577370690398</v>
      </c>
      <c r="P4139">
        <v>-7.8358417081526702E-2</v>
      </c>
      <c r="Q4139">
        <v>0.26105743962710598</v>
      </c>
      <c r="R4139">
        <v>0.90845173498210796</v>
      </c>
      <c r="S4139" t="s">
        <v>10591</v>
      </c>
      <c r="T4139" t="s">
        <v>12902</v>
      </c>
      <c r="U4139" t="s">
        <v>12902</v>
      </c>
      <c r="V4139" t="s">
        <v>12902</v>
      </c>
      <c r="W4139" t="s">
        <v>16994</v>
      </c>
      <c r="X4139">
        <v>19</v>
      </c>
      <c r="Y4139" t="s">
        <v>23301</v>
      </c>
      <c r="Z4139" t="s">
        <v>29714</v>
      </c>
      <c r="AA4139">
        <v>0.56460341013990933</v>
      </c>
      <c r="AB4139" t="str">
        <f>HYPERLINK("Melting_Curves/meltCurve_Q7Z417_NUFIP2.pdf", "Melting_Curves/meltCurve_Q7Z417_NUFIP2.pdf")</f>
        <v>Melting_Curves/meltCurve_Q7Z417_NUFIP2.pdf</v>
      </c>
    </row>
    <row r="4140" spans="1:28" x14ac:dyDescent="0.25">
      <c r="A4140" t="s">
        <v>4144</v>
      </c>
      <c r="B4140">
        <v>0.99673306730245903</v>
      </c>
      <c r="C4140">
        <v>0.98696741177974501</v>
      </c>
      <c r="D4140">
        <v>1.0199990221591799</v>
      </c>
      <c r="E4140">
        <v>0.99905187838553899</v>
      </c>
      <c r="F4140">
        <v>0.997642193666883</v>
      </c>
      <c r="G4140">
        <v>0.88487378694679797</v>
      </c>
      <c r="H4140">
        <v>0.82157590428518201</v>
      </c>
      <c r="I4140">
        <v>1.1863806450393499</v>
      </c>
      <c r="J4140">
        <v>1.7955226386146499</v>
      </c>
      <c r="K4140">
        <v>1.7085172545938101</v>
      </c>
      <c r="L4140">
        <v>15000</v>
      </c>
      <c r="M4140">
        <v>233.85495471368699</v>
      </c>
      <c r="O4140">
        <v>64.1376330606778</v>
      </c>
      <c r="P4140">
        <v>0.45576783121984998</v>
      </c>
      <c r="Q4140">
        <v>1.5</v>
      </c>
      <c r="R4140">
        <v>0.82696669839764902</v>
      </c>
      <c r="S4140" t="s">
        <v>10592</v>
      </c>
      <c r="T4140" t="s">
        <v>12902</v>
      </c>
      <c r="U4140" t="s">
        <v>12902</v>
      </c>
      <c r="V4140" t="s">
        <v>12902</v>
      </c>
      <c r="W4140" t="s">
        <v>16995</v>
      </c>
      <c r="X4140">
        <v>7</v>
      </c>
      <c r="Y4140" t="s">
        <v>23302</v>
      </c>
      <c r="Z4140" t="s">
        <v>29715</v>
      </c>
      <c r="AA4140">
        <v>1.0975636265997539</v>
      </c>
      <c r="AB4140" t="str">
        <f>HYPERLINK("Melting_Curves/meltCurve_Q7Z422_2_SZRD1.pdf", "Melting_Curves/meltCurve_Q7Z422_2_SZRD1.pdf")</f>
        <v>Melting_Curves/meltCurve_Q7Z422_2_SZRD1.pdf</v>
      </c>
    </row>
    <row r="4141" spans="1:28" x14ac:dyDescent="0.25">
      <c r="A4141" t="s">
        <v>4145</v>
      </c>
      <c r="B4141">
        <v>0.99673306730245903</v>
      </c>
      <c r="C4141">
        <v>0.95783659907862695</v>
      </c>
      <c r="D4141">
        <v>0.88856922406068795</v>
      </c>
      <c r="E4141">
        <v>0.90292737541583401</v>
      </c>
      <c r="F4141">
        <v>0.72523046978348904</v>
      </c>
      <c r="G4141">
        <v>0.493354784728809</v>
      </c>
      <c r="H4141">
        <v>0.29909242120840501</v>
      </c>
      <c r="I4141">
        <v>0.30527418881691498</v>
      </c>
      <c r="J4141">
        <v>0.26565301759374499</v>
      </c>
      <c r="K4141">
        <v>0.37302405457531501</v>
      </c>
      <c r="L4141">
        <v>1122.3334460564399</v>
      </c>
      <c r="M4141">
        <v>20.752710025554901</v>
      </c>
      <c r="N4141">
        <v>56.413550462229402</v>
      </c>
      <c r="O4141">
        <v>53.586635187029799</v>
      </c>
      <c r="P4141">
        <v>-6.8937960675892598E-2</v>
      </c>
      <c r="Q4141">
        <v>0.28798698975940601</v>
      </c>
      <c r="R4141">
        <v>0.97416548582428297</v>
      </c>
      <c r="S4141" t="s">
        <v>10593</v>
      </c>
      <c r="T4141" t="s">
        <v>12902</v>
      </c>
      <c r="U4141" t="s">
        <v>12902</v>
      </c>
      <c r="V4141" t="s">
        <v>12902</v>
      </c>
      <c r="W4141" t="s">
        <v>16996</v>
      </c>
      <c r="X4141">
        <v>3</v>
      </c>
      <c r="Y4141" t="s">
        <v>23303</v>
      </c>
      <c r="Z4141" t="s">
        <v>29716</v>
      </c>
      <c r="AA4141">
        <v>0.63129149564798348</v>
      </c>
      <c r="AB4141" t="str">
        <f>HYPERLINK("Melting_Curves/meltCurve_Q7Z434_MAVS.pdf", "Melting_Curves/meltCurve_Q7Z434_MAVS.pdf")</f>
        <v>Melting_Curves/meltCurve_Q7Z434_MAVS.pdf</v>
      </c>
    </row>
    <row r="4142" spans="1:28" x14ac:dyDescent="0.25">
      <c r="A4142" t="s">
        <v>4146</v>
      </c>
      <c r="B4142">
        <v>0.99673306730245903</v>
      </c>
      <c r="C4142">
        <v>0.95958600432707697</v>
      </c>
      <c r="D4142">
        <v>0.90241291464495199</v>
      </c>
      <c r="E4142">
        <v>0.85268758122407196</v>
      </c>
      <c r="F4142">
        <v>0.85892133372658097</v>
      </c>
      <c r="G4142">
        <v>0.71356669407653694</v>
      </c>
      <c r="H4142">
        <v>0.58703237655871199</v>
      </c>
      <c r="I4142">
        <v>0.44380617784107701</v>
      </c>
      <c r="J4142">
        <v>0.120734760998401</v>
      </c>
      <c r="K4142">
        <v>6.8859997214988797E-2</v>
      </c>
      <c r="L4142">
        <v>833.83471516009399</v>
      </c>
      <c r="M4142">
        <v>13.6599024705624</v>
      </c>
      <c r="N4142">
        <v>61.042508756703597</v>
      </c>
      <c r="O4142">
        <v>59.778872281914502</v>
      </c>
      <c r="P4142">
        <v>-5.7135143709569701E-2</v>
      </c>
      <c r="Q4142">
        <v>0</v>
      </c>
      <c r="R4142">
        <v>0.948528238635998</v>
      </c>
      <c r="S4142" t="s">
        <v>10594</v>
      </c>
      <c r="T4142" t="s">
        <v>12902</v>
      </c>
      <c r="U4142" t="s">
        <v>12902</v>
      </c>
      <c r="V4142" t="s">
        <v>12902</v>
      </c>
      <c r="W4142" t="s">
        <v>16997</v>
      </c>
      <c r="X4142">
        <v>3</v>
      </c>
      <c r="Y4142" t="s">
        <v>23304</v>
      </c>
      <c r="Z4142" t="s">
        <v>29717</v>
      </c>
      <c r="AA4142">
        <v>0.70137492120397604</v>
      </c>
      <c r="AB4142" t="str">
        <f>HYPERLINK("Melting_Curves/meltCurve_Q7Z449_CYP2U1.pdf", "Melting_Curves/meltCurve_Q7Z449_CYP2U1.pdf")</f>
        <v>Melting_Curves/meltCurve_Q7Z449_CYP2U1.pdf</v>
      </c>
    </row>
    <row r="4143" spans="1:28" x14ac:dyDescent="0.25">
      <c r="A4143" t="s">
        <v>4147</v>
      </c>
      <c r="B4143">
        <v>0.99673306730245903</v>
      </c>
      <c r="C4143">
        <v>0.98298311096759305</v>
      </c>
      <c r="D4143">
        <v>1.0578678484636601</v>
      </c>
      <c r="E4143">
        <v>0.94831692293889502</v>
      </c>
      <c r="F4143">
        <v>0.46242389001161399</v>
      </c>
      <c r="G4143">
        <v>0.18578264375065101</v>
      </c>
      <c r="H4143">
        <v>0.223768490303489</v>
      </c>
      <c r="I4143">
        <v>0.13264800332973201</v>
      </c>
      <c r="J4143">
        <v>0.116046677517699</v>
      </c>
      <c r="K4143">
        <v>0.11358060601998</v>
      </c>
      <c r="L4143">
        <v>2315.0991943806698</v>
      </c>
      <c r="M4143">
        <v>44.032048461218302</v>
      </c>
      <c r="N4143">
        <v>52.997128933067202</v>
      </c>
      <c r="O4143">
        <v>52.469497912944803</v>
      </c>
      <c r="P4143">
        <v>-0.17892638633444299</v>
      </c>
      <c r="Q4143">
        <v>0.14715178449284499</v>
      </c>
      <c r="R4143">
        <v>0.99261535894754904</v>
      </c>
      <c r="S4143" t="s">
        <v>10595</v>
      </c>
      <c r="T4143" t="s">
        <v>12902</v>
      </c>
      <c r="U4143" t="s">
        <v>12902</v>
      </c>
      <c r="V4143" t="s">
        <v>12902</v>
      </c>
      <c r="W4143" t="s">
        <v>16998</v>
      </c>
      <c r="X4143">
        <v>23</v>
      </c>
      <c r="Y4143" t="s">
        <v>23305</v>
      </c>
      <c r="Z4143" t="s">
        <v>29718</v>
      </c>
      <c r="AA4143">
        <v>0.50726461487385288</v>
      </c>
      <c r="AB4143" t="str">
        <f>HYPERLINK("Melting_Curves/meltCurve_Q7Z478_DHX29.pdf", "Melting_Curves/meltCurve_Q7Z478_DHX29.pdf")</f>
        <v>Melting_Curves/meltCurve_Q7Z478_DHX29.pdf</v>
      </c>
    </row>
    <row r="4144" spans="1:28" x14ac:dyDescent="0.25">
      <c r="A4144" t="s">
        <v>4148</v>
      </c>
      <c r="B4144">
        <v>0.99673306730245903</v>
      </c>
      <c r="C4144">
        <v>1.0011625742233801</v>
      </c>
      <c r="D4144">
        <v>0.96593535788291696</v>
      </c>
      <c r="E4144">
        <v>0.82483617430866696</v>
      </c>
      <c r="F4144">
        <v>0.56392607059826405</v>
      </c>
      <c r="G4144">
        <v>0.306930685247713</v>
      </c>
      <c r="H4144">
        <v>0.179739322015702</v>
      </c>
      <c r="I4144">
        <v>0.176515321808353</v>
      </c>
      <c r="J4144">
        <v>0.22498114381620599</v>
      </c>
      <c r="K4144">
        <v>0.20295216820401801</v>
      </c>
      <c r="L4144">
        <v>1220.1117975874099</v>
      </c>
      <c r="M4144">
        <v>23.171093467634002</v>
      </c>
      <c r="N4144">
        <v>53.716866832123699</v>
      </c>
      <c r="O4144">
        <v>52.269135433323299</v>
      </c>
      <c r="P4144">
        <v>-9.0489128425107396E-2</v>
      </c>
      <c r="Q4144">
        <v>0.18351673039164501</v>
      </c>
      <c r="R4144">
        <v>0.99646235659532501</v>
      </c>
      <c r="S4144" t="s">
        <v>10596</v>
      </c>
      <c r="T4144" t="s">
        <v>12902</v>
      </c>
      <c r="U4144" t="s">
        <v>12902</v>
      </c>
      <c r="V4144" t="s">
        <v>12902</v>
      </c>
      <c r="W4144" t="s">
        <v>16999</v>
      </c>
      <c r="X4144">
        <v>4</v>
      </c>
      <c r="Y4144" t="s">
        <v>23306</v>
      </c>
      <c r="Z4144" t="s">
        <v>29719</v>
      </c>
      <c r="AA4144">
        <v>0.53662528630953377</v>
      </c>
      <c r="AB4144" t="str">
        <f>HYPERLINK("Melting_Curves/meltCurve_Q7Z4G1_COMMD6.pdf", "Melting_Curves/meltCurve_Q7Z4G1_COMMD6.pdf")</f>
        <v>Melting_Curves/meltCurve_Q7Z4G1_COMMD6.pdf</v>
      </c>
    </row>
    <row r="4145" spans="1:28" x14ac:dyDescent="0.25">
      <c r="A4145" t="s">
        <v>4149</v>
      </c>
      <c r="B4145">
        <v>0.99673306730245903</v>
      </c>
      <c r="C4145">
        <v>1.00383932165047</v>
      </c>
      <c r="D4145">
        <v>0.95542444477430499</v>
      </c>
      <c r="E4145">
        <v>0.92111061657457705</v>
      </c>
      <c r="F4145">
        <v>0.79478701004391195</v>
      </c>
      <c r="G4145">
        <v>0.36398906940667602</v>
      </c>
      <c r="H4145">
        <v>0.11733305281782801</v>
      </c>
      <c r="I4145">
        <v>0.107979300799672</v>
      </c>
      <c r="J4145">
        <v>9.6127111357427894E-2</v>
      </c>
      <c r="K4145">
        <v>7.9855181393077901E-2</v>
      </c>
      <c r="L4145">
        <v>1640.2856217240001</v>
      </c>
      <c r="M4145">
        <v>29.682458112922799</v>
      </c>
      <c r="N4145">
        <v>55.591867887027902</v>
      </c>
      <c r="O4145">
        <v>55.012108989530198</v>
      </c>
      <c r="P4145">
        <v>-0.123972889931675</v>
      </c>
      <c r="Q4145">
        <v>8.0943592993320504E-2</v>
      </c>
      <c r="R4145">
        <v>0.99680682241872598</v>
      </c>
      <c r="S4145" t="s">
        <v>10597</v>
      </c>
      <c r="T4145" t="s">
        <v>12902</v>
      </c>
      <c r="U4145" t="s">
        <v>12902</v>
      </c>
      <c r="V4145" t="s">
        <v>12902</v>
      </c>
      <c r="W4145" t="s">
        <v>17000</v>
      </c>
      <c r="X4145">
        <v>8</v>
      </c>
      <c r="Y4145" t="s">
        <v>23307</v>
      </c>
      <c r="Z4145" t="s">
        <v>29720</v>
      </c>
      <c r="AA4145">
        <v>0.55470177244065721</v>
      </c>
      <c r="AB4145" t="str">
        <f>HYPERLINK("Melting_Curves/meltCurve_Q7Z4G4_2_TRMT11.pdf", "Melting_Curves/meltCurve_Q7Z4G4_2_TRMT11.pdf")</f>
        <v>Melting_Curves/meltCurve_Q7Z4G4_2_TRMT11.pdf</v>
      </c>
    </row>
    <row r="4146" spans="1:28" x14ac:dyDescent="0.25">
      <c r="A4146" t="s">
        <v>4150</v>
      </c>
      <c r="B4146">
        <v>0.99673306730245903</v>
      </c>
      <c r="C4146">
        <v>1.0529818957792101</v>
      </c>
      <c r="D4146">
        <v>1.0279238605015999</v>
      </c>
      <c r="E4146">
        <v>0.97497728342404699</v>
      </c>
      <c r="F4146">
        <v>0.88146724259897402</v>
      </c>
      <c r="G4146">
        <v>0.72230340566261098</v>
      </c>
      <c r="H4146">
        <v>0.49875445530487</v>
      </c>
      <c r="I4146">
        <v>0.23542930578896601</v>
      </c>
      <c r="J4146">
        <v>0.13265983685206101</v>
      </c>
      <c r="K4146">
        <v>8.8968863749092603E-2</v>
      </c>
      <c r="L4146">
        <v>1030.70046185453</v>
      </c>
      <c r="M4146">
        <v>17.130430539863699</v>
      </c>
      <c r="N4146">
        <v>60.167808362543198</v>
      </c>
      <c r="O4146">
        <v>59.365832966183604</v>
      </c>
      <c r="P4146">
        <v>-7.2143599985957305E-2</v>
      </c>
      <c r="Q4146">
        <v>0</v>
      </c>
      <c r="R4146">
        <v>0.99447374658617904</v>
      </c>
      <c r="S4146" t="s">
        <v>10598</v>
      </c>
      <c r="T4146" t="s">
        <v>12902</v>
      </c>
      <c r="U4146" t="s">
        <v>12902</v>
      </c>
      <c r="V4146" t="s">
        <v>12902</v>
      </c>
      <c r="W4146" t="s">
        <v>17001</v>
      </c>
      <c r="X4146">
        <v>10</v>
      </c>
      <c r="Y4146" t="s">
        <v>23308</v>
      </c>
      <c r="Z4146" t="s">
        <v>29721</v>
      </c>
      <c r="AA4146">
        <v>0.67981298266157919</v>
      </c>
      <c r="AB4146" t="str">
        <f>HYPERLINK("Melting_Curves/meltCurve_Q7Z4H3_HDDC2.pdf", "Melting_Curves/meltCurve_Q7Z4H3_HDDC2.pdf")</f>
        <v>Melting_Curves/meltCurve_Q7Z4H3_HDDC2.pdf</v>
      </c>
    </row>
    <row r="4147" spans="1:28" x14ac:dyDescent="0.25">
      <c r="A4147" t="s">
        <v>4151</v>
      </c>
      <c r="B4147">
        <v>0.99673306730245903</v>
      </c>
      <c r="C4147">
        <v>0.58844900802132105</v>
      </c>
      <c r="D4147">
        <v>1.0353134673342099</v>
      </c>
      <c r="E4147">
        <v>0.96128333691118495</v>
      </c>
      <c r="F4147">
        <v>0.29785935724504697</v>
      </c>
      <c r="G4147">
        <v>0.13297801647666299</v>
      </c>
      <c r="H4147">
        <v>9.8247848959732403E-2</v>
      </c>
      <c r="I4147">
        <v>8.1150674661893504E-2</v>
      </c>
      <c r="J4147">
        <v>7.0957487622221593E-2</v>
      </c>
      <c r="K4147">
        <v>5.1731078841382103E-2</v>
      </c>
      <c r="L4147">
        <v>3039.6280204987602</v>
      </c>
      <c r="M4147">
        <v>58.308398774219903</v>
      </c>
      <c r="N4147">
        <v>52.297169973771602</v>
      </c>
      <c r="O4147">
        <v>52.068992851684698</v>
      </c>
      <c r="P4147">
        <v>-0.25617964557792</v>
      </c>
      <c r="Q4147">
        <v>8.4934110824372203E-2</v>
      </c>
      <c r="R4147">
        <v>0.89165405747788695</v>
      </c>
      <c r="S4147" t="s">
        <v>10599</v>
      </c>
      <c r="T4147" t="s">
        <v>12902</v>
      </c>
      <c r="U4147" t="s">
        <v>12902</v>
      </c>
      <c r="V4147" t="s">
        <v>12902</v>
      </c>
      <c r="W4147" t="s">
        <v>17002</v>
      </c>
      <c r="X4147">
        <v>19</v>
      </c>
      <c r="Y4147" t="s">
        <v>23309</v>
      </c>
      <c r="Z4147" t="s">
        <v>29722</v>
      </c>
      <c r="AA4147">
        <v>0.45647654004289528</v>
      </c>
      <c r="AB4147" t="str">
        <f>HYPERLINK("Melting_Curves/meltCurve_Q7Z4H8_KDELC2.pdf", "Melting_Curves/meltCurve_Q7Z4H8_KDELC2.pdf")</f>
        <v>Melting_Curves/meltCurve_Q7Z4H8_KDELC2.pdf</v>
      </c>
    </row>
    <row r="4148" spans="1:28" x14ac:dyDescent="0.25">
      <c r="A4148" t="s">
        <v>4152</v>
      </c>
      <c r="B4148">
        <v>0.99673306730245903</v>
      </c>
      <c r="C4148">
        <v>1.0013297450927601</v>
      </c>
      <c r="D4148">
        <v>0.96249577831291699</v>
      </c>
      <c r="E4148">
        <v>0.80044698070472597</v>
      </c>
      <c r="F4148">
        <v>0.25544067800867198</v>
      </c>
      <c r="G4148">
        <v>0.17289022640742799</v>
      </c>
      <c r="H4148">
        <v>0.100091402522632</v>
      </c>
      <c r="I4148">
        <v>6.3838167698728104E-2</v>
      </c>
      <c r="J4148">
        <v>5.0567813908654398E-2</v>
      </c>
      <c r="K4148">
        <v>4.0721781971494501E-2</v>
      </c>
      <c r="L4148">
        <v>1782.8785915782901</v>
      </c>
      <c r="M4148">
        <v>34.751091629464703</v>
      </c>
      <c r="N4148">
        <v>51.543086395696797</v>
      </c>
      <c r="O4148">
        <v>51.135246738498303</v>
      </c>
      <c r="P4148">
        <v>-0.15726382525204199</v>
      </c>
      <c r="Q4148">
        <v>7.4366305068062702E-2</v>
      </c>
      <c r="R4148">
        <v>0.99511856411084498</v>
      </c>
      <c r="S4148" t="s">
        <v>10600</v>
      </c>
      <c r="T4148" t="s">
        <v>12902</v>
      </c>
      <c r="U4148" t="s">
        <v>12902</v>
      </c>
      <c r="V4148" t="s">
        <v>12902</v>
      </c>
      <c r="W4148" t="s">
        <v>17003</v>
      </c>
      <c r="X4148">
        <v>7</v>
      </c>
      <c r="Y4148" t="s">
        <v>23310</v>
      </c>
      <c r="Z4148" t="s">
        <v>29723</v>
      </c>
      <c r="AA4148">
        <v>0.42750855891641842</v>
      </c>
      <c r="AB4148" t="str">
        <f>HYPERLINK("Melting_Curves/meltCurve_Q7Z4I7_4_LIMS2.pdf", "Melting_Curves/meltCurve_Q7Z4I7_4_LIMS2.pdf")</f>
        <v>Melting_Curves/meltCurve_Q7Z4I7_4_LIMS2.pdf</v>
      </c>
    </row>
    <row r="4149" spans="1:28" x14ac:dyDescent="0.25">
      <c r="A4149" t="s">
        <v>4153</v>
      </c>
      <c r="B4149">
        <v>0.99673306730245903</v>
      </c>
      <c r="C4149">
        <v>0.941837969179117</v>
      </c>
      <c r="D4149">
        <v>0.70025687131727199</v>
      </c>
      <c r="E4149">
        <v>0.26246791743426501</v>
      </c>
      <c r="F4149">
        <v>0.15138093595980101</v>
      </c>
      <c r="G4149">
        <v>9.3313241265207902E-2</v>
      </c>
      <c r="H4149">
        <v>6.1963363514618501E-2</v>
      </c>
      <c r="I4149">
        <v>6.1384690327238402E-2</v>
      </c>
      <c r="J4149">
        <v>7.6053832752631695E-2</v>
      </c>
      <c r="K4149">
        <v>5.6203854970531202E-2</v>
      </c>
      <c r="L4149">
        <v>1239.5283542468001</v>
      </c>
      <c r="M4149">
        <v>26.228716505615498</v>
      </c>
      <c r="N4149">
        <v>47.534931637775401</v>
      </c>
      <c r="O4149">
        <v>46.9863197616801</v>
      </c>
      <c r="P4149">
        <v>-0.12968361288217001</v>
      </c>
      <c r="Q4149">
        <v>7.0745960966397903E-2</v>
      </c>
      <c r="R4149">
        <v>0.99844033140825705</v>
      </c>
      <c r="S4149" t="s">
        <v>10601</v>
      </c>
      <c r="T4149" t="s">
        <v>12902</v>
      </c>
      <c r="U4149" t="s">
        <v>12902</v>
      </c>
      <c r="V4149" t="s">
        <v>12902</v>
      </c>
      <c r="W4149" t="s">
        <v>17004</v>
      </c>
      <c r="X4149">
        <v>12</v>
      </c>
      <c r="Y4149" t="s">
        <v>23311</v>
      </c>
      <c r="Z4149" t="s">
        <v>29724</v>
      </c>
      <c r="AA4149">
        <v>0.30301843200643169</v>
      </c>
      <c r="AB4149" t="str">
        <f>HYPERLINK("Melting_Curves/meltCurve_Q7Z4Q2_HEATR3.pdf", "Melting_Curves/meltCurve_Q7Z4Q2_HEATR3.pdf")</f>
        <v>Melting_Curves/meltCurve_Q7Z4Q2_HEATR3.pdf</v>
      </c>
    </row>
    <row r="4150" spans="1:28" x14ac:dyDescent="0.25">
      <c r="A4150" t="s">
        <v>4154</v>
      </c>
      <c r="B4150">
        <v>0.99673306730245903</v>
      </c>
      <c r="C4150">
        <v>0.99825463058720199</v>
      </c>
      <c r="D4150">
        <v>1.0003129928211401</v>
      </c>
      <c r="E4150">
        <v>0.940184670781266</v>
      </c>
      <c r="F4150">
        <v>0.66442555161608696</v>
      </c>
      <c r="G4150">
        <v>0.58606944825335505</v>
      </c>
      <c r="H4150">
        <v>0.43335579715708999</v>
      </c>
      <c r="I4150">
        <v>0.56765564472486796</v>
      </c>
      <c r="J4150">
        <v>0.70160638662455199</v>
      </c>
      <c r="K4150">
        <v>0.67613293540532804</v>
      </c>
      <c r="L4150">
        <v>2493.0711474841801</v>
      </c>
      <c r="M4150">
        <v>48.460498924636099</v>
      </c>
      <c r="O4150">
        <v>51.358051311928101</v>
      </c>
      <c r="P4150">
        <v>-9.6103762964973402E-2</v>
      </c>
      <c r="Q4150">
        <v>0.59260037931287302</v>
      </c>
      <c r="R4150">
        <v>0.88632611743337097</v>
      </c>
      <c r="S4150" t="s">
        <v>10602</v>
      </c>
      <c r="T4150" t="s">
        <v>12902</v>
      </c>
      <c r="U4150" t="s">
        <v>12902</v>
      </c>
      <c r="V4150" t="s">
        <v>12902</v>
      </c>
      <c r="W4150" t="s">
        <v>17005</v>
      </c>
      <c r="X4150">
        <v>16</v>
      </c>
      <c r="Y4150" t="s">
        <v>23312</v>
      </c>
      <c r="Z4150" t="s">
        <v>29725</v>
      </c>
      <c r="AA4150">
        <v>0.74901362637277735</v>
      </c>
      <c r="AB4150" t="str">
        <f>HYPERLINK("Melting_Curves/meltCurve_Q7Z4V5_HDGFRP2.pdf", "Melting_Curves/meltCurve_Q7Z4V5_HDGFRP2.pdf")</f>
        <v>Melting_Curves/meltCurve_Q7Z4V5_HDGFRP2.pdf</v>
      </c>
    </row>
    <row r="4151" spans="1:28" x14ac:dyDescent="0.25">
      <c r="A4151" t="s">
        <v>4155</v>
      </c>
      <c r="B4151">
        <v>0.99673306730245903</v>
      </c>
      <c r="C4151">
        <v>1.0210570348550401</v>
      </c>
      <c r="D4151">
        <v>1.10045293866347</v>
      </c>
      <c r="E4151">
        <v>1.0935442869941501</v>
      </c>
      <c r="F4151">
        <v>1.0011944271964099</v>
      </c>
      <c r="G4151">
        <v>0.81807237210799799</v>
      </c>
      <c r="H4151">
        <v>0.52618799034777097</v>
      </c>
      <c r="I4151">
        <v>0.15303928721177101</v>
      </c>
      <c r="J4151">
        <v>0.134933899965413</v>
      </c>
      <c r="K4151">
        <v>8.9536855620664602E-2</v>
      </c>
      <c r="L4151">
        <v>1726.0659857053899</v>
      </c>
      <c r="M4151">
        <v>28.620409042619201</v>
      </c>
      <c r="N4151">
        <v>60.595231243924601</v>
      </c>
      <c r="O4151">
        <v>60.016793848705198</v>
      </c>
      <c r="P4151">
        <v>-0.11167970829702099</v>
      </c>
      <c r="Q4151">
        <v>6.3241171065076707E-2</v>
      </c>
      <c r="R4151">
        <v>0.98231414270822204</v>
      </c>
      <c r="S4151" t="s">
        <v>10603</v>
      </c>
      <c r="T4151" t="s">
        <v>12902</v>
      </c>
      <c r="U4151" t="s">
        <v>12902</v>
      </c>
      <c r="V4151" t="s">
        <v>12902</v>
      </c>
      <c r="W4151" t="s">
        <v>17006</v>
      </c>
      <c r="X4151">
        <v>17</v>
      </c>
      <c r="Y4151" t="s">
        <v>23313</v>
      </c>
      <c r="Z4151" t="s">
        <v>29726</v>
      </c>
      <c r="AA4151">
        <v>0.70326321678449899</v>
      </c>
      <c r="AB4151" t="str">
        <f>HYPERLINK("Melting_Curves/meltCurve_Q7Z4W1_DCXR.pdf", "Melting_Curves/meltCurve_Q7Z4W1_DCXR.pdf")</f>
        <v>Melting_Curves/meltCurve_Q7Z4W1_DCXR.pdf</v>
      </c>
    </row>
    <row r="4152" spans="1:28" x14ac:dyDescent="0.25">
      <c r="A4152" t="s">
        <v>4156</v>
      </c>
      <c r="B4152">
        <v>0.99673306730245903</v>
      </c>
      <c r="C4152">
        <v>0.92203962470432599</v>
      </c>
      <c r="D4152">
        <v>0.60894067673074004</v>
      </c>
      <c r="E4152">
        <v>0.32821814695691598</v>
      </c>
      <c r="F4152">
        <v>0.22453094831166401</v>
      </c>
      <c r="G4152">
        <v>0.13025725341293201</v>
      </c>
      <c r="H4152">
        <v>8.9720087090618503E-2</v>
      </c>
      <c r="I4152">
        <v>9.3900659550926302E-2</v>
      </c>
      <c r="J4152">
        <v>0.122590017665654</v>
      </c>
      <c r="K4152">
        <v>0.11508555801104101</v>
      </c>
      <c r="L4152">
        <v>969.71355635376995</v>
      </c>
      <c r="M4152">
        <v>20.686466137882199</v>
      </c>
      <c r="N4152">
        <v>47.445697016393801</v>
      </c>
      <c r="O4152">
        <v>46.445247950589298</v>
      </c>
      <c r="P4152">
        <v>-9.91197856648207E-2</v>
      </c>
      <c r="Q4152">
        <v>0.109850493267682</v>
      </c>
      <c r="R4152">
        <v>0.99451797526210595</v>
      </c>
      <c r="S4152" t="s">
        <v>10604</v>
      </c>
      <c r="T4152" t="s">
        <v>12902</v>
      </c>
      <c r="U4152" t="s">
        <v>12902</v>
      </c>
      <c r="V4152" t="s">
        <v>12902</v>
      </c>
      <c r="W4152" t="s">
        <v>17007</v>
      </c>
      <c r="X4152">
        <v>5</v>
      </c>
      <c r="Y4152" t="s">
        <v>23314</v>
      </c>
      <c r="Z4152" t="s">
        <v>29727</v>
      </c>
      <c r="AA4152">
        <v>0.32604524957409348</v>
      </c>
      <c r="AB4152" t="str">
        <f>HYPERLINK("Melting_Curves/meltCurve_Q7Z569_BRAP.pdf", "Melting_Curves/meltCurve_Q7Z569_BRAP.pdf")</f>
        <v>Melting_Curves/meltCurve_Q7Z569_BRAP.pdf</v>
      </c>
    </row>
    <row r="4153" spans="1:28" x14ac:dyDescent="0.25">
      <c r="A4153" t="s">
        <v>4157</v>
      </c>
      <c r="B4153">
        <v>0.99673306730245903</v>
      </c>
      <c r="C4153">
        <v>0.93883084990285304</v>
      </c>
      <c r="D4153">
        <v>0.91443665230261495</v>
      </c>
      <c r="E4153">
        <v>0.87073125780048299</v>
      </c>
      <c r="F4153">
        <v>0.65859159385095101</v>
      </c>
      <c r="G4153">
        <v>0.59754150729771505</v>
      </c>
      <c r="H4153">
        <v>0.38439716829231002</v>
      </c>
      <c r="I4153">
        <v>0.50884543685984596</v>
      </c>
      <c r="J4153">
        <v>0.31946815116643201</v>
      </c>
      <c r="K4153">
        <v>0.27582453865745499</v>
      </c>
      <c r="L4153">
        <v>537.24034364034799</v>
      </c>
      <c r="M4153">
        <v>9.5671761781635194</v>
      </c>
      <c r="N4153">
        <v>59.3388353113642</v>
      </c>
      <c r="O4153">
        <v>53.865493750720603</v>
      </c>
      <c r="P4153">
        <v>-3.5508610415836403E-2</v>
      </c>
      <c r="Q4153">
        <v>0.20077230051665201</v>
      </c>
      <c r="R4153">
        <v>0.96008917431574303</v>
      </c>
      <c r="S4153" t="s">
        <v>10605</v>
      </c>
      <c r="T4153" t="s">
        <v>12902</v>
      </c>
      <c r="U4153" t="s">
        <v>12902</v>
      </c>
      <c r="V4153" t="s">
        <v>12902</v>
      </c>
      <c r="W4153" t="s">
        <v>17008</v>
      </c>
      <c r="X4153">
        <v>3</v>
      </c>
      <c r="Y4153" t="s">
        <v>23315</v>
      </c>
      <c r="Z4153" t="s">
        <v>29728</v>
      </c>
      <c r="AA4153">
        <v>0.64727399955508413</v>
      </c>
      <c r="AB4153" t="str">
        <f>HYPERLINK("Melting_Curves/meltCurve_Q7Z5G4_3_GOLGA7.pdf", "Melting_Curves/meltCurve_Q7Z5G4_3_GOLGA7.pdf")</f>
        <v>Melting_Curves/meltCurve_Q7Z5G4_3_GOLGA7.pdf</v>
      </c>
    </row>
    <row r="4154" spans="1:28" x14ac:dyDescent="0.25">
      <c r="A4154" t="s">
        <v>4158</v>
      </c>
      <c r="B4154">
        <v>0.99673306730245903</v>
      </c>
      <c r="C4154">
        <v>0.89943924407056997</v>
      </c>
      <c r="D4154">
        <v>0.63251550804170797</v>
      </c>
      <c r="E4154">
        <v>0.457000502305423</v>
      </c>
      <c r="F4154">
        <v>0.37315043780130402</v>
      </c>
      <c r="G4154">
        <v>0.232303664218004</v>
      </c>
      <c r="H4154">
        <v>0.148899557459929</v>
      </c>
      <c r="I4154">
        <v>0.158745656163752</v>
      </c>
      <c r="J4154">
        <v>0.184077761044975</v>
      </c>
      <c r="K4154">
        <v>0.175497400474426</v>
      </c>
      <c r="L4154">
        <v>696.61632570538495</v>
      </c>
      <c r="M4154">
        <v>14.6028382671809</v>
      </c>
      <c r="N4154">
        <v>48.971797186692498</v>
      </c>
      <c r="O4154">
        <v>46.836345763350799</v>
      </c>
      <c r="P4154">
        <v>-6.5686133111234099E-2</v>
      </c>
      <c r="Q4154">
        <v>0.157382100597451</v>
      </c>
      <c r="R4154">
        <v>0.98538392542331099</v>
      </c>
      <c r="S4154" t="s">
        <v>10606</v>
      </c>
      <c r="T4154" t="s">
        <v>12902</v>
      </c>
      <c r="U4154" t="s">
        <v>12902</v>
      </c>
      <c r="V4154" t="s">
        <v>12902</v>
      </c>
      <c r="W4154" t="s">
        <v>17009</v>
      </c>
      <c r="X4154">
        <v>7</v>
      </c>
      <c r="Y4154" t="s">
        <v>23316</v>
      </c>
      <c r="Z4154" t="s">
        <v>29729</v>
      </c>
      <c r="AA4154">
        <v>0.39698108510156521</v>
      </c>
      <c r="AB4154" t="str">
        <f>HYPERLINK("Melting_Curves/meltCurve_Q7Z5K2_WAPAL.pdf", "Melting_Curves/meltCurve_Q7Z5K2_WAPAL.pdf")</f>
        <v>Melting_Curves/meltCurve_Q7Z5K2_WAPAL.pdf</v>
      </c>
    </row>
    <row r="4155" spans="1:28" x14ac:dyDescent="0.25">
      <c r="A4155" t="s">
        <v>4159</v>
      </c>
      <c r="B4155">
        <v>0.99673306730245903</v>
      </c>
      <c r="C4155">
        <v>0.94164120206336399</v>
      </c>
      <c r="D4155">
        <v>0.91255093989006897</v>
      </c>
      <c r="E4155">
        <v>0.90486595399162395</v>
      </c>
      <c r="F4155">
        <v>0.70528996799084098</v>
      </c>
      <c r="G4155">
        <v>0.52855388106387502</v>
      </c>
      <c r="H4155">
        <v>0.33179369064177899</v>
      </c>
      <c r="I4155">
        <v>0.26788121062286502</v>
      </c>
      <c r="J4155">
        <v>0.31312164629622602</v>
      </c>
      <c r="K4155">
        <v>0.43569054845106803</v>
      </c>
      <c r="L4155">
        <v>1113.24551387974</v>
      </c>
      <c r="M4155">
        <v>20.675178110093398</v>
      </c>
      <c r="N4155">
        <v>56.646553355449797</v>
      </c>
      <c r="O4155">
        <v>53.3483913429911</v>
      </c>
      <c r="P4155">
        <v>-6.5867237425452196E-2</v>
      </c>
      <c r="Q4155">
        <v>0.32018731364809799</v>
      </c>
      <c r="R4155">
        <v>0.96133270203525101</v>
      </c>
      <c r="S4155" t="s">
        <v>10607</v>
      </c>
      <c r="T4155" t="s">
        <v>12902</v>
      </c>
      <c r="U4155" t="s">
        <v>12902</v>
      </c>
      <c r="V4155" t="s">
        <v>12902</v>
      </c>
      <c r="W4155" t="s">
        <v>17010</v>
      </c>
      <c r="X4155">
        <v>16</v>
      </c>
      <c r="Y4155" t="s">
        <v>23317</v>
      </c>
      <c r="Z4155" t="s">
        <v>29730</v>
      </c>
      <c r="AA4155">
        <v>0.64267971472958074</v>
      </c>
      <c r="AB4155" t="str">
        <f>HYPERLINK("Melting_Curves/meltCurve_Q7Z5L9_2_IRF2BP2.pdf", "Melting_Curves/meltCurve_Q7Z5L9_2_IRF2BP2.pdf")</f>
        <v>Melting_Curves/meltCurve_Q7Z5L9_2_IRF2BP2.pdf</v>
      </c>
    </row>
    <row r="4156" spans="1:28" x14ac:dyDescent="0.25">
      <c r="A4156" t="s">
        <v>4160</v>
      </c>
      <c r="B4156">
        <v>0.99673306730245903</v>
      </c>
      <c r="C4156">
        <v>0.97891131155371602</v>
      </c>
      <c r="D4156">
        <v>0.88103786608680901</v>
      </c>
      <c r="E4156">
        <v>0.77516221647280803</v>
      </c>
      <c r="F4156">
        <v>0.50597903957366197</v>
      </c>
      <c r="G4156">
        <v>0.34077756958772698</v>
      </c>
      <c r="H4156">
        <v>0.19328937702688301</v>
      </c>
      <c r="I4156">
        <v>0.17209468074442399</v>
      </c>
      <c r="J4156">
        <v>0.16584267408138501</v>
      </c>
      <c r="K4156">
        <v>0.15107522430037901</v>
      </c>
      <c r="L4156">
        <v>831.95531883664603</v>
      </c>
      <c r="M4156">
        <v>15.8605135027498</v>
      </c>
      <c r="N4156">
        <v>53.455860119622599</v>
      </c>
      <c r="O4156">
        <v>51.641870791582498</v>
      </c>
      <c r="P4156">
        <v>-6.6919020256062001E-2</v>
      </c>
      <c r="Q4156">
        <v>0.12851676826814501</v>
      </c>
      <c r="R4156">
        <v>0.997576054238835</v>
      </c>
      <c r="S4156" t="s">
        <v>10608</v>
      </c>
      <c r="T4156" t="s">
        <v>12902</v>
      </c>
      <c r="U4156" t="s">
        <v>12902</v>
      </c>
      <c r="V4156" t="s">
        <v>12902</v>
      </c>
      <c r="W4156" t="s">
        <v>17011</v>
      </c>
      <c r="X4156">
        <v>2</v>
      </c>
      <c r="Y4156" t="s">
        <v>23318</v>
      </c>
      <c r="Z4156" t="s">
        <v>29731</v>
      </c>
      <c r="AA4156">
        <v>0.5079412023187847</v>
      </c>
      <c r="AB4156" t="str">
        <f>HYPERLINK("Melting_Curves/meltCurve_Q7Z649_TMEM9B.pdf", "Melting_Curves/meltCurve_Q7Z649_TMEM9B.pdf")</f>
        <v>Melting_Curves/meltCurve_Q7Z649_TMEM9B.pdf</v>
      </c>
    </row>
    <row r="4157" spans="1:28" x14ac:dyDescent="0.25">
      <c r="A4157" t="s">
        <v>4161</v>
      </c>
      <c r="B4157">
        <v>0.99673306730245903</v>
      </c>
      <c r="C4157">
        <v>0.99180246043570597</v>
      </c>
      <c r="D4157">
        <v>0.91641006668996805</v>
      </c>
      <c r="E4157">
        <v>0.77857690296899895</v>
      </c>
      <c r="F4157">
        <v>0.27827986153311601</v>
      </c>
      <c r="G4157">
        <v>0.185170244299244</v>
      </c>
      <c r="H4157">
        <v>0.138201097221369</v>
      </c>
      <c r="I4157">
        <v>0.176210384421499</v>
      </c>
      <c r="J4157">
        <v>0.23958593129677899</v>
      </c>
      <c r="K4157">
        <v>0.23603824214553501</v>
      </c>
      <c r="L4157">
        <v>2171.7485064820098</v>
      </c>
      <c r="M4157">
        <v>42.866323527115398</v>
      </c>
      <c r="N4157">
        <v>51.244351933857303</v>
      </c>
      <c r="O4157">
        <v>50.553391211603603</v>
      </c>
      <c r="P4157">
        <v>-0.17118243328744701</v>
      </c>
      <c r="Q4157">
        <v>0.19248134905515599</v>
      </c>
      <c r="R4157">
        <v>0.98953874344453696</v>
      </c>
      <c r="S4157" t="s">
        <v>10609</v>
      </c>
      <c r="T4157" t="s">
        <v>12902</v>
      </c>
      <c r="U4157" t="s">
        <v>12902</v>
      </c>
      <c r="V4157" t="s">
        <v>12902</v>
      </c>
      <c r="W4157" t="s">
        <v>17012</v>
      </c>
      <c r="X4157">
        <v>17</v>
      </c>
      <c r="Y4157" t="s">
        <v>23319</v>
      </c>
      <c r="Z4157" t="s">
        <v>29732</v>
      </c>
      <c r="AA4157">
        <v>0.48196790318429888</v>
      </c>
      <c r="AB4157" t="str">
        <f>HYPERLINK("Melting_Curves/meltCurve_Q7Z6B0_2_CCDC91.pdf", "Melting_Curves/meltCurve_Q7Z6B0_2_CCDC91.pdf")</f>
        <v>Melting_Curves/meltCurve_Q7Z6B0_2_CCDC91.pdf</v>
      </c>
    </row>
    <row r="4158" spans="1:28" x14ac:dyDescent="0.25">
      <c r="A4158" t="s">
        <v>4162</v>
      </c>
      <c r="B4158">
        <v>0.99673306730245903</v>
      </c>
      <c r="C4158">
        <v>0.95139042873202595</v>
      </c>
      <c r="D4158">
        <v>0.94591519622637699</v>
      </c>
      <c r="E4158">
        <v>0.71171358344601598</v>
      </c>
      <c r="F4158">
        <v>0.49101129869218701</v>
      </c>
      <c r="G4158">
        <v>0.25650615416439798</v>
      </c>
      <c r="H4158">
        <v>0.12933403271385099</v>
      </c>
      <c r="I4158">
        <v>0.104379601860405</v>
      </c>
      <c r="J4158">
        <v>0.14161256045745199</v>
      </c>
      <c r="K4158">
        <v>0.115381991160455</v>
      </c>
      <c r="L4158">
        <v>937.77389147365</v>
      </c>
      <c r="M4158">
        <v>18.008736016253401</v>
      </c>
      <c r="N4158">
        <v>52.692672660436202</v>
      </c>
      <c r="O4158">
        <v>51.443917768083097</v>
      </c>
      <c r="P4158">
        <v>-7.9171904637306098E-2</v>
      </c>
      <c r="Q4158">
        <v>9.5391843668280907E-2</v>
      </c>
      <c r="R4158">
        <v>0.99597681360502199</v>
      </c>
      <c r="S4158" t="s">
        <v>10610</v>
      </c>
      <c r="T4158" t="s">
        <v>12902</v>
      </c>
      <c r="U4158" t="s">
        <v>12902</v>
      </c>
      <c r="V4158" t="s">
        <v>12902</v>
      </c>
      <c r="W4158" t="s">
        <v>17013</v>
      </c>
      <c r="X4158">
        <v>3</v>
      </c>
      <c r="Y4158" t="s">
        <v>23320</v>
      </c>
      <c r="Z4158" t="s">
        <v>29733</v>
      </c>
      <c r="AA4158">
        <v>0.47447039109871569</v>
      </c>
      <c r="AB4158" t="str">
        <f>HYPERLINK("Melting_Curves/meltCurve_Q7Z6B7_2_SRGAP1.pdf", "Melting_Curves/meltCurve_Q7Z6B7_2_SRGAP1.pdf")</f>
        <v>Melting_Curves/meltCurve_Q7Z6B7_2_SRGAP1.pdf</v>
      </c>
    </row>
    <row r="4159" spans="1:28" x14ac:dyDescent="0.25">
      <c r="A4159" t="s">
        <v>4163</v>
      </c>
      <c r="B4159">
        <v>0.99673306730245903</v>
      </c>
      <c r="C4159">
        <v>0.97377617020553298</v>
      </c>
      <c r="D4159">
        <v>0.37948243557348998</v>
      </c>
      <c r="E4159">
        <v>0.64507161058234297</v>
      </c>
      <c r="F4159">
        <v>0.391767950435575</v>
      </c>
      <c r="G4159">
        <v>0.21114217843892299</v>
      </c>
      <c r="H4159">
        <v>0.13549420717112901</v>
      </c>
      <c r="I4159">
        <v>7.7370428344877604E-2</v>
      </c>
      <c r="J4159">
        <v>0.103145777376509</v>
      </c>
      <c r="K4159">
        <v>0.101196322600855</v>
      </c>
      <c r="L4159">
        <v>505.12658466140402</v>
      </c>
      <c r="M4159">
        <v>10.25365840397</v>
      </c>
      <c r="N4159">
        <v>49.612474662555002</v>
      </c>
      <c r="O4159">
        <v>47.499615497615402</v>
      </c>
      <c r="P4159">
        <v>-5.2110151018018698E-2</v>
      </c>
      <c r="Q4159">
        <v>3.4834721834811302E-2</v>
      </c>
      <c r="R4159">
        <v>0.86952427260406595</v>
      </c>
      <c r="S4159" t="s">
        <v>10611</v>
      </c>
      <c r="T4159" t="s">
        <v>12902</v>
      </c>
      <c r="U4159" t="s">
        <v>12902</v>
      </c>
      <c r="V4159" t="s">
        <v>12902</v>
      </c>
      <c r="W4159" t="s">
        <v>17014</v>
      </c>
      <c r="X4159">
        <v>13</v>
      </c>
      <c r="Y4159" t="s">
        <v>23321</v>
      </c>
      <c r="Z4159" t="s">
        <v>29734</v>
      </c>
      <c r="AA4159">
        <v>0.37745880019871397</v>
      </c>
      <c r="AB4159" t="str">
        <f>HYPERLINK("Melting_Curves/meltCurve_Q7Z6E9_RBBP6.pdf", "Melting_Curves/meltCurve_Q7Z6E9_RBBP6.pdf")</f>
        <v>Melting_Curves/meltCurve_Q7Z6E9_RBBP6.pdf</v>
      </c>
    </row>
    <row r="4160" spans="1:28" x14ac:dyDescent="0.25">
      <c r="A4160" t="s">
        <v>4164</v>
      </c>
      <c r="B4160">
        <v>0.99673306730245903</v>
      </c>
      <c r="C4160">
        <v>0.98142299741775496</v>
      </c>
      <c r="D4160">
        <v>0.93636217434280899</v>
      </c>
      <c r="E4160">
        <v>0.87584576367858302</v>
      </c>
      <c r="F4160">
        <v>0.79787138407510605</v>
      </c>
      <c r="G4160">
        <v>0.64258963269373903</v>
      </c>
      <c r="H4160">
        <v>0.393359643159929</v>
      </c>
      <c r="I4160">
        <v>0.57736204456616702</v>
      </c>
      <c r="J4160">
        <v>0.79724231195096695</v>
      </c>
      <c r="K4160">
        <v>0.83216706261180196</v>
      </c>
      <c r="L4160">
        <v>1325.2500826098001</v>
      </c>
      <c r="M4160">
        <v>25.966407273797198</v>
      </c>
      <c r="O4160">
        <v>50.737283004189202</v>
      </c>
      <c r="P4160">
        <v>-4.4702317812665399E-2</v>
      </c>
      <c r="Q4160">
        <v>0.65061814830558695</v>
      </c>
      <c r="R4160">
        <v>0.59456345816226297</v>
      </c>
      <c r="S4160" t="s">
        <v>10612</v>
      </c>
      <c r="T4160" t="s">
        <v>12902</v>
      </c>
      <c r="U4160" t="s">
        <v>12902</v>
      </c>
      <c r="V4160" t="s">
        <v>12902</v>
      </c>
      <c r="W4160" t="s">
        <v>17015</v>
      </c>
      <c r="X4160">
        <v>3</v>
      </c>
      <c r="Y4160" t="s">
        <v>23322</v>
      </c>
      <c r="Z4160" t="s">
        <v>29735</v>
      </c>
      <c r="AA4160">
        <v>0.78208698594014547</v>
      </c>
      <c r="AB4160" t="str">
        <f>HYPERLINK("Melting_Curves/meltCurve_Q7Z6I8_C5orf24.pdf", "Melting_Curves/meltCurve_Q7Z6I8_C5orf24.pdf")</f>
        <v>Melting_Curves/meltCurve_Q7Z6I8_C5orf24.pdf</v>
      </c>
    </row>
    <row r="4161" spans="1:28" x14ac:dyDescent="0.25">
      <c r="A4161" t="s">
        <v>4165</v>
      </c>
      <c r="B4161">
        <v>0.99673306730245903</v>
      </c>
      <c r="C4161">
        <v>1.0403330640886901</v>
      </c>
      <c r="D4161">
        <v>0.96131575382354795</v>
      </c>
      <c r="E4161">
        <v>0.898578951018559</v>
      </c>
      <c r="F4161">
        <v>0.399701585051497</v>
      </c>
      <c r="G4161">
        <v>0.37735644157965398</v>
      </c>
      <c r="H4161">
        <v>0.272948361487516</v>
      </c>
      <c r="I4161">
        <v>0.534562987090339</v>
      </c>
      <c r="J4161">
        <v>0.49303819790160902</v>
      </c>
      <c r="K4161">
        <v>0.59673490646562</v>
      </c>
      <c r="L4161">
        <v>12474.216042710301</v>
      </c>
      <c r="M4161">
        <v>250</v>
      </c>
      <c r="N4161">
        <v>50.3440255789845</v>
      </c>
      <c r="O4161">
        <v>49.893671129589102</v>
      </c>
      <c r="P4161">
        <v>-0.69432186419771003</v>
      </c>
      <c r="Q4161">
        <v>0.44572373294488199</v>
      </c>
      <c r="R4161">
        <v>0.90314462580886601</v>
      </c>
      <c r="S4161" t="s">
        <v>10613</v>
      </c>
      <c r="T4161" t="s">
        <v>12902</v>
      </c>
      <c r="U4161" t="s">
        <v>12902</v>
      </c>
      <c r="V4161" t="s">
        <v>12902</v>
      </c>
      <c r="W4161" t="s">
        <v>17016</v>
      </c>
      <c r="X4161">
        <v>3</v>
      </c>
      <c r="Y4161" t="s">
        <v>23323</v>
      </c>
      <c r="Z4161" t="s">
        <v>29736</v>
      </c>
      <c r="AA4161">
        <v>0.62862550086985247</v>
      </c>
      <c r="AB4161" t="str">
        <f>HYPERLINK("Melting_Curves/meltCurve_Q7Z6J8_UBE3D.pdf", "Melting_Curves/meltCurve_Q7Z6J8_UBE3D.pdf")</f>
        <v>Melting_Curves/meltCurve_Q7Z6J8_UBE3D.pdf</v>
      </c>
    </row>
    <row r="4162" spans="1:28" x14ac:dyDescent="0.25">
      <c r="A4162" t="s">
        <v>4166</v>
      </c>
      <c r="B4162">
        <v>0.99673306730245903</v>
      </c>
      <c r="C4162">
        <v>0.89632242411502705</v>
      </c>
      <c r="D4162">
        <v>0.957646071066653</v>
      </c>
      <c r="E4162">
        <v>0.78322395642505604</v>
      </c>
      <c r="F4162">
        <v>0.436945821831769</v>
      </c>
      <c r="G4162">
        <v>0.34705616006982198</v>
      </c>
      <c r="H4162">
        <v>0.229149536350095</v>
      </c>
      <c r="I4162">
        <v>0.16776396926446699</v>
      </c>
      <c r="J4162">
        <v>0.17259358265927199</v>
      </c>
      <c r="K4162">
        <v>0.17156603195033099</v>
      </c>
      <c r="L4162">
        <v>972.12913491428105</v>
      </c>
      <c r="M4162">
        <v>18.726514573615201</v>
      </c>
      <c r="N4162">
        <v>53.048277674804901</v>
      </c>
      <c r="O4162">
        <v>51.330825065928202</v>
      </c>
      <c r="P4162">
        <v>-7.6138959431840306E-2</v>
      </c>
      <c r="Q4162">
        <v>0.165224518581467</v>
      </c>
      <c r="R4162">
        <v>0.98702139820252399</v>
      </c>
      <c r="S4162" t="s">
        <v>10614</v>
      </c>
      <c r="T4162" t="s">
        <v>12902</v>
      </c>
      <c r="U4162" t="s">
        <v>12902</v>
      </c>
      <c r="V4162" t="s">
        <v>12902</v>
      </c>
      <c r="W4162" t="s">
        <v>17017</v>
      </c>
      <c r="X4162">
        <v>9</v>
      </c>
      <c r="Y4162" t="s">
        <v>23324</v>
      </c>
      <c r="Z4162" t="s">
        <v>29737</v>
      </c>
      <c r="AA4162">
        <v>0.50967065227095432</v>
      </c>
      <c r="AB4162" t="str">
        <f>HYPERLINK("Melting_Curves/meltCurve_Q7Z6J9_TSEN54.pdf", "Melting_Curves/meltCurve_Q7Z6J9_TSEN54.pdf")</f>
        <v>Melting_Curves/meltCurve_Q7Z6J9_TSEN54.pdf</v>
      </c>
    </row>
    <row r="4163" spans="1:28" x14ac:dyDescent="0.25">
      <c r="A4163" t="s">
        <v>4167</v>
      </c>
      <c r="B4163">
        <v>0.99673306730245903</v>
      </c>
      <c r="C4163">
        <v>0.95347314297698904</v>
      </c>
      <c r="D4163">
        <v>0.91284284009139605</v>
      </c>
      <c r="E4163">
        <v>0.66094489835905801</v>
      </c>
      <c r="F4163">
        <v>0.34605366949215799</v>
      </c>
      <c r="G4163">
        <v>0.185602450835708</v>
      </c>
      <c r="H4163">
        <v>0.120520256516191</v>
      </c>
      <c r="I4163">
        <v>0.110897663792283</v>
      </c>
      <c r="J4163">
        <v>0.13829314925296499</v>
      </c>
      <c r="K4163">
        <v>9.6553234636248306E-2</v>
      </c>
      <c r="L4163">
        <v>1081.9754351142401</v>
      </c>
      <c r="M4163">
        <v>21.335706860170301</v>
      </c>
      <c r="N4163">
        <v>51.281483214017598</v>
      </c>
      <c r="O4163">
        <v>50.272748293224502</v>
      </c>
      <c r="P4163">
        <v>-9.4910194070206705E-2</v>
      </c>
      <c r="Q4163">
        <v>0.10548500707856601</v>
      </c>
      <c r="R4163">
        <v>0.99859270957115198</v>
      </c>
      <c r="S4163" t="s">
        <v>10615</v>
      </c>
      <c r="T4163" t="s">
        <v>12902</v>
      </c>
      <c r="U4163" t="s">
        <v>12902</v>
      </c>
      <c r="V4163" t="s">
        <v>12902</v>
      </c>
      <c r="W4163" t="s">
        <v>17018</v>
      </c>
      <c r="X4163">
        <v>3</v>
      </c>
      <c r="Y4163" t="s">
        <v>23325</v>
      </c>
      <c r="Z4163" t="s">
        <v>29738</v>
      </c>
      <c r="AA4163">
        <v>0.43586742321063648</v>
      </c>
      <c r="AB4163" t="str">
        <f>HYPERLINK("Melting_Curves/meltCurve_Q7Z6K3_PTAR1.pdf", "Melting_Curves/meltCurve_Q7Z6K3_PTAR1.pdf")</f>
        <v>Melting_Curves/meltCurve_Q7Z6K3_PTAR1.pdf</v>
      </c>
    </row>
    <row r="4164" spans="1:28" x14ac:dyDescent="0.25">
      <c r="A4164" t="s">
        <v>4168</v>
      </c>
      <c r="B4164">
        <v>0.99673306730245903</v>
      </c>
      <c r="C4164">
        <v>0.98188240089535805</v>
      </c>
      <c r="D4164">
        <v>0.74172650262872697</v>
      </c>
      <c r="E4164">
        <v>0.186695632007887</v>
      </c>
      <c r="F4164">
        <v>0.21817763444954899</v>
      </c>
      <c r="G4164">
        <v>7.6437448397351296E-2</v>
      </c>
      <c r="H4164">
        <v>7.5988171501159704E-2</v>
      </c>
      <c r="I4164">
        <v>6.6902516206520504E-2</v>
      </c>
      <c r="J4164">
        <v>0.13795188476586301</v>
      </c>
      <c r="K4164">
        <v>0.36777469420118197</v>
      </c>
      <c r="L4164">
        <v>2473.3395486521099</v>
      </c>
      <c r="M4164">
        <v>52.9562617527301</v>
      </c>
      <c r="N4164">
        <v>47.037619855979301</v>
      </c>
      <c r="O4164">
        <v>46.638873779749701</v>
      </c>
      <c r="P4164">
        <v>-0.23956926088249</v>
      </c>
      <c r="Q4164">
        <v>0.156040772251341</v>
      </c>
      <c r="R4164">
        <v>0.94545167557368104</v>
      </c>
      <c r="S4164" t="s">
        <v>10616</v>
      </c>
      <c r="T4164" t="s">
        <v>12902</v>
      </c>
      <c r="U4164" t="s">
        <v>12902</v>
      </c>
      <c r="V4164" t="s">
        <v>12902</v>
      </c>
      <c r="W4164" t="s">
        <v>17019</v>
      </c>
      <c r="X4164">
        <v>2</v>
      </c>
      <c r="Y4164" t="s">
        <v>23326</v>
      </c>
      <c r="Z4164" t="s">
        <v>29739</v>
      </c>
      <c r="AA4164">
        <v>0.34622639602085142</v>
      </c>
      <c r="AB4164" t="str">
        <f>HYPERLINK("Melting_Curves/meltCurve_Q7Z6L1_TECPR1.pdf", "Melting_Curves/meltCurve_Q7Z6L1_TECPR1.pdf")</f>
        <v>Melting_Curves/meltCurve_Q7Z6L1_TECPR1.pdf</v>
      </c>
    </row>
    <row r="4165" spans="1:28" x14ac:dyDescent="0.25">
      <c r="A4165" t="s">
        <v>4169</v>
      </c>
      <c r="B4165">
        <v>0.99673306730245903</v>
      </c>
      <c r="C4165">
        <v>1.0253854867827601</v>
      </c>
      <c r="D4165">
        <v>0.97478498552775195</v>
      </c>
      <c r="E4165">
        <v>0.92755356484406604</v>
      </c>
      <c r="F4165">
        <v>0.80895496926117105</v>
      </c>
      <c r="G4165">
        <v>0.62760286440728896</v>
      </c>
      <c r="H4165">
        <v>0.40559560300477399</v>
      </c>
      <c r="I4165">
        <v>0.30353190981949502</v>
      </c>
      <c r="J4165">
        <v>0.22130268280615301</v>
      </c>
      <c r="K4165">
        <v>0.19538314898298501</v>
      </c>
      <c r="L4165">
        <v>859.78952107595296</v>
      </c>
      <c r="M4165">
        <v>14.8788836479835</v>
      </c>
      <c r="N4165">
        <v>58.990902036597802</v>
      </c>
      <c r="O4165">
        <v>56.772187107847003</v>
      </c>
      <c r="P4165">
        <v>-5.6939968690562101E-2</v>
      </c>
      <c r="Q4165">
        <v>0.131045249216828</v>
      </c>
      <c r="R4165">
        <v>0.99885942391024796</v>
      </c>
      <c r="S4165" t="s">
        <v>10617</v>
      </c>
      <c r="T4165" t="s">
        <v>12902</v>
      </c>
      <c r="U4165" t="s">
        <v>12902</v>
      </c>
      <c r="V4165" t="s">
        <v>12902</v>
      </c>
      <c r="W4165" t="s">
        <v>17020</v>
      </c>
      <c r="X4165">
        <v>12</v>
      </c>
      <c r="Y4165" t="s">
        <v>23327</v>
      </c>
      <c r="Z4165" t="s">
        <v>29740</v>
      </c>
      <c r="AA4165">
        <v>0.65839585820681334</v>
      </c>
      <c r="AB4165" t="str">
        <f>HYPERLINK("Melting_Curves/meltCurve_Q7Z6M1_RABEPK.pdf", "Melting_Curves/meltCurve_Q7Z6M1_RABEPK.pdf")</f>
        <v>Melting_Curves/meltCurve_Q7Z6M1_RABEPK.pdf</v>
      </c>
    </row>
    <row r="4166" spans="1:28" x14ac:dyDescent="0.25">
      <c r="A4166" t="s">
        <v>4170</v>
      </c>
      <c r="B4166">
        <v>0.99673306730245903</v>
      </c>
      <c r="C4166">
        <v>1.0164089376733001</v>
      </c>
      <c r="D4166">
        <v>0.92063023510673503</v>
      </c>
      <c r="E4166">
        <v>0.83237025909703199</v>
      </c>
      <c r="F4166">
        <v>0.39932527404663598</v>
      </c>
      <c r="G4166">
        <v>0.248705664933252</v>
      </c>
      <c r="H4166">
        <v>0.18648666167105299</v>
      </c>
      <c r="I4166">
        <v>0.215093122146712</v>
      </c>
      <c r="J4166">
        <v>0.30149013467007701</v>
      </c>
      <c r="K4166">
        <v>0.293172706014805</v>
      </c>
      <c r="L4166">
        <v>1874.4180512118101</v>
      </c>
      <c r="M4166">
        <v>36.599010518273403</v>
      </c>
      <c r="N4166">
        <v>52.173871489682902</v>
      </c>
      <c r="O4166">
        <v>51.0628105334563</v>
      </c>
      <c r="P4166">
        <v>-0.135318395204644</v>
      </c>
      <c r="Q4166">
        <v>0.24481923866558999</v>
      </c>
      <c r="R4166">
        <v>0.98629378997820605</v>
      </c>
      <c r="S4166" t="s">
        <v>10618</v>
      </c>
      <c r="T4166" t="s">
        <v>12902</v>
      </c>
      <c r="U4166" t="s">
        <v>12902</v>
      </c>
      <c r="V4166" t="s">
        <v>12902</v>
      </c>
      <c r="W4166" t="s">
        <v>17021</v>
      </c>
      <c r="X4166">
        <v>1</v>
      </c>
      <c r="Y4166" t="s">
        <v>23328</v>
      </c>
      <c r="Z4166" t="s">
        <v>29741</v>
      </c>
      <c r="AA4166">
        <v>0.53032750511699511</v>
      </c>
      <c r="AB4166" t="str">
        <f>HYPERLINK("Melting_Curves/meltCurve_Q7Z6M2_FBXO33.pdf", "Melting_Curves/meltCurve_Q7Z6M2_FBXO33.pdf")</f>
        <v>Melting_Curves/meltCurve_Q7Z6M2_FBXO33.pdf</v>
      </c>
    </row>
    <row r="4167" spans="1:28" x14ac:dyDescent="0.25">
      <c r="A4167" t="s">
        <v>4171</v>
      </c>
      <c r="B4167">
        <v>0.99673306730245903</v>
      </c>
      <c r="C4167">
        <v>0.935936232014971</v>
      </c>
      <c r="D4167">
        <v>0.88279232981717604</v>
      </c>
      <c r="E4167">
        <v>0.59587677835032604</v>
      </c>
      <c r="F4167">
        <v>0.326722335151517</v>
      </c>
      <c r="G4167">
        <v>0.17636566098326101</v>
      </c>
      <c r="H4167">
        <v>0.125727674342302</v>
      </c>
      <c r="I4167">
        <v>0.110017289410956</v>
      </c>
      <c r="J4167">
        <v>9.4146661846112298E-2</v>
      </c>
      <c r="K4167">
        <v>6.1535299773804897E-2</v>
      </c>
      <c r="L4167">
        <v>930.16579770629403</v>
      </c>
      <c r="M4167">
        <v>18.480432001689898</v>
      </c>
      <c r="N4167">
        <v>50.808898747468298</v>
      </c>
      <c r="O4167">
        <v>49.754227840205701</v>
      </c>
      <c r="P4167">
        <v>-8.5475279258057701E-2</v>
      </c>
      <c r="Q4167">
        <v>7.9552442276851695E-2</v>
      </c>
      <c r="R4167">
        <v>0.99842614438397403</v>
      </c>
      <c r="S4167" t="s">
        <v>10619</v>
      </c>
      <c r="T4167" t="s">
        <v>12902</v>
      </c>
      <c r="U4167" t="s">
        <v>12902</v>
      </c>
      <c r="V4167" t="s">
        <v>12902</v>
      </c>
      <c r="W4167" t="s">
        <v>17022</v>
      </c>
      <c r="X4167">
        <v>3</v>
      </c>
      <c r="Y4167" t="s">
        <v>23329</v>
      </c>
      <c r="Z4167" t="s">
        <v>29742</v>
      </c>
      <c r="AA4167">
        <v>0.41144704390322401</v>
      </c>
      <c r="AB4167" t="str">
        <f>HYPERLINK("Melting_Curves/meltCurve_Q7Z6M4_MTERFD2.pdf", "Melting_Curves/meltCurve_Q7Z6M4_MTERFD2.pdf")</f>
        <v>Melting_Curves/meltCurve_Q7Z6M4_MTERFD2.pdf</v>
      </c>
    </row>
    <row r="4168" spans="1:28" x14ac:dyDescent="0.25">
      <c r="A4168" t="s">
        <v>4172</v>
      </c>
      <c r="B4168">
        <v>0.99673306730245903</v>
      </c>
      <c r="C4168">
        <v>0.98896287318889398</v>
      </c>
      <c r="D4168">
        <v>0.95905854800484702</v>
      </c>
      <c r="E4168">
        <v>0.82170442844242297</v>
      </c>
      <c r="F4168">
        <v>0.58168027611053197</v>
      </c>
      <c r="G4168">
        <v>0.44713162405311702</v>
      </c>
      <c r="H4168">
        <v>0.25906872022516902</v>
      </c>
      <c r="I4168">
        <v>0.14056568986849599</v>
      </c>
      <c r="J4168">
        <v>0.111207051617172</v>
      </c>
      <c r="K4168">
        <v>9.0568941973234798E-2</v>
      </c>
      <c r="L4168">
        <v>733.21429477145</v>
      </c>
      <c r="M4168">
        <v>13.330414073094</v>
      </c>
      <c r="N4168">
        <v>55.288764197482998</v>
      </c>
      <c r="O4168">
        <v>53.809535586777201</v>
      </c>
      <c r="P4168">
        <v>-5.9881982187628698E-2</v>
      </c>
      <c r="Q4168">
        <v>3.3276740363609898E-2</v>
      </c>
      <c r="R4168">
        <v>0.99674889158806901</v>
      </c>
      <c r="S4168" t="s">
        <v>10620</v>
      </c>
      <c r="T4168" t="s">
        <v>12902</v>
      </c>
      <c r="U4168" t="s">
        <v>12902</v>
      </c>
      <c r="V4168" t="s">
        <v>12902</v>
      </c>
      <c r="W4168" t="s">
        <v>17023</v>
      </c>
      <c r="X4168">
        <v>6</v>
      </c>
      <c r="Y4168" t="s">
        <v>23330</v>
      </c>
      <c r="Z4168" t="s">
        <v>29743</v>
      </c>
      <c r="AA4168">
        <v>0.53762220206749911</v>
      </c>
      <c r="AB4168" t="str">
        <f>HYPERLINK("Melting_Curves/meltCurve_Q7Z6V5_ADAT2.pdf", "Melting_Curves/meltCurve_Q7Z6V5_ADAT2.pdf")</f>
        <v>Melting_Curves/meltCurve_Q7Z6V5_ADAT2.pdf</v>
      </c>
    </row>
    <row r="4169" spans="1:28" x14ac:dyDescent="0.25">
      <c r="A4169" t="s">
        <v>4173</v>
      </c>
      <c r="B4169">
        <v>0.99673306730245903</v>
      </c>
      <c r="C4169">
        <v>0.85305155136724298</v>
      </c>
      <c r="D4169">
        <v>0.88491548576822199</v>
      </c>
      <c r="E4169">
        <v>0.902794128454105</v>
      </c>
      <c r="F4169">
        <v>0.19075028545300099</v>
      </c>
      <c r="G4169">
        <v>0.126275887194084</v>
      </c>
      <c r="H4169">
        <v>7.4278180605486605E-2</v>
      </c>
      <c r="I4169">
        <v>6.7913474062679405E-2</v>
      </c>
      <c r="J4169">
        <v>6.8912950342103901E-2</v>
      </c>
      <c r="K4169">
        <v>6.3928685570348698E-2</v>
      </c>
      <c r="L4169">
        <v>2943.1122031434602</v>
      </c>
      <c r="M4169">
        <v>57.252342495217597</v>
      </c>
      <c r="N4169">
        <v>51.560143205627398</v>
      </c>
      <c r="O4169">
        <v>51.343386093184897</v>
      </c>
      <c r="P4169">
        <v>-0.25684241233836302</v>
      </c>
      <c r="Q4169">
        <v>7.8664956748421694E-2</v>
      </c>
      <c r="R4169">
        <v>0.97690653871907096</v>
      </c>
      <c r="S4169" t="s">
        <v>10621</v>
      </c>
      <c r="T4169" t="s">
        <v>12902</v>
      </c>
      <c r="U4169" t="s">
        <v>12902</v>
      </c>
      <c r="V4169" t="s">
        <v>12902</v>
      </c>
      <c r="W4169" t="s">
        <v>17024</v>
      </c>
      <c r="X4169">
        <v>104</v>
      </c>
      <c r="Y4169" t="s">
        <v>23331</v>
      </c>
      <c r="Z4169" t="s">
        <v>29744</v>
      </c>
      <c r="AA4169">
        <v>0.43054688744674469</v>
      </c>
      <c r="AB4169" t="str">
        <f>HYPERLINK("Melting_Curves/meltCurve_Q7Z6Z7_2_HUWE1.pdf", "Melting_Curves/meltCurve_Q7Z6Z7_2_HUWE1.pdf")</f>
        <v>Melting_Curves/meltCurve_Q7Z6Z7_2_HUWE1.pdf</v>
      </c>
    </row>
    <row r="4170" spans="1:28" x14ac:dyDescent="0.25">
      <c r="A4170" t="s">
        <v>4174</v>
      </c>
      <c r="B4170">
        <v>0.99673306730245903</v>
      </c>
      <c r="C4170">
        <v>0.941581534539492</v>
      </c>
      <c r="D4170">
        <v>0.95289078132272897</v>
      </c>
      <c r="E4170">
        <v>0.85061877994109802</v>
      </c>
      <c r="F4170">
        <v>0.377837938306888</v>
      </c>
      <c r="G4170">
        <v>0.18628385380297799</v>
      </c>
      <c r="H4170">
        <v>9.8371538119781401E-2</v>
      </c>
      <c r="I4170">
        <v>8.0102693058817398E-2</v>
      </c>
      <c r="J4170">
        <v>8.5068106645282901E-2</v>
      </c>
      <c r="K4170">
        <v>7.4518675328694897E-2</v>
      </c>
      <c r="L4170">
        <v>1545.7654888751099</v>
      </c>
      <c r="M4170">
        <v>29.699713460950701</v>
      </c>
      <c r="N4170">
        <v>52.373329929365198</v>
      </c>
      <c r="O4170">
        <v>51.812230134063398</v>
      </c>
      <c r="P4170">
        <v>-0.13118210424997101</v>
      </c>
      <c r="Q4170">
        <v>8.4598445519683499E-2</v>
      </c>
      <c r="R4170">
        <v>0.99601435185871401</v>
      </c>
      <c r="S4170" t="s">
        <v>10622</v>
      </c>
      <c r="T4170" t="s">
        <v>12902</v>
      </c>
      <c r="U4170" t="s">
        <v>12902</v>
      </c>
      <c r="V4170" t="s">
        <v>12902</v>
      </c>
      <c r="W4170" t="s">
        <v>17025</v>
      </c>
      <c r="X4170">
        <v>7</v>
      </c>
      <c r="Y4170" t="s">
        <v>23332</v>
      </c>
      <c r="Z4170" t="s">
        <v>29745</v>
      </c>
      <c r="AA4170">
        <v>0.45814809677608831</v>
      </c>
      <c r="AB4170" t="str">
        <f>HYPERLINK("Melting_Curves/meltCurve_Q7Z7A3_CTU1.pdf", "Melting_Curves/meltCurve_Q7Z7A3_CTU1.pdf")</f>
        <v>Melting_Curves/meltCurve_Q7Z7A3_CTU1.pdf</v>
      </c>
    </row>
    <row r="4171" spans="1:28" x14ac:dyDescent="0.25">
      <c r="A4171" t="s">
        <v>4175</v>
      </c>
      <c r="B4171">
        <v>0.99673306730245903</v>
      </c>
      <c r="C4171">
        <v>1.0310343868113001</v>
      </c>
      <c r="D4171">
        <v>1.00179337825047</v>
      </c>
      <c r="E4171">
        <v>0.91501099323193702</v>
      </c>
      <c r="F4171">
        <v>0.33096063452456698</v>
      </c>
      <c r="G4171">
        <v>0.19612709975597001</v>
      </c>
      <c r="H4171">
        <v>0.112618130709431</v>
      </c>
      <c r="I4171">
        <v>9.7165375426560396E-2</v>
      </c>
      <c r="J4171">
        <v>0.10800605704920101</v>
      </c>
      <c r="K4171">
        <v>0.10350692081202401</v>
      </c>
      <c r="L4171">
        <v>2332.58656714274</v>
      </c>
      <c r="M4171">
        <v>44.917917860644998</v>
      </c>
      <c r="N4171">
        <v>52.242280642638597</v>
      </c>
      <c r="O4171">
        <v>51.827366310034598</v>
      </c>
      <c r="P4171">
        <v>-0.191158297488349</v>
      </c>
      <c r="Q4171">
        <v>0.117749125849528</v>
      </c>
      <c r="R4171">
        <v>0.99668761338991696</v>
      </c>
      <c r="S4171" t="s">
        <v>10623</v>
      </c>
      <c r="T4171" t="s">
        <v>12902</v>
      </c>
      <c r="U4171" t="s">
        <v>12902</v>
      </c>
      <c r="V4171" t="s">
        <v>12902</v>
      </c>
      <c r="W4171" t="s">
        <v>17026</v>
      </c>
      <c r="X4171">
        <v>5</v>
      </c>
      <c r="Y4171" t="s">
        <v>23333</v>
      </c>
      <c r="Z4171" t="s">
        <v>29746</v>
      </c>
      <c r="AA4171">
        <v>0.47109721014099698</v>
      </c>
      <c r="AB4171" t="str">
        <f>HYPERLINK("Melting_Curves/meltCurve_Q7Z7A4_PXK.pdf", "Melting_Curves/meltCurve_Q7Z7A4_PXK.pdf")</f>
        <v>Melting_Curves/meltCurve_Q7Z7A4_PXK.pdf</v>
      </c>
    </row>
    <row r="4172" spans="1:28" x14ac:dyDescent="0.25">
      <c r="A4172" t="s">
        <v>4176</v>
      </c>
      <c r="B4172">
        <v>0.99673306730245903</v>
      </c>
      <c r="C4172">
        <v>0.94737451276929296</v>
      </c>
      <c r="D4172">
        <v>0.91261713115782905</v>
      </c>
      <c r="E4172">
        <v>0.91970019834461703</v>
      </c>
      <c r="F4172">
        <v>0.57904392447220299</v>
      </c>
      <c r="G4172">
        <v>0.22536236531677101</v>
      </c>
      <c r="H4172">
        <v>0.12110615167697</v>
      </c>
      <c r="I4172">
        <v>0.107497108584424</v>
      </c>
      <c r="J4172">
        <v>0.136145056524035</v>
      </c>
      <c r="K4172">
        <v>0.12208218277680501</v>
      </c>
      <c r="L4172">
        <v>1622.2581985919201</v>
      </c>
      <c r="M4172">
        <v>30.424332785554</v>
      </c>
      <c r="N4172">
        <v>53.777509774797998</v>
      </c>
      <c r="O4172">
        <v>53.092304997693901</v>
      </c>
      <c r="P4172">
        <v>-0.126960707635593</v>
      </c>
      <c r="Q4172">
        <v>0.11378893685939601</v>
      </c>
      <c r="R4172">
        <v>0.99302366175304502</v>
      </c>
      <c r="S4172" t="s">
        <v>10624</v>
      </c>
      <c r="T4172" t="s">
        <v>12902</v>
      </c>
      <c r="U4172" t="s">
        <v>12902</v>
      </c>
      <c r="V4172" t="s">
        <v>12902</v>
      </c>
      <c r="W4172" t="s">
        <v>17027</v>
      </c>
      <c r="X4172">
        <v>2</v>
      </c>
      <c r="Y4172" t="s">
        <v>23334</v>
      </c>
      <c r="Z4172" t="s">
        <v>29747</v>
      </c>
      <c r="AA4172">
        <v>0.51291465864710473</v>
      </c>
      <c r="AB4172" t="str">
        <f>HYPERLINK("Melting_Curves/meltCurve_Q7Z7C8_TAF8.pdf", "Melting_Curves/meltCurve_Q7Z7C8_TAF8.pdf")</f>
        <v>Melting_Curves/meltCurve_Q7Z7C8_TAF8.pdf</v>
      </c>
    </row>
    <row r="4173" spans="1:28" x14ac:dyDescent="0.25">
      <c r="A4173" t="s">
        <v>4177</v>
      </c>
      <c r="B4173">
        <v>0.99673306730245903</v>
      </c>
      <c r="C4173">
        <v>1.1445397807706299</v>
      </c>
      <c r="D4173">
        <v>0.25167875518327998</v>
      </c>
      <c r="E4173">
        <v>0.403081452703759</v>
      </c>
      <c r="F4173">
        <v>0.208169728913872</v>
      </c>
      <c r="G4173">
        <v>0.126991603878296</v>
      </c>
      <c r="H4173">
        <v>6.4359185067600605E-2</v>
      </c>
      <c r="I4173">
        <v>4.4765667158972802E-2</v>
      </c>
      <c r="J4173">
        <v>4.6390807757952901E-2</v>
      </c>
      <c r="K4173">
        <v>4.06428955938559E-2</v>
      </c>
      <c r="L4173">
        <v>11415.1063909406</v>
      </c>
      <c r="M4173">
        <v>250</v>
      </c>
      <c r="N4173">
        <v>45.717215619693903</v>
      </c>
      <c r="O4173">
        <v>45.657489151287699</v>
      </c>
      <c r="P4173">
        <v>-1.1861605991589901</v>
      </c>
      <c r="Q4173">
        <v>0.133485890449244</v>
      </c>
      <c r="R4173">
        <v>0.91414345632432403</v>
      </c>
      <c r="S4173" t="s">
        <v>10625</v>
      </c>
      <c r="T4173" t="s">
        <v>12902</v>
      </c>
      <c r="U4173" t="s">
        <v>12902</v>
      </c>
      <c r="V4173" t="s">
        <v>12902</v>
      </c>
      <c r="W4173" t="s">
        <v>17028</v>
      </c>
      <c r="X4173">
        <v>7</v>
      </c>
      <c r="Y4173" t="s">
        <v>23335</v>
      </c>
      <c r="Z4173" t="s">
        <v>29748</v>
      </c>
      <c r="AA4173">
        <v>0.29704994768446441</v>
      </c>
      <c r="AB4173" t="str">
        <f>HYPERLINK("Melting_Curves/meltCurve_Q7Z7E8_UBE2Q1.pdf", "Melting_Curves/meltCurve_Q7Z7E8_UBE2Q1.pdf")</f>
        <v>Melting_Curves/meltCurve_Q7Z7E8_UBE2Q1.pdf</v>
      </c>
    </row>
    <row r="4174" spans="1:28" x14ac:dyDescent="0.25">
      <c r="A4174" t="s">
        <v>4178</v>
      </c>
      <c r="B4174">
        <v>0.99673306730245903</v>
      </c>
      <c r="C4174">
        <v>1.04295097817689</v>
      </c>
      <c r="D4174">
        <v>0.88040005558405099</v>
      </c>
      <c r="E4174">
        <v>0.58028042509043098</v>
      </c>
      <c r="F4174">
        <v>0.26562052442627598</v>
      </c>
      <c r="G4174">
        <v>0.17906648262004399</v>
      </c>
      <c r="H4174">
        <v>0.109260544890829</v>
      </c>
      <c r="I4174">
        <v>8.6833514627162295E-2</v>
      </c>
      <c r="J4174">
        <v>0.12738697140929101</v>
      </c>
      <c r="K4174">
        <v>0.112623038634534</v>
      </c>
      <c r="L4174">
        <v>1200.07365082724</v>
      </c>
      <c r="M4174">
        <v>24.078587853232801</v>
      </c>
      <c r="N4174">
        <v>50.357149985606299</v>
      </c>
      <c r="O4174">
        <v>49.499918057992097</v>
      </c>
      <c r="P4174">
        <v>-0.10828736095243099</v>
      </c>
      <c r="Q4174">
        <v>0.109560469217277</v>
      </c>
      <c r="R4174">
        <v>0.99601795463038101</v>
      </c>
      <c r="S4174" t="s">
        <v>10626</v>
      </c>
      <c r="T4174" t="s">
        <v>12902</v>
      </c>
      <c r="U4174" t="s">
        <v>12902</v>
      </c>
      <c r="V4174" t="s">
        <v>12902</v>
      </c>
      <c r="W4174" t="s">
        <v>17029</v>
      </c>
      <c r="X4174">
        <v>5</v>
      </c>
      <c r="Y4174" t="s">
        <v>23336</v>
      </c>
      <c r="Z4174" t="s">
        <v>29749</v>
      </c>
      <c r="AA4174">
        <v>0.41019140330205123</v>
      </c>
      <c r="AB4174" t="str">
        <f>HYPERLINK("Melting_Curves/meltCurve_Q7Z7F0_2_KIAA0907.pdf", "Melting_Curves/meltCurve_Q7Z7F0_2_KIAA0907.pdf")</f>
        <v>Melting_Curves/meltCurve_Q7Z7F0_2_KIAA0907.pdf</v>
      </c>
    </row>
    <row r="4175" spans="1:28" x14ac:dyDescent="0.25">
      <c r="A4175" t="s">
        <v>4179</v>
      </c>
      <c r="B4175">
        <v>0.99673306730245903</v>
      </c>
      <c r="C4175">
        <v>0.88026579907681102</v>
      </c>
      <c r="D4175">
        <v>0.82504478656583902</v>
      </c>
      <c r="E4175">
        <v>0.69051589061523699</v>
      </c>
      <c r="F4175">
        <v>0.49264012438935101</v>
      </c>
      <c r="G4175">
        <v>0.324078318018093</v>
      </c>
      <c r="H4175">
        <v>9.3492993615846495E-2</v>
      </c>
      <c r="I4175">
        <v>6.9632645956709094E-2</v>
      </c>
      <c r="J4175">
        <v>6.3083351675654806E-2</v>
      </c>
      <c r="K4175">
        <v>5.5609990812862102E-2</v>
      </c>
      <c r="L4175">
        <v>645.67718889126195</v>
      </c>
      <c r="M4175">
        <v>12.2803359702328</v>
      </c>
      <c r="N4175">
        <v>52.578151156607099</v>
      </c>
      <c r="O4175">
        <v>51.242242686394597</v>
      </c>
      <c r="P4175">
        <v>-5.9926373186012502E-2</v>
      </c>
      <c r="Q4175">
        <v>0</v>
      </c>
      <c r="R4175">
        <v>0.99010266852318096</v>
      </c>
      <c r="S4175" t="s">
        <v>10627</v>
      </c>
      <c r="T4175" t="s">
        <v>12902</v>
      </c>
      <c r="U4175" t="s">
        <v>12902</v>
      </c>
      <c r="V4175" t="s">
        <v>12902</v>
      </c>
      <c r="W4175" t="s">
        <v>17030</v>
      </c>
      <c r="X4175">
        <v>8</v>
      </c>
      <c r="Y4175" t="s">
        <v>23337</v>
      </c>
      <c r="Z4175" t="s">
        <v>29750</v>
      </c>
      <c r="AA4175">
        <v>0.44785762077753771</v>
      </c>
      <c r="AB4175" t="str">
        <f>HYPERLINK("Melting_Curves/meltCurve_Q7Z7H5_3_TMED4.pdf", "Melting_Curves/meltCurve_Q7Z7H5_3_TMED4.pdf")</f>
        <v>Melting_Curves/meltCurve_Q7Z7H5_3_TMED4.pdf</v>
      </c>
    </row>
    <row r="4176" spans="1:28" x14ac:dyDescent="0.25">
      <c r="A4176" t="s">
        <v>4180</v>
      </c>
      <c r="B4176">
        <v>0.99673306730245903</v>
      </c>
      <c r="C4176">
        <v>1.0300616306254899</v>
      </c>
      <c r="D4176">
        <v>0.98539896084445999</v>
      </c>
      <c r="E4176">
        <v>0.961583415064025</v>
      </c>
      <c r="F4176">
        <v>0.58879112632918795</v>
      </c>
      <c r="G4176">
        <v>0.51073951190196998</v>
      </c>
      <c r="H4176">
        <v>0.41288943447523502</v>
      </c>
      <c r="I4176">
        <v>0.76462080367264695</v>
      </c>
      <c r="J4176">
        <v>0.94790148877787805</v>
      </c>
      <c r="K4176">
        <v>0.96691700119958801</v>
      </c>
      <c r="L4176">
        <v>12495.4021230939</v>
      </c>
      <c r="M4176">
        <v>250</v>
      </c>
      <c r="O4176">
        <v>49.978385622917003</v>
      </c>
      <c r="P4176">
        <v>-0.37685869621172902</v>
      </c>
      <c r="Q4176">
        <v>0.69864322432479398</v>
      </c>
      <c r="R4176">
        <v>0.438631019063419</v>
      </c>
      <c r="S4176" t="s">
        <v>10628</v>
      </c>
      <c r="T4176" t="s">
        <v>12902</v>
      </c>
      <c r="U4176" t="s">
        <v>12902</v>
      </c>
      <c r="V4176" t="s">
        <v>12902</v>
      </c>
      <c r="W4176" t="s">
        <v>17031</v>
      </c>
      <c r="X4176">
        <v>6</v>
      </c>
      <c r="Y4176" t="s">
        <v>23338</v>
      </c>
      <c r="Z4176" t="s">
        <v>29751</v>
      </c>
      <c r="AA4176">
        <v>0.79893717013099974</v>
      </c>
      <c r="AB4176" t="str">
        <f>HYPERLINK("Melting_Curves/meltCurve_Q7Z7K0_CMC1.pdf", "Melting_Curves/meltCurve_Q7Z7K0_CMC1.pdf")</f>
        <v>Melting_Curves/meltCurve_Q7Z7K0_CMC1.pdf</v>
      </c>
    </row>
    <row r="4177" spans="1:28" x14ac:dyDescent="0.25">
      <c r="A4177" t="s">
        <v>4181</v>
      </c>
      <c r="B4177">
        <v>0.99673306730245903</v>
      </c>
      <c r="C4177">
        <v>0.97667896827702605</v>
      </c>
      <c r="D4177">
        <v>0.85533304501032603</v>
      </c>
      <c r="E4177">
        <v>0.74986074926089197</v>
      </c>
      <c r="F4177">
        <v>0.75964202791286095</v>
      </c>
      <c r="G4177">
        <v>0.35235981838496599</v>
      </c>
      <c r="H4177">
        <v>0.195749076912488</v>
      </c>
      <c r="I4177">
        <v>0.223374567891855</v>
      </c>
      <c r="J4177">
        <v>0.307925634426087</v>
      </c>
      <c r="K4177">
        <v>0.31767803656855598</v>
      </c>
      <c r="L4177">
        <v>886.30526468821802</v>
      </c>
      <c r="M4177">
        <v>16.726397244924499</v>
      </c>
      <c r="N4177">
        <v>54.983574212373902</v>
      </c>
      <c r="O4177">
        <v>52.248397996490901</v>
      </c>
      <c r="P4177">
        <v>-6.1830220225405602E-2</v>
      </c>
      <c r="Q4177">
        <v>0.22749250784070399</v>
      </c>
      <c r="R4177">
        <v>0.93031916665582204</v>
      </c>
      <c r="S4177" t="s">
        <v>10629</v>
      </c>
      <c r="T4177" t="s">
        <v>12902</v>
      </c>
      <c r="U4177" t="s">
        <v>12902</v>
      </c>
      <c r="V4177" t="s">
        <v>12902</v>
      </c>
      <c r="W4177" t="s">
        <v>17032</v>
      </c>
      <c r="X4177">
        <v>1</v>
      </c>
      <c r="Y4177" t="s">
        <v>23339</v>
      </c>
      <c r="Z4177" t="s">
        <v>29752</v>
      </c>
      <c r="AA4177">
        <v>0.57613615192191847</v>
      </c>
      <c r="AB4177" t="str">
        <f>HYPERLINK("Melting_Curves/meltCurve_Q7Z7K6_3_CENPV.pdf", "Melting_Curves/meltCurve_Q7Z7K6_3_CENPV.pdf")</f>
        <v>Melting_Curves/meltCurve_Q7Z7K6_3_CENPV.pdf</v>
      </c>
    </row>
    <row r="4178" spans="1:28" x14ac:dyDescent="0.25">
      <c r="A4178" t="s">
        <v>4182</v>
      </c>
      <c r="B4178">
        <v>0.99673306730245903</v>
      </c>
      <c r="C4178">
        <v>0.94609994877280501</v>
      </c>
      <c r="D4178">
        <v>0.89069321327761297</v>
      </c>
      <c r="E4178">
        <v>0.781943098745433</v>
      </c>
      <c r="F4178">
        <v>0.68486806446229598</v>
      </c>
      <c r="G4178">
        <v>0.548264196778941</v>
      </c>
      <c r="H4178">
        <v>0.43725293032725099</v>
      </c>
      <c r="I4178">
        <v>0.45990365948183798</v>
      </c>
      <c r="J4178">
        <v>0.47603831504754501</v>
      </c>
      <c r="K4178">
        <v>0.45035181076770597</v>
      </c>
      <c r="L4178">
        <v>681.97569421291803</v>
      </c>
      <c r="M4178">
        <v>13.236208595832</v>
      </c>
      <c r="N4178">
        <v>59.972040636753</v>
      </c>
      <c r="O4178">
        <v>50.390026460368503</v>
      </c>
      <c r="P4178">
        <v>-3.7928358446599399E-2</v>
      </c>
      <c r="Q4178">
        <v>0.422524583492638</v>
      </c>
      <c r="R4178">
        <v>0.98804000129170799</v>
      </c>
      <c r="S4178" t="s">
        <v>10630</v>
      </c>
      <c r="T4178" t="s">
        <v>12902</v>
      </c>
      <c r="U4178" t="s">
        <v>12902</v>
      </c>
      <c r="V4178" t="s">
        <v>12902</v>
      </c>
      <c r="W4178" t="s">
        <v>17033</v>
      </c>
      <c r="X4178">
        <v>1</v>
      </c>
      <c r="Y4178" t="s">
        <v>23340</v>
      </c>
      <c r="Z4178" t="s">
        <v>29753</v>
      </c>
      <c r="AA4178">
        <v>0.66022146975663532</v>
      </c>
      <c r="AB4178" t="str">
        <f>HYPERLINK("Melting_Curves/meltCurve_Q7Z7N9_TMEM179B.pdf", "Melting_Curves/meltCurve_Q7Z7N9_TMEM179B.pdf")</f>
        <v>Melting_Curves/meltCurve_Q7Z7N9_TMEM179B.pdf</v>
      </c>
    </row>
    <row r="4179" spans="1:28" x14ac:dyDescent="0.25">
      <c r="A4179" t="s">
        <v>4183</v>
      </c>
      <c r="B4179">
        <v>0.99673306730245903</v>
      </c>
      <c r="C4179">
        <v>0.97505226315802096</v>
      </c>
      <c r="D4179">
        <v>0.85546802338865302</v>
      </c>
      <c r="E4179">
        <v>0.77949915858875496</v>
      </c>
      <c r="F4179">
        <v>0.56246583213979895</v>
      </c>
      <c r="G4179">
        <v>0.38284711538382299</v>
      </c>
      <c r="H4179">
        <v>0.15256156202645599</v>
      </c>
      <c r="I4179">
        <v>8.6092468894812105E-2</v>
      </c>
      <c r="J4179">
        <v>0.112390290504381</v>
      </c>
      <c r="K4179">
        <v>6.7766336842854699E-2</v>
      </c>
      <c r="L4179">
        <v>700.50575533651204</v>
      </c>
      <c r="M4179">
        <v>12.9535343323448</v>
      </c>
      <c r="N4179">
        <v>54.112797010670398</v>
      </c>
      <c r="O4179">
        <v>52.83817582895</v>
      </c>
      <c r="P4179">
        <v>-6.1047986819599498E-2</v>
      </c>
      <c r="Q4179">
        <v>4.1061198959039102E-3</v>
      </c>
      <c r="R4179">
        <v>0.99355943486130704</v>
      </c>
      <c r="S4179" t="s">
        <v>10631</v>
      </c>
      <c r="T4179" t="s">
        <v>12902</v>
      </c>
      <c r="U4179" t="s">
        <v>12902</v>
      </c>
      <c r="V4179" t="s">
        <v>12902</v>
      </c>
      <c r="W4179" t="s">
        <v>17034</v>
      </c>
      <c r="X4179">
        <v>5</v>
      </c>
      <c r="Y4179" t="s">
        <v>23341</v>
      </c>
      <c r="Z4179" t="s">
        <v>29754</v>
      </c>
      <c r="AA4179">
        <v>0.49544265777197899</v>
      </c>
      <c r="AB4179" t="str">
        <f>HYPERLINK("Melting_Curves/meltCurve_Q86SQ9_3_DHDDS.pdf", "Melting_Curves/meltCurve_Q86SQ9_3_DHDDS.pdf")</f>
        <v>Melting_Curves/meltCurve_Q86SQ9_3_DHDDS.pdf</v>
      </c>
    </row>
    <row r="4180" spans="1:28" x14ac:dyDescent="0.25">
      <c r="A4180" t="s">
        <v>4184</v>
      </c>
      <c r="B4180">
        <v>0.99673306730245903</v>
      </c>
      <c r="C4180">
        <v>0.78587241660148599</v>
      </c>
      <c r="D4180">
        <v>0.83813822953013095</v>
      </c>
      <c r="E4180">
        <v>0.40810488635164699</v>
      </c>
      <c r="F4180">
        <v>0.17872147060973401</v>
      </c>
      <c r="G4180">
        <v>0.10935942595072699</v>
      </c>
      <c r="H4180">
        <v>8.7352575040090794E-2</v>
      </c>
      <c r="I4180">
        <v>9.4526398826525901E-2</v>
      </c>
      <c r="J4180">
        <v>0.12210480239047899</v>
      </c>
      <c r="K4180">
        <v>9.4659175792983705E-2</v>
      </c>
      <c r="L4180">
        <v>995.67487031979294</v>
      </c>
      <c r="M4180">
        <v>20.627408494916601</v>
      </c>
      <c r="N4180">
        <v>48.713663241759797</v>
      </c>
      <c r="O4180">
        <v>47.8227142024679</v>
      </c>
      <c r="P4180">
        <v>-9.8591771516329502E-2</v>
      </c>
      <c r="Q4180">
        <v>8.5723190208922398E-2</v>
      </c>
      <c r="R4180">
        <v>0.97348534598984005</v>
      </c>
      <c r="S4180" t="s">
        <v>10632</v>
      </c>
      <c r="T4180" t="s">
        <v>12902</v>
      </c>
      <c r="U4180" t="s">
        <v>12902</v>
      </c>
      <c r="V4180" t="s">
        <v>12902</v>
      </c>
      <c r="W4180" t="s">
        <v>17035</v>
      </c>
      <c r="X4180">
        <v>2</v>
      </c>
      <c r="Y4180" t="s">
        <v>23342</v>
      </c>
      <c r="Z4180" t="s">
        <v>29755</v>
      </c>
      <c r="AA4180">
        <v>0.34985974774299089</v>
      </c>
      <c r="AB4180" t="str">
        <f>HYPERLINK("Melting_Curves/meltCurve_Q86SR1_2_GALNT10.pdf", "Melting_Curves/meltCurve_Q86SR1_2_GALNT10.pdf")</f>
        <v>Melting_Curves/meltCurve_Q86SR1_2_GALNT10.pdf</v>
      </c>
    </row>
    <row r="4181" spans="1:28" x14ac:dyDescent="0.25">
      <c r="A4181" t="s">
        <v>4185</v>
      </c>
      <c r="B4181">
        <v>0.99673306730245903</v>
      </c>
      <c r="C4181">
        <v>1.0136159697152101</v>
      </c>
      <c r="D4181">
        <v>0.961967176494264</v>
      </c>
      <c r="E4181">
        <v>0.890979325861744</v>
      </c>
      <c r="F4181">
        <v>0.76351824217437003</v>
      </c>
      <c r="G4181">
        <v>0.50397585345762597</v>
      </c>
      <c r="H4181">
        <v>0.23165603734784701</v>
      </c>
      <c r="I4181">
        <v>0.19169901594564201</v>
      </c>
      <c r="J4181">
        <v>0.20521945207914999</v>
      </c>
      <c r="K4181">
        <v>0.15788325269604001</v>
      </c>
      <c r="L4181">
        <v>1103.5657189951</v>
      </c>
      <c r="M4181">
        <v>19.862907593957001</v>
      </c>
      <c r="N4181">
        <v>56.528812856574</v>
      </c>
      <c r="O4181">
        <v>55.005176411247099</v>
      </c>
      <c r="P4181">
        <v>-7.7246563577167193E-2</v>
      </c>
      <c r="Q4181">
        <v>0.14437130547605101</v>
      </c>
      <c r="R4181">
        <v>0.99504288789570505</v>
      </c>
      <c r="S4181" t="s">
        <v>10633</v>
      </c>
      <c r="T4181" t="s">
        <v>12902</v>
      </c>
      <c r="U4181" t="s">
        <v>12902</v>
      </c>
      <c r="V4181" t="s">
        <v>12902</v>
      </c>
      <c r="W4181" t="s">
        <v>17036</v>
      </c>
      <c r="X4181">
        <v>7</v>
      </c>
      <c r="Y4181" t="s">
        <v>23343</v>
      </c>
      <c r="Z4181" t="s">
        <v>29756</v>
      </c>
      <c r="AA4181">
        <v>0.59944644971087613</v>
      </c>
      <c r="AB4181" t="str">
        <f>HYPERLINK("Melting_Curves/meltCurve_Q86SX6_GLRX5.pdf", "Melting_Curves/meltCurve_Q86SX6_GLRX5.pdf")</f>
        <v>Melting_Curves/meltCurve_Q86SX6_GLRX5.pdf</v>
      </c>
    </row>
    <row r="4182" spans="1:28" x14ac:dyDescent="0.25">
      <c r="A4182" t="s">
        <v>4186</v>
      </c>
      <c r="B4182">
        <v>0.99673306730245903</v>
      </c>
      <c r="C4182">
        <v>0.95666115224371895</v>
      </c>
      <c r="D4182">
        <v>0.97522835044807998</v>
      </c>
      <c r="E4182">
        <v>1.0379763545754901</v>
      </c>
      <c r="F4182">
        <v>1.05932852667628</v>
      </c>
      <c r="G4182">
        <v>0.503834415064083</v>
      </c>
      <c r="H4182">
        <v>0.123792620237015</v>
      </c>
      <c r="I4182">
        <v>8.3884265498493094E-2</v>
      </c>
      <c r="J4182">
        <v>8.5956722631914506E-2</v>
      </c>
      <c r="K4182">
        <v>7.1337608597339702E-2</v>
      </c>
      <c r="L4182">
        <v>14189.523165599499</v>
      </c>
      <c r="M4182">
        <v>250</v>
      </c>
      <c r="N4182">
        <v>56.803873611223899</v>
      </c>
      <c r="O4182">
        <v>56.754460542321702</v>
      </c>
      <c r="P4182">
        <v>-1.00075527594147</v>
      </c>
      <c r="Q4182">
        <v>9.1242788272579103E-2</v>
      </c>
      <c r="R4182">
        <v>0.99519413475282403</v>
      </c>
      <c r="S4182" t="s">
        <v>10634</v>
      </c>
      <c r="T4182" t="s">
        <v>12902</v>
      </c>
      <c r="U4182" t="s">
        <v>12902</v>
      </c>
      <c r="V4182" t="s">
        <v>12902</v>
      </c>
      <c r="W4182" t="s">
        <v>17037</v>
      </c>
      <c r="X4182">
        <v>6</v>
      </c>
      <c r="Y4182" t="s">
        <v>23344</v>
      </c>
      <c r="Z4182" t="s">
        <v>29757</v>
      </c>
      <c r="AA4182">
        <v>0.59896789457869704</v>
      </c>
      <c r="AB4182" t="str">
        <f>HYPERLINK("Melting_Curves/meltCurve_Q86SZ2_TRAPPC6B.pdf", "Melting_Curves/meltCurve_Q86SZ2_TRAPPC6B.pdf")</f>
        <v>Melting_Curves/meltCurve_Q86SZ2_TRAPPC6B.pdf</v>
      </c>
    </row>
    <row r="4183" spans="1:28" x14ac:dyDescent="0.25">
      <c r="A4183" t="s">
        <v>4187</v>
      </c>
      <c r="B4183">
        <v>0.99673306730245903</v>
      </c>
      <c r="C4183">
        <v>0.93225950300285898</v>
      </c>
      <c r="D4183">
        <v>0.83556026269420403</v>
      </c>
      <c r="E4183">
        <v>0.68742970641196399</v>
      </c>
      <c r="F4183">
        <v>0.50319673646179597</v>
      </c>
      <c r="G4183">
        <v>0.33873935429529001</v>
      </c>
      <c r="H4183">
        <v>0.25029896083518299</v>
      </c>
      <c r="I4183">
        <v>0.205565560361159</v>
      </c>
      <c r="J4183">
        <v>0.177997437658102</v>
      </c>
      <c r="K4183">
        <v>0.161372368547718</v>
      </c>
      <c r="L4183">
        <v>635.20527262581095</v>
      </c>
      <c r="M4183">
        <v>12.2525409280265</v>
      </c>
      <c r="N4183">
        <v>53.104018147734898</v>
      </c>
      <c r="O4183">
        <v>50.519779648567699</v>
      </c>
      <c r="P4183">
        <v>-5.2989565066703E-2</v>
      </c>
      <c r="Q4183">
        <v>0.12624621858621499</v>
      </c>
      <c r="R4183">
        <v>0.99921192268386205</v>
      </c>
      <c r="S4183" t="s">
        <v>10635</v>
      </c>
      <c r="T4183" t="s">
        <v>12902</v>
      </c>
      <c r="U4183" t="s">
        <v>12902</v>
      </c>
      <c r="V4183" t="s">
        <v>12902</v>
      </c>
      <c r="W4183" t="s">
        <v>17038</v>
      </c>
      <c r="X4183">
        <v>3</v>
      </c>
      <c r="Y4183" t="s">
        <v>23345</v>
      </c>
      <c r="Z4183" t="s">
        <v>29758</v>
      </c>
      <c r="AA4183">
        <v>0.49745591096397029</v>
      </c>
      <c r="AB4183" t="str">
        <f>HYPERLINK("Melting_Curves/meltCurve_Q86T03_TMEM55B.pdf", "Melting_Curves/meltCurve_Q86T03_TMEM55B.pdf")</f>
        <v>Melting_Curves/meltCurve_Q86T03_TMEM55B.pdf</v>
      </c>
    </row>
    <row r="4184" spans="1:28" x14ac:dyDescent="0.25">
      <c r="A4184" t="s">
        <v>4188</v>
      </c>
      <c r="B4184">
        <v>0.99673306730245903</v>
      </c>
      <c r="C4184">
        <v>0.81047702195705695</v>
      </c>
      <c r="D4184">
        <v>0.42930856394072398</v>
      </c>
      <c r="E4184">
        <v>0.26267507137318902</v>
      </c>
      <c r="F4184">
        <v>0.17673623707344999</v>
      </c>
      <c r="G4184">
        <v>0.142570162316045</v>
      </c>
      <c r="H4184">
        <v>9.74790839011416E-2</v>
      </c>
      <c r="I4184">
        <v>0.10073285797010401</v>
      </c>
      <c r="J4184">
        <v>9.7957825948586999E-2</v>
      </c>
      <c r="K4184">
        <v>9.7436724378140396E-2</v>
      </c>
      <c r="L4184">
        <v>1020.20926355658</v>
      </c>
      <c r="M4184">
        <v>22.572065535492399</v>
      </c>
      <c r="N4184">
        <v>45.725204841646899</v>
      </c>
      <c r="O4184">
        <v>44.8475953251315</v>
      </c>
      <c r="P4184">
        <v>-0.111409469026244</v>
      </c>
      <c r="Q4184">
        <v>0.114596463595399</v>
      </c>
      <c r="R4184">
        <v>0.99145687609385202</v>
      </c>
      <c r="S4184" t="s">
        <v>10636</v>
      </c>
      <c r="T4184" t="s">
        <v>12902</v>
      </c>
      <c r="U4184" t="s">
        <v>12902</v>
      </c>
      <c r="V4184" t="s">
        <v>12902</v>
      </c>
      <c r="W4184" t="s">
        <v>17039</v>
      </c>
      <c r="X4184">
        <v>7</v>
      </c>
      <c r="Y4184" t="s">
        <v>23346</v>
      </c>
      <c r="Z4184" t="s">
        <v>29759</v>
      </c>
      <c r="AA4184">
        <v>0.27903995775581969</v>
      </c>
      <c r="AB4184" t="str">
        <f>HYPERLINK("Melting_Curves/meltCurve_Q86TB9_4_PATL1.pdf", "Melting_Curves/meltCurve_Q86TB9_4_PATL1.pdf")</f>
        <v>Melting_Curves/meltCurve_Q86TB9_4_PATL1.pdf</v>
      </c>
    </row>
    <row r="4185" spans="1:28" x14ac:dyDescent="0.25">
      <c r="A4185" t="s">
        <v>4189</v>
      </c>
      <c r="B4185">
        <v>0.99673306730245903</v>
      </c>
      <c r="C4185">
        <v>0.62851102174123696</v>
      </c>
      <c r="D4185">
        <v>0.25654640789314298</v>
      </c>
      <c r="E4185">
        <v>0.14578144374739699</v>
      </c>
      <c r="F4185">
        <v>0.110159383581847</v>
      </c>
      <c r="G4185">
        <v>7.8935449033439395E-2</v>
      </c>
      <c r="H4185">
        <v>5.7548199136266402E-2</v>
      </c>
      <c r="I4185">
        <v>6.2185646269342899E-2</v>
      </c>
      <c r="J4185">
        <v>7.4226590722718006E-2</v>
      </c>
      <c r="K4185">
        <v>6.7138908285145904E-2</v>
      </c>
      <c r="L4185">
        <v>1275.2510983968</v>
      </c>
      <c r="M4185">
        <v>29.2219290835767</v>
      </c>
      <c r="N4185">
        <v>43.903605941625798</v>
      </c>
      <c r="O4185">
        <v>43.437373416177998</v>
      </c>
      <c r="P4185">
        <v>-0.15466275697020801</v>
      </c>
      <c r="Q4185">
        <v>8.0403689694689195E-2</v>
      </c>
      <c r="R4185">
        <v>0.99202888120224897</v>
      </c>
      <c r="S4185" t="s">
        <v>10637</v>
      </c>
      <c r="T4185" t="s">
        <v>12902</v>
      </c>
      <c r="U4185" t="s">
        <v>12902</v>
      </c>
      <c r="V4185" t="s">
        <v>12902</v>
      </c>
      <c r="W4185" t="s">
        <v>17040</v>
      </c>
      <c r="X4185">
        <v>8</v>
      </c>
      <c r="Y4185" t="s">
        <v>23347</v>
      </c>
      <c r="Z4185" t="s">
        <v>29760</v>
      </c>
      <c r="AA4185">
        <v>0.19967589355096341</v>
      </c>
      <c r="AB4185" t="str">
        <f>HYPERLINK("Melting_Curves/meltCurve_Q86TG7_PEG10.pdf", "Melting_Curves/meltCurve_Q86TG7_PEG10.pdf")</f>
        <v>Melting_Curves/meltCurve_Q86TG7_PEG10.pdf</v>
      </c>
    </row>
    <row r="4186" spans="1:28" x14ac:dyDescent="0.25">
      <c r="A4186" t="s">
        <v>4190</v>
      </c>
      <c r="B4186">
        <v>0.99673306730245903</v>
      </c>
      <c r="C4186">
        <v>1.01687333065106</v>
      </c>
      <c r="D4186">
        <v>0.98495730739231102</v>
      </c>
      <c r="E4186">
        <v>0.71993924874056403</v>
      </c>
      <c r="F4186">
        <v>0.39427509453494503</v>
      </c>
      <c r="G4186">
        <v>0.31766565610713099</v>
      </c>
      <c r="H4186">
        <v>0.27566030385822299</v>
      </c>
      <c r="I4186">
        <v>0.15266069276369501</v>
      </c>
      <c r="J4186">
        <v>0.13437908067062199</v>
      </c>
      <c r="K4186">
        <v>0.103366765004049</v>
      </c>
      <c r="L4186">
        <v>1023.92148222405</v>
      </c>
      <c r="M4186">
        <v>19.881475998712698</v>
      </c>
      <c r="N4186">
        <v>52.456165630480797</v>
      </c>
      <c r="O4186">
        <v>50.988731022031203</v>
      </c>
      <c r="P4186">
        <v>-8.2682334468331994E-2</v>
      </c>
      <c r="Q4186">
        <v>0.15182818117969801</v>
      </c>
      <c r="R4186">
        <v>0.98418172587047703</v>
      </c>
      <c r="S4186" t="s">
        <v>10638</v>
      </c>
      <c r="T4186" t="s">
        <v>12902</v>
      </c>
      <c r="U4186" t="s">
        <v>12902</v>
      </c>
      <c r="V4186" t="s">
        <v>12902</v>
      </c>
      <c r="W4186" t="s">
        <v>17041</v>
      </c>
      <c r="X4186">
        <v>7</v>
      </c>
      <c r="Y4186" t="s">
        <v>23348</v>
      </c>
      <c r="Z4186" t="s">
        <v>29761</v>
      </c>
      <c r="AA4186">
        <v>0.48888381307969331</v>
      </c>
      <c r="AB4186" t="str">
        <f>HYPERLINK("Melting_Curves/meltCurve_Q86TI0_TBC1D1.pdf", "Melting_Curves/meltCurve_Q86TI0_TBC1D1.pdf")</f>
        <v>Melting_Curves/meltCurve_Q86TI0_TBC1D1.pdf</v>
      </c>
    </row>
    <row r="4187" spans="1:28" x14ac:dyDescent="0.25">
      <c r="A4187" t="s">
        <v>4191</v>
      </c>
      <c r="B4187">
        <v>0.99673306730245903</v>
      </c>
      <c r="C4187">
        <v>0.95593494477590901</v>
      </c>
      <c r="D4187">
        <v>0.95045274549773795</v>
      </c>
      <c r="E4187">
        <v>0.88019828726413496</v>
      </c>
      <c r="F4187">
        <v>0.32864607079583902</v>
      </c>
      <c r="G4187">
        <v>0.22297575147701301</v>
      </c>
      <c r="H4187">
        <v>0.17040585169682201</v>
      </c>
      <c r="I4187">
        <v>0.16580748181747901</v>
      </c>
      <c r="J4187">
        <v>0.18524763510246001</v>
      </c>
      <c r="K4187">
        <v>0.182563072391148</v>
      </c>
      <c r="L4187">
        <v>2324.1651503733701</v>
      </c>
      <c r="M4187">
        <v>45.154699184725203</v>
      </c>
      <c r="N4187">
        <v>51.991835480773098</v>
      </c>
      <c r="O4187">
        <v>51.370522098206798</v>
      </c>
      <c r="P4187">
        <v>-0.17978057912387599</v>
      </c>
      <c r="Q4187">
        <v>0.18188710838465399</v>
      </c>
      <c r="R4187">
        <v>0.99592741966721299</v>
      </c>
      <c r="S4187" t="s">
        <v>10639</v>
      </c>
      <c r="T4187" t="s">
        <v>12902</v>
      </c>
      <c r="U4187" t="s">
        <v>12902</v>
      </c>
      <c r="V4187" t="s">
        <v>12902</v>
      </c>
      <c r="W4187" t="s">
        <v>17042</v>
      </c>
      <c r="X4187">
        <v>5</v>
      </c>
      <c r="Y4187" t="s">
        <v>23349</v>
      </c>
      <c r="Z4187" t="s">
        <v>29762</v>
      </c>
      <c r="AA4187">
        <v>0.49699084617666561</v>
      </c>
      <c r="AB4187" t="str">
        <f>HYPERLINK("Melting_Curves/meltCurve_Q86TI2_DPP9.pdf", "Melting_Curves/meltCurve_Q86TI2_DPP9.pdf")</f>
        <v>Melting_Curves/meltCurve_Q86TI2_DPP9.pdf</v>
      </c>
    </row>
    <row r="4188" spans="1:28" x14ac:dyDescent="0.25">
      <c r="A4188" t="s">
        <v>4192</v>
      </c>
      <c r="B4188">
        <v>0.99673306730245903</v>
      </c>
      <c r="C4188">
        <v>1.0223448530655601</v>
      </c>
      <c r="D4188">
        <v>0.96324737280139605</v>
      </c>
      <c r="E4188">
        <v>0.72200453849018698</v>
      </c>
      <c r="F4188">
        <v>0.45429816674330598</v>
      </c>
      <c r="G4188">
        <v>0.32962023010422398</v>
      </c>
      <c r="H4188">
        <v>0.21495901919899399</v>
      </c>
      <c r="I4188">
        <v>0.17262732759473201</v>
      </c>
      <c r="J4188">
        <v>0.138356299583037</v>
      </c>
      <c r="K4188">
        <v>0.13495861632508099</v>
      </c>
      <c r="L4188">
        <v>940.58942609825203</v>
      </c>
      <c r="M4188">
        <v>18.117180016262999</v>
      </c>
      <c r="N4188">
        <v>52.894624818672803</v>
      </c>
      <c r="O4188">
        <v>51.296834916280702</v>
      </c>
      <c r="P4188">
        <v>-7.5736768314325506E-2</v>
      </c>
      <c r="Q4188">
        <v>0.14227898323956201</v>
      </c>
      <c r="R4188">
        <v>0.99485000462791395</v>
      </c>
      <c r="S4188" t="s">
        <v>10640</v>
      </c>
      <c r="T4188" t="s">
        <v>12902</v>
      </c>
      <c r="U4188" t="s">
        <v>12902</v>
      </c>
      <c r="V4188" t="s">
        <v>12902</v>
      </c>
      <c r="W4188" t="s">
        <v>17043</v>
      </c>
      <c r="X4188">
        <v>1</v>
      </c>
      <c r="Y4188" t="s">
        <v>23350</v>
      </c>
      <c r="Z4188" t="s">
        <v>29763</v>
      </c>
      <c r="AA4188">
        <v>0.49712511223078698</v>
      </c>
      <c r="AB4188" t="str">
        <f>HYPERLINK("Melting_Curves/meltCurve_Q86TM6_2_SYVN1.pdf", "Melting_Curves/meltCurve_Q86TM6_2_SYVN1.pdf")</f>
        <v>Melting_Curves/meltCurve_Q86TM6_2_SYVN1.pdf</v>
      </c>
    </row>
    <row r="4189" spans="1:28" x14ac:dyDescent="0.25">
      <c r="A4189" t="s">
        <v>4193</v>
      </c>
      <c r="B4189">
        <v>0.99673306730245903</v>
      </c>
      <c r="C4189">
        <v>0.96516433048332395</v>
      </c>
      <c r="D4189">
        <v>0.88027157423173896</v>
      </c>
      <c r="E4189">
        <v>0.70314763085116905</v>
      </c>
      <c r="F4189">
        <v>0.44016228462206097</v>
      </c>
      <c r="G4189">
        <v>0.23791500222067999</v>
      </c>
      <c r="H4189">
        <v>0.11130942952022101</v>
      </c>
      <c r="I4189">
        <v>9.40795035312985E-2</v>
      </c>
      <c r="J4189">
        <v>7.9829846850632394E-2</v>
      </c>
      <c r="K4189">
        <v>7.7510570555804695E-2</v>
      </c>
      <c r="L4189">
        <v>844.42066530267095</v>
      </c>
      <c r="M4189">
        <v>16.270823122799602</v>
      </c>
      <c r="N4189">
        <v>52.252149782688697</v>
      </c>
      <c r="O4189">
        <v>51.132902877317001</v>
      </c>
      <c r="P4189">
        <v>-7.5402240470654594E-2</v>
      </c>
      <c r="Q4189">
        <v>5.2229316039462501E-2</v>
      </c>
      <c r="R4189">
        <v>0.99930842432838396</v>
      </c>
      <c r="S4189" t="s">
        <v>10641</v>
      </c>
      <c r="T4189" t="s">
        <v>12902</v>
      </c>
      <c r="U4189" t="s">
        <v>12902</v>
      </c>
      <c r="V4189" t="s">
        <v>12902</v>
      </c>
      <c r="W4189" t="s">
        <v>17044</v>
      </c>
      <c r="X4189">
        <v>5</v>
      </c>
      <c r="Y4189" t="s">
        <v>23351</v>
      </c>
      <c r="Z4189" t="s">
        <v>29764</v>
      </c>
      <c r="AA4189">
        <v>0.44680635328173701</v>
      </c>
      <c r="AB4189" t="str">
        <f>HYPERLINK("Melting_Curves/meltCurve_Q86TN4_TRPT1.pdf", "Melting_Curves/meltCurve_Q86TN4_TRPT1.pdf")</f>
        <v>Melting_Curves/meltCurve_Q86TN4_TRPT1.pdf</v>
      </c>
    </row>
    <row r="4190" spans="1:28" x14ac:dyDescent="0.25">
      <c r="A4190" t="s">
        <v>4194</v>
      </c>
      <c r="B4190">
        <v>0.99673306730245903</v>
      </c>
      <c r="C4190">
        <v>0.86700032776247504</v>
      </c>
      <c r="D4190">
        <v>0.49839717776327203</v>
      </c>
      <c r="E4190">
        <v>0.57680034618490905</v>
      </c>
      <c r="F4190">
        <v>0.15979646219423899</v>
      </c>
      <c r="G4190">
        <v>9.9993781110266799E-2</v>
      </c>
      <c r="H4190">
        <v>4.7774617789162102E-2</v>
      </c>
      <c r="I4190">
        <v>4.2596037832969898E-2</v>
      </c>
      <c r="J4190">
        <v>5.0686082602570397E-2</v>
      </c>
      <c r="K4190">
        <v>4.5807879391123102E-2</v>
      </c>
      <c r="L4190">
        <v>637.17936194788899</v>
      </c>
      <c r="M4190">
        <v>13.2489039980555</v>
      </c>
      <c r="N4190">
        <v>48.165046244497503</v>
      </c>
      <c r="O4190">
        <v>47.036938455220103</v>
      </c>
      <c r="P4190">
        <v>-6.9737964846177003E-2</v>
      </c>
      <c r="Q4190">
        <v>9.8132095283471592E-3</v>
      </c>
      <c r="R4190">
        <v>0.94866934606384701</v>
      </c>
      <c r="S4190" t="s">
        <v>10642</v>
      </c>
      <c r="T4190" t="s">
        <v>12902</v>
      </c>
      <c r="U4190" t="s">
        <v>12902</v>
      </c>
      <c r="V4190" t="s">
        <v>12902</v>
      </c>
      <c r="W4190" t="s">
        <v>17045</v>
      </c>
      <c r="X4190">
        <v>10</v>
      </c>
      <c r="Y4190" t="s">
        <v>23352</v>
      </c>
      <c r="Z4190" t="s">
        <v>29765</v>
      </c>
      <c r="AA4190">
        <v>0.30912344791047941</v>
      </c>
      <c r="AB4190" t="str">
        <f>HYPERLINK("Melting_Curves/meltCurve_Q86TP1_PRUNE.pdf", "Melting_Curves/meltCurve_Q86TP1_PRUNE.pdf")</f>
        <v>Melting_Curves/meltCurve_Q86TP1_PRUNE.pdf</v>
      </c>
    </row>
    <row r="4191" spans="1:28" x14ac:dyDescent="0.25">
      <c r="A4191" t="s">
        <v>4195</v>
      </c>
      <c r="B4191">
        <v>0.99673306730245903</v>
      </c>
      <c r="C4191">
        <v>1.0270536717935901</v>
      </c>
      <c r="D4191">
        <v>1.3544700740921101</v>
      </c>
      <c r="E4191">
        <v>1.3386628571563499</v>
      </c>
      <c r="F4191">
        <v>1.2763923200580201</v>
      </c>
      <c r="G4191">
        <v>0.826257055253939</v>
      </c>
      <c r="H4191">
        <v>0.567234654770567</v>
      </c>
      <c r="I4191">
        <v>0.60501583992555297</v>
      </c>
      <c r="J4191">
        <v>1.49674263174375</v>
      </c>
      <c r="K4191">
        <v>1.66216290345282</v>
      </c>
      <c r="L4191">
        <v>10786.6356565813</v>
      </c>
      <c r="M4191">
        <v>250</v>
      </c>
      <c r="O4191">
        <v>43.143786041648902</v>
      </c>
      <c r="P4191">
        <v>0.20406661150297101</v>
      </c>
      <c r="Q4191">
        <v>1.1408672847392001</v>
      </c>
      <c r="R4191">
        <v>2.1759718111313602E-2</v>
      </c>
      <c r="S4191" t="s">
        <v>10643</v>
      </c>
      <c r="T4191" t="s">
        <v>12902</v>
      </c>
      <c r="U4191" t="s">
        <v>12902</v>
      </c>
      <c r="V4191" t="s">
        <v>12902</v>
      </c>
      <c r="W4191" t="s">
        <v>17046</v>
      </c>
      <c r="X4191">
        <v>2</v>
      </c>
      <c r="Y4191" t="s">
        <v>23353</v>
      </c>
      <c r="Z4191" t="s">
        <v>29766</v>
      </c>
      <c r="AA4191">
        <v>1.126081787517367</v>
      </c>
      <c r="AB4191" t="str">
        <f>HYPERLINK("Melting_Curves/meltCurve_Q86TS9_3_MRPL52.pdf", "Melting_Curves/meltCurve_Q86TS9_3_MRPL52.pdf")</f>
        <v>Melting_Curves/meltCurve_Q86TS9_3_MRPL52.pdf</v>
      </c>
    </row>
    <row r="4192" spans="1:28" x14ac:dyDescent="0.25">
      <c r="A4192" t="s">
        <v>4196</v>
      </c>
      <c r="B4192">
        <v>0.99673306730245903</v>
      </c>
      <c r="C4192">
        <v>0.87391346934331904</v>
      </c>
      <c r="D4192">
        <v>0.81710341213964199</v>
      </c>
      <c r="E4192">
        <v>0.91663100799819297</v>
      </c>
      <c r="F4192">
        <v>0.43941996075580197</v>
      </c>
      <c r="G4192">
        <v>0.140906866102813</v>
      </c>
      <c r="H4192">
        <v>6.95112487163803E-2</v>
      </c>
      <c r="I4192">
        <v>6.4339393327404695E-2</v>
      </c>
      <c r="J4192">
        <v>6.2860729355120104E-2</v>
      </c>
      <c r="K4192">
        <v>5.18776412816324E-2</v>
      </c>
      <c r="L4192">
        <v>1651.6656261114999</v>
      </c>
      <c r="M4192">
        <v>31.387306751791701</v>
      </c>
      <c r="N4192">
        <v>52.824397722877798</v>
      </c>
      <c r="O4192">
        <v>52.409865389853501</v>
      </c>
      <c r="P4192">
        <v>-0.14124217003857001</v>
      </c>
      <c r="Q4192">
        <v>5.66323169502242E-2</v>
      </c>
      <c r="R4192">
        <v>0.96914528203758199</v>
      </c>
      <c r="S4192" t="s">
        <v>10644</v>
      </c>
      <c r="T4192" t="s">
        <v>12902</v>
      </c>
      <c r="U4192" t="s">
        <v>12902</v>
      </c>
      <c r="V4192" t="s">
        <v>12902</v>
      </c>
      <c r="W4192" t="s">
        <v>17047</v>
      </c>
      <c r="X4192">
        <v>14</v>
      </c>
      <c r="Y4192" t="s">
        <v>23354</v>
      </c>
      <c r="Z4192" t="s">
        <v>29767</v>
      </c>
      <c r="AA4192">
        <v>0.45910643767802017</v>
      </c>
      <c r="AB4192" t="str">
        <f>HYPERLINK("Melting_Curves/meltCurve_Q86TU7_SETD3.pdf", "Melting_Curves/meltCurve_Q86TU7_SETD3.pdf")</f>
        <v>Melting_Curves/meltCurve_Q86TU7_SETD3.pdf</v>
      </c>
    </row>
    <row r="4193" spans="1:28" x14ac:dyDescent="0.25">
      <c r="A4193" t="s">
        <v>4197</v>
      </c>
      <c r="B4193">
        <v>0.99673306730245903</v>
      </c>
      <c r="C4193">
        <v>1.00344773194041</v>
      </c>
      <c r="D4193">
        <v>0.99620384346635205</v>
      </c>
      <c r="E4193">
        <v>1.0858918304679901</v>
      </c>
      <c r="F4193">
        <v>1.0623533810801</v>
      </c>
      <c r="G4193">
        <v>0.61473555719586304</v>
      </c>
      <c r="H4193">
        <v>0.21904708904801001</v>
      </c>
      <c r="I4193">
        <v>0.10680954874241599</v>
      </c>
      <c r="J4193">
        <v>0.108783038772283</v>
      </c>
      <c r="K4193">
        <v>8.6870866065063002E-2</v>
      </c>
      <c r="L4193">
        <v>2598.2097144263098</v>
      </c>
      <c r="M4193">
        <v>45.3671012064788</v>
      </c>
      <c r="N4193">
        <v>57.588779661638803</v>
      </c>
      <c r="O4193">
        <v>57.159842201134801</v>
      </c>
      <c r="P4193">
        <v>-0.17643788443990699</v>
      </c>
      <c r="Q4193">
        <v>0.11079622081530301</v>
      </c>
      <c r="R4193">
        <v>0.98944197171470305</v>
      </c>
      <c r="S4193" t="s">
        <v>10645</v>
      </c>
      <c r="T4193" t="s">
        <v>12902</v>
      </c>
      <c r="U4193" t="s">
        <v>12902</v>
      </c>
      <c r="V4193" t="s">
        <v>12902</v>
      </c>
      <c r="W4193" t="s">
        <v>17048</v>
      </c>
      <c r="X4193">
        <v>1</v>
      </c>
      <c r="Y4193" t="s">
        <v>23355</v>
      </c>
      <c r="Z4193" t="s">
        <v>29768</v>
      </c>
      <c r="AA4193">
        <v>0.62542101546065187</v>
      </c>
      <c r="AB4193" t="str">
        <f>HYPERLINK("Melting_Curves/meltCurve_Q86TW2_3_ADCK1.pdf", "Melting_Curves/meltCurve_Q86TW2_3_ADCK1.pdf")</f>
        <v>Melting_Curves/meltCurve_Q86TW2_3_ADCK1.pdf</v>
      </c>
    </row>
    <row r="4194" spans="1:28" x14ac:dyDescent="0.25">
      <c r="A4194" t="s">
        <v>4198</v>
      </c>
      <c r="B4194">
        <v>0.99673306730245903</v>
      </c>
      <c r="C4194">
        <v>1.03885239920758</v>
      </c>
      <c r="D4194">
        <v>0.94737610323020605</v>
      </c>
      <c r="E4194">
        <v>0.78087911768255003</v>
      </c>
      <c r="F4194">
        <v>0.27624227294419901</v>
      </c>
      <c r="G4194">
        <v>0.159423669127009</v>
      </c>
      <c r="H4194">
        <v>8.9007724576712396E-2</v>
      </c>
      <c r="I4194">
        <v>7.4824485869686305E-2</v>
      </c>
      <c r="J4194">
        <v>8.4176422253434399E-2</v>
      </c>
      <c r="K4194">
        <v>7.3864922087407706E-2</v>
      </c>
      <c r="L4194">
        <v>1678.4012744847901</v>
      </c>
      <c r="M4194">
        <v>32.761461599413799</v>
      </c>
      <c r="N4194">
        <v>51.524507882375502</v>
      </c>
      <c r="O4194">
        <v>51.041215894857601</v>
      </c>
      <c r="P4194">
        <v>-0.14680563742745001</v>
      </c>
      <c r="Q4194">
        <v>8.5131928534543294E-2</v>
      </c>
      <c r="R4194">
        <v>0.99704547008121003</v>
      </c>
      <c r="S4194" t="s">
        <v>10646</v>
      </c>
      <c r="T4194" t="s">
        <v>12902</v>
      </c>
      <c r="U4194" t="s">
        <v>12902</v>
      </c>
      <c r="V4194" t="s">
        <v>12902</v>
      </c>
      <c r="W4194" t="s">
        <v>17049</v>
      </c>
      <c r="X4194">
        <v>25</v>
      </c>
      <c r="Y4194" t="s">
        <v>23356</v>
      </c>
      <c r="Z4194" t="s">
        <v>29769</v>
      </c>
      <c r="AA4194">
        <v>0.43246711454871339</v>
      </c>
      <c r="AB4194" t="str">
        <f>HYPERLINK("Melting_Curves/meltCurve_Q86TX2_ACOT1.pdf", "Melting_Curves/meltCurve_Q86TX2_ACOT1.pdf")</f>
        <v>Melting_Curves/meltCurve_Q86TX2_ACOT1.pdf</v>
      </c>
    </row>
    <row r="4195" spans="1:28" x14ac:dyDescent="0.25">
      <c r="A4195" t="s">
        <v>4199</v>
      </c>
      <c r="B4195">
        <v>0.99673306730245903</v>
      </c>
      <c r="C4195">
        <v>0.90092356933009798</v>
      </c>
      <c r="D4195">
        <v>0.61973406109445806</v>
      </c>
      <c r="E4195">
        <v>0.37344712112319101</v>
      </c>
      <c r="F4195">
        <v>0.26325505333015098</v>
      </c>
      <c r="G4195">
        <v>0.19473519846189499</v>
      </c>
      <c r="H4195">
        <v>0.14500215071131001</v>
      </c>
      <c r="I4195">
        <v>0.17803182908748499</v>
      </c>
      <c r="J4195">
        <v>0.17443178826071901</v>
      </c>
      <c r="K4195">
        <v>0.18741171864370201</v>
      </c>
      <c r="L4195">
        <v>947.39935375616403</v>
      </c>
      <c r="M4195">
        <v>20.3066994632035</v>
      </c>
      <c r="N4195">
        <v>47.657383718102999</v>
      </c>
      <c r="O4195">
        <v>46.209145808838599</v>
      </c>
      <c r="P4195">
        <v>-9.0763417112012301E-2</v>
      </c>
      <c r="Q4195">
        <v>0.17387432695577401</v>
      </c>
      <c r="R4195">
        <v>0.99573610204975704</v>
      </c>
      <c r="S4195" t="s">
        <v>10647</v>
      </c>
      <c r="T4195" t="s">
        <v>12902</v>
      </c>
      <c r="U4195" t="s">
        <v>12902</v>
      </c>
      <c r="V4195" t="s">
        <v>12902</v>
      </c>
      <c r="W4195" t="s">
        <v>17050</v>
      </c>
      <c r="X4195">
        <v>1</v>
      </c>
      <c r="Y4195" t="s">
        <v>23357</v>
      </c>
      <c r="Z4195" t="s">
        <v>29770</v>
      </c>
      <c r="AA4195">
        <v>0.36899374065811208</v>
      </c>
      <c r="AB4195" t="str">
        <f>HYPERLINK("Melting_Curves/meltCurve_Q86TZ8_TINF2.pdf", "Melting_Curves/meltCurve_Q86TZ8_TINF2.pdf")</f>
        <v>Melting_Curves/meltCurve_Q86TZ8_TINF2.pdf</v>
      </c>
    </row>
    <row r="4196" spans="1:28" x14ac:dyDescent="0.25">
      <c r="A4196" t="s">
        <v>4200</v>
      </c>
      <c r="B4196">
        <v>0.99673306730245903</v>
      </c>
      <c r="C4196">
        <v>1.0540192311186101</v>
      </c>
      <c r="D4196">
        <v>0.96085454510026702</v>
      </c>
      <c r="E4196">
        <v>0.82238706592613398</v>
      </c>
      <c r="F4196">
        <v>0.54491517916242205</v>
      </c>
      <c r="G4196">
        <v>0.29457623296235202</v>
      </c>
      <c r="H4196">
        <v>0.127756949930356</v>
      </c>
      <c r="I4196">
        <v>0.11410811915435801</v>
      </c>
      <c r="J4196">
        <v>0.12712589200804</v>
      </c>
      <c r="K4196">
        <v>0.109004612878597</v>
      </c>
      <c r="L4196">
        <v>1117.4260180936999</v>
      </c>
      <c r="M4196">
        <v>21.0401458522831</v>
      </c>
      <c r="N4196">
        <v>53.663815643427</v>
      </c>
      <c r="O4196">
        <v>52.636457348196103</v>
      </c>
      <c r="P4196">
        <v>-9.0169455477412896E-2</v>
      </c>
      <c r="Q4196">
        <v>9.7710765975970698E-2</v>
      </c>
      <c r="R4196">
        <v>0.99648690351649205</v>
      </c>
      <c r="S4196" t="s">
        <v>10648</v>
      </c>
      <c r="T4196" t="s">
        <v>12902</v>
      </c>
      <c r="U4196" t="s">
        <v>12902</v>
      </c>
      <c r="V4196" t="s">
        <v>12902</v>
      </c>
      <c r="W4196" t="s">
        <v>17051</v>
      </c>
      <c r="X4196">
        <v>5</v>
      </c>
      <c r="Y4196" t="s">
        <v>23358</v>
      </c>
      <c r="Z4196" t="s">
        <v>29771</v>
      </c>
      <c r="AA4196">
        <v>0.50335045130969158</v>
      </c>
      <c r="AB4196" t="str">
        <f>HYPERLINK("Melting_Curves/meltCurve_Q86U28_ISCA2.pdf", "Melting_Curves/meltCurve_Q86U28_ISCA2.pdf")</f>
        <v>Melting_Curves/meltCurve_Q86U28_ISCA2.pdf</v>
      </c>
    </row>
    <row r="4197" spans="1:28" x14ac:dyDescent="0.25">
      <c r="A4197" t="s">
        <v>4201</v>
      </c>
      <c r="B4197">
        <v>0.99673306730245903</v>
      </c>
      <c r="C4197">
        <v>0.88614082858809595</v>
      </c>
      <c r="D4197">
        <v>0.56651477786178905</v>
      </c>
      <c r="E4197">
        <v>0.23229778717549701</v>
      </c>
      <c r="F4197">
        <v>0.15581337457115499</v>
      </c>
      <c r="G4197">
        <v>0.102783972821825</v>
      </c>
      <c r="H4197">
        <v>8.2735619991716206E-2</v>
      </c>
      <c r="I4197">
        <v>7.7692981091718794E-2</v>
      </c>
      <c r="J4197">
        <v>7.4944470986167896E-2</v>
      </c>
      <c r="K4197">
        <v>5.6792398665491198E-2</v>
      </c>
      <c r="L4197">
        <v>1089.94943717859</v>
      </c>
      <c r="M4197">
        <v>23.542256413056201</v>
      </c>
      <c r="N4197">
        <v>46.6450019451662</v>
      </c>
      <c r="O4197">
        <v>45.967389978348201</v>
      </c>
      <c r="P4197">
        <v>-0.117743605453865</v>
      </c>
      <c r="Q4197">
        <v>8.0415111370134601E-2</v>
      </c>
      <c r="R4197">
        <v>0.99788691800329299</v>
      </c>
      <c r="S4197" t="s">
        <v>10649</v>
      </c>
      <c r="T4197" t="s">
        <v>12902</v>
      </c>
      <c r="U4197" t="s">
        <v>12902</v>
      </c>
      <c r="V4197" t="s">
        <v>12902</v>
      </c>
      <c r="W4197" t="s">
        <v>17052</v>
      </c>
      <c r="X4197">
        <v>5</v>
      </c>
      <c r="Y4197" t="s">
        <v>23359</v>
      </c>
      <c r="Z4197" t="s">
        <v>29772</v>
      </c>
      <c r="AA4197">
        <v>0.28306464696718692</v>
      </c>
      <c r="AB4197" t="str">
        <f>HYPERLINK("Melting_Curves/meltCurve_Q86U38_NOP9.pdf", "Melting_Curves/meltCurve_Q86U38_NOP9.pdf")</f>
        <v>Melting_Curves/meltCurve_Q86U38_NOP9.pdf</v>
      </c>
    </row>
    <row r="4198" spans="1:28" x14ac:dyDescent="0.25">
      <c r="A4198" t="s">
        <v>4202</v>
      </c>
      <c r="B4198">
        <v>0.99673306730245903</v>
      </c>
      <c r="C4198">
        <v>0.94549396382681195</v>
      </c>
      <c r="D4198">
        <v>0.88508678656523598</v>
      </c>
      <c r="E4198">
        <v>0.81273662677547998</v>
      </c>
      <c r="F4198">
        <v>0.324939367560931</v>
      </c>
      <c r="G4198">
        <v>0.17076023435176499</v>
      </c>
      <c r="H4198">
        <v>0.106778579946418</v>
      </c>
      <c r="I4198">
        <v>0.105776236469032</v>
      </c>
      <c r="J4198">
        <v>0.11175217376656001</v>
      </c>
      <c r="K4198">
        <v>9.9703372902160706E-2</v>
      </c>
      <c r="L4198">
        <v>1533.9034924273601</v>
      </c>
      <c r="M4198">
        <v>29.813413099364301</v>
      </c>
      <c r="N4198">
        <v>51.854852292185697</v>
      </c>
      <c r="O4198">
        <v>51.2202970349541</v>
      </c>
      <c r="P4198">
        <v>-0.13041130712697799</v>
      </c>
      <c r="Q4198">
        <v>0.10380455137155099</v>
      </c>
      <c r="R4198">
        <v>0.99103979893145799</v>
      </c>
      <c r="S4198" t="s">
        <v>10650</v>
      </c>
      <c r="T4198" t="s">
        <v>12902</v>
      </c>
      <c r="U4198" t="s">
        <v>12902</v>
      </c>
      <c r="V4198" t="s">
        <v>12902</v>
      </c>
      <c r="W4198" t="s">
        <v>17053</v>
      </c>
      <c r="X4198">
        <v>10</v>
      </c>
      <c r="Y4198" t="s">
        <v>23360</v>
      </c>
      <c r="Z4198" t="s">
        <v>29773</v>
      </c>
      <c r="AA4198">
        <v>0.45160316803580502</v>
      </c>
      <c r="AB4198" t="str">
        <f>HYPERLINK("Melting_Curves/meltCurve_Q86U44_METTL3.pdf", "Melting_Curves/meltCurve_Q86U44_METTL3.pdf")</f>
        <v>Melting_Curves/meltCurve_Q86U44_METTL3.pdf</v>
      </c>
    </row>
    <row r="4199" spans="1:28" x14ac:dyDescent="0.25">
      <c r="A4199" t="s">
        <v>4203</v>
      </c>
      <c r="B4199">
        <v>0.99673306730245903</v>
      </c>
      <c r="C4199">
        <v>0.99549911073596697</v>
      </c>
      <c r="D4199">
        <v>1.07822470435361</v>
      </c>
      <c r="E4199">
        <v>1.0429772547418901</v>
      </c>
      <c r="F4199">
        <v>1.3833932475738799</v>
      </c>
      <c r="G4199">
        <v>0.97429413503041395</v>
      </c>
      <c r="H4199">
        <v>0.46733823907581701</v>
      </c>
      <c r="I4199">
        <v>0.34345141079925001</v>
      </c>
      <c r="J4199">
        <v>0.44035933893329998</v>
      </c>
      <c r="K4199">
        <v>0.36337368317313201</v>
      </c>
      <c r="L4199">
        <v>4587.82052216584</v>
      </c>
      <c r="M4199">
        <v>77.326658387609996</v>
      </c>
      <c r="N4199">
        <v>60.461649211061399</v>
      </c>
      <c r="O4199">
        <v>59.290739540784102</v>
      </c>
      <c r="P4199">
        <v>-0.20138680818809199</v>
      </c>
      <c r="Q4199">
        <v>0.38234127679657798</v>
      </c>
      <c r="R4199">
        <v>0.86870216988418603</v>
      </c>
      <c r="S4199" t="s">
        <v>10651</v>
      </c>
      <c r="T4199" t="s">
        <v>12902</v>
      </c>
      <c r="U4199" t="s">
        <v>12902</v>
      </c>
      <c r="V4199" t="s">
        <v>12902</v>
      </c>
      <c r="W4199" t="s">
        <v>17054</v>
      </c>
      <c r="X4199">
        <v>1</v>
      </c>
      <c r="Y4199" t="s">
        <v>23361</v>
      </c>
      <c r="Z4199" t="s">
        <v>29774</v>
      </c>
      <c r="AA4199">
        <v>0.78100081058949367</v>
      </c>
      <c r="AB4199" t="str">
        <f>HYPERLINK("Melting_Curves/meltCurve_Q86U70_3_LDB1.pdf", "Melting_Curves/meltCurve_Q86U70_3_LDB1.pdf")</f>
        <v>Melting_Curves/meltCurve_Q86U70_3_LDB1.pdf</v>
      </c>
    </row>
    <row r="4200" spans="1:28" x14ac:dyDescent="0.25">
      <c r="A4200" t="s">
        <v>4204</v>
      </c>
      <c r="B4200">
        <v>0.99673306730245903</v>
      </c>
      <c r="C4200">
        <v>0.61741213017128604</v>
      </c>
      <c r="D4200">
        <v>0.33113576993278199</v>
      </c>
      <c r="E4200">
        <v>0.19264736388709</v>
      </c>
      <c r="F4200">
        <v>0.136262796505217</v>
      </c>
      <c r="G4200">
        <v>9.9822556672333307E-2</v>
      </c>
      <c r="H4200">
        <v>7.2374107741324398E-2</v>
      </c>
      <c r="I4200">
        <v>6.17599468004204E-2</v>
      </c>
      <c r="J4200">
        <v>9.5363983154806597E-2</v>
      </c>
      <c r="K4200">
        <v>8.9879565333164907E-2</v>
      </c>
      <c r="L4200">
        <v>1031.5562214905899</v>
      </c>
      <c r="M4200">
        <v>23.512444022183502</v>
      </c>
      <c r="N4200">
        <v>44.268752982629501</v>
      </c>
      <c r="O4200">
        <v>43.559100452512901</v>
      </c>
      <c r="P4200">
        <v>-0.122149910224901</v>
      </c>
      <c r="Q4200">
        <v>9.4836648030502499E-2</v>
      </c>
      <c r="R4200">
        <v>0.98460291624788898</v>
      </c>
      <c r="S4200" t="s">
        <v>10652</v>
      </c>
      <c r="T4200" t="s">
        <v>12902</v>
      </c>
      <c r="U4200" t="s">
        <v>12902</v>
      </c>
      <c r="V4200" t="s">
        <v>12902</v>
      </c>
      <c r="W4200" t="s">
        <v>17055</v>
      </c>
      <c r="X4200">
        <v>2</v>
      </c>
      <c r="Y4200" t="s">
        <v>23362</v>
      </c>
      <c r="Z4200" t="s">
        <v>29775</v>
      </c>
      <c r="AA4200">
        <v>0.2239939569883482</v>
      </c>
      <c r="AB4200" t="str">
        <f>HYPERLINK("Melting_Curves/meltCurve_Q86U86_5_PBRM1.pdf", "Melting_Curves/meltCurve_Q86U86_5_PBRM1.pdf")</f>
        <v>Melting_Curves/meltCurve_Q86U86_5_PBRM1.pdf</v>
      </c>
    </row>
    <row r="4201" spans="1:28" x14ac:dyDescent="0.25">
      <c r="A4201" t="s">
        <v>4205</v>
      </c>
      <c r="B4201">
        <v>0.99673306730245903</v>
      </c>
      <c r="C4201">
        <v>1.0163734234066299</v>
      </c>
      <c r="D4201">
        <v>0.91474191451604903</v>
      </c>
      <c r="E4201">
        <v>0.87001396220151295</v>
      </c>
      <c r="F4201">
        <v>0.56483304912653298</v>
      </c>
      <c r="G4201">
        <v>0.27599800504267102</v>
      </c>
      <c r="H4201">
        <v>0.16599746143496899</v>
      </c>
      <c r="I4201">
        <v>0.213516783921126</v>
      </c>
      <c r="J4201">
        <v>7.9157995091945002E-2</v>
      </c>
      <c r="K4201">
        <v>6.4143475603461703E-2</v>
      </c>
      <c r="L4201">
        <v>1091.4592312899499</v>
      </c>
      <c r="M4201">
        <v>20.444964606054899</v>
      </c>
      <c r="N4201">
        <v>53.9503652741586</v>
      </c>
      <c r="O4201">
        <v>52.882389432294197</v>
      </c>
      <c r="P4201">
        <v>-8.7339393941792007E-2</v>
      </c>
      <c r="Q4201">
        <v>9.6388525116774204E-2</v>
      </c>
      <c r="R4201">
        <v>0.989686285054315</v>
      </c>
      <c r="S4201" t="s">
        <v>10653</v>
      </c>
      <c r="T4201" t="s">
        <v>12902</v>
      </c>
      <c r="U4201" t="s">
        <v>12902</v>
      </c>
      <c r="V4201" t="s">
        <v>12902</v>
      </c>
      <c r="W4201" t="s">
        <v>17056</v>
      </c>
      <c r="X4201">
        <v>11</v>
      </c>
      <c r="Y4201" t="s">
        <v>23363</v>
      </c>
      <c r="Z4201" t="s">
        <v>29776</v>
      </c>
      <c r="AA4201">
        <v>0.51148861740457685</v>
      </c>
      <c r="AB4201" t="str">
        <f>HYPERLINK("Melting_Curves/meltCurve_Q86U90_YRDC.pdf", "Melting_Curves/meltCurve_Q86U90_YRDC.pdf")</f>
        <v>Melting_Curves/meltCurve_Q86U90_YRDC.pdf</v>
      </c>
    </row>
    <row r="4202" spans="1:28" x14ac:dyDescent="0.25">
      <c r="A4202" t="s">
        <v>4206</v>
      </c>
      <c r="B4202">
        <v>0.99673306730245903</v>
      </c>
      <c r="C4202">
        <v>0.76014589725110904</v>
      </c>
      <c r="D4202">
        <v>0.38907837879010698</v>
      </c>
      <c r="E4202">
        <v>0.18657339386478999</v>
      </c>
      <c r="F4202">
        <v>0.13726035553277699</v>
      </c>
      <c r="G4202">
        <v>0.105496096566232</v>
      </c>
      <c r="H4202">
        <v>6.2665143253547398E-2</v>
      </c>
      <c r="I4202">
        <v>5.9864756707942897E-2</v>
      </c>
      <c r="J4202">
        <v>5.88516736025207E-2</v>
      </c>
      <c r="K4202">
        <v>6.1781484510195703E-2</v>
      </c>
      <c r="L4202">
        <v>1060.5789647582301</v>
      </c>
      <c r="M4202">
        <v>23.642532550262199</v>
      </c>
      <c r="N4202">
        <v>45.179153440580897</v>
      </c>
      <c r="O4202">
        <v>44.541706058810597</v>
      </c>
      <c r="P4202">
        <v>-0.122464840264528</v>
      </c>
      <c r="Q4202">
        <v>7.7137558471460796E-2</v>
      </c>
      <c r="R4202">
        <v>0.99395647158965095</v>
      </c>
      <c r="S4202" t="s">
        <v>10654</v>
      </c>
      <c r="T4202" t="s">
        <v>12902</v>
      </c>
      <c r="U4202" t="s">
        <v>12902</v>
      </c>
      <c r="V4202" t="s">
        <v>12902</v>
      </c>
      <c r="W4202" t="s">
        <v>17057</v>
      </c>
      <c r="X4202">
        <v>7</v>
      </c>
      <c r="Y4202" t="s">
        <v>23364</v>
      </c>
      <c r="Z4202" t="s">
        <v>29777</v>
      </c>
      <c r="AA4202">
        <v>0.23728842389473359</v>
      </c>
      <c r="AB4202" t="str">
        <f>HYPERLINK("Melting_Curves/meltCurve_Q86UA1_PRPF39.pdf", "Melting_Curves/meltCurve_Q86UA1_PRPF39.pdf")</f>
        <v>Melting_Curves/meltCurve_Q86UA1_PRPF39.pdf</v>
      </c>
    </row>
    <row r="4203" spans="1:28" x14ac:dyDescent="0.25">
      <c r="A4203" t="s">
        <v>4207</v>
      </c>
      <c r="B4203">
        <v>0.99673306730245903</v>
      </c>
      <c r="C4203">
        <v>0.95740394123941497</v>
      </c>
      <c r="D4203">
        <v>0.77328684281122495</v>
      </c>
      <c r="E4203">
        <v>0.51366078969860396</v>
      </c>
      <c r="F4203">
        <v>0.33584247274951701</v>
      </c>
      <c r="G4203">
        <v>0.25753478237795002</v>
      </c>
      <c r="H4203">
        <v>0.16899891852013099</v>
      </c>
      <c r="I4203">
        <v>0.16259828133696499</v>
      </c>
      <c r="J4203">
        <v>0.201226809214156</v>
      </c>
      <c r="K4203">
        <v>0.17561968499393299</v>
      </c>
      <c r="L4203">
        <v>866.11709266237006</v>
      </c>
      <c r="M4203">
        <v>17.772531143146001</v>
      </c>
      <c r="N4203">
        <v>49.920387890262703</v>
      </c>
      <c r="O4203">
        <v>48.129037216242899</v>
      </c>
      <c r="P4203">
        <v>-7.6413183381537506E-2</v>
      </c>
      <c r="Q4203">
        <v>0.17231772007123</v>
      </c>
      <c r="R4203">
        <v>0.99658293403113496</v>
      </c>
      <c r="S4203" t="s">
        <v>10655</v>
      </c>
      <c r="T4203" t="s">
        <v>12902</v>
      </c>
      <c r="U4203" t="s">
        <v>12902</v>
      </c>
      <c r="V4203" t="s">
        <v>12902</v>
      </c>
      <c r="W4203" t="s">
        <v>17058</v>
      </c>
      <c r="X4203">
        <v>4</v>
      </c>
      <c r="Y4203" t="s">
        <v>23365</v>
      </c>
      <c r="Z4203" t="s">
        <v>29778</v>
      </c>
      <c r="AA4203">
        <v>0.428056258542093</v>
      </c>
      <c r="AB4203" t="str">
        <f>HYPERLINK("Melting_Curves/meltCurve_Q86UD0_SAPCD2.pdf", "Melting_Curves/meltCurve_Q86UD0_SAPCD2.pdf")</f>
        <v>Melting_Curves/meltCurve_Q86UD0_SAPCD2.pdf</v>
      </c>
    </row>
    <row r="4204" spans="1:28" x14ac:dyDescent="0.25">
      <c r="A4204" t="s">
        <v>4208</v>
      </c>
      <c r="B4204">
        <v>0.99673306730245903</v>
      </c>
      <c r="C4204">
        <v>0.96929920149106996</v>
      </c>
      <c r="D4204">
        <v>0.93721571157919203</v>
      </c>
      <c r="E4204">
        <v>1.0434107405663799</v>
      </c>
      <c r="F4204">
        <v>1.0245181358814901</v>
      </c>
      <c r="G4204">
        <v>0.88506043639697096</v>
      </c>
      <c r="H4204">
        <v>0.73659060922747399</v>
      </c>
      <c r="I4204">
        <v>0.96221281242384304</v>
      </c>
      <c r="J4204">
        <v>1.20472452741666</v>
      </c>
      <c r="K4204">
        <v>1.30695552355371</v>
      </c>
      <c r="L4204">
        <v>15000</v>
      </c>
      <c r="M4204">
        <v>224.24110422765301</v>
      </c>
      <c r="O4204">
        <v>66.8869590120418</v>
      </c>
      <c r="P4204">
        <v>0.25728476050118698</v>
      </c>
      <c r="Q4204">
        <v>1.30697310111568</v>
      </c>
      <c r="R4204">
        <v>0.59749893971605805</v>
      </c>
      <c r="S4204" t="s">
        <v>10656</v>
      </c>
      <c r="T4204" t="s">
        <v>12902</v>
      </c>
      <c r="U4204" t="s">
        <v>12902</v>
      </c>
      <c r="V4204" t="s">
        <v>12902</v>
      </c>
      <c r="W4204" t="s">
        <v>17059</v>
      </c>
      <c r="X4204">
        <v>26</v>
      </c>
      <c r="Y4204" t="s">
        <v>23366</v>
      </c>
      <c r="Z4204" t="s">
        <v>29779</v>
      </c>
      <c r="AA4204">
        <v>1.0317548562068539</v>
      </c>
      <c r="AB4204" t="str">
        <f>HYPERLINK("Melting_Curves/meltCurve_Q86UE4_MTDH.pdf", "Melting_Curves/meltCurve_Q86UE4_MTDH.pdf")</f>
        <v>Melting_Curves/meltCurve_Q86UE4_MTDH.pdf</v>
      </c>
    </row>
    <row r="4205" spans="1:28" x14ac:dyDescent="0.25">
      <c r="A4205" t="s">
        <v>4209</v>
      </c>
      <c r="B4205">
        <v>0.99673306730245903</v>
      </c>
      <c r="C4205">
        <v>0.92403304923293295</v>
      </c>
      <c r="D4205">
        <v>0.88301165281514205</v>
      </c>
      <c r="E4205">
        <v>0.796771591495116</v>
      </c>
      <c r="F4205">
        <v>0.38496637625890301</v>
      </c>
      <c r="G4205">
        <v>0.20654891780009199</v>
      </c>
      <c r="H4205">
        <v>0.15636492758769499</v>
      </c>
      <c r="I4205">
        <v>0.146864108381903</v>
      </c>
      <c r="J4205">
        <v>0.14760277770356001</v>
      </c>
      <c r="K4205">
        <v>0.120176705236489</v>
      </c>
      <c r="L4205">
        <v>1229.1820174434299</v>
      </c>
      <c r="M4205">
        <v>23.8699050595805</v>
      </c>
      <c r="N4205">
        <v>52.156154050023098</v>
      </c>
      <c r="O4205">
        <v>51.137716811287703</v>
      </c>
      <c r="P4205">
        <v>-0.101462797030276</v>
      </c>
      <c r="Q4205">
        <v>0.130538378760997</v>
      </c>
      <c r="R4205">
        <v>0.99002692922432001</v>
      </c>
      <c r="S4205" t="s">
        <v>10657</v>
      </c>
      <c r="T4205" t="s">
        <v>12902</v>
      </c>
      <c r="U4205" t="s">
        <v>12902</v>
      </c>
      <c r="V4205" t="s">
        <v>12902</v>
      </c>
      <c r="W4205" t="s">
        <v>17060</v>
      </c>
      <c r="X4205">
        <v>7</v>
      </c>
      <c r="Y4205" t="s">
        <v>23367</v>
      </c>
      <c r="Z4205" t="s">
        <v>29780</v>
      </c>
      <c r="AA4205">
        <v>0.47232577485660943</v>
      </c>
      <c r="AB4205" t="str">
        <f>HYPERLINK("Melting_Curves/meltCurve_Q86UE8_2_TLK2.pdf", "Melting_Curves/meltCurve_Q86UE8_2_TLK2.pdf")</f>
        <v>Melting_Curves/meltCurve_Q86UE8_2_TLK2.pdf</v>
      </c>
    </row>
    <row r="4206" spans="1:28" x14ac:dyDescent="0.25">
      <c r="A4206" t="s">
        <v>4210</v>
      </c>
      <c r="B4206">
        <v>0.99673306730245903</v>
      </c>
      <c r="C4206">
        <v>0.91999348989267205</v>
      </c>
      <c r="D4206">
        <v>0.77775513167367005</v>
      </c>
      <c r="E4206">
        <v>0.42493039553748801</v>
      </c>
      <c r="F4206">
        <v>0.26597189297440799</v>
      </c>
      <c r="G4206">
        <v>0.14498388335311899</v>
      </c>
      <c r="H4206">
        <v>9.7799182878781199E-2</v>
      </c>
      <c r="I4206">
        <v>0.10980255675632</v>
      </c>
      <c r="J4206">
        <v>0.13204411049916101</v>
      </c>
      <c r="K4206">
        <v>0.11946505998092299</v>
      </c>
      <c r="L4206">
        <v>957.87713191298303</v>
      </c>
      <c r="M4206">
        <v>19.810798420010801</v>
      </c>
      <c r="N4206">
        <v>48.964265310912701</v>
      </c>
      <c r="O4206">
        <v>47.8666703263426</v>
      </c>
      <c r="P4206">
        <v>-9.2108050603933206E-2</v>
      </c>
      <c r="Q4206">
        <v>0.109827352636478</v>
      </c>
      <c r="R4206">
        <v>0.99729805842209995</v>
      </c>
      <c r="S4206" t="s">
        <v>10658</v>
      </c>
      <c r="T4206" t="s">
        <v>12902</v>
      </c>
      <c r="U4206" t="s">
        <v>12902</v>
      </c>
      <c r="V4206" t="s">
        <v>12902</v>
      </c>
      <c r="W4206" t="s">
        <v>17061</v>
      </c>
      <c r="X4206">
        <v>21</v>
      </c>
      <c r="Y4206" t="s">
        <v>23368</v>
      </c>
      <c r="Z4206" t="s">
        <v>29781</v>
      </c>
      <c r="AA4206">
        <v>0.37045143430147071</v>
      </c>
      <c r="AB4206" t="str">
        <f>HYPERLINK("Melting_Curves/meltCurve_Q86UK7_3_ZNF598.pdf", "Melting_Curves/meltCurve_Q86UK7_3_ZNF598.pdf")</f>
        <v>Melting_Curves/meltCurve_Q86UK7_3_ZNF598.pdf</v>
      </c>
    </row>
    <row r="4207" spans="1:28" x14ac:dyDescent="0.25">
      <c r="A4207" t="s">
        <v>4211</v>
      </c>
      <c r="B4207">
        <v>0.99673306730245903</v>
      </c>
      <c r="C4207">
        <v>0.94458163008610696</v>
      </c>
      <c r="D4207">
        <v>0.89367813749381497</v>
      </c>
      <c r="E4207">
        <v>0.75094843975327796</v>
      </c>
      <c r="F4207">
        <v>0.34832025371875103</v>
      </c>
      <c r="G4207">
        <v>0.14999624691421101</v>
      </c>
      <c r="H4207">
        <v>7.7047518727876199E-2</v>
      </c>
      <c r="I4207">
        <v>6.23962668698946E-2</v>
      </c>
      <c r="J4207">
        <v>7.0630756684755602E-2</v>
      </c>
      <c r="K4207">
        <v>4.6337954356718399E-2</v>
      </c>
      <c r="L4207">
        <v>1147.06357112924</v>
      </c>
      <c r="M4207">
        <v>22.267949191229299</v>
      </c>
      <c r="N4207">
        <v>51.753236975458996</v>
      </c>
      <c r="O4207">
        <v>51.101845765093401</v>
      </c>
      <c r="P4207">
        <v>-0.1035682217023</v>
      </c>
      <c r="Q4207">
        <v>4.9321849730545701E-2</v>
      </c>
      <c r="R4207">
        <v>0.99626436870845803</v>
      </c>
      <c r="S4207" t="s">
        <v>10659</v>
      </c>
      <c r="T4207" t="s">
        <v>12902</v>
      </c>
      <c r="U4207" t="s">
        <v>12902</v>
      </c>
      <c r="V4207" t="s">
        <v>12902</v>
      </c>
      <c r="W4207" t="s">
        <v>17062</v>
      </c>
      <c r="X4207">
        <v>3</v>
      </c>
      <c r="Y4207" t="s">
        <v>23369</v>
      </c>
      <c r="Z4207" t="s">
        <v>29782</v>
      </c>
      <c r="AA4207">
        <v>0.42491138236347681</v>
      </c>
      <c r="AB4207" t="str">
        <f>HYPERLINK("Melting_Curves/meltCurve_Q86UL3_AGPAT6.pdf", "Melting_Curves/meltCurve_Q86UL3_AGPAT6.pdf")</f>
        <v>Melting_Curves/meltCurve_Q86UL3_AGPAT6.pdf</v>
      </c>
    </row>
    <row r="4208" spans="1:28" x14ac:dyDescent="0.25">
      <c r="A4208" t="s">
        <v>4212</v>
      </c>
      <c r="B4208">
        <v>0.99673306730245903</v>
      </c>
      <c r="C4208">
        <v>0.93919583664334805</v>
      </c>
      <c r="D4208">
        <v>0.75888252698902503</v>
      </c>
      <c r="E4208">
        <v>0.43413403710131698</v>
      </c>
      <c r="F4208">
        <v>0.26719508881347198</v>
      </c>
      <c r="G4208">
        <v>0.18015326736280901</v>
      </c>
      <c r="H4208">
        <v>0.12777970585207399</v>
      </c>
      <c r="I4208">
        <v>0.15665956287319199</v>
      </c>
      <c r="J4208">
        <v>0.22211308495604901</v>
      </c>
      <c r="K4208">
        <v>0.23496359552686499</v>
      </c>
      <c r="L4208">
        <v>1089.1282988703699</v>
      </c>
      <c r="M4208">
        <v>22.783722330813301</v>
      </c>
      <c r="N4208">
        <v>48.762848591898198</v>
      </c>
      <c r="O4208">
        <v>47.4392155962191</v>
      </c>
      <c r="P4208">
        <v>-9.8372410716796199E-2</v>
      </c>
      <c r="Q4208">
        <v>0.180709841495553</v>
      </c>
      <c r="R4208">
        <v>0.99078977519287204</v>
      </c>
      <c r="S4208" t="s">
        <v>10660</v>
      </c>
      <c r="T4208" t="s">
        <v>12902</v>
      </c>
      <c r="U4208" t="s">
        <v>12902</v>
      </c>
      <c r="V4208" t="s">
        <v>12902</v>
      </c>
      <c r="W4208" t="s">
        <v>17063</v>
      </c>
      <c r="X4208">
        <v>52</v>
      </c>
      <c r="Y4208" t="s">
        <v>23370</v>
      </c>
      <c r="Z4208" t="s">
        <v>29783</v>
      </c>
      <c r="AA4208">
        <v>0.40264696198469868</v>
      </c>
      <c r="AB4208" t="str">
        <f>HYPERLINK("Melting_Curves/meltCurve_Q86UP2_KTN1.pdf", "Melting_Curves/meltCurve_Q86UP2_KTN1.pdf")</f>
        <v>Melting_Curves/meltCurve_Q86UP2_KTN1.pdf</v>
      </c>
    </row>
    <row r="4209" spans="1:28" x14ac:dyDescent="0.25">
      <c r="A4209" t="s">
        <v>4213</v>
      </c>
      <c r="B4209">
        <v>0.99673306730245903</v>
      </c>
      <c r="C4209">
        <v>0.91304922439199698</v>
      </c>
      <c r="D4209">
        <v>0.91419835170593</v>
      </c>
      <c r="E4209">
        <v>0.925034035504402</v>
      </c>
      <c r="F4209">
        <v>1.0028441503360499</v>
      </c>
      <c r="G4209">
        <v>0.60041364421439902</v>
      </c>
      <c r="H4209">
        <v>0.22767296189087499</v>
      </c>
      <c r="I4209">
        <v>0.135885419355113</v>
      </c>
      <c r="J4209">
        <v>6.8940560180344695E-2</v>
      </c>
      <c r="K4209">
        <v>5.2454817014639998E-2</v>
      </c>
      <c r="L4209">
        <v>1847.5065424803799</v>
      </c>
      <c r="M4209">
        <v>32.121964901513103</v>
      </c>
      <c r="N4209">
        <v>57.795651906103998</v>
      </c>
      <c r="O4209">
        <v>57.293806943207898</v>
      </c>
      <c r="P4209">
        <v>-0.130053748949333</v>
      </c>
      <c r="Q4209">
        <v>7.21314530008689E-2</v>
      </c>
      <c r="R4209">
        <v>0.98280167740715896</v>
      </c>
      <c r="S4209" t="s">
        <v>10661</v>
      </c>
      <c r="T4209" t="s">
        <v>12902</v>
      </c>
      <c r="U4209" t="s">
        <v>12902</v>
      </c>
      <c r="V4209" t="s">
        <v>12902</v>
      </c>
      <c r="W4209" t="s">
        <v>17064</v>
      </c>
      <c r="X4209">
        <v>1</v>
      </c>
      <c r="Y4209" t="s">
        <v>23371</v>
      </c>
      <c r="Z4209" t="s">
        <v>29784</v>
      </c>
      <c r="AA4209">
        <v>0.61932446994715529</v>
      </c>
      <c r="AB4209" t="str">
        <f>HYPERLINK("Melting_Curves/meltCurve_Q86UT6_2_NLRX1.pdf", "Melting_Curves/meltCurve_Q86UT6_2_NLRX1.pdf")</f>
        <v>Melting_Curves/meltCurve_Q86UT6_2_NLRX1.pdf</v>
      </c>
    </row>
    <row r="4210" spans="1:28" x14ac:dyDescent="0.25">
      <c r="A4210" t="s">
        <v>4214</v>
      </c>
      <c r="B4210">
        <v>0.99673306730245903</v>
      </c>
      <c r="C4210">
        <v>0.88769785949648194</v>
      </c>
      <c r="D4210">
        <v>0.91179493716680804</v>
      </c>
      <c r="E4210">
        <v>0.77921662894622101</v>
      </c>
      <c r="F4210">
        <v>0.70819380539360899</v>
      </c>
      <c r="G4210">
        <v>0.49131793305713101</v>
      </c>
      <c r="H4210">
        <v>0.41977500059600498</v>
      </c>
      <c r="I4210">
        <v>0.60956989778565596</v>
      </c>
      <c r="J4210">
        <v>0.96155729228637299</v>
      </c>
      <c r="K4210">
        <v>1.07359699874723</v>
      </c>
      <c r="L4210">
        <v>1131.0287573590599</v>
      </c>
      <c r="M4210">
        <v>24.361292448536499</v>
      </c>
      <c r="O4210">
        <v>46.117839460607399</v>
      </c>
      <c r="P4210">
        <v>-3.8007325525308798E-2</v>
      </c>
      <c r="Q4210">
        <v>0.71220088254571601</v>
      </c>
      <c r="R4210">
        <v>0.213595524100544</v>
      </c>
      <c r="S4210" t="s">
        <v>10662</v>
      </c>
      <c r="T4210" t="s">
        <v>12902</v>
      </c>
      <c r="U4210" t="s">
        <v>12902</v>
      </c>
      <c r="V4210" t="s">
        <v>12902</v>
      </c>
      <c r="W4210" t="s">
        <v>17065</v>
      </c>
      <c r="X4210">
        <v>10</v>
      </c>
      <c r="Y4210" t="s">
        <v>23372</v>
      </c>
      <c r="Z4210" t="s">
        <v>29785</v>
      </c>
      <c r="AA4210">
        <v>0.77662735151921825</v>
      </c>
      <c r="AB4210" t="str">
        <f>HYPERLINK("Melting_Curves/meltCurve_Q86UU0_4_BCL9L.pdf", "Melting_Curves/meltCurve_Q86UU0_4_BCL9L.pdf")</f>
        <v>Melting_Curves/meltCurve_Q86UU0_4_BCL9L.pdf</v>
      </c>
    </row>
    <row r="4211" spans="1:28" x14ac:dyDescent="0.25">
      <c r="A4211" t="s">
        <v>4215</v>
      </c>
      <c r="B4211">
        <v>0.99673306730245903</v>
      </c>
      <c r="C4211">
        <v>0.83562362547138502</v>
      </c>
      <c r="D4211">
        <v>0.377911919367522</v>
      </c>
      <c r="E4211">
        <v>0.20886726435504099</v>
      </c>
      <c r="F4211">
        <v>0.148019896728141</v>
      </c>
      <c r="G4211">
        <v>9.7174608941534596E-2</v>
      </c>
      <c r="H4211">
        <v>9.3292377210453303E-2</v>
      </c>
      <c r="I4211">
        <v>8.8780928895598299E-2</v>
      </c>
      <c r="J4211">
        <v>8.9497115699374394E-2</v>
      </c>
      <c r="K4211">
        <v>7.9805175785101101E-2</v>
      </c>
      <c r="L4211">
        <v>1309.2558201561801</v>
      </c>
      <c r="M4211">
        <v>29.1347376046728</v>
      </c>
      <c r="N4211">
        <v>45.296112008055303</v>
      </c>
      <c r="O4211">
        <v>44.727841140980999</v>
      </c>
      <c r="P4211">
        <v>-0.14609260332544</v>
      </c>
      <c r="Q4211">
        <v>0.102877083914057</v>
      </c>
      <c r="R4211">
        <v>0.99374897833065201</v>
      </c>
      <c r="S4211" t="s">
        <v>10663</v>
      </c>
      <c r="T4211" t="s">
        <v>12902</v>
      </c>
      <c r="U4211" t="s">
        <v>12902</v>
      </c>
      <c r="V4211" t="s">
        <v>12902</v>
      </c>
      <c r="W4211" t="s">
        <v>17066</v>
      </c>
      <c r="X4211">
        <v>8</v>
      </c>
      <c r="Y4211" t="s">
        <v>23373</v>
      </c>
      <c r="Z4211" t="s">
        <v>29786</v>
      </c>
      <c r="AA4211">
        <v>0.25676781881080402</v>
      </c>
      <c r="AB4211" t="str">
        <f>HYPERLINK("Melting_Curves/meltCurve_Q86UV5_USP48.pdf", "Melting_Curves/meltCurve_Q86UV5_USP48.pdf")</f>
        <v>Melting_Curves/meltCurve_Q86UV5_USP48.pdf</v>
      </c>
    </row>
    <row r="4212" spans="1:28" x14ac:dyDescent="0.25">
      <c r="A4212" t="s">
        <v>4216</v>
      </c>
      <c r="B4212">
        <v>0.99673306730245903</v>
      </c>
      <c r="C4212">
        <v>0.87381764183521804</v>
      </c>
      <c r="D4212">
        <v>0.77345728987803397</v>
      </c>
      <c r="E4212">
        <v>0.65293115478876396</v>
      </c>
      <c r="F4212">
        <v>0.520609678858584</v>
      </c>
      <c r="G4212">
        <v>0.29942847610158602</v>
      </c>
      <c r="H4212">
        <v>0.210203975598382</v>
      </c>
      <c r="I4212">
        <v>0.149189143266278</v>
      </c>
      <c r="J4212">
        <v>0.12215487373511601</v>
      </c>
      <c r="K4212">
        <v>0.120637077251391</v>
      </c>
      <c r="L4212">
        <v>519.201248902251</v>
      </c>
      <c r="M4212">
        <v>9.9202969562938907</v>
      </c>
      <c r="N4212">
        <v>52.607543879875799</v>
      </c>
      <c r="O4212">
        <v>50.343727090399199</v>
      </c>
      <c r="P4212">
        <v>-4.80629611109143E-2</v>
      </c>
      <c r="Q4212">
        <v>2.4845420043547398E-2</v>
      </c>
      <c r="R4212">
        <v>0.99274942329451799</v>
      </c>
      <c r="S4212" t="s">
        <v>10664</v>
      </c>
      <c r="T4212" t="s">
        <v>12902</v>
      </c>
      <c r="U4212" t="s">
        <v>12902</v>
      </c>
      <c r="V4212" t="s">
        <v>12902</v>
      </c>
      <c r="W4212" t="s">
        <v>17067</v>
      </c>
      <c r="X4212">
        <v>3</v>
      </c>
      <c r="Y4212" t="s">
        <v>23374</v>
      </c>
      <c r="Z4212" t="s">
        <v>29787</v>
      </c>
      <c r="AA4212">
        <v>0.46197139718716002</v>
      </c>
      <c r="AB4212" t="str">
        <f>HYPERLINK("Melting_Curves/meltCurve_Q86UX3_ABCC5.pdf", "Melting_Curves/meltCurve_Q86UX3_ABCC5.pdf")</f>
        <v>Melting_Curves/meltCurve_Q86UX3_ABCC5.pdf</v>
      </c>
    </row>
    <row r="4213" spans="1:28" x14ac:dyDescent="0.25">
      <c r="A4213" t="s">
        <v>4217</v>
      </c>
      <c r="B4213">
        <v>0.99673306730245903</v>
      </c>
      <c r="C4213">
        <v>0.95346394696034897</v>
      </c>
      <c r="D4213">
        <v>0.85039410771731405</v>
      </c>
      <c r="E4213">
        <v>0.39809862884143399</v>
      </c>
      <c r="F4213">
        <v>0.22359865150354399</v>
      </c>
      <c r="G4213">
        <v>0.14084615975166001</v>
      </c>
      <c r="H4213">
        <v>9.3669884810898704E-2</v>
      </c>
      <c r="I4213">
        <v>9.2187404876644702E-2</v>
      </c>
      <c r="J4213">
        <v>0.115010540163326</v>
      </c>
      <c r="K4213">
        <v>0.116463982220688</v>
      </c>
      <c r="L4213">
        <v>1283.9903554718601</v>
      </c>
      <c r="M4213">
        <v>26.492537579720199</v>
      </c>
      <c r="N4213">
        <v>48.928306302334597</v>
      </c>
      <c r="O4213">
        <v>48.192492207567</v>
      </c>
      <c r="P4213">
        <v>-0.12221860214109299</v>
      </c>
      <c r="Q4213">
        <v>0.110699591254112</v>
      </c>
      <c r="R4213">
        <v>0.99699606117517003</v>
      </c>
      <c r="S4213" t="s">
        <v>10665</v>
      </c>
      <c r="T4213" t="s">
        <v>12902</v>
      </c>
      <c r="U4213" t="s">
        <v>12902</v>
      </c>
      <c r="V4213" t="s">
        <v>12902</v>
      </c>
      <c r="W4213" t="s">
        <v>17068</v>
      </c>
      <c r="X4213">
        <v>9</v>
      </c>
      <c r="Y4213" t="s">
        <v>23375</v>
      </c>
      <c r="Z4213" t="s">
        <v>29788</v>
      </c>
      <c r="AA4213">
        <v>0.36862758997302703</v>
      </c>
      <c r="AB4213" t="str">
        <f>HYPERLINK("Melting_Curves/meltCurve_Q86UX6_STK32C.pdf", "Melting_Curves/meltCurve_Q86UX6_STK32C.pdf")</f>
        <v>Melting_Curves/meltCurve_Q86UX6_STK32C.pdf</v>
      </c>
    </row>
    <row r="4214" spans="1:28" x14ac:dyDescent="0.25">
      <c r="A4214" t="s">
        <v>4218</v>
      </c>
      <c r="B4214">
        <v>0.99673306730245903</v>
      </c>
      <c r="C4214">
        <v>1.0005527867119399</v>
      </c>
      <c r="D4214">
        <v>0.990896213930617</v>
      </c>
      <c r="E4214">
        <v>0.97815076130114598</v>
      </c>
      <c r="F4214">
        <v>0.72818853135713202</v>
      </c>
      <c r="G4214">
        <v>0.56975354877190099</v>
      </c>
      <c r="H4214">
        <v>0.25651817825940298</v>
      </c>
      <c r="I4214">
        <v>0.181601494237532</v>
      </c>
      <c r="J4214">
        <v>0.174042789774669</v>
      </c>
      <c r="K4214">
        <v>0.122961531374845</v>
      </c>
      <c r="L4214">
        <v>1068.95451742713</v>
      </c>
      <c r="M4214">
        <v>18.964743697918301</v>
      </c>
      <c r="N4214">
        <v>57.096266281724503</v>
      </c>
      <c r="O4214">
        <v>55.749861085010203</v>
      </c>
      <c r="P4214">
        <v>-7.5881261981303003E-2</v>
      </c>
      <c r="Q4214">
        <v>0.107775981534557</v>
      </c>
      <c r="R4214">
        <v>0.99356630842731697</v>
      </c>
      <c r="S4214" t="s">
        <v>10666</v>
      </c>
      <c r="T4214" t="s">
        <v>12902</v>
      </c>
      <c r="U4214" t="s">
        <v>12902</v>
      </c>
      <c r="V4214" t="s">
        <v>12902</v>
      </c>
      <c r="W4214" t="s">
        <v>17069</v>
      </c>
      <c r="X4214">
        <v>26</v>
      </c>
      <c r="Y4214" t="s">
        <v>23376</v>
      </c>
      <c r="Z4214" t="s">
        <v>29789</v>
      </c>
      <c r="AA4214">
        <v>0.606583651526583</v>
      </c>
      <c r="AB4214" t="str">
        <f>HYPERLINK("Melting_Curves/meltCurve_Q86UY0_TXNDC5.pdf", "Melting_Curves/meltCurve_Q86UY0_TXNDC5.pdf")</f>
        <v>Melting_Curves/meltCurve_Q86UY0_TXNDC5.pdf</v>
      </c>
    </row>
    <row r="4215" spans="1:28" x14ac:dyDescent="0.25">
      <c r="A4215" t="s">
        <v>4219</v>
      </c>
      <c r="B4215">
        <v>0.99673306730245903</v>
      </c>
      <c r="C4215">
        <v>0.99735029321712898</v>
      </c>
      <c r="D4215">
        <v>0.97791863170968896</v>
      </c>
      <c r="E4215">
        <v>1.0970709465792501</v>
      </c>
      <c r="F4215">
        <v>0.98742615676415801</v>
      </c>
      <c r="G4215">
        <v>0.59971117239741001</v>
      </c>
      <c r="H4215">
        <v>0.16353342180007999</v>
      </c>
      <c r="I4215">
        <v>0.128476385759135</v>
      </c>
      <c r="J4215">
        <v>0.14647570826810599</v>
      </c>
      <c r="K4215">
        <v>0.14429908971403699</v>
      </c>
      <c r="L4215">
        <v>3363.3444125471101</v>
      </c>
      <c r="M4215">
        <v>59.074598211489402</v>
      </c>
      <c r="N4215">
        <v>57.253309915340502</v>
      </c>
      <c r="O4215">
        <v>56.868721305625598</v>
      </c>
      <c r="P4215">
        <v>-0.22323770225991299</v>
      </c>
      <c r="Q4215">
        <v>0.14039286248194399</v>
      </c>
      <c r="R4215">
        <v>0.99391768319700602</v>
      </c>
      <c r="S4215" t="s">
        <v>10667</v>
      </c>
      <c r="T4215" t="s">
        <v>12902</v>
      </c>
      <c r="U4215" t="s">
        <v>12902</v>
      </c>
      <c r="V4215" t="s">
        <v>12902</v>
      </c>
      <c r="W4215" t="s">
        <v>17070</v>
      </c>
      <c r="X4215">
        <v>12</v>
      </c>
      <c r="Y4215" t="s">
        <v>23377</v>
      </c>
      <c r="Z4215" t="s">
        <v>29790</v>
      </c>
      <c r="AA4215">
        <v>0.62715151713912154</v>
      </c>
      <c r="AB4215" t="str">
        <f>HYPERLINK("Melting_Curves/meltCurve_Q86UY8_NT5DC3.pdf", "Melting_Curves/meltCurve_Q86UY8_NT5DC3.pdf")</f>
        <v>Melting_Curves/meltCurve_Q86UY8_NT5DC3.pdf</v>
      </c>
    </row>
    <row r="4216" spans="1:28" x14ac:dyDescent="0.25">
      <c r="A4216" t="s">
        <v>4220</v>
      </c>
      <c r="B4216">
        <v>0.99673306730245903</v>
      </c>
      <c r="C4216">
        <v>0.85987568283834503</v>
      </c>
      <c r="D4216">
        <v>0.33804864035963</v>
      </c>
      <c r="E4216">
        <v>0.18017349562364299</v>
      </c>
      <c r="F4216">
        <v>0.12682467268713901</v>
      </c>
      <c r="G4216">
        <v>8.6539454209891994E-2</v>
      </c>
      <c r="H4216">
        <v>5.4202069355081303E-2</v>
      </c>
      <c r="I4216">
        <v>5.3145860639522299E-2</v>
      </c>
      <c r="J4216">
        <v>6.05178370747258E-2</v>
      </c>
      <c r="K4216">
        <v>5.3686691966471398E-2</v>
      </c>
      <c r="L4216">
        <v>1520.09281712136</v>
      </c>
      <c r="M4216">
        <v>33.856185381516397</v>
      </c>
      <c r="N4216">
        <v>45.129588334535399</v>
      </c>
      <c r="O4216">
        <v>44.742761502637798</v>
      </c>
      <c r="P4216">
        <v>-0.17411867302487</v>
      </c>
      <c r="Q4216">
        <v>7.9575344682631097E-2</v>
      </c>
      <c r="R4216">
        <v>0.99157491911647599</v>
      </c>
      <c r="S4216" t="s">
        <v>10668</v>
      </c>
      <c r="T4216" t="s">
        <v>12902</v>
      </c>
      <c r="U4216" t="s">
        <v>12902</v>
      </c>
      <c r="V4216" t="s">
        <v>12902</v>
      </c>
      <c r="W4216" t="s">
        <v>17071</v>
      </c>
      <c r="X4216">
        <v>17</v>
      </c>
      <c r="Y4216" t="s">
        <v>23378</v>
      </c>
      <c r="Z4216" t="s">
        <v>29791</v>
      </c>
      <c r="AA4216">
        <v>0.23435045936857779</v>
      </c>
      <c r="AB4216" t="str">
        <f>HYPERLINK("Melting_Curves/meltCurve_Q86V21_AACS.pdf", "Melting_Curves/meltCurve_Q86V21_AACS.pdf")</f>
        <v>Melting_Curves/meltCurve_Q86V21_AACS.pdf</v>
      </c>
    </row>
    <row r="4217" spans="1:28" x14ac:dyDescent="0.25">
      <c r="A4217" t="s">
        <v>4221</v>
      </c>
      <c r="B4217">
        <v>0.99673306730245903</v>
      </c>
      <c r="C4217">
        <v>0.89064513854593796</v>
      </c>
      <c r="D4217">
        <v>0.78073274572598295</v>
      </c>
      <c r="E4217">
        <v>0.53954344445107105</v>
      </c>
      <c r="F4217">
        <v>0.35917121443427902</v>
      </c>
      <c r="G4217">
        <v>0.230371324700191</v>
      </c>
      <c r="H4217">
        <v>0.12944719987443901</v>
      </c>
      <c r="I4217">
        <v>0.142068459852673</v>
      </c>
      <c r="J4217">
        <v>0.18610359405145599</v>
      </c>
      <c r="K4217">
        <v>0.15521060841382101</v>
      </c>
      <c r="L4217">
        <v>750.10156561609801</v>
      </c>
      <c r="M4217">
        <v>15.2469465790358</v>
      </c>
      <c r="N4217">
        <v>50.214885517783202</v>
      </c>
      <c r="O4217">
        <v>48.373829685883898</v>
      </c>
      <c r="P4217">
        <v>-6.8327743539744898E-2</v>
      </c>
      <c r="Q4217">
        <v>0.13295124649753801</v>
      </c>
      <c r="R4217">
        <v>0.99441023619998503</v>
      </c>
      <c r="S4217" t="s">
        <v>10669</v>
      </c>
      <c r="T4217" t="s">
        <v>12902</v>
      </c>
      <c r="U4217" t="s">
        <v>12902</v>
      </c>
      <c r="V4217" t="s">
        <v>12902</v>
      </c>
      <c r="W4217" t="s">
        <v>17072</v>
      </c>
      <c r="X4217">
        <v>3</v>
      </c>
      <c r="Y4217" t="s">
        <v>23379</v>
      </c>
      <c r="Z4217" t="s">
        <v>29792</v>
      </c>
      <c r="AA4217">
        <v>0.4193627724244034</v>
      </c>
      <c r="AB4217" t="str">
        <f>HYPERLINK("Melting_Curves/meltCurve_Q86V48_2_LUZP1.pdf", "Melting_Curves/meltCurve_Q86V48_2_LUZP1.pdf")</f>
        <v>Melting_Curves/meltCurve_Q86V48_2_LUZP1.pdf</v>
      </c>
    </row>
    <row r="4218" spans="1:28" x14ac:dyDescent="0.25">
      <c r="A4218" t="s">
        <v>4222</v>
      </c>
      <c r="B4218">
        <v>0.99673306730245903</v>
      </c>
      <c r="C4218">
        <v>0.87953852596258797</v>
      </c>
      <c r="D4218">
        <v>0.76306215860071902</v>
      </c>
      <c r="E4218">
        <v>0.61749108052715895</v>
      </c>
      <c r="F4218">
        <v>0.31168792399113598</v>
      </c>
      <c r="G4218">
        <v>0.205383402698461</v>
      </c>
      <c r="H4218">
        <v>0.17469639602684101</v>
      </c>
      <c r="I4218">
        <v>0.104569202060547</v>
      </c>
      <c r="J4218">
        <v>0.14928291913252401</v>
      </c>
      <c r="K4218">
        <v>0.11416066644243</v>
      </c>
      <c r="L4218">
        <v>720.02791847825904</v>
      </c>
      <c r="M4218">
        <v>14.490317218774599</v>
      </c>
      <c r="N4218">
        <v>50.453588406328997</v>
      </c>
      <c r="O4218">
        <v>48.772659104672201</v>
      </c>
      <c r="P4218">
        <v>-6.6971779516416904E-2</v>
      </c>
      <c r="Q4218">
        <v>9.8428598478656995E-2</v>
      </c>
      <c r="R4218">
        <v>0.99071111688312397</v>
      </c>
      <c r="S4218" t="s">
        <v>10670</v>
      </c>
      <c r="T4218" t="s">
        <v>12902</v>
      </c>
      <c r="U4218" t="s">
        <v>12902</v>
      </c>
      <c r="V4218" t="s">
        <v>12902</v>
      </c>
      <c r="W4218" t="s">
        <v>17073</v>
      </c>
      <c r="X4218">
        <v>3</v>
      </c>
      <c r="Y4218" t="s">
        <v>23380</v>
      </c>
      <c r="Z4218" t="s">
        <v>29793</v>
      </c>
      <c r="AA4218">
        <v>0.4127509305991473</v>
      </c>
      <c r="AB4218" t="str">
        <f>HYPERLINK("Melting_Curves/meltCurve_Q86V85_GPR180.pdf", "Melting_Curves/meltCurve_Q86V85_GPR180.pdf")</f>
        <v>Melting_Curves/meltCurve_Q86V85_GPR180.pdf</v>
      </c>
    </row>
    <row r="4219" spans="1:28" x14ac:dyDescent="0.25">
      <c r="A4219" t="s">
        <v>4223</v>
      </c>
      <c r="B4219">
        <v>0.99673306730245903</v>
      </c>
      <c r="C4219">
        <v>0.84661789550157196</v>
      </c>
      <c r="D4219">
        <v>0.70592640760090497</v>
      </c>
      <c r="E4219">
        <v>0.34596060996031502</v>
      </c>
      <c r="F4219">
        <v>0.194266198283362</v>
      </c>
      <c r="G4219">
        <v>0.13510769553508301</v>
      </c>
      <c r="H4219">
        <v>4.48825886920938E-2</v>
      </c>
      <c r="I4219">
        <v>2.19399657723751E-2</v>
      </c>
      <c r="J4219">
        <v>0</v>
      </c>
      <c r="K4219">
        <v>1.62489773806118E-2</v>
      </c>
      <c r="L4219">
        <v>764.89137032230201</v>
      </c>
      <c r="M4219">
        <v>15.9161227157037</v>
      </c>
      <c r="N4219">
        <v>48.1273181837294</v>
      </c>
      <c r="O4219">
        <v>47.318192489923099</v>
      </c>
      <c r="P4219">
        <v>-8.3139864659692295E-2</v>
      </c>
      <c r="Q4219">
        <v>1.13890877245991E-2</v>
      </c>
      <c r="R4219">
        <v>0.99446278853067704</v>
      </c>
      <c r="S4219" t="s">
        <v>10671</v>
      </c>
      <c r="T4219" t="s">
        <v>12902</v>
      </c>
      <c r="U4219" t="s">
        <v>12902</v>
      </c>
      <c r="V4219" t="s">
        <v>12902</v>
      </c>
      <c r="W4219" t="s">
        <v>17074</v>
      </c>
      <c r="X4219">
        <v>2</v>
      </c>
      <c r="Y4219" t="s">
        <v>23381</v>
      </c>
      <c r="Z4219" t="s">
        <v>29794</v>
      </c>
      <c r="AA4219">
        <v>0.29945891345474979</v>
      </c>
      <c r="AB4219" t="str">
        <f>HYPERLINK("Melting_Curves/meltCurve_Q86V87_FAM160B2.pdf", "Melting_Curves/meltCurve_Q86V87_FAM160B2.pdf")</f>
        <v>Melting_Curves/meltCurve_Q86V87_FAM160B2.pdf</v>
      </c>
    </row>
    <row r="4220" spans="1:28" x14ac:dyDescent="0.25">
      <c r="A4220" t="s">
        <v>4224</v>
      </c>
      <c r="B4220">
        <v>0.99673306730245903</v>
      </c>
      <c r="C4220">
        <v>1.0370123198338299</v>
      </c>
      <c r="D4220">
        <v>1.1013982197583501</v>
      </c>
      <c r="E4220">
        <v>0.92557489923784697</v>
      </c>
      <c r="F4220">
        <v>0.76702148494850197</v>
      </c>
      <c r="G4220">
        <v>0.697516924625878</v>
      </c>
      <c r="H4220">
        <v>0.40064218952399799</v>
      </c>
      <c r="I4220">
        <v>0.42095531934254499</v>
      </c>
      <c r="J4220">
        <v>0.27789738607206599</v>
      </c>
      <c r="K4220">
        <v>0.19367476636500799</v>
      </c>
      <c r="L4220">
        <v>793.42646846575997</v>
      </c>
      <c r="M4220">
        <v>13.568157031016501</v>
      </c>
      <c r="N4220">
        <v>59.981592035154499</v>
      </c>
      <c r="O4220">
        <v>57.250685593595399</v>
      </c>
      <c r="P4220">
        <v>-5.0710940251308102E-2</v>
      </c>
      <c r="Q4220">
        <v>0.14423098276270899</v>
      </c>
      <c r="R4220">
        <v>0.96820104589203204</v>
      </c>
      <c r="S4220" t="s">
        <v>10672</v>
      </c>
      <c r="T4220" t="s">
        <v>12902</v>
      </c>
      <c r="U4220" t="s">
        <v>12902</v>
      </c>
      <c r="V4220" t="s">
        <v>12902</v>
      </c>
      <c r="W4220" t="s">
        <v>17075</v>
      </c>
      <c r="X4220">
        <v>6</v>
      </c>
      <c r="Y4220" t="s">
        <v>23382</v>
      </c>
      <c r="Z4220" t="s">
        <v>29795</v>
      </c>
      <c r="AA4220">
        <v>0.68134722746768217</v>
      </c>
      <c r="AB4220" t="str">
        <f>HYPERLINK("Melting_Curves/meltCurve_Q86V88_MDP1.pdf", "Melting_Curves/meltCurve_Q86V88_MDP1.pdf")</f>
        <v>Melting_Curves/meltCurve_Q86V88_MDP1.pdf</v>
      </c>
    </row>
    <row r="4221" spans="1:28" x14ac:dyDescent="0.25">
      <c r="A4221" t="s">
        <v>4225</v>
      </c>
      <c r="B4221">
        <v>0.99673306730245903</v>
      </c>
      <c r="C4221">
        <v>0.91760021099033895</v>
      </c>
      <c r="D4221">
        <v>0.85869904602472802</v>
      </c>
      <c r="E4221">
        <v>0.77910959350396902</v>
      </c>
      <c r="F4221">
        <v>0.24403298816935001</v>
      </c>
      <c r="G4221">
        <v>0.135186879866383</v>
      </c>
      <c r="H4221">
        <v>7.2248561947218806E-2</v>
      </c>
      <c r="I4221">
        <v>6.3655939795373498E-2</v>
      </c>
      <c r="J4221">
        <v>7.9528729784967306E-2</v>
      </c>
      <c r="K4221">
        <v>7.2625335129106294E-2</v>
      </c>
      <c r="L4221">
        <v>1581.4323320042899</v>
      </c>
      <c r="M4221">
        <v>30.963930936125902</v>
      </c>
      <c r="N4221">
        <v>51.327169939442001</v>
      </c>
      <c r="O4221">
        <v>50.861761451445702</v>
      </c>
      <c r="P4221">
        <v>-0.14139417450252401</v>
      </c>
      <c r="Q4221">
        <v>7.0981598890060907E-2</v>
      </c>
      <c r="R4221">
        <v>0.98472834918531404</v>
      </c>
      <c r="S4221" t="s">
        <v>10673</v>
      </c>
      <c r="T4221" t="s">
        <v>12902</v>
      </c>
      <c r="U4221" t="s">
        <v>12902</v>
      </c>
      <c r="V4221" t="s">
        <v>12902</v>
      </c>
      <c r="W4221" t="s">
        <v>17076</v>
      </c>
      <c r="X4221">
        <v>10</v>
      </c>
      <c r="Y4221" t="s">
        <v>23383</v>
      </c>
      <c r="Z4221" t="s">
        <v>29796</v>
      </c>
      <c r="AA4221">
        <v>0.41938293905290369</v>
      </c>
      <c r="AB4221" t="str">
        <f>HYPERLINK("Melting_Curves/meltCurve_Q86V97_KBTBD6.pdf", "Melting_Curves/meltCurve_Q86V97_KBTBD6.pdf")</f>
        <v>Melting_Curves/meltCurve_Q86V97_KBTBD6.pdf</v>
      </c>
    </row>
    <row r="4222" spans="1:28" x14ac:dyDescent="0.25">
      <c r="A4222" t="s">
        <v>4226</v>
      </c>
      <c r="B4222">
        <v>0.99673306730245903</v>
      </c>
      <c r="C4222">
        <v>0.99923826702586205</v>
      </c>
      <c r="D4222">
        <v>0.94594321981116702</v>
      </c>
      <c r="E4222">
        <v>1.03432834692495</v>
      </c>
      <c r="F4222">
        <v>1.22909099011333</v>
      </c>
      <c r="G4222">
        <v>1.46415604303032</v>
      </c>
      <c r="H4222">
        <v>1.6840943425283199</v>
      </c>
      <c r="I4222">
        <v>1.7179054311689399</v>
      </c>
      <c r="J4222">
        <v>3.9234552393739399</v>
      </c>
      <c r="K4222">
        <v>6.8138979953949699</v>
      </c>
      <c r="L4222">
        <v>2742.2609279763901</v>
      </c>
      <c r="M4222">
        <v>51.389759538106098</v>
      </c>
      <c r="O4222">
        <v>53.281391131485201</v>
      </c>
      <c r="P4222">
        <v>0.12056225861639799</v>
      </c>
      <c r="Q4222">
        <v>1.5</v>
      </c>
      <c r="R4222">
        <v>-7.1301086966566493E-2</v>
      </c>
      <c r="S4222" t="s">
        <v>10674</v>
      </c>
      <c r="T4222" t="s">
        <v>12902</v>
      </c>
      <c r="U4222" t="s">
        <v>12902</v>
      </c>
      <c r="V4222" t="s">
        <v>12902</v>
      </c>
      <c r="W4222" t="s">
        <v>17077</v>
      </c>
      <c r="X4222">
        <v>1</v>
      </c>
      <c r="Y4222" t="s">
        <v>23384</v>
      </c>
      <c r="Z4222" t="s">
        <v>29797</v>
      </c>
      <c r="AA4222">
        <v>1.276186186262684</v>
      </c>
      <c r="AB4222" t="str">
        <f>HYPERLINK("Melting_Curves/meltCurve_Q86VF7_4_NRAP.pdf", "Melting_Curves/meltCurve_Q86VF7_4_NRAP.pdf")</f>
        <v>Melting_Curves/meltCurve_Q86VF7_4_NRAP.pdf</v>
      </c>
    </row>
    <row r="4223" spans="1:28" x14ac:dyDescent="0.25">
      <c r="A4223" t="s">
        <v>4227</v>
      </c>
      <c r="B4223">
        <v>0.99673306730245903</v>
      </c>
      <c r="C4223">
        <v>0.91542246685781103</v>
      </c>
      <c r="D4223">
        <v>0.72437896541067304</v>
      </c>
      <c r="E4223">
        <v>0.76792721224252203</v>
      </c>
      <c r="F4223">
        <v>0.651059472591902</v>
      </c>
      <c r="G4223">
        <v>0.61984991299354797</v>
      </c>
      <c r="H4223">
        <v>0.490618321991726</v>
      </c>
      <c r="I4223">
        <v>0.63475989135856403</v>
      </c>
      <c r="J4223">
        <v>7.9939692220267797E-2</v>
      </c>
      <c r="K4223">
        <v>3.2563032057056497E-2</v>
      </c>
      <c r="L4223">
        <v>423.65656539626002</v>
      </c>
      <c r="M4223">
        <v>7.2596092222528696</v>
      </c>
      <c r="N4223">
        <v>58.358046742286803</v>
      </c>
      <c r="O4223">
        <v>54.418349912293799</v>
      </c>
      <c r="P4223">
        <v>-3.3405011264172203E-2</v>
      </c>
      <c r="Q4223">
        <v>0</v>
      </c>
      <c r="R4223">
        <v>0.78391141935394304</v>
      </c>
      <c r="S4223" t="s">
        <v>10675</v>
      </c>
      <c r="T4223" t="s">
        <v>12902</v>
      </c>
      <c r="U4223" t="s">
        <v>12902</v>
      </c>
      <c r="V4223" t="s">
        <v>12902</v>
      </c>
      <c r="W4223" t="s">
        <v>17078</v>
      </c>
      <c r="X4223">
        <v>4</v>
      </c>
      <c r="Y4223" t="s">
        <v>23385</v>
      </c>
      <c r="Z4223" t="s">
        <v>29798</v>
      </c>
      <c r="AA4223">
        <v>0.60829258139344866</v>
      </c>
      <c r="AB4223" t="str">
        <f>HYPERLINK("Melting_Curves/meltCurve_Q86VI3_IQGAP3.pdf", "Melting_Curves/meltCurve_Q86VI3_IQGAP3.pdf")</f>
        <v>Melting_Curves/meltCurve_Q86VI3_IQGAP3.pdf</v>
      </c>
    </row>
    <row r="4224" spans="1:28" x14ac:dyDescent="0.25">
      <c r="A4224" t="s">
        <v>4228</v>
      </c>
      <c r="B4224">
        <v>0.99673306730245903</v>
      </c>
      <c r="C4224">
        <v>0.96167738607892805</v>
      </c>
      <c r="D4224">
        <v>0.94269874806666099</v>
      </c>
      <c r="E4224">
        <v>0.80061666386697306</v>
      </c>
      <c r="F4224">
        <v>0.297277106613483</v>
      </c>
      <c r="G4224">
        <v>0.18283306888349601</v>
      </c>
      <c r="H4224">
        <v>0.128991601976986</v>
      </c>
      <c r="I4224">
        <v>0.110901901282545</v>
      </c>
      <c r="J4224">
        <v>0.128397763783166</v>
      </c>
      <c r="K4224">
        <v>9.2209847861451699E-2</v>
      </c>
      <c r="L4224">
        <v>1744.6965357803001</v>
      </c>
      <c r="M4224">
        <v>34.043430099211399</v>
      </c>
      <c r="N4224">
        <v>51.661517003816599</v>
      </c>
      <c r="O4224">
        <v>51.073262876019101</v>
      </c>
      <c r="P4224">
        <v>-0.14681432619915999</v>
      </c>
      <c r="Q4224">
        <v>0.118977341497899</v>
      </c>
      <c r="R4224">
        <v>0.99621755468331796</v>
      </c>
      <c r="S4224" t="s">
        <v>10676</v>
      </c>
      <c r="T4224" t="s">
        <v>12902</v>
      </c>
      <c r="U4224" t="s">
        <v>12902</v>
      </c>
      <c r="V4224" t="s">
        <v>12902</v>
      </c>
      <c r="W4224" t="s">
        <v>17079</v>
      </c>
      <c r="X4224">
        <v>18</v>
      </c>
      <c r="Y4224" t="s">
        <v>23386</v>
      </c>
      <c r="Z4224" t="s">
        <v>29799</v>
      </c>
      <c r="AA4224">
        <v>0.45365223344185501</v>
      </c>
      <c r="AB4224" t="str">
        <f>HYPERLINK("Melting_Curves/meltCurve_Q86VN1_2_VPS36.pdf", "Melting_Curves/meltCurve_Q86VN1_2_VPS36.pdf")</f>
        <v>Melting_Curves/meltCurve_Q86VN1_2_VPS36.pdf</v>
      </c>
    </row>
    <row r="4225" spans="1:28" x14ac:dyDescent="0.25">
      <c r="A4225" t="s">
        <v>4229</v>
      </c>
      <c r="B4225">
        <v>0.99673306730245903</v>
      </c>
      <c r="C4225">
        <v>0.95023513666795401</v>
      </c>
      <c r="D4225">
        <v>1.02044165826415</v>
      </c>
      <c r="E4225">
        <v>1.0261827565463899</v>
      </c>
      <c r="F4225">
        <v>1.0385447928264799</v>
      </c>
      <c r="G4225">
        <v>0.44654404481543197</v>
      </c>
      <c r="H4225">
        <v>0.108039805640501</v>
      </c>
      <c r="I4225">
        <v>7.8509543492451497E-2</v>
      </c>
      <c r="J4225">
        <v>7.3736395364854698E-2</v>
      </c>
      <c r="K4225">
        <v>6.5226097706422001E-2</v>
      </c>
      <c r="L4225">
        <v>14176.380868391199</v>
      </c>
      <c r="M4225">
        <v>250</v>
      </c>
      <c r="N4225">
        <v>56.745846292831502</v>
      </c>
      <c r="O4225">
        <v>56.7019120481025</v>
      </c>
      <c r="P4225">
        <v>-1.01255661105777</v>
      </c>
      <c r="Q4225">
        <v>8.1377946388167394E-2</v>
      </c>
      <c r="R4225">
        <v>0.99682752518516804</v>
      </c>
      <c r="S4225" t="s">
        <v>10677</v>
      </c>
      <c r="T4225" t="s">
        <v>12902</v>
      </c>
      <c r="U4225" t="s">
        <v>12902</v>
      </c>
      <c r="V4225" t="s">
        <v>12902</v>
      </c>
      <c r="W4225" t="s">
        <v>17080</v>
      </c>
      <c r="X4225">
        <v>71</v>
      </c>
      <c r="Y4225" t="s">
        <v>23387</v>
      </c>
      <c r="Z4225" t="s">
        <v>29800</v>
      </c>
      <c r="AA4225">
        <v>0.59300477451647748</v>
      </c>
      <c r="AB4225" t="str">
        <f>HYPERLINK("Melting_Curves/meltCurve_Q86VP6_CAND1.pdf", "Melting_Curves/meltCurve_Q86VP6_CAND1.pdf")</f>
        <v>Melting_Curves/meltCurve_Q86VP6_CAND1.pdf</v>
      </c>
    </row>
    <row r="4226" spans="1:28" x14ac:dyDescent="0.25">
      <c r="A4226" t="s">
        <v>4230</v>
      </c>
      <c r="B4226">
        <v>0.99673306730245903</v>
      </c>
      <c r="C4226">
        <v>0.92305867947083098</v>
      </c>
      <c r="D4226">
        <v>0.87424224387765204</v>
      </c>
      <c r="E4226">
        <v>0.79482325003509102</v>
      </c>
      <c r="F4226">
        <v>0.53347176144421404</v>
      </c>
      <c r="G4226">
        <v>0.29124505426370101</v>
      </c>
      <c r="H4226">
        <v>0.27074878569698602</v>
      </c>
      <c r="I4226">
        <v>0.435184483385611</v>
      </c>
      <c r="J4226">
        <v>0.59902440858203898</v>
      </c>
      <c r="K4226">
        <v>0.56853189252465497</v>
      </c>
      <c r="L4226">
        <v>1544.1106999481699</v>
      </c>
      <c r="M4226">
        <v>30.814560501984001</v>
      </c>
      <c r="N4226">
        <v>53.659998167404503</v>
      </c>
      <c r="O4226">
        <v>49.900147333932402</v>
      </c>
      <c r="P4226">
        <v>-8.7240740517413498E-2</v>
      </c>
      <c r="Q4226">
        <v>0.43490339317150301</v>
      </c>
      <c r="R4226">
        <v>0.81291615509432302</v>
      </c>
      <c r="S4226" t="s">
        <v>10678</v>
      </c>
      <c r="T4226" t="s">
        <v>12902</v>
      </c>
      <c r="U4226" t="s">
        <v>12902</v>
      </c>
      <c r="V4226" t="s">
        <v>12902</v>
      </c>
      <c r="W4226" t="s">
        <v>17081</v>
      </c>
      <c r="X4226">
        <v>2</v>
      </c>
      <c r="Y4226" t="s">
        <v>23388</v>
      </c>
      <c r="Z4226" t="s">
        <v>29801</v>
      </c>
      <c r="AA4226">
        <v>0.62865358122366499</v>
      </c>
      <c r="AB4226" t="str">
        <f>HYPERLINK("Melting_Curves/meltCurve_Q86VQ1_GLCCI1.pdf", "Melting_Curves/meltCurve_Q86VQ1_GLCCI1.pdf")</f>
        <v>Melting_Curves/meltCurve_Q86VQ1_GLCCI1.pdf</v>
      </c>
    </row>
    <row r="4227" spans="1:28" x14ac:dyDescent="0.25">
      <c r="A4227" t="s">
        <v>4231</v>
      </c>
      <c r="B4227">
        <v>0.99673306730245903</v>
      </c>
      <c r="C4227">
        <v>1.0116915775356401</v>
      </c>
      <c r="D4227">
        <v>0.90270649232887701</v>
      </c>
      <c r="E4227">
        <v>0.80396063980459698</v>
      </c>
      <c r="F4227">
        <v>0.53427286091374304</v>
      </c>
      <c r="G4227">
        <v>0.32607281521374998</v>
      </c>
      <c r="H4227">
        <v>0.16545057202618699</v>
      </c>
      <c r="I4227">
        <v>0.17047135521183601</v>
      </c>
      <c r="J4227">
        <v>0.155178883429058</v>
      </c>
      <c r="K4227">
        <v>0.121791924231602</v>
      </c>
      <c r="L4227">
        <v>934.05576252715503</v>
      </c>
      <c r="M4227">
        <v>17.6674777435199</v>
      </c>
      <c r="N4227">
        <v>53.684384991628001</v>
      </c>
      <c r="O4227">
        <v>52.205277075691299</v>
      </c>
      <c r="P4227">
        <v>-7.4649946590937794E-2</v>
      </c>
      <c r="Q4227">
        <v>0.117720308266963</v>
      </c>
      <c r="R4227">
        <v>0.99687065579573697</v>
      </c>
      <c r="S4227" t="s">
        <v>10679</v>
      </c>
      <c r="T4227" t="s">
        <v>12902</v>
      </c>
      <c r="U4227" t="s">
        <v>12902</v>
      </c>
      <c r="V4227" t="s">
        <v>12902</v>
      </c>
      <c r="W4227" t="s">
        <v>17082</v>
      </c>
      <c r="X4227">
        <v>4</v>
      </c>
      <c r="Y4227" t="s">
        <v>23389</v>
      </c>
      <c r="Z4227" t="s">
        <v>29802</v>
      </c>
      <c r="AA4227">
        <v>0.51110061647099803</v>
      </c>
      <c r="AB4227" t="str">
        <f>HYPERLINK("Melting_Curves/meltCurve_Q86VR2_FAM134C.pdf", "Melting_Curves/meltCurve_Q86VR2_FAM134C.pdf")</f>
        <v>Melting_Curves/meltCurve_Q86VR2_FAM134C.pdf</v>
      </c>
    </row>
    <row r="4228" spans="1:28" x14ac:dyDescent="0.25">
      <c r="A4228" t="s">
        <v>4232</v>
      </c>
      <c r="B4228">
        <v>0.99673306730245903</v>
      </c>
      <c r="C4228">
        <v>0.92544277855361901</v>
      </c>
      <c r="D4228">
        <v>0.82104536675367401</v>
      </c>
      <c r="E4228">
        <v>0.58585042980227298</v>
      </c>
      <c r="F4228">
        <v>0.28713122887091902</v>
      </c>
      <c r="G4228">
        <v>0.185235546372017</v>
      </c>
      <c r="H4228">
        <v>0.106878339113093</v>
      </c>
      <c r="I4228">
        <v>0.108071386145023</v>
      </c>
      <c r="J4228">
        <v>0.12682646448745899</v>
      </c>
      <c r="K4228">
        <v>0.12085300618785499</v>
      </c>
      <c r="L4228">
        <v>911.91778291302899</v>
      </c>
      <c r="M4228">
        <v>18.352620422350899</v>
      </c>
      <c r="N4228">
        <v>50.306173037513702</v>
      </c>
      <c r="O4228">
        <v>49.110021766771901</v>
      </c>
      <c r="P4228">
        <v>-8.4008038748680194E-2</v>
      </c>
      <c r="Q4228">
        <v>0.10084817164226</v>
      </c>
      <c r="R4228">
        <v>0.99723501590935704</v>
      </c>
      <c r="S4228" t="s">
        <v>10680</v>
      </c>
      <c r="T4228" t="s">
        <v>12902</v>
      </c>
      <c r="U4228" t="s">
        <v>12902</v>
      </c>
      <c r="V4228" t="s">
        <v>12902</v>
      </c>
      <c r="W4228" t="s">
        <v>17083</v>
      </c>
      <c r="X4228">
        <v>12</v>
      </c>
      <c r="Y4228" t="s">
        <v>23390</v>
      </c>
      <c r="Z4228" t="s">
        <v>29803</v>
      </c>
      <c r="AA4228">
        <v>0.40606735603165822</v>
      </c>
      <c r="AB4228" t="str">
        <f>HYPERLINK("Melting_Curves/meltCurve_Q86VS8_HOOK3.pdf", "Melting_Curves/meltCurve_Q86VS8_HOOK3.pdf")</f>
        <v>Melting_Curves/meltCurve_Q86VS8_HOOK3.pdf</v>
      </c>
    </row>
    <row r="4229" spans="1:28" x14ac:dyDescent="0.25">
      <c r="A4229" t="s">
        <v>4233</v>
      </c>
      <c r="B4229">
        <v>0.99673306730245903</v>
      </c>
      <c r="C4229">
        <v>0.99798316152812505</v>
      </c>
      <c r="D4229">
        <v>0.87404069691325004</v>
      </c>
      <c r="E4229">
        <v>0.72493026427262297</v>
      </c>
      <c r="F4229">
        <v>0.361667267872814</v>
      </c>
      <c r="G4229">
        <v>0.20588167331426199</v>
      </c>
      <c r="H4229">
        <v>0.13327453324521901</v>
      </c>
      <c r="I4229">
        <v>0.122202813784416</v>
      </c>
      <c r="J4229">
        <v>0.112876066982376</v>
      </c>
      <c r="K4229">
        <v>9.5272548016870601E-2</v>
      </c>
      <c r="L4229">
        <v>1052.31432434146</v>
      </c>
      <c r="M4229">
        <v>20.5647265248585</v>
      </c>
      <c r="N4229">
        <v>51.733408949987002</v>
      </c>
      <c r="O4229">
        <v>50.694339952276501</v>
      </c>
      <c r="P4229">
        <v>-9.1256748075827399E-2</v>
      </c>
      <c r="Q4229">
        <v>0.100194013737178</v>
      </c>
      <c r="R4229">
        <v>0.99712988599741603</v>
      </c>
      <c r="S4229" t="s">
        <v>10681</v>
      </c>
      <c r="T4229" t="s">
        <v>12902</v>
      </c>
      <c r="U4229" t="s">
        <v>12902</v>
      </c>
      <c r="V4229" t="s">
        <v>12902</v>
      </c>
      <c r="W4229" t="s">
        <v>17084</v>
      </c>
      <c r="X4229">
        <v>6</v>
      </c>
      <c r="Y4229" t="s">
        <v>23391</v>
      </c>
      <c r="Z4229" t="s">
        <v>29804</v>
      </c>
      <c r="AA4229">
        <v>0.44709995499806499</v>
      </c>
      <c r="AB4229" t="str">
        <f>HYPERLINK("Melting_Curves/meltCurve_Q86VU5_COMTD1.pdf", "Melting_Curves/meltCurve_Q86VU5_COMTD1.pdf")</f>
        <v>Melting_Curves/meltCurve_Q86VU5_COMTD1.pdf</v>
      </c>
    </row>
    <row r="4230" spans="1:28" x14ac:dyDescent="0.25">
      <c r="A4230" t="s">
        <v>4234</v>
      </c>
      <c r="B4230">
        <v>0.99673306730245903</v>
      </c>
      <c r="C4230">
        <v>0.93847918778391803</v>
      </c>
      <c r="D4230">
        <v>0.78052323210008201</v>
      </c>
      <c r="E4230">
        <v>0.38150161904457403</v>
      </c>
      <c r="F4230">
        <v>0.25662839545050098</v>
      </c>
      <c r="G4230">
        <v>0.17516678344294101</v>
      </c>
      <c r="H4230">
        <v>0.115294781559204</v>
      </c>
      <c r="I4230">
        <v>0.106584849922142</v>
      </c>
      <c r="J4230">
        <v>0.123188334199605</v>
      </c>
      <c r="K4230">
        <v>0.106362874866461</v>
      </c>
      <c r="L4230">
        <v>1038.2539731387401</v>
      </c>
      <c r="M4230">
        <v>21.588084751205301</v>
      </c>
      <c r="N4230">
        <v>48.705308727678698</v>
      </c>
      <c r="O4230">
        <v>47.686870149753098</v>
      </c>
      <c r="P4230">
        <v>-9.9744481144512301E-2</v>
      </c>
      <c r="Q4230">
        <v>0.118701309685977</v>
      </c>
      <c r="R4230">
        <v>0.99600125042280696</v>
      </c>
      <c r="S4230" t="s">
        <v>10682</v>
      </c>
      <c r="T4230" t="s">
        <v>12902</v>
      </c>
      <c r="U4230" t="s">
        <v>12902</v>
      </c>
      <c r="V4230" t="s">
        <v>12902</v>
      </c>
      <c r="W4230" t="s">
        <v>17085</v>
      </c>
      <c r="X4230">
        <v>1</v>
      </c>
      <c r="Y4230" t="s">
        <v>23392</v>
      </c>
      <c r="Z4230" t="s">
        <v>29805</v>
      </c>
      <c r="AA4230">
        <v>0.36710418670944128</v>
      </c>
      <c r="AB4230" t="str">
        <f>HYPERLINK("Melting_Curves/meltCurve_Q86VW0_SESTD1.pdf", "Melting_Curves/meltCurve_Q86VW0_SESTD1.pdf")</f>
        <v>Melting_Curves/meltCurve_Q86VW0_SESTD1.pdf</v>
      </c>
    </row>
    <row r="4231" spans="1:28" x14ac:dyDescent="0.25">
      <c r="A4231" t="s">
        <v>4235</v>
      </c>
      <c r="B4231">
        <v>0.99673306730245903</v>
      </c>
      <c r="C4231">
        <v>0.94577040901228104</v>
      </c>
      <c r="D4231">
        <v>0.91127320980443305</v>
      </c>
      <c r="E4231">
        <v>0.86118861825067206</v>
      </c>
      <c r="F4231">
        <v>0.33047396673087098</v>
      </c>
      <c r="G4231">
        <v>0.15273878688231499</v>
      </c>
      <c r="H4231">
        <v>6.8495252336902998E-2</v>
      </c>
      <c r="I4231">
        <v>7.1216601765927395E-2</v>
      </c>
      <c r="J4231">
        <v>3.20154073112104E-2</v>
      </c>
      <c r="K4231">
        <v>2.22083724008981E-2</v>
      </c>
      <c r="L4231">
        <v>1634.44052386373</v>
      </c>
      <c r="M4231">
        <v>31.452235105751701</v>
      </c>
      <c r="N4231">
        <v>52.144018141091401</v>
      </c>
      <c r="O4231">
        <v>51.757059284859999</v>
      </c>
      <c r="P4231">
        <v>-0.144181074689265</v>
      </c>
      <c r="Q4231">
        <v>5.0960773416621502E-2</v>
      </c>
      <c r="R4231">
        <v>0.99198144542762201</v>
      </c>
      <c r="S4231" t="s">
        <v>10683</v>
      </c>
      <c r="T4231" t="s">
        <v>12902</v>
      </c>
      <c r="U4231" t="s">
        <v>12902</v>
      </c>
      <c r="V4231" t="s">
        <v>12902</v>
      </c>
      <c r="W4231" t="s">
        <v>17086</v>
      </c>
      <c r="X4231">
        <v>1</v>
      </c>
      <c r="Y4231" t="s">
        <v>23393</v>
      </c>
      <c r="Z4231" t="s">
        <v>29806</v>
      </c>
      <c r="AA4231">
        <v>0.43501142088858358</v>
      </c>
      <c r="AB4231" t="str">
        <f>HYPERLINK("Melting_Curves/meltCurve_Q86VX9_MON1A.pdf", "Melting_Curves/meltCurve_Q86VX9_MON1A.pdf")</f>
        <v>Melting_Curves/meltCurve_Q86VX9_MON1A.pdf</v>
      </c>
    </row>
    <row r="4232" spans="1:28" x14ac:dyDescent="0.25">
      <c r="A4232" t="s">
        <v>4236</v>
      </c>
      <c r="B4232">
        <v>0.99673306730245903</v>
      </c>
      <c r="C4232">
        <v>1.06348237421576</v>
      </c>
      <c r="D4232">
        <v>1.18558679308902</v>
      </c>
      <c r="E4232">
        <v>1.8054229003047499</v>
      </c>
      <c r="F4232">
        <v>0.81734345395403596</v>
      </c>
      <c r="G4232">
        <v>0.54705970785176306</v>
      </c>
      <c r="H4232">
        <v>0.169349464079844</v>
      </c>
      <c r="I4232">
        <v>0.128697971137472</v>
      </c>
      <c r="J4232">
        <v>0.136970058174746</v>
      </c>
      <c r="K4232">
        <v>9.7029784788107101E-2</v>
      </c>
      <c r="L4232">
        <v>2160.3076529907498</v>
      </c>
      <c r="M4232">
        <v>38.172278783513697</v>
      </c>
      <c r="N4232">
        <v>56.989051496457499</v>
      </c>
      <c r="O4232">
        <v>56.4389755229165</v>
      </c>
      <c r="P4232">
        <v>-0.14941466785122301</v>
      </c>
      <c r="Q4232">
        <v>0.116344111684413</v>
      </c>
      <c r="R4232">
        <v>0.76448077903460199</v>
      </c>
      <c r="S4232" t="s">
        <v>10684</v>
      </c>
      <c r="T4232" t="s">
        <v>12902</v>
      </c>
      <c r="U4232" t="s">
        <v>12902</v>
      </c>
      <c r="V4232" t="s">
        <v>12902</v>
      </c>
      <c r="W4232" t="s">
        <v>17087</v>
      </c>
      <c r="X4232">
        <v>6</v>
      </c>
      <c r="Y4232" t="s">
        <v>23394</v>
      </c>
      <c r="Z4232" t="s">
        <v>29807</v>
      </c>
      <c r="AA4232">
        <v>0.60886491690684097</v>
      </c>
      <c r="AB4232" t="str">
        <f>HYPERLINK("Melting_Curves/meltCurve_Q86W42_THOC6.pdf", "Melting_Curves/meltCurve_Q86W42_THOC6.pdf")</f>
        <v>Melting_Curves/meltCurve_Q86W42_THOC6.pdf</v>
      </c>
    </row>
    <row r="4233" spans="1:28" x14ac:dyDescent="0.25">
      <c r="A4233" t="s">
        <v>4237</v>
      </c>
      <c r="B4233">
        <v>0.99673306730245903</v>
      </c>
      <c r="C4233">
        <v>0.971219285309457</v>
      </c>
      <c r="D4233">
        <v>0.82562579508505796</v>
      </c>
      <c r="E4233">
        <v>0.59199245692320202</v>
      </c>
      <c r="F4233">
        <v>0.21257002737545999</v>
      </c>
      <c r="G4233">
        <v>0.12893467633084499</v>
      </c>
      <c r="H4233">
        <v>7.42774294189643E-2</v>
      </c>
      <c r="I4233">
        <v>5.2489064987744402E-2</v>
      </c>
      <c r="J4233">
        <v>6.64308185346872E-2</v>
      </c>
      <c r="K4233">
        <v>5.1379915127953701E-2</v>
      </c>
      <c r="L4233">
        <v>1046.72238112543</v>
      </c>
      <c r="M4233">
        <v>20.991075522595899</v>
      </c>
      <c r="N4233">
        <v>50.117976926562697</v>
      </c>
      <c r="O4233">
        <v>49.419162208689002</v>
      </c>
      <c r="P4233">
        <v>-0.10085608067084301</v>
      </c>
      <c r="Q4233">
        <v>5.0245935378345E-2</v>
      </c>
      <c r="R4233">
        <v>0.99681321089545505</v>
      </c>
      <c r="S4233" t="s">
        <v>10685</v>
      </c>
      <c r="T4233" t="s">
        <v>12902</v>
      </c>
      <c r="U4233" t="s">
        <v>12902</v>
      </c>
      <c r="V4233" t="s">
        <v>12902</v>
      </c>
      <c r="W4233" t="s">
        <v>17088</v>
      </c>
      <c r="X4233">
        <v>6</v>
      </c>
      <c r="Y4233" t="s">
        <v>23395</v>
      </c>
      <c r="Z4233" t="s">
        <v>29808</v>
      </c>
      <c r="AA4233">
        <v>0.37458686681790282</v>
      </c>
      <c r="AB4233" t="str">
        <f>HYPERLINK("Melting_Curves/meltCurve_Q86W50_METTL16.pdf", "Melting_Curves/meltCurve_Q86W50_METTL16.pdf")</f>
        <v>Melting_Curves/meltCurve_Q86W50_METTL16.pdf</v>
      </c>
    </row>
    <row r="4234" spans="1:28" x14ac:dyDescent="0.25">
      <c r="A4234" t="s">
        <v>4238</v>
      </c>
      <c r="B4234">
        <v>0.99673306730245903</v>
      </c>
      <c r="C4234">
        <v>0.94802759645664603</v>
      </c>
      <c r="D4234">
        <v>0.86909420646702196</v>
      </c>
      <c r="E4234">
        <v>0.47796173125456498</v>
      </c>
      <c r="F4234">
        <v>0.41759119814545997</v>
      </c>
      <c r="G4234">
        <v>0.28687201117628702</v>
      </c>
      <c r="H4234">
        <v>0.15556067280173699</v>
      </c>
      <c r="I4234">
        <v>0.14278925904495099</v>
      </c>
      <c r="J4234">
        <v>0.16447445331365801</v>
      </c>
      <c r="K4234">
        <v>0.146822966258014</v>
      </c>
      <c r="L4234">
        <v>800.80660944984004</v>
      </c>
      <c r="M4234">
        <v>16.134181364112798</v>
      </c>
      <c r="N4234">
        <v>50.697744523657903</v>
      </c>
      <c r="O4234">
        <v>48.890450513799202</v>
      </c>
      <c r="P4234">
        <v>-7.06621458504227E-2</v>
      </c>
      <c r="Q4234">
        <v>0.14357180757595001</v>
      </c>
      <c r="R4234">
        <v>0.98235386144324799</v>
      </c>
      <c r="S4234" t="s">
        <v>10686</v>
      </c>
      <c r="T4234" t="s">
        <v>12902</v>
      </c>
      <c r="U4234" t="s">
        <v>12902</v>
      </c>
      <c r="V4234" t="s">
        <v>12902</v>
      </c>
      <c r="W4234" t="s">
        <v>17089</v>
      </c>
      <c r="X4234">
        <v>9</v>
      </c>
      <c r="Y4234" t="s">
        <v>23396</v>
      </c>
      <c r="Z4234" t="s">
        <v>29809</v>
      </c>
      <c r="AA4234">
        <v>0.43667917893424257</v>
      </c>
      <c r="AB4234" t="str">
        <f>HYPERLINK("Melting_Curves/meltCurve_Q86W56_PARG.pdf", "Melting_Curves/meltCurve_Q86W56_PARG.pdf")</f>
        <v>Melting_Curves/meltCurve_Q86W56_PARG.pdf</v>
      </c>
    </row>
    <row r="4235" spans="1:28" x14ac:dyDescent="0.25">
      <c r="A4235" t="s">
        <v>4239</v>
      </c>
      <c r="B4235">
        <v>0.99673306730245903</v>
      </c>
      <c r="C4235">
        <v>0.97360956573233304</v>
      </c>
      <c r="D4235">
        <v>0.96498280284671401</v>
      </c>
      <c r="E4235">
        <v>0.99783582330645304</v>
      </c>
      <c r="F4235">
        <v>0.84863376018203096</v>
      </c>
      <c r="G4235">
        <v>0.78232139757487695</v>
      </c>
      <c r="H4235">
        <v>0.67106293954373497</v>
      </c>
      <c r="I4235">
        <v>1.15579675978618</v>
      </c>
      <c r="J4235">
        <v>1.34490094766275</v>
      </c>
      <c r="K4235">
        <v>1.27285244998164</v>
      </c>
      <c r="L4235">
        <v>15000</v>
      </c>
      <c r="M4235">
        <v>234.392534658622</v>
      </c>
      <c r="O4235">
        <v>63.990574070437098</v>
      </c>
      <c r="P4235">
        <v>0.28285043973357898</v>
      </c>
      <c r="Q4235">
        <v>1.3088793969750501</v>
      </c>
      <c r="R4235">
        <v>0.54024474641447595</v>
      </c>
      <c r="S4235" t="s">
        <v>10687</v>
      </c>
      <c r="T4235" t="s">
        <v>12902</v>
      </c>
      <c r="U4235" t="s">
        <v>12902</v>
      </c>
      <c r="V4235" t="s">
        <v>12902</v>
      </c>
      <c r="W4235" t="s">
        <v>17090</v>
      </c>
      <c r="X4235">
        <v>3</v>
      </c>
      <c r="Y4235" t="s">
        <v>23397</v>
      </c>
      <c r="Z4235" t="s">
        <v>29810</v>
      </c>
      <c r="AA4235">
        <v>1.061785708913872</v>
      </c>
      <c r="AB4235" t="str">
        <f>HYPERLINK("Melting_Curves/meltCurve_Q86W92_4_PPFIBP1.pdf", "Melting_Curves/meltCurve_Q86W92_4_PPFIBP1.pdf")</f>
        <v>Melting_Curves/meltCurve_Q86W92_4_PPFIBP1.pdf</v>
      </c>
    </row>
    <row r="4236" spans="1:28" x14ac:dyDescent="0.25">
      <c r="A4236" t="s">
        <v>4240</v>
      </c>
      <c r="B4236">
        <v>0.99673306730245903</v>
      </c>
      <c r="C4236">
        <v>1.03260265085595</v>
      </c>
      <c r="D4236">
        <v>1.0589367571942701</v>
      </c>
      <c r="E4236">
        <v>0.87456505003964502</v>
      </c>
      <c r="F4236">
        <v>0.28481154413309001</v>
      </c>
      <c r="G4236">
        <v>0.14309731521017199</v>
      </c>
      <c r="H4236">
        <v>9.3327816178169903E-2</v>
      </c>
      <c r="I4236">
        <v>8.3935123777929499E-2</v>
      </c>
      <c r="J4236">
        <v>6.0928038123995103E-2</v>
      </c>
      <c r="K4236">
        <v>5.74650276110064E-2</v>
      </c>
      <c r="L4236">
        <v>2238.3617067268001</v>
      </c>
      <c r="M4236">
        <v>43.293273889790001</v>
      </c>
      <c r="N4236">
        <v>51.918673419900003</v>
      </c>
      <c r="O4236">
        <v>51.592349164549198</v>
      </c>
      <c r="P4236">
        <v>-0.19246916254906901</v>
      </c>
      <c r="Q4236">
        <v>8.2543748640692596E-2</v>
      </c>
      <c r="R4236">
        <v>0.99568527871310197</v>
      </c>
      <c r="S4236" t="s">
        <v>10688</v>
      </c>
      <c r="T4236" t="s">
        <v>12902</v>
      </c>
      <c r="U4236" t="s">
        <v>12902</v>
      </c>
      <c r="V4236" t="s">
        <v>12902</v>
      </c>
      <c r="W4236" t="s">
        <v>17091</v>
      </c>
      <c r="X4236">
        <v>9</v>
      </c>
      <c r="Y4236" t="s">
        <v>23398</v>
      </c>
      <c r="Z4236" t="s">
        <v>29811</v>
      </c>
      <c r="AA4236">
        <v>0.4432172520408148</v>
      </c>
      <c r="AB4236" t="str">
        <f>HYPERLINK("Melting_Curves/meltCurve_Q86WA6_2_BPHL.pdf", "Melting_Curves/meltCurve_Q86WA6_2_BPHL.pdf")</f>
        <v>Melting_Curves/meltCurve_Q86WA6_2_BPHL.pdf</v>
      </c>
    </row>
    <row r="4237" spans="1:28" x14ac:dyDescent="0.25">
      <c r="A4237" t="s">
        <v>4241</v>
      </c>
      <c r="B4237">
        <v>0.99673306730245903</v>
      </c>
      <c r="C4237">
        <v>0.94066779780534004</v>
      </c>
      <c r="D4237">
        <v>0.81723341058857801</v>
      </c>
      <c r="E4237">
        <v>0.59631867927668103</v>
      </c>
      <c r="F4237">
        <v>0.38374205287332203</v>
      </c>
      <c r="G4237">
        <v>0.20095478854705601</v>
      </c>
      <c r="H4237">
        <v>9.4582971585989703E-2</v>
      </c>
      <c r="I4237">
        <v>9.8362936194575007E-2</v>
      </c>
      <c r="J4237">
        <v>3.4974813770632801E-2</v>
      </c>
      <c r="K4237">
        <v>4.1156891097252402E-2</v>
      </c>
      <c r="L4237">
        <v>714.95529246177296</v>
      </c>
      <c r="M4237">
        <v>14.022585439569699</v>
      </c>
      <c r="N4237">
        <v>51.116900012039501</v>
      </c>
      <c r="O4237">
        <v>49.982647415647101</v>
      </c>
      <c r="P4237">
        <v>-6.8909122533929806E-2</v>
      </c>
      <c r="Q4237">
        <v>1.7639785080091199E-2</v>
      </c>
      <c r="R4237">
        <v>0.99859839048494803</v>
      </c>
      <c r="S4237" t="s">
        <v>10689</v>
      </c>
      <c r="T4237" t="s">
        <v>12902</v>
      </c>
      <c r="U4237" t="s">
        <v>12902</v>
      </c>
      <c r="V4237" t="s">
        <v>12902</v>
      </c>
      <c r="W4237" t="s">
        <v>17092</v>
      </c>
      <c r="X4237">
        <v>6</v>
      </c>
      <c r="Y4237" t="s">
        <v>23399</v>
      </c>
      <c r="Z4237" t="s">
        <v>29812</v>
      </c>
      <c r="AA4237">
        <v>0.4027123215773426</v>
      </c>
      <c r="AB4237" t="str">
        <f>HYPERLINK("Melting_Curves/meltCurve_Q86WA8_LONP2.pdf", "Melting_Curves/meltCurve_Q86WA8_LONP2.pdf")</f>
        <v>Melting_Curves/meltCurve_Q86WA8_LONP2.pdf</v>
      </c>
    </row>
    <row r="4238" spans="1:28" x14ac:dyDescent="0.25">
      <c r="A4238" t="s">
        <v>4242</v>
      </c>
      <c r="B4238">
        <v>0.99673306730245903</v>
      </c>
      <c r="C4238">
        <v>0.75214122910968495</v>
      </c>
      <c r="D4238">
        <v>0.29355531031512899</v>
      </c>
      <c r="E4238">
        <v>0.14152511358108899</v>
      </c>
      <c r="F4238">
        <v>9.37900078323812E-2</v>
      </c>
      <c r="G4238">
        <v>6.2879862648324403E-2</v>
      </c>
      <c r="H4238">
        <v>4.1235749469715297E-2</v>
      </c>
      <c r="I4238">
        <v>3.5466761725648603E-2</v>
      </c>
      <c r="J4238">
        <v>2.73744982900638E-2</v>
      </c>
      <c r="K4238">
        <v>2.2192380452820602E-2</v>
      </c>
      <c r="L4238">
        <v>1277.52389195058</v>
      </c>
      <c r="M4238">
        <v>28.7391397959024</v>
      </c>
      <c r="N4238">
        <v>44.617629565843998</v>
      </c>
      <c r="O4238">
        <v>44.238845025062098</v>
      </c>
      <c r="P4238">
        <v>-0.15421315854957701</v>
      </c>
      <c r="Q4238">
        <v>5.0471329549350498E-2</v>
      </c>
      <c r="R4238">
        <v>0.99390900997367604</v>
      </c>
      <c r="S4238" t="s">
        <v>10690</v>
      </c>
      <c r="T4238" t="s">
        <v>12902</v>
      </c>
      <c r="U4238" t="s">
        <v>12902</v>
      </c>
      <c r="V4238" t="s">
        <v>12902</v>
      </c>
      <c r="W4238" t="s">
        <v>17093</v>
      </c>
      <c r="X4238">
        <v>8</v>
      </c>
      <c r="Y4238" t="s">
        <v>23400</v>
      </c>
      <c r="Z4238" t="s">
        <v>29813</v>
      </c>
      <c r="AA4238">
        <v>0.1985856939268798</v>
      </c>
      <c r="AB4238" t="str">
        <f>HYPERLINK("Melting_Curves/meltCurve_Q86WJ1_2_CHD1L.pdf", "Melting_Curves/meltCurve_Q86WJ1_2_CHD1L.pdf")</f>
        <v>Melting_Curves/meltCurve_Q86WJ1_2_CHD1L.pdf</v>
      </c>
    </row>
    <row r="4239" spans="1:28" x14ac:dyDescent="0.25">
      <c r="A4239" t="s">
        <v>4243</v>
      </c>
      <c r="B4239">
        <v>0.99673306730245903</v>
      </c>
      <c r="C4239">
        <v>1.0414279834600899</v>
      </c>
      <c r="D4239">
        <v>1.0388544596387399</v>
      </c>
      <c r="E4239">
        <v>0.920612231434215</v>
      </c>
      <c r="F4239">
        <v>0.64995696556401295</v>
      </c>
      <c r="G4239">
        <v>0.397309330666333</v>
      </c>
      <c r="H4239">
        <v>0.26757431594335401</v>
      </c>
      <c r="I4239">
        <v>0.25552260929024101</v>
      </c>
      <c r="J4239">
        <v>0.14440751513199701</v>
      </c>
      <c r="K4239">
        <v>0.107451555062029</v>
      </c>
      <c r="L4239">
        <v>1101.7272045771199</v>
      </c>
      <c r="M4239">
        <v>20.223261514988</v>
      </c>
      <c r="N4239">
        <v>55.449136685556098</v>
      </c>
      <c r="O4239">
        <v>53.953902580048698</v>
      </c>
      <c r="P4239">
        <v>-7.97371124472111E-2</v>
      </c>
      <c r="Q4239">
        <v>0.14909949333978201</v>
      </c>
      <c r="R4239">
        <v>0.98899049788889304</v>
      </c>
      <c r="S4239" t="s">
        <v>10691</v>
      </c>
      <c r="T4239" t="s">
        <v>12902</v>
      </c>
      <c r="U4239" t="s">
        <v>12902</v>
      </c>
      <c r="V4239" t="s">
        <v>12902</v>
      </c>
      <c r="W4239" t="s">
        <v>17094</v>
      </c>
      <c r="X4239">
        <v>6</v>
      </c>
      <c r="Y4239" t="s">
        <v>23401</v>
      </c>
      <c r="Z4239" t="s">
        <v>29814</v>
      </c>
      <c r="AA4239">
        <v>0.57101915133038084</v>
      </c>
      <c r="AB4239" t="str">
        <f>HYPERLINK("Melting_Curves/meltCurve_Q86WQ0_NR2C2AP.pdf", "Melting_Curves/meltCurve_Q86WQ0_NR2C2AP.pdf")</f>
        <v>Melting_Curves/meltCurve_Q86WQ0_NR2C2AP.pdf</v>
      </c>
    </row>
    <row r="4240" spans="1:28" x14ac:dyDescent="0.25">
      <c r="A4240" t="s">
        <v>4244</v>
      </c>
      <c r="B4240">
        <v>0.99673306730245903</v>
      </c>
      <c r="C4240">
        <v>0.96819917750533502</v>
      </c>
      <c r="D4240">
        <v>0.88512512487909101</v>
      </c>
      <c r="E4240">
        <v>0.554618738115493</v>
      </c>
      <c r="F4240">
        <v>0.20355613346738799</v>
      </c>
      <c r="G4240">
        <v>0.14502535611317299</v>
      </c>
      <c r="H4240">
        <v>8.0088232901261797E-2</v>
      </c>
      <c r="I4240">
        <v>5.3903806263440497E-2</v>
      </c>
      <c r="J4240">
        <v>5.9074316724549797E-2</v>
      </c>
      <c r="K4240">
        <v>6.4976322977914405E-2</v>
      </c>
      <c r="L4240">
        <v>1194.2458555678199</v>
      </c>
      <c r="M4240">
        <v>24.011579825497201</v>
      </c>
      <c r="N4240">
        <v>50.023488304453103</v>
      </c>
      <c r="O4240">
        <v>49.395127381406198</v>
      </c>
      <c r="P4240">
        <v>-0.11370381125324899</v>
      </c>
      <c r="Q4240">
        <v>6.4397169592540507E-2</v>
      </c>
      <c r="R4240">
        <v>0.99847433332809898</v>
      </c>
      <c r="S4240" t="s">
        <v>10692</v>
      </c>
      <c r="T4240" t="s">
        <v>12902</v>
      </c>
      <c r="U4240" t="s">
        <v>12902</v>
      </c>
      <c r="V4240" t="s">
        <v>12902</v>
      </c>
      <c r="W4240" t="s">
        <v>17095</v>
      </c>
      <c r="X4240">
        <v>5</v>
      </c>
      <c r="Y4240" t="s">
        <v>23402</v>
      </c>
      <c r="Z4240" t="s">
        <v>29815</v>
      </c>
      <c r="AA4240">
        <v>0.37708805491411229</v>
      </c>
      <c r="AB4240" t="str">
        <f>HYPERLINK("Melting_Curves/meltCurve_Q86WR0_CCDC25.pdf", "Melting_Curves/meltCurve_Q86WR0_CCDC25.pdf")</f>
        <v>Melting_Curves/meltCurve_Q86WR0_CCDC25.pdf</v>
      </c>
    </row>
    <row r="4241" spans="1:28" x14ac:dyDescent="0.25">
      <c r="A4241" t="s">
        <v>4245</v>
      </c>
      <c r="B4241">
        <v>0.99673306730245903</v>
      </c>
      <c r="C4241">
        <v>0.97553280640886297</v>
      </c>
      <c r="D4241">
        <v>0.91201947655304405</v>
      </c>
      <c r="E4241">
        <v>0.76041939290294303</v>
      </c>
      <c r="F4241">
        <v>0.44978522122672399</v>
      </c>
      <c r="G4241">
        <v>0.24689881577320499</v>
      </c>
      <c r="H4241">
        <v>0.156269839383123</v>
      </c>
      <c r="I4241">
        <v>0.207534358483418</v>
      </c>
      <c r="J4241">
        <v>0.29189322088726399</v>
      </c>
      <c r="K4241">
        <v>0.320009672343819</v>
      </c>
      <c r="L4241">
        <v>1344.20645085765</v>
      </c>
      <c r="M4241">
        <v>26.363366700355499</v>
      </c>
      <c r="N4241">
        <v>52.251328595827601</v>
      </c>
      <c r="O4241">
        <v>50.697004874186703</v>
      </c>
      <c r="P4241">
        <v>-9.9361980911428602E-2</v>
      </c>
      <c r="Q4241">
        <v>0.23571219969635099</v>
      </c>
      <c r="R4241">
        <v>0.97741574427633404</v>
      </c>
      <c r="S4241" t="s">
        <v>10693</v>
      </c>
      <c r="T4241" t="s">
        <v>12902</v>
      </c>
      <c r="U4241" t="s">
        <v>12902</v>
      </c>
      <c r="V4241" t="s">
        <v>12902</v>
      </c>
      <c r="W4241" t="s">
        <v>17096</v>
      </c>
      <c r="X4241">
        <v>8</v>
      </c>
      <c r="Y4241" t="s">
        <v>23403</v>
      </c>
      <c r="Z4241" t="s">
        <v>29816</v>
      </c>
      <c r="AA4241">
        <v>0.5218530054320244</v>
      </c>
      <c r="AB4241" t="str">
        <f>HYPERLINK("Melting_Curves/meltCurve_Q86WR7_PROSER2.pdf", "Melting_Curves/meltCurve_Q86WR7_PROSER2.pdf")</f>
        <v>Melting_Curves/meltCurve_Q86WR7_PROSER2.pdf</v>
      </c>
    </row>
    <row r="4242" spans="1:28" x14ac:dyDescent="0.25">
      <c r="A4242" t="s">
        <v>4246</v>
      </c>
      <c r="B4242">
        <v>0.99673306730245903</v>
      </c>
      <c r="C4242">
        <v>0.98792885212700599</v>
      </c>
      <c r="D4242">
        <v>0.98626235291280195</v>
      </c>
      <c r="E4242">
        <v>0.984170401258323</v>
      </c>
      <c r="F4242">
        <v>0.90120218289943699</v>
      </c>
      <c r="G4242">
        <v>0.73063530274840505</v>
      </c>
      <c r="H4242">
        <v>0.59864718790073301</v>
      </c>
      <c r="I4242">
        <v>0.60286391380232995</v>
      </c>
      <c r="J4242">
        <v>0.62513478053204197</v>
      </c>
      <c r="K4242">
        <v>0.44319020981449297</v>
      </c>
      <c r="L4242">
        <v>1081.5374657918201</v>
      </c>
      <c r="M4242">
        <v>19.147532056100601</v>
      </c>
      <c r="O4242">
        <v>55.879149062908603</v>
      </c>
      <c r="P4242">
        <v>-4.0972859941142803E-2</v>
      </c>
      <c r="Q4242">
        <v>0.52172634560419195</v>
      </c>
      <c r="R4242">
        <v>0.95585202793937596</v>
      </c>
      <c r="S4242" t="s">
        <v>10694</v>
      </c>
      <c r="T4242" t="s">
        <v>12902</v>
      </c>
      <c r="U4242" t="s">
        <v>12902</v>
      </c>
      <c r="V4242" t="s">
        <v>12902</v>
      </c>
      <c r="W4242" t="s">
        <v>17097</v>
      </c>
      <c r="X4242">
        <v>16</v>
      </c>
      <c r="Y4242" t="s">
        <v>23404</v>
      </c>
      <c r="Z4242" t="s">
        <v>29817</v>
      </c>
      <c r="AA4242">
        <v>0.79089046181816736</v>
      </c>
      <c r="AB4242" t="str">
        <f>HYPERLINK("Melting_Curves/meltCurve_Q86WU2_2_LDHD.pdf", "Melting_Curves/meltCurve_Q86WU2_2_LDHD.pdf")</f>
        <v>Melting_Curves/meltCurve_Q86WU2_2_LDHD.pdf</v>
      </c>
    </row>
    <row r="4243" spans="1:28" x14ac:dyDescent="0.25">
      <c r="A4243" t="s">
        <v>4247</v>
      </c>
      <c r="B4243">
        <v>0.99673306730245903</v>
      </c>
      <c r="C4243">
        <v>0.86543757230976504</v>
      </c>
      <c r="D4243">
        <v>0.512330846420749</v>
      </c>
      <c r="E4243">
        <v>0.30147664668497098</v>
      </c>
      <c r="F4243">
        <v>0.26037558493869101</v>
      </c>
      <c r="G4243">
        <v>0.12631359683479099</v>
      </c>
      <c r="H4243">
        <v>8.5207294178840598E-2</v>
      </c>
      <c r="I4243">
        <v>9.7290586198450699E-2</v>
      </c>
      <c r="J4243">
        <v>3.00929988885618E-2</v>
      </c>
      <c r="K4243">
        <v>0</v>
      </c>
      <c r="L4243">
        <v>744.97918285795799</v>
      </c>
      <c r="M4243">
        <v>15.9569188579867</v>
      </c>
      <c r="N4243">
        <v>47.040031674938199</v>
      </c>
      <c r="O4243">
        <v>45.972123872351801</v>
      </c>
      <c r="P4243">
        <v>-8.1883423179329506E-2</v>
      </c>
      <c r="Q4243">
        <v>5.6445336789733298E-2</v>
      </c>
      <c r="R4243">
        <v>0.97769648390826502</v>
      </c>
      <c r="S4243" t="s">
        <v>10695</v>
      </c>
      <c r="T4243" t="s">
        <v>12902</v>
      </c>
      <c r="U4243" t="s">
        <v>12902</v>
      </c>
      <c r="V4243" t="s">
        <v>12902</v>
      </c>
      <c r="W4243" t="s">
        <v>17098</v>
      </c>
      <c r="X4243">
        <v>1</v>
      </c>
      <c r="Y4243" t="s">
        <v>23405</v>
      </c>
      <c r="Z4243" t="s">
        <v>29818</v>
      </c>
      <c r="AA4243">
        <v>0.28973671074575807</v>
      </c>
      <c r="AB4243" t="str">
        <f>HYPERLINK("Melting_Curves/meltCurve_Q86WV5_TEN1.pdf", "Melting_Curves/meltCurve_Q86WV5_TEN1.pdf")</f>
        <v>Melting_Curves/meltCurve_Q86WV5_TEN1.pdf</v>
      </c>
    </row>
    <row r="4244" spans="1:28" x14ac:dyDescent="0.25">
      <c r="A4244" t="s">
        <v>4248</v>
      </c>
      <c r="B4244">
        <v>0.99673306730245903</v>
      </c>
      <c r="C4244">
        <v>1.00062229393535</v>
      </c>
      <c r="D4244">
        <v>0.98206839487953101</v>
      </c>
      <c r="E4244">
        <v>0.85518681355013704</v>
      </c>
      <c r="F4244">
        <v>0.69592198538736105</v>
      </c>
      <c r="G4244">
        <v>0.408292750819303</v>
      </c>
      <c r="H4244">
        <v>0.259749762120073</v>
      </c>
      <c r="I4244">
        <v>0.30976718777636802</v>
      </c>
      <c r="J4244">
        <v>0.41843606021962798</v>
      </c>
      <c r="K4244">
        <v>0.38266932212829202</v>
      </c>
      <c r="L4244">
        <v>1434.2352318386099</v>
      </c>
      <c r="M4244">
        <v>27.073034232055701</v>
      </c>
      <c r="N4244">
        <v>55.252182180561299</v>
      </c>
      <c r="O4244">
        <v>52.690020817240601</v>
      </c>
      <c r="P4244">
        <v>-8.5287955621049003E-2</v>
      </c>
      <c r="Q4244">
        <v>0.33605087747551599</v>
      </c>
      <c r="R4244">
        <v>0.97116817242224895</v>
      </c>
      <c r="S4244" t="s">
        <v>10696</v>
      </c>
      <c r="T4244" t="s">
        <v>12902</v>
      </c>
      <c r="U4244" t="s">
        <v>12902</v>
      </c>
      <c r="V4244" t="s">
        <v>12902</v>
      </c>
      <c r="W4244" t="s">
        <v>17099</v>
      </c>
      <c r="X4244">
        <v>5</v>
      </c>
      <c r="Y4244" t="s">
        <v>23406</v>
      </c>
      <c r="Z4244" t="s">
        <v>29819</v>
      </c>
      <c r="AA4244">
        <v>0.62849606691724447</v>
      </c>
      <c r="AB4244" t="str">
        <f>HYPERLINK("Melting_Curves/meltCurve_Q86WV7_CCDC43.pdf", "Melting_Curves/meltCurve_Q86WV7_CCDC43.pdf")</f>
        <v>Melting_Curves/meltCurve_Q86WV7_CCDC43.pdf</v>
      </c>
    </row>
    <row r="4245" spans="1:28" x14ac:dyDescent="0.25">
      <c r="A4245" t="s">
        <v>4249</v>
      </c>
      <c r="B4245">
        <v>0.99673306730245903</v>
      </c>
      <c r="C4245">
        <v>0.96475890336940895</v>
      </c>
      <c r="D4245">
        <v>0.95220220063612604</v>
      </c>
      <c r="E4245">
        <v>0.75082398617760904</v>
      </c>
      <c r="F4245">
        <v>0.48775585862724402</v>
      </c>
      <c r="G4245">
        <v>0.31313878550864899</v>
      </c>
      <c r="H4245">
        <v>0.37639071926921802</v>
      </c>
      <c r="I4245">
        <v>0.25055594876304099</v>
      </c>
      <c r="J4245">
        <v>0.341794839443811</v>
      </c>
      <c r="K4245">
        <v>0.32136085539520398</v>
      </c>
      <c r="L4245">
        <v>1283.90279816269</v>
      </c>
      <c r="M4245">
        <v>25.3080906169149</v>
      </c>
      <c r="N4245">
        <v>52.761246680695898</v>
      </c>
      <c r="O4245">
        <v>50.417375196959398</v>
      </c>
      <c r="P4245">
        <v>-8.6441365461242398E-2</v>
      </c>
      <c r="Q4245">
        <v>0.31119423530637202</v>
      </c>
      <c r="R4245">
        <v>0.98717472594917399</v>
      </c>
      <c r="S4245" t="s">
        <v>10697</v>
      </c>
      <c r="T4245" t="s">
        <v>12902</v>
      </c>
      <c r="U4245" t="s">
        <v>12902</v>
      </c>
      <c r="V4245" t="s">
        <v>12902</v>
      </c>
      <c r="W4245" t="s">
        <v>17100</v>
      </c>
      <c r="X4245">
        <v>2</v>
      </c>
      <c r="Y4245" t="s">
        <v>23407</v>
      </c>
      <c r="Z4245" t="s">
        <v>29820</v>
      </c>
      <c r="AA4245">
        <v>0.563633987120157</v>
      </c>
      <c r="AB4245" t="str">
        <f>HYPERLINK("Melting_Curves/meltCurve_Q86WX3_RPS19BP1.pdf", "Melting_Curves/meltCurve_Q86WX3_RPS19BP1.pdf")</f>
        <v>Melting_Curves/meltCurve_Q86WX3_RPS19BP1.pdf</v>
      </c>
    </row>
    <row r="4246" spans="1:28" x14ac:dyDescent="0.25">
      <c r="A4246" t="s">
        <v>4250</v>
      </c>
      <c r="B4246">
        <v>0.99673306730245903</v>
      </c>
      <c r="C4246">
        <v>0.84957190242778202</v>
      </c>
      <c r="D4246">
        <v>0.97888809681948796</v>
      </c>
      <c r="E4246">
        <v>0.71089902872395005</v>
      </c>
      <c r="F4246">
        <v>0.71553407596724705</v>
      </c>
      <c r="G4246">
        <v>0.44119575225811902</v>
      </c>
      <c r="H4246">
        <v>0.36786959326528201</v>
      </c>
      <c r="I4246">
        <v>0.39531497383880398</v>
      </c>
      <c r="J4246">
        <v>0.43597424735447898</v>
      </c>
      <c r="K4246">
        <v>0.48247749507863102</v>
      </c>
      <c r="L4246">
        <v>815.73946195810004</v>
      </c>
      <c r="M4246">
        <v>15.9632553299951</v>
      </c>
      <c r="N4246">
        <v>56.834688827604097</v>
      </c>
      <c r="O4246">
        <v>50.319312975756098</v>
      </c>
      <c r="P4246">
        <v>-4.7581923016247002E-2</v>
      </c>
      <c r="Q4246">
        <v>0.40009728094192398</v>
      </c>
      <c r="R4246">
        <v>0.90532075968788694</v>
      </c>
      <c r="S4246" t="s">
        <v>10698</v>
      </c>
      <c r="T4246" t="s">
        <v>12902</v>
      </c>
      <c r="U4246" t="s">
        <v>12902</v>
      </c>
      <c r="V4246" t="s">
        <v>12902</v>
      </c>
      <c r="W4246" t="s">
        <v>17101</v>
      </c>
      <c r="X4246">
        <v>1</v>
      </c>
      <c r="Y4246" t="s">
        <v>23408</v>
      </c>
      <c r="Z4246" t="s">
        <v>29821</v>
      </c>
      <c r="AA4246">
        <v>0.63453536800153598</v>
      </c>
      <c r="AB4246" t="str">
        <f>HYPERLINK("Melting_Curves/meltCurve_Q86X53_ERICH1.pdf", "Melting_Curves/meltCurve_Q86X53_ERICH1.pdf")</f>
        <v>Melting_Curves/meltCurve_Q86X53_ERICH1.pdf</v>
      </c>
    </row>
    <row r="4247" spans="1:28" x14ac:dyDescent="0.25">
      <c r="A4247" t="s">
        <v>4251</v>
      </c>
      <c r="B4247">
        <v>0.99673306730245903</v>
      </c>
      <c r="C4247">
        <v>0.94417810561486604</v>
      </c>
      <c r="D4247">
        <v>1.08174058753796</v>
      </c>
      <c r="E4247">
        <v>1.2931711236879799</v>
      </c>
      <c r="F4247">
        <v>1.2865209255387899</v>
      </c>
      <c r="G4247">
        <v>1.09534832327758</v>
      </c>
      <c r="H4247">
        <v>0.20880398778897299</v>
      </c>
      <c r="I4247">
        <v>9.9460308831587296E-2</v>
      </c>
      <c r="J4247">
        <v>8.5685376749422199E-2</v>
      </c>
      <c r="K4247">
        <v>6.7544103197051106E-2</v>
      </c>
      <c r="L4247">
        <v>15000</v>
      </c>
      <c r="M4247">
        <v>248.55916722792901</v>
      </c>
      <c r="N4247">
        <v>60.392629337723797</v>
      </c>
      <c r="O4247">
        <v>60.343896734821698</v>
      </c>
      <c r="P4247">
        <v>-0.94302458452982196</v>
      </c>
      <c r="Q4247">
        <v>8.4229649640452695E-2</v>
      </c>
      <c r="R4247">
        <v>0.92568151830085399</v>
      </c>
      <c r="S4247" t="s">
        <v>10699</v>
      </c>
      <c r="T4247" t="s">
        <v>12902</v>
      </c>
      <c r="U4247" t="s">
        <v>12902</v>
      </c>
      <c r="V4247" t="s">
        <v>12902</v>
      </c>
      <c r="W4247" t="s">
        <v>17102</v>
      </c>
      <c r="X4247">
        <v>12</v>
      </c>
      <c r="Y4247" t="s">
        <v>23409</v>
      </c>
      <c r="Z4247" t="s">
        <v>29822</v>
      </c>
      <c r="AA4247">
        <v>0.7054582977778977</v>
      </c>
      <c r="AB4247" t="str">
        <f>HYPERLINK("Melting_Curves/meltCurve_Q86X55_1_CARM1.pdf", "Melting_Curves/meltCurve_Q86X55_1_CARM1.pdf")</f>
        <v>Melting_Curves/meltCurve_Q86X55_1_CARM1.pdf</v>
      </c>
    </row>
    <row r="4248" spans="1:28" x14ac:dyDescent="0.25">
      <c r="A4248" t="s">
        <v>4252</v>
      </c>
      <c r="B4248">
        <v>0.99673306730245903</v>
      </c>
      <c r="C4248">
        <v>0.966622132354094</v>
      </c>
      <c r="D4248">
        <v>0.93333070212725</v>
      </c>
      <c r="E4248">
        <v>0.99365248391212901</v>
      </c>
      <c r="F4248">
        <v>0.91595764590870998</v>
      </c>
      <c r="G4248">
        <v>0.79460761112711298</v>
      </c>
      <c r="H4248">
        <v>0.68015218260032695</v>
      </c>
      <c r="I4248">
        <v>0.85115455820351105</v>
      </c>
      <c r="J4248">
        <v>0.36381746978857299</v>
      </c>
      <c r="K4248">
        <v>9.1832909973376994E-2</v>
      </c>
      <c r="L4248">
        <v>1289.73269764729</v>
      </c>
      <c r="M4248">
        <v>19.685249498450801</v>
      </c>
      <c r="N4248">
        <v>65.517721823460505</v>
      </c>
      <c r="O4248">
        <v>64.852834618864804</v>
      </c>
      <c r="P4248">
        <v>-7.5886936355878495E-2</v>
      </c>
      <c r="Q4248">
        <v>0</v>
      </c>
      <c r="R4248">
        <v>0.84359022395291605</v>
      </c>
      <c r="S4248" t="s">
        <v>10700</v>
      </c>
      <c r="T4248" t="s">
        <v>12902</v>
      </c>
      <c r="U4248" t="s">
        <v>12902</v>
      </c>
      <c r="V4248" t="s">
        <v>12902</v>
      </c>
      <c r="W4248" t="s">
        <v>17103</v>
      </c>
      <c r="X4248">
        <v>12</v>
      </c>
      <c r="Y4248" t="s">
        <v>23410</v>
      </c>
      <c r="Z4248" t="s">
        <v>29823</v>
      </c>
      <c r="AA4248">
        <v>0.83378844496952176</v>
      </c>
      <c r="AB4248" t="str">
        <f>HYPERLINK("Melting_Curves/meltCurve_Q86X76_2_NIT1.pdf", "Melting_Curves/meltCurve_Q86X76_2_NIT1.pdf")</f>
        <v>Melting_Curves/meltCurve_Q86X76_2_NIT1.pdf</v>
      </c>
    </row>
    <row r="4249" spans="1:28" x14ac:dyDescent="0.25">
      <c r="A4249" t="s">
        <v>4253</v>
      </c>
      <c r="B4249">
        <v>0.99673306730245903</v>
      </c>
      <c r="C4249">
        <v>0.98375716630592502</v>
      </c>
      <c r="D4249">
        <v>0.77327441459847901</v>
      </c>
      <c r="E4249">
        <v>0.429307313587872</v>
      </c>
      <c r="F4249">
        <v>9.4515600136324401E-2</v>
      </c>
      <c r="G4249">
        <v>6.4303502447640798E-2</v>
      </c>
      <c r="H4249">
        <v>3.59218159901597E-2</v>
      </c>
      <c r="I4249">
        <v>5.93859131053395E-2</v>
      </c>
      <c r="J4249">
        <v>4.07918526310517E-2</v>
      </c>
      <c r="K4249">
        <v>4.62504131973068E-2</v>
      </c>
      <c r="L4249">
        <v>1195.2165042325</v>
      </c>
      <c r="M4249">
        <v>24.624693649091999</v>
      </c>
      <c r="N4249">
        <v>48.691861529407298</v>
      </c>
      <c r="O4249">
        <v>48.220627252801002</v>
      </c>
      <c r="P4249">
        <v>-0.122869487799991</v>
      </c>
      <c r="Q4249">
        <v>3.75909234629003E-2</v>
      </c>
      <c r="R4249">
        <v>0.996822304771384</v>
      </c>
      <c r="S4249" t="s">
        <v>10701</v>
      </c>
      <c r="T4249" t="s">
        <v>12902</v>
      </c>
      <c r="U4249" t="s">
        <v>12902</v>
      </c>
      <c r="V4249" t="s">
        <v>12902</v>
      </c>
      <c r="W4249" t="s">
        <v>17104</v>
      </c>
      <c r="X4249">
        <v>3</v>
      </c>
      <c r="Y4249" t="s">
        <v>23411</v>
      </c>
      <c r="Z4249" t="s">
        <v>29824</v>
      </c>
      <c r="AA4249">
        <v>0.32025268306623628</v>
      </c>
      <c r="AB4249" t="str">
        <f>HYPERLINK("Melting_Curves/meltCurve_Q86X83_COMMD2.pdf", "Melting_Curves/meltCurve_Q86X83_COMMD2.pdf")</f>
        <v>Melting_Curves/meltCurve_Q86X83_COMMD2.pdf</v>
      </c>
    </row>
    <row r="4250" spans="1:28" x14ac:dyDescent="0.25">
      <c r="A4250" t="s">
        <v>4254</v>
      </c>
      <c r="B4250">
        <v>0.99673306730245903</v>
      </c>
      <c r="C4250">
        <v>0.95201233696966503</v>
      </c>
      <c r="D4250">
        <v>0.96957247668352098</v>
      </c>
      <c r="E4250">
        <v>0.86151793508875296</v>
      </c>
      <c r="F4250">
        <v>0.64816085549535096</v>
      </c>
      <c r="G4250">
        <v>0.51458047524399897</v>
      </c>
      <c r="H4250">
        <v>0.22097042667824199</v>
      </c>
      <c r="I4250">
        <v>0.210242044675058</v>
      </c>
      <c r="J4250">
        <v>0.21750495689791299</v>
      </c>
      <c r="K4250">
        <v>0.32053016047723198</v>
      </c>
      <c r="L4250">
        <v>1010.03091682432</v>
      </c>
      <c r="M4250">
        <v>18.706027374414099</v>
      </c>
      <c r="N4250">
        <v>55.690508039245401</v>
      </c>
      <c r="O4250">
        <v>53.389214076550303</v>
      </c>
      <c r="P4250">
        <v>-6.8578939565334202E-2</v>
      </c>
      <c r="Q4250">
        <v>0.217103518095455</v>
      </c>
      <c r="R4250">
        <v>0.97472764030730397</v>
      </c>
      <c r="S4250" t="s">
        <v>10702</v>
      </c>
      <c r="T4250" t="s">
        <v>12902</v>
      </c>
      <c r="U4250" t="s">
        <v>12902</v>
      </c>
      <c r="V4250" t="s">
        <v>12902</v>
      </c>
      <c r="W4250" t="s">
        <v>17105</v>
      </c>
      <c r="X4250">
        <v>1</v>
      </c>
      <c r="Y4250" t="s">
        <v>23412</v>
      </c>
      <c r="Z4250" t="s">
        <v>29825</v>
      </c>
      <c r="AA4250">
        <v>0.59414474635734282</v>
      </c>
      <c r="AB4250" t="str">
        <f>HYPERLINK("Melting_Curves/meltCurve_Q86X95_2_CIR1.pdf", "Melting_Curves/meltCurve_Q86X95_2_CIR1.pdf")</f>
        <v>Melting_Curves/meltCurve_Q86X95_2_CIR1.pdf</v>
      </c>
    </row>
    <row r="4251" spans="1:28" x14ac:dyDescent="0.25">
      <c r="A4251" t="s">
        <v>4255</v>
      </c>
      <c r="B4251">
        <v>0.99673306730245903</v>
      </c>
      <c r="C4251">
        <v>1.0253429704852199</v>
      </c>
      <c r="D4251">
        <v>1.0005180720014499</v>
      </c>
      <c r="E4251">
        <v>0.93308761060429002</v>
      </c>
      <c r="F4251">
        <v>0.44684552840499597</v>
      </c>
      <c r="G4251">
        <v>0.219888375104041</v>
      </c>
      <c r="H4251">
        <v>1.92492199503661E-2</v>
      </c>
      <c r="I4251">
        <v>2.7708133018120799E-2</v>
      </c>
      <c r="J4251">
        <v>0</v>
      </c>
      <c r="K4251">
        <v>0</v>
      </c>
      <c r="L4251">
        <v>1467.92350344837</v>
      </c>
      <c r="M4251">
        <v>27.6105878932091</v>
      </c>
      <c r="N4251">
        <v>53.203635390393103</v>
      </c>
      <c r="O4251">
        <v>52.888697716067199</v>
      </c>
      <c r="P4251">
        <v>-0.12922642669650999</v>
      </c>
      <c r="Q4251">
        <v>9.8645497479097396E-3</v>
      </c>
      <c r="R4251">
        <v>0.99412998690253096</v>
      </c>
      <c r="S4251" t="s">
        <v>10703</v>
      </c>
      <c r="T4251" t="s">
        <v>12902</v>
      </c>
      <c r="U4251" t="s">
        <v>12902</v>
      </c>
      <c r="V4251" t="s">
        <v>12902</v>
      </c>
      <c r="W4251" t="s">
        <v>17106</v>
      </c>
      <c r="X4251">
        <v>1</v>
      </c>
      <c r="Y4251" t="s">
        <v>23413</v>
      </c>
      <c r="Z4251" t="s">
        <v>29826</v>
      </c>
      <c r="AA4251">
        <v>0.45193633517862708</v>
      </c>
      <c r="AB4251" t="str">
        <f>HYPERLINK("Melting_Curves/meltCurve_Q86XP0_PLA2G4D.pdf", "Melting_Curves/meltCurve_Q86XP0_PLA2G4D.pdf")</f>
        <v>Melting_Curves/meltCurve_Q86XP0_PLA2G4D.pdf</v>
      </c>
    </row>
    <row r="4252" spans="1:28" x14ac:dyDescent="0.25">
      <c r="A4252" t="s">
        <v>4256</v>
      </c>
      <c r="B4252">
        <v>0.99673306730245903</v>
      </c>
      <c r="C4252">
        <v>0.67722184043859901</v>
      </c>
      <c r="D4252">
        <v>0.38112125577009598</v>
      </c>
      <c r="E4252">
        <v>0.338207210730334</v>
      </c>
      <c r="F4252">
        <v>0.31253733185050597</v>
      </c>
      <c r="G4252">
        <v>0.20380679191135101</v>
      </c>
      <c r="H4252">
        <v>0.1562359088269</v>
      </c>
      <c r="I4252">
        <v>0.112977602163639</v>
      </c>
      <c r="J4252">
        <v>8.96298766699241E-2</v>
      </c>
      <c r="K4252">
        <v>5.8241471340239097E-2</v>
      </c>
      <c r="L4252">
        <v>655.74823161238601</v>
      </c>
      <c r="M4252">
        <v>14.605286069371999</v>
      </c>
      <c r="N4252">
        <v>45.783796234473002</v>
      </c>
      <c r="O4252">
        <v>44.081484499175097</v>
      </c>
      <c r="P4252">
        <v>-7.2644528683254703E-2</v>
      </c>
      <c r="Q4252">
        <v>0.123079066398963</v>
      </c>
      <c r="R4252">
        <v>0.93853603870229696</v>
      </c>
      <c r="S4252" t="s">
        <v>10704</v>
      </c>
      <c r="T4252" t="s">
        <v>12902</v>
      </c>
      <c r="U4252" t="s">
        <v>12902</v>
      </c>
      <c r="V4252" t="s">
        <v>12902</v>
      </c>
      <c r="W4252" t="s">
        <v>17107</v>
      </c>
      <c r="X4252">
        <v>2</v>
      </c>
      <c r="Y4252" t="s">
        <v>23414</v>
      </c>
      <c r="Z4252" t="s">
        <v>29827</v>
      </c>
      <c r="AA4252">
        <v>0.29636216830841589</v>
      </c>
      <c r="AB4252" t="str">
        <f>HYPERLINK("Melting_Curves/meltCurve_Q86XP1_DGKH.pdf", "Melting_Curves/meltCurve_Q86XP1_DGKH.pdf")</f>
        <v>Melting_Curves/meltCurve_Q86XP1_DGKH.pdf</v>
      </c>
    </row>
    <row r="4253" spans="1:28" x14ac:dyDescent="0.25">
      <c r="A4253" t="s">
        <v>4257</v>
      </c>
      <c r="B4253">
        <v>0.99673306730245903</v>
      </c>
      <c r="C4253">
        <v>0.93545459030855804</v>
      </c>
      <c r="D4253">
        <v>0.89261576955730804</v>
      </c>
      <c r="E4253">
        <v>0.30279389842494298</v>
      </c>
      <c r="F4253">
        <v>0.22352556135693</v>
      </c>
      <c r="G4253">
        <v>0.132939088123284</v>
      </c>
      <c r="H4253">
        <v>0.104996800098316</v>
      </c>
      <c r="I4253">
        <v>8.8863848795254594E-2</v>
      </c>
      <c r="J4253">
        <v>8.57833009528986E-2</v>
      </c>
      <c r="K4253">
        <v>7.2818765433374497E-2</v>
      </c>
      <c r="L4253">
        <v>1808.98003400374</v>
      </c>
      <c r="M4253">
        <v>37.585666870190202</v>
      </c>
      <c r="N4253">
        <v>48.450758169959499</v>
      </c>
      <c r="O4253">
        <v>47.993879605986599</v>
      </c>
      <c r="P4253">
        <v>-0.17419139286100499</v>
      </c>
      <c r="Q4253">
        <v>0.110288660630185</v>
      </c>
      <c r="R4253">
        <v>0.98892742809163603</v>
      </c>
      <c r="S4253" t="s">
        <v>10705</v>
      </c>
      <c r="T4253" t="s">
        <v>12902</v>
      </c>
      <c r="U4253" t="s">
        <v>12902</v>
      </c>
      <c r="V4253" t="s">
        <v>12902</v>
      </c>
      <c r="W4253" t="s">
        <v>17108</v>
      </c>
      <c r="X4253">
        <v>27</v>
      </c>
      <c r="Y4253" t="s">
        <v>23415</v>
      </c>
      <c r="Z4253" t="s">
        <v>29828</v>
      </c>
      <c r="AA4253">
        <v>0.35475490430384388</v>
      </c>
      <c r="AB4253" t="str">
        <f>HYPERLINK("Melting_Curves/meltCurve_Q86XP3_DDX42.pdf", "Melting_Curves/meltCurve_Q86XP3_DDX42.pdf")</f>
        <v>Melting_Curves/meltCurve_Q86XP3_DDX42.pdf</v>
      </c>
    </row>
    <row r="4254" spans="1:28" x14ac:dyDescent="0.25">
      <c r="A4254" t="s">
        <v>4258</v>
      </c>
      <c r="B4254">
        <v>0.99673306730245903</v>
      </c>
      <c r="C4254">
        <v>1.0553180982366399</v>
      </c>
      <c r="D4254">
        <v>0.92620214091671904</v>
      </c>
      <c r="E4254">
        <v>0.70281171113319196</v>
      </c>
      <c r="F4254">
        <v>0.53308538168149699</v>
      </c>
      <c r="G4254">
        <v>0.31951430935263497</v>
      </c>
      <c r="H4254">
        <v>0.30306274888495999</v>
      </c>
      <c r="I4254">
        <v>0.30809449349171097</v>
      </c>
      <c r="J4254">
        <v>0.41054028049186703</v>
      </c>
      <c r="K4254">
        <v>0.33381680652458701</v>
      </c>
      <c r="L4254">
        <v>1182.58328227634</v>
      </c>
      <c r="M4254">
        <v>23.472755830550501</v>
      </c>
      <c r="N4254">
        <v>52.802949145429203</v>
      </c>
      <c r="O4254">
        <v>50.019704417666603</v>
      </c>
      <c r="P4254">
        <v>-7.8648311387178899E-2</v>
      </c>
      <c r="Q4254">
        <v>0.32962328117193801</v>
      </c>
      <c r="R4254">
        <v>0.97721956736458804</v>
      </c>
      <c r="S4254" t="s">
        <v>10706</v>
      </c>
      <c r="T4254" t="s">
        <v>12902</v>
      </c>
      <c r="U4254" t="s">
        <v>12902</v>
      </c>
      <c r="V4254" t="s">
        <v>12902</v>
      </c>
      <c r="W4254" t="s">
        <v>17109</v>
      </c>
      <c r="X4254">
        <v>2</v>
      </c>
      <c r="Y4254" t="s">
        <v>23416</v>
      </c>
      <c r="Z4254" t="s">
        <v>29829</v>
      </c>
      <c r="AA4254">
        <v>0.56841645021519882</v>
      </c>
      <c r="AB4254" t="str">
        <f>HYPERLINK("Melting_Curves/meltCurve_Q86XX4_FRAS1.pdf", "Melting_Curves/meltCurve_Q86XX4_FRAS1.pdf")</f>
        <v>Melting_Curves/meltCurve_Q86XX4_FRAS1.pdf</v>
      </c>
    </row>
    <row r="4255" spans="1:28" x14ac:dyDescent="0.25">
      <c r="A4255" t="s">
        <v>4259</v>
      </c>
      <c r="B4255">
        <v>0.99673306730245903</v>
      </c>
      <c r="C4255">
        <v>0.90304893148592102</v>
      </c>
      <c r="D4255">
        <v>0.71690286624451305</v>
      </c>
      <c r="E4255">
        <v>0.33871714207098302</v>
      </c>
      <c r="F4255">
        <v>0.17720650835009899</v>
      </c>
      <c r="G4255">
        <v>0.116618847791237</v>
      </c>
      <c r="H4255">
        <v>6.9021172299075895E-2</v>
      </c>
      <c r="I4255">
        <v>4.9927219079080203E-2</v>
      </c>
      <c r="J4255">
        <v>5.6776663887089802E-2</v>
      </c>
      <c r="K4255">
        <v>5.1595984944389203E-2</v>
      </c>
      <c r="L4255">
        <v>964.97841009950503</v>
      </c>
      <c r="M4255">
        <v>20.203353573357099</v>
      </c>
      <c r="N4255">
        <v>48.052511244271898</v>
      </c>
      <c r="O4255">
        <v>47.302716562794899</v>
      </c>
      <c r="P4255">
        <v>-0.100666929140185</v>
      </c>
      <c r="Q4255">
        <v>5.7251504461401398E-2</v>
      </c>
      <c r="R4255">
        <v>0.99849149222631794</v>
      </c>
      <c r="S4255" t="s">
        <v>10707</v>
      </c>
      <c r="T4255" t="s">
        <v>12902</v>
      </c>
      <c r="U4255" t="s">
        <v>12902</v>
      </c>
      <c r="V4255" t="s">
        <v>12902</v>
      </c>
      <c r="W4255" t="s">
        <v>17110</v>
      </c>
      <c r="X4255">
        <v>3</v>
      </c>
      <c r="Y4255" t="s">
        <v>23417</v>
      </c>
      <c r="Z4255" t="s">
        <v>29830</v>
      </c>
      <c r="AA4255">
        <v>0.31439272638140381</v>
      </c>
      <c r="AB4255" t="str">
        <f>HYPERLINK("Melting_Curves/meltCurve_Q86XZ4_SPATS2.pdf", "Melting_Curves/meltCurve_Q86XZ4_SPATS2.pdf")</f>
        <v>Melting_Curves/meltCurve_Q86XZ4_SPATS2.pdf</v>
      </c>
    </row>
    <row r="4256" spans="1:28" x14ac:dyDescent="0.25">
      <c r="A4256" t="s">
        <v>4260</v>
      </c>
      <c r="B4256">
        <v>0.99673306730245903</v>
      </c>
      <c r="C4256">
        <v>0.96679638533789003</v>
      </c>
      <c r="D4256">
        <v>0.85086211032304504</v>
      </c>
      <c r="E4256">
        <v>0.66023570582486801</v>
      </c>
      <c r="F4256">
        <v>0.38342964654346801</v>
      </c>
      <c r="G4256">
        <v>0.234702261507755</v>
      </c>
      <c r="H4256">
        <v>0.16928365645667501</v>
      </c>
      <c r="I4256">
        <v>0.129736786702181</v>
      </c>
      <c r="J4256">
        <v>0.110377495580225</v>
      </c>
      <c r="K4256">
        <v>9.3955087387933303E-2</v>
      </c>
      <c r="L4256">
        <v>828.00823465868302</v>
      </c>
      <c r="M4256">
        <v>16.254436994464999</v>
      </c>
      <c r="N4256">
        <v>51.600807118148197</v>
      </c>
      <c r="O4256">
        <v>50.188134536517701</v>
      </c>
      <c r="P4256">
        <v>-7.3369826004269098E-2</v>
      </c>
      <c r="Q4256">
        <v>9.3903223707222302E-2</v>
      </c>
      <c r="R4256">
        <v>0.99912691693781697</v>
      </c>
      <c r="S4256" t="s">
        <v>10708</v>
      </c>
      <c r="T4256" t="s">
        <v>12902</v>
      </c>
      <c r="U4256" t="s">
        <v>12902</v>
      </c>
      <c r="V4256" t="s">
        <v>12902</v>
      </c>
      <c r="W4256" t="s">
        <v>17111</v>
      </c>
      <c r="X4256">
        <v>5</v>
      </c>
      <c r="Y4256" t="s">
        <v>23418</v>
      </c>
      <c r="Z4256" t="s">
        <v>29831</v>
      </c>
      <c r="AA4256">
        <v>0.44264289860298528</v>
      </c>
      <c r="AB4256" t="str">
        <f>HYPERLINK("Melting_Curves/meltCurve_Q86Y07_VRK2.pdf", "Melting_Curves/meltCurve_Q86Y07_VRK2.pdf")</f>
        <v>Melting_Curves/meltCurve_Q86Y07_VRK2.pdf</v>
      </c>
    </row>
    <row r="4257" spans="1:28" x14ac:dyDescent="0.25">
      <c r="A4257" t="s">
        <v>4261</v>
      </c>
      <c r="B4257">
        <v>0.99673306730245903</v>
      </c>
      <c r="C4257">
        <v>1.0517123298707001</v>
      </c>
      <c r="D4257">
        <v>1.0077362607946601</v>
      </c>
      <c r="E4257">
        <v>0.92611330134125602</v>
      </c>
      <c r="F4257">
        <v>0.79065536220733101</v>
      </c>
      <c r="G4257">
        <v>0.69972484517601696</v>
      </c>
      <c r="H4257">
        <v>0.53687042770992299</v>
      </c>
      <c r="I4257">
        <v>0.64413320021734</v>
      </c>
      <c r="J4257">
        <v>0.71359778358074999</v>
      </c>
      <c r="K4257">
        <v>0.59448375025306099</v>
      </c>
      <c r="L4257">
        <v>1411.27480633716</v>
      </c>
      <c r="M4257">
        <v>26.791361312567101</v>
      </c>
      <c r="O4257">
        <v>52.385637702067598</v>
      </c>
      <c r="P4257">
        <v>-4.7938018417053599E-2</v>
      </c>
      <c r="Q4257">
        <v>0.62506754486449501</v>
      </c>
      <c r="R4257">
        <v>0.92841621054277901</v>
      </c>
      <c r="S4257" t="s">
        <v>10709</v>
      </c>
      <c r="T4257" t="s">
        <v>12902</v>
      </c>
      <c r="U4257" t="s">
        <v>12902</v>
      </c>
      <c r="V4257" t="s">
        <v>12902</v>
      </c>
      <c r="W4257" t="s">
        <v>17112</v>
      </c>
      <c r="X4257">
        <v>6</v>
      </c>
      <c r="Y4257" t="s">
        <v>23419</v>
      </c>
      <c r="Z4257" t="s">
        <v>29832</v>
      </c>
      <c r="AA4257">
        <v>0.78651214533608638</v>
      </c>
      <c r="AB4257" t="str">
        <f>HYPERLINK("Melting_Curves/meltCurve_Q86Y39_NDUFA11.pdf", "Melting_Curves/meltCurve_Q86Y39_NDUFA11.pdf")</f>
        <v>Melting_Curves/meltCurve_Q86Y39_NDUFA11.pdf</v>
      </c>
    </row>
    <row r="4258" spans="1:28" x14ac:dyDescent="0.25">
      <c r="A4258" t="s">
        <v>4262</v>
      </c>
      <c r="B4258">
        <v>0.99673306730245903</v>
      </c>
      <c r="C4258">
        <v>0.85615952272395801</v>
      </c>
      <c r="D4258">
        <v>0.399356334446759</v>
      </c>
      <c r="E4258">
        <v>0.22461590528731201</v>
      </c>
      <c r="F4258">
        <v>0.15935012756632</v>
      </c>
      <c r="G4258">
        <v>0.113728135362912</v>
      </c>
      <c r="H4258">
        <v>7.9729301809682199E-2</v>
      </c>
      <c r="I4258">
        <v>7.7983323484544897E-2</v>
      </c>
      <c r="J4258">
        <v>7.1279190158964598E-2</v>
      </c>
      <c r="K4258">
        <v>6.9806575969873996E-2</v>
      </c>
      <c r="L4258">
        <v>1234.732454511</v>
      </c>
      <c r="M4258">
        <v>27.3306402086681</v>
      </c>
      <c r="N4258">
        <v>45.537569019621202</v>
      </c>
      <c r="O4258">
        <v>44.937800784292698</v>
      </c>
      <c r="P4258">
        <v>-0.137276505545397</v>
      </c>
      <c r="Q4258">
        <v>9.7153089482687499E-2</v>
      </c>
      <c r="R4258">
        <v>0.99012044016245804</v>
      </c>
      <c r="S4258" t="s">
        <v>10710</v>
      </c>
      <c r="T4258" t="s">
        <v>12902</v>
      </c>
      <c r="U4258" t="s">
        <v>12902</v>
      </c>
      <c r="V4258" t="s">
        <v>12902</v>
      </c>
      <c r="W4258" t="s">
        <v>17113</v>
      </c>
      <c r="X4258">
        <v>19</v>
      </c>
      <c r="Y4258" t="s">
        <v>23420</v>
      </c>
      <c r="Z4258" t="s">
        <v>29833</v>
      </c>
      <c r="AA4258">
        <v>0.26011898176434523</v>
      </c>
      <c r="AB4258" t="str">
        <f>HYPERLINK("Melting_Curves/meltCurve_Q86Y56_HEATR2.pdf", "Melting_Curves/meltCurve_Q86Y56_HEATR2.pdf")</f>
        <v>Melting_Curves/meltCurve_Q86Y56_HEATR2.pdf</v>
      </c>
    </row>
    <row r="4259" spans="1:28" x14ac:dyDescent="0.25">
      <c r="A4259" t="s">
        <v>4263</v>
      </c>
      <c r="B4259">
        <v>0.99673306730245903</v>
      </c>
      <c r="C4259">
        <v>0.96550782770714405</v>
      </c>
      <c r="D4259">
        <v>0.83242907964185697</v>
      </c>
      <c r="E4259">
        <v>0.67010638739337702</v>
      </c>
      <c r="F4259">
        <v>0.36120115497143002</v>
      </c>
      <c r="G4259">
        <v>0.250542913767</v>
      </c>
      <c r="H4259">
        <v>0.19819625269289401</v>
      </c>
      <c r="I4259">
        <v>0.15838342275261899</v>
      </c>
      <c r="J4259">
        <v>0.13184116463569601</v>
      </c>
      <c r="K4259">
        <v>0.150890723326325</v>
      </c>
      <c r="L4259">
        <v>863.85883643616501</v>
      </c>
      <c r="M4259">
        <v>17.1104343031509</v>
      </c>
      <c r="N4259">
        <v>51.440905639204999</v>
      </c>
      <c r="O4259">
        <v>49.812769443339</v>
      </c>
      <c r="P4259">
        <v>-7.4207191233556805E-2</v>
      </c>
      <c r="Q4259">
        <v>0.135909071596585</v>
      </c>
      <c r="R4259">
        <v>0.99663784423763802</v>
      </c>
      <c r="S4259" t="s">
        <v>10711</v>
      </c>
      <c r="T4259" t="s">
        <v>12902</v>
      </c>
      <c r="U4259" t="s">
        <v>12902</v>
      </c>
      <c r="V4259" t="s">
        <v>12902</v>
      </c>
      <c r="W4259" t="s">
        <v>17114</v>
      </c>
      <c r="X4259">
        <v>4</v>
      </c>
      <c r="Y4259" t="s">
        <v>23421</v>
      </c>
      <c r="Z4259" t="s">
        <v>29834</v>
      </c>
      <c r="AA4259">
        <v>0.45404902884313703</v>
      </c>
      <c r="AB4259" t="str">
        <f>HYPERLINK("Melting_Curves/meltCurve_Q86Y79_PTRH1.pdf", "Melting_Curves/meltCurve_Q86Y79_PTRH1.pdf")</f>
        <v>Melting_Curves/meltCurve_Q86Y79_PTRH1.pdf</v>
      </c>
    </row>
    <row r="4260" spans="1:28" x14ac:dyDescent="0.25">
      <c r="A4260" t="s">
        <v>4264</v>
      </c>
      <c r="B4260">
        <v>0.99673306730245903</v>
      </c>
      <c r="C4260">
        <v>0.96888933181217796</v>
      </c>
      <c r="D4260">
        <v>0.89054896074123002</v>
      </c>
      <c r="E4260">
        <v>0.77831199414556995</v>
      </c>
      <c r="F4260">
        <v>0.67580481415498095</v>
      </c>
      <c r="G4260">
        <v>0.55489391299451396</v>
      </c>
      <c r="H4260">
        <v>0.44973403314250299</v>
      </c>
      <c r="I4260">
        <v>0.58264357296222502</v>
      </c>
      <c r="J4260">
        <v>0.59989918543270604</v>
      </c>
      <c r="K4260">
        <v>0.67505814445897605</v>
      </c>
      <c r="L4260">
        <v>996.06686852876101</v>
      </c>
      <c r="M4260">
        <v>20.299218835888201</v>
      </c>
      <c r="O4260">
        <v>48.6004610869605</v>
      </c>
      <c r="P4260">
        <v>-4.4772631187070797E-2</v>
      </c>
      <c r="Q4260">
        <v>0.57123405465037802</v>
      </c>
      <c r="R4260">
        <v>0.89713695184685505</v>
      </c>
      <c r="S4260" t="s">
        <v>10712</v>
      </c>
      <c r="T4260" t="s">
        <v>12902</v>
      </c>
      <c r="U4260" t="s">
        <v>12902</v>
      </c>
      <c r="V4260" t="s">
        <v>12902</v>
      </c>
      <c r="W4260" t="s">
        <v>17115</v>
      </c>
      <c r="X4260">
        <v>9</v>
      </c>
      <c r="Y4260" t="s">
        <v>23422</v>
      </c>
      <c r="Z4260" t="s">
        <v>29835</v>
      </c>
      <c r="AA4260">
        <v>0.70667726607500336</v>
      </c>
      <c r="AB4260" t="str">
        <f>HYPERLINK("Melting_Curves/meltCurve_Q86Y82_STX12.pdf", "Melting_Curves/meltCurve_Q86Y82_STX12.pdf")</f>
        <v>Melting_Curves/meltCurve_Q86Y82_STX12.pdf</v>
      </c>
    </row>
    <row r="4261" spans="1:28" x14ac:dyDescent="0.25">
      <c r="A4261" t="s">
        <v>4265</v>
      </c>
      <c r="B4261">
        <v>0.99673306730245903</v>
      </c>
      <c r="C4261">
        <v>0.98028818245225602</v>
      </c>
      <c r="D4261">
        <v>0.88647965090493297</v>
      </c>
      <c r="E4261">
        <v>0.62634674436175097</v>
      </c>
      <c r="F4261">
        <v>0.29840441757391301</v>
      </c>
      <c r="G4261">
        <v>0.18197408472375401</v>
      </c>
      <c r="H4261">
        <v>0.12958430947277799</v>
      </c>
      <c r="I4261">
        <v>0.12521943792633</v>
      </c>
      <c r="J4261">
        <v>0.133607730025433</v>
      </c>
      <c r="K4261">
        <v>0.11566282762927001</v>
      </c>
      <c r="L4261">
        <v>1132.1580957006099</v>
      </c>
      <c r="M4261">
        <v>22.573136760984301</v>
      </c>
      <c r="N4261">
        <v>50.766397266097002</v>
      </c>
      <c r="O4261">
        <v>49.7664580943595</v>
      </c>
      <c r="P4261">
        <v>-9.9903588878646005E-2</v>
      </c>
      <c r="Q4261">
        <v>0.11899748054935</v>
      </c>
      <c r="R4261">
        <v>0.99954242255186099</v>
      </c>
      <c r="S4261" t="s">
        <v>10713</v>
      </c>
      <c r="T4261" t="s">
        <v>12902</v>
      </c>
      <c r="U4261" t="s">
        <v>12902</v>
      </c>
      <c r="V4261" t="s">
        <v>12902</v>
      </c>
      <c r="W4261" t="s">
        <v>17116</v>
      </c>
      <c r="X4261">
        <v>8</v>
      </c>
      <c r="Y4261" t="s">
        <v>23423</v>
      </c>
      <c r="Z4261" t="s">
        <v>29836</v>
      </c>
      <c r="AA4261">
        <v>0.42688742006548652</v>
      </c>
      <c r="AB4261" t="str">
        <f>HYPERLINK("Melting_Curves/meltCurve_Q86YB8_ERO1LB.pdf", "Melting_Curves/meltCurve_Q86YB8_ERO1LB.pdf")</f>
        <v>Melting_Curves/meltCurve_Q86YB8_ERO1LB.pdf</v>
      </c>
    </row>
    <row r="4262" spans="1:28" x14ac:dyDescent="0.25">
      <c r="A4262" t="s">
        <v>4266</v>
      </c>
      <c r="B4262">
        <v>0.99673306730245903</v>
      </c>
      <c r="C4262">
        <v>0.96348355423661203</v>
      </c>
      <c r="D4262">
        <v>0.91472929109710699</v>
      </c>
      <c r="E4262">
        <v>0.85385218239287697</v>
      </c>
      <c r="F4262">
        <v>0.69246506662290297</v>
      </c>
      <c r="G4262">
        <v>0.43078262301152298</v>
      </c>
      <c r="H4262">
        <v>0.19140013810686601</v>
      </c>
      <c r="I4262">
        <v>8.3586885093936303E-2</v>
      </c>
      <c r="J4262">
        <v>7.1250635037289595E-2</v>
      </c>
      <c r="K4262">
        <v>5.8363149456293902E-2</v>
      </c>
      <c r="L4262">
        <v>864.47845503890596</v>
      </c>
      <c r="M4262">
        <v>15.5502643755941</v>
      </c>
      <c r="N4262">
        <v>55.592530307242598</v>
      </c>
      <c r="O4262">
        <v>54.697476053748602</v>
      </c>
      <c r="P4262">
        <v>-7.1080167495121901E-2</v>
      </c>
      <c r="Q4262">
        <v>0</v>
      </c>
      <c r="R4262">
        <v>0.99610828587643596</v>
      </c>
      <c r="S4262" t="s">
        <v>10714</v>
      </c>
      <c r="T4262" t="s">
        <v>12902</v>
      </c>
      <c r="U4262" t="s">
        <v>12902</v>
      </c>
      <c r="V4262" t="s">
        <v>12902</v>
      </c>
      <c r="W4262" t="s">
        <v>17117</v>
      </c>
      <c r="X4262">
        <v>13</v>
      </c>
      <c r="Y4262" t="s">
        <v>23424</v>
      </c>
      <c r="Z4262" t="s">
        <v>29837</v>
      </c>
      <c r="AA4262">
        <v>0.53752747958842417</v>
      </c>
      <c r="AB4262" t="str">
        <f>HYPERLINK("Melting_Curves/meltCurve_Q86YH6_PDSS2.pdf", "Melting_Curves/meltCurve_Q86YH6_PDSS2.pdf")</f>
        <v>Melting_Curves/meltCurve_Q86YH6_PDSS2.pdf</v>
      </c>
    </row>
    <row r="4263" spans="1:28" x14ac:dyDescent="0.25">
      <c r="A4263" t="s">
        <v>4267</v>
      </c>
      <c r="B4263">
        <v>0.99673306730245903</v>
      </c>
      <c r="C4263">
        <v>0.96309937893135</v>
      </c>
      <c r="D4263">
        <v>0.92466392624501803</v>
      </c>
      <c r="E4263">
        <v>0.82484127903863103</v>
      </c>
      <c r="F4263">
        <v>0.44559562027729499</v>
      </c>
      <c r="G4263">
        <v>0.26830958338705202</v>
      </c>
      <c r="H4263">
        <v>0.15269389997480201</v>
      </c>
      <c r="I4263">
        <v>0.13879708908000499</v>
      </c>
      <c r="J4263">
        <v>0.12591240447253599</v>
      </c>
      <c r="K4263">
        <v>0.108307879167489</v>
      </c>
      <c r="L4263">
        <v>1138.7303576833001</v>
      </c>
      <c r="M4263">
        <v>21.789086907081199</v>
      </c>
      <c r="N4263">
        <v>52.905369320766901</v>
      </c>
      <c r="O4263">
        <v>51.827268955596203</v>
      </c>
      <c r="P4263">
        <v>-9.2865148829371802E-2</v>
      </c>
      <c r="Q4263">
        <v>0.11646863503888601</v>
      </c>
      <c r="R4263">
        <v>0.99666965284594899</v>
      </c>
      <c r="S4263" t="s">
        <v>10715</v>
      </c>
      <c r="T4263" t="s">
        <v>12902</v>
      </c>
      <c r="U4263" t="s">
        <v>12902</v>
      </c>
      <c r="V4263" t="s">
        <v>12902</v>
      </c>
      <c r="W4263" t="s">
        <v>17118</v>
      </c>
      <c r="X4263">
        <v>7</v>
      </c>
      <c r="Y4263" t="s">
        <v>23425</v>
      </c>
      <c r="Z4263" t="s">
        <v>29838</v>
      </c>
      <c r="AA4263">
        <v>0.48804681818727857</v>
      </c>
      <c r="AB4263" t="str">
        <f>HYPERLINK("Melting_Curves/meltCurve_Q86YM7_HOMER1.pdf", "Melting_Curves/meltCurve_Q86YM7_HOMER1.pdf")</f>
        <v>Melting_Curves/meltCurve_Q86YM7_HOMER1.pdf</v>
      </c>
    </row>
    <row r="4264" spans="1:28" x14ac:dyDescent="0.25">
      <c r="A4264" t="s">
        <v>4268</v>
      </c>
      <c r="B4264">
        <v>0.99673306730245903</v>
      </c>
      <c r="C4264">
        <v>0.96103771955584105</v>
      </c>
      <c r="D4264">
        <v>0.816610783397966</v>
      </c>
      <c r="E4264">
        <v>0.70742014696950795</v>
      </c>
      <c r="F4264">
        <v>0.362866844773652</v>
      </c>
      <c r="G4264">
        <v>0.19013845313643801</v>
      </c>
      <c r="H4264">
        <v>0.11582984530473001</v>
      </c>
      <c r="I4264">
        <v>9.1851871300102E-2</v>
      </c>
      <c r="J4264">
        <v>6.3584749174802002E-2</v>
      </c>
      <c r="K4264">
        <v>6.10751802352529E-2</v>
      </c>
      <c r="L4264">
        <v>840.55776418165499</v>
      </c>
      <c r="M4264">
        <v>16.3979943493663</v>
      </c>
      <c r="N4264">
        <v>51.562882754428202</v>
      </c>
      <c r="O4264">
        <v>50.515645370956697</v>
      </c>
      <c r="P4264">
        <v>-7.7430023742679696E-2</v>
      </c>
      <c r="Q4264">
        <v>4.5944525883194497E-2</v>
      </c>
      <c r="R4264">
        <v>0.99467585354319599</v>
      </c>
      <c r="S4264" t="s">
        <v>10716</v>
      </c>
      <c r="T4264" t="s">
        <v>12902</v>
      </c>
      <c r="U4264" t="s">
        <v>12902</v>
      </c>
      <c r="V4264" t="s">
        <v>12902</v>
      </c>
      <c r="W4264" t="s">
        <v>17119</v>
      </c>
      <c r="X4264">
        <v>1</v>
      </c>
      <c r="Y4264" t="s">
        <v>23426</v>
      </c>
      <c r="Z4264" t="s">
        <v>29839</v>
      </c>
      <c r="AA4264">
        <v>0.422877554838619</v>
      </c>
      <c r="AB4264" t="str">
        <f>HYPERLINK("Melting_Curves/meltCurve_Q86YN1_2_DOLPP1.pdf", "Melting_Curves/meltCurve_Q86YN1_2_DOLPP1.pdf")</f>
        <v>Melting_Curves/meltCurve_Q86YN1_2_DOLPP1.pdf</v>
      </c>
    </row>
    <row r="4265" spans="1:28" x14ac:dyDescent="0.25">
      <c r="A4265" t="s">
        <v>4269</v>
      </c>
      <c r="B4265">
        <v>0.99673306730245903</v>
      </c>
      <c r="C4265">
        <v>0.82665495282943502</v>
      </c>
      <c r="D4265">
        <v>0.72110150325070099</v>
      </c>
      <c r="E4265">
        <v>0.42368204007514898</v>
      </c>
      <c r="F4265">
        <v>0.300481822513533</v>
      </c>
      <c r="G4265">
        <v>0.20716360504265699</v>
      </c>
      <c r="H4265">
        <v>0.15728068581808599</v>
      </c>
      <c r="I4265">
        <v>0.195882895402581</v>
      </c>
      <c r="J4265">
        <v>0.29048081778259699</v>
      </c>
      <c r="K4265">
        <v>0.29043906860449298</v>
      </c>
      <c r="L4265">
        <v>893.35929385002999</v>
      </c>
      <c r="M4265">
        <v>19.040715561943198</v>
      </c>
      <c r="N4265">
        <v>48.405033387713701</v>
      </c>
      <c r="O4265">
        <v>46.410039060998201</v>
      </c>
      <c r="P4265">
        <v>-7.9863642748495903E-2</v>
      </c>
      <c r="Q4265">
        <v>0.22138886707943201</v>
      </c>
      <c r="R4265">
        <v>0.97123169594621706</v>
      </c>
      <c r="S4265" t="s">
        <v>10717</v>
      </c>
      <c r="T4265" t="s">
        <v>12902</v>
      </c>
      <c r="U4265" t="s">
        <v>12902</v>
      </c>
      <c r="V4265" t="s">
        <v>12902</v>
      </c>
      <c r="W4265" t="s">
        <v>17120</v>
      </c>
      <c r="X4265">
        <v>7</v>
      </c>
      <c r="Y4265" t="s">
        <v>23427</v>
      </c>
      <c r="Z4265" t="s">
        <v>29840</v>
      </c>
      <c r="AA4265">
        <v>0.41369636630446682</v>
      </c>
      <c r="AB4265" t="str">
        <f>HYPERLINK("Melting_Curves/meltCurve_Q86YP4_GATAD2A.pdf", "Melting_Curves/meltCurve_Q86YP4_GATAD2A.pdf")</f>
        <v>Melting_Curves/meltCurve_Q86YP4_GATAD2A.pdf</v>
      </c>
    </row>
    <row r="4266" spans="1:28" x14ac:dyDescent="0.25">
      <c r="A4266" t="s">
        <v>4270</v>
      </c>
      <c r="B4266">
        <v>0.99673306730245903</v>
      </c>
      <c r="C4266">
        <v>0.94374269805391897</v>
      </c>
      <c r="D4266">
        <v>0.965595535905026</v>
      </c>
      <c r="E4266">
        <v>0.89500502495214096</v>
      </c>
      <c r="F4266">
        <v>0.44068370396351197</v>
      </c>
      <c r="G4266">
        <v>0.18801283902611601</v>
      </c>
      <c r="H4266">
        <v>9.29344021016551E-2</v>
      </c>
      <c r="I4266">
        <v>9.8285540913359795E-2</v>
      </c>
      <c r="J4266">
        <v>0.113296724813504</v>
      </c>
      <c r="K4266">
        <v>0.10760829913009</v>
      </c>
      <c r="L4266">
        <v>1728.75421832648</v>
      </c>
      <c r="M4266">
        <v>32.957720813667599</v>
      </c>
      <c r="N4266">
        <v>52.8235956774935</v>
      </c>
      <c r="O4266">
        <v>52.261707924368501</v>
      </c>
      <c r="P4266">
        <v>-0.141411384974202</v>
      </c>
      <c r="Q4266">
        <v>0.103048699863394</v>
      </c>
      <c r="R4266">
        <v>0.99684121083505595</v>
      </c>
      <c r="S4266" t="s">
        <v>10718</v>
      </c>
      <c r="T4266" t="s">
        <v>12902</v>
      </c>
      <c r="U4266" t="s">
        <v>12902</v>
      </c>
      <c r="V4266" t="s">
        <v>12902</v>
      </c>
      <c r="W4266" t="s">
        <v>17121</v>
      </c>
      <c r="X4266">
        <v>10</v>
      </c>
      <c r="Y4266" t="s">
        <v>23428</v>
      </c>
      <c r="Z4266" t="s">
        <v>29841</v>
      </c>
      <c r="AA4266">
        <v>0.48018314694170922</v>
      </c>
      <c r="AB4266" t="str">
        <f>HYPERLINK("Melting_Curves/meltCurve_Q86YS7_C2CD5.pdf", "Melting_Curves/meltCurve_Q86YS7_C2CD5.pdf")</f>
        <v>Melting_Curves/meltCurve_Q86YS7_C2CD5.pdf</v>
      </c>
    </row>
    <row r="4267" spans="1:28" x14ac:dyDescent="0.25">
      <c r="A4267" t="s">
        <v>4271</v>
      </c>
      <c r="B4267">
        <v>0.99673306730245903</v>
      </c>
      <c r="C4267">
        <v>0.84843841565910905</v>
      </c>
      <c r="D4267">
        <v>0.76318507561957305</v>
      </c>
      <c r="E4267">
        <v>0.436063730963207</v>
      </c>
      <c r="F4267">
        <v>0.27773129003963798</v>
      </c>
      <c r="G4267">
        <v>0.246178883599172</v>
      </c>
      <c r="H4267">
        <v>0.17193560144439499</v>
      </c>
      <c r="I4267">
        <v>0.205636997427567</v>
      </c>
      <c r="J4267">
        <v>0.23489022658773101</v>
      </c>
      <c r="K4267">
        <v>0.21009022883342299</v>
      </c>
      <c r="L4267">
        <v>908.80364664425099</v>
      </c>
      <c r="M4267">
        <v>19.128006406980901</v>
      </c>
      <c r="N4267">
        <v>48.816247112739099</v>
      </c>
      <c r="O4267">
        <v>47.001500187232899</v>
      </c>
      <c r="P4267">
        <v>-8.1385578166913497E-2</v>
      </c>
      <c r="Q4267">
        <v>0.20010531249126301</v>
      </c>
      <c r="R4267">
        <v>0.98971212947565401</v>
      </c>
      <c r="S4267" t="s">
        <v>10719</v>
      </c>
      <c r="T4267" t="s">
        <v>12902</v>
      </c>
      <c r="U4267" t="s">
        <v>12902</v>
      </c>
      <c r="V4267" t="s">
        <v>12902</v>
      </c>
      <c r="W4267" t="s">
        <v>17122</v>
      </c>
      <c r="X4267">
        <v>2</v>
      </c>
      <c r="Y4267" t="s">
        <v>23429</v>
      </c>
      <c r="Z4267" t="s">
        <v>29842</v>
      </c>
      <c r="AA4267">
        <v>0.41305859099217662</v>
      </c>
      <c r="AB4267" t="str">
        <f>HYPERLINK("Melting_Curves/meltCurve_Q86YT6_MIB1.pdf", "Melting_Curves/meltCurve_Q86YT6_MIB1.pdf")</f>
        <v>Melting_Curves/meltCurve_Q86YT6_MIB1.pdf</v>
      </c>
    </row>
    <row r="4268" spans="1:28" x14ac:dyDescent="0.25">
      <c r="A4268" t="s">
        <v>4272</v>
      </c>
      <c r="B4268">
        <v>0.99673306730245903</v>
      </c>
      <c r="C4268">
        <v>0.98551179596735305</v>
      </c>
      <c r="D4268">
        <v>0.91412404164799699</v>
      </c>
      <c r="E4268">
        <v>0.67237550834537996</v>
      </c>
      <c r="F4268">
        <v>0.42747633589561701</v>
      </c>
      <c r="G4268">
        <v>0.33043182999927601</v>
      </c>
      <c r="H4268">
        <v>0.210963675690059</v>
      </c>
      <c r="I4268">
        <v>0.20853026380186601</v>
      </c>
      <c r="J4268">
        <v>0.29645269907442201</v>
      </c>
      <c r="K4268">
        <v>0.305892519722817</v>
      </c>
      <c r="L4268">
        <v>1115.80317292218</v>
      </c>
      <c r="M4268">
        <v>22.225849882159899</v>
      </c>
      <c r="N4268">
        <v>51.871906786324097</v>
      </c>
      <c r="O4268">
        <v>49.801837859255997</v>
      </c>
      <c r="P4268">
        <v>-8.3074491881507895E-2</v>
      </c>
      <c r="Q4268">
        <v>0.25543027536926699</v>
      </c>
      <c r="R4268">
        <v>0.98863984439671604</v>
      </c>
      <c r="S4268" t="s">
        <v>10720</v>
      </c>
      <c r="T4268" t="s">
        <v>12902</v>
      </c>
      <c r="U4268" t="s">
        <v>12902</v>
      </c>
      <c r="V4268" t="s">
        <v>12902</v>
      </c>
      <c r="W4268" t="s">
        <v>17123</v>
      </c>
      <c r="X4268">
        <v>3</v>
      </c>
      <c r="Y4268" t="s">
        <v>23430</v>
      </c>
      <c r="Z4268" t="s">
        <v>29843</v>
      </c>
      <c r="AA4268">
        <v>0.51708376108871124</v>
      </c>
      <c r="AB4268" t="str">
        <f>HYPERLINK("Melting_Curves/meltCurve_Q86YV5_SGK223.pdf", "Melting_Curves/meltCurve_Q86YV5_SGK223.pdf")</f>
        <v>Melting_Curves/meltCurve_Q86YV5_SGK223.pdf</v>
      </c>
    </row>
    <row r="4269" spans="1:28" x14ac:dyDescent="0.25">
      <c r="A4269" t="s">
        <v>4273</v>
      </c>
      <c r="B4269">
        <v>0.99673306730245903</v>
      </c>
      <c r="C4269">
        <v>0.76496949316823304</v>
      </c>
      <c r="D4269">
        <v>0.440960313345792</v>
      </c>
      <c r="E4269">
        <v>0.27353965322400597</v>
      </c>
      <c r="F4269">
        <v>0.28513095594214799</v>
      </c>
      <c r="G4269">
        <v>0.15444812471939201</v>
      </c>
      <c r="H4269">
        <v>6.7710940163376004E-2</v>
      </c>
      <c r="I4269">
        <v>6.3056705590217296E-2</v>
      </c>
      <c r="J4269">
        <v>3.6506584132104003E-2</v>
      </c>
      <c r="K4269">
        <v>2.034029741625E-2</v>
      </c>
      <c r="L4269">
        <v>675.68066949921797</v>
      </c>
      <c r="M4269">
        <v>14.719268336511901</v>
      </c>
      <c r="N4269">
        <v>46.295916954902403</v>
      </c>
      <c r="O4269">
        <v>45.082174458946497</v>
      </c>
      <c r="P4269">
        <v>-7.6857376718505496E-2</v>
      </c>
      <c r="Q4269">
        <v>5.8507171086528503E-2</v>
      </c>
      <c r="R4269">
        <v>0.96559430014722702</v>
      </c>
      <c r="S4269" t="s">
        <v>10721</v>
      </c>
      <c r="T4269" t="s">
        <v>12902</v>
      </c>
      <c r="U4269" t="s">
        <v>12902</v>
      </c>
      <c r="V4269" t="s">
        <v>12902</v>
      </c>
      <c r="W4269" t="s">
        <v>17124</v>
      </c>
      <c r="X4269">
        <v>2</v>
      </c>
      <c r="Y4269" t="s">
        <v>23431</v>
      </c>
      <c r="Z4269" t="s">
        <v>29844</v>
      </c>
      <c r="AA4269">
        <v>0.27264687302031221</v>
      </c>
      <c r="AB4269" t="str">
        <f>HYPERLINK("Melting_Curves/meltCurve_Q86YV9_HPS6.pdf", "Melting_Curves/meltCurve_Q86YV9_HPS6.pdf")</f>
        <v>Melting_Curves/meltCurve_Q86YV9_HPS6.pdf</v>
      </c>
    </row>
    <row r="4270" spans="1:28" x14ac:dyDescent="0.25">
      <c r="A4270" t="s">
        <v>4274</v>
      </c>
      <c r="B4270">
        <v>0.99673306730245903</v>
      </c>
      <c r="C4270">
        <v>0.72949798688190204</v>
      </c>
      <c r="D4270">
        <v>0.47447899362135298</v>
      </c>
      <c r="E4270">
        <v>0.303890023925173</v>
      </c>
      <c r="F4270">
        <v>0.19381155545462</v>
      </c>
      <c r="G4270">
        <v>0.12598376602985401</v>
      </c>
      <c r="H4270">
        <v>8.9598664040738199E-2</v>
      </c>
      <c r="I4270">
        <v>7.9692835930779193E-2</v>
      </c>
      <c r="J4270">
        <v>8.76490817458844E-2</v>
      </c>
      <c r="K4270">
        <v>7.2944410234662901E-2</v>
      </c>
      <c r="L4270">
        <v>748.10364957541594</v>
      </c>
      <c r="M4270">
        <v>16.415255906138299</v>
      </c>
      <c r="N4270">
        <v>46.0939321763666</v>
      </c>
      <c r="O4270">
        <v>44.913416036931999</v>
      </c>
      <c r="P4270">
        <v>-8.3650975925406504E-2</v>
      </c>
      <c r="Q4270">
        <v>8.4562161761718602E-2</v>
      </c>
      <c r="R4270">
        <v>0.98849183244249805</v>
      </c>
      <c r="S4270" t="s">
        <v>10722</v>
      </c>
      <c r="T4270" t="s">
        <v>12902</v>
      </c>
      <c r="U4270" t="s">
        <v>12902</v>
      </c>
      <c r="V4270" t="s">
        <v>12902</v>
      </c>
      <c r="W4270" t="s">
        <v>17125</v>
      </c>
      <c r="X4270">
        <v>16</v>
      </c>
      <c r="Y4270" t="s">
        <v>23432</v>
      </c>
      <c r="Z4270" t="s">
        <v>29845</v>
      </c>
      <c r="AA4270">
        <v>0.27750598976116247</v>
      </c>
      <c r="AB4270" t="str">
        <f>HYPERLINK("Melting_Curves/meltCurve_Q8IU81_IRF2BP1.pdf", "Melting_Curves/meltCurve_Q8IU81_IRF2BP1.pdf")</f>
        <v>Melting_Curves/meltCurve_Q8IU81_IRF2BP1.pdf</v>
      </c>
    </row>
    <row r="4271" spans="1:28" x14ac:dyDescent="0.25">
      <c r="A4271" t="s">
        <v>4275</v>
      </c>
      <c r="B4271">
        <v>0.99673306730245903</v>
      </c>
      <c r="C4271">
        <v>0.76389047566969903</v>
      </c>
      <c r="D4271">
        <v>0.36029761770326901</v>
      </c>
      <c r="E4271">
        <v>0.225195598041289</v>
      </c>
      <c r="F4271">
        <v>8.39290122900965E-2</v>
      </c>
      <c r="G4271">
        <v>4.6293653222760599E-2</v>
      </c>
      <c r="H4271">
        <v>2.8110531790921101E-2</v>
      </c>
      <c r="I4271">
        <v>2.4526110247757499E-2</v>
      </c>
      <c r="J4271">
        <v>2.4484283486679401E-2</v>
      </c>
      <c r="K4271">
        <v>2.0881831045665902E-2</v>
      </c>
      <c r="L4271">
        <v>965.966089208011</v>
      </c>
      <c r="M4271">
        <v>21.4333452223016</v>
      </c>
      <c r="N4271">
        <v>45.221044202620099</v>
      </c>
      <c r="O4271">
        <v>44.681547255209701</v>
      </c>
      <c r="P4271">
        <v>-0.115740129804389</v>
      </c>
      <c r="Q4271">
        <v>3.49016942372712E-2</v>
      </c>
      <c r="R4271">
        <v>0.989146348705221</v>
      </c>
      <c r="S4271" t="s">
        <v>10723</v>
      </c>
      <c r="T4271" t="s">
        <v>12902</v>
      </c>
      <c r="U4271" t="s">
        <v>12902</v>
      </c>
      <c r="V4271" t="s">
        <v>12902</v>
      </c>
      <c r="W4271" t="s">
        <v>17126</v>
      </c>
      <c r="X4271">
        <v>9</v>
      </c>
      <c r="Y4271" t="s">
        <v>23433</v>
      </c>
      <c r="Z4271" t="s">
        <v>29846</v>
      </c>
      <c r="AA4271">
        <v>0.21173383993380551</v>
      </c>
      <c r="AB4271" t="str">
        <f>HYPERLINK("Melting_Curves/meltCurve_Q8IUC4_RHPN2.pdf", "Melting_Curves/meltCurve_Q8IUC4_RHPN2.pdf")</f>
        <v>Melting_Curves/meltCurve_Q8IUC4_RHPN2.pdf</v>
      </c>
    </row>
    <row r="4272" spans="1:28" x14ac:dyDescent="0.25">
      <c r="A4272" t="s">
        <v>4276</v>
      </c>
      <c r="B4272">
        <v>0.99673306730245903</v>
      </c>
      <c r="C4272">
        <v>0.92917937074332502</v>
      </c>
      <c r="D4272">
        <v>0.71681204801260701</v>
      </c>
      <c r="E4272">
        <v>0.33327585916691499</v>
      </c>
      <c r="F4272">
        <v>0.19796847876818099</v>
      </c>
      <c r="G4272">
        <v>0.12703294424923001</v>
      </c>
      <c r="H4272">
        <v>7.9435508254335804E-2</v>
      </c>
      <c r="I4272">
        <v>7.8025178723818894E-2</v>
      </c>
      <c r="J4272">
        <v>9.7339258416118499E-2</v>
      </c>
      <c r="K4272">
        <v>9.5209622811415304E-2</v>
      </c>
      <c r="L4272">
        <v>1061.2216384041899</v>
      </c>
      <c r="M4272">
        <v>22.304811993588899</v>
      </c>
      <c r="N4272">
        <v>48.011147683841202</v>
      </c>
      <c r="O4272">
        <v>47.200661570961003</v>
      </c>
      <c r="P4272">
        <v>-0.107376954428874</v>
      </c>
      <c r="Q4272">
        <v>9.1109820336311598E-2</v>
      </c>
      <c r="R4272">
        <v>0.99831809702337504</v>
      </c>
      <c r="S4272" t="s">
        <v>10724</v>
      </c>
      <c r="T4272" t="s">
        <v>12902</v>
      </c>
      <c r="U4272" t="s">
        <v>12902</v>
      </c>
      <c r="V4272" t="s">
        <v>12902</v>
      </c>
      <c r="W4272" t="s">
        <v>17127</v>
      </c>
      <c r="X4272">
        <v>13</v>
      </c>
      <c r="Y4272" t="s">
        <v>23434</v>
      </c>
      <c r="Z4272" t="s">
        <v>29847</v>
      </c>
      <c r="AA4272">
        <v>0.33100410818272291</v>
      </c>
      <c r="AB4272" t="str">
        <f>HYPERLINK("Melting_Curves/meltCurve_Q8IUD2_2_ERC1.pdf", "Melting_Curves/meltCurve_Q8IUD2_2_ERC1.pdf")</f>
        <v>Melting_Curves/meltCurve_Q8IUD2_2_ERC1.pdf</v>
      </c>
    </row>
    <row r="4273" spans="1:28" x14ac:dyDescent="0.25">
      <c r="A4273" t="s">
        <v>4277</v>
      </c>
      <c r="B4273">
        <v>0.99673306730245903</v>
      </c>
      <c r="C4273">
        <v>0.92844580807969901</v>
      </c>
      <c r="D4273">
        <v>0.87888476183231801</v>
      </c>
      <c r="E4273">
        <v>0.78071292175186202</v>
      </c>
      <c r="F4273">
        <v>0.55763062676855502</v>
      </c>
      <c r="G4273">
        <v>0.29878016154503301</v>
      </c>
      <c r="H4273">
        <v>7.7617236190594796E-2</v>
      </c>
      <c r="I4273">
        <v>5.7845273025528603E-2</v>
      </c>
      <c r="J4273">
        <v>5.3413491684075498E-2</v>
      </c>
      <c r="K4273">
        <v>5.0559064535772101E-2</v>
      </c>
      <c r="L4273">
        <v>830.88536470417898</v>
      </c>
      <c r="M4273">
        <v>15.5195919717841</v>
      </c>
      <c r="N4273">
        <v>53.5378375273663</v>
      </c>
      <c r="O4273">
        <v>52.672557730084797</v>
      </c>
      <c r="P4273">
        <v>-7.3667208745380103E-2</v>
      </c>
      <c r="Q4273">
        <v>0</v>
      </c>
      <c r="R4273">
        <v>0.99284945742630104</v>
      </c>
      <c r="S4273" t="s">
        <v>10725</v>
      </c>
      <c r="T4273" t="s">
        <v>12902</v>
      </c>
      <c r="U4273" t="s">
        <v>12902</v>
      </c>
      <c r="V4273" t="s">
        <v>12902</v>
      </c>
      <c r="W4273" t="s">
        <v>17128</v>
      </c>
      <c r="X4273">
        <v>12</v>
      </c>
      <c r="Y4273" t="s">
        <v>23435</v>
      </c>
      <c r="Z4273" t="s">
        <v>29848</v>
      </c>
      <c r="AA4273">
        <v>0.47133300589132321</v>
      </c>
      <c r="AB4273" t="str">
        <f>HYPERLINK("Melting_Curves/meltCurve_Q8IUF8_MINA.pdf", "Melting_Curves/meltCurve_Q8IUF8_MINA.pdf")</f>
        <v>Melting_Curves/meltCurve_Q8IUF8_MINA.pdf</v>
      </c>
    </row>
    <row r="4274" spans="1:28" x14ac:dyDescent="0.25">
      <c r="A4274" t="s">
        <v>4278</v>
      </c>
      <c r="B4274">
        <v>0.99673306730245903</v>
      </c>
      <c r="C4274">
        <v>0.85099049681624594</v>
      </c>
      <c r="D4274">
        <v>0.56316561539027099</v>
      </c>
      <c r="E4274">
        <v>0.34832334691697697</v>
      </c>
      <c r="F4274">
        <v>0.2586904176557</v>
      </c>
      <c r="G4274">
        <v>0.15536428360687801</v>
      </c>
      <c r="H4274">
        <v>0.116195915928601</v>
      </c>
      <c r="I4274">
        <v>0.16059206416368199</v>
      </c>
      <c r="J4274">
        <v>0.19756515799718999</v>
      </c>
      <c r="K4274">
        <v>0.207929032839794</v>
      </c>
      <c r="L4274">
        <v>926.01549938411995</v>
      </c>
      <c r="M4274">
        <v>20.111071406017398</v>
      </c>
      <c r="N4274">
        <v>47.015546865669101</v>
      </c>
      <c r="O4274">
        <v>45.597047768648601</v>
      </c>
      <c r="P4274">
        <v>-9.1537099795216098E-2</v>
      </c>
      <c r="Q4274">
        <v>0.16987244406013499</v>
      </c>
      <c r="R4274">
        <v>0.98808927457093199</v>
      </c>
      <c r="S4274" t="s">
        <v>10726</v>
      </c>
      <c r="T4274" t="s">
        <v>12902</v>
      </c>
      <c r="U4274" t="s">
        <v>12902</v>
      </c>
      <c r="V4274" t="s">
        <v>12902</v>
      </c>
      <c r="W4274" t="s">
        <v>17129</v>
      </c>
      <c r="X4274">
        <v>1</v>
      </c>
      <c r="Y4274" t="s">
        <v>23436</v>
      </c>
      <c r="Z4274" t="s">
        <v>29849</v>
      </c>
      <c r="AA4274">
        <v>0.34977626412208751</v>
      </c>
      <c r="AB4274" t="str">
        <f>HYPERLINK("Melting_Curves/meltCurve_Q8IUH3_3_RBM45.pdf", "Melting_Curves/meltCurve_Q8IUH3_3_RBM45.pdf")</f>
        <v>Melting_Curves/meltCurve_Q8IUH3_3_RBM45.pdf</v>
      </c>
    </row>
    <row r="4275" spans="1:28" x14ac:dyDescent="0.25">
      <c r="A4275" t="s">
        <v>4279</v>
      </c>
      <c r="B4275">
        <v>0.99673306730245903</v>
      </c>
      <c r="C4275">
        <v>0.81862904074406295</v>
      </c>
      <c r="D4275">
        <v>0.75319902399684302</v>
      </c>
      <c r="E4275">
        <v>0.454853760234667</v>
      </c>
      <c r="F4275">
        <v>0.174923714823497</v>
      </c>
      <c r="G4275">
        <v>0.104072900271949</v>
      </c>
      <c r="H4275">
        <v>7.6117295041006103E-2</v>
      </c>
      <c r="I4275">
        <v>8.1344604582042707E-2</v>
      </c>
      <c r="J4275">
        <v>5.9355230137407497E-2</v>
      </c>
      <c r="K4275">
        <v>6.6805720337890798E-2</v>
      </c>
      <c r="L4275">
        <v>817.32911394918301</v>
      </c>
      <c r="M4275">
        <v>16.8987836822971</v>
      </c>
      <c r="N4275">
        <v>48.662021861797697</v>
      </c>
      <c r="O4275">
        <v>47.704081832581501</v>
      </c>
      <c r="P4275">
        <v>-8.4242076719630299E-2</v>
      </c>
      <c r="Q4275">
        <v>4.8822269300487699E-2</v>
      </c>
      <c r="R4275">
        <v>0.99019022814747204</v>
      </c>
      <c r="S4275" t="s">
        <v>10727</v>
      </c>
      <c r="T4275" t="s">
        <v>12902</v>
      </c>
      <c r="U4275" t="s">
        <v>12902</v>
      </c>
      <c r="V4275" t="s">
        <v>12902</v>
      </c>
      <c r="W4275" t="s">
        <v>17130</v>
      </c>
      <c r="X4275">
        <v>2</v>
      </c>
      <c r="Y4275" t="s">
        <v>23437</v>
      </c>
      <c r="Z4275" t="s">
        <v>29850</v>
      </c>
      <c r="AA4275">
        <v>0.33307986565791192</v>
      </c>
      <c r="AB4275" t="str">
        <f>HYPERLINK("Melting_Curves/meltCurve_Q8IUH4_ZDHHC13.pdf", "Melting_Curves/meltCurve_Q8IUH4_ZDHHC13.pdf")</f>
        <v>Melting_Curves/meltCurve_Q8IUH4_ZDHHC13.pdf</v>
      </c>
    </row>
    <row r="4276" spans="1:28" x14ac:dyDescent="0.25">
      <c r="A4276" t="s">
        <v>4280</v>
      </c>
      <c r="B4276">
        <v>0.99673306730245903</v>
      </c>
      <c r="C4276">
        <v>0.98467254741161103</v>
      </c>
      <c r="D4276">
        <v>0.82622590749341596</v>
      </c>
      <c r="E4276">
        <v>0.39170462781357901</v>
      </c>
      <c r="F4276">
        <v>0.25023559840641102</v>
      </c>
      <c r="G4276">
        <v>0.13916983508540301</v>
      </c>
      <c r="H4276">
        <v>9.0756134772819005E-2</v>
      </c>
      <c r="I4276">
        <v>8.4623464106007296E-2</v>
      </c>
      <c r="J4276">
        <v>0.10323018654897199</v>
      </c>
      <c r="K4276">
        <v>8.6047149879227097E-2</v>
      </c>
      <c r="L4276">
        <v>1168.3425484086199</v>
      </c>
      <c r="M4276">
        <v>24.0900763766987</v>
      </c>
      <c r="N4276">
        <v>48.947653912497003</v>
      </c>
      <c r="O4276">
        <v>48.168420885614303</v>
      </c>
      <c r="P4276">
        <v>-0.11264391401502299</v>
      </c>
      <c r="Q4276">
        <v>9.9082164949912996E-2</v>
      </c>
      <c r="R4276">
        <v>0.995265869270889</v>
      </c>
      <c r="S4276" t="s">
        <v>10728</v>
      </c>
      <c r="T4276" t="s">
        <v>12902</v>
      </c>
      <c r="U4276" t="s">
        <v>12902</v>
      </c>
      <c r="V4276" t="s">
        <v>12902</v>
      </c>
      <c r="W4276" t="s">
        <v>17131</v>
      </c>
      <c r="X4276">
        <v>9</v>
      </c>
      <c r="Y4276" t="s">
        <v>23438</v>
      </c>
      <c r="Z4276" t="s">
        <v>29851</v>
      </c>
      <c r="AA4276">
        <v>0.36291617726372699</v>
      </c>
      <c r="AB4276" t="str">
        <f>HYPERLINK("Melting_Curves/meltCurve_Q8IUI8_CRLF3.pdf", "Melting_Curves/meltCurve_Q8IUI8_CRLF3.pdf")</f>
        <v>Melting_Curves/meltCurve_Q8IUI8_CRLF3.pdf</v>
      </c>
    </row>
    <row r="4277" spans="1:28" x14ac:dyDescent="0.25">
      <c r="A4277" t="s">
        <v>4281</v>
      </c>
      <c r="B4277">
        <v>0.99673306730245903</v>
      </c>
      <c r="C4277">
        <v>0.95300319070462003</v>
      </c>
      <c r="D4277">
        <v>0.76537145804294904</v>
      </c>
      <c r="E4277">
        <v>0.59387266580349596</v>
      </c>
      <c r="F4277">
        <v>0.31389062819456498</v>
      </c>
      <c r="G4277">
        <v>0.12505942177134899</v>
      </c>
      <c r="H4277">
        <v>6.9347306563758801E-2</v>
      </c>
      <c r="I4277">
        <v>5.1647944135337298E-2</v>
      </c>
      <c r="J4277">
        <v>4.7731133709328397E-2</v>
      </c>
      <c r="K4277">
        <v>2.89561394455655E-2</v>
      </c>
      <c r="L4277">
        <v>783.10899243390202</v>
      </c>
      <c r="M4277">
        <v>15.574924535576899</v>
      </c>
      <c r="N4277">
        <v>50.371507226067699</v>
      </c>
      <c r="O4277">
        <v>49.473107499195699</v>
      </c>
      <c r="P4277">
        <v>-7.7613994743213496E-2</v>
      </c>
      <c r="Q4277">
        <v>1.39353086522499E-2</v>
      </c>
      <c r="R4277">
        <v>0.99637269137718998</v>
      </c>
      <c r="S4277" t="s">
        <v>10729</v>
      </c>
      <c r="T4277" t="s">
        <v>12902</v>
      </c>
      <c r="U4277" t="s">
        <v>12902</v>
      </c>
      <c r="V4277" t="s">
        <v>12902</v>
      </c>
      <c r="W4277" t="s">
        <v>17132</v>
      </c>
      <c r="X4277">
        <v>1</v>
      </c>
      <c r="Y4277" t="s">
        <v>23439</v>
      </c>
      <c r="Z4277" t="s">
        <v>29852</v>
      </c>
      <c r="AA4277">
        <v>0.37364679111359</v>
      </c>
      <c r="AB4277" t="str">
        <f>HYPERLINK("Melting_Curves/meltCurve_Q8IUR0_TRAPPC5.pdf", "Melting_Curves/meltCurve_Q8IUR0_TRAPPC5.pdf")</f>
        <v>Melting_Curves/meltCurve_Q8IUR0_TRAPPC5.pdf</v>
      </c>
    </row>
    <row r="4278" spans="1:28" x14ac:dyDescent="0.25">
      <c r="A4278" t="s">
        <v>4282</v>
      </c>
      <c r="B4278">
        <v>0.99673306730245903</v>
      </c>
      <c r="C4278">
        <v>0.91402762533797999</v>
      </c>
      <c r="D4278">
        <v>0.84468382272252795</v>
      </c>
      <c r="E4278">
        <v>0.77795490773224496</v>
      </c>
      <c r="F4278">
        <v>0.58986340325791498</v>
      </c>
      <c r="G4278">
        <v>0.48320154052544001</v>
      </c>
      <c r="H4278">
        <v>0.47374325567112902</v>
      </c>
      <c r="I4278">
        <v>0.49964478440759902</v>
      </c>
      <c r="J4278">
        <v>0.44545070958071398</v>
      </c>
      <c r="K4278">
        <v>0.502126475278727</v>
      </c>
      <c r="L4278">
        <v>732.21449889523001</v>
      </c>
      <c r="M4278">
        <v>14.794010635289601</v>
      </c>
      <c r="N4278">
        <v>59.276261931167802</v>
      </c>
      <c r="O4278">
        <v>48.616036255142802</v>
      </c>
      <c r="P4278">
        <v>-4.13529477390224E-2</v>
      </c>
      <c r="Q4278">
        <v>0.45648219272679602</v>
      </c>
      <c r="R4278">
        <v>0.975476890395094</v>
      </c>
      <c r="S4278" t="s">
        <v>10730</v>
      </c>
      <c r="T4278" t="s">
        <v>12902</v>
      </c>
      <c r="U4278" t="s">
        <v>12902</v>
      </c>
      <c r="V4278" t="s">
        <v>12902</v>
      </c>
      <c r="W4278" t="s">
        <v>17133</v>
      </c>
      <c r="X4278">
        <v>3</v>
      </c>
      <c r="Y4278" t="s">
        <v>23440</v>
      </c>
      <c r="Z4278" t="s">
        <v>29853</v>
      </c>
      <c r="AA4278">
        <v>0.64200360062318651</v>
      </c>
      <c r="AB4278" t="str">
        <f>HYPERLINK("Melting_Curves/meltCurve_Q8IUW5_RELL1.pdf", "Melting_Curves/meltCurve_Q8IUW5_RELL1.pdf")</f>
        <v>Melting_Curves/meltCurve_Q8IUW5_RELL1.pdf</v>
      </c>
    </row>
    <row r="4279" spans="1:28" x14ac:dyDescent="0.25">
      <c r="A4279" t="s">
        <v>4283</v>
      </c>
      <c r="B4279">
        <v>0.99673306730245903</v>
      </c>
      <c r="C4279">
        <v>0.96232066539035899</v>
      </c>
      <c r="D4279">
        <v>0.95104904464024798</v>
      </c>
      <c r="E4279">
        <v>0.94477889155611705</v>
      </c>
      <c r="F4279">
        <v>0.90985884756325297</v>
      </c>
      <c r="G4279">
        <v>0.76652234339195302</v>
      </c>
      <c r="H4279">
        <v>0.47621194163921898</v>
      </c>
      <c r="I4279">
        <v>0.33991735794133499</v>
      </c>
      <c r="J4279">
        <v>0.30742311419672902</v>
      </c>
      <c r="K4279">
        <v>0.27225694723689098</v>
      </c>
      <c r="L4279">
        <v>1229.31917102578</v>
      </c>
      <c r="M4279">
        <v>20.979086765230999</v>
      </c>
      <c r="N4279">
        <v>60.548065041375501</v>
      </c>
      <c r="O4279">
        <v>58.072754136012797</v>
      </c>
      <c r="P4279">
        <v>-6.8130296384132302E-2</v>
      </c>
      <c r="Q4279">
        <v>0.2456475941448</v>
      </c>
      <c r="R4279">
        <v>0.992666392740717</v>
      </c>
      <c r="S4279" t="s">
        <v>10731</v>
      </c>
      <c r="T4279" t="s">
        <v>12902</v>
      </c>
      <c r="U4279" t="s">
        <v>12902</v>
      </c>
      <c r="V4279" t="s">
        <v>12902</v>
      </c>
      <c r="W4279" t="s">
        <v>17134</v>
      </c>
      <c r="X4279">
        <v>2</v>
      </c>
      <c r="Y4279" t="s">
        <v>23441</v>
      </c>
      <c r="Z4279" t="s">
        <v>29854</v>
      </c>
      <c r="AA4279">
        <v>0.7209790127564667</v>
      </c>
      <c r="AB4279" t="str">
        <f>HYPERLINK("Melting_Curves/meltCurve_Q8IUX1_4_TMEM126B.pdf", "Melting_Curves/meltCurve_Q8IUX1_4_TMEM126B.pdf")</f>
        <v>Melting_Curves/meltCurve_Q8IUX1_4_TMEM126B.pdf</v>
      </c>
    </row>
    <row r="4280" spans="1:28" x14ac:dyDescent="0.25">
      <c r="A4280" t="s">
        <v>4284</v>
      </c>
      <c r="B4280">
        <v>0.99673306730245903</v>
      </c>
      <c r="C4280">
        <v>0.96218522346488999</v>
      </c>
      <c r="D4280">
        <v>1.0421622427581401</v>
      </c>
      <c r="E4280">
        <v>0.79796126605220397</v>
      </c>
      <c r="F4280">
        <v>0.73887891478700096</v>
      </c>
      <c r="G4280">
        <v>0.67255133767545905</v>
      </c>
      <c r="H4280">
        <v>0.49280523072087201</v>
      </c>
      <c r="I4280">
        <v>0.35988259483235502</v>
      </c>
      <c r="J4280">
        <v>0.69011013149601796</v>
      </c>
      <c r="K4280">
        <v>0.28502801000392602</v>
      </c>
      <c r="L4280">
        <v>683.18455392052101</v>
      </c>
      <c r="M4280">
        <v>12.4973656213065</v>
      </c>
      <c r="N4280">
        <v>61.992634976025101</v>
      </c>
      <c r="O4280">
        <v>53.323206714662398</v>
      </c>
      <c r="P4280">
        <v>-3.5992974805337703E-2</v>
      </c>
      <c r="Q4280">
        <v>0.38583354843675199</v>
      </c>
      <c r="R4280">
        <v>0.81988323219223402</v>
      </c>
      <c r="S4280" t="s">
        <v>10732</v>
      </c>
      <c r="T4280" t="s">
        <v>12902</v>
      </c>
      <c r="U4280" t="s">
        <v>12902</v>
      </c>
      <c r="V4280" t="s">
        <v>12902</v>
      </c>
      <c r="W4280" t="s">
        <v>17135</v>
      </c>
      <c r="X4280">
        <v>9</v>
      </c>
      <c r="Y4280" t="s">
        <v>23442</v>
      </c>
      <c r="Z4280" t="s">
        <v>29855</v>
      </c>
      <c r="AA4280">
        <v>0.70057716352351851</v>
      </c>
      <c r="AB4280" t="str">
        <f>HYPERLINK("Melting_Curves/meltCurve_Q8IUZ5_AGXT2L2.pdf", "Melting_Curves/meltCurve_Q8IUZ5_AGXT2L2.pdf")</f>
        <v>Melting_Curves/meltCurve_Q8IUZ5_AGXT2L2.pdf</v>
      </c>
    </row>
    <row r="4281" spans="1:28" x14ac:dyDescent="0.25">
      <c r="A4281" t="s">
        <v>4285</v>
      </c>
      <c r="B4281">
        <v>0.99673306730245903</v>
      </c>
      <c r="C4281">
        <v>1.0026138960116699</v>
      </c>
      <c r="D4281">
        <v>0.98838491238174198</v>
      </c>
      <c r="E4281">
        <v>1.01010859156767</v>
      </c>
      <c r="F4281">
        <v>0.89655756225129801</v>
      </c>
      <c r="G4281">
        <v>0.72855486099927003</v>
      </c>
      <c r="H4281">
        <v>0.360275001379398</v>
      </c>
      <c r="I4281">
        <v>0.13552454243613801</v>
      </c>
      <c r="J4281">
        <v>0.14123680421429499</v>
      </c>
      <c r="K4281">
        <v>0.119410720003858</v>
      </c>
      <c r="L4281">
        <v>1500.8453914301399</v>
      </c>
      <c r="M4281">
        <v>25.637041240790101</v>
      </c>
      <c r="N4281">
        <v>59.007294248649998</v>
      </c>
      <c r="O4281">
        <v>58.189361497765802</v>
      </c>
      <c r="P4281">
        <v>-0.100067303965794</v>
      </c>
      <c r="Q4281">
        <v>9.1504930936559301E-2</v>
      </c>
      <c r="R4281">
        <v>0.99640025953295497</v>
      </c>
      <c r="S4281" t="s">
        <v>10733</v>
      </c>
      <c r="T4281" t="s">
        <v>12902</v>
      </c>
      <c r="U4281" t="s">
        <v>12902</v>
      </c>
      <c r="V4281" t="s">
        <v>12902</v>
      </c>
      <c r="W4281" t="s">
        <v>17136</v>
      </c>
      <c r="X4281">
        <v>8</v>
      </c>
      <c r="Y4281" t="s">
        <v>23443</v>
      </c>
      <c r="Z4281" t="s">
        <v>29856</v>
      </c>
      <c r="AA4281">
        <v>0.66044849099291258</v>
      </c>
      <c r="AB4281" t="str">
        <f>HYPERLINK("Melting_Curves/meltCurve_Q8IV08_PLD3.pdf", "Melting_Curves/meltCurve_Q8IV08_PLD3.pdf")</f>
        <v>Melting_Curves/meltCurve_Q8IV08_PLD3.pdf</v>
      </c>
    </row>
    <row r="4282" spans="1:28" x14ac:dyDescent="0.25">
      <c r="A4282" t="s">
        <v>4286</v>
      </c>
      <c r="B4282">
        <v>0.99673306730245903</v>
      </c>
      <c r="C4282">
        <v>1.04630472089424</v>
      </c>
      <c r="D4282">
        <v>0.97131275748548995</v>
      </c>
      <c r="E4282">
        <v>0.83160592123465205</v>
      </c>
      <c r="F4282">
        <v>0.547365834971001</v>
      </c>
      <c r="G4282">
        <v>0.33179033571125599</v>
      </c>
      <c r="H4282">
        <v>0.16940243698603599</v>
      </c>
      <c r="I4282">
        <v>0.146880310474165</v>
      </c>
      <c r="J4282">
        <v>0.14399146644940999</v>
      </c>
      <c r="K4282">
        <v>9.1157135132706998E-2</v>
      </c>
      <c r="L4282">
        <v>1044.8106598018001</v>
      </c>
      <c r="M4282">
        <v>19.603332997071</v>
      </c>
      <c r="N4282">
        <v>53.965847443787602</v>
      </c>
      <c r="O4282">
        <v>52.752263662581498</v>
      </c>
      <c r="P4282">
        <v>-8.2894191898547701E-2</v>
      </c>
      <c r="Q4282">
        <v>0.107763324133597</v>
      </c>
      <c r="R4282">
        <v>0.99664738123504204</v>
      </c>
      <c r="S4282" t="s">
        <v>10734</v>
      </c>
      <c r="T4282" t="s">
        <v>12902</v>
      </c>
      <c r="U4282" t="s">
        <v>12902</v>
      </c>
      <c r="V4282" t="s">
        <v>12902</v>
      </c>
      <c r="W4282" t="s">
        <v>17137</v>
      </c>
      <c r="X4282">
        <v>3</v>
      </c>
      <c r="Y4282" t="s">
        <v>23444</v>
      </c>
      <c r="Z4282" t="s">
        <v>29857</v>
      </c>
      <c r="AA4282">
        <v>0.5159036428066559</v>
      </c>
      <c r="AB4282" t="str">
        <f>HYPERLINK("Melting_Curves/meltCurve_Q8IV20_LACC1.pdf", "Melting_Curves/meltCurve_Q8IV20_LACC1.pdf")</f>
        <v>Melting_Curves/meltCurve_Q8IV20_LACC1.pdf</v>
      </c>
    </row>
    <row r="4283" spans="1:28" x14ac:dyDescent="0.25">
      <c r="A4283" t="s">
        <v>4287</v>
      </c>
      <c r="B4283">
        <v>0.99673306730245903</v>
      </c>
      <c r="C4283">
        <v>1.0003666280866199</v>
      </c>
      <c r="D4283">
        <v>0.96893662705168304</v>
      </c>
      <c r="E4283">
        <v>0.84125069314330303</v>
      </c>
      <c r="F4283">
        <v>0.20485176081788201</v>
      </c>
      <c r="G4283">
        <v>0.107583036825093</v>
      </c>
      <c r="H4283">
        <v>5.9658081908216302E-2</v>
      </c>
      <c r="I4283">
        <v>6.1265746836303397E-2</v>
      </c>
      <c r="J4283">
        <v>7.3207090550256801E-2</v>
      </c>
      <c r="K4283">
        <v>7.1107905375189406E-2</v>
      </c>
      <c r="L4283">
        <v>2419.4408702468299</v>
      </c>
      <c r="M4283">
        <v>47.225604270851697</v>
      </c>
      <c r="N4283">
        <v>51.400470921020997</v>
      </c>
      <c r="O4283">
        <v>51.139942114825203</v>
      </c>
      <c r="P4283">
        <v>-0.214271141214324</v>
      </c>
      <c r="Q4283">
        <v>7.1876247153596001E-2</v>
      </c>
      <c r="R4283">
        <v>0.99901905218613096</v>
      </c>
      <c r="S4283" t="s">
        <v>10735</v>
      </c>
      <c r="T4283" t="s">
        <v>12902</v>
      </c>
      <c r="U4283" t="s">
        <v>12902</v>
      </c>
      <c r="V4283" t="s">
        <v>12902</v>
      </c>
      <c r="W4283" t="s">
        <v>17138</v>
      </c>
      <c r="X4283">
        <v>6</v>
      </c>
      <c r="Y4283" t="s">
        <v>23445</v>
      </c>
      <c r="Z4283" t="s">
        <v>29858</v>
      </c>
      <c r="AA4283">
        <v>0.42170435680465851</v>
      </c>
      <c r="AB4283" t="str">
        <f>HYPERLINK("Melting_Curves/meltCurve_Q8IV36_2_HID1.pdf", "Melting_Curves/meltCurve_Q8IV36_2_HID1.pdf")</f>
        <v>Melting_Curves/meltCurve_Q8IV36_2_HID1.pdf</v>
      </c>
    </row>
    <row r="4284" spans="1:28" x14ac:dyDescent="0.25">
      <c r="A4284" t="s">
        <v>4288</v>
      </c>
      <c r="B4284">
        <v>0.99673306730245903</v>
      </c>
      <c r="C4284">
        <v>1.01829372971679</v>
      </c>
      <c r="D4284">
        <v>0.94582478871758702</v>
      </c>
      <c r="E4284">
        <v>0.76821572161248397</v>
      </c>
      <c r="F4284">
        <v>0.27349417119590202</v>
      </c>
      <c r="G4284">
        <v>0.148210742821789</v>
      </c>
      <c r="H4284">
        <v>7.9669864399617596E-2</v>
      </c>
      <c r="I4284">
        <v>7.47512621421485E-2</v>
      </c>
      <c r="J4284">
        <v>8.3968060133398401E-2</v>
      </c>
      <c r="K4284">
        <v>7.6568369356231694E-2</v>
      </c>
      <c r="L4284">
        <v>1646.07191109562</v>
      </c>
      <c r="M4284">
        <v>32.171328661653099</v>
      </c>
      <c r="N4284">
        <v>51.451051377662303</v>
      </c>
      <c r="O4284">
        <v>50.969326454291398</v>
      </c>
      <c r="P4284">
        <v>-0.14490944651960699</v>
      </c>
      <c r="Q4284">
        <v>8.1679170051331101E-2</v>
      </c>
      <c r="R4284">
        <v>0.998295746175351</v>
      </c>
      <c r="S4284" t="s">
        <v>10736</v>
      </c>
      <c r="T4284" t="s">
        <v>12902</v>
      </c>
      <c r="U4284" t="s">
        <v>12902</v>
      </c>
      <c r="V4284" t="s">
        <v>12902</v>
      </c>
      <c r="W4284" t="s">
        <v>17139</v>
      </c>
      <c r="X4284">
        <v>10</v>
      </c>
      <c r="Y4284" t="s">
        <v>23446</v>
      </c>
      <c r="Z4284" t="s">
        <v>29859</v>
      </c>
      <c r="AA4284">
        <v>0.42850538293491258</v>
      </c>
      <c r="AB4284" t="str">
        <f>HYPERLINK("Melting_Curves/meltCurve_Q8IV38_ANKMY2.pdf", "Melting_Curves/meltCurve_Q8IV38_ANKMY2.pdf")</f>
        <v>Melting_Curves/meltCurve_Q8IV38_ANKMY2.pdf</v>
      </c>
    </row>
    <row r="4285" spans="1:28" x14ac:dyDescent="0.25">
      <c r="A4285" t="s">
        <v>4289</v>
      </c>
      <c r="B4285">
        <v>0.99673306730245903</v>
      </c>
      <c r="C4285">
        <v>0.83426923341445303</v>
      </c>
      <c r="D4285">
        <v>0.84659884139049402</v>
      </c>
      <c r="E4285">
        <v>0.56261005096891503</v>
      </c>
      <c r="F4285">
        <v>0.35414194358142198</v>
      </c>
      <c r="G4285">
        <v>0.177509506616879</v>
      </c>
      <c r="H4285">
        <v>0.124337460083109</v>
      </c>
      <c r="I4285">
        <v>9.3612850280717405E-2</v>
      </c>
      <c r="J4285">
        <v>9.7436343832391401E-2</v>
      </c>
      <c r="K4285">
        <v>6.2367723144154799E-2</v>
      </c>
      <c r="L4285">
        <v>710.97658304230595</v>
      </c>
      <c r="M4285">
        <v>14.1597417203131</v>
      </c>
      <c r="N4285">
        <v>50.592347289629501</v>
      </c>
      <c r="O4285">
        <v>49.241482201312799</v>
      </c>
      <c r="P4285">
        <v>-6.82603056295564E-2</v>
      </c>
      <c r="Q4285">
        <v>5.0600437762304801E-2</v>
      </c>
      <c r="R4285">
        <v>0.98997466104612697</v>
      </c>
      <c r="S4285" t="s">
        <v>10737</v>
      </c>
      <c r="T4285" t="s">
        <v>12902</v>
      </c>
      <c r="U4285" t="s">
        <v>12902</v>
      </c>
      <c r="V4285" t="s">
        <v>12902</v>
      </c>
      <c r="W4285" t="s">
        <v>17140</v>
      </c>
      <c r="X4285">
        <v>3</v>
      </c>
      <c r="Y4285" t="s">
        <v>23447</v>
      </c>
      <c r="Z4285" t="s">
        <v>29860</v>
      </c>
      <c r="AA4285">
        <v>0.39858269020591008</v>
      </c>
      <c r="AB4285" t="str">
        <f>HYPERLINK("Melting_Curves/meltCurve_Q8IV45_UNC5CL.pdf", "Melting_Curves/meltCurve_Q8IV45_UNC5CL.pdf")</f>
        <v>Melting_Curves/meltCurve_Q8IV45_UNC5CL.pdf</v>
      </c>
    </row>
    <row r="4286" spans="1:28" x14ac:dyDescent="0.25">
      <c r="A4286" t="s">
        <v>4290</v>
      </c>
      <c r="B4286">
        <v>0.99673306730245903</v>
      </c>
      <c r="C4286">
        <v>1.0067370656824901</v>
      </c>
      <c r="D4286">
        <v>0.97781080177850699</v>
      </c>
      <c r="E4286">
        <v>0.85657421647950005</v>
      </c>
      <c r="F4286">
        <v>0.50166912294284405</v>
      </c>
      <c r="G4286">
        <v>0.34879577136206102</v>
      </c>
      <c r="H4286">
        <v>0.229825639725695</v>
      </c>
      <c r="I4286">
        <v>0.31144548500944402</v>
      </c>
      <c r="J4286">
        <v>0.46939166956126499</v>
      </c>
      <c r="K4286">
        <v>0.38611497106730702</v>
      </c>
      <c r="L4286">
        <v>1879.26786896555</v>
      </c>
      <c r="M4286">
        <v>36.579621223876899</v>
      </c>
      <c r="N4286">
        <v>53.0862268861163</v>
      </c>
      <c r="O4286">
        <v>51.221904238931501</v>
      </c>
      <c r="P4286">
        <v>-0.116716246860168</v>
      </c>
      <c r="Q4286">
        <v>0.34625777821987502</v>
      </c>
      <c r="R4286">
        <v>0.96312526929972797</v>
      </c>
      <c r="S4286" t="s">
        <v>10738</v>
      </c>
      <c r="T4286" t="s">
        <v>12902</v>
      </c>
      <c r="U4286" t="s">
        <v>12902</v>
      </c>
      <c r="V4286" t="s">
        <v>12902</v>
      </c>
      <c r="W4286" t="s">
        <v>17141</v>
      </c>
      <c r="X4286">
        <v>4</v>
      </c>
      <c r="Y4286" t="s">
        <v>23448</v>
      </c>
      <c r="Z4286" t="s">
        <v>29861</v>
      </c>
      <c r="AA4286">
        <v>0.59690753038516009</v>
      </c>
      <c r="AB4286" t="str">
        <f>HYPERLINK("Melting_Curves/meltCurve_Q8IV50_LYSMD2.pdf", "Melting_Curves/meltCurve_Q8IV50_LYSMD2.pdf")</f>
        <v>Melting_Curves/meltCurve_Q8IV50_LYSMD2.pdf</v>
      </c>
    </row>
    <row r="4287" spans="1:28" x14ac:dyDescent="0.25">
      <c r="A4287" t="s">
        <v>4291</v>
      </c>
      <c r="B4287">
        <v>0.99673306730245903</v>
      </c>
      <c r="C4287">
        <v>0.92987596367992598</v>
      </c>
      <c r="D4287">
        <v>0.94946124445020397</v>
      </c>
      <c r="E4287">
        <v>0.74800685113777798</v>
      </c>
      <c r="F4287">
        <v>0.61707893545887604</v>
      </c>
      <c r="G4287">
        <v>0.46087169342050699</v>
      </c>
      <c r="H4287">
        <v>0.368318439389482</v>
      </c>
      <c r="I4287">
        <v>0.59614005126425096</v>
      </c>
      <c r="J4287">
        <v>0.76995385773821201</v>
      </c>
      <c r="K4287">
        <v>0.74103986590801896</v>
      </c>
      <c r="L4287">
        <v>1703.65798043986</v>
      </c>
      <c r="M4287">
        <v>34.8992133449321</v>
      </c>
      <c r="O4287">
        <v>48.657053182194502</v>
      </c>
      <c r="P4287">
        <v>-7.3726570460188504E-2</v>
      </c>
      <c r="Q4287">
        <v>0.58883821739113995</v>
      </c>
      <c r="R4287">
        <v>0.67839151259046504</v>
      </c>
      <c r="S4287" t="s">
        <v>10739</v>
      </c>
      <c r="T4287" t="s">
        <v>12902</v>
      </c>
      <c r="U4287" t="s">
        <v>12902</v>
      </c>
      <c r="V4287" t="s">
        <v>12902</v>
      </c>
      <c r="W4287" t="s">
        <v>17142</v>
      </c>
      <c r="X4287">
        <v>2</v>
      </c>
      <c r="Y4287" t="s">
        <v>23449</v>
      </c>
      <c r="Z4287" t="s">
        <v>29862</v>
      </c>
      <c r="AA4287">
        <v>0.7115047700565974</v>
      </c>
      <c r="AB4287" t="str">
        <f>HYPERLINK("Melting_Curves/meltCurve_Q8IV56_PRR15.pdf", "Melting_Curves/meltCurve_Q8IV56_PRR15.pdf")</f>
        <v>Melting_Curves/meltCurve_Q8IV56_PRR15.pdf</v>
      </c>
    </row>
    <row r="4288" spans="1:28" x14ac:dyDescent="0.25">
      <c r="A4288" t="s">
        <v>4292</v>
      </c>
      <c r="B4288">
        <v>0.99673306730245903</v>
      </c>
      <c r="C4288">
        <v>0.99726445962797405</v>
      </c>
      <c r="D4288">
        <v>0.91525257376367597</v>
      </c>
      <c r="E4288">
        <v>0.69861732427441103</v>
      </c>
      <c r="F4288">
        <v>0.24186541502397399</v>
      </c>
      <c r="G4288">
        <v>0.131149198349961</v>
      </c>
      <c r="H4288">
        <v>7.4320150425403297E-2</v>
      </c>
      <c r="I4288">
        <v>4.0749693854462997E-2</v>
      </c>
      <c r="J4288">
        <v>3.35410217536182E-2</v>
      </c>
      <c r="K4288">
        <v>3.0462879194024899E-2</v>
      </c>
      <c r="L4288">
        <v>1337.92865612023</v>
      </c>
      <c r="M4288">
        <v>26.3053110077458</v>
      </c>
      <c r="N4288">
        <v>51.035485557010396</v>
      </c>
      <c r="O4288">
        <v>50.570341283495303</v>
      </c>
      <c r="P4288">
        <v>-0.124468709297406</v>
      </c>
      <c r="Q4288">
        <v>4.2876956450639901E-2</v>
      </c>
      <c r="R4288">
        <v>0.99765479949590297</v>
      </c>
      <c r="S4288" t="s">
        <v>10740</v>
      </c>
      <c r="T4288" t="s">
        <v>12902</v>
      </c>
      <c r="U4288" t="s">
        <v>12902</v>
      </c>
      <c r="V4288" t="s">
        <v>12902</v>
      </c>
      <c r="W4288" t="s">
        <v>17143</v>
      </c>
      <c r="X4288">
        <v>2</v>
      </c>
      <c r="Y4288" t="s">
        <v>23450</v>
      </c>
      <c r="Z4288" t="s">
        <v>29863</v>
      </c>
      <c r="AA4288">
        <v>0.39721070670671421</v>
      </c>
      <c r="AB4288" t="str">
        <f>HYPERLINK("Melting_Curves/meltCurve_Q8IV63_3_VRK3.pdf", "Melting_Curves/meltCurve_Q8IV63_3_VRK3.pdf")</f>
        <v>Melting_Curves/meltCurve_Q8IV63_3_VRK3.pdf</v>
      </c>
    </row>
    <row r="4289" spans="1:28" x14ac:dyDescent="0.25">
      <c r="A4289" t="s">
        <v>4293</v>
      </c>
      <c r="B4289">
        <v>0.99673306730245903</v>
      </c>
      <c r="C4289">
        <v>0.96573429121595999</v>
      </c>
      <c r="D4289">
        <v>0.78174164915904398</v>
      </c>
      <c r="E4289">
        <v>0.431107848820099</v>
      </c>
      <c r="F4289">
        <v>0.21540020061475201</v>
      </c>
      <c r="G4289">
        <v>0.120355937711722</v>
      </c>
      <c r="H4289">
        <v>6.4947364603899396E-2</v>
      </c>
      <c r="I4289">
        <v>5.8379017430119001E-2</v>
      </c>
      <c r="J4289">
        <v>6.2073312961129397E-2</v>
      </c>
      <c r="K4289">
        <v>5.9970003668131898E-2</v>
      </c>
      <c r="L4289">
        <v>999.69310023372304</v>
      </c>
      <c r="M4289">
        <v>20.522055333384401</v>
      </c>
      <c r="N4289">
        <v>49.013041854102298</v>
      </c>
      <c r="O4289">
        <v>48.257660863478698</v>
      </c>
      <c r="P4289">
        <v>-0.100044440571756</v>
      </c>
      <c r="Q4289">
        <v>5.90091597057847E-2</v>
      </c>
      <c r="R4289">
        <v>0.99913307695297704</v>
      </c>
      <c r="S4289" t="s">
        <v>10741</v>
      </c>
      <c r="T4289" t="s">
        <v>12902</v>
      </c>
      <c r="U4289" t="s">
        <v>12902</v>
      </c>
      <c r="V4289" t="s">
        <v>12902</v>
      </c>
      <c r="W4289" t="s">
        <v>17144</v>
      </c>
      <c r="X4289">
        <v>8</v>
      </c>
      <c r="Y4289" t="s">
        <v>23451</v>
      </c>
      <c r="Z4289" t="s">
        <v>29864</v>
      </c>
      <c r="AA4289">
        <v>0.34484519309849571</v>
      </c>
      <c r="AB4289" t="str">
        <f>HYPERLINK("Melting_Curves/meltCurve_Q8IVD9_NUDCD3.pdf", "Melting_Curves/meltCurve_Q8IVD9_NUDCD3.pdf")</f>
        <v>Melting_Curves/meltCurve_Q8IVD9_NUDCD3.pdf</v>
      </c>
    </row>
    <row r="4290" spans="1:28" x14ac:dyDescent="0.25">
      <c r="A4290" t="s">
        <v>4294</v>
      </c>
      <c r="B4290">
        <v>0.99673306730245903</v>
      </c>
      <c r="C4290">
        <v>1.10516347209761</v>
      </c>
      <c r="D4290">
        <v>0.97908101797929803</v>
      </c>
      <c r="E4290">
        <v>0.99060630666337601</v>
      </c>
      <c r="F4290">
        <v>1.21598458282248</v>
      </c>
      <c r="G4290">
        <v>1.0503283557027701</v>
      </c>
      <c r="H4290">
        <v>0.94865858997527797</v>
      </c>
      <c r="I4290">
        <v>1.2299374050543399</v>
      </c>
      <c r="J4290">
        <v>0.90779606105668298</v>
      </c>
      <c r="K4290">
        <v>0.25066444478498801</v>
      </c>
      <c r="L4290">
        <v>15000</v>
      </c>
      <c r="M4290">
        <v>221.58221719609799</v>
      </c>
      <c r="N4290">
        <v>67.907582902802304</v>
      </c>
      <c r="O4290">
        <v>67.689449671577506</v>
      </c>
      <c r="P4290">
        <v>-0.61365550729854301</v>
      </c>
      <c r="Q4290">
        <v>0.250156380748986</v>
      </c>
      <c r="R4290">
        <v>0.82790891636802999</v>
      </c>
      <c r="S4290" t="s">
        <v>10742</v>
      </c>
      <c r="T4290" t="s">
        <v>12902</v>
      </c>
      <c r="U4290" t="s">
        <v>12902</v>
      </c>
      <c r="V4290" t="s">
        <v>12902</v>
      </c>
      <c r="W4290" t="s">
        <v>17145</v>
      </c>
      <c r="X4290">
        <v>1</v>
      </c>
      <c r="Y4290" t="s">
        <v>23452</v>
      </c>
      <c r="Z4290" t="s">
        <v>29865</v>
      </c>
      <c r="AA4290">
        <v>0.94249391166712948</v>
      </c>
      <c r="AB4290" t="str">
        <f>HYPERLINK("Melting_Curves/meltCurve_Q8IVF2_3_AHNAK2.pdf", "Melting_Curves/meltCurve_Q8IVF2_3_AHNAK2.pdf")</f>
        <v>Melting_Curves/meltCurve_Q8IVF2_3_AHNAK2.pdf</v>
      </c>
    </row>
    <row r="4291" spans="1:28" x14ac:dyDescent="0.25">
      <c r="A4291" t="s">
        <v>4295</v>
      </c>
      <c r="B4291">
        <v>0.99673306730245903</v>
      </c>
      <c r="C4291">
        <v>1.0166846666090601</v>
      </c>
      <c r="D4291">
        <v>0.97013693432115999</v>
      </c>
      <c r="E4291">
        <v>0.95820277123788</v>
      </c>
      <c r="F4291">
        <v>0.72352051086679103</v>
      </c>
      <c r="G4291">
        <v>0.357303098373775</v>
      </c>
      <c r="H4291">
        <v>0.12977284830281199</v>
      </c>
      <c r="I4291">
        <v>0.11471096815157</v>
      </c>
      <c r="J4291">
        <v>0.158440274553033</v>
      </c>
      <c r="K4291">
        <v>0.134746541104312</v>
      </c>
      <c r="L4291">
        <v>1610.1705858236301</v>
      </c>
      <c r="M4291">
        <v>29.4575634731859</v>
      </c>
      <c r="N4291">
        <v>55.188254007617601</v>
      </c>
      <c r="O4291">
        <v>54.410638399405798</v>
      </c>
      <c r="P4291">
        <v>-0.118740350122953</v>
      </c>
      <c r="Q4291">
        <v>0.12271184027677499</v>
      </c>
      <c r="R4291">
        <v>0.99728753143618498</v>
      </c>
      <c r="S4291" t="s">
        <v>10743</v>
      </c>
      <c r="T4291" t="s">
        <v>12902</v>
      </c>
      <c r="U4291" t="s">
        <v>12902</v>
      </c>
      <c r="V4291" t="s">
        <v>12902</v>
      </c>
      <c r="W4291" t="s">
        <v>17146</v>
      </c>
      <c r="X4291">
        <v>8</v>
      </c>
      <c r="Y4291" t="s">
        <v>23453</v>
      </c>
      <c r="Z4291" t="s">
        <v>29866</v>
      </c>
      <c r="AA4291">
        <v>0.55744031676086503</v>
      </c>
      <c r="AB4291" t="str">
        <f>HYPERLINK("Melting_Curves/meltCurve_Q8IVH4_MMAA.pdf", "Melting_Curves/meltCurve_Q8IVH4_MMAA.pdf")</f>
        <v>Melting_Curves/meltCurve_Q8IVH4_MMAA.pdf</v>
      </c>
    </row>
    <row r="4292" spans="1:28" x14ac:dyDescent="0.25">
      <c r="A4292" t="s">
        <v>4296</v>
      </c>
      <c r="B4292">
        <v>0.99673306730245903</v>
      </c>
      <c r="C4292">
        <v>0.92974340081472495</v>
      </c>
      <c r="D4292">
        <v>0.86658170339482998</v>
      </c>
      <c r="E4292">
        <v>0.66941784433326501</v>
      </c>
      <c r="F4292">
        <v>0.236783834903913</v>
      </c>
      <c r="G4292">
        <v>0.119151144845134</v>
      </c>
      <c r="H4292">
        <v>7.1775251029434203E-2</v>
      </c>
      <c r="I4292">
        <v>6.3918024371502194E-2</v>
      </c>
      <c r="J4292">
        <v>7.5023435582613596E-2</v>
      </c>
      <c r="K4292">
        <v>5.95111066596134E-2</v>
      </c>
      <c r="L4292">
        <v>1186.52886639033</v>
      </c>
      <c r="M4292">
        <v>23.515861788098601</v>
      </c>
      <c r="N4292">
        <v>50.716505480469003</v>
      </c>
      <c r="O4292">
        <v>50.095906082532601</v>
      </c>
      <c r="P4292">
        <v>-0.110692733215476</v>
      </c>
      <c r="Q4292">
        <v>5.67800446604559E-2</v>
      </c>
      <c r="R4292">
        <v>0.99396000454259703</v>
      </c>
      <c r="S4292" t="s">
        <v>10744</v>
      </c>
      <c r="T4292" t="s">
        <v>12902</v>
      </c>
      <c r="U4292" t="s">
        <v>12902</v>
      </c>
      <c r="V4292" t="s">
        <v>12902</v>
      </c>
      <c r="W4292" t="s">
        <v>17147</v>
      </c>
      <c r="X4292">
        <v>7</v>
      </c>
      <c r="Y4292" t="s">
        <v>23454</v>
      </c>
      <c r="Z4292" t="s">
        <v>29867</v>
      </c>
      <c r="AA4292">
        <v>0.39510449430281319</v>
      </c>
      <c r="AB4292" t="str">
        <f>HYPERLINK("Melting_Curves/meltCurve_Q8IVH8_3_MAP4K3.pdf", "Melting_Curves/meltCurve_Q8IVH8_3_MAP4K3.pdf")</f>
        <v>Melting_Curves/meltCurve_Q8IVH8_3_MAP4K3.pdf</v>
      </c>
    </row>
    <row r="4293" spans="1:28" x14ac:dyDescent="0.25">
      <c r="A4293" t="s">
        <v>4297</v>
      </c>
      <c r="B4293">
        <v>0.99673306730245903</v>
      </c>
      <c r="C4293">
        <v>0.88480228998833199</v>
      </c>
      <c r="D4293">
        <v>0.60414122394923297</v>
      </c>
      <c r="E4293">
        <v>0.39600599750543403</v>
      </c>
      <c r="F4293">
        <v>0.28620526638689903</v>
      </c>
      <c r="G4293">
        <v>0.237914229529407</v>
      </c>
      <c r="H4293">
        <v>0.19456233631540101</v>
      </c>
      <c r="I4293">
        <v>0.237404900289818</v>
      </c>
      <c r="J4293">
        <v>0.34400549413300302</v>
      </c>
      <c r="K4293">
        <v>0.30678492389176498</v>
      </c>
      <c r="L4293">
        <v>1095.1689925026801</v>
      </c>
      <c r="M4293">
        <v>23.881632408442801</v>
      </c>
      <c r="N4293">
        <v>47.351631320479399</v>
      </c>
      <c r="O4293">
        <v>45.540288226434299</v>
      </c>
      <c r="P4293">
        <v>-9.6417459986651896E-2</v>
      </c>
      <c r="Q4293">
        <v>0.264571362127898</v>
      </c>
      <c r="R4293">
        <v>0.97738696765648003</v>
      </c>
      <c r="S4293" t="s">
        <v>10745</v>
      </c>
      <c r="T4293" t="s">
        <v>12902</v>
      </c>
      <c r="U4293" t="s">
        <v>12902</v>
      </c>
      <c r="V4293" t="s">
        <v>12902</v>
      </c>
      <c r="W4293" t="s">
        <v>17148</v>
      </c>
      <c r="X4293">
        <v>10</v>
      </c>
      <c r="Y4293" t="s">
        <v>23455</v>
      </c>
      <c r="Z4293" t="s">
        <v>29868</v>
      </c>
      <c r="AA4293">
        <v>0.41579592470160381</v>
      </c>
      <c r="AB4293" t="str">
        <f>HYPERLINK("Melting_Curves/meltCurve_Q8IVL1_4_NAV2.pdf", "Melting_Curves/meltCurve_Q8IVL1_4_NAV2.pdf")</f>
        <v>Melting_Curves/meltCurve_Q8IVL1_4_NAV2.pdf</v>
      </c>
    </row>
    <row r="4294" spans="1:28" x14ac:dyDescent="0.25">
      <c r="A4294" t="s">
        <v>4298</v>
      </c>
      <c r="B4294">
        <v>0.99673306730245903</v>
      </c>
      <c r="C4294">
        <v>1.0061470357831199</v>
      </c>
      <c r="D4294">
        <v>1.0050937156437301</v>
      </c>
      <c r="E4294">
        <v>0.88044865131623296</v>
      </c>
      <c r="F4294">
        <v>0.63989571551963298</v>
      </c>
      <c r="G4294">
        <v>0.57860590087093899</v>
      </c>
      <c r="H4294">
        <v>0.45895790711603202</v>
      </c>
      <c r="I4294">
        <v>0.64354156992934697</v>
      </c>
      <c r="J4294">
        <v>0.96132378460517798</v>
      </c>
      <c r="K4294">
        <v>0.94337431793347404</v>
      </c>
      <c r="L4294">
        <v>12419.228800488399</v>
      </c>
      <c r="M4294">
        <v>250</v>
      </c>
      <c r="O4294">
        <v>49.673730903104598</v>
      </c>
      <c r="P4294">
        <v>-0.37207388772372002</v>
      </c>
      <c r="Q4294">
        <v>0.70428319790969596</v>
      </c>
      <c r="R4294">
        <v>0.469530197569555</v>
      </c>
      <c r="S4294" t="s">
        <v>10746</v>
      </c>
      <c r="T4294" t="s">
        <v>12902</v>
      </c>
      <c r="U4294" t="s">
        <v>12902</v>
      </c>
      <c r="V4294" t="s">
        <v>12902</v>
      </c>
      <c r="W4294" t="s">
        <v>17149</v>
      </c>
      <c r="X4294">
        <v>14</v>
      </c>
      <c r="Y4294" t="s">
        <v>23456</v>
      </c>
      <c r="Z4294" t="s">
        <v>29869</v>
      </c>
      <c r="AA4294">
        <v>0.79969652640896394</v>
      </c>
      <c r="AB4294" t="str">
        <f>HYPERLINK("Melting_Curves/meltCurve_Q8IVM0_CCDC50.pdf", "Melting_Curves/meltCurve_Q8IVM0_CCDC50.pdf")</f>
        <v>Melting_Curves/meltCurve_Q8IVM0_CCDC50.pdf</v>
      </c>
    </row>
    <row r="4295" spans="1:28" x14ac:dyDescent="0.25">
      <c r="A4295" t="s">
        <v>4299</v>
      </c>
      <c r="B4295">
        <v>0.99673306730245903</v>
      </c>
      <c r="C4295">
        <v>0.97399926332074105</v>
      </c>
      <c r="D4295">
        <v>0.95971962996245397</v>
      </c>
      <c r="E4295">
        <v>0.84639728605547204</v>
      </c>
      <c r="F4295">
        <v>0.839541201259973</v>
      </c>
      <c r="G4295">
        <v>0.71366666958979996</v>
      </c>
      <c r="H4295">
        <v>0.62941755070862104</v>
      </c>
      <c r="I4295">
        <v>0.92914499274975504</v>
      </c>
      <c r="J4295">
        <v>1.39081858243241</v>
      </c>
      <c r="K4295">
        <v>1.3465797266330599</v>
      </c>
      <c r="L4295">
        <v>2342.1643532995699</v>
      </c>
      <c r="M4295">
        <v>55.039426443375703</v>
      </c>
      <c r="O4295">
        <v>42.4982287663235</v>
      </c>
      <c r="P4295">
        <v>-1.3974584946967E-2</v>
      </c>
      <c r="Q4295">
        <v>0.95683858681846501</v>
      </c>
      <c r="R4295">
        <v>2.8964965130519001E-3</v>
      </c>
      <c r="S4295" t="s">
        <v>10747</v>
      </c>
      <c r="T4295" t="s">
        <v>12902</v>
      </c>
      <c r="U4295" t="s">
        <v>12902</v>
      </c>
      <c r="V4295" t="s">
        <v>12902</v>
      </c>
      <c r="W4295" t="s">
        <v>17150</v>
      </c>
      <c r="X4295">
        <v>13</v>
      </c>
      <c r="Y4295" t="s">
        <v>23456</v>
      </c>
      <c r="Z4295" t="s">
        <v>29870</v>
      </c>
      <c r="AA4295">
        <v>0.96060816667642213</v>
      </c>
      <c r="AB4295" t="str">
        <f>HYPERLINK("Melting_Curves/meltCurve_Q8IVM0_2_CCDC50.pdf", "Melting_Curves/meltCurve_Q8IVM0_2_CCDC50.pdf")</f>
        <v>Melting_Curves/meltCurve_Q8IVM0_2_CCDC50.pdf</v>
      </c>
    </row>
    <row r="4296" spans="1:28" x14ac:dyDescent="0.25">
      <c r="A4296" t="s">
        <v>4300</v>
      </c>
      <c r="B4296">
        <v>0.99673306730245903</v>
      </c>
      <c r="C4296">
        <v>0.90844628567817398</v>
      </c>
      <c r="D4296">
        <v>0.83254828568029904</v>
      </c>
      <c r="E4296">
        <v>0.66412660038548599</v>
      </c>
      <c r="F4296">
        <v>0.61455634430172301</v>
      </c>
      <c r="G4296">
        <v>0.30314124509341001</v>
      </c>
      <c r="H4296">
        <v>0.21198262008775501</v>
      </c>
      <c r="I4296">
        <v>0.19822534163575201</v>
      </c>
      <c r="J4296">
        <v>0.28070020948158397</v>
      </c>
      <c r="K4296">
        <v>0.1856434030843</v>
      </c>
      <c r="L4296">
        <v>638.17218281752798</v>
      </c>
      <c r="M4296">
        <v>12.3332604757528</v>
      </c>
      <c r="N4296">
        <v>53.337189347963701</v>
      </c>
      <c r="O4296">
        <v>50.440070636621499</v>
      </c>
      <c r="P4296">
        <v>-5.17209681599414E-2</v>
      </c>
      <c r="Q4296">
        <v>0.15407806905462701</v>
      </c>
      <c r="R4296">
        <v>0.969325976487455</v>
      </c>
      <c r="S4296" t="s">
        <v>10748</v>
      </c>
      <c r="T4296" t="s">
        <v>12902</v>
      </c>
      <c r="U4296" t="s">
        <v>12902</v>
      </c>
      <c r="V4296" t="s">
        <v>12902</v>
      </c>
      <c r="W4296" t="s">
        <v>17151</v>
      </c>
      <c r="X4296">
        <v>1</v>
      </c>
      <c r="Y4296" t="s">
        <v>23457</v>
      </c>
      <c r="Z4296" t="s">
        <v>29871</v>
      </c>
      <c r="AA4296">
        <v>0.51061045652322223</v>
      </c>
      <c r="AB4296" t="str">
        <f>HYPERLINK("Melting_Curves/meltCurve_Q8IVN8_SBSPON.pdf", "Melting_Curves/meltCurve_Q8IVN8_SBSPON.pdf")</f>
        <v>Melting_Curves/meltCurve_Q8IVN8_SBSPON.pdf</v>
      </c>
    </row>
    <row r="4297" spans="1:28" x14ac:dyDescent="0.25">
      <c r="A4297" t="s">
        <v>4301</v>
      </c>
      <c r="B4297">
        <v>0.99673306730245903</v>
      </c>
      <c r="C4297">
        <v>0.73195854039512798</v>
      </c>
      <c r="D4297">
        <v>0.748628922747412</v>
      </c>
      <c r="E4297">
        <v>0.40005727640066302</v>
      </c>
      <c r="F4297">
        <v>0.24625933475817099</v>
      </c>
      <c r="G4297">
        <v>0.159130487725228</v>
      </c>
      <c r="H4297">
        <v>8.2310105778504894E-2</v>
      </c>
      <c r="I4297">
        <v>0.116308057591593</v>
      </c>
      <c r="J4297">
        <v>0.121221628481577</v>
      </c>
      <c r="K4297">
        <v>0.122041298157033</v>
      </c>
      <c r="L4297">
        <v>694.51986266194695</v>
      </c>
      <c r="M4297">
        <v>14.570882827614501</v>
      </c>
      <c r="N4297">
        <v>48.308901430371598</v>
      </c>
      <c r="O4297">
        <v>46.794107571172098</v>
      </c>
      <c r="P4297">
        <v>-7.0982316682521598E-2</v>
      </c>
      <c r="Q4297">
        <v>8.8269873081199005E-2</v>
      </c>
      <c r="R4297">
        <v>0.97281148472263801</v>
      </c>
      <c r="S4297" t="s">
        <v>10749</v>
      </c>
      <c r="T4297" t="s">
        <v>12902</v>
      </c>
      <c r="U4297" t="s">
        <v>12902</v>
      </c>
      <c r="V4297" t="s">
        <v>12902</v>
      </c>
      <c r="W4297" t="s">
        <v>17152</v>
      </c>
      <c r="X4297">
        <v>1</v>
      </c>
      <c r="Y4297" t="s">
        <v>23458</v>
      </c>
      <c r="Z4297" t="s">
        <v>29872</v>
      </c>
      <c r="AA4297">
        <v>0.34649039172229301</v>
      </c>
      <c r="AB4297" t="str">
        <f>HYPERLINK("Melting_Curves/meltCurve_Q8IVQ6_ZDHHC21.pdf", "Melting_Curves/meltCurve_Q8IVQ6_ZDHHC21.pdf")</f>
        <v>Melting_Curves/meltCurve_Q8IVQ6_ZDHHC21.pdf</v>
      </c>
    </row>
    <row r="4298" spans="1:28" x14ac:dyDescent="0.25">
      <c r="A4298" t="s">
        <v>4302</v>
      </c>
      <c r="B4298">
        <v>0.99673306730245903</v>
      </c>
      <c r="C4298">
        <v>0.86969779458605401</v>
      </c>
      <c r="D4298">
        <v>0.75288903429242304</v>
      </c>
      <c r="E4298">
        <v>0.44895947193702701</v>
      </c>
      <c r="F4298">
        <v>0.25060481089657199</v>
      </c>
      <c r="G4298">
        <v>0.30549458816090003</v>
      </c>
      <c r="H4298">
        <v>9.0122692491398398E-2</v>
      </c>
      <c r="I4298">
        <v>5.4487784942113898E-2</v>
      </c>
      <c r="J4298">
        <v>0</v>
      </c>
      <c r="K4298">
        <v>0</v>
      </c>
      <c r="L4298">
        <v>609.99090750803805</v>
      </c>
      <c r="M4298">
        <v>12.297929044223601</v>
      </c>
      <c r="N4298">
        <v>49.601108039224897</v>
      </c>
      <c r="O4298">
        <v>48.3442899729788</v>
      </c>
      <c r="P4298">
        <v>-6.3609501834810595E-2</v>
      </c>
      <c r="Q4298">
        <v>0</v>
      </c>
      <c r="R4298">
        <v>0.97785932397043696</v>
      </c>
      <c r="S4298" t="s">
        <v>10750</v>
      </c>
      <c r="T4298" t="s">
        <v>12902</v>
      </c>
      <c r="U4298" t="s">
        <v>12902</v>
      </c>
      <c r="V4298" t="s">
        <v>12902</v>
      </c>
      <c r="W4298" t="s">
        <v>17153</v>
      </c>
      <c r="X4298">
        <v>1</v>
      </c>
      <c r="Y4298" t="s">
        <v>23459</v>
      </c>
      <c r="Z4298" t="s">
        <v>29873</v>
      </c>
      <c r="AA4298">
        <v>0.35409588340775872</v>
      </c>
      <c r="AB4298" t="str">
        <f>HYPERLINK("Melting_Curves/meltCurve_Q8IVR6_PPM1D.pdf", "Melting_Curves/meltCurve_Q8IVR6_PPM1D.pdf")</f>
        <v>Melting_Curves/meltCurve_Q8IVR6_PPM1D.pdf</v>
      </c>
    </row>
    <row r="4299" spans="1:28" x14ac:dyDescent="0.25">
      <c r="A4299" t="s">
        <v>4303</v>
      </c>
      <c r="B4299">
        <v>0.99673306730245903</v>
      </c>
      <c r="C4299">
        <v>0.99973995181192099</v>
      </c>
      <c r="D4299">
        <v>0.963633374090475</v>
      </c>
      <c r="E4299">
        <v>0.89743942392822895</v>
      </c>
      <c r="F4299">
        <v>0.74269613098673104</v>
      </c>
      <c r="G4299">
        <v>0.47403401817906898</v>
      </c>
      <c r="H4299">
        <v>0.17703151345767601</v>
      </c>
      <c r="I4299">
        <v>9.76059601749142E-2</v>
      </c>
      <c r="J4299">
        <v>8.9434753455194194E-2</v>
      </c>
      <c r="K4299">
        <v>8.3646471457296007E-2</v>
      </c>
      <c r="L4299">
        <v>1090.8301284450599</v>
      </c>
      <c r="M4299">
        <v>19.524105481011901</v>
      </c>
      <c r="N4299">
        <v>56.139098131308998</v>
      </c>
      <c r="O4299">
        <v>55.2947132371824</v>
      </c>
      <c r="P4299">
        <v>-8.43459212587825E-2</v>
      </c>
      <c r="Q4299">
        <v>4.4521334398019197E-2</v>
      </c>
      <c r="R4299">
        <v>0.99739792285062601</v>
      </c>
      <c r="S4299" t="s">
        <v>10751</v>
      </c>
      <c r="T4299" t="s">
        <v>12902</v>
      </c>
      <c r="U4299" t="s">
        <v>12902</v>
      </c>
      <c r="V4299" t="s">
        <v>12902</v>
      </c>
      <c r="W4299" t="s">
        <v>17154</v>
      </c>
      <c r="X4299">
        <v>15</v>
      </c>
      <c r="Y4299" t="s">
        <v>23460</v>
      </c>
      <c r="Z4299" t="s">
        <v>29874</v>
      </c>
      <c r="AA4299">
        <v>0.56278276478050127</v>
      </c>
      <c r="AB4299" t="str">
        <f>HYPERLINK("Melting_Curves/meltCurve_Q8IVS2_MCAT.pdf", "Melting_Curves/meltCurve_Q8IVS2_MCAT.pdf")</f>
        <v>Melting_Curves/meltCurve_Q8IVS2_MCAT.pdf</v>
      </c>
    </row>
    <row r="4300" spans="1:28" x14ac:dyDescent="0.25">
      <c r="A4300" t="s">
        <v>4304</v>
      </c>
      <c r="B4300">
        <v>0.99673306730245903</v>
      </c>
      <c r="C4300">
        <v>0.86097464747392005</v>
      </c>
      <c r="D4300">
        <v>0.81388208802145801</v>
      </c>
      <c r="E4300">
        <v>0.64953738162154095</v>
      </c>
      <c r="F4300">
        <v>0.38048268803567498</v>
      </c>
      <c r="G4300">
        <v>0.29805371008669301</v>
      </c>
      <c r="H4300">
        <v>0.36413542414714301</v>
      </c>
      <c r="I4300">
        <v>0.65804639602481996</v>
      </c>
      <c r="J4300">
        <v>1.6779883160559499</v>
      </c>
      <c r="K4300">
        <v>3.0172834584068302</v>
      </c>
      <c r="L4300">
        <v>15000</v>
      </c>
      <c r="M4300">
        <v>228.63855627722899</v>
      </c>
      <c r="O4300">
        <v>65.600713316696698</v>
      </c>
      <c r="P4300">
        <v>0.43566324428768</v>
      </c>
      <c r="Q4300">
        <v>1.5</v>
      </c>
      <c r="R4300">
        <v>0.35846152703827</v>
      </c>
      <c r="S4300" t="s">
        <v>10752</v>
      </c>
      <c r="T4300" t="s">
        <v>12902</v>
      </c>
      <c r="U4300" t="s">
        <v>12902</v>
      </c>
      <c r="V4300" t="s">
        <v>12902</v>
      </c>
      <c r="W4300" t="s">
        <v>17155</v>
      </c>
      <c r="X4300">
        <v>3</v>
      </c>
      <c r="Y4300" t="s">
        <v>23461</v>
      </c>
      <c r="Z4300" t="s">
        <v>29875</v>
      </c>
      <c r="AA4300">
        <v>1.0731689609950701</v>
      </c>
      <c r="AB4300" t="str">
        <f>HYPERLINK("Melting_Curves/meltCurve_Q8IVT2_C19orf21.pdf", "Melting_Curves/meltCurve_Q8IVT2_C19orf21.pdf")</f>
        <v>Melting_Curves/meltCurve_Q8IVT2_C19orf21.pdf</v>
      </c>
    </row>
    <row r="4301" spans="1:28" x14ac:dyDescent="0.25">
      <c r="A4301" t="s">
        <v>4305</v>
      </c>
      <c r="B4301">
        <v>0.99673306730245903</v>
      </c>
      <c r="C4301">
        <v>0.91533538662719904</v>
      </c>
      <c r="D4301">
        <v>0.84978684971482699</v>
      </c>
      <c r="E4301">
        <v>0.63173579547400205</v>
      </c>
      <c r="F4301">
        <v>0.51709462142313201</v>
      </c>
      <c r="G4301">
        <v>0.502402365980543</v>
      </c>
      <c r="H4301">
        <v>0.28510413874216001</v>
      </c>
      <c r="I4301">
        <v>0.34048096357524998</v>
      </c>
      <c r="J4301">
        <v>0.36821678546074998</v>
      </c>
      <c r="K4301">
        <v>0.35480274320017302</v>
      </c>
      <c r="L4301">
        <v>685.91618850475299</v>
      </c>
      <c r="M4301">
        <v>13.833243434430999</v>
      </c>
      <c r="N4301">
        <v>53.682035774019297</v>
      </c>
      <c r="O4301">
        <v>48.582868444973101</v>
      </c>
      <c r="P4301">
        <v>-4.7980752105671501E-2</v>
      </c>
      <c r="Q4301">
        <v>0.32605265908924302</v>
      </c>
      <c r="R4301">
        <v>0.97203703297333899</v>
      </c>
      <c r="S4301" t="s">
        <v>10753</v>
      </c>
      <c r="T4301" t="s">
        <v>12902</v>
      </c>
      <c r="U4301" t="s">
        <v>12902</v>
      </c>
      <c r="V4301" t="s">
        <v>12902</v>
      </c>
      <c r="W4301" t="s">
        <v>17156</v>
      </c>
      <c r="X4301">
        <v>2</v>
      </c>
      <c r="Y4301" t="s">
        <v>23462</v>
      </c>
      <c r="Z4301" t="s">
        <v>29876</v>
      </c>
      <c r="AA4301">
        <v>0.56019549446208072</v>
      </c>
      <c r="AB4301" t="str">
        <f>HYPERLINK("Melting_Curves/meltCurve_Q8IVW6_3_ARID3B.pdf", "Melting_Curves/meltCurve_Q8IVW6_3_ARID3B.pdf")</f>
        <v>Melting_Curves/meltCurve_Q8IVW6_3_ARID3B.pdf</v>
      </c>
    </row>
    <row r="4302" spans="1:28" x14ac:dyDescent="0.25">
      <c r="A4302" t="s">
        <v>4306</v>
      </c>
      <c r="B4302">
        <v>0.99673306730245903</v>
      </c>
      <c r="C4302">
        <v>0.96719957178861504</v>
      </c>
      <c r="D4302">
        <v>0.99837937842536595</v>
      </c>
      <c r="E4302">
        <v>1.01942331856206</v>
      </c>
      <c r="F4302">
        <v>0.955677530867869</v>
      </c>
      <c r="G4302">
        <v>0.81673925489863997</v>
      </c>
      <c r="H4302">
        <v>0.70014926318911996</v>
      </c>
      <c r="I4302">
        <v>0.90883399356077099</v>
      </c>
      <c r="J4302">
        <v>1.16267318846516</v>
      </c>
      <c r="K4302">
        <v>1.00757021492867</v>
      </c>
      <c r="L4302">
        <v>13289.646716146801</v>
      </c>
      <c r="M4302">
        <v>250</v>
      </c>
      <c r="O4302">
        <v>53.155183042629602</v>
      </c>
      <c r="P4302">
        <v>-9.5012852487468102E-2</v>
      </c>
      <c r="Q4302">
        <v>0.91919318796848204</v>
      </c>
      <c r="R4302">
        <v>9.1722635232878699E-2</v>
      </c>
      <c r="S4302" t="s">
        <v>10754</v>
      </c>
      <c r="T4302" t="s">
        <v>12902</v>
      </c>
      <c r="U4302" t="s">
        <v>12902</v>
      </c>
      <c r="V4302" t="s">
        <v>12902</v>
      </c>
      <c r="W4302" t="s">
        <v>17157</v>
      </c>
      <c r="X4302">
        <v>19</v>
      </c>
      <c r="Y4302" t="s">
        <v>23463</v>
      </c>
      <c r="Z4302" t="s">
        <v>29877</v>
      </c>
      <c r="AA4302">
        <v>0.95464417514963362</v>
      </c>
      <c r="AB4302" t="str">
        <f>HYPERLINK("Melting_Curves/meltCurve_Q8IW45_CARKD.pdf", "Melting_Curves/meltCurve_Q8IW45_CARKD.pdf")</f>
        <v>Melting_Curves/meltCurve_Q8IW45_CARKD.pdf</v>
      </c>
    </row>
    <row r="4303" spans="1:28" x14ac:dyDescent="0.25">
      <c r="A4303" t="s">
        <v>4307</v>
      </c>
      <c r="B4303">
        <v>0.99673306730245903</v>
      </c>
      <c r="C4303">
        <v>0.97357636449751095</v>
      </c>
      <c r="D4303">
        <v>0.84994287485960696</v>
      </c>
      <c r="E4303">
        <v>0.36662515580335397</v>
      </c>
      <c r="F4303">
        <v>0.21717851372503399</v>
      </c>
      <c r="G4303">
        <v>0.179051158682869</v>
      </c>
      <c r="H4303">
        <v>9.7516188682314195E-2</v>
      </c>
      <c r="I4303">
        <v>0.10040434243900601</v>
      </c>
      <c r="J4303">
        <v>7.8085393838755707E-2</v>
      </c>
      <c r="K4303">
        <v>8.3440944034624195E-2</v>
      </c>
      <c r="L4303">
        <v>1350.8204311285001</v>
      </c>
      <c r="M4303">
        <v>27.951952657497301</v>
      </c>
      <c r="N4303">
        <v>48.753590671146</v>
      </c>
      <c r="O4303">
        <v>48.081194074124703</v>
      </c>
      <c r="P4303">
        <v>-0.12955597309313799</v>
      </c>
      <c r="Q4303">
        <v>0.10859152169595999</v>
      </c>
      <c r="R4303">
        <v>0.993456482695802</v>
      </c>
      <c r="S4303" t="s">
        <v>10755</v>
      </c>
      <c r="T4303" t="s">
        <v>12902</v>
      </c>
      <c r="U4303" t="s">
        <v>12902</v>
      </c>
      <c r="V4303" t="s">
        <v>12902</v>
      </c>
      <c r="W4303" t="s">
        <v>17158</v>
      </c>
      <c r="X4303">
        <v>2</v>
      </c>
      <c r="Y4303" t="s">
        <v>23464</v>
      </c>
      <c r="Z4303" t="s">
        <v>29878</v>
      </c>
      <c r="AA4303">
        <v>0.36223790895646391</v>
      </c>
      <c r="AB4303" t="str">
        <f>HYPERLINK("Melting_Curves/meltCurve_Q8IWA0_WDR75.pdf", "Melting_Curves/meltCurve_Q8IWA0_WDR75.pdf")</f>
        <v>Melting_Curves/meltCurve_Q8IWA0_WDR75.pdf</v>
      </c>
    </row>
    <row r="4304" spans="1:28" x14ac:dyDescent="0.25">
      <c r="A4304" t="s">
        <v>4308</v>
      </c>
      <c r="B4304">
        <v>0.99673306730245903</v>
      </c>
      <c r="C4304">
        <v>0.94181222624879402</v>
      </c>
      <c r="D4304">
        <v>0.82803077275768699</v>
      </c>
      <c r="E4304">
        <v>0.58029709754637004</v>
      </c>
      <c r="F4304">
        <v>0.20633703416967</v>
      </c>
      <c r="G4304">
        <v>0.11837625797663</v>
      </c>
      <c r="H4304">
        <v>6.8914849828270203E-2</v>
      </c>
      <c r="I4304">
        <v>6.6544757523687201E-2</v>
      </c>
      <c r="J4304">
        <v>8.0500040360661398E-2</v>
      </c>
      <c r="K4304">
        <v>7.3033267475767993E-2</v>
      </c>
      <c r="L4304">
        <v>1064.9761679707699</v>
      </c>
      <c r="M4304">
        <v>21.438203792845201</v>
      </c>
      <c r="N4304">
        <v>49.976893567618397</v>
      </c>
      <c r="O4304">
        <v>49.250355843588999</v>
      </c>
      <c r="P4304">
        <v>-0.10224789585220501</v>
      </c>
      <c r="Q4304">
        <v>6.0439405938332802E-2</v>
      </c>
      <c r="R4304">
        <v>0.99630497176153399</v>
      </c>
      <c r="S4304" t="s">
        <v>10756</v>
      </c>
      <c r="T4304" t="s">
        <v>12902</v>
      </c>
      <c r="U4304" t="s">
        <v>12902</v>
      </c>
      <c r="V4304" t="s">
        <v>12902</v>
      </c>
      <c r="W4304" t="s">
        <v>17159</v>
      </c>
      <c r="X4304">
        <v>6</v>
      </c>
      <c r="Y4304" t="s">
        <v>23465</v>
      </c>
      <c r="Z4304" t="s">
        <v>29879</v>
      </c>
      <c r="AA4304">
        <v>0.3749058616978061</v>
      </c>
      <c r="AB4304" t="str">
        <f>HYPERLINK("Melting_Curves/meltCurve_Q8IWA4_MFN1.pdf", "Melting_Curves/meltCurve_Q8IWA4_MFN1.pdf")</f>
        <v>Melting_Curves/meltCurve_Q8IWA4_MFN1.pdf</v>
      </c>
    </row>
    <row r="4305" spans="1:28" x14ac:dyDescent="0.25">
      <c r="A4305" t="s">
        <v>4309</v>
      </c>
      <c r="B4305">
        <v>0.99673306730245903</v>
      </c>
      <c r="C4305">
        <v>0.93230978703446399</v>
      </c>
      <c r="D4305">
        <v>0.89843146165282795</v>
      </c>
      <c r="E4305">
        <v>0.72708127233005604</v>
      </c>
      <c r="F4305">
        <v>0.32838361199737698</v>
      </c>
      <c r="G4305">
        <v>0.20506821130505601</v>
      </c>
      <c r="H4305">
        <v>0.112145366365263</v>
      </c>
      <c r="I4305">
        <v>0.11404415571006001</v>
      </c>
      <c r="J4305">
        <v>3.60648590564202E-2</v>
      </c>
      <c r="K4305">
        <v>2.64962926656503E-2</v>
      </c>
      <c r="L4305">
        <v>977.29535601368002</v>
      </c>
      <c r="M4305">
        <v>19.005278174607401</v>
      </c>
      <c r="N4305">
        <v>51.704872091340498</v>
      </c>
      <c r="O4305">
        <v>50.863143935316302</v>
      </c>
      <c r="P4305">
        <v>-8.8809751852944499E-2</v>
      </c>
      <c r="Q4305">
        <v>4.93244331073854E-2</v>
      </c>
      <c r="R4305">
        <v>0.992806424044261</v>
      </c>
      <c r="S4305" t="s">
        <v>10757</v>
      </c>
      <c r="T4305" t="s">
        <v>12902</v>
      </c>
      <c r="U4305" t="s">
        <v>12902</v>
      </c>
      <c r="V4305" t="s">
        <v>12902</v>
      </c>
      <c r="W4305" t="s">
        <v>17160</v>
      </c>
      <c r="X4305">
        <v>7</v>
      </c>
      <c r="Y4305" t="s">
        <v>23466</v>
      </c>
      <c r="Z4305" t="s">
        <v>29880</v>
      </c>
      <c r="AA4305">
        <v>0.42575412557179071</v>
      </c>
      <c r="AB4305" t="str">
        <f>HYPERLINK("Melting_Curves/meltCurve_Q8IWB1_ITPRIP.pdf", "Melting_Curves/meltCurve_Q8IWB1_ITPRIP.pdf")</f>
        <v>Melting_Curves/meltCurve_Q8IWB1_ITPRIP.pdf</v>
      </c>
    </row>
    <row r="4306" spans="1:28" x14ac:dyDescent="0.25">
      <c r="A4306" t="s">
        <v>4310</v>
      </c>
      <c r="B4306">
        <v>0.99673306730245903</v>
      </c>
      <c r="C4306">
        <v>0.94773389192828605</v>
      </c>
      <c r="D4306">
        <v>0.83607176536137395</v>
      </c>
      <c r="E4306">
        <v>0.74659768871932397</v>
      </c>
      <c r="F4306">
        <v>0.598535121133138</v>
      </c>
      <c r="G4306">
        <v>0.40654471240744</v>
      </c>
      <c r="H4306">
        <v>0.16127290514717199</v>
      </c>
      <c r="I4306">
        <v>7.5697299953097305E-2</v>
      </c>
      <c r="J4306">
        <v>6.8034229625243706E-2</v>
      </c>
      <c r="K4306">
        <v>4.75428805117971E-2</v>
      </c>
      <c r="L4306">
        <v>684.90737027446301</v>
      </c>
      <c r="M4306">
        <v>12.6485790453506</v>
      </c>
      <c r="N4306">
        <v>54.148957408527501</v>
      </c>
      <c r="O4306">
        <v>52.848959280359999</v>
      </c>
      <c r="P4306">
        <v>-5.9845384513117501E-2</v>
      </c>
      <c r="Q4306">
        <v>0</v>
      </c>
      <c r="R4306">
        <v>0.98972503151759095</v>
      </c>
      <c r="S4306" t="s">
        <v>10758</v>
      </c>
      <c r="T4306" t="s">
        <v>12902</v>
      </c>
      <c r="U4306" t="s">
        <v>12902</v>
      </c>
      <c r="V4306" t="s">
        <v>12902</v>
      </c>
      <c r="W4306" t="s">
        <v>17161</v>
      </c>
      <c r="X4306">
        <v>8</v>
      </c>
      <c r="Y4306" t="s">
        <v>23467</v>
      </c>
      <c r="Z4306" t="s">
        <v>29881</v>
      </c>
      <c r="AA4306">
        <v>0.49614504304701801</v>
      </c>
      <c r="AB4306" t="str">
        <f>HYPERLINK("Melting_Curves/meltCurve_Q8IWB7_WDFY1.pdf", "Melting_Curves/meltCurve_Q8IWB7_WDFY1.pdf")</f>
        <v>Melting_Curves/meltCurve_Q8IWB7_WDFY1.pdf</v>
      </c>
    </row>
    <row r="4307" spans="1:28" x14ac:dyDescent="0.25">
      <c r="A4307" t="s">
        <v>4311</v>
      </c>
      <c r="B4307">
        <v>0.99673306730245903</v>
      </c>
      <c r="C4307">
        <v>0.933890514698128</v>
      </c>
      <c r="D4307">
        <v>0.79688492584938797</v>
      </c>
      <c r="E4307">
        <v>0.33873528011112097</v>
      </c>
      <c r="F4307">
        <v>0.190622953357485</v>
      </c>
      <c r="G4307">
        <v>0.12766141788056501</v>
      </c>
      <c r="H4307">
        <v>9.18420223724951E-2</v>
      </c>
      <c r="I4307">
        <v>0.117771372795461</v>
      </c>
      <c r="J4307">
        <v>0.144806565540406</v>
      </c>
      <c r="K4307">
        <v>0.13792681976791099</v>
      </c>
      <c r="L4307">
        <v>1355.01843649393</v>
      </c>
      <c r="M4307">
        <v>28.358902013793401</v>
      </c>
      <c r="N4307">
        <v>48.265661601758801</v>
      </c>
      <c r="O4307">
        <v>47.5453623777709</v>
      </c>
      <c r="P4307">
        <v>-0.130642724753566</v>
      </c>
      <c r="Q4307">
        <v>0.123886365071824</v>
      </c>
      <c r="R4307">
        <v>0.99690262506518601</v>
      </c>
      <c r="S4307" t="s">
        <v>10759</v>
      </c>
      <c r="T4307" t="s">
        <v>12902</v>
      </c>
      <c r="U4307" t="s">
        <v>12902</v>
      </c>
      <c r="V4307" t="s">
        <v>12902</v>
      </c>
      <c r="W4307" t="s">
        <v>17162</v>
      </c>
      <c r="X4307">
        <v>5</v>
      </c>
      <c r="Y4307" t="s">
        <v>23468</v>
      </c>
      <c r="Z4307" t="s">
        <v>29882</v>
      </c>
      <c r="AA4307">
        <v>0.35704933680004203</v>
      </c>
      <c r="AB4307" t="str">
        <f>HYPERLINK("Melting_Curves/meltCurve_Q8IWB9_TEX2.pdf", "Melting_Curves/meltCurve_Q8IWB9_TEX2.pdf")</f>
        <v>Melting_Curves/meltCurve_Q8IWB9_TEX2.pdf</v>
      </c>
    </row>
    <row r="4308" spans="1:28" x14ac:dyDescent="0.25">
      <c r="A4308" t="s">
        <v>4312</v>
      </c>
      <c r="B4308">
        <v>0.99673306730245903</v>
      </c>
      <c r="C4308">
        <v>0.81478994000462401</v>
      </c>
      <c r="D4308">
        <v>0.81744317995973603</v>
      </c>
      <c r="E4308">
        <v>0.563834913131952</v>
      </c>
      <c r="F4308">
        <v>0.41531849225838502</v>
      </c>
      <c r="G4308">
        <v>0.28996481726045698</v>
      </c>
      <c r="H4308">
        <v>0.20537525494148101</v>
      </c>
      <c r="I4308">
        <v>0.225132457347028</v>
      </c>
      <c r="J4308">
        <v>0.326241388252688</v>
      </c>
      <c r="K4308">
        <v>0.33945616308194498</v>
      </c>
      <c r="L4308">
        <v>761.15143467425196</v>
      </c>
      <c r="M4308">
        <v>15.7485453481699</v>
      </c>
      <c r="N4308">
        <v>50.667505027156203</v>
      </c>
      <c r="O4308">
        <v>47.572365970044103</v>
      </c>
      <c r="P4308">
        <v>-6.1405807403832301E-2</v>
      </c>
      <c r="Q4308">
        <v>0.25809622771087698</v>
      </c>
      <c r="R4308">
        <v>0.95609365888424103</v>
      </c>
      <c r="S4308" t="s">
        <v>10760</v>
      </c>
      <c r="T4308" t="s">
        <v>12902</v>
      </c>
      <c r="U4308" t="s">
        <v>12902</v>
      </c>
      <c r="V4308" t="s">
        <v>12902</v>
      </c>
      <c r="W4308" t="s">
        <v>17163</v>
      </c>
      <c r="X4308">
        <v>2</v>
      </c>
      <c r="Y4308" t="s">
        <v>23469</v>
      </c>
      <c r="Z4308" t="s">
        <v>29883</v>
      </c>
      <c r="AA4308">
        <v>0.48122675063389148</v>
      </c>
      <c r="AB4308" t="str">
        <f>HYPERLINK("Melting_Curves/meltCurve_Q8IWC1_2_MAP7D3.pdf", "Melting_Curves/meltCurve_Q8IWC1_2_MAP7D3.pdf")</f>
        <v>Melting_Curves/meltCurve_Q8IWC1_2_MAP7D3.pdf</v>
      </c>
    </row>
    <row r="4309" spans="1:28" x14ac:dyDescent="0.25">
      <c r="A4309" t="s">
        <v>4313</v>
      </c>
      <c r="B4309">
        <v>0.99673306730245903</v>
      </c>
      <c r="C4309">
        <v>0.96328697056476198</v>
      </c>
      <c r="D4309">
        <v>0.990268679109779</v>
      </c>
      <c r="E4309">
        <v>0.92382163365093395</v>
      </c>
      <c r="F4309">
        <v>0.51520948039021397</v>
      </c>
      <c r="G4309">
        <v>0.53326261139269604</v>
      </c>
      <c r="H4309">
        <v>0.46042189076273599</v>
      </c>
      <c r="I4309">
        <v>0.66741149474863104</v>
      </c>
      <c r="J4309">
        <v>1.30240312559127</v>
      </c>
      <c r="K4309">
        <v>1.5703821172429699</v>
      </c>
      <c r="L4309">
        <v>15000</v>
      </c>
      <c r="M4309">
        <v>223.972276608176</v>
      </c>
      <c r="O4309">
        <v>66.967217749346105</v>
      </c>
      <c r="P4309">
        <v>0.41806317117650799</v>
      </c>
      <c r="Q4309">
        <v>1.5</v>
      </c>
      <c r="R4309">
        <v>0.25446097182309602</v>
      </c>
      <c r="S4309" t="s">
        <v>10761</v>
      </c>
      <c r="T4309" t="s">
        <v>12902</v>
      </c>
      <c r="U4309" t="s">
        <v>12902</v>
      </c>
      <c r="V4309" t="s">
        <v>12902</v>
      </c>
      <c r="W4309" t="s">
        <v>17164</v>
      </c>
      <c r="X4309">
        <v>6</v>
      </c>
      <c r="Y4309" t="s">
        <v>23470</v>
      </c>
      <c r="Z4309" t="s">
        <v>29884</v>
      </c>
      <c r="AA4309">
        <v>1.0503842072904439</v>
      </c>
      <c r="AB4309" t="str">
        <f>HYPERLINK("Melting_Curves/meltCurve_Q8IWD4_CCDC117.pdf", "Melting_Curves/meltCurve_Q8IWD4_CCDC117.pdf")</f>
        <v>Melting_Curves/meltCurve_Q8IWD4_CCDC117.pdf</v>
      </c>
    </row>
    <row r="4310" spans="1:28" x14ac:dyDescent="0.25">
      <c r="A4310" t="s">
        <v>4314</v>
      </c>
      <c r="B4310">
        <v>0.99673306730245903</v>
      </c>
      <c r="C4310">
        <v>1.0035283087682101</v>
      </c>
      <c r="D4310">
        <v>0.89584896286125704</v>
      </c>
      <c r="E4310">
        <v>0.75719495235491696</v>
      </c>
      <c r="F4310">
        <v>0.46543039421404597</v>
      </c>
      <c r="G4310">
        <v>0.25454116512071601</v>
      </c>
      <c r="H4310">
        <v>0.177910525945429</v>
      </c>
      <c r="I4310">
        <v>0.195537963645011</v>
      </c>
      <c r="J4310">
        <v>0.199427865501729</v>
      </c>
      <c r="K4310">
        <v>0.17025819351051</v>
      </c>
      <c r="L4310">
        <v>1071.6025767384899</v>
      </c>
      <c r="M4310">
        <v>20.796210237732701</v>
      </c>
      <c r="N4310">
        <v>52.574332303208301</v>
      </c>
      <c r="O4310">
        <v>51.0593762428771</v>
      </c>
      <c r="P4310">
        <v>-8.4580708949356695E-2</v>
      </c>
      <c r="Q4310">
        <v>0.16936447650209599</v>
      </c>
      <c r="R4310">
        <v>0.99661936786354699</v>
      </c>
      <c r="S4310" t="s">
        <v>10762</v>
      </c>
      <c r="T4310" t="s">
        <v>12902</v>
      </c>
      <c r="U4310" t="s">
        <v>12902</v>
      </c>
      <c r="V4310" t="s">
        <v>12902</v>
      </c>
      <c r="W4310" t="s">
        <v>17165</v>
      </c>
      <c r="X4310">
        <v>7</v>
      </c>
      <c r="Y4310" t="s">
        <v>23471</v>
      </c>
      <c r="Z4310" t="s">
        <v>29885</v>
      </c>
      <c r="AA4310">
        <v>0.49928558212760588</v>
      </c>
      <c r="AB4310" t="str">
        <f>HYPERLINK("Melting_Curves/meltCurve_Q8IWE2_FAM114A1.pdf", "Melting_Curves/meltCurve_Q8IWE2_FAM114A1.pdf")</f>
        <v>Melting_Curves/meltCurve_Q8IWE2_FAM114A1.pdf</v>
      </c>
    </row>
    <row r="4311" spans="1:28" x14ac:dyDescent="0.25">
      <c r="A4311" t="s">
        <v>4315</v>
      </c>
      <c r="B4311">
        <v>0.99673306730245903</v>
      </c>
      <c r="C4311">
        <v>0.85484318119146996</v>
      </c>
      <c r="D4311">
        <v>0.72393344875424703</v>
      </c>
      <c r="E4311">
        <v>0.37956931188027898</v>
      </c>
      <c r="F4311">
        <v>0.197689729339832</v>
      </c>
      <c r="G4311">
        <v>0.15956060617675599</v>
      </c>
      <c r="H4311">
        <v>0.15153828801942501</v>
      </c>
      <c r="I4311">
        <v>0.112465909845954</v>
      </c>
      <c r="J4311">
        <v>0.158095650733175</v>
      </c>
      <c r="K4311">
        <v>0.135232658327437</v>
      </c>
      <c r="L4311">
        <v>950.46662374341702</v>
      </c>
      <c r="M4311">
        <v>20.05576934071</v>
      </c>
      <c r="N4311">
        <v>48.1171466852308</v>
      </c>
      <c r="O4311">
        <v>46.9275647479136</v>
      </c>
      <c r="P4311">
        <v>-9.28988558655056E-2</v>
      </c>
      <c r="Q4311">
        <v>0.130549040011259</v>
      </c>
      <c r="R4311">
        <v>0.99471430474243205</v>
      </c>
      <c r="S4311" t="s">
        <v>10763</v>
      </c>
      <c r="T4311" t="s">
        <v>12902</v>
      </c>
      <c r="U4311" t="s">
        <v>12902</v>
      </c>
      <c r="V4311" t="s">
        <v>12902</v>
      </c>
      <c r="W4311" t="s">
        <v>17166</v>
      </c>
      <c r="X4311">
        <v>2</v>
      </c>
      <c r="Y4311" t="s">
        <v>23472</v>
      </c>
      <c r="Z4311" t="s">
        <v>29886</v>
      </c>
      <c r="AA4311">
        <v>0.35723384926624002</v>
      </c>
      <c r="AB4311" t="str">
        <f>HYPERLINK("Melting_Curves/meltCurve_Q8IWE4_DCUN1D3.pdf", "Melting_Curves/meltCurve_Q8IWE4_DCUN1D3.pdf")</f>
        <v>Melting_Curves/meltCurve_Q8IWE4_DCUN1D3.pdf</v>
      </c>
    </row>
    <row r="4312" spans="1:28" x14ac:dyDescent="0.25">
      <c r="A4312" t="s">
        <v>4316</v>
      </c>
      <c r="B4312">
        <v>0.99673306730245903</v>
      </c>
      <c r="C4312">
        <v>0.97370241143074199</v>
      </c>
      <c r="D4312">
        <v>0.88652700705491805</v>
      </c>
      <c r="E4312">
        <v>0.649448158770352</v>
      </c>
      <c r="F4312">
        <v>0.28664810053704598</v>
      </c>
      <c r="G4312">
        <v>0.19828949590644501</v>
      </c>
      <c r="H4312">
        <v>9.7701827699567395E-2</v>
      </c>
      <c r="I4312">
        <v>7.3186043974375906E-2</v>
      </c>
      <c r="J4312">
        <v>4.2599767054532001E-2</v>
      </c>
      <c r="K4312">
        <v>2.6297862695990999E-2</v>
      </c>
      <c r="L4312">
        <v>972.17181556842297</v>
      </c>
      <c r="M4312">
        <v>19.133183460195401</v>
      </c>
      <c r="N4312">
        <v>51.063408086953601</v>
      </c>
      <c r="O4312">
        <v>50.265509857400602</v>
      </c>
      <c r="P4312">
        <v>-9.0866749744530503E-2</v>
      </c>
      <c r="Q4312">
        <v>4.51595975415756E-2</v>
      </c>
      <c r="R4312">
        <v>0.99681060377453601</v>
      </c>
      <c r="S4312" t="s">
        <v>10764</v>
      </c>
      <c r="T4312" t="s">
        <v>12902</v>
      </c>
      <c r="U4312" t="s">
        <v>12902</v>
      </c>
      <c r="V4312" t="s">
        <v>12902</v>
      </c>
      <c r="W4312" t="s">
        <v>17167</v>
      </c>
      <c r="X4312">
        <v>2</v>
      </c>
      <c r="Y4312" t="s">
        <v>23473</v>
      </c>
      <c r="Z4312" t="s">
        <v>29887</v>
      </c>
      <c r="AA4312">
        <v>0.40365399457524292</v>
      </c>
      <c r="AB4312" t="str">
        <f>HYPERLINK("Melting_Curves/meltCurve_Q8IWF6_DENND6A.pdf", "Melting_Curves/meltCurve_Q8IWF6_DENND6A.pdf")</f>
        <v>Melting_Curves/meltCurve_Q8IWF6_DENND6A.pdf</v>
      </c>
    </row>
    <row r="4313" spans="1:28" x14ac:dyDescent="0.25">
      <c r="A4313" t="s">
        <v>4317</v>
      </c>
      <c r="B4313">
        <v>0.99673306730245903</v>
      </c>
      <c r="C4313">
        <v>0.93465720640002403</v>
      </c>
      <c r="D4313">
        <v>0.64158581080864496</v>
      </c>
      <c r="E4313">
        <v>0.60272427235714099</v>
      </c>
      <c r="F4313">
        <v>0.52709052628086095</v>
      </c>
      <c r="G4313">
        <v>0.444463341705295</v>
      </c>
      <c r="H4313">
        <v>0.304574875310614</v>
      </c>
      <c r="I4313">
        <v>0.44416887527092902</v>
      </c>
      <c r="J4313">
        <v>0.41646201318693099</v>
      </c>
      <c r="K4313">
        <v>0.40950767150117801</v>
      </c>
      <c r="L4313">
        <v>748.18766350105204</v>
      </c>
      <c r="M4313">
        <v>16.051341714453301</v>
      </c>
      <c r="N4313">
        <v>51.852692582918998</v>
      </c>
      <c r="O4313">
        <v>45.906687411709903</v>
      </c>
      <c r="P4313">
        <v>-5.2340588133107997E-2</v>
      </c>
      <c r="Q4313">
        <v>0.40127212142622598</v>
      </c>
      <c r="R4313">
        <v>0.93581893648565795</v>
      </c>
      <c r="S4313" t="s">
        <v>10765</v>
      </c>
      <c r="T4313" t="s">
        <v>12902</v>
      </c>
      <c r="U4313" t="s">
        <v>12902</v>
      </c>
      <c r="V4313" t="s">
        <v>12902</v>
      </c>
      <c r="W4313" t="s">
        <v>17168</v>
      </c>
      <c r="X4313">
        <v>10</v>
      </c>
      <c r="Y4313" t="s">
        <v>23474</v>
      </c>
      <c r="Z4313" t="s">
        <v>29888</v>
      </c>
      <c r="AA4313">
        <v>0.5477026216289349</v>
      </c>
      <c r="AB4313" t="str">
        <f>HYPERLINK("Melting_Curves/meltCurve_Q8IWJ2_GCC2.pdf", "Melting_Curves/meltCurve_Q8IWJ2_GCC2.pdf")</f>
        <v>Melting_Curves/meltCurve_Q8IWJ2_GCC2.pdf</v>
      </c>
    </row>
    <row r="4314" spans="1:28" x14ac:dyDescent="0.25">
      <c r="A4314" t="s">
        <v>4318</v>
      </c>
      <c r="B4314">
        <v>0.99673306730245903</v>
      </c>
      <c r="C4314">
        <v>1.0410770427755001</v>
      </c>
      <c r="D4314">
        <v>0.49642309439259702</v>
      </c>
      <c r="E4314">
        <v>0.68642011624089405</v>
      </c>
      <c r="F4314">
        <v>0.26612242871082098</v>
      </c>
      <c r="G4314">
        <v>0.114872591750286</v>
      </c>
      <c r="H4314">
        <v>5.6434009990357303E-2</v>
      </c>
      <c r="I4314">
        <v>5.0732603282958297E-2</v>
      </c>
      <c r="J4314">
        <v>4.9073239391045603E-2</v>
      </c>
      <c r="K4314">
        <v>4.6692879948253198E-2</v>
      </c>
      <c r="L4314">
        <v>667.25546760873101</v>
      </c>
      <c r="M4314">
        <v>13.4295232649296</v>
      </c>
      <c r="N4314">
        <v>49.709915244090404</v>
      </c>
      <c r="O4314">
        <v>48.622817877473601</v>
      </c>
      <c r="P4314">
        <v>-6.8835219592170399E-2</v>
      </c>
      <c r="Q4314">
        <v>3.2582886164013798E-3</v>
      </c>
      <c r="R4314">
        <v>0.91554212803758805</v>
      </c>
      <c r="S4314" t="s">
        <v>10766</v>
      </c>
      <c r="T4314" t="s">
        <v>12902</v>
      </c>
      <c r="U4314" t="s">
        <v>12902</v>
      </c>
      <c r="V4314" t="s">
        <v>12902</v>
      </c>
      <c r="W4314" t="s">
        <v>17169</v>
      </c>
      <c r="X4314">
        <v>9</v>
      </c>
      <c r="Y4314" t="s">
        <v>23475</v>
      </c>
      <c r="Z4314" t="s">
        <v>29889</v>
      </c>
      <c r="AA4314">
        <v>0.35423737362288482</v>
      </c>
      <c r="AB4314" t="str">
        <f>HYPERLINK("Melting_Curves/meltCurve_Q8IWL3_HSCB.pdf", "Melting_Curves/meltCurve_Q8IWL3_HSCB.pdf")</f>
        <v>Melting_Curves/meltCurve_Q8IWL3_HSCB.pdf</v>
      </c>
    </row>
    <row r="4315" spans="1:28" x14ac:dyDescent="0.25">
      <c r="A4315" t="s">
        <v>4319</v>
      </c>
      <c r="B4315">
        <v>0.99673306730245903</v>
      </c>
      <c r="C4315">
        <v>0.71513148345341304</v>
      </c>
      <c r="D4315">
        <v>0.17864324560780301</v>
      </c>
      <c r="E4315">
        <v>9.8442326611593897E-2</v>
      </c>
      <c r="F4315">
        <v>7.1986721586226599E-2</v>
      </c>
      <c r="G4315">
        <v>4.4897484149942199E-2</v>
      </c>
      <c r="H4315">
        <v>3.3092622068602001E-2</v>
      </c>
      <c r="I4315">
        <v>3.5544362840853799E-2</v>
      </c>
      <c r="J4315">
        <v>3.1658956528153301E-2</v>
      </c>
      <c r="K4315">
        <v>3.4029518098049501E-2</v>
      </c>
      <c r="L4315">
        <v>1694.5588974453699</v>
      </c>
      <c r="M4315">
        <v>38.638663005067698</v>
      </c>
      <c r="N4315">
        <v>43.970541907918197</v>
      </c>
      <c r="O4315">
        <v>43.739581445445303</v>
      </c>
      <c r="P4315">
        <v>-0.210321431728936</v>
      </c>
      <c r="Q4315">
        <v>4.7653462762105699E-2</v>
      </c>
      <c r="R4315">
        <v>0.99683658597196001</v>
      </c>
      <c r="S4315" t="s">
        <v>10767</v>
      </c>
      <c r="T4315" t="s">
        <v>12902</v>
      </c>
      <c r="U4315" t="s">
        <v>12902</v>
      </c>
      <c r="V4315" t="s">
        <v>12902</v>
      </c>
      <c r="W4315" t="s">
        <v>17170</v>
      </c>
      <c r="X4315">
        <v>3</v>
      </c>
      <c r="Y4315" t="s">
        <v>23476</v>
      </c>
      <c r="Z4315" t="s">
        <v>29890</v>
      </c>
      <c r="AA4315">
        <v>0.1738586833561023</v>
      </c>
      <c r="AB4315" t="str">
        <f>HYPERLINK("Melting_Curves/meltCurve_Q8IWR0_ZC3H7A.pdf", "Melting_Curves/meltCurve_Q8IWR0_ZC3H7A.pdf")</f>
        <v>Melting_Curves/meltCurve_Q8IWR0_ZC3H7A.pdf</v>
      </c>
    </row>
    <row r="4316" spans="1:28" x14ac:dyDescent="0.25">
      <c r="A4316" t="s">
        <v>4320</v>
      </c>
      <c r="B4316">
        <v>0.99673306730245903</v>
      </c>
      <c r="C4316">
        <v>0.85237224709755599</v>
      </c>
      <c r="D4316">
        <v>0.75046213293707498</v>
      </c>
      <c r="E4316">
        <v>0.61379697306384895</v>
      </c>
      <c r="F4316">
        <v>0.18931740649343001</v>
      </c>
      <c r="G4316">
        <v>0.10902594562757</v>
      </c>
      <c r="H4316">
        <v>6.0830289458518101E-2</v>
      </c>
      <c r="I4316">
        <v>5.9215556735027999E-2</v>
      </c>
      <c r="J4316">
        <v>6.0612401425392697E-2</v>
      </c>
      <c r="K4316">
        <v>5.4987402669664398E-2</v>
      </c>
      <c r="L4316">
        <v>808.27485911742804</v>
      </c>
      <c r="M4316">
        <v>16.3225826956545</v>
      </c>
      <c r="N4316">
        <v>49.687813530529802</v>
      </c>
      <c r="O4316">
        <v>48.793441121629897</v>
      </c>
      <c r="P4316">
        <v>-8.1378668856734795E-2</v>
      </c>
      <c r="Q4316">
        <v>2.7002670099384101E-2</v>
      </c>
      <c r="R4316">
        <v>0.98051588500850495</v>
      </c>
      <c r="S4316" t="s">
        <v>10768</v>
      </c>
      <c r="T4316" t="s">
        <v>12902</v>
      </c>
      <c r="U4316" t="s">
        <v>12902</v>
      </c>
      <c r="V4316" t="s">
        <v>12902</v>
      </c>
      <c r="W4316" t="s">
        <v>17171</v>
      </c>
      <c r="X4316">
        <v>20</v>
      </c>
      <c r="Y4316" t="s">
        <v>23477</v>
      </c>
      <c r="Z4316" t="s">
        <v>29891</v>
      </c>
      <c r="AA4316">
        <v>0.3558799580310873</v>
      </c>
      <c r="AB4316" t="str">
        <f>HYPERLINK("Melting_Curves/meltCurve_Q8IWS0_PHF6.pdf", "Melting_Curves/meltCurve_Q8IWS0_PHF6.pdf")</f>
        <v>Melting_Curves/meltCurve_Q8IWS0_PHF6.pdf</v>
      </c>
    </row>
    <row r="4317" spans="1:28" x14ac:dyDescent="0.25">
      <c r="A4317" t="s">
        <v>4321</v>
      </c>
      <c r="B4317">
        <v>0.99673306730245903</v>
      </c>
      <c r="C4317">
        <v>0.96365201697618297</v>
      </c>
      <c r="D4317">
        <v>0.84811203082090802</v>
      </c>
      <c r="E4317">
        <v>0.80787515839840895</v>
      </c>
      <c r="F4317">
        <v>0.33492658914163398</v>
      </c>
      <c r="G4317">
        <v>0.18493403423173799</v>
      </c>
      <c r="H4317">
        <v>0.121392166384772</v>
      </c>
      <c r="I4317">
        <v>0.124678279684976</v>
      </c>
      <c r="J4317">
        <v>0.171092888339726</v>
      </c>
      <c r="K4317">
        <v>0.15231835053269099</v>
      </c>
      <c r="L4317">
        <v>1499.63841830305</v>
      </c>
      <c r="M4317">
        <v>29.2573837512798</v>
      </c>
      <c r="N4317">
        <v>51.824880364191898</v>
      </c>
      <c r="O4317">
        <v>51.019080571074298</v>
      </c>
      <c r="P4317">
        <v>-0.123697097905234</v>
      </c>
      <c r="Q4317">
        <v>0.13719329202297101</v>
      </c>
      <c r="R4317">
        <v>0.98418374112519502</v>
      </c>
      <c r="S4317" t="s">
        <v>10769</v>
      </c>
      <c r="T4317" t="s">
        <v>12902</v>
      </c>
      <c r="U4317" t="s">
        <v>12902</v>
      </c>
      <c r="V4317" t="s">
        <v>12902</v>
      </c>
      <c r="W4317" t="s">
        <v>17172</v>
      </c>
      <c r="X4317">
        <v>1</v>
      </c>
      <c r="Y4317" t="s">
        <v>23478</v>
      </c>
      <c r="Z4317" t="s">
        <v>29892</v>
      </c>
      <c r="AA4317">
        <v>0.46666710901912711</v>
      </c>
      <c r="AB4317" t="str">
        <f>HYPERLINK("Melting_Curves/meltCurve_Q8IWU2_LMTK2.pdf", "Melting_Curves/meltCurve_Q8IWU2_LMTK2.pdf")</f>
        <v>Melting_Curves/meltCurve_Q8IWU2_LMTK2.pdf</v>
      </c>
    </row>
    <row r="4318" spans="1:28" x14ac:dyDescent="0.25">
      <c r="A4318" t="s">
        <v>4322</v>
      </c>
      <c r="B4318">
        <v>0.99673306730245903</v>
      </c>
      <c r="C4318">
        <v>0.98029352691044003</v>
      </c>
      <c r="D4318">
        <v>0.72419264617005097</v>
      </c>
      <c r="E4318">
        <v>0.499671872602447</v>
      </c>
      <c r="F4318">
        <v>0.39892958396968697</v>
      </c>
      <c r="G4318">
        <v>0.28200953491325198</v>
      </c>
      <c r="H4318">
        <v>0.217272911581987</v>
      </c>
      <c r="I4318">
        <v>0.18312279756230901</v>
      </c>
      <c r="J4318">
        <v>0.106935178961428</v>
      </c>
      <c r="K4318">
        <v>9.3307084901904702E-2</v>
      </c>
      <c r="L4318">
        <v>646.76692810146403</v>
      </c>
      <c r="M4318">
        <v>13.048694069621</v>
      </c>
      <c r="N4318">
        <v>50.553945037702903</v>
      </c>
      <c r="O4318">
        <v>48.444851404544401</v>
      </c>
      <c r="P4318">
        <v>-5.9767485265970602E-2</v>
      </c>
      <c r="Q4318">
        <v>0.112578320318174</v>
      </c>
      <c r="R4318">
        <v>0.98246484386661004</v>
      </c>
      <c r="S4318" t="s">
        <v>10770</v>
      </c>
      <c r="T4318" t="s">
        <v>12902</v>
      </c>
      <c r="U4318" t="s">
        <v>12902</v>
      </c>
      <c r="V4318" t="s">
        <v>12902</v>
      </c>
      <c r="W4318" t="s">
        <v>17173</v>
      </c>
      <c r="X4318">
        <v>3</v>
      </c>
      <c r="Y4318" t="s">
        <v>23479</v>
      </c>
      <c r="Z4318" t="s">
        <v>29893</v>
      </c>
      <c r="AA4318">
        <v>0.42297272701935029</v>
      </c>
      <c r="AB4318" t="str">
        <f>HYPERLINK("Melting_Curves/meltCurve_Q8IWV7_UBR1.pdf", "Melting_Curves/meltCurve_Q8IWV7_UBR1.pdf")</f>
        <v>Melting_Curves/meltCurve_Q8IWV7_UBR1.pdf</v>
      </c>
    </row>
    <row r="4319" spans="1:28" x14ac:dyDescent="0.25">
      <c r="A4319" t="s">
        <v>4323</v>
      </c>
      <c r="B4319">
        <v>0.99673306730245903</v>
      </c>
      <c r="C4319">
        <v>0.88548018550724095</v>
      </c>
      <c r="D4319">
        <v>0.69160584117189605</v>
      </c>
      <c r="E4319">
        <v>0.27895037724058902</v>
      </c>
      <c r="F4319">
        <v>0.20764175023915199</v>
      </c>
      <c r="G4319">
        <v>0.124907157820315</v>
      </c>
      <c r="H4319">
        <v>7.4068057558699094E-2</v>
      </c>
      <c r="I4319">
        <v>5.5390194016980199E-2</v>
      </c>
      <c r="J4319">
        <v>6.6203747866392895E-2</v>
      </c>
      <c r="K4319">
        <v>5.80524963680496E-2</v>
      </c>
      <c r="L4319">
        <v>973.10772761847602</v>
      </c>
      <c r="M4319">
        <v>20.5759190235765</v>
      </c>
      <c r="N4319">
        <v>47.644154538609897</v>
      </c>
      <c r="O4319">
        <v>46.853604376029402</v>
      </c>
      <c r="P4319">
        <v>-0.10207806736319799</v>
      </c>
      <c r="Q4319">
        <v>7.0255626049697401E-2</v>
      </c>
      <c r="R4319">
        <v>0.99385099004345301</v>
      </c>
      <c r="S4319" t="s">
        <v>10771</v>
      </c>
      <c r="T4319" t="s">
        <v>12902</v>
      </c>
      <c r="U4319" t="s">
        <v>12902</v>
      </c>
      <c r="V4319" t="s">
        <v>12902</v>
      </c>
      <c r="W4319" t="s">
        <v>17174</v>
      </c>
      <c r="X4319">
        <v>12</v>
      </c>
      <c r="Y4319" t="s">
        <v>23480</v>
      </c>
      <c r="Z4319" t="s">
        <v>29894</v>
      </c>
      <c r="AA4319">
        <v>0.30894689951280829</v>
      </c>
      <c r="AB4319" t="str">
        <f>HYPERLINK("Melting_Curves/meltCurve_Q8IWV8_4_UBR2.pdf", "Melting_Curves/meltCurve_Q8IWV8_4_UBR2.pdf")</f>
        <v>Melting_Curves/meltCurve_Q8IWV8_4_UBR2.pdf</v>
      </c>
    </row>
    <row r="4320" spans="1:28" x14ac:dyDescent="0.25">
      <c r="A4320" t="s">
        <v>4324</v>
      </c>
      <c r="B4320">
        <v>0.99673306730245903</v>
      </c>
      <c r="C4320">
        <v>0.91960152397310202</v>
      </c>
      <c r="D4320">
        <v>0.86716698223105104</v>
      </c>
      <c r="E4320">
        <v>0.61565174703870995</v>
      </c>
      <c r="F4320">
        <v>0.28247228088161302</v>
      </c>
      <c r="G4320">
        <v>0.20227681807047301</v>
      </c>
      <c r="H4320">
        <v>0.157305257602741</v>
      </c>
      <c r="I4320">
        <v>0.169590895729894</v>
      </c>
      <c r="J4320">
        <v>0.18453188425047101</v>
      </c>
      <c r="K4320">
        <v>0.12489705871352499</v>
      </c>
      <c r="L4320">
        <v>1078.9273111493101</v>
      </c>
      <c r="M4320">
        <v>21.700042096392298</v>
      </c>
      <c r="N4320">
        <v>50.542766100483497</v>
      </c>
      <c r="O4320">
        <v>49.303591693639</v>
      </c>
      <c r="P4320">
        <v>-9.3663638603890598E-2</v>
      </c>
      <c r="Q4320">
        <v>0.148785993198568</v>
      </c>
      <c r="R4320">
        <v>0.99400428321049605</v>
      </c>
      <c r="S4320" t="s">
        <v>10772</v>
      </c>
      <c r="T4320" t="s">
        <v>12902</v>
      </c>
      <c r="U4320" t="s">
        <v>12902</v>
      </c>
      <c r="V4320" t="s">
        <v>12902</v>
      </c>
      <c r="W4320" t="s">
        <v>17175</v>
      </c>
      <c r="X4320">
        <v>9</v>
      </c>
      <c r="Y4320" t="s">
        <v>23481</v>
      </c>
      <c r="Z4320" t="s">
        <v>29895</v>
      </c>
      <c r="AA4320">
        <v>0.43466998243008548</v>
      </c>
      <c r="AB4320" t="str">
        <f>HYPERLINK("Melting_Curves/meltCurve_Q8IWW6_2_ARHGAP12.pdf", "Melting_Curves/meltCurve_Q8IWW6_2_ARHGAP12.pdf")</f>
        <v>Melting_Curves/meltCurve_Q8IWW6_2_ARHGAP12.pdf</v>
      </c>
    </row>
    <row r="4321" spans="1:28" x14ac:dyDescent="0.25">
      <c r="A4321" t="s">
        <v>4325</v>
      </c>
      <c r="B4321">
        <v>0.99673306730245903</v>
      </c>
      <c r="C4321">
        <v>0.69447411457293595</v>
      </c>
      <c r="D4321">
        <v>0.34671271152955901</v>
      </c>
      <c r="E4321">
        <v>0.25865091681172397</v>
      </c>
      <c r="F4321">
        <v>0.205337171981884</v>
      </c>
      <c r="G4321">
        <v>0.15115201256316699</v>
      </c>
      <c r="H4321">
        <v>0.10245951259455301</v>
      </c>
      <c r="I4321">
        <v>9.9072448206000793E-2</v>
      </c>
      <c r="J4321">
        <v>9.4729268531545799E-2</v>
      </c>
      <c r="K4321">
        <v>7.8375820819492306E-2</v>
      </c>
      <c r="L4321">
        <v>994.45463669700905</v>
      </c>
      <c r="M4321">
        <v>22.46888375871</v>
      </c>
      <c r="N4321">
        <v>44.818400025192801</v>
      </c>
      <c r="O4321">
        <v>43.913094836629</v>
      </c>
      <c r="P4321">
        <v>-0.11228272402415</v>
      </c>
      <c r="Q4321">
        <v>0.12223869394358899</v>
      </c>
      <c r="R4321">
        <v>0.97734711228444604</v>
      </c>
      <c r="S4321" t="s">
        <v>10773</v>
      </c>
      <c r="T4321" t="s">
        <v>12902</v>
      </c>
      <c r="U4321" t="s">
        <v>12902</v>
      </c>
      <c r="V4321" t="s">
        <v>12902</v>
      </c>
      <c r="W4321" t="s">
        <v>17176</v>
      </c>
      <c r="X4321">
        <v>17</v>
      </c>
      <c r="Y4321" t="s">
        <v>23482</v>
      </c>
      <c r="Z4321" t="s">
        <v>29896</v>
      </c>
      <c r="AA4321">
        <v>0.25931354417073349</v>
      </c>
      <c r="AB4321" t="str">
        <f>HYPERLINK("Melting_Curves/meltCurve_Q8IWZ3_6_ANKHD1.pdf", "Melting_Curves/meltCurve_Q8IWZ3_6_ANKHD1.pdf")</f>
        <v>Melting_Curves/meltCurve_Q8IWZ3_6_ANKHD1.pdf</v>
      </c>
    </row>
    <row r="4322" spans="1:28" x14ac:dyDescent="0.25">
      <c r="A4322" t="s">
        <v>4326</v>
      </c>
      <c r="B4322">
        <v>0.99673306730245903</v>
      </c>
      <c r="C4322">
        <v>0.86719828921493702</v>
      </c>
      <c r="D4322">
        <v>0.687695362965562</v>
      </c>
      <c r="E4322">
        <v>0.450977663073238</v>
      </c>
      <c r="F4322">
        <v>0.31080079362081198</v>
      </c>
      <c r="G4322">
        <v>0.19508201863077501</v>
      </c>
      <c r="H4322">
        <v>0.13827217385572799</v>
      </c>
      <c r="I4322">
        <v>0.151355747513473</v>
      </c>
      <c r="J4322">
        <v>0.19960951319992501</v>
      </c>
      <c r="K4322">
        <v>0.197808529275256</v>
      </c>
      <c r="L4322">
        <v>786.80234132957196</v>
      </c>
      <c r="M4322">
        <v>16.5392354921416</v>
      </c>
      <c r="N4322">
        <v>48.721961496379201</v>
      </c>
      <c r="O4322">
        <v>46.892744611904497</v>
      </c>
      <c r="P4322">
        <v>-7.3930798555595506E-2</v>
      </c>
      <c r="Q4322">
        <v>0.161611024626546</v>
      </c>
      <c r="R4322">
        <v>0.99244598705885601</v>
      </c>
      <c r="S4322" t="s">
        <v>10774</v>
      </c>
      <c r="T4322" t="s">
        <v>12902</v>
      </c>
      <c r="U4322" t="s">
        <v>12902</v>
      </c>
      <c r="V4322" t="s">
        <v>12902</v>
      </c>
      <c r="W4322" t="s">
        <v>17177</v>
      </c>
      <c r="X4322">
        <v>11</v>
      </c>
      <c r="Y4322" t="s">
        <v>23483</v>
      </c>
      <c r="Z4322" t="s">
        <v>29897</v>
      </c>
      <c r="AA4322">
        <v>0.39125498394786867</v>
      </c>
      <c r="AB4322" t="str">
        <f>HYPERLINK("Melting_Curves/meltCurve_Q8IWZ8_SUGP1.pdf", "Melting_Curves/meltCurve_Q8IWZ8_SUGP1.pdf")</f>
        <v>Melting_Curves/meltCurve_Q8IWZ8_SUGP1.pdf</v>
      </c>
    </row>
    <row r="4323" spans="1:28" x14ac:dyDescent="0.25">
      <c r="A4323" t="s">
        <v>4327</v>
      </c>
      <c r="B4323">
        <v>0.99673306730245903</v>
      </c>
      <c r="C4323">
        <v>0.80575475580620104</v>
      </c>
      <c r="D4323">
        <v>0.82503223252746105</v>
      </c>
      <c r="E4323">
        <v>0.60151011090309603</v>
      </c>
      <c r="F4323">
        <v>0.182911965754916</v>
      </c>
      <c r="G4323">
        <v>0.13851295535352001</v>
      </c>
      <c r="H4323">
        <v>0.10449461669493</v>
      </c>
      <c r="I4323">
        <v>0.11496738206035199</v>
      </c>
      <c r="J4323">
        <v>0.100616064375015</v>
      </c>
      <c r="K4323">
        <v>9.1724545236064894E-2</v>
      </c>
      <c r="L4323">
        <v>918.93500757293396</v>
      </c>
      <c r="M4323">
        <v>18.613476412515901</v>
      </c>
      <c r="N4323">
        <v>49.8294693154931</v>
      </c>
      <c r="O4323">
        <v>48.8101058858459</v>
      </c>
      <c r="P4323">
        <v>-8.7812327039601401E-2</v>
      </c>
      <c r="Q4323">
        <v>7.8959409244591203E-2</v>
      </c>
      <c r="R4323">
        <v>0.97051221370854501</v>
      </c>
      <c r="S4323" t="s">
        <v>10775</v>
      </c>
      <c r="T4323" t="s">
        <v>12902</v>
      </c>
      <c r="U4323" t="s">
        <v>12902</v>
      </c>
      <c r="V4323" t="s">
        <v>12902</v>
      </c>
      <c r="W4323" t="s">
        <v>17178</v>
      </c>
      <c r="X4323">
        <v>25</v>
      </c>
      <c r="Y4323" t="s">
        <v>23484</v>
      </c>
      <c r="Z4323" t="s">
        <v>29898</v>
      </c>
      <c r="AA4323">
        <v>0.38145043448149157</v>
      </c>
      <c r="AB4323" t="str">
        <f>HYPERLINK("Melting_Curves/meltCurve_Q8IX12_2_CCAR1.pdf", "Melting_Curves/meltCurve_Q8IX12_2_CCAR1.pdf")</f>
        <v>Melting_Curves/meltCurve_Q8IX12_2_CCAR1.pdf</v>
      </c>
    </row>
    <row r="4324" spans="1:28" x14ac:dyDescent="0.25">
      <c r="A4324" t="s">
        <v>4328</v>
      </c>
      <c r="B4324">
        <v>0.99673306730245903</v>
      </c>
      <c r="C4324">
        <v>0.908165357805367</v>
      </c>
      <c r="D4324">
        <v>0.94073727395795603</v>
      </c>
      <c r="E4324">
        <v>0.74901006407214898</v>
      </c>
      <c r="F4324">
        <v>0.48154138151857301</v>
      </c>
      <c r="G4324">
        <v>0.39161364019984501</v>
      </c>
      <c r="H4324">
        <v>0.14496277390099799</v>
      </c>
      <c r="I4324">
        <v>9.7731229683603399E-2</v>
      </c>
      <c r="J4324">
        <v>0.115490267875964</v>
      </c>
      <c r="K4324">
        <v>9.5428901425369805E-2</v>
      </c>
      <c r="L4324">
        <v>745.80219450435698</v>
      </c>
      <c r="M4324">
        <v>14.029091195578999</v>
      </c>
      <c r="N4324">
        <v>53.5448825956082</v>
      </c>
      <c r="O4324">
        <v>52.115919534790798</v>
      </c>
      <c r="P4324">
        <v>-6.4087038003195707E-2</v>
      </c>
      <c r="Q4324">
        <v>4.7830963464005803E-2</v>
      </c>
      <c r="R4324">
        <v>0.98858207307341295</v>
      </c>
      <c r="S4324" t="s">
        <v>10776</v>
      </c>
      <c r="T4324" t="s">
        <v>12902</v>
      </c>
      <c r="U4324" t="s">
        <v>12902</v>
      </c>
      <c r="V4324" t="s">
        <v>12902</v>
      </c>
      <c r="W4324" t="s">
        <v>17179</v>
      </c>
      <c r="X4324">
        <v>9</v>
      </c>
      <c r="Y4324" t="s">
        <v>23485</v>
      </c>
      <c r="Z4324" t="s">
        <v>29899</v>
      </c>
      <c r="AA4324">
        <v>0.48778877128608539</v>
      </c>
      <c r="AB4324" t="str">
        <f>HYPERLINK("Melting_Curves/meltCurve_Q8IX18_3_DHX40.pdf", "Melting_Curves/meltCurve_Q8IX18_3_DHX40.pdf")</f>
        <v>Melting_Curves/meltCurve_Q8IX18_3_DHX40.pdf</v>
      </c>
    </row>
    <row r="4325" spans="1:28" x14ac:dyDescent="0.25">
      <c r="A4325" t="s">
        <v>4329</v>
      </c>
      <c r="B4325">
        <v>0.99673306730245903</v>
      </c>
      <c r="C4325">
        <v>0.66302134785086397</v>
      </c>
      <c r="D4325">
        <v>0.420062365891607</v>
      </c>
      <c r="E4325">
        <v>0.365150768189829</v>
      </c>
      <c r="F4325">
        <v>0.27128909074384</v>
      </c>
      <c r="G4325">
        <v>0.153974028008111</v>
      </c>
      <c r="H4325">
        <v>0.10869522602387099</v>
      </c>
      <c r="I4325">
        <v>0.11915514816816</v>
      </c>
      <c r="J4325">
        <v>0.16404979719156099</v>
      </c>
      <c r="K4325">
        <v>0.16483532544753099</v>
      </c>
      <c r="L4325">
        <v>728.357039293311</v>
      </c>
      <c r="M4325">
        <v>16.2990721051852</v>
      </c>
      <c r="N4325">
        <v>45.680787771204201</v>
      </c>
      <c r="O4325">
        <v>44.030580833012301</v>
      </c>
      <c r="P4325">
        <v>-7.8736146722064304E-2</v>
      </c>
      <c r="Q4325">
        <v>0.149265387198041</v>
      </c>
      <c r="R4325">
        <v>0.95769193484958204</v>
      </c>
      <c r="S4325" t="s">
        <v>10777</v>
      </c>
      <c r="T4325" t="s">
        <v>12902</v>
      </c>
      <c r="U4325" t="s">
        <v>12902</v>
      </c>
      <c r="V4325" t="s">
        <v>12902</v>
      </c>
      <c r="W4325" t="s">
        <v>17180</v>
      </c>
      <c r="X4325">
        <v>1</v>
      </c>
      <c r="Y4325" t="s">
        <v>23486</v>
      </c>
      <c r="Z4325" t="s">
        <v>29900</v>
      </c>
      <c r="AA4325">
        <v>0.3058986633815215</v>
      </c>
      <c r="AB4325" t="str">
        <f>HYPERLINK("Melting_Curves/meltCurve_Q8IX90_SKA3.pdf", "Melting_Curves/meltCurve_Q8IX90_SKA3.pdf")</f>
        <v>Melting_Curves/meltCurve_Q8IX90_SKA3.pdf</v>
      </c>
    </row>
    <row r="4326" spans="1:28" x14ac:dyDescent="0.25">
      <c r="A4326" t="s">
        <v>4330</v>
      </c>
      <c r="B4326">
        <v>0.99673306730245903</v>
      </c>
      <c r="C4326">
        <v>0.94480480125649502</v>
      </c>
      <c r="D4326">
        <v>0.946845436628172</v>
      </c>
      <c r="E4326">
        <v>0.84397115942552803</v>
      </c>
      <c r="F4326">
        <v>0.28825167627359999</v>
      </c>
      <c r="G4326">
        <v>0.17376910552665301</v>
      </c>
      <c r="H4326">
        <v>0.139505151984535</v>
      </c>
      <c r="I4326">
        <v>0.12706282886232101</v>
      </c>
      <c r="J4326">
        <v>0.118690396592182</v>
      </c>
      <c r="K4326">
        <v>0.10420851345924401</v>
      </c>
      <c r="L4326">
        <v>2101.8279226715899</v>
      </c>
      <c r="M4326">
        <v>40.920688695664097</v>
      </c>
      <c r="N4326">
        <v>51.735268443393501</v>
      </c>
      <c r="O4326">
        <v>51.241247181746601</v>
      </c>
      <c r="P4326">
        <v>-0.174211974469027</v>
      </c>
      <c r="Q4326">
        <v>0.12740260372588799</v>
      </c>
      <c r="R4326">
        <v>0.995322401974849</v>
      </c>
      <c r="S4326" t="s">
        <v>10778</v>
      </c>
      <c r="T4326" t="s">
        <v>12902</v>
      </c>
      <c r="U4326" t="s">
        <v>12902</v>
      </c>
      <c r="V4326" t="s">
        <v>12902</v>
      </c>
      <c r="W4326" t="s">
        <v>17181</v>
      </c>
      <c r="X4326">
        <v>28</v>
      </c>
      <c r="Y4326" t="s">
        <v>23487</v>
      </c>
      <c r="Z4326" t="s">
        <v>29901</v>
      </c>
      <c r="AA4326">
        <v>0.46088536327938828</v>
      </c>
      <c r="AB4326" t="str">
        <f>HYPERLINK("Melting_Curves/meltCurve_Q8IXB1_DNAJC10.pdf", "Melting_Curves/meltCurve_Q8IXB1_DNAJC10.pdf")</f>
        <v>Melting_Curves/meltCurve_Q8IXB1_DNAJC10.pdf</v>
      </c>
    </row>
    <row r="4327" spans="1:28" x14ac:dyDescent="0.25">
      <c r="A4327" t="s">
        <v>4331</v>
      </c>
      <c r="B4327">
        <v>0.99673306730245903</v>
      </c>
      <c r="C4327">
        <v>0.94852111027549402</v>
      </c>
      <c r="D4327">
        <v>0.75359922232589005</v>
      </c>
      <c r="E4327">
        <v>0.41384553054839601</v>
      </c>
      <c r="F4327">
        <v>0.134924728284914</v>
      </c>
      <c r="G4327">
        <v>8.3954523007486195E-2</v>
      </c>
      <c r="H4327">
        <v>6.0669839560913402E-2</v>
      </c>
      <c r="I4327">
        <v>5.42614755496581E-2</v>
      </c>
      <c r="J4327">
        <v>5.8718536759840997E-2</v>
      </c>
      <c r="K4327">
        <v>5.2217496971231701E-2</v>
      </c>
      <c r="L4327">
        <v>1073.0648189287799</v>
      </c>
      <c r="M4327">
        <v>22.202711776586899</v>
      </c>
      <c r="N4327">
        <v>48.558448642016302</v>
      </c>
      <c r="O4327">
        <v>47.943401230294903</v>
      </c>
      <c r="P4327">
        <v>-0.110044736372529</v>
      </c>
      <c r="Q4327">
        <v>4.9520414462781902E-2</v>
      </c>
      <c r="R4327">
        <v>0.99906312030661204</v>
      </c>
      <c r="S4327" t="s">
        <v>10779</v>
      </c>
      <c r="T4327" t="s">
        <v>12902</v>
      </c>
      <c r="U4327" t="s">
        <v>12902</v>
      </c>
      <c r="V4327" t="s">
        <v>12902</v>
      </c>
      <c r="W4327" t="s">
        <v>17182</v>
      </c>
      <c r="X4327">
        <v>7</v>
      </c>
      <c r="Y4327" t="s">
        <v>23488</v>
      </c>
      <c r="Z4327" t="s">
        <v>29902</v>
      </c>
      <c r="AA4327">
        <v>0.32422982715334903</v>
      </c>
      <c r="AB4327" t="str">
        <f>HYPERLINK("Melting_Curves/meltCurve_Q8IXI1_RHOT2.pdf", "Melting_Curves/meltCurve_Q8IXI1_RHOT2.pdf")</f>
        <v>Melting_Curves/meltCurve_Q8IXI1_RHOT2.pdf</v>
      </c>
    </row>
    <row r="4328" spans="1:28" x14ac:dyDescent="0.25">
      <c r="A4328" t="s">
        <v>4332</v>
      </c>
      <c r="B4328">
        <v>0.99673306730245903</v>
      </c>
      <c r="C4328">
        <v>0.95237808037253302</v>
      </c>
      <c r="D4328">
        <v>0.920442127855852</v>
      </c>
      <c r="E4328">
        <v>0.82794331971929502</v>
      </c>
      <c r="F4328">
        <v>0.50689966699373101</v>
      </c>
      <c r="G4328">
        <v>0.31794052159636899</v>
      </c>
      <c r="H4328">
        <v>0.202366110435163</v>
      </c>
      <c r="I4328">
        <v>0.17299756722177101</v>
      </c>
      <c r="J4328">
        <v>0.14925623336864</v>
      </c>
      <c r="K4328">
        <v>0.129491957523792</v>
      </c>
      <c r="L4328">
        <v>975.23679732918401</v>
      </c>
      <c r="M4328">
        <v>18.499460000830702</v>
      </c>
      <c r="N4328">
        <v>53.601098734123198</v>
      </c>
      <c r="O4328">
        <v>52.112621946381701</v>
      </c>
      <c r="P4328">
        <v>-7.70823910220471E-2</v>
      </c>
      <c r="Q4328">
        <v>0.13148003505369099</v>
      </c>
      <c r="R4328">
        <v>0.99687374392735995</v>
      </c>
      <c r="S4328" t="s">
        <v>10780</v>
      </c>
      <c r="T4328" t="s">
        <v>12902</v>
      </c>
      <c r="U4328" t="s">
        <v>12902</v>
      </c>
      <c r="V4328" t="s">
        <v>12902</v>
      </c>
      <c r="W4328" t="s">
        <v>17183</v>
      </c>
      <c r="X4328">
        <v>4</v>
      </c>
      <c r="Y4328" t="s">
        <v>23489</v>
      </c>
      <c r="Z4328" t="s">
        <v>29903</v>
      </c>
      <c r="AA4328">
        <v>0.51331172511853373</v>
      </c>
      <c r="AB4328" t="str">
        <f>HYPERLINK("Melting_Curves/meltCurve_Q8IXI2_4_RHOT1.pdf", "Melting_Curves/meltCurve_Q8IXI2_4_RHOT1.pdf")</f>
        <v>Melting_Curves/meltCurve_Q8IXI2_4_RHOT1.pdf</v>
      </c>
    </row>
    <row r="4329" spans="1:28" x14ac:dyDescent="0.25">
      <c r="A4329" t="s">
        <v>4333</v>
      </c>
      <c r="B4329">
        <v>0.99673306730245903</v>
      </c>
      <c r="C4329">
        <v>1.1721218513591301</v>
      </c>
      <c r="D4329">
        <v>0.86062082217444202</v>
      </c>
      <c r="E4329">
        <v>1.14678106546958</v>
      </c>
      <c r="F4329">
        <v>0.93634121312038299</v>
      </c>
      <c r="G4329">
        <v>0.80265263946593701</v>
      </c>
      <c r="H4329">
        <v>0.20948616111353499</v>
      </c>
      <c r="I4329">
        <v>7.5415702257493403E-2</v>
      </c>
      <c r="J4329">
        <v>3.6355569529944898E-2</v>
      </c>
      <c r="K4329">
        <v>2.3203402531333302E-2</v>
      </c>
      <c r="L4329">
        <v>2360.88896647703</v>
      </c>
      <c r="M4329">
        <v>40.256797781845599</v>
      </c>
      <c r="N4329">
        <v>58.735387382043598</v>
      </c>
      <c r="O4329">
        <v>58.501565156710797</v>
      </c>
      <c r="P4329">
        <v>-0.16690637749908099</v>
      </c>
      <c r="Q4329">
        <v>2.98021622670116E-2</v>
      </c>
      <c r="R4329">
        <v>0.96461498807366497</v>
      </c>
      <c r="S4329" t="s">
        <v>10781</v>
      </c>
      <c r="T4329" t="s">
        <v>12902</v>
      </c>
      <c r="U4329" t="s">
        <v>12902</v>
      </c>
      <c r="V4329" t="s">
        <v>12902</v>
      </c>
      <c r="W4329" t="s">
        <v>17184</v>
      </c>
      <c r="X4329">
        <v>2</v>
      </c>
      <c r="Y4329" t="s">
        <v>23490</v>
      </c>
      <c r="Z4329" t="s">
        <v>29904</v>
      </c>
      <c r="AA4329">
        <v>0.63658280436908243</v>
      </c>
      <c r="AB4329" t="str">
        <f>HYPERLINK("Melting_Curves/meltCurve_Q8IXN7_RIMKLA.pdf", "Melting_Curves/meltCurve_Q8IXN7_RIMKLA.pdf")</f>
        <v>Melting_Curves/meltCurve_Q8IXN7_RIMKLA.pdf</v>
      </c>
    </row>
    <row r="4330" spans="1:28" x14ac:dyDescent="0.25">
      <c r="A4330" t="s">
        <v>4334</v>
      </c>
      <c r="B4330">
        <v>0.99673306730245903</v>
      </c>
      <c r="C4330">
        <v>0.98756290019302795</v>
      </c>
      <c r="D4330">
        <v>1.0384323690801101</v>
      </c>
      <c r="E4330">
        <v>1.0060609389185899</v>
      </c>
      <c r="F4330">
        <v>0.95164744509704502</v>
      </c>
      <c r="G4330">
        <v>0.84679894024744495</v>
      </c>
      <c r="H4330">
        <v>0.73762772356664696</v>
      </c>
      <c r="I4330">
        <v>1.1496929791408399</v>
      </c>
      <c r="J4330">
        <v>1.6742176551058501</v>
      </c>
      <c r="K4330">
        <v>1.5710209409762901</v>
      </c>
      <c r="L4330">
        <v>15000</v>
      </c>
      <c r="M4330">
        <v>233.52512145968899</v>
      </c>
      <c r="O4330">
        <v>64.228200235962802</v>
      </c>
      <c r="P4330">
        <v>0.45448318538385202</v>
      </c>
      <c r="Q4330">
        <v>1.5</v>
      </c>
      <c r="R4330">
        <v>0.83681454925047805</v>
      </c>
      <c r="S4330" t="s">
        <v>10782</v>
      </c>
      <c r="T4330" t="s">
        <v>12902</v>
      </c>
      <c r="U4330" t="s">
        <v>12902</v>
      </c>
      <c r="V4330" t="s">
        <v>12902</v>
      </c>
      <c r="W4330" t="s">
        <v>17185</v>
      </c>
      <c r="X4330">
        <v>21</v>
      </c>
      <c r="Y4330" t="s">
        <v>23491</v>
      </c>
      <c r="Z4330" t="s">
        <v>29905</v>
      </c>
      <c r="AA4330">
        <v>1.096053432469861</v>
      </c>
      <c r="AB4330" t="str">
        <f>HYPERLINK("Melting_Curves/meltCurve_Q8IXQ4_KIAA1704.pdf", "Melting_Curves/meltCurve_Q8IXQ4_KIAA1704.pdf")</f>
        <v>Melting_Curves/meltCurve_Q8IXQ4_KIAA1704.pdf</v>
      </c>
    </row>
    <row r="4331" spans="1:28" x14ac:dyDescent="0.25">
      <c r="A4331" t="s">
        <v>4335</v>
      </c>
      <c r="B4331">
        <v>0.99673306730245903</v>
      </c>
      <c r="C4331">
        <v>0.83992772129887805</v>
      </c>
      <c r="D4331">
        <v>0.85729863970340203</v>
      </c>
      <c r="E4331">
        <v>0.41889529796970698</v>
      </c>
      <c r="F4331">
        <v>0.236086822679997</v>
      </c>
      <c r="G4331">
        <v>0.15084626590500899</v>
      </c>
      <c r="H4331">
        <v>0.113452468892043</v>
      </c>
      <c r="I4331">
        <v>0.12841116534615499</v>
      </c>
      <c r="J4331">
        <v>0.118744719515103</v>
      </c>
      <c r="K4331">
        <v>0.119653332402713</v>
      </c>
      <c r="L4331">
        <v>1053.5270411281999</v>
      </c>
      <c r="M4331">
        <v>21.736449951901999</v>
      </c>
      <c r="N4331">
        <v>49.059481346786797</v>
      </c>
      <c r="O4331">
        <v>48.063588510558802</v>
      </c>
      <c r="P4331">
        <v>-0.100035088475447</v>
      </c>
      <c r="Q4331">
        <v>0.115231412244957</v>
      </c>
      <c r="R4331">
        <v>0.98445376800971895</v>
      </c>
      <c r="S4331" t="s">
        <v>10783</v>
      </c>
      <c r="T4331" t="s">
        <v>12902</v>
      </c>
      <c r="U4331" t="s">
        <v>12902</v>
      </c>
      <c r="V4331" t="s">
        <v>12902</v>
      </c>
      <c r="W4331" t="s">
        <v>17186</v>
      </c>
      <c r="X4331">
        <v>2</v>
      </c>
      <c r="Y4331" t="s">
        <v>23492</v>
      </c>
      <c r="Z4331" t="s">
        <v>29906</v>
      </c>
      <c r="AA4331">
        <v>0.37546137064970903</v>
      </c>
      <c r="AB4331" t="str">
        <f>HYPERLINK("Melting_Curves/meltCurve_Q8IXW5_2_RPAP2.pdf", "Melting_Curves/meltCurve_Q8IXW5_2_RPAP2.pdf")</f>
        <v>Melting_Curves/meltCurve_Q8IXW5_2_RPAP2.pdf</v>
      </c>
    </row>
    <row r="4332" spans="1:28" x14ac:dyDescent="0.25">
      <c r="A4332" t="s">
        <v>4336</v>
      </c>
      <c r="B4332">
        <v>0.99673306730245903</v>
      </c>
      <c r="C4332">
        <v>0.90807529236760798</v>
      </c>
      <c r="D4332">
        <v>0.84767481954970803</v>
      </c>
      <c r="E4332">
        <v>0.68727316104897995</v>
      </c>
      <c r="F4332">
        <v>0.43168865024615</v>
      </c>
      <c r="G4332">
        <v>0.29580796772593199</v>
      </c>
      <c r="H4332">
        <v>0.111258260503472</v>
      </c>
      <c r="I4332">
        <v>0.10761250291319099</v>
      </c>
      <c r="J4332">
        <v>7.5086655536874006E-2</v>
      </c>
      <c r="K4332">
        <v>7.22582413030841E-2</v>
      </c>
      <c r="L4332">
        <v>679.16656884291001</v>
      </c>
      <c r="M4332">
        <v>13.0391615203295</v>
      </c>
      <c r="N4332">
        <v>52.278367712315003</v>
      </c>
      <c r="O4332">
        <v>50.9072281154276</v>
      </c>
      <c r="P4332">
        <v>-6.2550096030935906E-2</v>
      </c>
      <c r="Q4332">
        <v>2.3343303889009299E-2</v>
      </c>
      <c r="R4332">
        <v>0.99612535585037998</v>
      </c>
      <c r="S4332" t="s">
        <v>10784</v>
      </c>
      <c r="T4332" t="s">
        <v>12902</v>
      </c>
      <c r="U4332" t="s">
        <v>12902</v>
      </c>
      <c r="V4332" t="s">
        <v>12902</v>
      </c>
      <c r="W4332" t="s">
        <v>17187</v>
      </c>
      <c r="X4332">
        <v>7</v>
      </c>
      <c r="Y4332" t="s">
        <v>23493</v>
      </c>
      <c r="Z4332" t="s">
        <v>29907</v>
      </c>
      <c r="AA4332">
        <v>0.44346436991885041</v>
      </c>
      <c r="AB4332" t="str">
        <f>HYPERLINK("Melting_Curves/meltCurve_Q8IY17_5_PNPLA6.pdf", "Melting_Curves/meltCurve_Q8IY17_5_PNPLA6.pdf")</f>
        <v>Melting_Curves/meltCurve_Q8IY17_5_PNPLA6.pdf</v>
      </c>
    </row>
    <row r="4333" spans="1:28" x14ac:dyDescent="0.25">
      <c r="A4333" t="s">
        <v>4337</v>
      </c>
      <c r="B4333">
        <v>0.99673306730245903</v>
      </c>
      <c r="C4333">
        <v>0.94036990824993905</v>
      </c>
      <c r="D4333">
        <v>0.96692923606212799</v>
      </c>
      <c r="E4333">
        <v>0.88043977878514501</v>
      </c>
      <c r="F4333">
        <v>0.40935206654072098</v>
      </c>
      <c r="G4333">
        <v>0.21488012315584401</v>
      </c>
      <c r="H4333">
        <v>0.108102253141777</v>
      </c>
      <c r="I4333">
        <v>5.6479174347741197E-2</v>
      </c>
      <c r="J4333">
        <v>0.11668594345764199</v>
      </c>
      <c r="K4333">
        <v>0.10010643974686</v>
      </c>
      <c r="L4333">
        <v>1593.8927374848299</v>
      </c>
      <c r="M4333">
        <v>30.4760459592217</v>
      </c>
      <c r="N4333">
        <v>52.675926085651803</v>
      </c>
      <c r="O4333">
        <v>52.076218288014097</v>
      </c>
      <c r="P4333">
        <v>-0.13200134681033901</v>
      </c>
      <c r="Q4333">
        <v>9.7771558336966893E-2</v>
      </c>
      <c r="R4333">
        <v>0.99400820665173695</v>
      </c>
      <c r="S4333" t="s">
        <v>10785</v>
      </c>
      <c r="T4333" t="s">
        <v>12902</v>
      </c>
      <c r="U4333" t="s">
        <v>12902</v>
      </c>
      <c r="V4333" t="s">
        <v>12902</v>
      </c>
      <c r="W4333" t="s">
        <v>17188</v>
      </c>
      <c r="X4333">
        <v>5</v>
      </c>
      <c r="Y4333" t="s">
        <v>23494</v>
      </c>
      <c r="Z4333" t="s">
        <v>29908</v>
      </c>
      <c r="AA4333">
        <v>0.4732945796981724</v>
      </c>
      <c r="AB4333" t="str">
        <f>HYPERLINK("Melting_Curves/meltCurve_Q8IY18_SMC5.pdf", "Melting_Curves/meltCurve_Q8IY18_SMC5.pdf")</f>
        <v>Melting_Curves/meltCurve_Q8IY18_SMC5.pdf</v>
      </c>
    </row>
    <row r="4334" spans="1:28" x14ac:dyDescent="0.25">
      <c r="A4334" t="s">
        <v>4338</v>
      </c>
      <c r="B4334">
        <v>0.99673306730245903</v>
      </c>
      <c r="C4334">
        <v>0.744418318913873</v>
      </c>
      <c r="D4334">
        <v>0.28898814602093198</v>
      </c>
      <c r="E4334">
        <v>0.17644374119262901</v>
      </c>
      <c r="F4334">
        <v>0.11492234998563899</v>
      </c>
      <c r="G4334">
        <v>7.3794665863514894E-2</v>
      </c>
      <c r="H4334">
        <v>4.1663892716327998E-2</v>
      </c>
      <c r="I4334">
        <v>3.2692369132441099E-2</v>
      </c>
      <c r="J4334">
        <v>3.4348135650678402E-2</v>
      </c>
      <c r="K4334">
        <v>2.9750174104105999E-2</v>
      </c>
      <c r="L4334">
        <v>1227.65582123441</v>
      </c>
      <c r="M4334">
        <v>27.6488862999711</v>
      </c>
      <c r="N4334">
        <v>44.606890606295401</v>
      </c>
      <c r="O4334">
        <v>44.171289125903897</v>
      </c>
      <c r="P4334">
        <v>-0.14714181876992599</v>
      </c>
      <c r="Q4334">
        <v>5.9725032569699001E-2</v>
      </c>
      <c r="R4334">
        <v>0.98854812909035505</v>
      </c>
      <c r="S4334" t="s">
        <v>10786</v>
      </c>
      <c r="T4334" t="s">
        <v>12902</v>
      </c>
      <c r="U4334" t="s">
        <v>12902</v>
      </c>
      <c r="V4334" t="s">
        <v>12902</v>
      </c>
      <c r="W4334" t="s">
        <v>17189</v>
      </c>
      <c r="X4334">
        <v>10</v>
      </c>
      <c r="Y4334" t="s">
        <v>23495</v>
      </c>
      <c r="Z4334" t="s">
        <v>29909</v>
      </c>
      <c r="AA4334">
        <v>0.20556905655700819</v>
      </c>
      <c r="AB4334" t="str">
        <f>HYPERLINK("Melting_Curves/meltCurve_Q8IY22_CMIP.pdf", "Melting_Curves/meltCurve_Q8IY22_CMIP.pdf")</f>
        <v>Melting_Curves/meltCurve_Q8IY22_CMIP.pdf</v>
      </c>
    </row>
    <row r="4335" spans="1:28" x14ac:dyDescent="0.25">
      <c r="A4335" t="s">
        <v>4339</v>
      </c>
      <c r="B4335">
        <v>0.99673306730245903</v>
      </c>
      <c r="C4335">
        <v>0.8687669077097</v>
      </c>
      <c r="D4335">
        <v>0.88636065169699796</v>
      </c>
      <c r="E4335">
        <v>0.80946860249820396</v>
      </c>
      <c r="F4335">
        <v>1.02639092705257</v>
      </c>
      <c r="G4335">
        <v>0.85790190604860606</v>
      </c>
      <c r="H4335">
        <v>0.77502258677548597</v>
      </c>
      <c r="I4335">
        <v>0.49157062498744097</v>
      </c>
      <c r="J4335">
        <v>0.27773100380383797</v>
      </c>
      <c r="K4335">
        <v>0.24800104637463399</v>
      </c>
      <c r="L4335">
        <v>1263.9177160084801</v>
      </c>
      <c r="M4335">
        <v>19.987740281523799</v>
      </c>
      <c r="N4335">
        <v>63.991891648028997</v>
      </c>
      <c r="O4335">
        <v>62.611912770893703</v>
      </c>
      <c r="P4335">
        <v>-7.1405314862112601E-2</v>
      </c>
      <c r="Q4335">
        <v>0.105316384725555</v>
      </c>
      <c r="R4335">
        <v>0.894650572502113</v>
      </c>
      <c r="S4335" t="s">
        <v>10787</v>
      </c>
      <c r="T4335" t="s">
        <v>12902</v>
      </c>
      <c r="U4335" t="s">
        <v>12902</v>
      </c>
      <c r="V4335" t="s">
        <v>12902</v>
      </c>
      <c r="W4335" t="s">
        <v>17190</v>
      </c>
      <c r="X4335">
        <v>1</v>
      </c>
      <c r="Y4335" t="s">
        <v>23496</v>
      </c>
      <c r="Z4335" t="s">
        <v>29910</v>
      </c>
      <c r="AA4335">
        <v>0.79651802186053122</v>
      </c>
      <c r="AB4335" t="str">
        <f>HYPERLINK("Melting_Curves/meltCurve_Q8IY26_PPAPDC2.pdf", "Melting_Curves/meltCurve_Q8IY26_PPAPDC2.pdf")</f>
        <v>Melting_Curves/meltCurve_Q8IY26_PPAPDC2.pdf</v>
      </c>
    </row>
    <row r="4336" spans="1:28" x14ac:dyDescent="0.25">
      <c r="A4336" t="s">
        <v>4340</v>
      </c>
      <c r="B4336">
        <v>0.99673306730245903</v>
      </c>
      <c r="C4336">
        <v>0.92231404054600996</v>
      </c>
      <c r="D4336">
        <v>0.61745784950791105</v>
      </c>
      <c r="E4336">
        <v>0.27722575382060699</v>
      </c>
      <c r="F4336">
        <v>0.169973853013411</v>
      </c>
      <c r="G4336">
        <v>0.113794990266939</v>
      </c>
      <c r="H4336">
        <v>6.4212183815326895E-2</v>
      </c>
      <c r="I4336">
        <v>6.0033181017634399E-2</v>
      </c>
      <c r="J4336">
        <v>5.8288895934614497E-2</v>
      </c>
      <c r="K4336">
        <v>5.1972388474024397E-2</v>
      </c>
      <c r="L4336">
        <v>1026.5752855534299</v>
      </c>
      <c r="M4336">
        <v>21.875354254905801</v>
      </c>
      <c r="N4336">
        <v>47.243418860114197</v>
      </c>
      <c r="O4336">
        <v>46.541504089372602</v>
      </c>
      <c r="P4336">
        <v>-0.10953278151714101</v>
      </c>
      <c r="Q4336">
        <v>6.7863502184397698E-2</v>
      </c>
      <c r="R4336">
        <v>0.99671897176899005</v>
      </c>
      <c r="S4336" t="s">
        <v>10788</v>
      </c>
      <c r="T4336" t="s">
        <v>12902</v>
      </c>
      <c r="U4336" t="s">
        <v>12902</v>
      </c>
      <c r="V4336" t="s">
        <v>12902</v>
      </c>
      <c r="W4336" t="s">
        <v>17191</v>
      </c>
      <c r="X4336">
        <v>2</v>
      </c>
      <c r="Y4336" t="s">
        <v>23497</v>
      </c>
      <c r="Z4336" t="s">
        <v>29911</v>
      </c>
      <c r="AA4336">
        <v>0.29435078200788278</v>
      </c>
      <c r="AB4336" t="str">
        <f>HYPERLINK("Melting_Curves/meltCurve_Q8IY37_DHX37.pdf", "Melting_Curves/meltCurve_Q8IY37_DHX37.pdf")</f>
        <v>Melting_Curves/meltCurve_Q8IY37_DHX37.pdf</v>
      </c>
    </row>
    <row r="4337" spans="1:28" x14ac:dyDescent="0.25">
      <c r="A4337" t="s">
        <v>4341</v>
      </c>
      <c r="B4337">
        <v>0.99673306730245903</v>
      </c>
      <c r="C4337">
        <v>0.96881562047237302</v>
      </c>
      <c r="D4337">
        <v>0.96302192725144198</v>
      </c>
      <c r="E4337">
        <v>1.0812052389493201</v>
      </c>
      <c r="F4337">
        <v>0.82960042331935802</v>
      </c>
      <c r="G4337">
        <v>0.49423777249654299</v>
      </c>
      <c r="H4337">
        <v>0.14543332111125601</v>
      </c>
      <c r="I4337">
        <v>6.5415256700053104E-2</v>
      </c>
      <c r="J4337">
        <v>5.5259640649462302E-2</v>
      </c>
      <c r="K4337">
        <v>5.6222494362332003E-2</v>
      </c>
      <c r="L4337">
        <v>1651.4483239224301</v>
      </c>
      <c r="M4337">
        <v>29.248912560073499</v>
      </c>
      <c r="N4337">
        <v>56.644128343519803</v>
      </c>
      <c r="O4337">
        <v>56.199914793999199</v>
      </c>
      <c r="P4337">
        <v>-0.12426870086410099</v>
      </c>
      <c r="Q4337">
        <v>4.4909440272769302E-2</v>
      </c>
      <c r="R4337">
        <v>0.99258704628861005</v>
      </c>
      <c r="S4337" t="s">
        <v>10789</v>
      </c>
      <c r="T4337" t="s">
        <v>12902</v>
      </c>
      <c r="U4337" t="s">
        <v>12902</v>
      </c>
      <c r="V4337" t="s">
        <v>12902</v>
      </c>
      <c r="W4337" t="s">
        <v>17192</v>
      </c>
      <c r="X4337">
        <v>2</v>
      </c>
      <c r="Y4337" t="s">
        <v>23498</v>
      </c>
      <c r="Z4337" t="s">
        <v>29912</v>
      </c>
      <c r="AA4337">
        <v>0.57566236178422658</v>
      </c>
      <c r="AB4337" t="str">
        <f>HYPERLINK("Melting_Curves/meltCurve_Q8IY47_KBTBD2.pdf", "Melting_Curves/meltCurve_Q8IY47_KBTBD2.pdf")</f>
        <v>Melting_Curves/meltCurve_Q8IY47_KBTBD2.pdf</v>
      </c>
    </row>
    <row r="4338" spans="1:28" x14ac:dyDescent="0.25">
      <c r="A4338" t="s">
        <v>4342</v>
      </c>
      <c r="B4338">
        <v>0.99673306730245903</v>
      </c>
      <c r="C4338">
        <v>0.25428375730901298</v>
      </c>
      <c r="D4338">
        <v>1.1971712000924599</v>
      </c>
      <c r="E4338">
        <v>0.60706442217666101</v>
      </c>
      <c r="F4338">
        <v>0.25002088361498698</v>
      </c>
      <c r="G4338">
        <v>0.178027654616978</v>
      </c>
      <c r="H4338">
        <v>0.13682701726800101</v>
      </c>
      <c r="I4338">
        <v>9.45251513747703E-2</v>
      </c>
      <c r="J4338">
        <v>0.11170905774569</v>
      </c>
      <c r="K4338">
        <v>0.14042397845107901</v>
      </c>
      <c r="L4338">
        <v>477.99105282244898</v>
      </c>
      <c r="M4338">
        <v>9.48897629147719</v>
      </c>
      <c r="N4338">
        <v>50.373308438423599</v>
      </c>
      <c r="O4338">
        <v>48.288232200644202</v>
      </c>
      <c r="P4338">
        <v>-4.9155940714312903E-2</v>
      </c>
      <c r="Q4338">
        <v>0</v>
      </c>
      <c r="R4338">
        <v>0.57075486110709595</v>
      </c>
      <c r="S4338" t="s">
        <v>10790</v>
      </c>
      <c r="T4338" t="s">
        <v>12902</v>
      </c>
      <c r="U4338" t="s">
        <v>12902</v>
      </c>
      <c r="V4338" t="s">
        <v>12902</v>
      </c>
      <c r="W4338" t="s">
        <v>17193</v>
      </c>
      <c r="X4338">
        <v>2</v>
      </c>
      <c r="Y4338" t="s">
        <v>23499</v>
      </c>
      <c r="Z4338" t="s">
        <v>29913</v>
      </c>
      <c r="AA4338">
        <v>0.39269764473659929</v>
      </c>
      <c r="AB4338" t="str">
        <f>HYPERLINK("Melting_Curves/meltCurve_Q8IY50_2_SLC35F3.pdf", "Melting_Curves/meltCurve_Q8IY50_2_SLC35F3.pdf")</f>
        <v>Melting_Curves/meltCurve_Q8IY50_2_SLC35F3.pdf</v>
      </c>
    </row>
    <row r="4339" spans="1:28" x14ac:dyDescent="0.25">
      <c r="A4339" t="s">
        <v>4343</v>
      </c>
      <c r="B4339">
        <v>0.99673306730245903</v>
      </c>
      <c r="C4339">
        <v>0.93684247397749398</v>
      </c>
      <c r="D4339">
        <v>0.708326213318478</v>
      </c>
      <c r="E4339">
        <v>0.50608487332829599</v>
      </c>
      <c r="F4339">
        <v>0.20105681433318301</v>
      </c>
      <c r="G4339">
        <v>0.12800397885966</v>
      </c>
      <c r="H4339">
        <v>7.8838911239126494E-2</v>
      </c>
      <c r="I4339">
        <v>9.9803331841083198E-2</v>
      </c>
      <c r="J4339">
        <v>0.121360709146711</v>
      </c>
      <c r="K4339">
        <v>0.108852948092973</v>
      </c>
      <c r="L4339">
        <v>897.51925324412298</v>
      </c>
      <c r="M4339">
        <v>18.5165985462511</v>
      </c>
      <c r="N4339">
        <v>48.979790943625801</v>
      </c>
      <c r="O4339">
        <v>47.916336185065603</v>
      </c>
      <c r="P4339">
        <v>-8.81616139191395E-2</v>
      </c>
      <c r="Q4339">
        <v>8.7479248631168294E-2</v>
      </c>
      <c r="R4339">
        <v>0.99251961933673605</v>
      </c>
      <c r="S4339" t="s">
        <v>10791</v>
      </c>
      <c r="T4339" t="s">
        <v>12902</v>
      </c>
      <c r="U4339" t="s">
        <v>12902</v>
      </c>
      <c r="V4339" t="s">
        <v>12902</v>
      </c>
      <c r="W4339" t="s">
        <v>17194</v>
      </c>
      <c r="X4339">
        <v>1</v>
      </c>
      <c r="Y4339" t="s">
        <v>23500</v>
      </c>
      <c r="Z4339" t="s">
        <v>29914</v>
      </c>
      <c r="AA4339">
        <v>0.36023087579568353</v>
      </c>
      <c r="AB4339" t="str">
        <f>HYPERLINK("Melting_Curves/meltCurve_Q8IY81_FTSJ3.pdf", "Melting_Curves/meltCurve_Q8IY81_FTSJ3.pdf")</f>
        <v>Melting_Curves/meltCurve_Q8IY81_FTSJ3.pdf</v>
      </c>
    </row>
    <row r="4340" spans="1:28" x14ac:dyDescent="0.25">
      <c r="A4340" t="s">
        <v>4344</v>
      </c>
      <c r="B4340">
        <v>0.99673306730245903</v>
      </c>
      <c r="C4340">
        <v>0.98480125200772595</v>
      </c>
      <c r="D4340">
        <v>0.91799994143452701</v>
      </c>
      <c r="E4340">
        <v>0.72283063893451804</v>
      </c>
      <c r="F4340">
        <v>0.53918772388977998</v>
      </c>
      <c r="G4340">
        <v>0.430616277366558</v>
      </c>
      <c r="H4340">
        <v>0.30534506856097399</v>
      </c>
      <c r="I4340">
        <v>0.27610288318892801</v>
      </c>
      <c r="J4340">
        <v>0.20288696242873</v>
      </c>
      <c r="K4340">
        <v>0.17836034363191</v>
      </c>
      <c r="L4340">
        <v>673.31100551717805</v>
      </c>
      <c r="M4340">
        <v>12.7456418455067</v>
      </c>
      <c r="N4340">
        <v>54.543233256889899</v>
      </c>
      <c r="O4340">
        <v>51.576985048292798</v>
      </c>
      <c r="P4340">
        <v>-5.1582939753257402E-2</v>
      </c>
      <c r="Q4340">
        <v>0.165209296461657</v>
      </c>
      <c r="R4340">
        <v>0.99494696295421003</v>
      </c>
      <c r="S4340" t="s">
        <v>10792</v>
      </c>
      <c r="T4340" t="s">
        <v>12902</v>
      </c>
      <c r="U4340" t="s">
        <v>12902</v>
      </c>
      <c r="V4340" t="s">
        <v>12902</v>
      </c>
      <c r="W4340" t="s">
        <v>17195</v>
      </c>
      <c r="X4340">
        <v>4</v>
      </c>
      <c r="Y4340" t="s">
        <v>23501</v>
      </c>
      <c r="Z4340" t="s">
        <v>29915</v>
      </c>
      <c r="AA4340">
        <v>0.5445591423512407</v>
      </c>
      <c r="AB4340" t="str">
        <f>HYPERLINK("Melting_Curves/meltCurve_Q8IY95_2_TMEM192.pdf", "Melting_Curves/meltCurve_Q8IY95_2_TMEM192.pdf")</f>
        <v>Melting_Curves/meltCurve_Q8IY95_2_TMEM192.pdf</v>
      </c>
    </row>
    <row r="4341" spans="1:28" x14ac:dyDescent="0.25">
      <c r="A4341" t="s">
        <v>4345</v>
      </c>
      <c r="B4341">
        <v>0.99673306730245903</v>
      </c>
      <c r="C4341">
        <v>0.97181134710961303</v>
      </c>
      <c r="D4341">
        <v>0.84776801166331395</v>
      </c>
      <c r="E4341">
        <v>0.73241641171470395</v>
      </c>
      <c r="F4341">
        <v>0.71657534283920699</v>
      </c>
      <c r="G4341">
        <v>0.554601837430716</v>
      </c>
      <c r="H4341">
        <v>0.380263213957309</v>
      </c>
      <c r="I4341">
        <v>0.41129277825421101</v>
      </c>
      <c r="J4341">
        <v>0.236332751849439</v>
      </c>
      <c r="K4341">
        <v>0.209221079537908</v>
      </c>
      <c r="L4341">
        <v>435.02607315162697</v>
      </c>
      <c r="M4341">
        <v>7.4697287285731901</v>
      </c>
      <c r="N4341">
        <v>58.238542686104999</v>
      </c>
      <c r="O4341">
        <v>54.502440557564398</v>
      </c>
      <c r="P4341">
        <v>-3.43132835143342E-2</v>
      </c>
      <c r="Q4341">
        <v>0</v>
      </c>
      <c r="R4341">
        <v>0.97785328344265299</v>
      </c>
      <c r="S4341" t="s">
        <v>10793</v>
      </c>
      <c r="T4341" t="s">
        <v>12902</v>
      </c>
      <c r="U4341" t="s">
        <v>12902</v>
      </c>
      <c r="V4341" t="s">
        <v>12902</v>
      </c>
      <c r="W4341" t="s">
        <v>17196</v>
      </c>
      <c r="X4341">
        <v>1</v>
      </c>
      <c r="Y4341" t="s">
        <v>23502</v>
      </c>
      <c r="Z4341" t="s">
        <v>29916</v>
      </c>
      <c r="AA4341">
        <v>0.60671785149870727</v>
      </c>
      <c r="AB4341" t="str">
        <f>HYPERLINK("Melting_Curves/meltCurve_Q8IYB1_MB21D2.pdf", "Melting_Curves/meltCurve_Q8IYB1_MB21D2.pdf")</f>
        <v>Melting_Curves/meltCurve_Q8IYB1_MB21D2.pdf</v>
      </c>
    </row>
    <row r="4342" spans="1:28" x14ac:dyDescent="0.25">
      <c r="A4342" t="s">
        <v>4346</v>
      </c>
      <c r="B4342">
        <v>0.99673306730245903</v>
      </c>
      <c r="C4342">
        <v>1.0446003100918699</v>
      </c>
      <c r="D4342">
        <v>1.04129262122915</v>
      </c>
      <c r="E4342">
        <v>0.96619782726965897</v>
      </c>
      <c r="F4342">
        <v>0.37699412784127601</v>
      </c>
      <c r="G4342">
        <v>0.14453509769981099</v>
      </c>
      <c r="H4342">
        <v>7.38626508588619E-2</v>
      </c>
      <c r="I4342">
        <v>6.3680134257631693E-2</v>
      </c>
      <c r="J4342">
        <v>7.2252367508372495E-2</v>
      </c>
      <c r="K4342">
        <v>6.3480402595182894E-2</v>
      </c>
      <c r="L4342">
        <v>2623.9321987754702</v>
      </c>
      <c r="M4342">
        <v>50.018237708964499</v>
      </c>
      <c r="N4342">
        <v>52.638790923842798</v>
      </c>
      <c r="O4342">
        <v>52.375858997560798</v>
      </c>
      <c r="P4342">
        <v>-0.220050939167938</v>
      </c>
      <c r="Q4342">
        <v>7.8308434953528794E-2</v>
      </c>
      <c r="R4342">
        <v>0.99652883818949001</v>
      </c>
      <c r="S4342" t="s">
        <v>10794</v>
      </c>
      <c r="T4342" t="s">
        <v>12902</v>
      </c>
      <c r="U4342" t="s">
        <v>12902</v>
      </c>
      <c r="V4342" t="s">
        <v>12902</v>
      </c>
      <c r="W4342" t="s">
        <v>17197</v>
      </c>
      <c r="X4342">
        <v>12</v>
      </c>
      <c r="Y4342" t="s">
        <v>23503</v>
      </c>
      <c r="Z4342" t="s">
        <v>29917</v>
      </c>
      <c r="AA4342">
        <v>0.46323361082172632</v>
      </c>
      <c r="AB4342" t="str">
        <f>HYPERLINK("Melting_Curves/meltCurve_Q8IYB5_3_SMAP1.pdf", "Melting_Curves/meltCurve_Q8IYB5_3_SMAP1.pdf")</f>
        <v>Melting_Curves/meltCurve_Q8IYB5_3_SMAP1.pdf</v>
      </c>
    </row>
    <row r="4343" spans="1:28" x14ac:dyDescent="0.25">
      <c r="A4343" t="s">
        <v>4347</v>
      </c>
      <c r="B4343">
        <v>0.99673306730245903</v>
      </c>
      <c r="C4343">
        <v>0.90643281744175797</v>
      </c>
      <c r="D4343">
        <v>0.73233628522459604</v>
      </c>
      <c r="E4343">
        <v>0.50763906888700405</v>
      </c>
      <c r="F4343">
        <v>0.182509926215524</v>
      </c>
      <c r="G4343">
        <v>0.11244348481930801</v>
      </c>
      <c r="H4343">
        <v>7.0463358045333893E-2</v>
      </c>
      <c r="I4343">
        <v>5.9943287118969499E-2</v>
      </c>
      <c r="J4343">
        <v>6.5083595101367894E-2</v>
      </c>
      <c r="K4343">
        <v>6.7599960187506095E-2</v>
      </c>
      <c r="L4343">
        <v>865.08368046033695</v>
      </c>
      <c r="M4343">
        <v>17.730889336197901</v>
      </c>
      <c r="N4343">
        <v>49.066103208349901</v>
      </c>
      <c r="O4343">
        <v>48.181722237936697</v>
      </c>
      <c r="P4343">
        <v>-8.7631122983443901E-2</v>
      </c>
      <c r="Q4343">
        <v>4.7538451923404099E-2</v>
      </c>
      <c r="R4343">
        <v>0.99524167442984701</v>
      </c>
      <c r="S4343" t="s">
        <v>10795</v>
      </c>
      <c r="T4343" t="s">
        <v>12902</v>
      </c>
      <c r="U4343" t="s">
        <v>12902</v>
      </c>
      <c r="V4343" t="s">
        <v>12902</v>
      </c>
      <c r="W4343" t="s">
        <v>17198</v>
      </c>
      <c r="X4343">
        <v>13</v>
      </c>
      <c r="Y4343" t="s">
        <v>23504</v>
      </c>
      <c r="Z4343" t="s">
        <v>29918</v>
      </c>
      <c r="AA4343">
        <v>0.34367378262966219</v>
      </c>
      <c r="AB4343" t="str">
        <f>HYPERLINK("Melting_Curves/meltCurve_Q8IYB7_DIS3L2.pdf", "Melting_Curves/meltCurve_Q8IYB7_DIS3L2.pdf")</f>
        <v>Melting_Curves/meltCurve_Q8IYB7_DIS3L2.pdf</v>
      </c>
    </row>
    <row r="4344" spans="1:28" x14ac:dyDescent="0.25">
      <c r="A4344" t="s">
        <v>4348</v>
      </c>
      <c r="B4344">
        <v>0.99673306730245903</v>
      </c>
      <c r="C4344">
        <v>1.01486824657705</v>
      </c>
      <c r="D4344">
        <v>0.766929864853792</v>
      </c>
      <c r="E4344">
        <v>0.96336179330690497</v>
      </c>
      <c r="F4344">
        <v>0.58519040929341704</v>
      </c>
      <c r="G4344">
        <v>0.21346286052514701</v>
      </c>
      <c r="H4344">
        <v>0.107859201741359</v>
      </c>
      <c r="I4344">
        <v>0.102075037096231</v>
      </c>
      <c r="J4344">
        <v>8.6813532560021403E-2</v>
      </c>
      <c r="K4344">
        <v>9.1867582682358701E-2</v>
      </c>
      <c r="L4344">
        <v>1675.46607859802</v>
      </c>
      <c r="M4344">
        <v>31.304548653238001</v>
      </c>
      <c r="N4344">
        <v>53.859510703314101</v>
      </c>
      <c r="O4344">
        <v>53.304498808028399</v>
      </c>
      <c r="P4344">
        <v>-0.13372595484979399</v>
      </c>
      <c r="Q4344">
        <v>8.9185852986508996E-2</v>
      </c>
      <c r="R4344">
        <v>0.96527858538882705</v>
      </c>
      <c r="S4344" t="s">
        <v>10796</v>
      </c>
      <c r="T4344" t="s">
        <v>12902</v>
      </c>
      <c r="U4344" t="s">
        <v>12902</v>
      </c>
      <c r="V4344" t="s">
        <v>12902</v>
      </c>
      <c r="W4344" t="s">
        <v>17199</v>
      </c>
      <c r="X4344">
        <v>23</v>
      </c>
      <c r="Y4344" t="s">
        <v>23505</v>
      </c>
      <c r="Z4344" t="s">
        <v>29919</v>
      </c>
      <c r="AA4344">
        <v>0.5051786170246636</v>
      </c>
      <c r="AB4344" t="str">
        <f>HYPERLINK("Melting_Curves/meltCurve_Q8IYB8_SUPV3L1.pdf", "Melting_Curves/meltCurve_Q8IYB8_SUPV3L1.pdf")</f>
        <v>Melting_Curves/meltCurve_Q8IYB8_SUPV3L1.pdf</v>
      </c>
    </row>
    <row r="4345" spans="1:28" x14ac:dyDescent="0.25">
      <c r="A4345" t="s">
        <v>4349</v>
      </c>
      <c r="B4345">
        <v>0.99673306730245903</v>
      </c>
      <c r="C4345">
        <v>0.99045520421656597</v>
      </c>
      <c r="D4345">
        <v>0.91018213210687304</v>
      </c>
      <c r="E4345">
        <v>0.78713143450843504</v>
      </c>
      <c r="F4345">
        <v>0.46408345302282</v>
      </c>
      <c r="G4345">
        <v>0.30523036136145498</v>
      </c>
      <c r="H4345">
        <v>0.158575529713852</v>
      </c>
      <c r="I4345">
        <v>0.15888538115161399</v>
      </c>
      <c r="J4345">
        <v>0.102568347907094</v>
      </c>
      <c r="K4345">
        <v>8.5109175969898795E-2</v>
      </c>
      <c r="L4345">
        <v>907.88865174799798</v>
      </c>
      <c r="M4345">
        <v>17.2821280983467</v>
      </c>
      <c r="N4345">
        <v>53.140339118358099</v>
      </c>
      <c r="O4345">
        <v>51.8451384923939</v>
      </c>
      <c r="P4345">
        <v>-7.5875754467015999E-2</v>
      </c>
      <c r="Q4345">
        <v>8.9565631758969602E-2</v>
      </c>
      <c r="R4345">
        <v>0.99706439438455896</v>
      </c>
      <c r="S4345" t="s">
        <v>10797</v>
      </c>
      <c r="T4345" t="s">
        <v>12902</v>
      </c>
      <c r="U4345" t="s">
        <v>12902</v>
      </c>
      <c r="V4345" t="s">
        <v>12902</v>
      </c>
      <c r="W4345" t="s">
        <v>17200</v>
      </c>
      <c r="X4345">
        <v>19</v>
      </c>
      <c r="Y4345" t="s">
        <v>23506</v>
      </c>
      <c r="Z4345" t="s">
        <v>29920</v>
      </c>
      <c r="AA4345">
        <v>0.48598811203794551</v>
      </c>
      <c r="AB4345" t="str">
        <f>HYPERLINK("Melting_Curves/meltCurve_Q8IYD1_GSPT2.pdf", "Melting_Curves/meltCurve_Q8IYD1_GSPT2.pdf")</f>
        <v>Melting_Curves/meltCurve_Q8IYD1_GSPT2.pdf</v>
      </c>
    </row>
    <row r="4346" spans="1:28" x14ac:dyDescent="0.25">
      <c r="A4346" t="s">
        <v>4350</v>
      </c>
      <c r="B4346">
        <v>0.99673306730245903</v>
      </c>
      <c r="C4346">
        <v>1.07125177597719</v>
      </c>
      <c r="D4346">
        <v>1.0341336992979699</v>
      </c>
      <c r="E4346">
        <v>1.10919045516696</v>
      </c>
      <c r="F4346">
        <v>0.99910049119358701</v>
      </c>
      <c r="G4346">
        <v>0.80747227552312195</v>
      </c>
      <c r="H4346">
        <v>0.57506291737258697</v>
      </c>
      <c r="I4346">
        <v>0.777872119140123</v>
      </c>
      <c r="J4346">
        <v>0.631322098542765</v>
      </c>
      <c r="K4346">
        <v>0.58526608445530504</v>
      </c>
      <c r="L4346">
        <v>14191.267531429599</v>
      </c>
      <c r="M4346">
        <v>250</v>
      </c>
      <c r="O4346">
        <v>56.7614375562368</v>
      </c>
      <c r="P4346">
        <v>-0.393774380006431</v>
      </c>
      <c r="Q4346">
        <v>0.64238080242399298</v>
      </c>
      <c r="R4346">
        <v>0.88705111073855103</v>
      </c>
      <c r="S4346" t="s">
        <v>10798</v>
      </c>
      <c r="T4346" t="s">
        <v>12902</v>
      </c>
      <c r="U4346" t="s">
        <v>12902</v>
      </c>
      <c r="V4346" t="s">
        <v>12902</v>
      </c>
      <c r="W4346" t="s">
        <v>17201</v>
      </c>
      <c r="X4346">
        <v>2</v>
      </c>
      <c r="Y4346" t="s">
        <v>23507</v>
      </c>
      <c r="Z4346" t="s">
        <v>29921</v>
      </c>
      <c r="AA4346">
        <v>0.84226679328622533</v>
      </c>
      <c r="AB4346" t="str">
        <f>HYPERLINK("Melting_Curves/meltCurve_Q8IYE0_2_CCDC146.pdf", "Melting_Curves/meltCurve_Q8IYE0_2_CCDC146.pdf")</f>
        <v>Melting_Curves/meltCurve_Q8IYE0_2_CCDC146.pdf</v>
      </c>
    </row>
    <row r="4347" spans="1:28" x14ac:dyDescent="0.25">
      <c r="A4347" t="s">
        <v>4351</v>
      </c>
      <c r="B4347">
        <v>0.99673306730245903</v>
      </c>
      <c r="C4347">
        <v>0.92295601928601401</v>
      </c>
      <c r="D4347">
        <v>0.74900061349337799</v>
      </c>
      <c r="E4347">
        <v>0.33447813936829501</v>
      </c>
      <c r="F4347">
        <v>0.21646080203100501</v>
      </c>
      <c r="G4347">
        <v>0.13273414452364701</v>
      </c>
      <c r="H4347">
        <v>0.1032289832452</v>
      </c>
      <c r="I4347">
        <v>0.10164929142472801</v>
      </c>
      <c r="J4347">
        <v>9.4126803373175999E-2</v>
      </c>
      <c r="K4347">
        <v>7.0562885162075303E-2</v>
      </c>
      <c r="L4347">
        <v>1071.5043293152401</v>
      </c>
      <c r="M4347">
        <v>22.446726536729301</v>
      </c>
      <c r="N4347">
        <v>48.1951034022226</v>
      </c>
      <c r="O4347">
        <v>47.3614162061439</v>
      </c>
      <c r="P4347">
        <v>-0.107070567653754</v>
      </c>
      <c r="Q4347">
        <v>9.6365495718454999E-2</v>
      </c>
      <c r="R4347">
        <v>0.99672363007754095</v>
      </c>
      <c r="S4347" t="s">
        <v>10799</v>
      </c>
      <c r="T4347" t="s">
        <v>12902</v>
      </c>
      <c r="U4347" t="s">
        <v>12902</v>
      </c>
      <c r="V4347" t="s">
        <v>12902</v>
      </c>
      <c r="W4347" t="s">
        <v>17202</v>
      </c>
      <c r="X4347">
        <v>10</v>
      </c>
      <c r="Y4347" t="s">
        <v>23508</v>
      </c>
      <c r="Z4347" t="s">
        <v>29922</v>
      </c>
      <c r="AA4347">
        <v>0.33944500484798812</v>
      </c>
      <c r="AB4347" t="str">
        <f>HYPERLINK("Melting_Curves/meltCurve_Q8IYI6_EXOC8.pdf", "Melting_Curves/meltCurve_Q8IYI6_EXOC8.pdf")</f>
        <v>Melting_Curves/meltCurve_Q8IYI6_EXOC8.pdf</v>
      </c>
    </row>
    <row r="4348" spans="1:28" x14ac:dyDescent="0.25">
      <c r="A4348" t="s">
        <v>4352</v>
      </c>
      <c r="B4348">
        <v>0.99673306730245903</v>
      </c>
      <c r="C4348">
        <v>0.95868068868311995</v>
      </c>
      <c r="D4348">
        <v>0.98091084477293999</v>
      </c>
      <c r="E4348">
        <v>0.91165311786000602</v>
      </c>
      <c r="F4348">
        <v>1.0877773606047401</v>
      </c>
      <c r="G4348">
        <v>1.0732109068201701</v>
      </c>
      <c r="H4348">
        <v>1.02672519933322</v>
      </c>
      <c r="I4348">
        <v>1.3577150036824199</v>
      </c>
      <c r="J4348">
        <v>2.3864772246653798</v>
      </c>
      <c r="K4348">
        <v>2.5707092224435599</v>
      </c>
      <c r="L4348">
        <v>15000</v>
      </c>
      <c r="M4348">
        <v>235.29725624433499</v>
      </c>
      <c r="O4348">
        <v>63.744559294696302</v>
      </c>
      <c r="P4348">
        <v>0.46140665548513599</v>
      </c>
      <c r="Q4348">
        <v>1.5</v>
      </c>
      <c r="R4348">
        <v>0.4278263434356</v>
      </c>
      <c r="S4348" t="s">
        <v>10800</v>
      </c>
      <c r="T4348" t="s">
        <v>12902</v>
      </c>
      <c r="U4348" t="s">
        <v>12902</v>
      </c>
      <c r="V4348" t="s">
        <v>12902</v>
      </c>
      <c r="W4348" t="s">
        <v>17203</v>
      </c>
      <c r="X4348">
        <v>5</v>
      </c>
      <c r="Y4348" t="s">
        <v>23509</v>
      </c>
      <c r="Z4348" t="s">
        <v>29923</v>
      </c>
      <c r="AA4348">
        <v>1.1041176887752271</v>
      </c>
      <c r="AB4348" t="str">
        <f>HYPERLINK("Melting_Curves/meltCurve_Q8IYL3_C1orf174.pdf", "Melting_Curves/meltCurve_Q8IYL3_C1orf174.pdf")</f>
        <v>Melting_Curves/meltCurve_Q8IYL3_C1orf174.pdf</v>
      </c>
    </row>
    <row r="4349" spans="1:28" x14ac:dyDescent="0.25">
      <c r="A4349" t="s">
        <v>4353</v>
      </c>
      <c r="B4349">
        <v>0.99673306730245903</v>
      </c>
      <c r="C4349">
        <v>0.94917765490098605</v>
      </c>
      <c r="D4349">
        <v>0.70912344348970202</v>
      </c>
      <c r="E4349">
        <v>0.49503461394590598</v>
      </c>
      <c r="F4349">
        <v>0.23991194424770701</v>
      </c>
      <c r="G4349">
        <v>0.17524050687057499</v>
      </c>
      <c r="H4349">
        <v>0.12254588079812</v>
      </c>
      <c r="I4349">
        <v>0.129915569018345</v>
      </c>
      <c r="J4349">
        <v>0.16952697496397601</v>
      </c>
      <c r="K4349">
        <v>0.20393291570470401</v>
      </c>
      <c r="L4349">
        <v>938.29671659942301</v>
      </c>
      <c r="M4349">
        <v>19.5120978420548</v>
      </c>
      <c r="N4349">
        <v>48.963494048956797</v>
      </c>
      <c r="O4349">
        <v>47.591389621942703</v>
      </c>
      <c r="P4349">
        <v>-8.74061836279518E-2</v>
      </c>
      <c r="Q4349">
        <v>0.14727109486860801</v>
      </c>
      <c r="R4349">
        <v>0.99027636183675705</v>
      </c>
      <c r="S4349" t="s">
        <v>10801</v>
      </c>
      <c r="T4349" t="s">
        <v>12902</v>
      </c>
      <c r="U4349" t="s">
        <v>12902</v>
      </c>
      <c r="V4349" t="s">
        <v>12902</v>
      </c>
      <c r="W4349" t="s">
        <v>17204</v>
      </c>
      <c r="X4349">
        <v>1</v>
      </c>
      <c r="Y4349" t="s">
        <v>23510</v>
      </c>
      <c r="Z4349" t="s">
        <v>29924</v>
      </c>
      <c r="AA4349">
        <v>0.38990946794922282</v>
      </c>
      <c r="AB4349" t="str">
        <f>HYPERLINK("Melting_Curves/meltCurve_Q8IYN6_UBALD2.pdf", "Melting_Curves/meltCurve_Q8IYN6_UBALD2.pdf")</f>
        <v>Melting_Curves/meltCurve_Q8IYN6_UBALD2.pdf</v>
      </c>
    </row>
    <row r="4350" spans="1:28" x14ac:dyDescent="0.25">
      <c r="A4350" t="s">
        <v>4354</v>
      </c>
      <c r="B4350">
        <v>0.99673306730245903</v>
      </c>
      <c r="C4350">
        <v>0.99579561331640698</v>
      </c>
      <c r="D4350">
        <v>0.93674509935003603</v>
      </c>
      <c r="E4350">
        <v>0.82304946558823</v>
      </c>
      <c r="F4350">
        <v>0.45678468271964401</v>
      </c>
      <c r="G4350">
        <v>0.31358488904083498</v>
      </c>
      <c r="H4350">
        <v>0.187376422615912</v>
      </c>
      <c r="I4350">
        <v>0.153512780145555</v>
      </c>
      <c r="J4350">
        <v>0.12311979008714299</v>
      </c>
      <c r="K4350">
        <v>8.3516426665293103E-2</v>
      </c>
      <c r="L4350">
        <v>1004.2478211300599</v>
      </c>
      <c r="M4350">
        <v>19.095727219933099</v>
      </c>
      <c r="N4350">
        <v>53.280315997907302</v>
      </c>
      <c r="O4350">
        <v>52.023625153609899</v>
      </c>
      <c r="P4350">
        <v>-8.1713832267912304E-2</v>
      </c>
      <c r="Q4350">
        <v>0.109563385136557</v>
      </c>
      <c r="R4350">
        <v>0.99524565131666298</v>
      </c>
      <c r="S4350" t="s">
        <v>10802</v>
      </c>
      <c r="T4350" t="s">
        <v>12902</v>
      </c>
      <c r="U4350" t="s">
        <v>12902</v>
      </c>
      <c r="V4350" t="s">
        <v>12902</v>
      </c>
      <c r="W4350" t="s">
        <v>17205</v>
      </c>
      <c r="X4350">
        <v>17</v>
      </c>
      <c r="Y4350" t="s">
        <v>23511</v>
      </c>
      <c r="Z4350" t="s">
        <v>29925</v>
      </c>
      <c r="AA4350">
        <v>0.4965589102064909</v>
      </c>
      <c r="AB4350" t="str">
        <f>HYPERLINK("Melting_Curves/meltCurve_Q8IYQ7_THNSL1.pdf", "Melting_Curves/meltCurve_Q8IYQ7_THNSL1.pdf")</f>
        <v>Melting_Curves/meltCurve_Q8IYQ7_THNSL1.pdf</v>
      </c>
    </row>
    <row r="4351" spans="1:28" x14ac:dyDescent="0.25">
      <c r="A4351" t="s">
        <v>4355</v>
      </c>
      <c r="B4351">
        <v>0.99673306730245903</v>
      </c>
      <c r="C4351">
        <v>0.652510819206222</v>
      </c>
      <c r="D4351">
        <v>0.22359550411823001</v>
      </c>
      <c r="E4351">
        <v>0.12547615426410599</v>
      </c>
      <c r="F4351">
        <v>7.4006042507156394E-2</v>
      </c>
      <c r="G4351">
        <v>4.2226583214737101E-2</v>
      </c>
      <c r="H4351">
        <v>4.6718884718671999E-2</v>
      </c>
      <c r="I4351">
        <v>2.4409760798842901E-2</v>
      </c>
      <c r="J4351">
        <v>2.2744078745676102E-2</v>
      </c>
      <c r="K4351">
        <v>0</v>
      </c>
      <c r="L4351">
        <v>1305.3521426027201</v>
      </c>
      <c r="M4351">
        <v>29.793175013702001</v>
      </c>
      <c r="N4351">
        <v>43.942193863388397</v>
      </c>
      <c r="O4351">
        <v>43.617810528017998</v>
      </c>
      <c r="P4351">
        <v>-0.163645298603915</v>
      </c>
      <c r="Q4351">
        <v>4.1685956080725201E-2</v>
      </c>
      <c r="R4351">
        <v>0.99114303016696803</v>
      </c>
      <c r="S4351" t="s">
        <v>10803</v>
      </c>
      <c r="T4351" t="s">
        <v>12902</v>
      </c>
      <c r="U4351" t="s">
        <v>12902</v>
      </c>
      <c r="V4351" t="s">
        <v>12902</v>
      </c>
      <c r="W4351" t="s">
        <v>17206</v>
      </c>
      <c r="X4351">
        <v>1</v>
      </c>
      <c r="Y4351" t="s">
        <v>23512</v>
      </c>
      <c r="Z4351" t="s">
        <v>29926</v>
      </c>
      <c r="AA4351">
        <v>0.17087752409784859</v>
      </c>
      <c r="AB4351" t="str">
        <f>HYPERLINK("Melting_Curves/meltCurve_Q8IYR2_SMYD4.pdf", "Melting_Curves/meltCurve_Q8IYR2_SMYD4.pdf")</f>
        <v>Melting_Curves/meltCurve_Q8IYR2_SMYD4.pdf</v>
      </c>
    </row>
    <row r="4352" spans="1:28" x14ac:dyDescent="0.25">
      <c r="A4352" t="s">
        <v>4356</v>
      </c>
      <c r="B4352">
        <v>0.99673306730245903</v>
      </c>
      <c r="C4352">
        <v>0.88647323500527497</v>
      </c>
      <c r="D4352">
        <v>0.726410699366558</v>
      </c>
      <c r="E4352">
        <v>0.54179866692188305</v>
      </c>
      <c r="F4352">
        <v>0.33878171616227498</v>
      </c>
      <c r="G4352">
        <v>0.20047539472661399</v>
      </c>
      <c r="H4352">
        <v>0.114409520175822</v>
      </c>
      <c r="I4352">
        <v>0.108769533033256</v>
      </c>
      <c r="J4352">
        <v>0.103712043483301</v>
      </c>
      <c r="K4352">
        <v>8.7950786432714007E-2</v>
      </c>
      <c r="L4352">
        <v>659.81520081285998</v>
      </c>
      <c r="M4352">
        <v>13.332267237491999</v>
      </c>
      <c r="N4352">
        <v>50.008657946316497</v>
      </c>
      <c r="O4352">
        <v>48.416430622133099</v>
      </c>
      <c r="P4352">
        <v>-6.4407629745402303E-2</v>
      </c>
      <c r="Q4352">
        <v>6.4558594217158496E-2</v>
      </c>
      <c r="R4352">
        <v>0.99739556778356098</v>
      </c>
      <c r="S4352" t="s">
        <v>10804</v>
      </c>
      <c r="T4352" t="s">
        <v>12902</v>
      </c>
      <c r="U4352" t="s">
        <v>12902</v>
      </c>
      <c r="V4352" t="s">
        <v>12902</v>
      </c>
      <c r="W4352" t="s">
        <v>17207</v>
      </c>
      <c r="X4352">
        <v>11</v>
      </c>
      <c r="Y4352" t="s">
        <v>23513</v>
      </c>
      <c r="Z4352" t="s">
        <v>29927</v>
      </c>
      <c r="AA4352">
        <v>0.38845094097100757</v>
      </c>
      <c r="AB4352" t="str">
        <f>HYPERLINK("Melting_Curves/meltCurve_Q8IYS1_PM20D2.pdf", "Melting_Curves/meltCurve_Q8IYS1_PM20D2.pdf")</f>
        <v>Melting_Curves/meltCurve_Q8IYS1_PM20D2.pdf</v>
      </c>
    </row>
    <row r="4353" spans="1:28" x14ac:dyDescent="0.25">
      <c r="A4353" t="s">
        <v>4357</v>
      </c>
      <c r="B4353">
        <v>0.99673306730245903</v>
      </c>
      <c r="C4353">
        <v>0.90380053083548595</v>
      </c>
      <c r="D4353">
        <v>0.83970426882913396</v>
      </c>
      <c r="E4353">
        <v>0.67970915993456504</v>
      </c>
      <c r="F4353">
        <v>0.480335648148562</v>
      </c>
      <c r="G4353">
        <v>0.35491701672252302</v>
      </c>
      <c r="H4353">
        <v>0.309994258016833</v>
      </c>
      <c r="I4353">
        <v>0.25986274518431901</v>
      </c>
      <c r="J4353">
        <v>0.22250244554889301</v>
      </c>
      <c r="K4353">
        <v>0.124434600461185</v>
      </c>
      <c r="L4353">
        <v>569.07965001850698</v>
      </c>
      <c r="M4353">
        <v>10.981361367818099</v>
      </c>
      <c r="N4353">
        <v>53.335858388687598</v>
      </c>
      <c r="O4353">
        <v>50.192736937726302</v>
      </c>
      <c r="P4353">
        <v>-4.7389853195058403E-2</v>
      </c>
      <c r="Q4353">
        <v>0.13387109497802999</v>
      </c>
      <c r="R4353">
        <v>0.990871357234548</v>
      </c>
      <c r="S4353" t="s">
        <v>10805</v>
      </c>
      <c r="T4353" t="s">
        <v>12902</v>
      </c>
      <c r="U4353" t="s">
        <v>12902</v>
      </c>
      <c r="V4353" t="s">
        <v>12902</v>
      </c>
      <c r="W4353" t="s">
        <v>17208</v>
      </c>
      <c r="X4353">
        <v>9</v>
      </c>
      <c r="Y4353" t="s">
        <v>23514</v>
      </c>
      <c r="Z4353" t="s">
        <v>29928</v>
      </c>
      <c r="AA4353">
        <v>0.50519159309237083</v>
      </c>
      <c r="AB4353" t="str">
        <f>HYPERLINK("Melting_Curves/meltCurve_Q8IYS2_KIAA2013.pdf", "Melting_Curves/meltCurve_Q8IYS2_KIAA2013.pdf")</f>
        <v>Melting_Curves/meltCurve_Q8IYS2_KIAA2013.pdf</v>
      </c>
    </row>
    <row r="4354" spans="1:28" x14ac:dyDescent="0.25">
      <c r="A4354" t="s">
        <v>4358</v>
      </c>
      <c r="B4354">
        <v>0.99673306730245903</v>
      </c>
      <c r="C4354">
        <v>0.959208046665049</v>
      </c>
      <c r="D4354">
        <v>0.77162215593319805</v>
      </c>
      <c r="E4354">
        <v>0.574758520639856</v>
      </c>
      <c r="F4354">
        <v>0.33934932074044499</v>
      </c>
      <c r="G4354">
        <v>0.216286555571925</v>
      </c>
      <c r="H4354">
        <v>0.118561541576928</v>
      </c>
      <c r="I4354">
        <v>9.8834497530796594E-2</v>
      </c>
      <c r="J4354">
        <v>8.4962930419579197E-2</v>
      </c>
      <c r="K4354">
        <v>6.8224131581639993E-2</v>
      </c>
      <c r="L4354">
        <v>734.22219496450202</v>
      </c>
      <c r="M4354">
        <v>14.6411045459737</v>
      </c>
      <c r="N4354">
        <v>50.5845802304976</v>
      </c>
      <c r="O4354">
        <v>49.240347850329798</v>
      </c>
      <c r="P4354">
        <v>-6.9930764209987104E-2</v>
      </c>
      <c r="Q4354">
        <v>5.9351789067687399E-2</v>
      </c>
      <c r="R4354">
        <v>0.99786394662029998</v>
      </c>
      <c r="S4354" t="s">
        <v>10806</v>
      </c>
      <c r="T4354" t="s">
        <v>12902</v>
      </c>
      <c r="U4354" t="s">
        <v>12902</v>
      </c>
      <c r="V4354" t="s">
        <v>12902</v>
      </c>
      <c r="W4354" t="s">
        <v>17209</v>
      </c>
      <c r="X4354">
        <v>5</v>
      </c>
      <c r="Y4354" t="s">
        <v>23515</v>
      </c>
      <c r="Z4354" t="s">
        <v>29929</v>
      </c>
      <c r="AA4354">
        <v>0.40082974586613768</v>
      </c>
      <c r="AB4354" t="str">
        <f>HYPERLINK("Melting_Curves/meltCurve_Q8IYU8_MICU2.pdf", "Melting_Curves/meltCurve_Q8IYU8_MICU2.pdf")</f>
        <v>Melting_Curves/meltCurve_Q8IYU8_MICU2.pdf</v>
      </c>
    </row>
    <row r="4355" spans="1:28" x14ac:dyDescent="0.25">
      <c r="A4355" t="s">
        <v>4359</v>
      </c>
      <c r="B4355">
        <v>0.99673306730245903</v>
      </c>
      <c r="C4355">
        <v>0.90644750983480504</v>
      </c>
      <c r="D4355">
        <v>0.78256451455437204</v>
      </c>
      <c r="E4355">
        <v>0.61382778950085704</v>
      </c>
      <c r="F4355">
        <v>0.47273981729318199</v>
      </c>
      <c r="G4355">
        <v>0.32389748250342798</v>
      </c>
      <c r="H4355">
        <v>0.20923815962216899</v>
      </c>
      <c r="I4355">
        <v>0.17398777085560599</v>
      </c>
      <c r="J4355">
        <v>0.21446788892448601</v>
      </c>
      <c r="K4355">
        <v>0.178749523090801</v>
      </c>
      <c r="L4355">
        <v>612.43881104281195</v>
      </c>
      <c r="M4355">
        <v>12.119871852862699</v>
      </c>
      <c r="N4355">
        <v>51.958303290998302</v>
      </c>
      <c r="O4355">
        <v>49.2150945557038</v>
      </c>
      <c r="P4355">
        <v>-5.2864934446014901E-2</v>
      </c>
      <c r="Q4355">
        <v>0.141525411028918</v>
      </c>
      <c r="R4355">
        <v>0.99446001037842702</v>
      </c>
      <c r="S4355" t="s">
        <v>10807</v>
      </c>
      <c r="T4355" t="s">
        <v>12902</v>
      </c>
      <c r="U4355" t="s">
        <v>12902</v>
      </c>
      <c r="V4355" t="s">
        <v>12902</v>
      </c>
      <c r="W4355" t="s">
        <v>17210</v>
      </c>
      <c r="X4355">
        <v>3</v>
      </c>
      <c r="Y4355" t="s">
        <v>23516</v>
      </c>
      <c r="Z4355" t="s">
        <v>29930</v>
      </c>
      <c r="AA4355">
        <v>0.47127327591467327</v>
      </c>
      <c r="AB4355" t="str">
        <f>HYPERLINK("Melting_Curves/meltCurve_Q8IYW5_RNF168.pdf", "Melting_Curves/meltCurve_Q8IYW5_RNF168.pdf")</f>
        <v>Melting_Curves/meltCurve_Q8IYW5_RNF168.pdf</v>
      </c>
    </row>
    <row r="4356" spans="1:28" x14ac:dyDescent="0.25">
      <c r="A4356" t="s">
        <v>4360</v>
      </c>
      <c r="B4356">
        <v>0.99673306730245903</v>
      </c>
      <c r="C4356">
        <v>0.92490918493595198</v>
      </c>
      <c r="D4356">
        <v>0.89129194577821802</v>
      </c>
      <c r="E4356">
        <v>0.64596754323769301</v>
      </c>
      <c r="F4356">
        <v>0.234945641094333</v>
      </c>
      <c r="G4356">
        <v>0.13594186172205999</v>
      </c>
      <c r="H4356">
        <v>9.2638641758321802E-2</v>
      </c>
      <c r="I4356">
        <v>7.6918094360827902E-2</v>
      </c>
      <c r="J4356">
        <v>8.7575849397528105E-2</v>
      </c>
      <c r="K4356">
        <v>7.4480858954637005E-2</v>
      </c>
      <c r="L4356">
        <v>1231.9343163390199</v>
      </c>
      <c r="M4356">
        <v>24.501154583350299</v>
      </c>
      <c r="N4356">
        <v>50.619816302091003</v>
      </c>
      <c r="O4356">
        <v>49.949305311241602</v>
      </c>
      <c r="P4356">
        <v>-0.113349187463659</v>
      </c>
      <c r="Q4356">
        <v>7.5695707848001101E-2</v>
      </c>
      <c r="R4356">
        <v>0.99545135981274402</v>
      </c>
      <c r="S4356" t="s">
        <v>10808</v>
      </c>
      <c r="T4356" t="s">
        <v>12902</v>
      </c>
      <c r="U4356" t="s">
        <v>12902</v>
      </c>
      <c r="V4356" t="s">
        <v>12902</v>
      </c>
      <c r="W4356" t="s">
        <v>17211</v>
      </c>
      <c r="X4356">
        <v>5</v>
      </c>
      <c r="Y4356" t="s">
        <v>23517</v>
      </c>
      <c r="Z4356" t="s">
        <v>29931</v>
      </c>
      <c r="AA4356">
        <v>0.40106989676386162</v>
      </c>
      <c r="AB4356" t="str">
        <f>HYPERLINK("Melting_Curves/meltCurve_Q8IZ07_ANKRD13A.pdf", "Melting_Curves/meltCurve_Q8IZ07_ANKRD13A.pdf")</f>
        <v>Melting_Curves/meltCurve_Q8IZ07_ANKRD13A.pdf</v>
      </c>
    </row>
    <row r="4357" spans="1:28" x14ac:dyDescent="0.25">
      <c r="A4357" t="s">
        <v>4361</v>
      </c>
      <c r="B4357">
        <v>0.99673306730245903</v>
      </c>
      <c r="C4357">
        <v>0.98165651000901399</v>
      </c>
      <c r="D4357">
        <v>0.97692794421696105</v>
      </c>
      <c r="E4357">
        <v>0.91149948851851403</v>
      </c>
      <c r="F4357">
        <v>0.86152502976788703</v>
      </c>
      <c r="G4357">
        <v>0.70636903035361398</v>
      </c>
      <c r="H4357">
        <v>0.63641234149183701</v>
      </c>
      <c r="I4357">
        <v>0.78112398218205303</v>
      </c>
      <c r="J4357">
        <v>0.96092270151839598</v>
      </c>
      <c r="K4357">
        <v>0.83922308074186103</v>
      </c>
      <c r="L4357">
        <v>1576.4796427148301</v>
      </c>
      <c r="M4357">
        <v>31.345886032787</v>
      </c>
      <c r="O4357">
        <v>50.089648860043198</v>
      </c>
      <c r="P4357">
        <v>-3.2842797214182901E-2</v>
      </c>
      <c r="Q4357">
        <v>0.79007442100879199</v>
      </c>
      <c r="R4357">
        <v>0.53141670529179996</v>
      </c>
      <c r="S4357" t="s">
        <v>10809</v>
      </c>
      <c r="T4357" t="s">
        <v>12902</v>
      </c>
      <c r="U4357" t="s">
        <v>12902</v>
      </c>
      <c r="V4357" t="s">
        <v>12902</v>
      </c>
      <c r="W4357" t="s">
        <v>17212</v>
      </c>
      <c r="X4357">
        <v>19</v>
      </c>
      <c r="Y4357" t="s">
        <v>23518</v>
      </c>
      <c r="Z4357" t="s">
        <v>29932</v>
      </c>
      <c r="AA4357">
        <v>0.86329417236588779</v>
      </c>
      <c r="AB4357" t="str">
        <f>HYPERLINK("Melting_Curves/meltCurve_Q8IZ21_3_PHACTR4.pdf", "Melting_Curves/meltCurve_Q8IZ21_3_PHACTR4.pdf")</f>
        <v>Melting_Curves/meltCurve_Q8IZ21_3_PHACTR4.pdf</v>
      </c>
    </row>
    <row r="4358" spans="1:28" x14ac:dyDescent="0.25">
      <c r="A4358" t="s">
        <v>4362</v>
      </c>
      <c r="B4358">
        <v>0.99673306730245903</v>
      </c>
      <c r="C4358">
        <v>0.65725827128152403</v>
      </c>
      <c r="D4358">
        <v>0.30931423978124301</v>
      </c>
      <c r="E4358">
        <v>0.114438500730905</v>
      </c>
      <c r="F4358">
        <v>6.4422363216938894E-2</v>
      </c>
      <c r="G4358">
        <v>3.9325765569487803E-2</v>
      </c>
      <c r="H4358">
        <v>1.9927507789060699E-2</v>
      </c>
      <c r="I4358">
        <v>1.33472912510159E-2</v>
      </c>
      <c r="J4358">
        <v>1.1493124245498801E-2</v>
      </c>
      <c r="K4358">
        <v>1.9939832903637499E-2</v>
      </c>
      <c r="L4358">
        <v>1069.5908345421401</v>
      </c>
      <c r="M4358">
        <v>24.1722737330293</v>
      </c>
      <c r="N4358">
        <v>44.350497596178101</v>
      </c>
      <c r="O4358">
        <v>43.949154303696702</v>
      </c>
      <c r="P4358">
        <v>-0.133791574489946</v>
      </c>
      <c r="Q4358">
        <v>2.6994854601109501E-2</v>
      </c>
      <c r="R4358">
        <v>0.99328396514105599</v>
      </c>
      <c r="S4358" t="s">
        <v>10810</v>
      </c>
      <c r="T4358" t="s">
        <v>12902</v>
      </c>
      <c r="U4358" t="s">
        <v>12902</v>
      </c>
      <c r="V4358" t="s">
        <v>12902</v>
      </c>
      <c r="W4358" t="s">
        <v>17213</v>
      </c>
      <c r="X4358">
        <v>1</v>
      </c>
      <c r="Y4358" t="s">
        <v>23519</v>
      </c>
      <c r="Z4358" t="s">
        <v>29933</v>
      </c>
      <c r="AA4358">
        <v>0.17639352583211659</v>
      </c>
      <c r="AB4358" t="str">
        <f>HYPERLINK("Melting_Curves/meltCurve_Q8IZ40_RCOR2.pdf", "Melting_Curves/meltCurve_Q8IZ40_RCOR2.pdf")</f>
        <v>Melting_Curves/meltCurve_Q8IZ40_RCOR2.pdf</v>
      </c>
    </row>
    <row r="4359" spans="1:28" x14ac:dyDescent="0.25">
      <c r="A4359" t="s">
        <v>4363</v>
      </c>
      <c r="B4359">
        <v>0.99673306730245903</v>
      </c>
      <c r="C4359">
        <v>0.98314113942086501</v>
      </c>
      <c r="D4359">
        <v>0.88311642985584604</v>
      </c>
      <c r="E4359">
        <v>0.82916751519254095</v>
      </c>
      <c r="F4359">
        <v>0.77961264818426101</v>
      </c>
      <c r="G4359">
        <v>0.72276473062868496</v>
      </c>
      <c r="H4359">
        <v>0.63446395865484295</v>
      </c>
      <c r="I4359">
        <v>0.71374786128314005</v>
      </c>
      <c r="J4359">
        <v>0.151370982884758</v>
      </c>
      <c r="K4359">
        <v>6.8105676881502306E-2</v>
      </c>
      <c r="L4359">
        <v>673.70086424019098</v>
      </c>
      <c r="M4359">
        <v>10.814019224746</v>
      </c>
      <c r="N4359">
        <v>62.298841013645998</v>
      </c>
      <c r="O4359">
        <v>60.281931902993797</v>
      </c>
      <c r="P4359">
        <v>-4.4863823325185799E-2</v>
      </c>
      <c r="Q4359">
        <v>0</v>
      </c>
      <c r="R4359">
        <v>0.81674203202387097</v>
      </c>
      <c r="S4359" t="s">
        <v>10811</v>
      </c>
      <c r="T4359" t="s">
        <v>12902</v>
      </c>
      <c r="U4359" t="s">
        <v>12902</v>
      </c>
      <c r="V4359" t="s">
        <v>12902</v>
      </c>
      <c r="W4359" t="s">
        <v>17214</v>
      </c>
      <c r="X4359">
        <v>2</v>
      </c>
      <c r="Y4359" t="s">
        <v>23520</v>
      </c>
      <c r="Z4359" t="s">
        <v>29934</v>
      </c>
      <c r="AA4359">
        <v>0.72396805231171268</v>
      </c>
      <c r="AB4359" t="str">
        <f>HYPERLINK("Melting_Curves/meltCurve_Q8IZ41_RASEF.pdf", "Melting_Curves/meltCurve_Q8IZ41_RASEF.pdf")</f>
        <v>Melting_Curves/meltCurve_Q8IZ41_RASEF.pdf</v>
      </c>
    </row>
    <row r="4360" spans="1:28" x14ac:dyDescent="0.25">
      <c r="A4360" t="s">
        <v>4364</v>
      </c>
      <c r="B4360">
        <v>0.99673306730245903</v>
      </c>
      <c r="C4360">
        <v>0.92495569287163304</v>
      </c>
      <c r="D4360">
        <v>0.69750251011855402</v>
      </c>
      <c r="E4360">
        <v>0.62425902259541399</v>
      </c>
      <c r="F4360">
        <v>0.46454914038624201</v>
      </c>
      <c r="G4360">
        <v>0.32772780520386502</v>
      </c>
      <c r="H4360">
        <v>0.17473541534138501</v>
      </c>
      <c r="I4360">
        <v>0.19225195639859</v>
      </c>
      <c r="J4360">
        <v>9.0106103755050501E-2</v>
      </c>
      <c r="K4360">
        <v>0</v>
      </c>
      <c r="L4360">
        <v>507.55751757081299</v>
      </c>
      <c r="M4360">
        <v>9.7596412052892294</v>
      </c>
      <c r="N4360">
        <v>52.005749338877102</v>
      </c>
      <c r="O4360">
        <v>49.963308007941698</v>
      </c>
      <c r="P4360">
        <v>-4.8860107064661498E-2</v>
      </c>
      <c r="Q4360">
        <v>0</v>
      </c>
      <c r="R4360">
        <v>0.98125134532013902</v>
      </c>
      <c r="S4360" t="s">
        <v>10812</v>
      </c>
      <c r="T4360" t="s">
        <v>12902</v>
      </c>
      <c r="U4360" t="s">
        <v>12902</v>
      </c>
      <c r="V4360" t="s">
        <v>12902</v>
      </c>
      <c r="W4360" t="s">
        <v>17215</v>
      </c>
      <c r="X4360">
        <v>3</v>
      </c>
      <c r="Y4360" t="s">
        <v>23521</v>
      </c>
      <c r="Z4360" t="s">
        <v>29935</v>
      </c>
      <c r="AA4360">
        <v>0.43913687054803702</v>
      </c>
      <c r="AB4360" t="str">
        <f>HYPERLINK("Melting_Curves/meltCurve_Q8IZ52_CHPF.pdf", "Melting_Curves/meltCurve_Q8IZ52_CHPF.pdf")</f>
        <v>Melting_Curves/meltCurve_Q8IZ52_CHPF.pdf</v>
      </c>
    </row>
    <row r="4361" spans="1:28" x14ac:dyDescent="0.25">
      <c r="A4361" t="s">
        <v>4365</v>
      </c>
      <c r="B4361">
        <v>0.99673306730245903</v>
      </c>
      <c r="C4361">
        <v>1.0634506030467601</v>
      </c>
      <c r="D4361">
        <v>0.95603949533717902</v>
      </c>
      <c r="E4361">
        <v>0.78525982637297598</v>
      </c>
      <c r="F4361">
        <v>0.51944043996456801</v>
      </c>
      <c r="G4361">
        <v>0.305773712322159</v>
      </c>
      <c r="H4361">
        <v>0.18161732385801899</v>
      </c>
      <c r="I4361">
        <v>0.14190002764252799</v>
      </c>
      <c r="J4361">
        <v>0.18686298874573001</v>
      </c>
      <c r="K4361">
        <v>0.16041407465577701</v>
      </c>
      <c r="L4361">
        <v>1087.27110223094</v>
      </c>
      <c r="M4361">
        <v>20.734879012648701</v>
      </c>
      <c r="N4361">
        <v>53.359862476529997</v>
      </c>
      <c r="O4361">
        <v>51.956412668398698</v>
      </c>
      <c r="P4361">
        <v>-8.4737393439402398E-2</v>
      </c>
      <c r="Q4361">
        <v>0.15070155711060401</v>
      </c>
      <c r="R4361">
        <v>0.994416209196606</v>
      </c>
      <c r="S4361" t="s">
        <v>10813</v>
      </c>
      <c r="T4361" t="s">
        <v>12902</v>
      </c>
      <c r="U4361" t="s">
        <v>12902</v>
      </c>
      <c r="V4361" t="s">
        <v>12902</v>
      </c>
      <c r="W4361" t="s">
        <v>17216</v>
      </c>
      <c r="X4361">
        <v>6</v>
      </c>
      <c r="Y4361" t="s">
        <v>23522</v>
      </c>
      <c r="Z4361" t="s">
        <v>29936</v>
      </c>
      <c r="AA4361">
        <v>0.5137893473439773</v>
      </c>
      <c r="AB4361" t="str">
        <f>HYPERLINK("Melting_Curves/meltCurve_Q8IZ68_MTX2.pdf", "Melting_Curves/meltCurve_Q8IZ68_MTX2.pdf")</f>
        <v>Melting_Curves/meltCurve_Q8IZ68_MTX2.pdf</v>
      </c>
    </row>
    <row r="4362" spans="1:28" x14ac:dyDescent="0.25">
      <c r="A4362" t="s">
        <v>4366</v>
      </c>
      <c r="B4362">
        <v>0.99673306730245903</v>
      </c>
      <c r="C4362">
        <v>0.96422272695477296</v>
      </c>
      <c r="D4362">
        <v>0.95252767018908702</v>
      </c>
      <c r="E4362">
        <v>0.84311144098118496</v>
      </c>
      <c r="F4362">
        <v>0.58191885101910501</v>
      </c>
      <c r="G4362">
        <v>0.21410539609965201</v>
      </c>
      <c r="H4362">
        <v>0.100156787362468</v>
      </c>
      <c r="I4362">
        <v>7.4585467305488096E-2</v>
      </c>
      <c r="J4362">
        <v>7.9197948601337498E-2</v>
      </c>
      <c r="K4362">
        <v>6.5544092400351195E-2</v>
      </c>
      <c r="L4362">
        <v>1250.59770813254</v>
      </c>
      <c r="M4362">
        <v>23.420479763467</v>
      </c>
      <c r="N4362">
        <v>53.6732188425079</v>
      </c>
      <c r="O4362">
        <v>53.012885643068699</v>
      </c>
      <c r="P4362">
        <v>-0.104191456901972</v>
      </c>
      <c r="Q4362">
        <v>5.6655785341449598E-2</v>
      </c>
      <c r="R4362">
        <v>0.99715574363055204</v>
      </c>
      <c r="S4362" t="s">
        <v>10814</v>
      </c>
      <c r="T4362" t="s">
        <v>12902</v>
      </c>
      <c r="U4362" t="s">
        <v>12902</v>
      </c>
      <c r="V4362" t="s">
        <v>12902</v>
      </c>
      <c r="W4362" t="s">
        <v>17217</v>
      </c>
      <c r="X4362">
        <v>13</v>
      </c>
      <c r="Y4362" t="s">
        <v>23523</v>
      </c>
      <c r="Z4362" t="s">
        <v>29937</v>
      </c>
      <c r="AA4362">
        <v>0.48775567252171531</v>
      </c>
      <c r="AB4362" t="str">
        <f>HYPERLINK("Melting_Curves/meltCurve_Q8IZ73_RPUSD2.pdf", "Melting_Curves/meltCurve_Q8IZ73_RPUSD2.pdf")</f>
        <v>Melting_Curves/meltCurve_Q8IZ73_RPUSD2.pdf</v>
      </c>
    </row>
    <row r="4363" spans="1:28" x14ac:dyDescent="0.25">
      <c r="A4363" t="s">
        <v>4367</v>
      </c>
      <c r="B4363">
        <v>0.99673306730245903</v>
      </c>
      <c r="C4363">
        <v>0.97289946233625502</v>
      </c>
      <c r="D4363">
        <v>0.97647803346322204</v>
      </c>
      <c r="E4363">
        <v>0.83447816948806297</v>
      </c>
      <c r="F4363">
        <v>0.438113575907144</v>
      </c>
      <c r="G4363">
        <v>0.187311368466925</v>
      </c>
      <c r="H4363">
        <v>0.107224351012344</v>
      </c>
      <c r="I4363">
        <v>7.2807175437634805E-2</v>
      </c>
      <c r="J4363">
        <v>9.0731151653731995E-2</v>
      </c>
      <c r="K4363">
        <v>7.7379618538055306E-2</v>
      </c>
      <c r="L4363">
        <v>1393.4885138326599</v>
      </c>
      <c r="M4363">
        <v>26.616257988247899</v>
      </c>
      <c r="N4363">
        <v>52.697179601260302</v>
      </c>
      <c r="O4363">
        <v>52.061925826908997</v>
      </c>
      <c r="P4363">
        <v>-0.117663178048866</v>
      </c>
      <c r="Q4363">
        <v>7.9403644917649799E-2</v>
      </c>
      <c r="R4363">
        <v>0.99936170423426796</v>
      </c>
      <c r="S4363" t="s">
        <v>10815</v>
      </c>
      <c r="T4363" t="s">
        <v>12902</v>
      </c>
      <c r="U4363" t="s">
        <v>12902</v>
      </c>
      <c r="V4363" t="s">
        <v>12902</v>
      </c>
      <c r="W4363" t="s">
        <v>17218</v>
      </c>
      <c r="X4363">
        <v>6</v>
      </c>
      <c r="Y4363" t="s">
        <v>23524</v>
      </c>
      <c r="Z4363" t="s">
        <v>29938</v>
      </c>
      <c r="AA4363">
        <v>0.46600445729167189</v>
      </c>
      <c r="AB4363" t="str">
        <f>HYPERLINK("Melting_Curves/meltCurve_Q8IZ81_ELMOD2.pdf", "Melting_Curves/meltCurve_Q8IZ81_ELMOD2.pdf")</f>
        <v>Melting_Curves/meltCurve_Q8IZ81_ELMOD2.pdf</v>
      </c>
    </row>
    <row r="4364" spans="1:28" x14ac:dyDescent="0.25">
      <c r="A4364" t="s">
        <v>4368</v>
      </c>
      <c r="B4364">
        <v>0.99673306730245903</v>
      </c>
      <c r="C4364">
        <v>0.89834303829789497</v>
      </c>
      <c r="D4364">
        <v>1.0018270642457601</v>
      </c>
      <c r="E4364">
        <v>1.0718686034673</v>
      </c>
      <c r="F4364">
        <v>1.00682711964031</v>
      </c>
      <c r="G4364">
        <v>0.98220891209268002</v>
      </c>
      <c r="H4364">
        <v>1.0535890713021201</v>
      </c>
      <c r="I4364">
        <v>0.81354034393448005</v>
      </c>
      <c r="J4364">
        <v>0.46666467849294802</v>
      </c>
      <c r="K4364">
        <v>0.29301942700084699</v>
      </c>
      <c r="L4364">
        <v>3136.64673024272</v>
      </c>
      <c r="M4364">
        <v>47.784693289909903</v>
      </c>
      <c r="N4364">
        <v>66.682341220805597</v>
      </c>
      <c r="O4364">
        <v>65.526590195625204</v>
      </c>
      <c r="P4364">
        <v>-0.134384284380519</v>
      </c>
      <c r="Q4364">
        <v>0.262882381368019</v>
      </c>
      <c r="R4364">
        <v>0.96669053682523198</v>
      </c>
      <c r="S4364" t="s">
        <v>10816</v>
      </c>
      <c r="T4364" t="s">
        <v>12902</v>
      </c>
      <c r="U4364" t="s">
        <v>12902</v>
      </c>
      <c r="V4364" t="s">
        <v>12902</v>
      </c>
      <c r="W4364" t="s">
        <v>17219</v>
      </c>
      <c r="X4364">
        <v>9</v>
      </c>
      <c r="Y4364" t="s">
        <v>23525</v>
      </c>
      <c r="Z4364" t="s">
        <v>29939</v>
      </c>
      <c r="AA4364">
        <v>0.89323794855476413</v>
      </c>
      <c r="AB4364" t="str">
        <f>HYPERLINK("Melting_Curves/meltCurve_Q8IZ83_ALDH16A1.pdf", "Melting_Curves/meltCurve_Q8IZ83_ALDH16A1.pdf")</f>
        <v>Melting_Curves/meltCurve_Q8IZ83_ALDH16A1.pdf</v>
      </c>
    </row>
    <row r="4365" spans="1:28" x14ac:dyDescent="0.25">
      <c r="A4365" t="s">
        <v>4369</v>
      </c>
      <c r="B4365">
        <v>0.99673306730245903</v>
      </c>
      <c r="C4365">
        <v>1.0015093492148499</v>
      </c>
      <c r="D4365">
        <v>0.906562567747346</v>
      </c>
      <c r="E4365">
        <v>1.13586905585111</v>
      </c>
      <c r="F4365">
        <v>0.90722121132868905</v>
      </c>
      <c r="G4365">
        <v>0.52095213333061496</v>
      </c>
      <c r="H4365">
        <v>7.1965650701426007E-2</v>
      </c>
      <c r="I4365">
        <v>5.7675125292367999E-2</v>
      </c>
      <c r="J4365">
        <v>4.8906582282507598E-2</v>
      </c>
      <c r="K4365">
        <v>5.0795160277662101E-2</v>
      </c>
      <c r="L4365">
        <v>2357.2404088302901</v>
      </c>
      <c r="M4365">
        <v>41.551871136006604</v>
      </c>
      <c r="N4365">
        <v>56.850848345011102</v>
      </c>
      <c r="O4365">
        <v>56.599152036911597</v>
      </c>
      <c r="P4365">
        <v>-0.17578365773041199</v>
      </c>
      <c r="Q4365">
        <v>4.2239370143774699E-2</v>
      </c>
      <c r="R4365">
        <v>0.98471742064295698</v>
      </c>
      <c r="S4365" t="s">
        <v>10817</v>
      </c>
      <c r="T4365" t="s">
        <v>12902</v>
      </c>
      <c r="U4365" t="s">
        <v>12902</v>
      </c>
      <c r="V4365" t="s">
        <v>12902</v>
      </c>
      <c r="W4365" t="s">
        <v>17220</v>
      </c>
      <c r="X4365">
        <v>1</v>
      </c>
      <c r="Y4365" t="s">
        <v>23526</v>
      </c>
      <c r="Z4365" t="s">
        <v>29940</v>
      </c>
      <c r="AA4365">
        <v>0.57980499615204273</v>
      </c>
      <c r="AB4365" t="str">
        <f>HYPERLINK("Melting_Curves/meltCurve_Q8IZF0_NALCN.pdf", "Melting_Curves/meltCurve_Q8IZF0_NALCN.pdf")</f>
        <v>Melting_Curves/meltCurve_Q8IZF0_NALCN.pdf</v>
      </c>
    </row>
    <row r="4366" spans="1:28" x14ac:dyDescent="0.25">
      <c r="A4366" t="s">
        <v>4370</v>
      </c>
      <c r="B4366">
        <v>0.99673306730245903</v>
      </c>
      <c r="C4366">
        <v>0.86455317991152902</v>
      </c>
      <c r="D4366">
        <v>0.71087809169312</v>
      </c>
      <c r="E4366">
        <v>0.27881174029904499</v>
      </c>
      <c r="F4366">
        <v>0.19931243949632199</v>
      </c>
      <c r="G4366">
        <v>0.12332328067307299</v>
      </c>
      <c r="H4366">
        <v>9.2345486473824706E-2</v>
      </c>
      <c r="I4366">
        <v>8.4414449753606E-2</v>
      </c>
      <c r="J4366">
        <v>6.9118261306172504E-2</v>
      </c>
      <c r="K4366">
        <v>6.0959550460618697E-2</v>
      </c>
      <c r="L4366">
        <v>993.96869229930303</v>
      </c>
      <c r="M4366">
        <v>21.030285875366499</v>
      </c>
      <c r="N4366">
        <v>47.657621276032103</v>
      </c>
      <c r="O4366">
        <v>46.842551422879801</v>
      </c>
      <c r="P4366">
        <v>-0.10328713940577899</v>
      </c>
      <c r="Q4366">
        <v>7.9783496911854601E-2</v>
      </c>
      <c r="R4366">
        <v>0.99294482748632296</v>
      </c>
      <c r="S4366" t="s">
        <v>10818</v>
      </c>
      <c r="T4366" t="s">
        <v>12902</v>
      </c>
      <c r="U4366" t="s">
        <v>12902</v>
      </c>
      <c r="V4366" t="s">
        <v>12902</v>
      </c>
      <c r="W4366" t="s">
        <v>17221</v>
      </c>
      <c r="X4366">
        <v>12</v>
      </c>
      <c r="Y4366" t="s">
        <v>23527</v>
      </c>
      <c r="Z4366" t="s">
        <v>29941</v>
      </c>
      <c r="AA4366">
        <v>0.31453863393087728</v>
      </c>
      <c r="AB4366" t="str">
        <f>HYPERLINK("Melting_Curves/meltCurve_Q8IZH2_2_XRN1.pdf", "Melting_Curves/meltCurve_Q8IZH2_2_XRN1.pdf")</f>
        <v>Melting_Curves/meltCurve_Q8IZH2_2_XRN1.pdf</v>
      </c>
    </row>
    <row r="4367" spans="1:28" x14ac:dyDescent="0.25">
      <c r="A4367" t="s">
        <v>4371</v>
      </c>
      <c r="B4367">
        <v>0.99673306730245903</v>
      </c>
      <c r="C4367">
        <v>0.94082659838410798</v>
      </c>
      <c r="D4367">
        <v>1.0086751721327101</v>
      </c>
      <c r="E4367">
        <v>0.76944471344940901</v>
      </c>
      <c r="F4367">
        <v>0.63220707930311804</v>
      </c>
      <c r="G4367">
        <v>0.488954781492352</v>
      </c>
      <c r="H4367">
        <v>0.43622833829353302</v>
      </c>
      <c r="I4367">
        <v>0.51736711152099801</v>
      </c>
      <c r="J4367">
        <v>0.82644989009557301</v>
      </c>
      <c r="K4367">
        <v>0.855498968500637</v>
      </c>
      <c r="L4367">
        <v>6856.6461949874601</v>
      </c>
      <c r="M4367">
        <v>138.71414242738601</v>
      </c>
      <c r="O4367">
        <v>49.419795523834999</v>
      </c>
      <c r="P4367">
        <v>-0.26236091464962302</v>
      </c>
      <c r="Q4367">
        <v>0.62611407263141305</v>
      </c>
      <c r="R4367">
        <v>0.60806872815517798</v>
      </c>
      <c r="S4367" t="s">
        <v>10819</v>
      </c>
      <c r="T4367" t="s">
        <v>12902</v>
      </c>
      <c r="U4367" t="s">
        <v>12902</v>
      </c>
      <c r="V4367" t="s">
        <v>12902</v>
      </c>
      <c r="W4367" t="s">
        <v>17222</v>
      </c>
      <c r="X4367">
        <v>6</v>
      </c>
      <c r="Y4367" t="s">
        <v>23528</v>
      </c>
      <c r="Z4367" t="s">
        <v>29942</v>
      </c>
      <c r="AA4367">
        <v>0.74374483790591028</v>
      </c>
      <c r="AB4367" t="str">
        <f>HYPERLINK("Melting_Curves/meltCurve_Q8IZL2_MAML2.pdf", "Melting_Curves/meltCurve_Q8IZL2_MAML2.pdf")</f>
        <v>Melting_Curves/meltCurve_Q8IZL2_MAML2.pdf</v>
      </c>
    </row>
    <row r="4368" spans="1:28" x14ac:dyDescent="0.25">
      <c r="A4368" t="s">
        <v>4372</v>
      </c>
      <c r="B4368">
        <v>0.99673306730245903</v>
      </c>
      <c r="C4368">
        <v>0.99142873678967303</v>
      </c>
      <c r="D4368">
        <v>0.91913797053956603</v>
      </c>
      <c r="E4368">
        <v>1.0204746124342501</v>
      </c>
      <c r="F4368">
        <v>0.760812125857945</v>
      </c>
      <c r="G4368">
        <v>0.56691694503613699</v>
      </c>
      <c r="H4368">
        <v>0.26944641717814</v>
      </c>
      <c r="I4368">
        <v>0.35182338191477602</v>
      </c>
      <c r="J4368">
        <v>0.34543670525977999</v>
      </c>
      <c r="K4368">
        <v>0.41096647020794003</v>
      </c>
      <c r="L4368">
        <v>1614.2662050069</v>
      </c>
      <c r="M4368">
        <v>29.5183834764964</v>
      </c>
      <c r="N4368">
        <v>56.922874605416702</v>
      </c>
      <c r="O4368">
        <v>54.437665383633302</v>
      </c>
      <c r="P4368">
        <v>-8.9038532410955801E-2</v>
      </c>
      <c r="Q4368">
        <v>0.34318678243831002</v>
      </c>
      <c r="R4368">
        <v>0.96515611372577004</v>
      </c>
      <c r="S4368" t="s">
        <v>10820</v>
      </c>
      <c r="T4368" t="s">
        <v>12902</v>
      </c>
      <c r="U4368" t="s">
        <v>12902</v>
      </c>
      <c r="V4368" t="s">
        <v>12902</v>
      </c>
      <c r="W4368" t="s">
        <v>17223</v>
      </c>
      <c r="X4368">
        <v>6</v>
      </c>
      <c r="Y4368" t="s">
        <v>23529</v>
      </c>
      <c r="Z4368" t="s">
        <v>29943</v>
      </c>
      <c r="AA4368">
        <v>0.66921726011703586</v>
      </c>
      <c r="AB4368" t="str">
        <f>HYPERLINK("Melting_Curves/meltCurve_Q8IZQ5_SELH.pdf", "Melting_Curves/meltCurve_Q8IZQ5_SELH.pdf")</f>
        <v>Melting_Curves/meltCurve_Q8IZQ5_SELH.pdf</v>
      </c>
    </row>
    <row r="4369" spans="1:28" x14ac:dyDescent="0.25">
      <c r="A4369" t="s">
        <v>4373</v>
      </c>
      <c r="B4369">
        <v>0.99673306730245903</v>
      </c>
      <c r="C4369">
        <v>0.86717021196536603</v>
      </c>
      <c r="D4369">
        <v>0.88348322892259601</v>
      </c>
      <c r="E4369">
        <v>0.80951087831657598</v>
      </c>
      <c r="F4369">
        <v>0.68294882997621298</v>
      </c>
      <c r="G4369">
        <v>0.66429356099742298</v>
      </c>
      <c r="H4369">
        <v>0.84397069553149395</v>
      </c>
      <c r="I4369">
        <v>1.27488593738767</v>
      </c>
      <c r="J4369">
        <v>1.4568958922889701</v>
      </c>
      <c r="K4369">
        <v>1.60626832902459</v>
      </c>
      <c r="L4369">
        <v>15000</v>
      </c>
      <c r="M4369">
        <v>234.57469885254301</v>
      </c>
      <c r="O4369">
        <v>63.940875096525602</v>
      </c>
      <c r="P4369">
        <v>0.45857741028326499</v>
      </c>
      <c r="Q4369">
        <v>1.5</v>
      </c>
      <c r="R4369">
        <v>0.66719573028680601</v>
      </c>
      <c r="S4369" t="s">
        <v>10821</v>
      </c>
      <c r="T4369" t="s">
        <v>12902</v>
      </c>
      <c r="U4369" t="s">
        <v>12902</v>
      </c>
      <c r="V4369" t="s">
        <v>12902</v>
      </c>
      <c r="W4369" t="s">
        <v>17224</v>
      </c>
      <c r="X4369">
        <v>2</v>
      </c>
      <c r="Y4369" t="s">
        <v>23530</v>
      </c>
      <c r="Z4369" t="s">
        <v>29944</v>
      </c>
      <c r="AA4369">
        <v>1.1008443420519329</v>
      </c>
      <c r="AB4369" t="str">
        <f>HYPERLINK("Melting_Curves/meltCurve_Q8IZR5_2_CMTM4.pdf", "Melting_Curves/meltCurve_Q8IZR5_2_CMTM4.pdf")</f>
        <v>Melting_Curves/meltCurve_Q8IZR5_2_CMTM4.pdf</v>
      </c>
    </row>
    <row r="4370" spans="1:28" x14ac:dyDescent="0.25">
      <c r="A4370" t="s">
        <v>4374</v>
      </c>
      <c r="B4370">
        <v>0.99673306730245903</v>
      </c>
      <c r="C4370">
        <v>0.98426927778144102</v>
      </c>
      <c r="D4370">
        <v>0.89151823883409498</v>
      </c>
      <c r="E4370">
        <v>0.73386947769520305</v>
      </c>
      <c r="F4370">
        <v>0.350466691311414</v>
      </c>
      <c r="G4370">
        <v>0.177058467994512</v>
      </c>
      <c r="H4370">
        <v>9.4236112484521795E-2</v>
      </c>
      <c r="I4370">
        <v>9.2637659406069606E-2</v>
      </c>
      <c r="J4370">
        <v>0.10356882101511999</v>
      </c>
      <c r="K4370">
        <v>8.2658838643210997E-2</v>
      </c>
      <c r="L4370">
        <v>1146.7649748289</v>
      </c>
      <c r="M4370">
        <v>22.365998035024798</v>
      </c>
      <c r="N4370">
        <v>51.684894087724899</v>
      </c>
      <c r="O4370">
        <v>50.868098883223198</v>
      </c>
      <c r="P4370">
        <v>-0.100944440188508</v>
      </c>
      <c r="Q4370">
        <v>8.1687590742520799E-2</v>
      </c>
      <c r="R4370">
        <v>0.99771994411138298</v>
      </c>
      <c r="S4370" t="s">
        <v>10822</v>
      </c>
      <c r="T4370" t="s">
        <v>12902</v>
      </c>
      <c r="U4370" t="s">
        <v>12902</v>
      </c>
      <c r="V4370" t="s">
        <v>12902</v>
      </c>
      <c r="W4370" t="s">
        <v>17225</v>
      </c>
      <c r="X4370">
        <v>3</v>
      </c>
      <c r="Y4370" t="s">
        <v>23531</v>
      </c>
      <c r="Z4370" t="s">
        <v>29945</v>
      </c>
      <c r="AA4370">
        <v>0.43707040982833423</v>
      </c>
      <c r="AB4370" t="str">
        <f>HYPERLINK("Melting_Curves/meltCurve_Q8IZV5_RDH10.pdf", "Melting_Curves/meltCurve_Q8IZV5_RDH10.pdf")</f>
        <v>Melting_Curves/meltCurve_Q8IZV5_RDH10.pdf</v>
      </c>
    </row>
    <row r="4371" spans="1:28" x14ac:dyDescent="0.25">
      <c r="A4371" t="s">
        <v>4375</v>
      </c>
      <c r="B4371">
        <v>0.99673306730245903</v>
      </c>
      <c r="C4371">
        <v>0.64244157006413105</v>
      </c>
      <c r="D4371">
        <v>0.338157900025499</v>
      </c>
      <c r="E4371">
        <v>0.20835548629109499</v>
      </c>
      <c r="F4371">
        <v>0.101920443977932</v>
      </c>
      <c r="G4371">
        <v>7.1507244744123594E-2</v>
      </c>
      <c r="H4371">
        <v>4.87496192236457E-2</v>
      </c>
      <c r="I4371">
        <v>5.6969408896358903E-2</v>
      </c>
      <c r="J4371">
        <v>5.81983991379382E-2</v>
      </c>
      <c r="K4371">
        <v>5.2459948220634899E-2</v>
      </c>
      <c r="L4371">
        <v>951.75679005901304</v>
      </c>
      <c r="M4371">
        <v>21.511599041522601</v>
      </c>
      <c r="N4371">
        <v>44.533402078212802</v>
      </c>
      <c r="O4371">
        <v>43.8668695749232</v>
      </c>
      <c r="P4371">
        <v>-0.11459887464535599</v>
      </c>
      <c r="Q4371">
        <v>6.5253935269961705E-2</v>
      </c>
      <c r="R4371">
        <v>0.98570551219657099</v>
      </c>
      <c r="S4371" t="s">
        <v>10823</v>
      </c>
      <c r="T4371" t="s">
        <v>12902</v>
      </c>
      <c r="U4371" t="s">
        <v>12902</v>
      </c>
      <c r="V4371" t="s">
        <v>12902</v>
      </c>
      <c r="W4371" t="s">
        <v>17226</v>
      </c>
      <c r="X4371">
        <v>3</v>
      </c>
      <c r="Y4371" t="s">
        <v>23532</v>
      </c>
      <c r="Z4371" t="s">
        <v>29946</v>
      </c>
      <c r="AA4371">
        <v>0.21223156497865159</v>
      </c>
      <c r="AB4371" t="str">
        <f>HYPERLINK("Melting_Curves/meltCurve_Q8IZW8_TNS4.pdf", "Melting_Curves/meltCurve_Q8IZW8_TNS4.pdf")</f>
        <v>Melting_Curves/meltCurve_Q8IZW8_TNS4.pdf</v>
      </c>
    </row>
    <row r="4372" spans="1:28" x14ac:dyDescent="0.25">
      <c r="A4372" t="s">
        <v>4376</v>
      </c>
      <c r="B4372">
        <v>0.99673306730245903</v>
      </c>
      <c r="C4372">
        <v>0.96133529299015497</v>
      </c>
      <c r="D4372">
        <v>0.98247308974599401</v>
      </c>
      <c r="E4372">
        <v>0.68931693431086305</v>
      </c>
      <c r="F4372">
        <v>0.61487548311019002</v>
      </c>
      <c r="G4372">
        <v>0.37725639796332699</v>
      </c>
      <c r="H4372">
        <v>0.25274945595135101</v>
      </c>
      <c r="I4372">
        <v>0.30020755778179697</v>
      </c>
      <c r="J4372">
        <v>0.201297413380747</v>
      </c>
      <c r="K4372">
        <v>0.211916807638212</v>
      </c>
      <c r="L4372">
        <v>791.37781031459997</v>
      </c>
      <c r="M4372">
        <v>15.063296700951099</v>
      </c>
      <c r="N4372">
        <v>54.3210392206718</v>
      </c>
      <c r="O4372">
        <v>51.636994257607697</v>
      </c>
      <c r="P4372">
        <v>-5.8703108540076598E-2</v>
      </c>
      <c r="Q4372">
        <v>0.195142754063614</v>
      </c>
      <c r="R4372">
        <v>0.98144644192647801</v>
      </c>
      <c r="S4372" t="s">
        <v>10824</v>
      </c>
      <c r="T4372" t="s">
        <v>12902</v>
      </c>
      <c r="U4372" t="s">
        <v>12902</v>
      </c>
      <c r="V4372" t="s">
        <v>12902</v>
      </c>
      <c r="W4372" t="s">
        <v>17227</v>
      </c>
      <c r="X4372">
        <v>2</v>
      </c>
      <c r="Y4372" t="s">
        <v>23533</v>
      </c>
      <c r="Z4372" t="s">
        <v>29947</v>
      </c>
      <c r="AA4372">
        <v>0.5490245830635252</v>
      </c>
      <c r="AB4372" t="str">
        <f>HYPERLINK("Melting_Curves/meltCurve_Q8J025_APCDD1.pdf", "Melting_Curves/meltCurve_Q8J025_APCDD1.pdf")</f>
        <v>Melting_Curves/meltCurve_Q8J025_APCDD1.pdf</v>
      </c>
    </row>
    <row r="4373" spans="1:28" x14ac:dyDescent="0.25">
      <c r="A4373" t="s">
        <v>4377</v>
      </c>
      <c r="B4373">
        <v>0.99673306730245903</v>
      </c>
      <c r="C4373">
        <v>0.99370452968372203</v>
      </c>
      <c r="D4373">
        <v>1.0221580296760999</v>
      </c>
      <c r="E4373">
        <v>0.88342728742904097</v>
      </c>
      <c r="F4373">
        <v>0.83402221272374399</v>
      </c>
      <c r="G4373">
        <v>0.57741828663217898</v>
      </c>
      <c r="H4373">
        <v>0.38564268685066999</v>
      </c>
      <c r="I4373">
        <v>0.460599868490908</v>
      </c>
      <c r="J4373">
        <v>0.72298096725184902</v>
      </c>
      <c r="K4373">
        <v>0.80384120075563303</v>
      </c>
      <c r="L4373">
        <v>2664.0286048435701</v>
      </c>
      <c r="M4373">
        <v>49.8450297149327</v>
      </c>
      <c r="O4373">
        <v>53.360407885818901</v>
      </c>
      <c r="P4373">
        <v>-9.6404928655157596E-2</v>
      </c>
      <c r="Q4373">
        <v>0.58718437049663996</v>
      </c>
      <c r="R4373">
        <v>0.70831668275715798</v>
      </c>
      <c r="S4373" t="s">
        <v>10825</v>
      </c>
      <c r="T4373" t="s">
        <v>12902</v>
      </c>
      <c r="U4373" t="s">
        <v>12902</v>
      </c>
      <c r="V4373" t="s">
        <v>12902</v>
      </c>
      <c r="W4373" t="s">
        <v>17228</v>
      </c>
      <c r="X4373">
        <v>4</v>
      </c>
      <c r="Y4373" t="s">
        <v>23534</v>
      </c>
      <c r="Z4373" t="s">
        <v>29948</v>
      </c>
      <c r="AA4373">
        <v>0.77319053342483002</v>
      </c>
      <c r="AB4373" t="str">
        <f>HYPERLINK("Melting_Curves/meltCurve_Q8N0T1_C8orf59.pdf", "Melting_Curves/meltCurve_Q8N0T1_C8orf59.pdf")</f>
        <v>Melting_Curves/meltCurve_Q8N0T1_C8orf59.pdf</v>
      </c>
    </row>
    <row r="4374" spans="1:28" x14ac:dyDescent="0.25">
      <c r="A4374" t="s">
        <v>4378</v>
      </c>
      <c r="B4374">
        <v>0.99673306730245903</v>
      </c>
      <c r="C4374">
        <v>0.95750997050485898</v>
      </c>
      <c r="D4374">
        <v>0.97946141575641599</v>
      </c>
      <c r="E4374">
        <v>1.0494728341099699</v>
      </c>
      <c r="F4374">
        <v>0.87608596363374203</v>
      </c>
      <c r="G4374">
        <v>0.68312976597532504</v>
      </c>
      <c r="H4374">
        <v>0.316683407318196</v>
      </c>
      <c r="I4374">
        <v>0.109978704168001</v>
      </c>
      <c r="J4374">
        <v>8.5032804785381499E-2</v>
      </c>
      <c r="K4374">
        <v>6.9642006960581399E-2</v>
      </c>
      <c r="L4374">
        <v>1405.8812911187599</v>
      </c>
      <c r="M4374">
        <v>24.091357459277098</v>
      </c>
      <c r="N4374">
        <v>58.555939524720202</v>
      </c>
      <c r="O4374">
        <v>57.958625972018702</v>
      </c>
      <c r="P4374">
        <v>-9.9819502240183405E-2</v>
      </c>
      <c r="Q4374">
        <v>3.94379246078264E-2</v>
      </c>
      <c r="R4374">
        <v>0.99420216499425595</v>
      </c>
      <c r="S4374" t="s">
        <v>10826</v>
      </c>
      <c r="T4374" t="s">
        <v>12902</v>
      </c>
      <c r="U4374" t="s">
        <v>12902</v>
      </c>
      <c r="V4374" t="s">
        <v>12902</v>
      </c>
      <c r="W4374" t="s">
        <v>17229</v>
      </c>
      <c r="X4374">
        <v>3</v>
      </c>
      <c r="Y4374" t="s">
        <v>23535</v>
      </c>
      <c r="Z4374" t="s">
        <v>29949</v>
      </c>
      <c r="AA4374">
        <v>0.63579069727879078</v>
      </c>
      <c r="AB4374" t="str">
        <f>HYPERLINK("Melting_Curves/meltCurve_Q8N0U4_FAM185A.pdf", "Melting_Curves/meltCurve_Q8N0U4_FAM185A.pdf")</f>
        <v>Melting_Curves/meltCurve_Q8N0U4_FAM185A.pdf</v>
      </c>
    </row>
    <row r="4375" spans="1:28" x14ac:dyDescent="0.25">
      <c r="A4375" t="s">
        <v>4379</v>
      </c>
      <c r="B4375">
        <v>0.99673306730245903</v>
      </c>
      <c r="C4375">
        <v>0.956009208352118</v>
      </c>
      <c r="D4375">
        <v>0.90198487587923104</v>
      </c>
      <c r="E4375">
        <v>0.747373597963092</v>
      </c>
      <c r="F4375">
        <v>0.67114636368672298</v>
      </c>
      <c r="G4375">
        <v>0.59524838646089795</v>
      </c>
      <c r="H4375">
        <v>0.48850430523853799</v>
      </c>
      <c r="I4375">
        <v>0.58407813430435795</v>
      </c>
      <c r="J4375">
        <v>0.67733817063872204</v>
      </c>
      <c r="K4375">
        <v>0.70055025534511595</v>
      </c>
      <c r="L4375">
        <v>1086.76513317592</v>
      </c>
      <c r="M4375">
        <v>22.5569334325345</v>
      </c>
      <c r="O4375">
        <v>47.804899294414597</v>
      </c>
      <c r="P4375">
        <v>-4.60407364505366E-2</v>
      </c>
      <c r="Q4375">
        <v>0.60971144532074095</v>
      </c>
      <c r="R4375">
        <v>0.88108816081166597</v>
      </c>
      <c r="S4375" t="s">
        <v>10827</v>
      </c>
      <c r="T4375" t="s">
        <v>12902</v>
      </c>
      <c r="U4375" t="s">
        <v>12902</v>
      </c>
      <c r="V4375" t="s">
        <v>12902</v>
      </c>
      <c r="W4375" t="s">
        <v>17230</v>
      </c>
      <c r="X4375">
        <v>2</v>
      </c>
      <c r="Y4375" t="s">
        <v>23536</v>
      </c>
      <c r="Z4375" t="s">
        <v>29950</v>
      </c>
      <c r="AA4375">
        <v>0.7204007737234811</v>
      </c>
      <c r="AB4375" t="str">
        <f>HYPERLINK("Melting_Curves/meltCurve_Q8N0U8_VKORC1L1.pdf", "Melting_Curves/meltCurve_Q8N0U8_VKORC1L1.pdf")</f>
        <v>Melting_Curves/meltCurve_Q8N0U8_VKORC1L1.pdf</v>
      </c>
    </row>
    <row r="4376" spans="1:28" x14ac:dyDescent="0.25">
      <c r="A4376" t="s">
        <v>4380</v>
      </c>
      <c r="B4376">
        <v>0.99673306730245903</v>
      </c>
      <c r="C4376">
        <v>0.97126982478524104</v>
      </c>
      <c r="D4376">
        <v>1.0541188852419701</v>
      </c>
      <c r="E4376">
        <v>1.26307611067545</v>
      </c>
      <c r="F4376">
        <v>1.3685063617812001</v>
      </c>
      <c r="G4376">
        <v>1.1000563348728301</v>
      </c>
      <c r="H4376">
        <v>0.52538586905352802</v>
      </c>
      <c r="I4376">
        <v>0.12852541052180499</v>
      </c>
      <c r="J4376">
        <v>6.6718682719846906E-2</v>
      </c>
      <c r="K4376">
        <v>4.5871045294822201E-2</v>
      </c>
      <c r="L4376">
        <v>4594.8851409068302</v>
      </c>
      <c r="M4376">
        <v>75.598251410235207</v>
      </c>
      <c r="N4376">
        <v>60.906369089488599</v>
      </c>
      <c r="O4376">
        <v>60.737819847207703</v>
      </c>
      <c r="P4376">
        <v>-0.28863401508390801</v>
      </c>
      <c r="Q4376">
        <v>7.2412526541478894E-2</v>
      </c>
      <c r="R4376">
        <v>0.90641077408730597</v>
      </c>
      <c r="S4376" t="s">
        <v>10828</v>
      </c>
      <c r="T4376" t="s">
        <v>12902</v>
      </c>
      <c r="U4376" t="s">
        <v>12902</v>
      </c>
      <c r="V4376" t="s">
        <v>12902</v>
      </c>
      <c r="W4376" t="s">
        <v>17231</v>
      </c>
      <c r="X4376">
        <v>5</v>
      </c>
      <c r="Y4376" t="s">
        <v>23537</v>
      </c>
      <c r="Z4376" t="s">
        <v>29951</v>
      </c>
      <c r="AA4376">
        <v>0.7160138573309055</v>
      </c>
      <c r="AB4376" t="str">
        <f>HYPERLINK("Melting_Curves/meltCurve_Q8N0W3_FUK.pdf", "Melting_Curves/meltCurve_Q8N0W3_FUK.pdf")</f>
        <v>Melting_Curves/meltCurve_Q8N0W3_FUK.pdf</v>
      </c>
    </row>
    <row r="4377" spans="1:28" x14ac:dyDescent="0.25">
      <c r="A4377" t="s">
        <v>4381</v>
      </c>
      <c r="B4377">
        <v>0.99673306730245903</v>
      </c>
      <c r="C4377">
        <v>1.02352464688713</v>
      </c>
      <c r="D4377">
        <v>0.99992572211261299</v>
      </c>
      <c r="E4377">
        <v>1.0607207667830301</v>
      </c>
      <c r="F4377">
        <v>0.94394656413784095</v>
      </c>
      <c r="G4377">
        <v>0.65207966594488198</v>
      </c>
      <c r="H4377">
        <v>0.213003301493043</v>
      </c>
      <c r="I4377">
        <v>9.1769118808920094E-2</v>
      </c>
      <c r="J4377">
        <v>8.8802902243655293E-2</v>
      </c>
      <c r="K4377">
        <v>7.5016963458793107E-2</v>
      </c>
      <c r="L4377">
        <v>1978.86687468074</v>
      </c>
      <c r="M4377">
        <v>34.324969153331303</v>
      </c>
      <c r="N4377">
        <v>57.919572227696399</v>
      </c>
      <c r="O4377">
        <v>57.456324333540401</v>
      </c>
      <c r="P4377">
        <v>-0.13836226514755201</v>
      </c>
      <c r="Q4377">
        <v>7.3589121883004399E-2</v>
      </c>
      <c r="R4377">
        <v>0.99720204817587499</v>
      </c>
      <c r="S4377" t="s">
        <v>10829</v>
      </c>
      <c r="T4377" t="s">
        <v>12902</v>
      </c>
      <c r="U4377" t="s">
        <v>12902</v>
      </c>
      <c r="V4377" t="s">
        <v>12902</v>
      </c>
      <c r="W4377" t="s">
        <v>17232</v>
      </c>
      <c r="X4377">
        <v>19</v>
      </c>
      <c r="Y4377" t="s">
        <v>23538</v>
      </c>
      <c r="Z4377" t="s">
        <v>29952</v>
      </c>
      <c r="AA4377">
        <v>0.62349427651780887</v>
      </c>
      <c r="AB4377" t="str">
        <f>HYPERLINK("Melting_Curves/meltCurve_Q8N0X4_CLYBL.pdf", "Melting_Curves/meltCurve_Q8N0X4_CLYBL.pdf")</f>
        <v>Melting_Curves/meltCurve_Q8N0X4_CLYBL.pdf</v>
      </c>
    </row>
    <row r="4378" spans="1:28" x14ac:dyDescent="0.25">
      <c r="A4378" t="s">
        <v>4382</v>
      </c>
      <c r="B4378">
        <v>0.99673306730245903</v>
      </c>
      <c r="C4378">
        <v>0.96292792432345597</v>
      </c>
      <c r="D4378">
        <v>0.50980812596373304</v>
      </c>
      <c r="E4378">
        <v>0.217738097888131</v>
      </c>
      <c r="F4378">
        <v>0.16194623492092899</v>
      </c>
      <c r="G4378">
        <v>0.113085772761594</v>
      </c>
      <c r="H4378">
        <v>7.3712471991109293E-2</v>
      </c>
      <c r="I4378">
        <v>7.1727357801450703E-2</v>
      </c>
      <c r="J4378">
        <v>5.5939178990067603E-2</v>
      </c>
      <c r="K4378">
        <v>4.8346566037175499E-2</v>
      </c>
      <c r="L4378">
        <v>1367.24112397518</v>
      </c>
      <c r="M4378">
        <v>29.700808523309799</v>
      </c>
      <c r="N4378">
        <v>46.331095754438302</v>
      </c>
      <c r="O4378">
        <v>45.826629214747399</v>
      </c>
      <c r="P4378">
        <v>-0.14797138985908101</v>
      </c>
      <c r="Q4378">
        <v>8.6761041198204006E-2</v>
      </c>
      <c r="R4378">
        <v>0.98980396757143596</v>
      </c>
      <c r="S4378" t="s">
        <v>10830</v>
      </c>
      <c r="T4378" t="s">
        <v>12902</v>
      </c>
      <c r="U4378" t="s">
        <v>12902</v>
      </c>
      <c r="V4378" t="s">
        <v>12902</v>
      </c>
      <c r="W4378" t="s">
        <v>17233</v>
      </c>
      <c r="X4378">
        <v>5</v>
      </c>
      <c r="Y4378" t="s">
        <v>23539</v>
      </c>
      <c r="Z4378" t="s">
        <v>29953</v>
      </c>
      <c r="AA4378">
        <v>0.2761239001816197</v>
      </c>
      <c r="AB4378" t="str">
        <f>HYPERLINK("Melting_Curves/meltCurve_Q8N0Z6_TTC5.pdf", "Melting_Curves/meltCurve_Q8N0Z6_TTC5.pdf")</f>
        <v>Melting_Curves/meltCurve_Q8N0Z6_TTC5.pdf</v>
      </c>
    </row>
    <row r="4379" spans="1:28" x14ac:dyDescent="0.25">
      <c r="A4379" t="s">
        <v>4383</v>
      </c>
      <c r="B4379">
        <v>0.99673306730245903</v>
      </c>
      <c r="C4379">
        <v>1.0025240475605699</v>
      </c>
      <c r="D4379">
        <v>0.92758977708093604</v>
      </c>
      <c r="E4379">
        <v>0.726168460018497</v>
      </c>
      <c r="F4379">
        <v>0.569530550680036</v>
      </c>
      <c r="G4379">
        <v>0.38513476263670798</v>
      </c>
      <c r="H4379">
        <v>0.212122944253304</v>
      </c>
      <c r="I4379">
        <v>0.20287310353535001</v>
      </c>
      <c r="J4379">
        <v>0.18632109814641901</v>
      </c>
      <c r="K4379">
        <v>0.168448664651003</v>
      </c>
      <c r="L4379">
        <v>785.35906836039396</v>
      </c>
      <c r="M4379">
        <v>14.866015145689399</v>
      </c>
      <c r="N4379">
        <v>54.041912816480902</v>
      </c>
      <c r="O4379">
        <v>51.900845855394103</v>
      </c>
      <c r="P4379">
        <v>-6.1457902937420601E-2</v>
      </c>
      <c r="Q4379">
        <v>0.14183233153653799</v>
      </c>
      <c r="R4379">
        <v>0.99579073901812998</v>
      </c>
      <c r="S4379" t="s">
        <v>10831</v>
      </c>
      <c r="T4379" t="s">
        <v>12902</v>
      </c>
      <c r="U4379" t="s">
        <v>12902</v>
      </c>
      <c r="V4379" t="s">
        <v>12902</v>
      </c>
      <c r="W4379" t="s">
        <v>17234</v>
      </c>
      <c r="X4379">
        <v>3</v>
      </c>
      <c r="Y4379" t="s">
        <v>23540</v>
      </c>
      <c r="Z4379" t="s">
        <v>29954</v>
      </c>
      <c r="AA4379">
        <v>0.52765262141860025</v>
      </c>
      <c r="AB4379" t="str">
        <f>HYPERLINK("Melting_Curves/meltCurve_Q8N0Z8_PUSL1.pdf", "Melting_Curves/meltCurve_Q8N0Z8_PUSL1.pdf")</f>
        <v>Melting_Curves/meltCurve_Q8N0Z8_PUSL1.pdf</v>
      </c>
    </row>
    <row r="4380" spans="1:28" x14ac:dyDescent="0.25">
      <c r="A4380" t="s">
        <v>4384</v>
      </c>
      <c r="B4380">
        <v>0.99673306730245903</v>
      </c>
      <c r="C4380">
        <v>0.89208959464726201</v>
      </c>
      <c r="D4380">
        <v>0.83853813899384</v>
      </c>
      <c r="E4380">
        <v>0.62977824230396595</v>
      </c>
      <c r="F4380">
        <v>0.54995314154783204</v>
      </c>
      <c r="G4380">
        <v>0.55467757471525603</v>
      </c>
      <c r="H4380">
        <v>0.65821495936723795</v>
      </c>
      <c r="I4380">
        <v>0.92205654790997704</v>
      </c>
      <c r="J4380">
        <v>0.81188374706135602</v>
      </c>
      <c r="K4380">
        <v>0.76446722913890297</v>
      </c>
      <c r="L4380">
        <v>1343.5694440223001</v>
      </c>
      <c r="M4380">
        <v>30.193057686688501</v>
      </c>
      <c r="O4380">
        <v>44.305438831880998</v>
      </c>
      <c r="P4380">
        <v>-5.0802602407693701E-2</v>
      </c>
      <c r="Q4380">
        <v>0.70180990577407798</v>
      </c>
      <c r="R4380">
        <v>0.444287416453645</v>
      </c>
      <c r="S4380" t="s">
        <v>10832</v>
      </c>
      <c r="T4380" t="s">
        <v>12902</v>
      </c>
      <c r="U4380" t="s">
        <v>12902</v>
      </c>
      <c r="V4380" t="s">
        <v>12902</v>
      </c>
      <c r="W4380" t="s">
        <v>17235</v>
      </c>
      <c r="X4380">
        <v>2</v>
      </c>
      <c r="Y4380" t="s">
        <v>23541</v>
      </c>
      <c r="Z4380" t="s">
        <v>29955</v>
      </c>
      <c r="AA4380">
        <v>0.74852041698192151</v>
      </c>
      <c r="AB4380" t="str">
        <f>HYPERLINK("Melting_Curves/meltCurve_Q8N0Z9_2_VSIG10.pdf", "Melting_Curves/meltCurve_Q8N0Z9_2_VSIG10.pdf")</f>
        <v>Melting_Curves/meltCurve_Q8N0Z9_2_VSIG10.pdf</v>
      </c>
    </row>
    <row r="4381" spans="1:28" x14ac:dyDescent="0.25">
      <c r="A4381" t="s">
        <v>4385</v>
      </c>
      <c r="B4381">
        <v>0.99673306730245903</v>
      </c>
      <c r="C4381">
        <v>0.92821520572739902</v>
      </c>
      <c r="D4381">
        <v>0.91663492931373403</v>
      </c>
      <c r="E4381">
        <v>0.75590538322603495</v>
      </c>
      <c r="F4381">
        <v>0.297544083228307</v>
      </c>
      <c r="G4381">
        <v>0.19262834577906801</v>
      </c>
      <c r="H4381">
        <v>0.11313277728565101</v>
      </c>
      <c r="I4381">
        <v>0.136695339049765</v>
      </c>
      <c r="J4381">
        <v>0.15865415007161299</v>
      </c>
      <c r="K4381">
        <v>0.14179997663473201</v>
      </c>
      <c r="L4381">
        <v>1551.7221759275501</v>
      </c>
      <c r="M4381">
        <v>30.4875067740495</v>
      </c>
      <c r="N4381">
        <v>51.4392390634519</v>
      </c>
      <c r="O4381">
        <v>50.6795135828648</v>
      </c>
      <c r="P4381">
        <v>-0.12972596613252399</v>
      </c>
      <c r="Q4381">
        <v>0.13742919248585</v>
      </c>
      <c r="R4381">
        <v>0.99227704937156402</v>
      </c>
      <c r="S4381" t="s">
        <v>10833</v>
      </c>
      <c r="T4381" t="s">
        <v>12902</v>
      </c>
      <c r="U4381" t="s">
        <v>12902</v>
      </c>
      <c r="V4381" t="s">
        <v>12902</v>
      </c>
      <c r="W4381" t="s">
        <v>17236</v>
      </c>
      <c r="X4381">
        <v>10</v>
      </c>
      <c r="Y4381" t="s">
        <v>23542</v>
      </c>
      <c r="Z4381" t="s">
        <v>29956</v>
      </c>
      <c r="AA4381">
        <v>0.4559851724163892</v>
      </c>
      <c r="AB4381" t="str">
        <f>HYPERLINK("Melting_Curves/meltCurve_Q8N108_17_MIER1.pdf", "Melting_Curves/meltCurve_Q8N108_17_MIER1.pdf")</f>
        <v>Melting_Curves/meltCurve_Q8N108_17_MIER1.pdf</v>
      </c>
    </row>
    <row r="4382" spans="1:28" x14ac:dyDescent="0.25">
      <c r="A4382" t="s">
        <v>4386</v>
      </c>
      <c r="B4382">
        <v>0.99673306730245903</v>
      </c>
      <c r="C4382">
        <v>0.96137880714028401</v>
      </c>
      <c r="D4382">
        <v>0.94717649804648696</v>
      </c>
      <c r="E4382">
        <v>0.60358005638999801</v>
      </c>
      <c r="F4382">
        <v>0.215779066093501</v>
      </c>
      <c r="G4382">
        <v>0.14735546234513699</v>
      </c>
      <c r="H4382">
        <v>9.8725488138043396E-2</v>
      </c>
      <c r="I4382">
        <v>9.7100361543587796E-2</v>
      </c>
      <c r="J4382">
        <v>0.10487967369925601</v>
      </c>
      <c r="K4382">
        <v>9.6683161157426298E-2</v>
      </c>
      <c r="L4382">
        <v>1527.94268736705</v>
      </c>
      <c r="M4382">
        <v>30.573727413399698</v>
      </c>
      <c r="N4382">
        <v>50.351598915888999</v>
      </c>
      <c r="O4382">
        <v>49.763332288756096</v>
      </c>
      <c r="P4382">
        <v>-0.13792314656968699</v>
      </c>
      <c r="Q4382">
        <v>0.102042898841293</v>
      </c>
      <c r="R4382">
        <v>0.99873253887663804</v>
      </c>
      <c r="S4382" t="s">
        <v>10834</v>
      </c>
      <c r="T4382" t="s">
        <v>12902</v>
      </c>
      <c r="U4382" t="s">
        <v>12902</v>
      </c>
      <c r="V4382" t="s">
        <v>12902</v>
      </c>
      <c r="W4382" t="s">
        <v>17237</v>
      </c>
      <c r="X4382">
        <v>12</v>
      </c>
      <c r="Y4382" t="s">
        <v>23543</v>
      </c>
      <c r="Z4382" t="s">
        <v>29957</v>
      </c>
      <c r="AA4382">
        <v>0.40597681588169521</v>
      </c>
      <c r="AB4382" t="str">
        <f>HYPERLINK("Melting_Curves/meltCurve_Q8N122_RPTOR.pdf", "Melting_Curves/meltCurve_Q8N122_RPTOR.pdf")</f>
        <v>Melting_Curves/meltCurve_Q8N122_RPTOR.pdf</v>
      </c>
    </row>
    <row r="4383" spans="1:28" x14ac:dyDescent="0.25">
      <c r="A4383" t="s">
        <v>4387</v>
      </c>
      <c r="B4383">
        <v>0.99673306730245903</v>
      </c>
      <c r="C4383">
        <v>1.04451051571319</v>
      </c>
      <c r="D4383">
        <v>1.0141758335994699</v>
      </c>
      <c r="E4383">
        <v>0.87113930398820605</v>
      </c>
      <c r="F4383">
        <v>0.67169996342594296</v>
      </c>
      <c r="G4383">
        <v>0.45549961414759799</v>
      </c>
      <c r="H4383">
        <v>0.33825120676137799</v>
      </c>
      <c r="I4383">
        <v>0.49251082002230501</v>
      </c>
      <c r="J4383">
        <v>0.79502989056308204</v>
      </c>
      <c r="K4383">
        <v>0.737537467639508</v>
      </c>
      <c r="L4383">
        <v>2018.35509950553</v>
      </c>
      <c r="M4383">
        <v>39.662565491727499</v>
      </c>
      <c r="O4383">
        <v>50.759329642251799</v>
      </c>
      <c r="P4383">
        <v>-8.4314713604769498E-2</v>
      </c>
      <c r="Q4383">
        <v>0.56838415884242399</v>
      </c>
      <c r="R4383">
        <v>0.71996435045151597</v>
      </c>
      <c r="S4383" t="s">
        <v>10835</v>
      </c>
      <c r="T4383" t="s">
        <v>12902</v>
      </c>
      <c r="U4383" t="s">
        <v>12902</v>
      </c>
      <c r="V4383" t="s">
        <v>12902</v>
      </c>
      <c r="W4383" t="s">
        <v>17238</v>
      </c>
      <c r="X4383">
        <v>10</v>
      </c>
      <c r="Y4383" t="s">
        <v>23544</v>
      </c>
      <c r="Z4383" t="s">
        <v>29958</v>
      </c>
      <c r="AA4383">
        <v>0.72657860688306386</v>
      </c>
      <c r="AB4383" t="str">
        <f>HYPERLINK("Melting_Curves/meltCurve_Q8N129_CNPY4.pdf", "Melting_Curves/meltCurve_Q8N129_CNPY4.pdf")</f>
        <v>Melting_Curves/meltCurve_Q8N129_CNPY4.pdf</v>
      </c>
    </row>
    <row r="4384" spans="1:28" x14ac:dyDescent="0.25">
      <c r="A4384" t="s">
        <v>4388</v>
      </c>
      <c r="B4384">
        <v>0.99673306730245903</v>
      </c>
      <c r="C4384">
        <v>0.75474869081163198</v>
      </c>
      <c r="D4384">
        <v>0.572881339183128</v>
      </c>
      <c r="E4384">
        <v>0.26392642668658101</v>
      </c>
      <c r="F4384">
        <v>0.16446768598365599</v>
      </c>
      <c r="G4384">
        <v>0.123779573496528</v>
      </c>
      <c r="H4384">
        <v>8.6246997371506498E-2</v>
      </c>
      <c r="I4384">
        <v>8.2066593221839901E-2</v>
      </c>
      <c r="J4384">
        <v>8.3147675676122093E-2</v>
      </c>
      <c r="K4384">
        <v>7.1791247664898694E-2</v>
      </c>
      <c r="L4384">
        <v>813.39536806204205</v>
      </c>
      <c r="M4384">
        <v>17.655938558013801</v>
      </c>
      <c r="N4384">
        <v>46.515530339165601</v>
      </c>
      <c r="O4384">
        <v>45.490423324921402</v>
      </c>
      <c r="P4384">
        <v>-8.9475495415635403E-2</v>
      </c>
      <c r="Q4384">
        <v>7.7916720376898396E-2</v>
      </c>
      <c r="R4384">
        <v>0.99310330041397898</v>
      </c>
      <c r="S4384" t="s">
        <v>10836</v>
      </c>
      <c r="T4384" t="s">
        <v>12902</v>
      </c>
      <c r="U4384" t="s">
        <v>12902</v>
      </c>
      <c r="V4384" t="s">
        <v>12902</v>
      </c>
      <c r="W4384" t="s">
        <v>17239</v>
      </c>
      <c r="X4384">
        <v>13</v>
      </c>
      <c r="Y4384" t="s">
        <v>23545</v>
      </c>
      <c r="Z4384" t="s">
        <v>29959</v>
      </c>
      <c r="AA4384">
        <v>0.28326241696550358</v>
      </c>
      <c r="AB4384" t="str">
        <f>HYPERLINK("Melting_Curves/meltCurve_Q8N163_KIAA1967.pdf", "Melting_Curves/meltCurve_Q8N163_KIAA1967.pdf")</f>
        <v>Melting_Curves/meltCurve_Q8N163_KIAA1967.pdf</v>
      </c>
    </row>
    <row r="4385" spans="1:28" x14ac:dyDescent="0.25">
      <c r="A4385" t="s">
        <v>4389</v>
      </c>
      <c r="B4385">
        <v>0.99673306730245903</v>
      </c>
      <c r="C4385">
        <v>1.00343141783232</v>
      </c>
      <c r="D4385">
        <v>0.935411070051958</v>
      </c>
      <c r="E4385">
        <v>0.77016472808417102</v>
      </c>
      <c r="F4385">
        <v>0.70288332517985896</v>
      </c>
      <c r="G4385">
        <v>0.61506542903072503</v>
      </c>
      <c r="H4385">
        <v>0.49476903440562497</v>
      </c>
      <c r="I4385">
        <v>0.75163817519065401</v>
      </c>
      <c r="J4385">
        <v>0.94617201386755101</v>
      </c>
      <c r="K4385">
        <v>1.07169300539757</v>
      </c>
      <c r="L4385">
        <v>3206.6644187142601</v>
      </c>
      <c r="M4385">
        <v>68.730954717590194</v>
      </c>
      <c r="O4385">
        <v>46.615843519921597</v>
      </c>
      <c r="P4385">
        <v>-8.6971508827146701E-2</v>
      </c>
      <c r="Q4385">
        <v>0.76405092669378805</v>
      </c>
      <c r="R4385">
        <v>0.30395077599099801</v>
      </c>
      <c r="S4385" t="s">
        <v>10837</v>
      </c>
      <c r="T4385" t="s">
        <v>12902</v>
      </c>
      <c r="U4385" t="s">
        <v>12902</v>
      </c>
      <c r="V4385" t="s">
        <v>12902</v>
      </c>
      <c r="W4385" t="s">
        <v>17240</v>
      </c>
      <c r="X4385">
        <v>19</v>
      </c>
      <c r="Y4385" t="s">
        <v>23546</v>
      </c>
      <c r="Z4385" t="s">
        <v>29960</v>
      </c>
      <c r="AA4385">
        <v>0.81665112379579008</v>
      </c>
      <c r="AB4385" t="str">
        <f>HYPERLINK("Melting_Curves/meltCurve_Q8N183_NDUFAF2.pdf", "Melting_Curves/meltCurve_Q8N183_NDUFAF2.pdf")</f>
        <v>Melting_Curves/meltCurve_Q8N183_NDUFAF2.pdf</v>
      </c>
    </row>
    <row r="4386" spans="1:28" x14ac:dyDescent="0.25">
      <c r="A4386" t="s">
        <v>4390</v>
      </c>
      <c r="B4386">
        <v>0.99673306730245903</v>
      </c>
      <c r="C4386">
        <v>0.90972279706385495</v>
      </c>
      <c r="D4386">
        <v>0.86789558700779801</v>
      </c>
      <c r="E4386">
        <v>0.53291457139809795</v>
      </c>
      <c r="F4386">
        <v>0.33840090905082798</v>
      </c>
      <c r="G4386">
        <v>0.243126404770282</v>
      </c>
      <c r="H4386">
        <v>0.17824281516805399</v>
      </c>
      <c r="I4386">
        <v>0.112912284735719</v>
      </c>
      <c r="J4386">
        <v>0.12146969277842599</v>
      </c>
      <c r="K4386">
        <v>9.3542542823120398E-2</v>
      </c>
      <c r="L4386">
        <v>809.61102662449002</v>
      </c>
      <c r="M4386">
        <v>16.2441533429771</v>
      </c>
      <c r="N4386">
        <v>50.5887116820834</v>
      </c>
      <c r="O4386">
        <v>49.103164752329803</v>
      </c>
      <c r="P4386">
        <v>-7.3874396294836997E-2</v>
      </c>
      <c r="Q4386">
        <v>0.106829484638608</v>
      </c>
      <c r="R4386">
        <v>0.99364626307610604</v>
      </c>
      <c r="S4386" t="s">
        <v>10838</v>
      </c>
      <c r="T4386" t="s">
        <v>12902</v>
      </c>
      <c r="U4386" t="s">
        <v>12902</v>
      </c>
      <c r="V4386" t="s">
        <v>12902</v>
      </c>
      <c r="W4386" t="s">
        <v>17241</v>
      </c>
      <c r="X4386">
        <v>7</v>
      </c>
      <c r="Y4386" t="s">
        <v>23547</v>
      </c>
      <c r="Z4386" t="s">
        <v>29961</v>
      </c>
      <c r="AA4386">
        <v>0.41831295975843802</v>
      </c>
      <c r="AB4386" t="str">
        <f>HYPERLINK("Melting_Curves/meltCurve_Q8N1B4_VPS52.pdf", "Melting_Curves/meltCurve_Q8N1B4_VPS52.pdf")</f>
        <v>Melting_Curves/meltCurve_Q8N1B4_VPS52.pdf</v>
      </c>
    </row>
    <row r="4387" spans="1:28" x14ac:dyDescent="0.25">
      <c r="A4387" t="s">
        <v>4391</v>
      </c>
      <c r="B4387">
        <v>0.99673306730245903</v>
      </c>
      <c r="C4387">
        <v>0.76883774800953897</v>
      </c>
      <c r="D4387">
        <v>0.52432311122445996</v>
      </c>
      <c r="E4387">
        <v>0.56277261556714397</v>
      </c>
      <c r="F4387">
        <v>0.175842757253108</v>
      </c>
      <c r="G4387">
        <v>0.106632811846743</v>
      </c>
      <c r="H4387">
        <v>6.6054503922092805E-2</v>
      </c>
      <c r="I4387">
        <v>7.0365592877319499E-2</v>
      </c>
      <c r="J4387">
        <v>9.2421966497916799E-2</v>
      </c>
      <c r="K4387">
        <v>8.5886325354236695E-2</v>
      </c>
      <c r="L4387">
        <v>599.43551006536404</v>
      </c>
      <c r="M4387">
        <v>12.602193014236001</v>
      </c>
      <c r="N4387">
        <v>47.876306979380999</v>
      </c>
      <c r="O4387">
        <v>46.415926513373002</v>
      </c>
      <c r="P4387">
        <v>-6.5227409482340903E-2</v>
      </c>
      <c r="Q4387">
        <v>3.9218935815291497E-2</v>
      </c>
      <c r="R4387">
        <v>0.95020824931628201</v>
      </c>
      <c r="S4387" t="s">
        <v>10839</v>
      </c>
      <c r="T4387" t="s">
        <v>12902</v>
      </c>
      <c r="U4387" t="s">
        <v>12902</v>
      </c>
      <c r="V4387" t="s">
        <v>12902</v>
      </c>
      <c r="W4387" t="s">
        <v>17242</v>
      </c>
      <c r="X4387">
        <v>25</v>
      </c>
      <c r="Y4387" t="s">
        <v>23548</v>
      </c>
      <c r="Z4387" t="s">
        <v>29962</v>
      </c>
      <c r="AA4387">
        <v>0.31693832689073281</v>
      </c>
      <c r="AB4387" t="str">
        <f>HYPERLINK("Melting_Curves/meltCurve_Q8N1F7_NUP93.pdf", "Melting_Curves/meltCurve_Q8N1F7_NUP93.pdf")</f>
        <v>Melting_Curves/meltCurve_Q8N1F7_NUP93.pdf</v>
      </c>
    </row>
    <row r="4388" spans="1:28" x14ac:dyDescent="0.25">
      <c r="A4388" t="s">
        <v>4392</v>
      </c>
      <c r="B4388">
        <v>0.99673306730245903</v>
      </c>
      <c r="C4388">
        <v>0.95833653244703498</v>
      </c>
      <c r="D4388">
        <v>0.88222694714449301</v>
      </c>
      <c r="E4388">
        <v>0.87277063890277096</v>
      </c>
      <c r="F4388">
        <v>0.76241429406966699</v>
      </c>
      <c r="G4388">
        <v>0.71584351172739902</v>
      </c>
      <c r="H4388">
        <v>0.53486160482718603</v>
      </c>
      <c r="I4388">
        <v>0.899573060955427</v>
      </c>
      <c r="J4388">
        <v>0.90929355257739897</v>
      </c>
      <c r="K4388">
        <v>1.0939446357464</v>
      </c>
      <c r="L4388">
        <v>1253.51207412331</v>
      </c>
      <c r="M4388">
        <v>27.918767754489501</v>
      </c>
      <c r="O4388">
        <v>44.670088152230001</v>
      </c>
      <c r="P4388">
        <v>-2.74311663289902E-2</v>
      </c>
      <c r="Q4388">
        <v>0.82444182309729397</v>
      </c>
      <c r="R4388">
        <v>0.164992976116381</v>
      </c>
      <c r="S4388" t="s">
        <v>10840</v>
      </c>
      <c r="T4388" t="s">
        <v>12902</v>
      </c>
      <c r="U4388" t="s">
        <v>12902</v>
      </c>
      <c r="V4388" t="s">
        <v>12902</v>
      </c>
      <c r="W4388" t="s">
        <v>17243</v>
      </c>
      <c r="X4388">
        <v>2</v>
      </c>
      <c r="Y4388" t="s">
        <v>23549</v>
      </c>
      <c r="Z4388" t="s">
        <v>29963</v>
      </c>
      <c r="AA4388">
        <v>0.8544626285900575</v>
      </c>
      <c r="AB4388" t="str">
        <f>HYPERLINK("Melting_Curves/meltCurve_Q8N1G0_ZNF687.pdf", "Melting_Curves/meltCurve_Q8N1G0_ZNF687.pdf")</f>
        <v>Melting_Curves/meltCurve_Q8N1G0_ZNF687.pdf</v>
      </c>
    </row>
    <row r="4389" spans="1:28" x14ac:dyDescent="0.25">
      <c r="A4389" t="s">
        <v>4393</v>
      </c>
      <c r="B4389">
        <v>0.99673306730245903</v>
      </c>
      <c r="C4389">
        <v>0.92945128643921204</v>
      </c>
      <c r="D4389">
        <v>0.91311622521393299</v>
      </c>
      <c r="E4389">
        <v>0.62435264241023103</v>
      </c>
      <c r="F4389">
        <v>0.20187892811215</v>
      </c>
      <c r="G4389">
        <v>0.13000454252544499</v>
      </c>
      <c r="H4389">
        <v>7.9850678425377797E-2</v>
      </c>
      <c r="I4389">
        <v>7.7435748776778807E-2</v>
      </c>
      <c r="J4389">
        <v>8.4813779712847301E-2</v>
      </c>
      <c r="K4389">
        <v>8.2758020365756704E-2</v>
      </c>
      <c r="L4389">
        <v>1407.6075892675799</v>
      </c>
      <c r="M4389">
        <v>28.096084351971101</v>
      </c>
      <c r="N4389">
        <v>50.409368462948997</v>
      </c>
      <c r="O4389">
        <v>49.848032477125898</v>
      </c>
      <c r="P4389">
        <v>-0.12974387080088501</v>
      </c>
      <c r="Q4389">
        <v>7.9242172519165002E-2</v>
      </c>
      <c r="R4389">
        <v>0.99607098461971499</v>
      </c>
      <c r="S4389" t="s">
        <v>10841</v>
      </c>
      <c r="T4389" t="s">
        <v>12902</v>
      </c>
      <c r="U4389" t="s">
        <v>12902</v>
      </c>
      <c r="V4389" t="s">
        <v>12902</v>
      </c>
      <c r="W4389" t="s">
        <v>17244</v>
      </c>
      <c r="X4389">
        <v>39</v>
      </c>
      <c r="Y4389" t="s">
        <v>23550</v>
      </c>
      <c r="Z4389" t="s">
        <v>29964</v>
      </c>
      <c r="AA4389">
        <v>0.39573599854804259</v>
      </c>
      <c r="AB4389" t="str">
        <f>HYPERLINK("Melting_Curves/meltCurve_Q8N1G2_FTSJD2.pdf", "Melting_Curves/meltCurve_Q8N1G2_FTSJD2.pdf")</f>
        <v>Melting_Curves/meltCurve_Q8N1G2_FTSJD2.pdf</v>
      </c>
    </row>
    <row r="4390" spans="1:28" x14ac:dyDescent="0.25">
      <c r="A4390" t="s">
        <v>4394</v>
      </c>
      <c r="B4390">
        <v>0.99673306730245903</v>
      </c>
      <c r="C4390">
        <v>0.99873734598923503</v>
      </c>
      <c r="D4390">
        <v>0.94398783408877995</v>
      </c>
      <c r="E4390">
        <v>0.79345944018533998</v>
      </c>
      <c r="F4390">
        <v>0.46289305145120102</v>
      </c>
      <c r="G4390">
        <v>0.17722772805308401</v>
      </c>
      <c r="H4390">
        <v>6.9477678618346195E-2</v>
      </c>
      <c r="I4390">
        <v>6.0795754356371898E-2</v>
      </c>
      <c r="J4390">
        <v>6.8865648506268404E-2</v>
      </c>
      <c r="K4390">
        <v>6.0059389941290099E-2</v>
      </c>
      <c r="L4390">
        <v>1199.1085434644699</v>
      </c>
      <c r="M4390">
        <v>22.861853494643199</v>
      </c>
      <c r="N4390">
        <v>52.683519253637499</v>
      </c>
      <c r="O4390">
        <v>52.0538289703562</v>
      </c>
      <c r="P4390">
        <v>-0.104514584686569</v>
      </c>
      <c r="Q4390">
        <v>4.8147164584673503E-2</v>
      </c>
      <c r="R4390">
        <v>0.99914868307507099</v>
      </c>
      <c r="S4390" t="s">
        <v>10842</v>
      </c>
      <c r="T4390" t="s">
        <v>12902</v>
      </c>
      <c r="U4390" t="s">
        <v>12902</v>
      </c>
      <c r="V4390" t="s">
        <v>12902</v>
      </c>
      <c r="W4390" t="s">
        <v>17245</v>
      </c>
      <c r="X4390">
        <v>30</v>
      </c>
      <c r="Y4390" t="s">
        <v>23551</v>
      </c>
      <c r="Z4390" t="s">
        <v>29965</v>
      </c>
      <c r="AA4390">
        <v>0.45349481910626882</v>
      </c>
      <c r="AB4390" t="str">
        <f>HYPERLINK("Melting_Curves/meltCurve_Q8N1G4_LRRC47.pdf", "Melting_Curves/meltCurve_Q8N1G4_LRRC47.pdf")</f>
        <v>Melting_Curves/meltCurve_Q8N1G4_LRRC47.pdf</v>
      </c>
    </row>
    <row r="4391" spans="1:28" x14ac:dyDescent="0.25">
      <c r="A4391" t="s">
        <v>4395</v>
      </c>
      <c r="B4391">
        <v>0.99673306730245903</v>
      </c>
      <c r="C4391">
        <v>0.88198845371474699</v>
      </c>
      <c r="D4391">
        <v>0.55774876027262599</v>
      </c>
      <c r="E4391">
        <v>0.28137904715672002</v>
      </c>
      <c r="F4391">
        <v>0.195569216187398</v>
      </c>
      <c r="G4391">
        <v>0.13212080679180099</v>
      </c>
      <c r="H4391">
        <v>9.8373536408786197E-2</v>
      </c>
      <c r="I4391">
        <v>8.4483120919511198E-2</v>
      </c>
      <c r="J4391">
        <v>9.24439592528295E-2</v>
      </c>
      <c r="K4391">
        <v>8.4643741823552804E-2</v>
      </c>
      <c r="L4391">
        <v>972.51655477212205</v>
      </c>
      <c r="M4391">
        <v>20.9842368543924</v>
      </c>
      <c r="N4391">
        <v>46.835600512151302</v>
      </c>
      <c r="O4391">
        <v>45.930367614569398</v>
      </c>
      <c r="P4391">
        <v>-0.10295348346612899</v>
      </c>
      <c r="Q4391">
        <v>9.8644520818536696E-2</v>
      </c>
      <c r="R4391">
        <v>0.99588125548169704</v>
      </c>
      <c r="S4391" t="s">
        <v>10843</v>
      </c>
      <c r="T4391" t="s">
        <v>12902</v>
      </c>
      <c r="U4391" t="s">
        <v>12902</v>
      </c>
      <c r="V4391" t="s">
        <v>12902</v>
      </c>
      <c r="W4391" t="s">
        <v>17246</v>
      </c>
      <c r="X4391">
        <v>16</v>
      </c>
      <c r="Y4391" t="s">
        <v>23552</v>
      </c>
      <c r="Z4391" t="s">
        <v>29966</v>
      </c>
      <c r="AA4391">
        <v>0.30150266043030099</v>
      </c>
      <c r="AB4391" t="str">
        <f>HYPERLINK("Melting_Curves/meltCurve_Q8N1K5_THEMIS.pdf", "Melting_Curves/meltCurve_Q8N1K5_THEMIS.pdf")</f>
        <v>Melting_Curves/meltCurve_Q8N1K5_THEMIS.pdf</v>
      </c>
    </row>
    <row r="4392" spans="1:28" x14ac:dyDescent="0.25">
      <c r="A4392" t="s">
        <v>4396</v>
      </c>
      <c r="B4392">
        <v>0.99673306730245903</v>
      </c>
      <c r="C4392">
        <v>0.886430799030971</v>
      </c>
      <c r="D4392">
        <v>0.79973302297837601</v>
      </c>
      <c r="E4392">
        <v>0.66980629093059996</v>
      </c>
      <c r="F4392">
        <v>0.45089756044975199</v>
      </c>
      <c r="G4392">
        <v>0.29742841581509999</v>
      </c>
      <c r="H4392">
        <v>0.163121344408893</v>
      </c>
      <c r="I4392">
        <v>0.12600574226126701</v>
      </c>
      <c r="J4392">
        <v>3.6583935676153298E-2</v>
      </c>
      <c r="K4392">
        <v>6.2049848012598198E-2</v>
      </c>
      <c r="L4392">
        <v>584.38414900366001</v>
      </c>
      <c r="M4392">
        <v>11.18376834565</v>
      </c>
      <c r="N4392">
        <v>52.252876771595801</v>
      </c>
      <c r="O4392">
        <v>50.6657526580221</v>
      </c>
      <c r="P4392">
        <v>-5.5201529523943603E-2</v>
      </c>
      <c r="Q4392">
        <v>0</v>
      </c>
      <c r="R4392">
        <v>0.99584364250094803</v>
      </c>
      <c r="S4392" t="s">
        <v>10844</v>
      </c>
      <c r="T4392" t="s">
        <v>12902</v>
      </c>
      <c r="U4392" t="s">
        <v>12902</v>
      </c>
      <c r="V4392" t="s">
        <v>12902</v>
      </c>
      <c r="W4392" t="s">
        <v>17247</v>
      </c>
      <c r="X4392">
        <v>2</v>
      </c>
      <c r="Y4392" t="s">
        <v>23553</v>
      </c>
      <c r="Z4392" t="s">
        <v>29967</v>
      </c>
      <c r="AA4392">
        <v>0.44117029846597011</v>
      </c>
      <c r="AB4392" t="str">
        <f>HYPERLINK("Melting_Curves/meltCurve_Q8N2A8_PLD6.pdf", "Melting_Curves/meltCurve_Q8N2A8_PLD6.pdf")</f>
        <v>Melting_Curves/meltCurve_Q8N2A8_PLD6.pdf</v>
      </c>
    </row>
    <row r="4393" spans="1:28" x14ac:dyDescent="0.25">
      <c r="A4393" t="s">
        <v>4397</v>
      </c>
      <c r="B4393">
        <v>0.99673306730245903</v>
      </c>
      <c r="C4393">
        <v>0.95366849503373397</v>
      </c>
      <c r="D4393">
        <v>0.77851558083647499</v>
      </c>
      <c r="E4393">
        <v>0.30508788360579298</v>
      </c>
      <c r="F4393">
        <v>0.13801913620596601</v>
      </c>
      <c r="G4393">
        <v>8.4404373612632103E-2</v>
      </c>
      <c r="H4393">
        <v>5.3317217444906903E-2</v>
      </c>
      <c r="I4393">
        <v>4.2094153690727901E-2</v>
      </c>
      <c r="J4393">
        <v>3.8804979617565502E-2</v>
      </c>
      <c r="K4393">
        <v>3.8592799956227497E-2</v>
      </c>
      <c r="L4393">
        <v>1282.4383047475101</v>
      </c>
      <c r="M4393">
        <v>26.75968447939</v>
      </c>
      <c r="N4393">
        <v>48.114271721249303</v>
      </c>
      <c r="O4393">
        <v>47.659030638340397</v>
      </c>
      <c r="P4393">
        <v>-0.133334280400836</v>
      </c>
      <c r="Q4393">
        <v>5.0135673902923297E-2</v>
      </c>
      <c r="R4393">
        <v>0.99865848291981196</v>
      </c>
      <c r="S4393" t="s">
        <v>10845</v>
      </c>
      <c r="T4393" t="s">
        <v>12902</v>
      </c>
      <c r="U4393" t="s">
        <v>12902</v>
      </c>
      <c r="V4393" t="s">
        <v>12902</v>
      </c>
      <c r="W4393" t="s">
        <v>17248</v>
      </c>
      <c r="X4393">
        <v>6</v>
      </c>
      <c r="Y4393" t="s">
        <v>23554</v>
      </c>
      <c r="Z4393" t="s">
        <v>29968</v>
      </c>
      <c r="AA4393">
        <v>0.3083027720353948</v>
      </c>
      <c r="AB4393" t="str">
        <f>HYPERLINK("Melting_Curves/meltCurve_Q8N2F6_3_ARMC10.pdf", "Melting_Curves/meltCurve_Q8N2F6_3_ARMC10.pdf")</f>
        <v>Melting_Curves/meltCurve_Q8N2F6_3_ARMC10.pdf</v>
      </c>
    </row>
    <row r="4394" spans="1:28" x14ac:dyDescent="0.25">
      <c r="A4394" t="s">
        <v>4398</v>
      </c>
      <c r="B4394">
        <v>0.99673306730245903</v>
      </c>
      <c r="C4394">
        <v>0.97923095729238496</v>
      </c>
      <c r="D4394">
        <v>0.92734632683184504</v>
      </c>
      <c r="E4394">
        <v>0.75684211187818795</v>
      </c>
      <c r="F4394">
        <v>0.474775988127427</v>
      </c>
      <c r="G4394">
        <v>0.22133252723529701</v>
      </c>
      <c r="H4394">
        <v>8.4585228205400195E-2</v>
      </c>
      <c r="I4394">
        <v>6.7654226301359005E-2</v>
      </c>
      <c r="J4394">
        <v>6.23062142204895E-2</v>
      </c>
      <c r="K4394">
        <v>6.0323715674230401E-2</v>
      </c>
      <c r="L4394">
        <v>991.22864140817899</v>
      </c>
      <c r="M4394">
        <v>18.877690443044202</v>
      </c>
      <c r="N4394">
        <v>52.734524812607802</v>
      </c>
      <c r="O4394">
        <v>51.929358794500601</v>
      </c>
      <c r="P4394">
        <v>-8.7345030883267102E-2</v>
      </c>
      <c r="Q4394">
        <v>3.8953098543993002E-2</v>
      </c>
      <c r="R4394">
        <v>0.99926887195732905</v>
      </c>
      <c r="S4394" t="s">
        <v>10846</v>
      </c>
      <c r="T4394" t="s">
        <v>12902</v>
      </c>
      <c r="U4394" t="s">
        <v>12902</v>
      </c>
      <c r="V4394" t="s">
        <v>12902</v>
      </c>
      <c r="W4394" t="s">
        <v>17249</v>
      </c>
      <c r="X4394">
        <v>7</v>
      </c>
      <c r="Y4394" t="s">
        <v>23555</v>
      </c>
      <c r="Z4394" t="s">
        <v>29969</v>
      </c>
      <c r="AA4394">
        <v>0.45429840067401922</v>
      </c>
      <c r="AB4394" t="str">
        <f>HYPERLINK("Melting_Curves/meltCurve_Q8N2G8_3_GHDC.pdf", "Melting_Curves/meltCurve_Q8N2G8_3_GHDC.pdf")</f>
        <v>Melting_Curves/meltCurve_Q8N2G8_3_GHDC.pdf</v>
      </c>
    </row>
    <row r="4395" spans="1:28" x14ac:dyDescent="0.25">
      <c r="A4395" t="s">
        <v>4399</v>
      </c>
      <c r="B4395">
        <v>0.99673306730245903</v>
      </c>
      <c r="C4395">
        <v>0.82694872391339602</v>
      </c>
      <c r="D4395">
        <v>0.75874280720809695</v>
      </c>
      <c r="E4395">
        <v>0.51124302633041596</v>
      </c>
      <c r="F4395">
        <v>0.191481692707382</v>
      </c>
      <c r="G4395">
        <v>0.10434365042341499</v>
      </c>
      <c r="H4395">
        <v>7.4916289324532301E-2</v>
      </c>
      <c r="I4395">
        <v>6.8706971373629896E-2</v>
      </c>
      <c r="J4395">
        <v>7.9044712978192794E-2</v>
      </c>
      <c r="K4395">
        <v>7.2573015190859805E-2</v>
      </c>
      <c r="L4395">
        <v>806.67662143034397</v>
      </c>
      <c r="M4395">
        <v>16.5423738374298</v>
      </c>
      <c r="N4395">
        <v>49.061023797978002</v>
      </c>
      <c r="O4395">
        <v>48.068360970869101</v>
      </c>
      <c r="P4395">
        <v>-8.1945188837049696E-2</v>
      </c>
      <c r="Q4395">
        <v>4.76096180712859E-2</v>
      </c>
      <c r="R4395">
        <v>0.98830277307745495</v>
      </c>
      <c r="S4395" t="s">
        <v>10847</v>
      </c>
      <c r="T4395" t="s">
        <v>12902</v>
      </c>
      <c r="U4395" t="s">
        <v>12902</v>
      </c>
      <c r="V4395" t="s">
        <v>12902</v>
      </c>
      <c r="W4395" t="s">
        <v>17250</v>
      </c>
      <c r="X4395">
        <v>16</v>
      </c>
      <c r="Y4395" t="s">
        <v>23556</v>
      </c>
      <c r="Z4395" t="s">
        <v>29970</v>
      </c>
      <c r="AA4395">
        <v>0.34545854517332281</v>
      </c>
      <c r="AB4395" t="str">
        <f>HYPERLINK("Melting_Curves/meltCurve_Q8N2K0_ABHD12.pdf", "Melting_Curves/meltCurve_Q8N2K0_ABHD12.pdf")</f>
        <v>Melting_Curves/meltCurve_Q8N2K0_ABHD12.pdf</v>
      </c>
    </row>
    <row r="4396" spans="1:28" x14ac:dyDescent="0.25">
      <c r="A4396" t="s">
        <v>4400</v>
      </c>
      <c r="B4396">
        <v>0.99673306730245903</v>
      </c>
      <c r="C4396">
        <v>0.98909041183324098</v>
      </c>
      <c r="D4396">
        <v>0.957974075262915</v>
      </c>
      <c r="E4396">
        <v>0.93172863538630601</v>
      </c>
      <c r="F4396">
        <v>0.33075146886953299</v>
      </c>
      <c r="G4396">
        <v>0.18286417772966401</v>
      </c>
      <c r="H4396">
        <v>0.11301189855296701</v>
      </c>
      <c r="I4396">
        <v>0.139374293625739</v>
      </c>
      <c r="J4396">
        <v>0.178119824960324</v>
      </c>
      <c r="K4396">
        <v>0.19223931403955</v>
      </c>
      <c r="L4396">
        <v>2735.8802009403298</v>
      </c>
      <c r="M4396">
        <v>52.774324912448201</v>
      </c>
      <c r="N4396">
        <v>52.220153816435399</v>
      </c>
      <c r="O4396">
        <v>51.766839268213403</v>
      </c>
      <c r="P4396">
        <v>-0.21431345504615401</v>
      </c>
      <c r="Q4396">
        <v>0.15911202019667001</v>
      </c>
      <c r="R4396">
        <v>0.99592733363633201</v>
      </c>
      <c r="S4396" t="s">
        <v>10848</v>
      </c>
      <c r="T4396" t="s">
        <v>12902</v>
      </c>
      <c r="U4396" t="s">
        <v>12902</v>
      </c>
      <c r="V4396" t="s">
        <v>12902</v>
      </c>
      <c r="W4396" t="s">
        <v>17251</v>
      </c>
      <c r="X4396">
        <v>2</v>
      </c>
      <c r="Y4396" t="s">
        <v>23557</v>
      </c>
      <c r="Z4396" t="s">
        <v>29971</v>
      </c>
      <c r="AA4396">
        <v>0.49273889603920118</v>
      </c>
      <c r="AB4396" t="str">
        <f>HYPERLINK("Melting_Curves/meltCurve_Q8N2Z9_APITD1.pdf", "Melting_Curves/meltCurve_Q8N2Z9_APITD1.pdf")</f>
        <v>Melting_Curves/meltCurve_Q8N2Z9_APITD1.pdf</v>
      </c>
    </row>
    <row r="4397" spans="1:28" x14ac:dyDescent="0.25">
      <c r="A4397" t="s">
        <v>4401</v>
      </c>
      <c r="B4397">
        <v>0.99673306730245903</v>
      </c>
      <c r="C4397">
        <v>1.1032872812461401</v>
      </c>
      <c r="D4397">
        <v>0.95497537989810899</v>
      </c>
      <c r="E4397">
        <v>0.91090632729281595</v>
      </c>
      <c r="F4397">
        <v>0.78693917894425303</v>
      </c>
      <c r="G4397">
        <v>0.70347903007471602</v>
      </c>
      <c r="H4397">
        <v>0.48242761446057503</v>
      </c>
      <c r="I4397">
        <v>0.78618584092130495</v>
      </c>
      <c r="J4397">
        <v>1.0703221798211</v>
      </c>
      <c r="K4397">
        <v>1.1332460371187301</v>
      </c>
      <c r="L4397">
        <v>12396.9654852846</v>
      </c>
      <c r="M4397">
        <v>250</v>
      </c>
      <c r="O4397">
        <v>49.584666639676598</v>
      </c>
      <c r="P4397">
        <v>-0.217935244412893</v>
      </c>
      <c r="Q4397">
        <v>0.82709997983963102</v>
      </c>
      <c r="R4397">
        <v>0.19308395695261399</v>
      </c>
      <c r="S4397" t="s">
        <v>10849</v>
      </c>
      <c r="T4397" t="s">
        <v>12902</v>
      </c>
      <c r="U4397" t="s">
        <v>12902</v>
      </c>
      <c r="V4397" t="s">
        <v>12902</v>
      </c>
      <c r="W4397" t="s">
        <v>17252</v>
      </c>
      <c r="X4397">
        <v>1</v>
      </c>
      <c r="Y4397" t="s">
        <v>23558</v>
      </c>
      <c r="Z4397" t="s">
        <v>29972</v>
      </c>
      <c r="AA4397">
        <v>0.88237307738790316</v>
      </c>
      <c r="AB4397" t="str">
        <f>HYPERLINK("Melting_Curves/meltCurve_Q8N300_CCDC23.pdf", "Melting_Curves/meltCurve_Q8N300_CCDC23.pdf")</f>
        <v>Melting_Curves/meltCurve_Q8N300_CCDC23.pdf</v>
      </c>
    </row>
    <row r="4398" spans="1:28" x14ac:dyDescent="0.25">
      <c r="A4398" t="s">
        <v>4402</v>
      </c>
      <c r="B4398">
        <v>0.99673306730245903</v>
      </c>
      <c r="C4398">
        <v>1.0202739145267701</v>
      </c>
      <c r="D4398">
        <v>1.01105278322083</v>
      </c>
      <c r="E4398">
        <v>0.98533410943460997</v>
      </c>
      <c r="F4398">
        <v>0.86941600096737504</v>
      </c>
      <c r="G4398">
        <v>0.38488093661683298</v>
      </c>
      <c r="H4398">
        <v>0.12795239402629999</v>
      </c>
      <c r="I4398">
        <v>9.6836457998376604E-2</v>
      </c>
      <c r="J4398">
        <v>9.0464482009909405E-2</v>
      </c>
      <c r="K4398">
        <v>9.1573700035710304E-2</v>
      </c>
      <c r="L4398">
        <v>2106.4906925077398</v>
      </c>
      <c r="M4398">
        <v>37.819689382378499</v>
      </c>
      <c r="N4398">
        <v>55.993343270140699</v>
      </c>
      <c r="O4398">
        <v>55.543214068582699</v>
      </c>
      <c r="P4398">
        <v>-0.154846363432524</v>
      </c>
      <c r="Q4398">
        <v>9.0352938342345507E-2</v>
      </c>
      <c r="R4398">
        <v>0.99966176544672103</v>
      </c>
      <c r="S4398" t="s">
        <v>10850</v>
      </c>
      <c r="T4398" t="s">
        <v>12902</v>
      </c>
      <c r="U4398" t="s">
        <v>12902</v>
      </c>
      <c r="V4398" t="s">
        <v>12902</v>
      </c>
      <c r="W4398" t="s">
        <v>17253</v>
      </c>
      <c r="X4398">
        <v>21</v>
      </c>
      <c r="Y4398" t="s">
        <v>23559</v>
      </c>
      <c r="Z4398" t="s">
        <v>29973</v>
      </c>
      <c r="AA4398">
        <v>0.57023815365983532</v>
      </c>
      <c r="AB4398" t="str">
        <f>HYPERLINK("Melting_Curves/meltCurve_Q8N335_GPD1L.pdf", "Melting_Curves/meltCurve_Q8N335_GPD1L.pdf")</f>
        <v>Melting_Curves/meltCurve_Q8N335_GPD1L.pdf</v>
      </c>
    </row>
    <row r="4399" spans="1:28" x14ac:dyDescent="0.25">
      <c r="A4399" t="s">
        <v>4403</v>
      </c>
      <c r="B4399">
        <v>0.99673306730245903</v>
      </c>
      <c r="C4399">
        <v>0.87125438166015001</v>
      </c>
      <c r="D4399">
        <v>1.00725154280272</v>
      </c>
      <c r="E4399">
        <v>0.91273845887647398</v>
      </c>
      <c r="F4399">
        <v>0.85525463749311004</v>
      </c>
      <c r="G4399">
        <v>0.46703958799499801</v>
      </c>
      <c r="H4399">
        <v>0.39234458588743898</v>
      </c>
      <c r="I4399">
        <v>0.50254933342090802</v>
      </c>
      <c r="J4399">
        <v>0.64817616804607303</v>
      </c>
      <c r="K4399">
        <v>0.64695545253930997</v>
      </c>
      <c r="L4399">
        <v>13342.8407861998</v>
      </c>
      <c r="M4399">
        <v>250</v>
      </c>
      <c r="O4399">
        <v>53.367947511934403</v>
      </c>
      <c r="P4399">
        <v>-0.54876922884166002</v>
      </c>
      <c r="Q4399">
        <v>0.53141300020492999</v>
      </c>
      <c r="R4399">
        <v>0.83770472246606298</v>
      </c>
      <c r="S4399" t="s">
        <v>10851</v>
      </c>
      <c r="T4399" t="s">
        <v>12902</v>
      </c>
      <c r="U4399" t="s">
        <v>12902</v>
      </c>
      <c r="V4399" t="s">
        <v>12902</v>
      </c>
      <c r="W4399" t="s">
        <v>17254</v>
      </c>
      <c r="X4399">
        <v>1</v>
      </c>
      <c r="Y4399" t="s">
        <v>23560</v>
      </c>
      <c r="Z4399" t="s">
        <v>29974</v>
      </c>
      <c r="AA4399">
        <v>0.74031178880652659</v>
      </c>
      <c r="AB4399" t="str">
        <f>HYPERLINK("Melting_Curves/meltCurve_Q8N350_DOS.pdf", "Melting_Curves/meltCurve_Q8N350_DOS.pdf")</f>
        <v>Melting_Curves/meltCurve_Q8N350_DOS.pdf</v>
      </c>
    </row>
    <row r="4400" spans="1:28" x14ac:dyDescent="0.25">
      <c r="A4400" t="s">
        <v>4404</v>
      </c>
      <c r="B4400">
        <v>0.99673306730245903</v>
      </c>
      <c r="C4400">
        <v>0.99636229063901205</v>
      </c>
      <c r="D4400">
        <v>0.88808932812395502</v>
      </c>
      <c r="E4400">
        <v>0.37040494419873199</v>
      </c>
      <c r="F4400">
        <v>0.240831587112701</v>
      </c>
      <c r="G4400">
        <v>0.16114001696769001</v>
      </c>
      <c r="H4400">
        <v>0.14328698799546299</v>
      </c>
      <c r="I4400">
        <v>0.18290895338039401</v>
      </c>
      <c r="J4400">
        <v>0.232942714791675</v>
      </c>
      <c r="K4400">
        <v>0.23680599550536399</v>
      </c>
      <c r="L4400">
        <v>1931.17768633785</v>
      </c>
      <c r="M4400">
        <v>40.185413122626102</v>
      </c>
      <c r="N4400">
        <v>48.659300096520496</v>
      </c>
      <c r="O4400">
        <v>47.938137752991103</v>
      </c>
      <c r="P4400">
        <v>-0.16848870499990901</v>
      </c>
      <c r="Q4400">
        <v>0.19602486591252899</v>
      </c>
      <c r="R4400">
        <v>0.993057748364225</v>
      </c>
      <c r="S4400" t="s">
        <v>10852</v>
      </c>
      <c r="T4400" t="s">
        <v>12902</v>
      </c>
      <c r="U4400" t="s">
        <v>12902</v>
      </c>
      <c r="V4400" t="s">
        <v>12902</v>
      </c>
      <c r="W4400" t="s">
        <v>17255</v>
      </c>
      <c r="X4400">
        <v>6</v>
      </c>
      <c r="Y4400" t="s">
        <v>23561</v>
      </c>
      <c r="Z4400" t="s">
        <v>29975</v>
      </c>
      <c r="AA4400">
        <v>0.41459019110291662</v>
      </c>
      <c r="AB4400" t="str">
        <f>HYPERLINK("Melting_Curves/meltCurve_Q8N392_2_ARHGAP18.pdf", "Melting_Curves/meltCurve_Q8N392_2_ARHGAP18.pdf")</f>
        <v>Melting_Curves/meltCurve_Q8N392_2_ARHGAP18.pdf</v>
      </c>
    </row>
    <row r="4401" spans="1:28" x14ac:dyDescent="0.25">
      <c r="A4401" t="s">
        <v>4405</v>
      </c>
      <c r="B4401">
        <v>0.99673306730245903</v>
      </c>
      <c r="C4401">
        <v>0.88541672781677905</v>
      </c>
      <c r="D4401">
        <v>0.75247006451784404</v>
      </c>
      <c r="E4401">
        <v>0.55232720589445905</v>
      </c>
      <c r="F4401">
        <v>0.31786140912268201</v>
      </c>
      <c r="G4401">
        <v>0.19791811190306099</v>
      </c>
      <c r="H4401">
        <v>0.125187026070885</v>
      </c>
      <c r="I4401">
        <v>0.10761770103263101</v>
      </c>
      <c r="J4401">
        <v>0.115303482067552</v>
      </c>
      <c r="K4401">
        <v>9.4637260720584301E-2</v>
      </c>
      <c r="L4401">
        <v>704.52716476584601</v>
      </c>
      <c r="M4401">
        <v>14.247141451925</v>
      </c>
      <c r="N4401">
        <v>50.0434363372649</v>
      </c>
      <c r="O4401">
        <v>48.506779803914199</v>
      </c>
      <c r="P4401">
        <v>-6.7733553904678501E-2</v>
      </c>
      <c r="Q4401">
        <v>7.7673043122824206E-2</v>
      </c>
      <c r="R4401">
        <v>0.99784541476224797</v>
      </c>
      <c r="S4401" t="s">
        <v>10853</v>
      </c>
      <c r="T4401" t="s">
        <v>12902</v>
      </c>
      <c r="U4401" t="s">
        <v>12902</v>
      </c>
      <c r="V4401" t="s">
        <v>12902</v>
      </c>
      <c r="W4401" t="s">
        <v>17256</v>
      </c>
      <c r="X4401">
        <v>7</v>
      </c>
      <c r="Y4401" t="s">
        <v>23562</v>
      </c>
      <c r="Z4401" t="s">
        <v>29976</v>
      </c>
      <c r="AA4401">
        <v>0.39280885002056148</v>
      </c>
      <c r="AB4401" t="str">
        <f>HYPERLINK("Melting_Curves/meltCurve_Q8N398_2_VWA5B2.pdf", "Melting_Curves/meltCurve_Q8N398_2_VWA5B2.pdf")</f>
        <v>Melting_Curves/meltCurve_Q8N398_2_VWA5B2.pdf</v>
      </c>
    </row>
    <row r="4402" spans="1:28" x14ac:dyDescent="0.25">
      <c r="A4402" t="s">
        <v>4406</v>
      </c>
      <c r="B4402">
        <v>0.99673306730245903</v>
      </c>
      <c r="C4402">
        <v>0.85687479325038596</v>
      </c>
      <c r="D4402">
        <v>0.56477071464183104</v>
      </c>
      <c r="E4402">
        <v>0.24710751511248799</v>
      </c>
      <c r="F4402">
        <v>0.167898496056436</v>
      </c>
      <c r="G4402">
        <v>8.2297961295864794E-2</v>
      </c>
      <c r="H4402">
        <v>6.3333270147632501E-2</v>
      </c>
      <c r="I4402">
        <v>5.5494989387718699E-2</v>
      </c>
      <c r="J4402">
        <v>5.9656922203916302E-2</v>
      </c>
      <c r="K4402">
        <v>5.1741288778243001E-2</v>
      </c>
      <c r="L4402">
        <v>953.34624747654505</v>
      </c>
      <c r="M4402">
        <v>20.540864568244199</v>
      </c>
      <c r="N4402">
        <v>46.709414241493903</v>
      </c>
      <c r="O4402">
        <v>45.979001935584598</v>
      </c>
      <c r="P4402">
        <v>-0.10484672561455601</v>
      </c>
      <c r="Q4402">
        <v>6.1265069895470599E-2</v>
      </c>
      <c r="R4402">
        <v>0.99722267047177104</v>
      </c>
      <c r="S4402" t="s">
        <v>10854</v>
      </c>
      <c r="T4402" t="s">
        <v>12902</v>
      </c>
      <c r="U4402" t="s">
        <v>12902</v>
      </c>
      <c r="V4402" t="s">
        <v>12902</v>
      </c>
      <c r="W4402" t="s">
        <v>17257</v>
      </c>
      <c r="X4402">
        <v>2</v>
      </c>
      <c r="Y4402" t="s">
        <v>23563</v>
      </c>
      <c r="Z4402" t="s">
        <v>29977</v>
      </c>
      <c r="AA4402">
        <v>0.27521807238936002</v>
      </c>
      <c r="AB4402" t="str">
        <f>HYPERLINK("Melting_Curves/meltCurve_Q8N3C0_ASCC3.pdf", "Melting_Curves/meltCurve_Q8N3C0_ASCC3.pdf")</f>
        <v>Melting_Curves/meltCurve_Q8N3C0_ASCC3.pdf</v>
      </c>
    </row>
    <row r="4403" spans="1:28" x14ac:dyDescent="0.25">
      <c r="A4403" t="s">
        <v>4407</v>
      </c>
      <c r="B4403">
        <v>0.99673306730245903</v>
      </c>
      <c r="C4403">
        <v>0.90343101593687203</v>
      </c>
      <c r="D4403">
        <v>1.45011125218382</v>
      </c>
      <c r="E4403">
        <v>0.59895390136055704</v>
      </c>
      <c r="F4403">
        <v>0.47753344916333201</v>
      </c>
      <c r="G4403">
        <v>0.239851584635068</v>
      </c>
      <c r="H4403">
        <v>0.20801775737546199</v>
      </c>
      <c r="I4403">
        <v>0.17992549937131</v>
      </c>
      <c r="J4403">
        <v>0.168499950081621</v>
      </c>
      <c r="K4403">
        <v>0.25672969533902901</v>
      </c>
      <c r="L4403">
        <v>1666.99993676548</v>
      </c>
      <c r="M4403">
        <v>32.869465246842999</v>
      </c>
      <c r="N4403">
        <v>51.618331335730097</v>
      </c>
      <c r="O4403">
        <v>50.5291448863818</v>
      </c>
      <c r="P4403">
        <v>-0.12708100069429101</v>
      </c>
      <c r="Q4403">
        <v>0.218573813320835</v>
      </c>
      <c r="R4403">
        <v>0.83877872654195595</v>
      </c>
      <c r="S4403" t="s">
        <v>10855</v>
      </c>
      <c r="T4403" t="s">
        <v>12902</v>
      </c>
      <c r="U4403" t="s">
        <v>12902</v>
      </c>
      <c r="V4403" t="s">
        <v>12902</v>
      </c>
      <c r="W4403" t="s">
        <v>17258</v>
      </c>
      <c r="X4403">
        <v>1</v>
      </c>
      <c r="Y4403" t="s">
        <v>23564</v>
      </c>
      <c r="Z4403" t="s">
        <v>29978</v>
      </c>
      <c r="AA4403">
        <v>0.50176236905753957</v>
      </c>
      <c r="AB4403" t="str">
        <f>HYPERLINK("Melting_Curves/meltCurve_Q8N3D4_EHBP1L1.pdf", "Melting_Curves/meltCurve_Q8N3D4_EHBP1L1.pdf")</f>
        <v>Melting_Curves/meltCurve_Q8N3D4_EHBP1L1.pdf</v>
      </c>
    </row>
    <row r="4404" spans="1:28" x14ac:dyDescent="0.25">
      <c r="A4404" t="s">
        <v>4408</v>
      </c>
      <c r="B4404">
        <v>0.99673306730245903</v>
      </c>
      <c r="C4404">
        <v>0.94507321430814195</v>
      </c>
      <c r="D4404">
        <v>0.84811228215355905</v>
      </c>
      <c r="E4404">
        <v>0.42026126424856702</v>
      </c>
      <c r="F4404">
        <v>0.15567040696060699</v>
      </c>
      <c r="G4404">
        <v>0.113848813406139</v>
      </c>
      <c r="H4404">
        <v>7.2626861741182394E-2</v>
      </c>
      <c r="I4404">
        <v>8.4853816061932499E-2</v>
      </c>
      <c r="J4404">
        <v>0.115670885173629</v>
      </c>
      <c r="K4404">
        <v>0.12085941276139101</v>
      </c>
      <c r="L4404">
        <v>1368.93979335106</v>
      </c>
      <c r="M4404">
        <v>28.199993551002301</v>
      </c>
      <c r="N4404">
        <v>48.914558855289599</v>
      </c>
      <c r="O4404">
        <v>48.301841173064403</v>
      </c>
      <c r="P4404">
        <v>-0.13191961536538699</v>
      </c>
      <c r="Q4404">
        <v>9.6183376786272007E-2</v>
      </c>
      <c r="R4404">
        <v>0.99771056934449798</v>
      </c>
      <c r="S4404" t="s">
        <v>10856</v>
      </c>
      <c r="T4404" t="s">
        <v>12902</v>
      </c>
      <c r="U4404" t="s">
        <v>12902</v>
      </c>
      <c r="V4404" t="s">
        <v>12902</v>
      </c>
      <c r="W4404" t="s">
        <v>17259</v>
      </c>
      <c r="X4404">
        <v>6</v>
      </c>
      <c r="Y4404" t="s">
        <v>23565</v>
      </c>
      <c r="Z4404" t="s">
        <v>29979</v>
      </c>
      <c r="AA4404">
        <v>0.35980870421197891</v>
      </c>
      <c r="AB4404" t="str">
        <f>HYPERLINK("Melting_Curves/meltCurve_Q8N3F8_MICALL1.pdf", "Melting_Curves/meltCurve_Q8N3F8_MICALL1.pdf")</f>
        <v>Melting_Curves/meltCurve_Q8N3F8_MICALL1.pdf</v>
      </c>
    </row>
    <row r="4405" spans="1:28" x14ac:dyDescent="0.25">
      <c r="A4405" t="s">
        <v>4409</v>
      </c>
      <c r="B4405">
        <v>0.99673306730245903</v>
      </c>
      <c r="C4405">
        <v>0.91460877657239104</v>
      </c>
      <c r="D4405">
        <v>0.57527919381454096</v>
      </c>
      <c r="E4405">
        <v>0.39231134706688497</v>
      </c>
      <c r="F4405">
        <v>0.30925296540893799</v>
      </c>
      <c r="G4405">
        <v>0.211910444498942</v>
      </c>
      <c r="H4405">
        <v>0.15216950010071301</v>
      </c>
      <c r="I4405">
        <v>0.159935803967937</v>
      </c>
      <c r="J4405">
        <v>0.15909667731598301</v>
      </c>
      <c r="K4405">
        <v>0.14737001880428499</v>
      </c>
      <c r="L4405">
        <v>825.74085863066398</v>
      </c>
      <c r="M4405">
        <v>17.653717900678402</v>
      </c>
      <c r="N4405">
        <v>47.8305483590675</v>
      </c>
      <c r="O4405">
        <v>46.186549478750997</v>
      </c>
      <c r="P4405">
        <v>-8.0136475384871897E-2</v>
      </c>
      <c r="Q4405">
        <v>0.16141665662518101</v>
      </c>
      <c r="R4405">
        <v>0.98536318383316801</v>
      </c>
      <c r="S4405" t="s">
        <v>10857</v>
      </c>
      <c r="T4405" t="s">
        <v>12902</v>
      </c>
      <c r="U4405" t="s">
        <v>12902</v>
      </c>
      <c r="V4405" t="s">
        <v>12902</v>
      </c>
      <c r="W4405" t="s">
        <v>17260</v>
      </c>
      <c r="X4405">
        <v>4</v>
      </c>
      <c r="Y4405" t="s">
        <v>23566</v>
      </c>
      <c r="Z4405" t="s">
        <v>29980</v>
      </c>
      <c r="AA4405">
        <v>0.36711148792286791</v>
      </c>
      <c r="AB4405" t="str">
        <f>HYPERLINK("Melting_Curves/meltCurve_Q8N3R9_2_MPP5.pdf", "Melting_Curves/meltCurve_Q8N3R9_2_MPP5.pdf")</f>
        <v>Melting_Curves/meltCurve_Q8N3R9_2_MPP5.pdf</v>
      </c>
    </row>
    <row r="4406" spans="1:28" x14ac:dyDescent="0.25">
      <c r="A4406" t="s">
        <v>4410</v>
      </c>
      <c r="B4406">
        <v>0.99673306730245903</v>
      </c>
      <c r="C4406">
        <v>0.988598963225084</v>
      </c>
      <c r="D4406">
        <v>0.96092899628216899</v>
      </c>
      <c r="E4406">
        <v>1.02379396035546</v>
      </c>
      <c r="F4406">
        <v>0.90567256507843896</v>
      </c>
      <c r="G4406">
        <v>0.74926940897142202</v>
      </c>
      <c r="H4406">
        <v>0.488022602016559</v>
      </c>
      <c r="I4406">
        <v>0.57879189157921096</v>
      </c>
      <c r="J4406">
        <v>0.68061616008714199</v>
      </c>
      <c r="K4406">
        <v>0.64051811131937098</v>
      </c>
      <c r="L4406">
        <v>2176.9243233889501</v>
      </c>
      <c r="M4406">
        <v>39.265081177297397</v>
      </c>
      <c r="O4406">
        <v>55.298532121845199</v>
      </c>
      <c r="P4406">
        <v>-7.1052408805621595E-2</v>
      </c>
      <c r="Q4406">
        <v>0.59973759718304998</v>
      </c>
      <c r="R4406">
        <v>0.91796305685722701</v>
      </c>
      <c r="S4406" t="s">
        <v>10858</v>
      </c>
      <c r="T4406" t="s">
        <v>12902</v>
      </c>
      <c r="U4406" t="s">
        <v>12902</v>
      </c>
      <c r="V4406" t="s">
        <v>12902</v>
      </c>
      <c r="W4406" t="s">
        <v>17261</v>
      </c>
      <c r="X4406">
        <v>14</v>
      </c>
      <c r="Y4406" t="s">
        <v>23567</v>
      </c>
      <c r="Z4406" t="s">
        <v>29981</v>
      </c>
      <c r="AA4406">
        <v>0.80734623327049415</v>
      </c>
      <c r="AB4406" t="str">
        <f>HYPERLINK("Melting_Curves/meltCurve_Q8N3X1_FNBP4.pdf", "Melting_Curves/meltCurve_Q8N3X1_FNBP4.pdf")</f>
        <v>Melting_Curves/meltCurve_Q8N3X1_FNBP4.pdf</v>
      </c>
    </row>
    <row r="4407" spans="1:28" x14ac:dyDescent="0.25">
      <c r="A4407" t="s">
        <v>4411</v>
      </c>
      <c r="B4407">
        <v>0.99673306730245903</v>
      </c>
      <c r="C4407">
        <v>0.96102302425843</v>
      </c>
      <c r="D4407">
        <v>0.85156128083690896</v>
      </c>
      <c r="E4407">
        <v>0.65208040570386405</v>
      </c>
      <c r="F4407">
        <v>0.29911086715372198</v>
      </c>
      <c r="G4407">
        <v>0.202650696170637</v>
      </c>
      <c r="H4407">
        <v>0.129697471484952</v>
      </c>
      <c r="I4407">
        <v>8.6770330093671702E-2</v>
      </c>
      <c r="J4407">
        <v>7.6962927779612195E-2</v>
      </c>
      <c r="K4407">
        <v>6.28457949316088E-2</v>
      </c>
      <c r="L4407">
        <v>920.12172277134698</v>
      </c>
      <c r="M4407">
        <v>18.184439093368201</v>
      </c>
      <c r="N4407">
        <v>51.017510089771797</v>
      </c>
      <c r="O4407">
        <v>49.999387493554998</v>
      </c>
      <c r="P4407">
        <v>-8.4632898873099105E-2</v>
      </c>
      <c r="Q4407">
        <v>6.9227858386693306E-2</v>
      </c>
      <c r="R4407">
        <v>0.99697626579826304</v>
      </c>
      <c r="S4407" t="s">
        <v>10859</v>
      </c>
      <c r="T4407" t="s">
        <v>12902</v>
      </c>
      <c r="U4407" t="s">
        <v>12902</v>
      </c>
      <c r="V4407" t="s">
        <v>12902</v>
      </c>
      <c r="W4407" t="s">
        <v>17262</v>
      </c>
      <c r="X4407">
        <v>5</v>
      </c>
      <c r="Y4407" t="s">
        <v>23568</v>
      </c>
      <c r="Z4407" t="s">
        <v>29982</v>
      </c>
      <c r="AA4407">
        <v>0.41354485783727651</v>
      </c>
      <c r="AB4407" t="str">
        <f>HYPERLINK("Melting_Curves/meltCurve_Q8N442_GUF1.pdf", "Melting_Curves/meltCurve_Q8N442_GUF1.pdf")</f>
        <v>Melting_Curves/meltCurve_Q8N442_GUF1.pdf</v>
      </c>
    </row>
    <row r="4408" spans="1:28" x14ac:dyDescent="0.25">
      <c r="A4408" t="s">
        <v>4412</v>
      </c>
      <c r="B4408">
        <v>0.99673306730245903</v>
      </c>
      <c r="C4408">
        <v>0.959553765075155</v>
      </c>
      <c r="D4408">
        <v>1.00098523315521</v>
      </c>
      <c r="E4408">
        <v>1.04404251799437</v>
      </c>
      <c r="F4408">
        <v>0.80619983292349195</v>
      </c>
      <c r="G4408">
        <v>0.62728957476429903</v>
      </c>
      <c r="H4408">
        <v>0.42118805409361199</v>
      </c>
      <c r="I4408">
        <v>0.18028484317544199</v>
      </c>
      <c r="J4408">
        <v>0.15214509831314099</v>
      </c>
      <c r="K4408">
        <v>0.11007861279052</v>
      </c>
      <c r="L4408">
        <v>1005.20121634179</v>
      </c>
      <c r="M4408">
        <v>17.208329852738199</v>
      </c>
      <c r="N4408">
        <v>58.792733943859297</v>
      </c>
      <c r="O4408">
        <v>57.641921031309998</v>
      </c>
      <c r="P4408">
        <v>-7.0719589517927797E-2</v>
      </c>
      <c r="Q4408">
        <v>5.2511681361005598E-2</v>
      </c>
      <c r="R4408">
        <v>0.98806606028917299</v>
      </c>
      <c r="S4408" t="s">
        <v>10860</v>
      </c>
      <c r="T4408" t="s">
        <v>12902</v>
      </c>
      <c r="U4408" t="s">
        <v>12902</v>
      </c>
      <c r="V4408" t="s">
        <v>12902</v>
      </c>
      <c r="W4408" t="s">
        <v>17263</v>
      </c>
      <c r="X4408">
        <v>10</v>
      </c>
      <c r="Y4408" t="s">
        <v>23569</v>
      </c>
      <c r="Z4408" t="s">
        <v>29983</v>
      </c>
      <c r="AA4408">
        <v>0.64539365000428262</v>
      </c>
      <c r="AB4408" t="str">
        <f>HYPERLINK("Melting_Curves/meltCurve_Q8N465_D2HGDH.pdf", "Melting_Curves/meltCurve_Q8N465_D2HGDH.pdf")</f>
        <v>Melting_Curves/meltCurve_Q8N465_D2HGDH.pdf</v>
      </c>
    </row>
    <row r="4409" spans="1:28" x14ac:dyDescent="0.25">
      <c r="A4409" t="s">
        <v>4413</v>
      </c>
      <c r="B4409">
        <v>0.99673306730245903</v>
      </c>
      <c r="C4409">
        <v>1.0131324420032299</v>
      </c>
      <c r="D4409">
        <v>0.931819414510343</v>
      </c>
      <c r="E4409">
        <v>0.79298772571399501</v>
      </c>
      <c r="F4409">
        <v>0.64831508207736799</v>
      </c>
      <c r="G4409">
        <v>0.54334315730683003</v>
      </c>
      <c r="H4409">
        <v>0.43661270806672597</v>
      </c>
      <c r="I4409">
        <v>0.66624252002824402</v>
      </c>
      <c r="J4409">
        <v>1.02538163682301</v>
      </c>
      <c r="K4409">
        <v>0.99712672514092404</v>
      </c>
      <c r="L4409">
        <v>1884.8765996232901</v>
      </c>
      <c r="M4409">
        <v>39.584927319583002</v>
      </c>
      <c r="O4409">
        <v>47.494978201709202</v>
      </c>
      <c r="P4409">
        <v>-5.7955394323227001E-2</v>
      </c>
      <c r="Q4409">
        <v>0.72185529212158295</v>
      </c>
      <c r="R4409">
        <v>0.32174249406153399</v>
      </c>
      <c r="S4409" t="s">
        <v>10861</v>
      </c>
      <c r="T4409" t="s">
        <v>12902</v>
      </c>
      <c r="U4409" t="s">
        <v>12902</v>
      </c>
      <c r="V4409" t="s">
        <v>12902</v>
      </c>
      <c r="W4409" t="s">
        <v>17264</v>
      </c>
      <c r="X4409">
        <v>8</v>
      </c>
      <c r="Y4409" t="s">
        <v>23570</v>
      </c>
      <c r="Z4409" t="s">
        <v>29984</v>
      </c>
      <c r="AA4409">
        <v>0.79340628677656111</v>
      </c>
      <c r="AB4409" t="str">
        <f>HYPERLINK("Melting_Curves/meltCurve_Q8N488_RYBP.pdf", "Melting_Curves/meltCurve_Q8N488_RYBP.pdf")</f>
        <v>Melting_Curves/meltCurve_Q8N488_RYBP.pdf</v>
      </c>
    </row>
    <row r="4410" spans="1:28" x14ac:dyDescent="0.25">
      <c r="A4410" t="s">
        <v>4414</v>
      </c>
      <c r="B4410">
        <v>0.99673306730245903</v>
      </c>
      <c r="C4410">
        <v>0.91541770926495303</v>
      </c>
      <c r="D4410">
        <v>0.92430986575509899</v>
      </c>
      <c r="E4410">
        <v>0.81892270356720098</v>
      </c>
      <c r="F4410">
        <v>0.64359546028700099</v>
      </c>
      <c r="G4410">
        <v>0.55420664107658801</v>
      </c>
      <c r="H4410">
        <v>0.478303200492247</v>
      </c>
      <c r="I4410">
        <v>0.54231887162340697</v>
      </c>
      <c r="J4410">
        <v>0.686237847605775</v>
      </c>
      <c r="K4410">
        <v>0.60167038678095597</v>
      </c>
      <c r="L4410">
        <v>1160.79091052119</v>
      </c>
      <c r="M4410">
        <v>23.3452737237827</v>
      </c>
      <c r="O4410">
        <v>49.362203375108798</v>
      </c>
      <c r="P4410">
        <v>-5.1039390128339898E-2</v>
      </c>
      <c r="Q4410">
        <v>0.56832850858947304</v>
      </c>
      <c r="R4410">
        <v>0.89229829951213302</v>
      </c>
      <c r="S4410" t="s">
        <v>10862</v>
      </c>
      <c r="T4410" t="s">
        <v>12902</v>
      </c>
      <c r="U4410" t="s">
        <v>12902</v>
      </c>
      <c r="V4410" t="s">
        <v>12902</v>
      </c>
      <c r="W4410" t="s">
        <v>17265</v>
      </c>
      <c r="X4410">
        <v>2</v>
      </c>
      <c r="Y4410" t="s">
        <v>23571</v>
      </c>
      <c r="Z4410" t="s">
        <v>29985</v>
      </c>
      <c r="AA4410">
        <v>0.71264782197536714</v>
      </c>
      <c r="AB4410" t="str">
        <f>HYPERLINK("Melting_Curves/meltCurve_Q8N490_2_PNKD.pdf", "Melting_Curves/meltCurve_Q8N490_2_PNKD.pdf")</f>
        <v>Melting_Curves/meltCurve_Q8N490_2_PNKD.pdf</v>
      </c>
    </row>
    <row r="4411" spans="1:28" x14ac:dyDescent="0.25">
      <c r="A4411" t="s">
        <v>4415</v>
      </c>
      <c r="B4411">
        <v>0.99673306730245903</v>
      </c>
      <c r="C4411">
        <v>0.81455751156510903</v>
      </c>
      <c r="D4411">
        <v>0.93564543914537102</v>
      </c>
      <c r="E4411">
        <v>0.64244018165577599</v>
      </c>
      <c r="F4411">
        <v>0.52271227625894401</v>
      </c>
      <c r="G4411">
        <v>0.38368889687302299</v>
      </c>
      <c r="H4411">
        <v>0.29591279810099103</v>
      </c>
      <c r="I4411">
        <v>0.18706743210960899</v>
      </c>
      <c r="J4411">
        <v>0.16162415645015701</v>
      </c>
      <c r="K4411">
        <v>0.14246328757426899</v>
      </c>
      <c r="L4411">
        <v>520.70534176882904</v>
      </c>
      <c r="M4411">
        <v>9.8004822462640107</v>
      </c>
      <c r="N4411">
        <v>53.791953765242198</v>
      </c>
      <c r="O4411">
        <v>51.0602296457172</v>
      </c>
      <c r="P4411">
        <v>-4.5285060764814498E-2</v>
      </c>
      <c r="Q4411">
        <v>5.6760417682397299E-2</v>
      </c>
      <c r="R4411">
        <v>0.97297889653360903</v>
      </c>
      <c r="S4411" t="s">
        <v>10863</v>
      </c>
      <c r="T4411" t="s">
        <v>12902</v>
      </c>
      <c r="U4411" t="s">
        <v>12902</v>
      </c>
      <c r="V4411" t="s">
        <v>12902</v>
      </c>
      <c r="W4411" t="s">
        <v>17266</v>
      </c>
      <c r="X4411">
        <v>4</v>
      </c>
      <c r="Y4411" t="s">
        <v>23571</v>
      </c>
      <c r="Z4411" t="s">
        <v>29986</v>
      </c>
      <c r="AA4411">
        <v>0.50195093518171563</v>
      </c>
      <c r="AB4411" t="str">
        <f>HYPERLINK("Melting_Curves/meltCurve_Q8N490_4_PNKD.pdf", "Melting_Curves/meltCurve_Q8N490_4_PNKD.pdf")</f>
        <v>Melting_Curves/meltCurve_Q8N490_4_PNKD.pdf</v>
      </c>
    </row>
    <row r="4412" spans="1:28" x14ac:dyDescent="0.25">
      <c r="A4412" t="s">
        <v>4416</v>
      </c>
      <c r="B4412">
        <v>0.99673306730245903</v>
      </c>
      <c r="C4412">
        <v>0.94517728503768605</v>
      </c>
      <c r="D4412">
        <v>0.90802527825671697</v>
      </c>
      <c r="E4412">
        <v>0.685022493926156</v>
      </c>
      <c r="F4412">
        <v>0.20361106772372101</v>
      </c>
      <c r="G4412">
        <v>0.10206457501739399</v>
      </c>
      <c r="H4412">
        <v>6.6003257791327902E-2</v>
      </c>
      <c r="I4412">
        <v>6.5701058684997399E-2</v>
      </c>
      <c r="J4412">
        <v>6.9919046594890899E-2</v>
      </c>
      <c r="K4412">
        <v>6.6493638397285407E-2</v>
      </c>
      <c r="L4412">
        <v>1553.0516578940601</v>
      </c>
      <c r="M4412">
        <v>30.745400500953998</v>
      </c>
      <c r="N4412">
        <v>50.738724007073799</v>
      </c>
      <c r="O4412">
        <v>50.301050581463201</v>
      </c>
      <c r="P4412">
        <v>-0.14305288591621301</v>
      </c>
      <c r="Q4412">
        <v>6.3838206205483097E-2</v>
      </c>
      <c r="R4412">
        <v>0.99604500568176102</v>
      </c>
      <c r="S4412" t="s">
        <v>10864</v>
      </c>
      <c r="T4412" t="s">
        <v>12902</v>
      </c>
      <c r="U4412" t="s">
        <v>12902</v>
      </c>
      <c r="V4412" t="s">
        <v>12902</v>
      </c>
      <c r="W4412" t="s">
        <v>17267</v>
      </c>
      <c r="X4412">
        <v>8</v>
      </c>
      <c r="Y4412" t="s">
        <v>23572</v>
      </c>
      <c r="Z4412" t="s">
        <v>29987</v>
      </c>
      <c r="AA4412">
        <v>0.39746746933961691</v>
      </c>
      <c r="AB4412" t="str">
        <f>HYPERLINK("Melting_Curves/meltCurve_Q8N4C8_2_MINK1.pdf", "Melting_Curves/meltCurve_Q8N4C8_2_MINK1.pdf")</f>
        <v>Melting_Curves/meltCurve_Q8N4C8_2_MINK1.pdf</v>
      </c>
    </row>
    <row r="4413" spans="1:28" x14ac:dyDescent="0.25">
      <c r="A4413" t="s">
        <v>4417</v>
      </c>
      <c r="B4413">
        <v>0.99673306730245903</v>
      </c>
      <c r="C4413">
        <v>1.0743236346766001</v>
      </c>
      <c r="D4413">
        <v>0.98792147066759295</v>
      </c>
      <c r="E4413">
        <v>1.0693262651062201</v>
      </c>
      <c r="F4413">
        <v>0.86445516529650201</v>
      </c>
      <c r="G4413">
        <v>0.85376523422268602</v>
      </c>
      <c r="H4413">
        <v>0.969097012402516</v>
      </c>
      <c r="I4413">
        <v>1.90862837928752</v>
      </c>
      <c r="J4413">
        <v>2.2022875513047699</v>
      </c>
      <c r="K4413">
        <v>2.6893393766907301</v>
      </c>
      <c r="L4413">
        <v>5214.7626276677302</v>
      </c>
      <c r="M4413">
        <v>84.413914103552699</v>
      </c>
      <c r="O4413">
        <v>61.741441281842299</v>
      </c>
      <c r="P4413">
        <v>0.17090202983651301</v>
      </c>
      <c r="Q4413">
        <v>1.5</v>
      </c>
      <c r="R4413">
        <v>0.44036686405117798</v>
      </c>
      <c r="S4413" t="s">
        <v>10865</v>
      </c>
      <c r="T4413" t="s">
        <v>12902</v>
      </c>
      <c r="U4413" t="s">
        <v>12902</v>
      </c>
      <c r="V4413" t="s">
        <v>12902</v>
      </c>
      <c r="W4413" t="s">
        <v>17268</v>
      </c>
      <c r="X4413">
        <v>6</v>
      </c>
      <c r="Y4413" t="s">
        <v>23573</v>
      </c>
      <c r="Z4413" t="s">
        <v>29988</v>
      </c>
      <c r="AA4413">
        <v>1.1365894661577141</v>
      </c>
      <c r="AB4413" t="str">
        <f>HYPERLINK("Melting_Curves/meltCurve_Q8N4H5_TOMM5.pdf", "Melting_Curves/meltCurve_Q8N4H5_TOMM5.pdf")</f>
        <v>Melting_Curves/meltCurve_Q8N4H5_TOMM5.pdf</v>
      </c>
    </row>
    <row r="4414" spans="1:28" x14ac:dyDescent="0.25">
      <c r="A4414" t="s">
        <v>4418</v>
      </c>
      <c r="B4414">
        <v>0.99673306730245903</v>
      </c>
      <c r="C4414">
        <v>0.98859656264845097</v>
      </c>
      <c r="D4414">
        <v>0.95880063110619296</v>
      </c>
      <c r="E4414">
        <v>0.91986565452664104</v>
      </c>
      <c r="F4414">
        <v>0.77335719642368095</v>
      </c>
      <c r="G4414">
        <v>0.68786083326602099</v>
      </c>
      <c r="H4414">
        <v>0.45953178491645102</v>
      </c>
      <c r="I4414">
        <v>0.15007987504762799</v>
      </c>
      <c r="J4414">
        <v>0.148097609384856</v>
      </c>
      <c r="K4414">
        <v>0.116545621244435</v>
      </c>
      <c r="L4414">
        <v>847.83979452051005</v>
      </c>
      <c r="M4414">
        <v>14.3588371789911</v>
      </c>
      <c r="N4414">
        <v>59.0465500301612</v>
      </c>
      <c r="O4414">
        <v>57.936711470836102</v>
      </c>
      <c r="P4414">
        <v>-6.1966577831550303E-2</v>
      </c>
      <c r="Q4414">
        <v>0</v>
      </c>
      <c r="R4414">
        <v>0.98352307211743095</v>
      </c>
      <c r="S4414" t="s">
        <v>10866</v>
      </c>
      <c r="T4414" t="s">
        <v>12902</v>
      </c>
      <c r="U4414" t="s">
        <v>12902</v>
      </c>
      <c r="V4414" t="s">
        <v>12902</v>
      </c>
      <c r="W4414" t="s">
        <v>17269</v>
      </c>
      <c r="X4414">
        <v>5</v>
      </c>
      <c r="Y4414" t="s">
        <v>23574</v>
      </c>
      <c r="Z4414" t="s">
        <v>29989</v>
      </c>
      <c r="AA4414">
        <v>0.64493375831059518</v>
      </c>
      <c r="AB4414" t="str">
        <f>HYPERLINK("Melting_Curves/meltCurve_Q8N4P3_HDDC3.pdf", "Melting_Curves/meltCurve_Q8N4P3_HDDC3.pdf")</f>
        <v>Melting_Curves/meltCurve_Q8N4P3_HDDC3.pdf</v>
      </c>
    </row>
    <row r="4415" spans="1:28" x14ac:dyDescent="0.25">
      <c r="A4415" t="s">
        <v>4419</v>
      </c>
      <c r="B4415">
        <v>0.99673306730245903</v>
      </c>
      <c r="C4415">
        <v>1.0398698962414199</v>
      </c>
      <c r="D4415">
        <v>0.98639289887829296</v>
      </c>
      <c r="E4415">
        <v>0.92076612880931596</v>
      </c>
      <c r="F4415">
        <v>0.69550018206110398</v>
      </c>
      <c r="G4415">
        <v>0.49870044545108</v>
      </c>
      <c r="H4415">
        <v>0.25853904947150902</v>
      </c>
      <c r="I4415">
        <v>0.12895069480718599</v>
      </c>
      <c r="J4415">
        <v>0.12113814877578399</v>
      </c>
      <c r="K4415">
        <v>0.122474705679721</v>
      </c>
      <c r="L4415">
        <v>983.18110713912199</v>
      </c>
      <c r="M4415">
        <v>17.607733274308799</v>
      </c>
      <c r="N4415">
        <v>56.367015222215102</v>
      </c>
      <c r="O4415">
        <v>55.132706505619197</v>
      </c>
      <c r="P4415">
        <v>-7.3765886410260301E-2</v>
      </c>
      <c r="Q4415">
        <v>7.6156875341713906E-2</v>
      </c>
      <c r="R4415">
        <v>0.99590581936164702</v>
      </c>
      <c r="S4415" t="s">
        <v>10867</v>
      </c>
      <c r="T4415" t="s">
        <v>12902</v>
      </c>
      <c r="U4415" t="s">
        <v>12902</v>
      </c>
      <c r="V4415" t="s">
        <v>12902</v>
      </c>
      <c r="W4415" t="s">
        <v>17270</v>
      </c>
      <c r="X4415">
        <v>7</v>
      </c>
      <c r="Y4415" t="s">
        <v>23575</v>
      </c>
      <c r="Z4415" t="s">
        <v>29990</v>
      </c>
      <c r="AA4415">
        <v>0.57798718330018006</v>
      </c>
      <c r="AB4415" t="str">
        <f>HYPERLINK("Melting_Curves/meltCurve_Q8N4Q0_ZADH2.pdf", "Melting_Curves/meltCurve_Q8N4Q0_ZADH2.pdf")</f>
        <v>Melting_Curves/meltCurve_Q8N4Q0_ZADH2.pdf</v>
      </c>
    </row>
    <row r="4416" spans="1:28" x14ac:dyDescent="0.25">
      <c r="A4416" t="s">
        <v>4420</v>
      </c>
      <c r="B4416">
        <v>0.99673306730245903</v>
      </c>
      <c r="C4416">
        <v>0.92510497425015803</v>
      </c>
      <c r="D4416">
        <v>0.88458657981992495</v>
      </c>
      <c r="E4416">
        <v>0.89197838074938995</v>
      </c>
      <c r="F4416">
        <v>0.75694932716022001</v>
      </c>
      <c r="G4416">
        <v>0.61976634191124902</v>
      </c>
      <c r="H4416">
        <v>0.56539307184061705</v>
      </c>
      <c r="I4416">
        <v>1.0195040256538599</v>
      </c>
      <c r="J4416">
        <v>1.41955096733108</v>
      </c>
      <c r="K4416">
        <v>1.38725160640613</v>
      </c>
      <c r="L4416">
        <v>15000</v>
      </c>
      <c r="M4416">
        <v>231.40223974278601</v>
      </c>
      <c r="O4416">
        <v>64.817341648145103</v>
      </c>
      <c r="P4416">
        <v>0.36010637811721002</v>
      </c>
      <c r="Q4416">
        <v>1.4034730279408001</v>
      </c>
      <c r="R4416">
        <v>0.41245248735707901</v>
      </c>
      <c r="S4416" t="s">
        <v>10868</v>
      </c>
      <c r="T4416" t="s">
        <v>12902</v>
      </c>
      <c r="U4416" t="s">
        <v>12902</v>
      </c>
      <c r="V4416" t="s">
        <v>12902</v>
      </c>
      <c r="W4416" t="s">
        <v>17271</v>
      </c>
      <c r="X4416">
        <v>3</v>
      </c>
      <c r="Y4416" t="s">
        <v>23576</v>
      </c>
      <c r="Z4416" t="s">
        <v>29991</v>
      </c>
      <c r="AA4416">
        <v>1.069583310344371</v>
      </c>
      <c r="AB4416" t="str">
        <f>HYPERLINK("Melting_Curves/meltCurve_Q8N4Q1_CHCHD4.pdf", "Melting_Curves/meltCurve_Q8N4Q1_CHCHD4.pdf")</f>
        <v>Melting_Curves/meltCurve_Q8N4Q1_CHCHD4.pdf</v>
      </c>
    </row>
    <row r="4417" spans="1:28" x14ac:dyDescent="0.25">
      <c r="A4417" t="s">
        <v>4421</v>
      </c>
      <c r="B4417">
        <v>0.99673306730245903</v>
      </c>
      <c r="C4417">
        <v>1.0204148279823</v>
      </c>
      <c r="D4417">
        <v>1.0471698795506901</v>
      </c>
      <c r="E4417">
        <v>1.0821976789557399</v>
      </c>
      <c r="F4417">
        <v>1.0834935946494799</v>
      </c>
      <c r="G4417">
        <v>0.93893917997804299</v>
      </c>
      <c r="H4417">
        <v>0.73045877592779695</v>
      </c>
      <c r="I4417">
        <v>0.69257679300351005</v>
      </c>
      <c r="J4417">
        <v>0.63772212370921</v>
      </c>
      <c r="K4417">
        <v>0.37143964676082097</v>
      </c>
      <c r="L4417">
        <v>887.81895913887195</v>
      </c>
      <c r="M4417">
        <v>13.0298109452281</v>
      </c>
      <c r="N4417">
        <v>68.137517318942201</v>
      </c>
      <c r="O4417">
        <v>66.592483981872405</v>
      </c>
      <c r="P4417">
        <v>-4.8924787914275597E-2</v>
      </c>
      <c r="Q4417">
        <v>0</v>
      </c>
      <c r="R4417">
        <v>0.91919493543812503</v>
      </c>
      <c r="S4417" t="s">
        <v>10869</v>
      </c>
      <c r="T4417" t="s">
        <v>12902</v>
      </c>
      <c r="U4417" t="s">
        <v>12902</v>
      </c>
      <c r="V4417" t="s">
        <v>12902</v>
      </c>
      <c r="W4417" t="s">
        <v>17272</v>
      </c>
      <c r="X4417">
        <v>9</v>
      </c>
      <c r="Y4417" t="s">
        <v>23577</v>
      </c>
      <c r="Z4417" t="s">
        <v>29992</v>
      </c>
      <c r="AA4417">
        <v>0.86319437420155687</v>
      </c>
      <c r="AB4417" t="str">
        <f>HYPERLINK("Melting_Curves/meltCurve_Q8N4T8_CBR4.pdf", "Melting_Curves/meltCurve_Q8N4T8_CBR4.pdf")</f>
        <v>Melting_Curves/meltCurve_Q8N4T8_CBR4.pdf</v>
      </c>
    </row>
    <row r="4418" spans="1:28" x14ac:dyDescent="0.25">
      <c r="A4418" t="s">
        <v>4422</v>
      </c>
      <c r="B4418">
        <v>0.99673306730245903</v>
      </c>
      <c r="C4418">
        <v>0.94316843619606705</v>
      </c>
      <c r="D4418">
        <v>0.87010993964658501</v>
      </c>
      <c r="E4418">
        <v>0.66282289340351297</v>
      </c>
      <c r="F4418">
        <v>0.44828399291020199</v>
      </c>
      <c r="G4418">
        <v>0.22129611629878701</v>
      </c>
      <c r="H4418">
        <v>0.17161051348635301</v>
      </c>
      <c r="I4418">
        <v>0.28886170341985101</v>
      </c>
      <c r="J4418">
        <v>0.36584067042020202</v>
      </c>
      <c r="K4418">
        <v>0.34401185101625997</v>
      </c>
      <c r="L4418">
        <v>1129.20617288992</v>
      </c>
      <c r="M4418">
        <v>22.728417645741398</v>
      </c>
      <c r="N4418">
        <v>51.496347120683801</v>
      </c>
      <c r="O4418">
        <v>49.302757852090402</v>
      </c>
      <c r="P4418">
        <v>-8.3504968332515403E-2</v>
      </c>
      <c r="Q4418">
        <v>0.27545427658335198</v>
      </c>
      <c r="R4418">
        <v>0.95556884115683505</v>
      </c>
      <c r="S4418" t="s">
        <v>10870</v>
      </c>
      <c r="T4418" t="s">
        <v>12902</v>
      </c>
      <c r="U4418" t="s">
        <v>12902</v>
      </c>
      <c r="V4418" t="s">
        <v>12902</v>
      </c>
      <c r="W4418" t="s">
        <v>17273</v>
      </c>
      <c r="X4418">
        <v>3</v>
      </c>
      <c r="Y4418" t="s">
        <v>23578</v>
      </c>
      <c r="Z4418" t="s">
        <v>29993</v>
      </c>
      <c r="AA4418">
        <v>0.5171283659951893</v>
      </c>
      <c r="AB4418" t="str">
        <f>HYPERLINK("Melting_Curves/meltCurve_Q8N4V1_MMGT1.pdf", "Melting_Curves/meltCurve_Q8N4V1_MMGT1.pdf")</f>
        <v>Melting_Curves/meltCurve_Q8N4V1_MMGT1.pdf</v>
      </c>
    </row>
    <row r="4419" spans="1:28" x14ac:dyDescent="0.25">
      <c r="A4419" t="s">
        <v>4423</v>
      </c>
      <c r="B4419">
        <v>0.99673306730245903</v>
      </c>
      <c r="C4419">
        <v>0.88909179941870597</v>
      </c>
      <c r="D4419">
        <v>0.88650511727658698</v>
      </c>
      <c r="E4419">
        <v>0.76299979199883305</v>
      </c>
      <c r="F4419">
        <v>0.77788420297973704</v>
      </c>
      <c r="G4419">
        <v>0.58608158846766401</v>
      </c>
      <c r="H4419">
        <v>0.37012276833334801</v>
      </c>
      <c r="I4419">
        <v>0.318073400151548</v>
      </c>
      <c r="J4419">
        <v>0.404235500320758</v>
      </c>
      <c r="K4419">
        <v>0.43713218998366499</v>
      </c>
      <c r="L4419">
        <v>575.07908121315404</v>
      </c>
      <c r="M4419">
        <v>10.6826370393559</v>
      </c>
      <c r="N4419">
        <v>58.961161655092397</v>
      </c>
      <c r="O4419">
        <v>52.0494590154562</v>
      </c>
      <c r="P4419">
        <v>-3.5799786957116303E-2</v>
      </c>
      <c r="Q4419">
        <v>0.30254817098954701</v>
      </c>
      <c r="R4419">
        <v>0.92476824026480697</v>
      </c>
      <c r="S4419" t="s">
        <v>10871</v>
      </c>
      <c r="T4419" t="s">
        <v>12902</v>
      </c>
      <c r="U4419" t="s">
        <v>12902</v>
      </c>
      <c r="V4419" t="s">
        <v>12902</v>
      </c>
      <c r="W4419" t="s">
        <v>17274</v>
      </c>
      <c r="X4419">
        <v>2</v>
      </c>
      <c r="Y4419" t="s">
        <v>23579</v>
      </c>
      <c r="Z4419" t="s">
        <v>29994</v>
      </c>
      <c r="AA4419">
        <v>0.64464067343269982</v>
      </c>
      <c r="AB4419" t="str">
        <f>HYPERLINK("Melting_Curves/meltCurve_Q8N567_ZCCHC9.pdf", "Melting_Curves/meltCurve_Q8N567_ZCCHC9.pdf")</f>
        <v>Melting_Curves/meltCurve_Q8N567_ZCCHC9.pdf</v>
      </c>
    </row>
    <row r="4420" spans="1:28" x14ac:dyDescent="0.25">
      <c r="A4420" t="s">
        <v>4424</v>
      </c>
      <c r="B4420">
        <v>0.99673306730245903</v>
      </c>
      <c r="C4420">
        <v>1.02989024306427</v>
      </c>
      <c r="D4420">
        <v>0.97187842768118404</v>
      </c>
      <c r="E4420">
        <v>0.91635989880695901</v>
      </c>
      <c r="F4420">
        <v>0.61916618850390304</v>
      </c>
      <c r="G4420">
        <v>0.21935321841359001</v>
      </c>
      <c r="H4420">
        <v>9.9974003372049605E-2</v>
      </c>
      <c r="I4420">
        <v>9.2042610066504493E-2</v>
      </c>
      <c r="J4420">
        <v>0.100853732192301</v>
      </c>
      <c r="K4420">
        <v>9.2951347796801503E-2</v>
      </c>
      <c r="L4420">
        <v>1666.2591489116201</v>
      </c>
      <c r="M4420">
        <v>31.037023487035299</v>
      </c>
      <c r="N4420">
        <v>54.020821677518803</v>
      </c>
      <c r="O4420">
        <v>53.464781060499902</v>
      </c>
      <c r="P4420">
        <v>-0.132436674006949</v>
      </c>
      <c r="Q4420">
        <v>8.7456630065485999E-2</v>
      </c>
      <c r="R4420">
        <v>0.99864075308074196</v>
      </c>
      <c r="S4420" t="s">
        <v>10872</v>
      </c>
      <c r="T4420" t="s">
        <v>12902</v>
      </c>
      <c r="U4420" t="s">
        <v>12902</v>
      </c>
      <c r="V4420" t="s">
        <v>12902</v>
      </c>
      <c r="W4420" t="s">
        <v>17275</v>
      </c>
      <c r="X4420">
        <v>7</v>
      </c>
      <c r="Y4420" t="s">
        <v>23580</v>
      </c>
      <c r="Z4420" t="s">
        <v>29995</v>
      </c>
      <c r="AA4420">
        <v>0.50935408426540318</v>
      </c>
      <c r="AB4420" t="str">
        <f>HYPERLINK("Melting_Curves/meltCurve_Q8N573_2_OXR1.pdf", "Melting_Curves/meltCurve_Q8N573_2_OXR1.pdf")</f>
        <v>Melting_Curves/meltCurve_Q8N573_2_OXR1.pdf</v>
      </c>
    </row>
    <row r="4421" spans="1:28" x14ac:dyDescent="0.25">
      <c r="A4421" t="s">
        <v>4425</v>
      </c>
      <c r="B4421">
        <v>0.99673306730245903</v>
      </c>
      <c r="C4421">
        <v>0.96223777181665404</v>
      </c>
      <c r="D4421">
        <v>0.90924341604783299</v>
      </c>
      <c r="E4421">
        <v>0.73271456480391395</v>
      </c>
      <c r="F4421">
        <v>0.39193780841282</v>
      </c>
      <c r="G4421">
        <v>0.21140506256336</v>
      </c>
      <c r="H4421">
        <v>0.123602209820714</v>
      </c>
      <c r="I4421">
        <v>0.107004009298731</v>
      </c>
      <c r="J4421">
        <v>0.119228234135343</v>
      </c>
      <c r="K4421">
        <v>0.119260805918265</v>
      </c>
      <c r="L4421">
        <v>1081.5081277024599</v>
      </c>
      <c r="M4421">
        <v>21.038565092854402</v>
      </c>
      <c r="N4421">
        <v>51.976252904016199</v>
      </c>
      <c r="O4421">
        <v>50.948311495900903</v>
      </c>
      <c r="P4421">
        <v>-9.2597683140292403E-2</v>
      </c>
      <c r="Q4421">
        <v>0.103062593844354</v>
      </c>
      <c r="R4421">
        <v>0.99859465953347404</v>
      </c>
      <c r="S4421" t="s">
        <v>10873</v>
      </c>
      <c r="T4421" t="s">
        <v>12902</v>
      </c>
      <c r="U4421" t="s">
        <v>12902</v>
      </c>
      <c r="V4421" t="s">
        <v>12902</v>
      </c>
      <c r="W4421" t="s">
        <v>17276</v>
      </c>
      <c r="X4421">
        <v>6</v>
      </c>
      <c r="Y4421" t="s">
        <v>23581</v>
      </c>
      <c r="Z4421" t="s">
        <v>29996</v>
      </c>
      <c r="AA4421">
        <v>0.45540023484463288</v>
      </c>
      <c r="AB4421" t="str">
        <f>HYPERLINK("Melting_Curves/meltCurve_Q8N584_TTC39C.pdf", "Melting_Curves/meltCurve_Q8N584_TTC39C.pdf")</f>
        <v>Melting_Curves/meltCurve_Q8N584_TTC39C.pdf</v>
      </c>
    </row>
    <row r="4422" spans="1:28" x14ac:dyDescent="0.25">
      <c r="A4422" t="s">
        <v>4426</v>
      </c>
      <c r="B4422">
        <v>0.99673306730245903</v>
      </c>
      <c r="C4422">
        <v>0.728668012386538</v>
      </c>
      <c r="D4422">
        <v>0.32541597362045799</v>
      </c>
      <c r="E4422">
        <v>0.21402926947261799</v>
      </c>
      <c r="F4422">
        <v>0.14477407907270401</v>
      </c>
      <c r="G4422">
        <v>0.111614579661173</v>
      </c>
      <c r="H4422">
        <v>7.5461584768809403E-2</v>
      </c>
      <c r="I4422">
        <v>5.9549069920031297E-2</v>
      </c>
      <c r="J4422">
        <v>7.9278028643687604E-2</v>
      </c>
      <c r="K4422">
        <v>7.1792600897988307E-2</v>
      </c>
      <c r="L4422">
        <v>1130.3443919619201</v>
      </c>
      <c r="M4422">
        <v>25.475702132365502</v>
      </c>
      <c r="N4422">
        <v>44.734361700629101</v>
      </c>
      <c r="O4422">
        <v>44.098831055239998</v>
      </c>
      <c r="P4422">
        <v>-0.13087785703022001</v>
      </c>
      <c r="Q4422">
        <v>9.3805100660893898E-2</v>
      </c>
      <c r="R4422">
        <v>0.98813755641269096</v>
      </c>
      <c r="S4422" t="s">
        <v>10874</v>
      </c>
      <c r="T4422" t="s">
        <v>12902</v>
      </c>
      <c r="U4422" t="s">
        <v>12902</v>
      </c>
      <c r="V4422" t="s">
        <v>12902</v>
      </c>
      <c r="W4422" t="s">
        <v>17277</v>
      </c>
      <c r="X4422">
        <v>2</v>
      </c>
      <c r="Y4422" t="s">
        <v>23582</v>
      </c>
      <c r="Z4422" t="s">
        <v>29997</v>
      </c>
      <c r="AA4422">
        <v>0.2351245618438271</v>
      </c>
      <c r="AB4422" t="str">
        <f>HYPERLINK("Melting_Curves/meltCurve_Q8N5A5_3_ZGPAT.pdf", "Melting_Curves/meltCurve_Q8N5A5_3_ZGPAT.pdf")</f>
        <v>Melting_Curves/meltCurve_Q8N5A5_3_ZGPAT.pdf</v>
      </c>
    </row>
    <row r="4423" spans="1:28" x14ac:dyDescent="0.25">
      <c r="A4423" t="s">
        <v>4427</v>
      </c>
      <c r="B4423">
        <v>0.99673306730245903</v>
      </c>
      <c r="C4423">
        <v>0.82240528009568203</v>
      </c>
      <c r="D4423">
        <v>0.52995983104356603</v>
      </c>
      <c r="E4423">
        <v>0.19584572833728101</v>
      </c>
      <c r="F4423">
        <v>0.19511268220906</v>
      </c>
      <c r="G4423">
        <v>0.109025730710421</v>
      </c>
      <c r="H4423">
        <v>7.3998518037900807E-2</v>
      </c>
      <c r="I4423">
        <v>5.6139578197723097E-2</v>
      </c>
      <c r="J4423">
        <v>5.2783505606754599E-2</v>
      </c>
      <c r="K4423">
        <v>4.3341458462139597E-2</v>
      </c>
      <c r="L4423">
        <v>961.04167855171795</v>
      </c>
      <c r="M4423">
        <v>20.922853362348</v>
      </c>
      <c r="N4423">
        <v>46.265969565289197</v>
      </c>
      <c r="O4423">
        <v>45.519210064426403</v>
      </c>
      <c r="P4423">
        <v>-0.106875314227263</v>
      </c>
      <c r="Q4423">
        <v>6.9964808652222002E-2</v>
      </c>
      <c r="R4423">
        <v>0.99077555206386003</v>
      </c>
      <c r="S4423" t="s">
        <v>10875</v>
      </c>
      <c r="T4423" t="s">
        <v>12902</v>
      </c>
      <c r="U4423" t="s">
        <v>12902</v>
      </c>
      <c r="V4423" t="s">
        <v>12902</v>
      </c>
      <c r="W4423" t="s">
        <v>17278</v>
      </c>
      <c r="X4423">
        <v>4</v>
      </c>
      <c r="Y4423" t="s">
        <v>23583</v>
      </c>
      <c r="Z4423" t="s">
        <v>29998</v>
      </c>
      <c r="AA4423">
        <v>0.26690584643453569</v>
      </c>
      <c r="AB4423" t="str">
        <f>HYPERLINK("Melting_Curves/meltCurve_Q8N5C6_SRBD1.pdf", "Melting_Curves/meltCurve_Q8N5C6_SRBD1.pdf")</f>
        <v>Melting_Curves/meltCurve_Q8N5C6_SRBD1.pdf</v>
      </c>
    </row>
    <row r="4424" spans="1:28" x14ac:dyDescent="0.25">
      <c r="A4424" t="s">
        <v>4428</v>
      </c>
      <c r="B4424">
        <v>0.99673306730245903</v>
      </c>
      <c r="C4424">
        <v>0.94849653876030204</v>
      </c>
      <c r="D4424">
        <v>0.77560208114526397</v>
      </c>
      <c r="E4424">
        <v>0.66836348337317397</v>
      </c>
      <c r="F4424">
        <v>0.70040353940794198</v>
      </c>
      <c r="G4424">
        <v>0.38598474343301398</v>
      </c>
      <c r="H4424">
        <v>0.172050716191223</v>
      </c>
      <c r="I4424">
        <v>0.16009253345823801</v>
      </c>
      <c r="J4424">
        <v>0.141610447687294</v>
      </c>
      <c r="K4424">
        <v>3.6942681721261902E-2</v>
      </c>
      <c r="L4424">
        <v>568.76465420751197</v>
      </c>
      <c r="M4424">
        <v>10.4851681405521</v>
      </c>
      <c r="N4424">
        <v>54.244685932365797</v>
      </c>
      <c r="O4424">
        <v>52.382953145449797</v>
      </c>
      <c r="P4424">
        <v>-5.0061236580186103E-2</v>
      </c>
      <c r="Q4424">
        <v>0</v>
      </c>
      <c r="R4424">
        <v>0.96339962612992602</v>
      </c>
      <c r="S4424" t="s">
        <v>10876</v>
      </c>
      <c r="T4424" t="s">
        <v>12902</v>
      </c>
      <c r="U4424" t="s">
        <v>12902</v>
      </c>
      <c r="V4424" t="s">
        <v>12902</v>
      </c>
      <c r="W4424" t="s">
        <v>17279</v>
      </c>
      <c r="X4424">
        <v>2</v>
      </c>
      <c r="Y4424" t="s">
        <v>23584</v>
      </c>
      <c r="Z4424" t="s">
        <v>29999</v>
      </c>
      <c r="AA4424">
        <v>0.50312690061670107</v>
      </c>
      <c r="AB4424" t="str">
        <f>HYPERLINK("Melting_Curves/meltCurve_Q8N5C7_DTWD1.pdf", "Melting_Curves/meltCurve_Q8N5C7_DTWD1.pdf")</f>
        <v>Melting_Curves/meltCurve_Q8N5C7_DTWD1.pdf</v>
      </c>
    </row>
    <row r="4425" spans="1:28" x14ac:dyDescent="0.25">
      <c r="A4425" t="s">
        <v>4429</v>
      </c>
      <c r="B4425">
        <v>0.99673306730245903</v>
      </c>
      <c r="C4425">
        <v>0.96935686505016305</v>
      </c>
      <c r="D4425">
        <v>0.92627717841392698</v>
      </c>
      <c r="E4425">
        <v>0.72361620346849498</v>
      </c>
      <c r="F4425">
        <v>0.30493909035509298</v>
      </c>
      <c r="G4425">
        <v>0.21822084648961401</v>
      </c>
      <c r="H4425">
        <v>0.13529133033924901</v>
      </c>
      <c r="I4425">
        <v>0.10423247478407301</v>
      </c>
      <c r="J4425">
        <v>9.5726485485867902E-2</v>
      </c>
      <c r="K4425">
        <v>0.110541676338293</v>
      </c>
      <c r="L4425">
        <v>1260.15059736787</v>
      </c>
      <c r="M4425">
        <v>24.730799123772801</v>
      </c>
      <c r="N4425">
        <v>51.472373400605598</v>
      </c>
      <c r="O4425">
        <v>50.625045072719203</v>
      </c>
      <c r="P4425">
        <v>-0.10868245211946</v>
      </c>
      <c r="Q4425">
        <v>0.110101250319185</v>
      </c>
      <c r="R4425">
        <v>0.99640172978041397</v>
      </c>
      <c r="S4425" t="s">
        <v>10877</v>
      </c>
      <c r="T4425" t="s">
        <v>12902</v>
      </c>
      <c r="U4425" t="s">
        <v>12902</v>
      </c>
      <c r="V4425" t="s">
        <v>12902</v>
      </c>
      <c r="W4425" t="s">
        <v>17280</v>
      </c>
      <c r="X4425">
        <v>3</v>
      </c>
      <c r="Y4425" t="s">
        <v>23585</v>
      </c>
      <c r="Z4425" t="s">
        <v>30000</v>
      </c>
      <c r="AA4425">
        <v>0.44326225445869027</v>
      </c>
      <c r="AB4425" t="str">
        <f>HYPERLINK("Melting_Curves/meltCurve_Q8N5D0_5_WDTC1.pdf", "Melting_Curves/meltCurve_Q8N5D0_5_WDTC1.pdf")</f>
        <v>Melting_Curves/meltCurve_Q8N5D0_5_WDTC1.pdf</v>
      </c>
    </row>
    <row r="4426" spans="1:28" x14ac:dyDescent="0.25">
      <c r="A4426" t="s">
        <v>4430</v>
      </c>
      <c r="B4426">
        <v>0.99673306730245903</v>
      </c>
      <c r="C4426">
        <v>0.89237683846035698</v>
      </c>
      <c r="D4426">
        <v>0.78287501471631205</v>
      </c>
      <c r="E4426">
        <v>0.67019988017667298</v>
      </c>
      <c r="F4426">
        <v>0.47002782857456799</v>
      </c>
      <c r="G4426">
        <v>0.31849893174000299</v>
      </c>
      <c r="H4426">
        <v>0.16694912155281999</v>
      </c>
      <c r="I4426">
        <v>0.133631581254642</v>
      </c>
      <c r="J4426">
        <v>0.149858969104609</v>
      </c>
      <c r="K4426">
        <v>0.15541027483328901</v>
      </c>
      <c r="L4426">
        <v>598.26402355122104</v>
      </c>
      <c r="M4426">
        <v>11.6157633703953</v>
      </c>
      <c r="N4426">
        <v>52.267676999467099</v>
      </c>
      <c r="O4426">
        <v>50.048993502305301</v>
      </c>
      <c r="P4426">
        <v>-5.3510785762540099E-2</v>
      </c>
      <c r="Q4426">
        <v>7.8001573725247006E-2</v>
      </c>
      <c r="R4426">
        <v>0.99195822435660097</v>
      </c>
      <c r="S4426" t="s">
        <v>10878</v>
      </c>
      <c r="T4426" t="s">
        <v>12902</v>
      </c>
      <c r="U4426" t="s">
        <v>12902</v>
      </c>
      <c r="V4426" t="s">
        <v>12902</v>
      </c>
      <c r="W4426" t="s">
        <v>17281</v>
      </c>
      <c r="X4426">
        <v>2</v>
      </c>
      <c r="Y4426" t="s">
        <v>23586</v>
      </c>
      <c r="Z4426" t="s">
        <v>30001</v>
      </c>
      <c r="AA4426">
        <v>0.4620155821177041</v>
      </c>
      <c r="AB4426" t="str">
        <f>HYPERLINK("Melting_Curves/meltCurve_Q8N5F7_NKAP.pdf", "Melting_Curves/meltCurve_Q8N5F7_NKAP.pdf")</f>
        <v>Melting_Curves/meltCurve_Q8N5F7_NKAP.pdf</v>
      </c>
    </row>
    <row r="4427" spans="1:28" x14ac:dyDescent="0.25">
      <c r="A4427" t="s">
        <v>4431</v>
      </c>
      <c r="B4427">
        <v>0.99673306730245903</v>
      </c>
      <c r="C4427">
        <v>1.0374078974144101</v>
      </c>
      <c r="D4427">
        <v>0.92651518654073495</v>
      </c>
      <c r="E4427">
        <v>0.85323946502015202</v>
      </c>
      <c r="F4427">
        <v>0.79191435134945298</v>
      </c>
      <c r="G4427">
        <v>0.68679127956619102</v>
      </c>
      <c r="H4427">
        <v>0.61283978108113901</v>
      </c>
      <c r="I4427">
        <v>0.73160010133622899</v>
      </c>
      <c r="J4427">
        <v>0.95564931599289404</v>
      </c>
      <c r="K4427">
        <v>1.0158539539262801</v>
      </c>
      <c r="L4427">
        <v>1640.9263942692901</v>
      </c>
      <c r="M4427">
        <v>34.757180796217099</v>
      </c>
      <c r="O4427">
        <v>47.055702482298898</v>
      </c>
      <c r="P4427">
        <v>-3.67804833175603E-2</v>
      </c>
      <c r="Q4427">
        <v>0.80082106719718105</v>
      </c>
      <c r="R4427">
        <v>0.36958506402784203</v>
      </c>
      <c r="S4427" t="s">
        <v>10879</v>
      </c>
      <c r="T4427" t="s">
        <v>12902</v>
      </c>
      <c r="U4427" t="s">
        <v>12902</v>
      </c>
      <c r="V4427" t="s">
        <v>12902</v>
      </c>
      <c r="W4427" t="s">
        <v>17282</v>
      </c>
      <c r="X4427">
        <v>2</v>
      </c>
      <c r="Y4427" t="s">
        <v>23587</v>
      </c>
      <c r="Z4427" t="s">
        <v>30002</v>
      </c>
      <c r="AA4427">
        <v>0.84957311805955338</v>
      </c>
      <c r="AB4427" t="str">
        <f>HYPERLINK("Melting_Curves/meltCurve_Q8N5G0_2_SMIM20.pdf", "Melting_Curves/meltCurve_Q8N5G0_2_SMIM20.pdf")</f>
        <v>Melting_Curves/meltCurve_Q8N5G0_2_SMIM20.pdf</v>
      </c>
    </row>
    <row r="4428" spans="1:28" x14ac:dyDescent="0.25">
      <c r="A4428" t="s">
        <v>4432</v>
      </c>
      <c r="B4428">
        <v>0.99673306730245903</v>
      </c>
      <c r="C4428">
        <v>0.87732217844879601</v>
      </c>
      <c r="D4428">
        <v>0.94878939635764403</v>
      </c>
      <c r="E4428">
        <v>0.76009996918414102</v>
      </c>
      <c r="F4428">
        <v>0.54986790257402596</v>
      </c>
      <c r="G4428">
        <v>0.340551814060365</v>
      </c>
      <c r="H4428">
        <v>0.22030292446029701</v>
      </c>
      <c r="I4428">
        <v>0.237976688861744</v>
      </c>
      <c r="J4428">
        <v>0.29572060680586398</v>
      </c>
      <c r="K4428">
        <v>0.28900402348661702</v>
      </c>
      <c r="L4428">
        <v>1007.5666816798</v>
      </c>
      <c r="M4428">
        <v>19.5081026375261</v>
      </c>
      <c r="N4428">
        <v>53.501630444314799</v>
      </c>
      <c r="O4428">
        <v>51.115085693181101</v>
      </c>
      <c r="P4428">
        <v>-7.1982892855602207E-2</v>
      </c>
      <c r="Q4428">
        <v>0.24558945024604201</v>
      </c>
      <c r="R4428">
        <v>0.97633409336003496</v>
      </c>
      <c r="S4428" t="s">
        <v>10880</v>
      </c>
      <c r="T4428" t="s">
        <v>12902</v>
      </c>
      <c r="U4428" t="s">
        <v>12902</v>
      </c>
      <c r="V4428" t="s">
        <v>12902</v>
      </c>
      <c r="W4428" t="s">
        <v>17283</v>
      </c>
      <c r="X4428">
        <v>4</v>
      </c>
      <c r="Y4428" t="s">
        <v>23588</v>
      </c>
      <c r="Z4428" t="s">
        <v>30003</v>
      </c>
      <c r="AA4428">
        <v>0.54945374177388973</v>
      </c>
      <c r="AB4428" t="str">
        <f>HYPERLINK("Melting_Curves/meltCurve_Q8N5G2_TMEM57.pdf", "Melting_Curves/meltCurve_Q8N5G2_TMEM57.pdf")</f>
        <v>Melting_Curves/meltCurve_Q8N5G2_TMEM57.pdf</v>
      </c>
    </row>
    <row r="4429" spans="1:28" x14ac:dyDescent="0.25">
      <c r="A4429" t="s">
        <v>4433</v>
      </c>
      <c r="B4429">
        <v>0.99673306730245903</v>
      </c>
      <c r="C4429">
        <v>0.97930555069958203</v>
      </c>
      <c r="D4429">
        <v>0.96680822972842995</v>
      </c>
      <c r="E4429">
        <v>0.87416577827152797</v>
      </c>
      <c r="F4429">
        <v>0.383918387095674</v>
      </c>
      <c r="G4429">
        <v>0.14254994367092999</v>
      </c>
      <c r="H4429">
        <v>7.7775006743803193E-2</v>
      </c>
      <c r="I4429">
        <v>7.6207125128362002E-2</v>
      </c>
      <c r="J4429">
        <v>7.9435773005064894E-2</v>
      </c>
      <c r="K4429">
        <v>6.0938916451907202E-2</v>
      </c>
      <c r="L4429">
        <v>1768.9216128762901</v>
      </c>
      <c r="M4429">
        <v>33.899187342279099</v>
      </c>
      <c r="N4429">
        <v>52.427366592614497</v>
      </c>
      <c r="O4429">
        <v>52.001240721556201</v>
      </c>
      <c r="P4429">
        <v>-0.15101151903468901</v>
      </c>
      <c r="Q4429">
        <v>7.3399038117043902E-2</v>
      </c>
      <c r="R4429">
        <v>0.99910610619374696</v>
      </c>
      <c r="S4429" t="s">
        <v>10881</v>
      </c>
      <c r="T4429" t="s">
        <v>12902</v>
      </c>
      <c r="U4429" t="s">
        <v>12902</v>
      </c>
      <c r="V4429" t="s">
        <v>12902</v>
      </c>
      <c r="W4429" t="s">
        <v>17284</v>
      </c>
      <c r="X4429">
        <v>3</v>
      </c>
      <c r="Y4429" t="s">
        <v>23589</v>
      </c>
      <c r="Z4429" t="s">
        <v>30004</v>
      </c>
      <c r="AA4429">
        <v>0.45431093571650089</v>
      </c>
      <c r="AB4429" t="str">
        <f>HYPERLINK("Melting_Curves/meltCurve_Q8N5I2_ARRDC1.pdf", "Melting_Curves/meltCurve_Q8N5I2_ARRDC1.pdf")</f>
        <v>Melting_Curves/meltCurve_Q8N5I2_ARRDC1.pdf</v>
      </c>
    </row>
    <row r="4430" spans="1:28" x14ac:dyDescent="0.25">
      <c r="A4430" t="s">
        <v>4434</v>
      </c>
      <c r="B4430">
        <v>0.99673306730245903</v>
      </c>
      <c r="C4430">
        <v>0.93880685650023599</v>
      </c>
      <c r="D4430">
        <v>0.91992500543679601</v>
      </c>
      <c r="E4430">
        <v>0.76538643993461197</v>
      </c>
      <c r="F4430">
        <v>0.859579873310097</v>
      </c>
      <c r="G4430">
        <v>0.58173999031024903</v>
      </c>
      <c r="H4430">
        <v>0.528991709746642</v>
      </c>
      <c r="I4430">
        <v>0.76658944723897904</v>
      </c>
      <c r="J4430">
        <v>1.0944423959237499</v>
      </c>
      <c r="K4430">
        <v>1.1014443656439601</v>
      </c>
      <c r="L4430">
        <v>1412.47100591976</v>
      </c>
      <c r="M4430">
        <v>31.173056185751701</v>
      </c>
      <c r="O4430">
        <v>45.1253989404279</v>
      </c>
      <c r="P4430">
        <v>-3.1976427402560501E-2</v>
      </c>
      <c r="Q4430">
        <v>0.81484768521140205</v>
      </c>
      <c r="R4430">
        <v>0.113985047422604</v>
      </c>
      <c r="S4430" t="s">
        <v>10882</v>
      </c>
      <c r="T4430" t="s">
        <v>12902</v>
      </c>
      <c r="U4430" t="s">
        <v>12902</v>
      </c>
      <c r="V4430" t="s">
        <v>12902</v>
      </c>
      <c r="W4430" t="s">
        <v>17285</v>
      </c>
      <c r="X4430">
        <v>11</v>
      </c>
      <c r="Y4430" t="s">
        <v>23590</v>
      </c>
      <c r="Z4430" t="s">
        <v>30005</v>
      </c>
      <c r="AA4430">
        <v>0.84868860119007949</v>
      </c>
      <c r="AB4430" t="str">
        <f>HYPERLINK("Melting_Curves/meltCurve_Q8N5I9_C12orf45.pdf", "Melting_Curves/meltCurve_Q8N5I9_C12orf45.pdf")</f>
        <v>Melting_Curves/meltCurve_Q8N5I9_C12orf45.pdf</v>
      </c>
    </row>
    <row r="4431" spans="1:28" x14ac:dyDescent="0.25">
      <c r="A4431" t="s">
        <v>4435</v>
      </c>
      <c r="B4431">
        <v>0.99673306730245903</v>
      </c>
      <c r="C4431">
        <v>0.85548284214644299</v>
      </c>
      <c r="D4431">
        <v>0.78323664788792202</v>
      </c>
      <c r="E4431">
        <v>0.719618777435448</v>
      </c>
      <c r="F4431">
        <v>0.54228450422782604</v>
      </c>
      <c r="G4431">
        <v>0.44091334695430601</v>
      </c>
      <c r="H4431">
        <v>0.30292504499551898</v>
      </c>
      <c r="I4431">
        <v>0.309046227309346</v>
      </c>
      <c r="J4431">
        <v>0.24013699765851601</v>
      </c>
      <c r="K4431">
        <v>0.26541244195086799</v>
      </c>
      <c r="L4431">
        <v>479.208776803744</v>
      </c>
      <c r="M4431">
        <v>9.1977231735870699</v>
      </c>
      <c r="N4431">
        <v>54.497792895518302</v>
      </c>
      <c r="O4431">
        <v>49.815414677853802</v>
      </c>
      <c r="P4431">
        <v>-3.8505749071225899E-2</v>
      </c>
      <c r="Q4431">
        <v>0.16635986206905201</v>
      </c>
      <c r="R4431">
        <v>0.98633923717099903</v>
      </c>
      <c r="S4431" t="s">
        <v>10883</v>
      </c>
      <c r="T4431" t="s">
        <v>12902</v>
      </c>
      <c r="U4431" t="s">
        <v>12902</v>
      </c>
      <c r="V4431" t="s">
        <v>12902</v>
      </c>
      <c r="W4431" t="s">
        <v>17286</v>
      </c>
      <c r="X4431">
        <v>9</v>
      </c>
      <c r="Y4431" t="s">
        <v>23591</v>
      </c>
      <c r="Z4431" t="s">
        <v>30006</v>
      </c>
      <c r="AA4431">
        <v>0.53675304087277631</v>
      </c>
      <c r="AB4431" t="str">
        <f>HYPERLINK("Melting_Curves/meltCurve_Q8N5K1_CISD2.pdf", "Melting_Curves/meltCurve_Q8N5K1_CISD2.pdf")</f>
        <v>Melting_Curves/meltCurve_Q8N5K1_CISD2.pdf</v>
      </c>
    </row>
    <row r="4432" spans="1:28" x14ac:dyDescent="0.25">
      <c r="A4432" t="s">
        <v>4436</v>
      </c>
      <c r="B4432">
        <v>0.99673306730245903</v>
      </c>
      <c r="C4432">
        <v>0.86066098629535703</v>
      </c>
      <c r="D4432">
        <v>0.82886290333523105</v>
      </c>
      <c r="E4432">
        <v>0.89281858596388097</v>
      </c>
      <c r="F4432">
        <v>0.73100200853706798</v>
      </c>
      <c r="G4432">
        <v>0.369726390122321</v>
      </c>
      <c r="H4432">
        <v>0.111094785663559</v>
      </c>
      <c r="I4432">
        <v>0.10047979282700301</v>
      </c>
      <c r="J4432">
        <v>9.9840802126190897E-2</v>
      </c>
      <c r="K4432">
        <v>0.170501295636272</v>
      </c>
      <c r="L4432">
        <v>1307.17273429844</v>
      </c>
      <c r="M4432">
        <v>23.8888121377244</v>
      </c>
      <c r="N4432">
        <v>55.2073278486696</v>
      </c>
      <c r="O4432">
        <v>54.339920743710898</v>
      </c>
      <c r="P4432">
        <v>-9.9439969127325695E-2</v>
      </c>
      <c r="Q4432">
        <v>9.5229585072125603E-2</v>
      </c>
      <c r="R4432">
        <v>0.95581016096669202</v>
      </c>
      <c r="S4432" t="s">
        <v>10884</v>
      </c>
      <c r="T4432" t="s">
        <v>12902</v>
      </c>
      <c r="U4432" t="s">
        <v>12902</v>
      </c>
      <c r="V4432" t="s">
        <v>12902</v>
      </c>
      <c r="W4432" t="s">
        <v>17287</v>
      </c>
      <c r="X4432">
        <v>1</v>
      </c>
      <c r="Y4432" t="s">
        <v>23592</v>
      </c>
      <c r="Z4432" t="s">
        <v>30007</v>
      </c>
      <c r="AA4432">
        <v>0.54821226846218574</v>
      </c>
      <c r="AB4432" t="str">
        <f>HYPERLINK("Melting_Curves/meltCurve_Q8N5L8_RPP25L.pdf", "Melting_Curves/meltCurve_Q8N5L8_RPP25L.pdf")</f>
        <v>Melting_Curves/meltCurve_Q8N5L8_RPP25L.pdf</v>
      </c>
    </row>
    <row r="4433" spans="1:28" x14ac:dyDescent="0.25">
      <c r="A4433" t="s">
        <v>4437</v>
      </c>
      <c r="B4433">
        <v>0.99673306730245903</v>
      </c>
      <c r="C4433">
        <v>0.99152344214951404</v>
      </c>
      <c r="D4433">
        <v>1.01227389841801</v>
      </c>
      <c r="E4433">
        <v>1.0264738781818701</v>
      </c>
      <c r="F4433">
        <v>0.89335603430733701</v>
      </c>
      <c r="G4433">
        <v>0.750503167894368</v>
      </c>
      <c r="H4433">
        <v>0.37134181678601003</v>
      </c>
      <c r="I4433">
        <v>0.18496598867259501</v>
      </c>
      <c r="J4433">
        <v>0.12112518346159</v>
      </c>
      <c r="K4433">
        <v>0.125550803631578</v>
      </c>
      <c r="L4433">
        <v>1458.47606045148</v>
      </c>
      <c r="M4433">
        <v>24.800403873759301</v>
      </c>
      <c r="N4433">
        <v>59.286561517503998</v>
      </c>
      <c r="O4433">
        <v>58.4301979964049</v>
      </c>
      <c r="P4433">
        <v>-9.6497212725290493E-2</v>
      </c>
      <c r="Q4433">
        <v>9.0615943832077495E-2</v>
      </c>
      <c r="R4433">
        <v>0.99691039803167303</v>
      </c>
      <c r="S4433" t="s">
        <v>10885</v>
      </c>
      <c r="T4433" t="s">
        <v>12902</v>
      </c>
      <c r="U4433" t="s">
        <v>12902</v>
      </c>
      <c r="V4433" t="s">
        <v>12902</v>
      </c>
      <c r="W4433" t="s">
        <v>17288</v>
      </c>
      <c r="X4433">
        <v>7</v>
      </c>
      <c r="Y4433" t="s">
        <v>23593</v>
      </c>
      <c r="Z4433" t="s">
        <v>30008</v>
      </c>
      <c r="AA4433">
        <v>0.66838615661179956</v>
      </c>
      <c r="AB4433" t="str">
        <f>HYPERLINK("Melting_Curves/meltCurve_Q8N5M1_ATPAF2.pdf", "Melting_Curves/meltCurve_Q8N5M1_ATPAF2.pdf")</f>
        <v>Melting_Curves/meltCurve_Q8N5M1_ATPAF2.pdf</v>
      </c>
    </row>
    <row r="4434" spans="1:28" x14ac:dyDescent="0.25">
      <c r="A4434" t="s">
        <v>4438</v>
      </c>
      <c r="B4434">
        <v>0.99673306730245903</v>
      </c>
      <c r="C4434">
        <v>0.86441895581953898</v>
      </c>
      <c r="D4434">
        <v>1.2370248030568201</v>
      </c>
      <c r="E4434">
        <v>0.77237908185044002</v>
      </c>
      <c r="F4434">
        <v>0.62206006236266997</v>
      </c>
      <c r="G4434">
        <v>0.48541815251814402</v>
      </c>
      <c r="H4434">
        <v>0.43186996232411301</v>
      </c>
      <c r="I4434">
        <v>0.53084355889500301</v>
      </c>
      <c r="J4434">
        <v>0.53458035683466398</v>
      </c>
      <c r="K4434">
        <v>0.460697567075259</v>
      </c>
      <c r="L4434">
        <v>1955.0464049772099</v>
      </c>
      <c r="M4434">
        <v>38.776422667456998</v>
      </c>
      <c r="N4434">
        <v>57.843038890499898</v>
      </c>
      <c r="O4434">
        <v>50.284896176230198</v>
      </c>
      <c r="P4434">
        <v>-9.7056464866575404E-2</v>
      </c>
      <c r="Q4434">
        <v>0.496553571420774</v>
      </c>
      <c r="R4434">
        <v>0.85124623228073404</v>
      </c>
      <c r="S4434" t="s">
        <v>10886</v>
      </c>
      <c r="T4434" t="s">
        <v>12902</v>
      </c>
      <c r="U4434" t="s">
        <v>12902</v>
      </c>
      <c r="V4434" t="s">
        <v>12902</v>
      </c>
      <c r="W4434" t="s">
        <v>17289</v>
      </c>
      <c r="X4434">
        <v>2</v>
      </c>
      <c r="Y4434" t="s">
        <v>23594</v>
      </c>
      <c r="Z4434" t="s">
        <v>30009</v>
      </c>
      <c r="AA4434">
        <v>0.67325925799974562</v>
      </c>
      <c r="AB4434" t="str">
        <f>HYPERLINK("Melting_Curves/meltCurve_Q8N5M9_JAGN1.pdf", "Melting_Curves/meltCurve_Q8N5M9_JAGN1.pdf")</f>
        <v>Melting_Curves/meltCurve_Q8N5M9_JAGN1.pdf</v>
      </c>
    </row>
    <row r="4435" spans="1:28" x14ac:dyDescent="0.25">
      <c r="A4435" t="s">
        <v>4439</v>
      </c>
      <c r="B4435">
        <v>0.99673306730245903</v>
      </c>
      <c r="C4435">
        <v>0.97987973172716503</v>
      </c>
      <c r="D4435">
        <v>0.87799620561438496</v>
      </c>
      <c r="E4435">
        <v>0.74622301584094097</v>
      </c>
      <c r="F4435">
        <v>0.89123254385958794</v>
      </c>
      <c r="G4435">
        <v>0.70454584276747001</v>
      </c>
      <c r="H4435">
        <v>0.45578644352983599</v>
      </c>
      <c r="I4435">
        <v>0.52621534062180297</v>
      </c>
      <c r="J4435">
        <v>0.64872283472084602</v>
      </c>
      <c r="K4435">
        <v>0.51978777987407498</v>
      </c>
      <c r="L4435">
        <v>520.38662299320902</v>
      </c>
      <c r="M4435">
        <v>9.7086684249420205</v>
      </c>
      <c r="O4435">
        <v>51.474411607538897</v>
      </c>
      <c r="P4435">
        <v>-2.4632950003443999E-2</v>
      </c>
      <c r="Q4435">
        <v>0.47787831851072898</v>
      </c>
      <c r="R4435">
        <v>0.81001509149537998</v>
      </c>
      <c r="S4435" t="s">
        <v>10887</v>
      </c>
      <c r="T4435" t="s">
        <v>12902</v>
      </c>
      <c r="U4435" t="s">
        <v>12902</v>
      </c>
      <c r="V4435" t="s">
        <v>12902</v>
      </c>
      <c r="W4435" t="s">
        <v>17290</v>
      </c>
      <c r="X4435">
        <v>7</v>
      </c>
      <c r="Y4435" t="s">
        <v>23595</v>
      </c>
      <c r="Z4435" t="s">
        <v>30010</v>
      </c>
      <c r="AA4435">
        <v>0.73157932679171433</v>
      </c>
      <c r="AB4435" t="str">
        <f>HYPERLINK("Melting_Curves/meltCurve_Q8N5N7_MRPL50.pdf", "Melting_Curves/meltCurve_Q8N5N7_MRPL50.pdf")</f>
        <v>Melting_Curves/meltCurve_Q8N5N7_MRPL50.pdf</v>
      </c>
    </row>
    <row r="4436" spans="1:28" x14ac:dyDescent="0.25">
      <c r="A4436" t="s">
        <v>4440</v>
      </c>
      <c r="B4436">
        <v>0.99673306730245903</v>
      </c>
      <c r="C4436">
        <v>0.82002733304184805</v>
      </c>
      <c r="D4436">
        <v>0.95884697372670502</v>
      </c>
      <c r="E4436">
        <v>0.80873955146202803</v>
      </c>
      <c r="F4436">
        <v>0.780867567693177</v>
      </c>
      <c r="G4436">
        <v>0.54229380963990104</v>
      </c>
      <c r="H4436">
        <v>0.58551654534563602</v>
      </c>
      <c r="I4436">
        <v>1.075135751358</v>
      </c>
      <c r="J4436">
        <v>1.44371957807642</v>
      </c>
      <c r="K4436">
        <v>1.62251497515899</v>
      </c>
      <c r="L4436">
        <v>5943.8206699862703</v>
      </c>
      <c r="M4436">
        <v>90.955219680227799</v>
      </c>
      <c r="O4436">
        <v>65.317298265243195</v>
      </c>
      <c r="P4436">
        <v>0.174064204707605</v>
      </c>
      <c r="Q4436">
        <v>1.5</v>
      </c>
      <c r="R4436">
        <v>0.52069572685505905</v>
      </c>
      <c r="S4436" t="s">
        <v>10888</v>
      </c>
      <c r="T4436" t="s">
        <v>12902</v>
      </c>
      <c r="U4436" t="s">
        <v>12902</v>
      </c>
      <c r="V4436" t="s">
        <v>12902</v>
      </c>
      <c r="W4436" t="s">
        <v>17291</v>
      </c>
      <c r="X4436">
        <v>4</v>
      </c>
      <c r="Y4436" t="s">
        <v>23596</v>
      </c>
      <c r="Z4436" t="s">
        <v>30011</v>
      </c>
      <c r="AA4436">
        <v>1.077118379377894</v>
      </c>
      <c r="AB4436" t="str">
        <f>HYPERLINK("Melting_Curves/meltCurve_Q8N5P1_ZC3H8.pdf", "Melting_Curves/meltCurve_Q8N5P1_ZC3H8.pdf")</f>
        <v>Melting_Curves/meltCurve_Q8N5P1_ZC3H8.pdf</v>
      </c>
    </row>
    <row r="4437" spans="1:28" x14ac:dyDescent="0.25">
      <c r="A4437" t="s">
        <v>4441</v>
      </c>
      <c r="B4437">
        <v>0.99673306730245903</v>
      </c>
      <c r="C4437">
        <v>0.94300780414122498</v>
      </c>
      <c r="D4437">
        <v>0.86281625970183495</v>
      </c>
      <c r="E4437">
        <v>0.73923432547623402</v>
      </c>
      <c r="F4437">
        <v>0.77299294247433903</v>
      </c>
      <c r="G4437">
        <v>0.39579260945824601</v>
      </c>
      <c r="H4437">
        <v>0.24268034090233501</v>
      </c>
      <c r="I4437">
        <v>0.31618444680543401</v>
      </c>
      <c r="J4437">
        <v>0.377755506628563</v>
      </c>
      <c r="K4437">
        <v>0.35335868199117898</v>
      </c>
      <c r="L4437">
        <v>765.74638752753697</v>
      </c>
      <c r="M4437">
        <v>14.5746961213323</v>
      </c>
      <c r="N4437">
        <v>55.748675086151898</v>
      </c>
      <c r="O4437">
        <v>51.580067830774702</v>
      </c>
      <c r="P4437">
        <v>-5.0589667370811199E-2</v>
      </c>
      <c r="Q4437">
        <v>0.28393060572481099</v>
      </c>
      <c r="R4437">
        <v>0.91858801458541595</v>
      </c>
      <c r="S4437" t="s">
        <v>10889</v>
      </c>
      <c r="T4437" t="s">
        <v>12902</v>
      </c>
      <c r="U4437" t="s">
        <v>12902</v>
      </c>
      <c r="V4437" t="s">
        <v>12902</v>
      </c>
      <c r="W4437" t="s">
        <v>17292</v>
      </c>
      <c r="X4437">
        <v>2</v>
      </c>
      <c r="Y4437" t="s">
        <v>23597</v>
      </c>
      <c r="Z4437" t="s">
        <v>30012</v>
      </c>
      <c r="AA4437">
        <v>0.59959464789430605</v>
      </c>
      <c r="AB4437" t="str">
        <f>HYPERLINK("Melting_Curves/meltCurve_Q8N5X7_2_EIF4E3.pdf", "Melting_Curves/meltCurve_Q8N5X7_2_EIF4E3.pdf")</f>
        <v>Melting_Curves/meltCurve_Q8N5X7_2_EIF4E3.pdf</v>
      </c>
    </row>
    <row r="4438" spans="1:28" x14ac:dyDescent="0.25">
      <c r="A4438" t="s">
        <v>4442</v>
      </c>
      <c r="B4438">
        <v>0.99673306730245903</v>
      </c>
      <c r="C4438">
        <v>1.00967591027522</v>
      </c>
      <c r="D4438">
        <v>0.91215764127587795</v>
      </c>
      <c r="E4438">
        <v>0.76055679057172898</v>
      </c>
      <c r="F4438">
        <v>0.51179839680945205</v>
      </c>
      <c r="G4438">
        <v>0.219395909458551</v>
      </c>
      <c r="H4438">
        <v>0.116652629792499</v>
      </c>
      <c r="I4438">
        <v>0.106731528230847</v>
      </c>
      <c r="J4438">
        <v>0.108089451263741</v>
      </c>
      <c r="K4438">
        <v>7.2302517482064899E-2</v>
      </c>
      <c r="L4438">
        <v>998.67625288344504</v>
      </c>
      <c r="M4438">
        <v>19.018713916322799</v>
      </c>
      <c r="N4438">
        <v>52.928487126066898</v>
      </c>
      <c r="O4438">
        <v>51.939960678442901</v>
      </c>
      <c r="P4438">
        <v>-8.5157566751384695E-2</v>
      </c>
      <c r="Q4438">
        <v>6.9777912339917106E-2</v>
      </c>
      <c r="R4438">
        <v>0.99698067283152403</v>
      </c>
      <c r="S4438" t="s">
        <v>10890</v>
      </c>
      <c r="T4438" t="s">
        <v>12902</v>
      </c>
      <c r="U4438" t="s">
        <v>12902</v>
      </c>
      <c r="V4438" t="s">
        <v>12902</v>
      </c>
      <c r="W4438" t="s">
        <v>17293</v>
      </c>
      <c r="X4438">
        <v>2</v>
      </c>
      <c r="Y4438" t="s">
        <v>23598</v>
      </c>
      <c r="Z4438" t="s">
        <v>30013</v>
      </c>
      <c r="AA4438">
        <v>0.47169215207399928</v>
      </c>
      <c r="AB4438" t="str">
        <f>HYPERLINK("Melting_Curves/meltCurve_Q8N5Y8_PARP16.pdf", "Melting_Curves/meltCurve_Q8N5Y8_PARP16.pdf")</f>
        <v>Melting_Curves/meltCurve_Q8N5Y8_PARP16.pdf</v>
      </c>
    </row>
    <row r="4439" spans="1:28" x14ac:dyDescent="0.25">
      <c r="A4439" t="s">
        <v>4443</v>
      </c>
      <c r="B4439">
        <v>0.99673306730245903</v>
      </c>
      <c r="C4439">
        <v>0.939006311967437</v>
      </c>
      <c r="D4439">
        <v>0.813548340659211</v>
      </c>
      <c r="E4439">
        <v>0.538117430432412</v>
      </c>
      <c r="F4439">
        <v>0.46396925176431197</v>
      </c>
      <c r="G4439">
        <v>0.229900283691261</v>
      </c>
      <c r="H4439">
        <v>9.0547296594694099E-2</v>
      </c>
      <c r="I4439">
        <v>6.2052897993084603E-2</v>
      </c>
      <c r="J4439">
        <v>3.4394319001591997E-2</v>
      </c>
      <c r="K4439">
        <v>5.3577089673218198E-2</v>
      </c>
      <c r="L4439">
        <v>645.58853765979802</v>
      </c>
      <c r="M4439">
        <v>12.585946458035901</v>
      </c>
      <c r="N4439">
        <v>51.294397305042096</v>
      </c>
      <c r="O4439">
        <v>50.051133204490199</v>
      </c>
      <c r="P4439">
        <v>-6.2878038019717003E-2</v>
      </c>
      <c r="Q4439">
        <v>0</v>
      </c>
      <c r="R4439">
        <v>0.99024819857170399</v>
      </c>
      <c r="S4439" t="s">
        <v>10891</v>
      </c>
      <c r="T4439" t="s">
        <v>12902</v>
      </c>
      <c r="U4439" t="s">
        <v>12902</v>
      </c>
      <c r="V4439" t="s">
        <v>12902</v>
      </c>
      <c r="W4439" t="s">
        <v>17294</v>
      </c>
      <c r="X4439">
        <v>3</v>
      </c>
      <c r="Y4439" t="s">
        <v>23599</v>
      </c>
      <c r="Z4439" t="s">
        <v>30014</v>
      </c>
      <c r="AA4439">
        <v>0.406419702475452</v>
      </c>
      <c r="AB4439" t="str">
        <f>HYPERLINK("Melting_Curves/meltCurve_Q8N612_FAM160A2.pdf", "Melting_Curves/meltCurve_Q8N612_FAM160A2.pdf")</f>
        <v>Melting_Curves/meltCurve_Q8N612_FAM160A2.pdf</v>
      </c>
    </row>
    <row r="4440" spans="1:28" x14ac:dyDescent="0.25">
      <c r="A4440" t="s">
        <v>4444</v>
      </c>
      <c r="B4440">
        <v>0.99673306730245903</v>
      </c>
      <c r="C4440">
        <v>0.95278691849789998</v>
      </c>
      <c r="D4440">
        <v>0.75662719589232497</v>
      </c>
      <c r="E4440">
        <v>0.92951546692361997</v>
      </c>
      <c r="F4440">
        <v>0.52061984405790096</v>
      </c>
      <c r="G4440">
        <v>0.226510727494106</v>
      </c>
      <c r="H4440">
        <v>7.7792216798289807E-2</v>
      </c>
      <c r="I4440">
        <v>6.3833567830409804E-2</v>
      </c>
      <c r="J4440">
        <v>7.0290232347554202E-2</v>
      </c>
      <c r="K4440">
        <v>6.5797989362092496E-2</v>
      </c>
      <c r="L4440">
        <v>1221.9966341309801</v>
      </c>
      <c r="M4440">
        <v>22.941699423113899</v>
      </c>
      <c r="N4440">
        <v>53.499463387342601</v>
      </c>
      <c r="O4440">
        <v>52.865547840016603</v>
      </c>
      <c r="P4440">
        <v>-0.10331040232119899</v>
      </c>
      <c r="Q4440">
        <v>4.7767535642469598E-2</v>
      </c>
      <c r="R4440">
        <v>0.96238993390783301</v>
      </c>
      <c r="S4440" t="s">
        <v>10892</v>
      </c>
      <c r="T4440" t="s">
        <v>12902</v>
      </c>
      <c r="U4440" t="s">
        <v>12902</v>
      </c>
      <c r="V4440" t="s">
        <v>12902</v>
      </c>
      <c r="W4440" t="s">
        <v>17295</v>
      </c>
      <c r="X4440">
        <v>16</v>
      </c>
      <c r="Y4440" t="s">
        <v>23600</v>
      </c>
      <c r="Z4440" t="s">
        <v>30015</v>
      </c>
      <c r="AA4440">
        <v>0.47910473000116011</v>
      </c>
      <c r="AB4440" t="str">
        <f>HYPERLINK("Melting_Curves/meltCurve_Q8N684_2_CPSF7.pdf", "Melting_Curves/meltCurve_Q8N684_2_CPSF7.pdf")</f>
        <v>Melting_Curves/meltCurve_Q8N684_2_CPSF7.pdf</v>
      </c>
    </row>
    <row r="4441" spans="1:28" x14ac:dyDescent="0.25">
      <c r="A4441" t="s">
        <v>4445</v>
      </c>
      <c r="B4441">
        <v>0.99673306730245903</v>
      </c>
      <c r="C4441">
        <v>0.93184366132198204</v>
      </c>
      <c r="D4441">
        <v>0.89224420091476098</v>
      </c>
      <c r="E4441">
        <v>0.73876760708106404</v>
      </c>
      <c r="F4441">
        <v>0.67777157645535901</v>
      </c>
      <c r="G4441">
        <v>0.58789821875069204</v>
      </c>
      <c r="H4441">
        <v>0.58772599588484298</v>
      </c>
      <c r="I4441">
        <v>0.68568130937564598</v>
      </c>
      <c r="J4441">
        <v>0.74314894837253498</v>
      </c>
      <c r="K4441">
        <v>0.633480205974988</v>
      </c>
      <c r="L4441">
        <v>1080.6117388976199</v>
      </c>
      <c r="M4441">
        <v>22.877933590773399</v>
      </c>
      <c r="O4441">
        <v>46.877359545566499</v>
      </c>
      <c r="P4441">
        <v>-4.3005329818394097E-2</v>
      </c>
      <c r="Q4441">
        <v>0.64753153116948703</v>
      </c>
      <c r="R4441">
        <v>0.89151131299959896</v>
      </c>
      <c r="S4441" t="s">
        <v>10893</v>
      </c>
      <c r="T4441" t="s">
        <v>12902</v>
      </c>
      <c r="U4441" t="s">
        <v>12902</v>
      </c>
      <c r="V4441" t="s">
        <v>12902</v>
      </c>
      <c r="W4441" t="s">
        <v>17296</v>
      </c>
      <c r="X4441">
        <v>4</v>
      </c>
      <c r="Y4441" t="s">
        <v>23601</v>
      </c>
      <c r="Z4441" t="s">
        <v>30016</v>
      </c>
      <c r="AA4441">
        <v>0.73632818454599003</v>
      </c>
      <c r="AB4441" t="str">
        <f>HYPERLINK("Melting_Curves/meltCurve_Q8N697_SLC15A4.pdf", "Melting_Curves/meltCurve_Q8N697_SLC15A4.pdf")</f>
        <v>Melting_Curves/meltCurve_Q8N697_SLC15A4.pdf</v>
      </c>
    </row>
    <row r="4442" spans="1:28" x14ac:dyDescent="0.25">
      <c r="A4442" t="s">
        <v>4446</v>
      </c>
      <c r="B4442">
        <v>0.99673306730245903</v>
      </c>
      <c r="C4442">
        <v>0.97928476588046598</v>
      </c>
      <c r="D4442">
        <v>0.88379964737910399</v>
      </c>
      <c r="E4442">
        <v>0.569886778294734</v>
      </c>
      <c r="F4442">
        <v>0.16718988288085301</v>
      </c>
      <c r="G4442">
        <v>9.5865538919350804E-2</v>
      </c>
      <c r="H4442">
        <v>6.1255444938733999E-2</v>
      </c>
      <c r="I4442">
        <v>6.11141459129853E-2</v>
      </c>
      <c r="J4442">
        <v>7.0432314364888199E-2</v>
      </c>
      <c r="K4442">
        <v>7.0212112201076607E-2</v>
      </c>
      <c r="L4442">
        <v>1379.7652680449801</v>
      </c>
      <c r="M4442">
        <v>27.743773703238201</v>
      </c>
      <c r="N4442">
        <v>49.9678115864766</v>
      </c>
      <c r="O4442">
        <v>49.476200592264703</v>
      </c>
      <c r="P4442">
        <v>-0.131601387505734</v>
      </c>
      <c r="Q4442">
        <v>6.1255499707500799E-2</v>
      </c>
      <c r="R4442">
        <v>0.99857737454726203</v>
      </c>
      <c r="S4442" t="s">
        <v>10894</v>
      </c>
      <c r="T4442" t="s">
        <v>12902</v>
      </c>
      <c r="U4442" t="s">
        <v>12902</v>
      </c>
      <c r="V4442" t="s">
        <v>12902</v>
      </c>
      <c r="W4442" t="s">
        <v>17297</v>
      </c>
      <c r="X4442">
        <v>17</v>
      </c>
      <c r="Y4442" t="s">
        <v>19857</v>
      </c>
      <c r="Z4442" t="s">
        <v>30017</v>
      </c>
      <c r="AA4442">
        <v>0.37257344395683067</v>
      </c>
      <c r="AB4442" t="str">
        <f>HYPERLINK("Melting_Curves/meltCurve_Q8N6H7_ARFGAP2.pdf", "Melting_Curves/meltCurve_Q8N6H7_ARFGAP2.pdf")</f>
        <v>Melting_Curves/meltCurve_Q8N6H7_ARFGAP2.pdf</v>
      </c>
    </row>
    <row r="4443" spans="1:28" x14ac:dyDescent="0.25">
      <c r="A4443" t="s">
        <v>4447</v>
      </c>
      <c r="B4443">
        <v>0.99673306730245903</v>
      </c>
      <c r="C4443">
        <v>0.96977689982873205</v>
      </c>
      <c r="D4443">
        <v>0.65373260775754405</v>
      </c>
      <c r="E4443">
        <v>0.278724644538896</v>
      </c>
      <c r="F4443">
        <v>0.225251521000293</v>
      </c>
      <c r="G4443">
        <v>0.18466701149481901</v>
      </c>
      <c r="H4443">
        <v>0.11836251550150299</v>
      </c>
      <c r="I4443">
        <v>0.145950910340896</v>
      </c>
      <c r="J4443">
        <v>0.14478643134664401</v>
      </c>
      <c r="K4443">
        <v>0.13355689581708</v>
      </c>
      <c r="L4443">
        <v>1349.61429557926</v>
      </c>
      <c r="M4443">
        <v>28.9085916383785</v>
      </c>
      <c r="N4443">
        <v>47.279976632643802</v>
      </c>
      <c r="O4443">
        <v>46.463889340799298</v>
      </c>
      <c r="P4443">
        <v>-0.131846003022417</v>
      </c>
      <c r="Q4443">
        <v>0.15235831079826101</v>
      </c>
      <c r="R4443">
        <v>0.99462208370738503</v>
      </c>
      <c r="S4443" t="s">
        <v>10895</v>
      </c>
      <c r="T4443" t="s">
        <v>12902</v>
      </c>
      <c r="U4443" t="s">
        <v>12902</v>
      </c>
      <c r="V4443" t="s">
        <v>12902</v>
      </c>
      <c r="W4443" t="s">
        <v>17298</v>
      </c>
      <c r="X4443">
        <v>9</v>
      </c>
      <c r="Y4443" t="s">
        <v>23602</v>
      </c>
      <c r="Z4443" t="s">
        <v>30018</v>
      </c>
      <c r="AA4443">
        <v>0.34678338119479368</v>
      </c>
      <c r="AB4443" t="str">
        <f>HYPERLINK("Melting_Curves/meltCurve_Q8N6M0_OTUD6B.pdf", "Melting_Curves/meltCurve_Q8N6M0_OTUD6B.pdf")</f>
        <v>Melting_Curves/meltCurve_Q8N6M0_OTUD6B.pdf</v>
      </c>
    </row>
    <row r="4444" spans="1:28" x14ac:dyDescent="0.25">
      <c r="A4444" t="s">
        <v>4448</v>
      </c>
      <c r="B4444">
        <v>0.99673306730245903</v>
      </c>
      <c r="C4444">
        <v>1.00654903984121</v>
      </c>
      <c r="D4444">
        <v>0.98622335254931603</v>
      </c>
      <c r="E4444">
        <v>1.02850116350653</v>
      </c>
      <c r="F4444">
        <v>0.95156557146795295</v>
      </c>
      <c r="G4444">
        <v>0.99677466951134597</v>
      </c>
      <c r="H4444">
        <v>0.82602720527921103</v>
      </c>
      <c r="I4444">
        <v>1.32682452714709</v>
      </c>
      <c r="J4444">
        <v>1.8907966660827999</v>
      </c>
      <c r="K4444">
        <v>1.79793080532725</v>
      </c>
      <c r="L4444">
        <v>15000</v>
      </c>
      <c r="M4444">
        <v>235.01022202452199</v>
      </c>
      <c r="O4444">
        <v>63.822388825752903</v>
      </c>
      <c r="P4444">
        <v>0.46028170299547499</v>
      </c>
      <c r="Q4444">
        <v>1.5</v>
      </c>
      <c r="R4444">
        <v>0.77877567568618999</v>
      </c>
      <c r="S4444" t="s">
        <v>10896</v>
      </c>
      <c r="T4444" t="s">
        <v>12902</v>
      </c>
      <c r="U4444" t="s">
        <v>12902</v>
      </c>
      <c r="V4444" t="s">
        <v>12902</v>
      </c>
      <c r="W4444" t="s">
        <v>17299</v>
      </c>
      <c r="X4444">
        <v>6</v>
      </c>
      <c r="Y4444" t="s">
        <v>23603</v>
      </c>
      <c r="Z4444" t="s">
        <v>30019</v>
      </c>
      <c r="AA4444">
        <v>1.1028197697224149</v>
      </c>
      <c r="AB4444" t="str">
        <f>HYPERLINK("Melting_Curves/meltCurve_Q8N6N3_2_C1orf52.pdf", "Melting_Curves/meltCurve_Q8N6N3_2_C1orf52.pdf")</f>
        <v>Melting_Curves/meltCurve_Q8N6N3_2_C1orf52.pdf</v>
      </c>
    </row>
    <row r="4445" spans="1:28" x14ac:dyDescent="0.25">
      <c r="A4445" t="s">
        <v>4449</v>
      </c>
      <c r="B4445">
        <v>0.99673306730245903</v>
      </c>
      <c r="C4445">
        <v>1.0256900916507401</v>
      </c>
      <c r="D4445">
        <v>0.87963838061705102</v>
      </c>
      <c r="E4445">
        <v>0.65819491676688202</v>
      </c>
      <c r="F4445">
        <v>0.40021987719629398</v>
      </c>
      <c r="G4445">
        <v>0.35423362169644801</v>
      </c>
      <c r="H4445">
        <v>0.25554748143607903</v>
      </c>
      <c r="I4445">
        <v>0.40309255077009598</v>
      </c>
      <c r="J4445">
        <v>0.62306046051266994</v>
      </c>
      <c r="K4445">
        <v>0.53148093749205205</v>
      </c>
      <c r="L4445">
        <v>1592.3328233698001</v>
      </c>
      <c r="M4445">
        <v>32.767899503087598</v>
      </c>
      <c r="N4445">
        <v>51.592451107389202</v>
      </c>
      <c r="O4445">
        <v>48.414382064452703</v>
      </c>
      <c r="P4445">
        <v>-9.7203595403515003E-2</v>
      </c>
      <c r="Q4445">
        <v>0.42553168807035202</v>
      </c>
      <c r="R4445">
        <v>0.86316328848233903</v>
      </c>
      <c r="S4445" t="s">
        <v>10897</v>
      </c>
      <c r="T4445" t="s">
        <v>12902</v>
      </c>
      <c r="U4445" t="s">
        <v>12902</v>
      </c>
      <c r="V4445" t="s">
        <v>12902</v>
      </c>
      <c r="W4445" t="s">
        <v>17300</v>
      </c>
      <c r="X4445">
        <v>5</v>
      </c>
      <c r="Y4445" t="s">
        <v>23604</v>
      </c>
      <c r="Z4445" t="s">
        <v>30020</v>
      </c>
      <c r="AA4445">
        <v>0.59300534718546494</v>
      </c>
      <c r="AB4445" t="str">
        <f>HYPERLINK("Melting_Curves/meltCurve_Q8N6N7_ACBD7.pdf", "Melting_Curves/meltCurve_Q8N6N7_ACBD7.pdf")</f>
        <v>Melting_Curves/meltCurve_Q8N6N7_ACBD7.pdf</v>
      </c>
    </row>
    <row r="4446" spans="1:28" x14ac:dyDescent="0.25">
      <c r="A4446" t="s">
        <v>4450</v>
      </c>
      <c r="B4446">
        <v>0.99673306730245903</v>
      </c>
      <c r="C4446">
        <v>1.03371070374386</v>
      </c>
      <c r="D4446">
        <v>1.0433982991375099</v>
      </c>
      <c r="E4446">
        <v>1.0129960300818199</v>
      </c>
      <c r="F4446">
        <v>0.93390492813208503</v>
      </c>
      <c r="G4446">
        <v>0.73393672232915097</v>
      </c>
      <c r="H4446">
        <v>0.468287730156906</v>
      </c>
      <c r="I4446">
        <v>0.53831767511456197</v>
      </c>
      <c r="J4446">
        <v>0.64558081367847697</v>
      </c>
      <c r="K4446">
        <v>0.44268763466273398</v>
      </c>
      <c r="L4446">
        <v>2523.3566886034</v>
      </c>
      <c r="M4446">
        <v>44.804760853190501</v>
      </c>
      <c r="O4446">
        <v>56.207093518331497</v>
      </c>
      <c r="P4446">
        <v>-9.5354550784227901E-2</v>
      </c>
      <c r="Q4446">
        <v>0.52151557248733904</v>
      </c>
      <c r="R4446">
        <v>0.94274936302484902</v>
      </c>
      <c r="S4446" t="s">
        <v>10898</v>
      </c>
      <c r="T4446" t="s">
        <v>12902</v>
      </c>
      <c r="U4446" t="s">
        <v>12902</v>
      </c>
      <c r="V4446" t="s">
        <v>12902</v>
      </c>
      <c r="W4446" t="s">
        <v>17301</v>
      </c>
      <c r="X4446">
        <v>4</v>
      </c>
      <c r="Y4446" t="s">
        <v>23605</v>
      </c>
      <c r="Z4446" t="s">
        <v>30021</v>
      </c>
      <c r="AA4446">
        <v>0.78327141654853061</v>
      </c>
      <c r="AB4446" t="str">
        <f>HYPERLINK("Melting_Curves/meltCurve_Q8N6Q8_METTL25.pdf", "Melting_Curves/meltCurve_Q8N6Q8_METTL25.pdf")</f>
        <v>Melting_Curves/meltCurve_Q8N6Q8_METTL25.pdf</v>
      </c>
    </row>
    <row r="4447" spans="1:28" x14ac:dyDescent="0.25">
      <c r="A4447" t="s">
        <v>4451</v>
      </c>
      <c r="B4447">
        <v>0.99673306730245903</v>
      </c>
      <c r="C4447">
        <v>0.95944182862930105</v>
      </c>
      <c r="D4447">
        <v>0.87271453811212996</v>
      </c>
      <c r="E4447">
        <v>0.54426243826560095</v>
      </c>
      <c r="F4447">
        <v>0.213743369333181</v>
      </c>
      <c r="G4447">
        <v>0.15231112031395899</v>
      </c>
      <c r="H4447">
        <v>8.2660759211445195E-2</v>
      </c>
      <c r="I4447">
        <v>0.115610171768217</v>
      </c>
      <c r="J4447">
        <v>0.11000171554771999</v>
      </c>
      <c r="K4447">
        <v>0.108018727946744</v>
      </c>
      <c r="L4447">
        <v>1230.72082287069</v>
      </c>
      <c r="M4447">
        <v>24.899223555508499</v>
      </c>
      <c r="N4447">
        <v>49.884669375431898</v>
      </c>
      <c r="O4447">
        <v>49.112562864443099</v>
      </c>
      <c r="P4447">
        <v>-0.113832340232871</v>
      </c>
      <c r="Q4447">
        <v>0.101896253456084</v>
      </c>
      <c r="R4447">
        <v>0.99836423811275299</v>
      </c>
      <c r="S4447" t="s">
        <v>10899</v>
      </c>
      <c r="T4447" t="s">
        <v>12902</v>
      </c>
      <c r="U4447" t="s">
        <v>12902</v>
      </c>
      <c r="V4447" t="s">
        <v>12902</v>
      </c>
      <c r="W4447" t="s">
        <v>17302</v>
      </c>
      <c r="X4447">
        <v>9</v>
      </c>
      <c r="Y4447" t="s">
        <v>23606</v>
      </c>
      <c r="Z4447" t="s">
        <v>30022</v>
      </c>
      <c r="AA4447">
        <v>0.39219278012579228</v>
      </c>
      <c r="AB4447" t="str">
        <f>HYPERLINK("Melting_Curves/meltCurve_Q8N6T3_ARFGAP1.pdf", "Melting_Curves/meltCurve_Q8N6T3_ARFGAP1.pdf")</f>
        <v>Melting_Curves/meltCurve_Q8N6T3_ARFGAP1.pdf</v>
      </c>
    </row>
    <row r="4448" spans="1:28" x14ac:dyDescent="0.25">
      <c r="A4448" t="s">
        <v>4452</v>
      </c>
      <c r="B4448">
        <v>0.99673306730245903</v>
      </c>
      <c r="C4448">
        <v>0.99043124626798895</v>
      </c>
      <c r="D4448">
        <v>0.90587573028176205</v>
      </c>
      <c r="E4448">
        <v>0.80196872329285995</v>
      </c>
      <c r="F4448">
        <v>0.363197909553932</v>
      </c>
      <c r="G4448">
        <v>0.124382423769807</v>
      </c>
      <c r="H4448">
        <v>6.1247567205992302E-2</v>
      </c>
      <c r="I4448">
        <v>4.5431633133240397E-2</v>
      </c>
      <c r="J4448">
        <v>2.5894998163524301E-2</v>
      </c>
      <c r="K4448">
        <v>2.8196103843191499E-2</v>
      </c>
      <c r="L4448">
        <v>1322.1985981821199</v>
      </c>
      <c r="M4448">
        <v>25.4528846979657</v>
      </c>
      <c r="N4448">
        <v>52.0715152997901</v>
      </c>
      <c r="O4448">
        <v>51.629432768469002</v>
      </c>
      <c r="P4448">
        <v>-0.119607244423792</v>
      </c>
      <c r="Q4448">
        <v>2.95517448661675E-2</v>
      </c>
      <c r="R4448">
        <v>0.99734665113743004</v>
      </c>
      <c r="S4448" t="s">
        <v>10900</v>
      </c>
      <c r="T4448" t="s">
        <v>12902</v>
      </c>
      <c r="U4448" t="s">
        <v>12902</v>
      </c>
      <c r="V4448" t="s">
        <v>12902</v>
      </c>
      <c r="W4448" t="s">
        <v>17303</v>
      </c>
      <c r="X4448">
        <v>5</v>
      </c>
      <c r="Y4448" t="s">
        <v>23607</v>
      </c>
      <c r="Z4448" t="s">
        <v>30023</v>
      </c>
      <c r="AA4448">
        <v>0.4245664701196521</v>
      </c>
      <c r="AB4448" t="str">
        <f>HYPERLINK("Melting_Curves/meltCurve_Q8N749_TOM1L1.pdf", "Melting_Curves/meltCurve_Q8N749_TOM1L1.pdf")</f>
        <v>Melting_Curves/meltCurve_Q8N749_TOM1L1.pdf</v>
      </c>
    </row>
    <row r="4449" spans="1:28" x14ac:dyDescent="0.25">
      <c r="A4449" t="s">
        <v>4453</v>
      </c>
      <c r="B4449">
        <v>0.99673306730245903</v>
      </c>
      <c r="C4449">
        <v>0.86360866267993397</v>
      </c>
      <c r="D4449">
        <v>0.79818661351768705</v>
      </c>
      <c r="E4449">
        <v>0.72729953572686901</v>
      </c>
      <c r="F4449">
        <v>0.478837784754852</v>
      </c>
      <c r="G4449">
        <v>0.22025724314914499</v>
      </c>
      <c r="H4449">
        <v>9.6706663375525206E-2</v>
      </c>
      <c r="I4449">
        <v>7.1840521789563405E-2</v>
      </c>
      <c r="J4449">
        <v>7.0263919133799896E-2</v>
      </c>
      <c r="K4449">
        <v>5.37285301031174E-2</v>
      </c>
      <c r="L4449">
        <v>675.34754913372899</v>
      </c>
      <c r="M4449">
        <v>12.9311048197329</v>
      </c>
      <c r="N4449">
        <v>52.226571305977103</v>
      </c>
      <c r="O4449">
        <v>51.024882973714199</v>
      </c>
      <c r="P4449">
        <v>-6.3368283693466407E-2</v>
      </c>
      <c r="Q4449">
        <v>0</v>
      </c>
      <c r="R4449">
        <v>0.98525897541917995</v>
      </c>
      <c r="S4449" t="s">
        <v>10901</v>
      </c>
      <c r="T4449" t="s">
        <v>12902</v>
      </c>
      <c r="U4449" t="s">
        <v>12902</v>
      </c>
      <c r="V4449" t="s">
        <v>12902</v>
      </c>
      <c r="W4449" t="s">
        <v>17304</v>
      </c>
      <c r="X4449">
        <v>18</v>
      </c>
      <c r="Y4449" t="s">
        <v>23608</v>
      </c>
      <c r="Z4449" t="s">
        <v>30024</v>
      </c>
      <c r="AA4449">
        <v>0.43491782711159588</v>
      </c>
      <c r="AB4449" t="str">
        <f>HYPERLINK("Melting_Curves/meltCurve_Q8N766_3_EMC1.pdf", "Melting_Curves/meltCurve_Q8N766_3_EMC1.pdf")</f>
        <v>Melting_Curves/meltCurve_Q8N766_3_EMC1.pdf</v>
      </c>
    </row>
    <row r="4450" spans="1:28" x14ac:dyDescent="0.25">
      <c r="A4450" t="s">
        <v>4454</v>
      </c>
      <c r="B4450">
        <v>0.99673306730245903</v>
      </c>
      <c r="C4450">
        <v>0.94845175129874604</v>
      </c>
      <c r="D4450">
        <v>0.66847358526886203</v>
      </c>
      <c r="E4450">
        <v>0.36170237834378199</v>
      </c>
      <c r="F4450">
        <v>0.28287747132340202</v>
      </c>
      <c r="G4450">
        <v>0.11934468429594999</v>
      </c>
      <c r="H4450">
        <v>7.2414676340186196E-2</v>
      </c>
      <c r="I4450">
        <v>5.35650634370268E-2</v>
      </c>
      <c r="J4450">
        <v>6.4286597144750005E-2</v>
      </c>
      <c r="K4450">
        <v>2.2367481155745099E-2</v>
      </c>
      <c r="L4450">
        <v>802.88999000053104</v>
      </c>
      <c r="M4450">
        <v>16.6853895486779</v>
      </c>
      <c r="N4450">
        <v>48.409356863313</v>
      </c>
      <c r="O4450">
        <v>47.444090908144702</v>
      </c>
      <c r="P4450">
        <v>-8.3744794633501998E-2</v>
      </c>
      <c r="Q4450">
        <v>4.75664004870677E-2</v>
      </c>
      <c r="R4450">
        <v>0.98922323224309605</v>
      </c>
      <c r="S4450" t="s">
        <v>10902</v>
      </c>
      <c r="T4450" t="s">
        <v>12902</v>
      </c>
      <c r="U4450" t="s">
        <v>12902</v>
      </c>
      <c r="V4450" t="s">
        <v>12902</v>
      </c>
      <c r="W4450" t="s">
        <v>17305</v>
      </c>
      <c r="X4450">
        <v>2</v>
      </c>
      <c r="Y4450" t="s">
        <v>23609</v>
      </c>
      <c r="Z4450" t="s">
        <v>30025</v>
      </c>
      <c r="AA4450">
        <v>0.32502371538759139</v>
      </c>
      <c r="AB4450" t="str">
        <f>HYPERLINK("Melting_Curves/meltCurve_Q8N7R7_3_CCNYL1.pdf", "Melting_Curves/meltCurve_Q8N7R7_3_CCNYL1.pdf")</f>
        <v>Melting_Curves/meltCurve_Q8N7R7_3_CCNYL1.pdf</v>
      </c>
    </row>
    <row r="4451" spans="1:28" x14ac:dyDescent="0.25">
      <c r="A4451" t="s">
        <v>4455</v>
      </c>
      <c r="B4451">
        <v>0.99673306730245903</v>
      </c>
      <c r="C4451">
        <v>0.982986279392014</v>
      </c>
      <c r="D4451">
        <v>0.93886566706921504</v>
      </c>
      <c r="E4451">
        <v>0.64262763624928798</v>
      </c>
      <c r="F4451">
        <v>0.25222091320377998</v>
      </c>
      <c r="G4451">
        <v>0.15555811406853201</v>
      </c>
      <c r="H4451">
        <v>0.104550592753492</v>
      </c>
      <c r="I4451">
        <v>0.103562610184965</v>
      </c>
      <c r="J4451">
        <v>0.125729980504207</v>
      </c>
      <c r="K4451">
        <v>0.112454634381895</v>
      </c>
      <c r="L4451">
        <v>1455.84050266086</v>
      </c>
      <c r="M4451">
        <v>28.974627162923301</v>
      </c>
      <c r="N4451">
        <v>50.687117916985002</v>
      </c>
      <c r="O4451">
        <v>50.007852601744901</v>
      </c>
      <c r="P4451">
        <v>-0.12868844997659701</v>
      </c>
      <c r="Q4451">
        <v>0.111583566673315</v>
      </c>
      <c r="R4451">
        <v>0.99941652386250801</v>
      </c>
      <c r="S4451" t="s">
        <v>10903</v>
      </c>
      <c r="T4451" t="s">
        <v>12902</v>
      </c>
      <c r="U4451" t="s">
        <v>12902</v>
      </c>
      <c r="V4451" t="s">
        <v>12902</v>
      </c>
      <c r="W4451" t="s">
        <v>17306</v>
      </c>
      <c r="X4451">
        <v>19</v>
      </c>
      <c r="Y4451" t="s">
        <v>23610</v>
      </c>
      <c r="Z4451" t="s">
        <v>30026</v>
      </c>
      <c r="AA4451">
        <v>0.42090633841515929</v>
      </c>
      <c r="AB4451" t="str">
        <f>HYPERLINK("Melting_Curves/meltCurve_Q8N806_UBR7.pdf", "Melting_Curves/meltCurve_Q8N806_UBR7.pdf")</f>
        <v>Melting_Curves/meltCurve_Q8N806_UBR7.pdf</v>
      </c>
    </row>
    <row r="4452" spans="1:28" x14ac:dyDescent="0.25">
      <c r="A4452" t="s">
        <v>4456</v>
      </c>
      <c r="B4452">
        <v>0.99673306730245903</v>
      </c>
      <c r="C4452">
        <v>0.95713016501678005</v>
      </c>
      <c r="D4452">
        <v>0.83711318183234096</v>
      </c>
      <c r="E4452">
        <v>0.71929200277021599</v>
      </c>
      <c r="F4452">
        <v>0.48212137033188002</v>
      </c>
      <c r="G4452">
        <v>0.32058171945568298</v>
      </c>
      <c r="H4452">
        <v>0.23647585512159</v>
      </c>
      <c r="I4452">
        <v>0.36800598064321599</v>
      </c>
      <c r="J4452">
        <v>0.33791476957185901</v>
      </c>
      <c r="K4452">
        <v>0.36859815217920699</v>
      </c>
      <c r="L4452">
        <v>970.88466390372298</v>
      </c>
      <c r="M4452">
        <v>19.4678915216695</v>
      </c>
      <c r="N4452">
        <v>52.5232003158455</v>
      </c>
      <c r="O4452">
        <v>49.353809879899899</v>
      </c>
      <c r="P4452">
        <v>-6.7759104459728797E-2</v>
      </c>
      <c r="Q4452">
        <v>0.31290998943986498</v>
      </c>
      <c r="R4452">
        <v>0.97000622196964903</v>
      </c>
      <c r="S4452" t="s">
        <v>10904</v>
      </c>
      <c r="T4452" t="s">
        <v>12902</v>
      </c>
      <c r="U4452" t="s">
        <v>12902</v>
      </c>
      <c r="V4452" t="s">
        <v>12902</v>
      </c>
      <c r="W4452" t="s">
        <v>17307</v>
      </c>
      <c r="X4452">
        <v>2</v>
      </c>
      <c r="Y4452" t="s">
        <v>23611</v>
      </c>
      <c r="Z4452" t="s">
        <v>30027</v>
      </c>
      <c r="AA4452">
        <v>0.54907560995385052</v>
      </c>
      <c r="AB4452" t="str">
        <f>HYPERLINK("Melting_Curves/meltCurve_Q8N8J7_C4orf32.pdf", "Melting_Curves/meltCurve_Q8N8J7_C4orf32.pdf")</f>
        <v>Melting_Curves/meltCurve_Q8N8J7_C4orf32.pdf</v>
      </c>
    </row>
    <row r="4453" spans="1:28" x14ac:dyDescent="0.25">
      <c r="A4453" t="s">
        <v>4457</v>
      </c>
      <c r="B4453">
        <v>0.99673306730245903</v>
      </c>
      <c r="C4453">
        <v>0.98090041359272495</v>
      </c>
      <c r="D4453">
        <v>0.83157818273769701</v>
      </c>
      <c r="E4453">
        <v>0.43141129533074102</v>
      </c>
      <c r="F4453">
        <v>0.32138527783054599</v>
      </c>
      <c r="G4453">
        <v>0.20411776769818701</v>
      </c>
      <c r="H4453">
        <v>0.10870642692002799</v>
      </c>
      <c r="I4453">
        <v>0.103438335218159</v>
      </c>
      <c r="J4453">
        <v>7.7863471828029301E-2</v>
      </c>
      <c r="K4453">
        <v>6.5205554412041802E-2</v>
      </c>
      <c r="L4453">
        <v>899.99423765100801</v>
      </c>
      <c r="M4453">
        <v>18.304441677053301</v>
      </c>
      <c r="N4453">
        <v>49.698057815563402</v>
      </c>
      <c r="O4453">
        <v>48.592508268023103</v>
      </c>
      <c r="P4453">
        <v>-8.5827357943134702E-2</v>
      </c>
      <c r="Q4453">
        <v>8.8664041224375198E-2</v>
      </c>
      <c r="R4453">
        <v>0.98917081420783504</v>
      </c>
      <c r="S4453" t="s">
        <v>10905</v>
      </c>
      <c r="T4453" t="s">
        <v>12902</v>
      </c>
      <c r="U4453" t="s">
        <v>12902</v>
      </c>
      <c r="V4453" t="s">
        <v>12902</v>
      </c>
      <c r="W4453" t="s">
        <v>17308</v>
      </c>
      <c r="X4453">
        <v>5</v>
      </c>
      <c r="Y4453" t="s">
        <v>23612</v>
      </c>
      <c r="Z4453" t="s">
        <v>30028</v>
      </c>
      <c r="AA4453">
        <v>0.38239314652611028</v>
      </c>
      <c r="AB4453" t="str">
        <f>HYPERLINK("Melting_Curves/meltCurve_Q8N8N7_PTGR2.pdf", "Melting_Curves/meltCurve_Q8N8N7_PTGR2.pdf")</f>
        <v>Melting_Curves/meltCurve_Q8N8N7_PTGR2.pdf</v>
      </c>
    </row>
    <row r="4454" spans="1:28" x14ac:dyDescent="0.25">
      <c r="A4454" t="s">
        <v>4458</v>
      </c>
      <c r="B4454">
        <v>0.99673306730245903</v>
      </c>
      <c r="C4454">
        <v>1.03310416727433</v>
      </c>
      <c r="D4454">
        <v>0.988024832655921</v>
      </c>
      <c r="E4454">
        <v>0.952587589876282</v>
      </c>
      <c r="F4454">
        <v>0.621648547982938</v>
      </c>
      <c r="G4454">
        <v>0.295961638760881</v>
      </c>
      <c r="H4454">
        <v>0.152003700265785</v>
      </c>
      <c r="I4454">
        <v>0.133934036087828</v>
      </c>
      <c r="J4454">
        <v>0.151420824926534</v>
      </c>
      <c r="K4454">
        <v>0.12506328286517901</v>
      </c>
      <c r="L4454">
        <v>1591.3520906425599</v>
      </c>
      <c r="M4454">
        <v>29.596647929051201</v>
      </c>
      <c r="N4454">
        <v>54.336613886786601</v>
      </c>
      <c r="O4454">
        <v>53.524314611022199</v>
      </c>
      <c r="P4454">
        <v>-0.119830503972244</v>
      </c>
      <c r="Q4454">
        <v>0.13317198356727999</v>
      </c>
      <c r="R4454">
        <v>0.998444461145363</v>
      </c>
      <c r="S4454" t="s">
        <v>10906</v>
      </c>
      <c r="T4454" t="s">
        <v>12902</v>
      </c>
      <c r="U4454" t="s">
        <v>12902</v>
      </c>
      <c r="V4454" t="s">
        <v>12902</v>
      </c>
      <c r="W4454" t="s">
        <v>17309</v>
      </c>
      <c r="X4454">
        <v>4</v>
      </c>
      <c r="Y4454" t="s">
        <v>23613</v>
      </c>
      <c r="Z4454" t="s">
        <v>30029</v>
      </c>
      <c r="AA4454">
        <v>0.53681672944638792</v>
      </c>
      <c r="AB4454" t="str">
        <f>HYPERLINK("Melting_Curves/meltCurve_Q8N8R5_C2orf69.pdf", "Melting_Curves/meltCurve_Q8N8R5_C2orf69.pdf")</f>
        <v>Melting_Curves/meltCurve_Q8N8R5_C2orf69.pdf</v>
      </c>
    </row>
    <row r="4455" spans="1:28" x14ac:dyDescent="0.25">
      <c r="A4455" t="s">
        <v>4459</v>
      </c>
      <c r="B4455">
        <v>0.99673306730245903</v>
      </c>
      <c r="C4455">
        <v>0.91100027642589099</v>
      </c>
      <c r="D4455">
        <v>0.63640697381230305</v>
      </c>
      <c r="E4455">
        <v>0.36906691968953098</v>
      </c>
      <c r="F4455">
        <v>0.30820091043725401</v>
      </c>
      <c r="G4455">
        <v>0.18242857668652099</v>
      </c>
      <c r="H4455">
        <v>0.109822597770284</v>
      </c>
      <c r="I4455">
        <v>7.6747437043990105E-2</v>
      </c>
      <c r="J4455">
        <v>8.3442507815358502E-2</v>
      </c>
      <c r="K4455">
        <v>9.2077131134429197E-2</v>
      </c>
      <c r="L4455">
        <v>745.63306041794601</v>
      </c>
      <c r="M4455">
        <v>15.6291208858629</v>
      </c>
      <c r="N4455">
        <v>48.3017416697542</v>
      </c>
      <c r="O4455">
        <v>46.947372116726797</v>
      </c>
      <c r="P4455">
        <v>-7.5958934819257806E-2</v>
      </c>
      <c r="Q4455">
        <v>8.7404660028263401E-2</v>
      </c>
      <c r="R4455">
        <v>0.98803997304479196</v>
      </c>
      <c r="S4455" t="s">
        <v>10907</v>
      </c>
      <c r="T4455" t="s">
        <v>12902</v>
      </c>
      <c r="U4455" t="s">
        <v>12902</v>
      </c>
      <c r="V4455" t="s">
        <v>12902</v>
      </c>
      <c r="W4455" t="s">
        <v>17310</v>
      </c>
      <c r="X4455">
        <v>2</v>
      </c>
      <c r="Y4455" t="s">
        <v>23614</v>
      </c>
      <c r="Z4455" t="s">
        <v>30030</v>
      </c>
      <c r="AA4455">
        <v>0.34380421927466548</v>
      </c>
      <c r="AB4455" t="str">
        <f>HYPERLINK("Melting_Curves/meltCurve_Q8N8R7_ARL14EP.pdf", "Melting_Curves/meltCurve_Q8N8R7_ARL14EP.pdf")</f>
        <v>Melting_Curves/meltCurve_Q8N8R7_ARL14EP.pdf</v>
      </c>
    </row>
    <row r="4456" spans="1:28" x14ac:dyDescent="0.25">
      <c r="A4456" t="s">
        <v>4460</v>
      </c>
      <c r="B4456">
        <v>0.99673306730245903</v>
      </c>
      <c r="C4456">
        <v>0.84547647680726601</v>
      </c>
      <c r="D4456">
        <v>0.88592544568128095</v>
      </c>
      <c r="E4456">
        <v>0.78117065008865205</v>
      </c>
      <c r="F4456">
        <v>0.45022489419353801</v>
      </c>
      <c r="G4456">
        <v>0.31844561983123398</v>
      </c>
      <c r="H4456">
        <v>0.173711807124203</v>
      </c>
      <c r="I4456">
        <v>0.171519735249164</v>
      </c>
      <c r="J4456">
        <v>0.17512333377677999</v>
      </c>
      <c r="K4456">
        <v>0.15754302321147901</v>
      </c>
      <c r="L4456">
        <v>807.36686497926303</v>
      </c>
      <c r="M4456">
        <v>15.554109313564799</v>
      </c>
      <c r="N4456">
        <v>52.926969774815802</v>
      </c>
      <c r="O4456">
        <v>51.071692235635901</v>
      </c>
      <c r="P4456">
        <v>-6.6284625157835397E-2</v>
      </c>
      <c r="Q4456">
        <v>0.12949789317424201</v>
      </c>
      <c r="R4456">
        <v>0.97885167258970696</v>
      </c>
      <c r="S4456" t="s">
        <v>10908</v>
      </c>
      <c r="T4456" t="s">
        <v>12902</v>
      </c>
      <c r="U4456" t="s">
        <v>12902</v>
      </c>
      <c r="V4456" t="s">
        <v>12902</v>
      </c>
      <c r="W4456" t="s">
        <v>17311</v>
      </c>
      <c r="X4456">
        <v>19</v>
      </c>
      <c r="Y4456" t="s">
        <v>23615</v>
      </c>
      <c r="Z4456" t="s">
        <v>30031</v>
      </c>
      <c r="AA4456">
        <v>0.49345056906480761</v>
      </c>
      <c r="AB4456" t="str">
        <f>HYPERLINK("Melting_Curves/meltCurve_Q8N8S7_ENAH.pdf", "Melting_Curves/meltCurve_Q8N8S7_ENAH.pdf")</f>
        <v>Melting_Curves/meltCurve_Q8N8S7_ENAH.pdf</v>
      </c>
    </row>
    <row r="4457" spans="1:28" x14ac:dyDescent="0.25">
      <c r="A4457" t="s">
        <v>4461</v>
      </c>
      <c r="B4457">
        <v>0.99673306730245903</v>
      </c>
      <c r="C4457">
        <v>0.934348704243668</v>
      </c>
      <c r="D4457">
        <v>0.94043691142050501</v>
      </c>
      <c r="E4457">
        <v>1.0342117464763001</v>
      </c>
      <c r="F4457">
        <v>1.4647605698174799</v>
      </c>
      <c r="G4457">
        <v>0.84049499541099704</v>
      </c>
      <c r="H4457">
        <v>0.41528969953866501</v>
      </c>
      <c r="I4457">
        <v>0.36298580810842501</v>
      </c>
      <c r="J4457">
        <v>0.49804345645519799</v>
      </c>
      <c r="K4457">
        <v>0.42887901435064002</v>
      </c>
      <c r="L4457">
        <v>14254.202145187101</v>
      </c>
      <c r="M4457">
        <v>250</v>
      </c>
      <c r="N4457">
        <v>57.456831283828201</v>
      </c>
      <c r="O4457">
        <v>57.013160188311197</v>
      </c>
      <c r="P4457">
        <v>-0.62891239941456201</v>
      </c>
      <c r="Q4457">
        <v>0.42629946978679401</v>
      </c>
      <c r="R4457">
        <v>0.79482372999338302</v>
      </c>
      <c r="S4457" t="s">
        <v>10909</v>
      </c>
      <c r="T4457" t="s">
        <v>12902</v>
      </c>
      <c r="U4457" t="s">
        <v>12902</v>
      </c>
      <c r="V4457" t="s">
        <v>12902</v>
      </c>
      <c r="W4457" t="s">
        <v>17312</v>
      </c>
      <c r="X4457">
        <v>4</v>
      </c>
      <c r="Y4457" t="s">
        <v>23616</v>
      </c>
      <c r="Z4457" t="s">
        <v>30032</v>
      </c>
      <c r="AA4457">
        <v>0.75177527984427039</v>
      </c>
      <c r="AB4457" t="str">
        <f>HYPERLINK("Melting_Curves/meltCurve_Q8N954_GPATCH11.pdf", "Melting_Curves/meltCurve_Q8N954_GPATCH11.pdf")</f>
        <v>Melting_Curves/meltCurve_Q8N954_GPATCH11.pdf</v>
      </c>
    </row>
    <row r="4458" spans="1:28" x14ac:dyDescent="0.25">
      <c r="A4458" t="s">
        <v>4462</v>
      </c>
      <c r="B4458">
        <v>0.99673306730245903</v>
      </c>
      <c r="C4458">
        <v>0.96578950226423299</v>
      </c>
      <c r="D4458">
        <v>0.93977818625445497</v>
      </c>
      <c r="E4458">
        <v>0.93872137871192596</v>
      </c>
      <c r="F4458">
        <v>0.73885563691978196</v>
      </c>
      <c r="G4458">
        <v>0.51462751023842401</v>
      </c>
      <c r="H4458">
        <v>0.27523697013894799</v>
      </c>
      <c r="I4458">
        <v>0.18024377470518901</v>
      </c>
      <c r="J4458">
        <v>0.18238452218259599</v>
      </c>
      <c r="K4458">
        <v>0.190743804447954</v>
      </c>
      <c r="L4458">
        <v>1075.61990263655</v>
      </c>
      <c r="M4458">
        <v>19.333547536856699</v>
      </c>
      <c r="N4458">
        <v>56.671861232801</v>
      </c>
      <c r="O4458">
        <v>55.049935159948603</v>
      </c>
      <c r="P4458">
        <v>-7.47226865640684E-2</v>
      </c>
      <c r="Q4458">
        <v>0.148976475272279</v>
      </c>
      <c r="R4458">
        <v>0.99506864218348101</v>
      </c>
      <c r="S4458" t="s">
        <v>10910</v>
      </c>
      <c r="T4458" t="s">
        <v>12902</v>
      </c>
      <c r="U4458" t="s">
        <v>12902</v>
      </c>
      <c r="V4458" t="s">
        <v>12902</v>
      </c>
      <c r="W4458" t="s">
        <v>17313</v>
      </c>
      <c r="X4458">
        <v>8</v>
      </c>
      <c r="Y4458" t="s">
        <v>23617</v>
      </c>
      <c r="Z4458" t="s">
        <v>30033</v>
      </c>
      <c r="AA4458">
        <v>0.60414876091940239</v>
      </c>
      <c r="AB4458" t="str">
        <f>HYPERLINK("Melting_Curves/meltCurve_Q8N999_C12orf29.pdf", "Melting_Curves/meltCurve_Q8N999_C12orf29.pdf")</f>
        <v>Melting_Curves/meltCurve_Q8N999_C12orf29.pdf</v>
      </c>
    </row>
    <row r="4459" spans="1:28" x14ac:dyDescent="0.25">
      <c r="A4459" t="s">
        <v>4463</v>
      </c>
      <c r="B4459">
        <v>0.99673306730245903</v>
      </c>
      <c r="C4459">
        <v>0.96917583208282698</v>
      </c>
      <c r="D4459">
        <v>0.821836151888512</v>
      </c>
      <c r="E4459">
        <v>0.49505435976009599</v>
      </c>
      <c r="F4459">
        <v>0.20288138928296201</v>
      </c>
      <c r="G4459">
        <v>0.104596132311136</v>
      </c>
      <c r="H4459">
        <v>6.2887911842413893E-2</v>
      </c>
      <c r="I4459">
        <v>5.2733375863241498E-2</v>
      </c>
      <c r="J4459">
        <v>4.45421939573417E-2</v>
      </c>
      <c r="K4459">
        <v>3.9929338768445302E-2</v>
      </c>
      <c r="L4459">
        <v>1044.77427550936</v>
      </c>
      <c r="M4459">
        <v>21.1946273458116</v>
      </c>
      <c r="N4459">
        <v>49.505215534568102</v>
      </c>
      <c r="O4459">
        <v>48.8617628487819</v>
      </c>
      <c r="P4459">
        <v>-0.103762885225879</v>
      </c>
      <c r="Q4459">
        <v>4.3171419175686801E-2</v>
      </c>
      <c r="R4459">
        <v>0.99981470931693595</v>
      </c>
      <c r="S4459" t="s">
        <v>10911</v>
      </c>
      <c r="T4459" t="s">
        <v>12902</v>
      </c>
      <c r="U4459" t="s">
        <v>12902</v>
      </c>
      <c r="V4459" t="s">
        <v>12902</v>
      </c>
      <c r="W4459" t="s">
        <v>17314</v>
      </c>
      <c r="X4459">
        <v>10</v>
      </c>
      <c r="Y4459" t="s">
        <v>23618</v>
      </c>
      <c r="Z4459" t="s">
        <v>30034</v>
      </c>
      <c r="AA4459">
        <v>0.35150080500661868</v>
      </c>
      <c r="AB4459" t="str">
        <f>HYPERLINK("Melting_Curves/meltCurve_Q8N9F7_GDPD1.pdf", "Melting_Curves/meltCurve_Q8N9F7_GDPD1.pdf")</f>
        <v>Melting_Curves/meltCurve_Q8N9F7_GDPD1.pdf</v>
      </c>
    </row>
    <row r="4460" spans="1:28" x14ac:dyDescent="0.25">
      <c r="A4460" t="s">
        <v>4464</v>
      </c>
      <c r="B4460">
        <v>0.99673306730245903</v>
      </c>
      <c r="C4460">
        <v>0.957097701485773</v>
      </c>
      <c r="D4460">
        <v>0.90833072801483805</v>
      </c>
      <c r="E4460">
        <v>0.53465467135461997</v>
      </c>
      <c r="F4460">
        <v>0.13331188970381799</v>
      </c>
      <c r="G4460">
        <v>7.7041594966642896E-2</v>
      </c>
      <c r="H4460">
        <v>5.2210817686292599E-2</v>
      </c>
      <c r="I4460">
        <v>2.9070803863608798E-2</v>
      </c>
      <c r="J4460">
        <v>3.11684755311139E-2</v>
      </c>
      <c r="K4460">
        <v>1.1086413986217699E-2</v>
      </c>
      <c r="L4460">
        <v>1437.6916739738499</v>
      </c>
      <c r="M4460">
        <v>28.9459310505835</v>
      </c>
      <c r="N4460">
        <v>49.777190908916999</v>
      </c>
      <c r="O4460">
        <v>49.432931093527998</v>
      </c>
      <c r="P4460">
        <v>-0.14189503934108899</v>
      </c>
      <c r="Q4460">
        <v>3.0712125988244299E-2</v>
      </c>
      <c r="R4460">
        <v>0.99831809730319299</v>
      </c>
      <c r="S4460" t="s">
        <v>10912</v>
      </c>
      <c r="T4460" t="s">
        <v>12902</v>
      </c>
      <c r="U4460" t="s">
        <v>12902</v>
      </c>
      <c r="V4460" t="s">
        <v>12902</v>
      </c>
      <c r="W4460" t="s">
        <v>17315</v>
      </c>
      <c r="X4460">
        <v>4</v>
      </c>
      <c r="Y4460" t="s">
        <v>23619</v>
      </c>
      <c r="Z4460" t="s">
        <v>30035</v>
      </c>
      <c r="AA4460">
        <v>0.34949999344816451</v>
      </c>
      <c r="AB4460" t="str">
        <f>HYPERLINK("Melting_Curves/meltCurve_Q8N9M5_TMEM102.pdf", "Melting_Curves/meltCurve_Q8N9M5_TMEM102.pdf")</f>
        <v>Melting_Curves/meltCurve_Q8N9M5_TMEM102.pdf</v>
      </c>
    </row>
    <row r="4461" spans="1:28" x14ac:dyDescent="0.25">
      <c r="A4461" t="s">
        <v>4465</v>
      </c>
      <c r="B4461">
        <v>0.99673306730245903</v>
      </c>
      <c r="C4461">
        <v>1.02662327216436</v>
      </c>
      <c r="D4461">
        <v>0.98941570348693697</v>
      </c>
      <c r="E4461">
        <v>0.87527830720648603</v>
      </c>
      <c r="F4461">
        <v>0.55279501712156198</v>
      </c>
      <c r="G4461">
        <v>0.213759349567746</v>
      </c>
      <c r="H4461">
        <v>0.11523401780996501</v>
      </c>
      <c r="I4461">
        <v>9.1299035545056195E-2</v>
      </c>
      <c r="J4461">
        <v>0.153270251501128</v>
      </c>
      <c r="K4461">
        <v>0.132293529006761</v>
      </c>
      <c r="L4461">
        <v>1551.07965566798</v>
      </c>
      <c r="M4461">
        <v>29.2497750479668</v>
      </c>
      <c r="N4461">
        <v>53.505816588816501</v>
      </c>
      <c r="O4461">
        <v>52.782751873286301</v>
      </c>
      <c r="P4461">
        <v>-0.12263852564472399</v>
      </c>
      <c r="Q4461">
        <v>0.114775684919648</v>
      </c>
      <c r="R4461">
        <v>0.997104396529087</v>
      </c>
      <c r="S4461" t="s">
        <v>10913</v>
      </c>
      <c r="T4461" t="s">
        <v>12902</v>
      </c>
      <c r="U4461" t="s">
        <v>12902</v>
      </c>
      <c r="V4461" t="s">
        <v>12902</v>
      </c>
      <c r="W4461" t="s">
        <v>17316</v>
      </c>
      <c r="X4461">
        <v>9</v>
      </c>
      <c r="Y4461" t="s">
        <v>23620</v>
      </c>
      <c r="Z4461" t="s">
        <v>30036</v>
      </c>
      <c r="AA4461">
        <v>0.50525622584379148</v>
      </c>
      <c r="AB4461" t="str">
        <f>HYPERLINK("Melting_Curves/meltCurve_Q8N9N7_LRRC57.pdf", "Melting_Curves/meltCurve_Q8N9N7_LRRC57.pdf")</f>
        <v>Melting_Curves/meltCurve_Q8N9N7_LRRC57.pdf</v>
      </c>
    </row>
    <row r="4462" spans="1:28" x14ac:dyDescent="0.25">
      <c r="A4462" t="s">
        <v>4466</v>
      </c>
      <c r="B4462">
        <v>0.99673306730245903</v>
      </c>
      <c r="C4462">
        <v>0.86408487958371605</v>
      </c>
      <c r="D4462">
        <v>0.87176652410129596</v>
      </c>
      <c r="E4462">
        <v>0.81693388032277903</v>
      </c>
      <c r="F4462">
        <v>0.62994088056641895</v>
      </c>
      <c r="G4462">
        <v>0.51407630397209703</v>
      </c>
      <c r="H4462">
        <v>0.45281454971333102</v>
      </c>
      <c r="I4462">
        <v>0.58848458489510502</v>
      </c>
      <c r="J4462">
        <v>0.76916894297361904</v>
      </c>
      <c r="K4462">
        <v>0.85302917608666295</v>
      </c>
      <c r="L4462">
        <v>879.52235082049503</v>
      </c>
      <c r="M4462">
        <v>18.723797002325</v>
      </c>
      <c r="O4462">
        <v>46.447526361552796</v>
      </c>
      <c r="P4462">
        <v>-3.6704947400513097E-2</v>
      </c>
      <c r="Q4462">
        <v>0.63580420986864306</v>
      </c>
      <c r="R4462">
        <v>0.523820510991579</v>
      </c>
      <c r="S4462" t="s">
        <v>10914</v>
      </c>
      <c r="T4462" t="s">
        <v>12902</v>
      </c>
      <c r="U4462" t="s">
        <v>12902</v>
      </c>
      <c r="V4462" t="s">
        <v>12902</v>
      </c>
      <c r="W4462" t="s">
        <v>17317</v>
      </c>
      <c r="X4462">
        <v>2</v>
      </c>
      <c r="Y4462" t="s">
        <v>23621</v>
      </c>
      <c r="Z4462" t="s">
        <v>30037</v>
      </c>
      <c r="AA4462">
        <v>0.7266339217009179</v>
      </c>
      <c r="AB4462" t="str">
        <f>HYPERLINK("Melting_Curves/meltCurve_Q8N9T8_KRI1.pdf", "Melting_Curves/meltCurve_Q8N9T8_KRI1.pdf")</f>
        <v>Melting_Curves/meltCurve_Q8N9T8_KRI1.pdf</v>
      </c>
    </row>
    <row r="4463" spans="1:28" x14ac:dyDescent="0.25">
      <c r="A4463" t="s">
        <v>4467</v>
      </c>
      <c r="B4463">
        <v>0.99673306730245903</v>
      </c>
      <c r="C4463">
        <v>1.0689062142586701</v>
      </c>
      <c r="D4463">
        <v>1.0168897258290099</v>
      </c>
      <c r="E4463">
        <v>0.95354848239763501</v>
      </c>
      <c r="F4463">
        <v>0.72302336596078198</v>
      </c>
      <c r="G4463">
        <v>0.45206299493987101</v>
      </c>
      <c r="H4463">
        <v>0.26709322698590299</v>
      </c>
      <c r="I4463">
        <v>0.18628959624647701</v>
      </c>
      <c r="J4463">
        <v>0.17882044015926499</v>
      </c>
      <c r="K4463">
        <v>0.18576782460601299</v>
      </c>
      <c r="L4463">
        <v>1261.4780676933001</v>
      </c>
      <c r="M4463">
        <v>22.923215681363999</v>
      </c>
      <c r="N4463">
        <v>56.052685207553502</v>
      </c>
      <c r="O4463">
        <v>54.616934831496998</v>
      </c>
      <c r="P4463">
        <v>-8.7005268742649799E-2</v>
      </c>
      <c r="Q4463">
        <v>0.17081963498111599</v>
      </c>
      <c r="R4463">
        <v>0.99495762135332899</v>
      </c>
      <c r="S4463" t="s">
        <v>10915</v>
      </c>
      <c r="T4463" t="s">
        <v>12902</v>
      </c>
      <c r="U4463" t="s">
        <v>12902</v>
      </c>
      <c r="V4463" t="s">
        <v>12902</v>
      </c>
      <c r="W4463" t="s">
        <v>17318</v>
      </c>
      <c r="X4463">
        <v>5</v>
      </c>
      <c r="Y4463" t="s">
        <v>23622</v>
      </c>
      <c r="Z4463" t="s">
        <v>30038</v>
      </c>
      <c r="AA4463">
        <v>0.59514857719347358</v>
      </c>
      <c r="AB4463" t="str">
        <f>HYPERLINK("Melting_Curves/meltCurve_Q8N9V3_WDSUB1.pdf", "Melting_Curves/meltCurve_Q8N9V3_WDSUB1.pdf")</f>
        <v>Melting_Curves/meltCurve_Q8N9V3_WDSUB1.pdf</v>
      </c>
    </row>
    <row r="4464" spans="1:28" x14ac:dyDescent="0.25">
      <c r="A4464" t="s">
        <v>4468</v>
      </c>
      <c r="B4464">
        <v>0.99673306730245903</v>
      </c>
      <c r="C4464">
        <v>0.94089058173208695</v>
      </c>
      <c r="D4464">
        <v>0.91725541055703297</v>
      </c>
      <c r="E4464">
        <v>0.693500135077876</v>
      </c>
      <c r="F4464">
        <v>0.56642497576151096</v>
      </c>
      <c r="G4464">
        <v>0.38404062298002301</v>
      </c>
      <c r="H4464">
        <v>0.27878682244278302</v>
      </c>
      <c r="I4464">
        <v>0.137861240229393</v>
      </c>
      <c r="J4464">
        <v>0.168137289616868</v>
      </c>
      <c r="K4464">
        <v>0.200139748934242</v>
      </c>
      <c r="L4464">
        <v>679.45439405364004</v>
      </c>
      <c r="M4464">
        <v>12.8583293076969</v>
      </c>
      <c r="N4464">
        <v>54.0069933659247</v>
      </c>
      <c r="O4464">
        <v>51.612451605322804</v>
      </c>
      <c r="P4464">
        <v>-5.4747539898170001E-2</v>
      </c>
      <c r="Q4464">
        <v>0.12115069760769701</v>
      </c>
      <c r="R4464">
        <v>0.98983787970084303</v>
      </c>
      <c r="S4464" t="s">
        <v>10916</v>
      </c>
      <c r="T4464" t="s">
        <v>12902</v>
      </c>
      <c r="U4464" t="s">
        <v>12902</v>
      </c>
      <c r="V4464" t="s">
        <v>12902</v>
      </c>
      <c r="W4464" t="s">
        <v>17319</v>
      </c>
      <c r="X4464">
        <v>3</v>
      </c>
      <c r="Y4464" t="s">
        <v>23623</v>
      </c>
      <c r="Z4464" t="s">
        <v>30039</v>
      </c>
      <c r="AA4464">
        <v>0.52068024709656691</v>
      </c>
      <c r="AB4464" t="str">
        <f>HYPERLINK("Melting_Curves/meltCurve_Q8NAT1_GTDC2.pdf", "Melting_Curves/meltCurve_Q8NAT1_GTDC2.pdf")</f>
        <v>Melting_Curves/meltCurve_Q8NAT1_GTDC2.pdf</v>
      </c>
    </row>
    <row r="4465" spans="1:28" x14ac:dyDescent="0.25">
      <c r="A4465" t="s">
        <v>4469</v>
      </c>
      <c r="B4465">
        <v>0.99673306730245903</v>
      </c>
      <c r="C4465">
        <v>0.93412829182272406</v>
      </c>
      <c r="D4465">
        <v>0.84635619206498103</v>
      </c>
      <c r="E4465">
        <v>0.62405889350429999</v>
      </c>
      <c r="F4465">
        <v>0.24677662535703099</v>
      </c>
      <c r="G4465">
        <v>0.15183103747964699</v>
      </c>
      <c r="H4465">
        <v>9.0551158743894397E-2</v>
      </c>
      <c r="I4465">
        <v>7.8687400711295902E-2</v>
      </c>
      <c r="J4465">
        <v>7.8619111836393293E-2</v>
      </c>
      <c r="K4465">
        <v>6.2109362360227197E-2</v>
      </c>
      <c r="L4465">
        <v>1012.77614859482</v>
      </c>
      <c r="M4465">
        <v>20.201591622075199</v>
      </c>
      <c r="N4465">
        <v>50.473975489611803</v>
      </c>
      <c r="O4465">
        <v>49.6499910433945</v>
      </c>
      <c r="P4465">
        <v>-9.52434535526437E-2</v>
      </c>
      <c r="Q4465">
        <v>6.3699935355621004E-2</v>
      </c>
      <c r="R4465">
        <v>0.996204640609614</v>
      </c>
      <c r="S4465" t="s">
        <v>10917</v>
      </c>
      <c r="T4465" t="s">
        <v>12902</v>
      </c>
      <c r="U4465" t="s">
        <v>12902</v>
      </c>
      <c r="V4465" t="s">
        <v>12902</v>
      </c>
      <c r="W4465" t="s">
        <v>17320</v>
      </c>
      <c r="X4465">
        <v>3</v>
      </c>
      <c r="Y4465" t="s">
        <v>23624</v>
      </c>
      <c r="Z4465" t="s">
        <v>30040</v>
      </c>
      <c r="AA4465">
        <v>0.39274284192190628</v>
      </c>
      <c r="AB4465" t="str">
        <f>HYPERLINK("Melting_Curves/meltCurve_Q8NAV1_PRPF38A.pdf", "Melting_Curves/meltCurve_Q8NAV1_PRPF38A.pdf")</f>
        <v>Melting_Curves/meltCurve_Q8NAV1_PRPF38A.pdf</v>
      </c>
    </row>
    <row r="4466" spans="1:28" x14ac:dyDescent="0.25">
      <c r="A4466" t="s">
        <v>4470</v>
      </c>
      <c r="B4466">
        <v>0.99673306730245903</v>
      </c>
      <c r="C4466">
        <v>0.98402830339331904</v>
      </c>
      <c r="D4466">
        <v>0.90042870518266704</v>
      </c>
      <c r="E4466">
        <v>0.75530873963048195</v>
      </c>
      <c r="F4466">
        <v>0.39143137345316997</v>
      </c>
      <c r="G4466">
        <v>0.25809228772774401</v>
      </c>
      <c r="H4466">
        <v>0.148169716310147</v>
      </c>
      <c r="I4466">
        <v>0.159811882737842</v>
      </c>
      <c r="J4466">
        <v>0.19467712632762299</v>
      </c>
      <c r="K4466">
        <v>0.185669887953086</v>
      </c>
      <c r="L4466">
        <v>1190.21337540524</v>
      </c>
      <c r="M4466">
        <v>23.266369659872399</v>
      </c>
      <c r="N4466">
        <v>52.060640414762503</v>
      </c>
      <c r="O4466">
        <v>50.782549430027103</v>
      </c>
      <c r="P4466">
        <v>-9.5495117489162007E-2</v>
      </c>
      <c r="Q4466">
        <v>0.166281985953567</v>
      </c>
      <c r="R4466">
        <v>0.99525979524067798</v>
      </c>
      <c r="S4466" t="s">
        <v>10918</v>
      </c>
      <c r="T4466" t="s">
        <v>12902</v>
      </c>
      <c r="U4466" t="s">
        <v>12902</v>
      </c>
      <c r="V4466" t="s">
        <v>12902</v>
      </c>
      <c r="W4466" t="s">
        <v>17321</v>
      </c>
      <c r="X4466">
        <v>3</v>
      </c>
      <c r="Y4466" t="s">
        <v>23625</v>
      </c>
      <c r="Z4466" t="s">
        <v>30041</v>
      </c>
      <c r="AA4466">
        <v>0.48499142997578709</v>
      </c>
      <c r="AB4466" t="str">
        <f>HYPERLINK("Melting_Curves/meltCurve_Q8NAX2_C1orf172.pdf", "Melting_Curves/meltCurve_Q8NAX2_C1orf172.pdf")</f>
        <v>Melting_Curves/meltCurve_Q8NAX2_C1orf172.pdf</v>
      </c>
    </row>
    <row r="4467" spans="1:28" x14ac:dyDescent="0.25">
      <c r="A4467" t="s">
        <v>4471</v>
      </c>
      <c r="B4467">
        <v>0.99673306730245903</v>
      </c>
      <c r="C4467">
        <v>0.92604636515148298</v>
      </c>
      <c r="D4467">
        <v>0.85583041113902503</v>
      </c>
      <c r="E4467">
        <v>0.67766780881720701</v>
      </c>
      <c r="F4467">
        <v>0.47092673453469902</v>
      </c>
      <c r="G4467">
        <v>0.33746408642164499</v>
      </c>
      <c r="H4467">
        <v>0.241229428602248</v>
      </c>
      <c r="I4467">
        <v>0.23278286453729799</v>
      </c>
      <c r="J4467">
        <v>0.28481821630927101</v>
      </c>
      <c r="K4467">
        <v>0.287116992544037</v>
      </c>
      <c r="L4467">
        <v>823.86823592906001</v>
      </c>
      <c r="M4467">
        <v>16.390250116262099</v>
      </c>
      <c r="N4467">
        <v>52.390763192878197</v>
      </c>
      <c r="O4467">
        <v>49.535363116120898</v>
      </c>
      <c r="P4467">
        <v>-6.2638996610046294E-2</v>
      </c>
      <c r="Q4467">
        <v>0.24281227248645601</v>
      </c>
      <c r="R4467">
        <v>0.99209888699558402</v>
      </c>
      <c r="S4467" t="s">
        <v>10919</v>
      </c>
      <c r="T4467" t="s">
        <v>12902</v>
      </c>
      <c r="U4467" t="s">
        <v>12902</v>
      </c>
      <c r="V4467" t="s">
        <v>12902</v>
      </c>
      <c r="W4467" t="s">
        <v>17322</v>
      </c>
      <c r="X4467">
        <v>4</v>
      </c>
      <c r="Y4467" t="s">
        <v>23626</v>
      </c>
      <c r="Z4467" t="s">
        <v>30042</v>
      </c>
      <c r="AA4467">
        <v>0.51721065286689027</v>
      </c>
      <c r="AB4467" t="str">
        <f>HYPERLINK("Melting_Curves/meltCurve_Q8NB15_2_ZNF511.pdf", "Melting_Curves/meltCurve_Q8NB15_2_ZNF511.pdf")</f>
        <v>Melting_Curves/meltCurve_Q8NB15_2_ZNF511.pdf</v>
      </c>
    </row>
    <row r="4468" spans="1:28" x14ac:dyDescent="0.25">
      <c r="A4468" t="s">
        <v>4472</v>
      </c>
      <c r="B4468">
        <v>0.99673306730245903</v>
      </c>
      <c r="C4468">
        <v>1.0004597903291601</v>
      </c>
      <c r="D4468">
        <v>0.87556127566751296</v>
      </c>
      <c r="E4468">
        <v>0.64162447705216397</v>
      </c>
      <c r="F4468">
        <v>0.190359002273807</v>
      </c>
      <c r="G4468">
        <v>0.12984690135424101</v>
      </c>
      <c r="H4468">
        <v>8.5281935448275406E-2</v>
      </c>
      <c r="I4468">
        <v>6.4820867985416905E-2</v>
      </c>
      <c r="J4468">
        <v>5.7847113678721203E-2</v>
      </c>
      <c r="K4468">
        <v>4.30480320143177E-2</v>
      </c>
      <c r="L4468">
        <v>1327.5037255684299</v>
      </c>
      <c r="M4468">
        <v>26.4369423095401</v>
      </c>
      <c r="N4468">
        <v>50.457201731612301</v>
      </c>
      <c r="O4468">
        <v>49.929278949756402</v>
      </c>
      <c r="P4468">
        <v>-0.124453682179522</v>
      </c>
      <c r="Q4468">
        <v>5.9828102239624897E-2</v>
      </c>
      <c r="R4468">
        <v>0.995615765754994</v>
      </c>
      <c r="S4468" t="s">
        <v>10920</v>
      </c>
      <c r="T4468" t="s">
        <v>12902</v>
      </c>
      <c r="U4468" t="s">
        <v>12902</v>
      </c>
      <c r="V4468" t="s">
        <v>12902</v>
      </c>
      <c r="W4468" t="s">
        <v>17323</v>
      </c>
      <c r="X4468">
        <v>11</v>
      </c>
      <c r="Y4468" t="s">
        <v>23627</v>
      </c>
      <c r="Z4468" t="s">
        <v>30043</v>
      </c>
      <c r="AA4468">
        <v>0.38745287982362758</v>
      </c>
      <c r="AB4468" t="str">
        <f>HYPERLINK("Melting_Curves/meltCurve_Q8NB16_MLKL.pdf", "Melting_Curves/meltCurve_Q8NB16_MLKL.pdf")</f>
        <v>Melting_Curves/meltCurve_Q8NB16_MLKL.pdf</v>
      </c>
    </row>
    <row r="4469" spans="1:28" x14ac:dyDescent="0.25">
      <c r="A4469" t="s">
        <v>4473</v>
      </c>
      <c r="B4469">
        <v>0.99673306730245903</v>
      </c>
      <c r="C4469">
        <v>1.0006826417388599</v>
      </c>
      <c r="D4469">
        <v>1.0129172152154899</v>
      </c>
      <c r="E4469">
        <v>1.0422117667080599</v>
      </c>
      <c r="F4469">
        <v>0.94170094682305805</v>
      </c>
      <c r="G4469">
        <v>0.75393011037044599</v>
      </c>
      <c r="H4469">
        <v>0.45620876577590203</v>
      </c>
      <c r="I4469">
        <v>0.367160941961448</v>
      </c>
      <c r="J4469">
        <v>0.36340383151588801</v>
      </c>
      <c r="K4469">
        <v>0.25432409190740302</v>
      </c>
      <c r="L4469">
        <v>1517.6106112725799</v>
      </c>
      <c r="M4469">
        <v>26.091437308734498</v>
      </c>
      <c r="N4469">
        <v>60.225117891352703</v>
      </c>
      <c r="O4469">
        <v>57.8266287548891</v>
      </c>
      <c r="P4469">
        <v>-7.9504891325786101E-2</v>
      </c>
      <c r="Q4469">
        <v>0.29517909255673902</v>
      </c>
      <c r="R4469">
        <v>0.99185247611455896</v>
      </c>
      <c r="S4469" t="s">
        <v>10921</v>
      </c>
      <c r="T4469" t="s">
        <v>12902</v>
      </c>
      <c r="U4469" t="s">
        <v>12902</v>
      </c>
      <c r="V4469" t="s">
        <v>12902</v>
      </c>
      <c r="W4469" t="s">
        <v>17324</v>
      </c>
      <c r="X4469">
        <v>4</v>
      </c>
      <c r="Y4469" t="s">
        <v>23628</v>
      </c>
      <c r="Z4469" t="s">
        <v>30044</v>
      </c>
      <c r="AA4469">
        <v>0.727680346332508</v>
      </c>
      <c r="AB4469" t="str">
        <f>HYPERLINK("Melting_Curves/meltCurve_Q8NB37_PDDC1.pdf", "Melting_Curves/meltCurve_Q8NB37_PDDC1.pdf")</f>
        <v>Melting_Curves/meltCurve_Q8NB37_PDDC1.pdf</v>
      </c>
    </row>
    <row r="4470" spans="1:28" x14ac:dyDescent="0.25">
      <c r="A4470" t="s">
        <v>4474</v>
      </c>
      <c r="B4470">
        <v>0.99673306730245903</v>
      </c>
      <c r="C4470">
        <v>0.97804667205104501</v>
      </c>
      <c r="D4470">
        <v>0.85274086423516604</v>
      </c>
      <c r="E4470">
        <v>0.65974992030871804</v>
      </c>
      <c r="F4470">
        <v>0.46984981613106003</v>
      </c>
      <c r="G4470">
        <v>0.382327867799859</v>
      </c>
      <c r="H4470">
        <v>0.28099865123517398</v>
      </c>
      <c r="I4470">
        <v>0.38651419326751901</v>
      </c>
      <c r="J4470">
        <v>0.47644032136274</v>
      </c>
      <c r="K4470">
        <v>0.41814448316080899</v>
      </c>
      <c r="L4470">
        <v>1105.0399487844199</v>
      </c>
      <c r="M4470">
        <v>22.636840474744101</v>
      </c>
      <c r="N4470">
        <v>52.189117097527003</v>
      </c>
      <c r="O4470">
        <v>48.439844101517998</v>
      </c>
      <c r="P4470">
        <v>-7.1940634847218798E-2</v>
      </c>
      <c r="Q4470">
        <v>0.38423875893857901</v>
      </c>
      <c r="R4470">
        <v>0.96278721417394197</v>
      </c>
      <c r="S4470" t="s">
        <v>10922</v>
      </c>
      <c r="T4470" t="s">
        <v>12902</v>
      </c>
      <c r="U4470" t="s">
        <v>12902</v>
      </c>
      <c r="V4470" t="s">
        <v>12902</v>
      </c>
      <c r="W4470" t="s">
        <v>17325</v>
      </c>
      <c r="X4470">
        <v>5</v>
      </c>
      <c r="Y4470" t="s">
        <v>23629</v>
      </c>
      <c r="Z4470" t="s">
        <v>30045</v>
      </c>
      <c r="AA4470">
        <v>0.5718854424528057</v>
      </c>
      <c r="AB4470" t="str">
        <f>HYPERLINK("Melting_Curves/meltCurve_Q8NB46_ANKRD52.pdf", "Melting_Curves/meltCurve_Q8NB46_ANKRD52.pdf")</f>
        <v>Melting_Curves/meltCurve_Q8NB46_ANKRD52.pdf</v>
      </c>
    </row>
    <row r="4471" spans="1:28" x14ac:dyDescent="0.25">
      <c r="A4471" t="s">
        <v>4475</v>
      </c>
      <c r="B4471">
        <v>0.99673306730245903</v>
      </c>
      <c r="C4471">
        <v>0.92640365881092701</v>
      </c>
      <c r="D4471">
        <v>0.83383005129748</v>
      </c>
      <c r="E4471">
        <v>0.61775991792275198</v>
      </c>
      <c r="F4471">
        <v>0.42761535320403399</v>
      </c>
      <c r="G4471">
        <v>0.25854058214807102</v>
      </c>
      <c r="H4471">
        <v>0.129427535709665</v>
      </c>
      <c r="I4471">
        <v>9.9636481462776497E-2</v>
      </c>
      <c r="J4471">
        <v>0.143834278837358</v>
      </c>
      <c r="K4471">
        <v>0.12677978299447501</v>
      </c>
      <c r="L4471">
        <v>730.96840186572797</v>
      </c>
      <c r="M4471">
        <v>14.3722258461774</v>
      </c>
      <c r="N4471">
        <v>51.547214627864697</v>
      </c>
      <c r="O4471">
        <v>49.905553855163703</v>
      </c>
      <c r="P4471">
        <v>-6.5726224145496795E-2</v>
      </c>
      <c r="Q4471">
        <v>8.7208356308242502E-2</v>
      </c>
      <c r="R4471">
        <v>0.99578323908779098</v>
      </c>
      <c r="S4471" t="s">
        <v>10923</v>
      </c>
      <c r="T4471" t="s">
        <v>12902</v>
      </c>
      <c r="U4471" t="s">
        <v>12902</v>
      </c>
      <c r="V4471" t="s">
        <v>12902</v>
      </c>
      <c r="W4471" t="s">
        <v>17326</v>
      </c>
      <c r="X4471">
        <v>6</v>
      </c>
      <c r="Y4471" t="s">
        <v>23630</v>
      </c>
      <c r="Z4471" t="s">
        <v>30046</v>
      </c>
      <c r="AA4471">
        <v>0.44036509455718198</v>
      </c>
      <c r="AB4471" t="str">
        <f>HYPERLINK("Melting_Curves/meltCurve_Q8NB49_2_ATP11C.pdf", "Melting_Curves/meltCurve_Q8NB49_2_ATP11C.pdf")</f>
        <v>Melting_Curves/meltCurve_Q8NB49_2_ATP11C.pdf</v>
      </c>
    </row>
    <row r="4472" spans="1:28" x14ac:dyDescent="0.25">
      <c r="A4472" t="s">
        <v>4476</v>
      </c>
      <c r="B4472">
        <v>0.99673306730245903</v>
      </c>
      <c r="C4472">
        <v>0.906339681520414</v>
      </c>
      <c r="D4472">
        <v>1.0339038827811899</v>
      </c>
      <c r="E4472">
        <v>1.2811547061939199</v>
      </c>
      <c r="F4472">
        <v>1.6021760717864599</v>
      </c>
      <c r="G4472">
        <v>1.06110911200943</v>
      </c>
      <c r="H4472">
        <v>0.206623343155415</v>
      </c>
      <c r="I4472">
        <v>0.17185817213900501</v>
      </c>
      <c r="J4472">
        <v>0.16643277744936999</v>
      </c>
      <c r="K4472">
        <v>0.145510369982987</v>
      </c>
      <c r="L4472">
        <v>15000</v>
      </c>
      <c r="M4472">
        <v>249.57225578969201</v>
      </c>
      <c r="N4472">
        <v>60.196756517706802</v>
      </c>
      <c r="O4472">
        <v>60.098975202366802</v>
      </c>
      <c r="P4472">
        <v>-0.870749151446926</v>
      </c>
      <c r="Q4472">
        <v>0.16126684170692901</v>
      </c>
      <c r="R4472">
        <v>0.82512659721801096</v>
      </c>
      <c r="S4472" t="s">
        <v>10924</v>
      </c>
      <c r="T4472" t="s">
        <v>12902</v>
      </c>
      <c r="U4472" t="s">
        <v>12902</v>
      </c>
      <c r="V4472" t="s">
        <v>12902</v>
      </c>
      <c r="W4472" t="s">
        <v>17327</v>
      </c>
      <c r="X4472">
        <v>12</v>
      </c>
      <c r="Y4472" t="s">
        <v>23631</v>
      </c>
      <c r="Z4472" t="s">
        <v>30047</v>
      </c>
      <c r="AA4472">
        <v>0.72338607846067049</v>
      </c>
      <c r="AB4472" t="str">
        <f>HYPERLINK("Melting_Curves/meltCurve_Q8NB90_SPATA5.pdf", "Melting_Curves/meltCurve_Q8NB90_SPATA5.pdf")</f>
        <v>Melting_Curves/meltCurve_Q8NB90_SPATA5.pdf</v>
      </c>
    </row>
    <row r="4473" spans="1:28" x14ac:dyDescent="0.25">
      <c r="A4473" t="s">
        <v>4477</v>
      </c>
      <c r="B4473">
        <v>0.99673306730245903</v>
      </c>
      <c r="C4473">
        <v>0.92444225195093799</v>
      </c>
      <c r="D4473">
        <v>0.824582829235318</v>
      </c>
      <c r="E4473">
        <v>0.63136966983078302</v>
      </c>
      <c r="F4473">
        <v>0.17734289376835299</v>
      </c>
      <c r="G4473">
        <v>9.96391518317995E-2</v>
      </c>
      <c r="H4473">
        <v>5.9613044565755897E-2</v>
      </c>
      <c r="I4473">
        <v>4.9201573913133199E-2</v>
      </c>
      <c r="J4473">
        <v>4.40040356508671E-2</v>
      </c>
      <c r="K4473">
        <v>3.6136193263726003E-2</v>
      </c>
      <c r="L4473">
        <v>1095.09311743644</v>
      </c>
      <c r="M4473">
        <v>21.888158450348801</v>
      </c>
      <c r="N4473">
        <v>50.186274733545602</v>
      </c>
      <c r="O4473">
        <v>49.619307213981301</v>
      </c>
      <c r="P4473">
        <v>-0.106679191379052</v>
      </c>
      <c r="Q4473">
        <v>3.2677507506453998E-2</v>
      </c>
      <c r="R4473">
        <v>0.99064643371899497</v>
      </c>
      <c r="S4473" t="s">
        <v>10925</v>
      </c>
      <c r="T4473" t="s">
        <v>12902</v>
      </c>
      <c r="U4473" t="s">
        <v>12902</v>
      </c>
      <c r="V4473" t="s">
        <v>12902</v>
      </c>
      <c r="W4473" t="s">
        <v>17328</v>
      </c>
      <c r="X4473">
        <v>13</v>
      </c>
      <c r="Y4473" t="s">
        <v>23632</v>
      </c>
      <c r="Z4473" t="s">
        <v>30048</v>
      </c>
      <c r="AA4473">
        <v>0.36740496043502407</v>
      </c>
      <c r="AB4473" t="str">
        <f>HYPERLINK("Melting_Curves/meltCurve_Q8NBF2_NHLRC2.pdf", "Melting_Curves/meltCurve_Q8NBF2_NHLRC2.pdf")</f>
        <v>Melting_Curves/meltCurve_Q8NBF2_NHLRC2.pdf</v>
      </c>
    </row>
    <row r="4474" spans="1:28" x14ac:dyDescent="0.25">
      <c r="A4474" t="s">
        <v>4478</v>
      </c>
      <c r="B4474">
        <v>0.99673306730245903</v>
      </c>
      <c r="C4474">
        <v>1.0024544684613099</v>
      </c>
      <c r="D4474">
        <v>0.94100249974499195</v>
      </c>
      <c r="E4474">
        <v>0.83412928704997702</v>
      </c>
      <c r="F4474">
        <v>0.48200074527256198</v>
      </c>
      <c r="G4474">
        <v>0.169924418283385</v>
      </c>
      <c r="H4474">
        <v>6.7926983726637302E-2</v>
      </c>
      <c r="I4474">
        <v>5.8711749224454102E-2</v>
      </c>
      <c r="J4474">
        <v>6.1655441646353601E-2</v>
      </c>
      <c r="K4474">
        <v>4.6659417863617797E-2</v>
      </c>
      <c r="L4474">
        <v>1302.93015601518</v>
      </c>
      <c r="M4474">
        <v>24.7064395016234</v>
      </c>
      <c r="N4474">
        <v>52.932962761939997</v>
      </c>
      <c r="O4474">
        <v>52.394624678803297</v>
      </c>
      <c r="P4474">
        <v>-0.11272233854994899</v>
      </c>
      <c r="Q4474">
        <v>4.3818635358305803E-2</v>
      </c>
      <c r="R4474">
        <v>0.99893169568437101</v>
      </c>
      <c r="S4474" t="s">
        <v>10926</v>
      </c>
      <c r="T4474" t="s">
        <v>12902</v>
      </c>
      <c r="U4474" t="s">
        <v>12902</v>
      </c>
      <c r="V4474" t="s">
        <v>12902</v>
      </c>
      <c r="W4474" t="s">
        <v>17329</v>
      </c>
      <c r="X4474">
        <v>7</v>
      </c>
      <c r="Y4474" t="s">
        <v>23633</v>
      </c>
      <c r="Z4474" t="s">
        <v>30049</v>
      </c>
      <c r="AA4474">
        <v>0.45874862291568608</v>
      </c>
      <c r="AB4474" t="str">
        <f>HYPERLINK("Melting_Curves/meltCurve_Q8NBF6_AVL9.pdf", "Melting_Curves/meltCurve_Q8NBF6_AVL9.pdf")</f>
        <v>Melting_Curves/meltCurve_Q8NBF6_AVL9.pdf</v>
      </c>
    </row>
    <row r="4475" spans="1:28" x14ac:dyDescent="0.25">
      <c r="A4475" t="s">
        <v>4479</v>
      </c>
      <c r="B4475">
        <v>0.99673306730245903</v>
      </c>
      <c r="C4475">
        <v>0.954162873493134</v>
      </c>
      <c r="D4475">
        <v>0.94303922495162396</v>
      </c>
      <c r="E4475">
        <v>0.75217536260252704</v>
      </c>
      <c r="F4475">
        <v>0.57275946755650597</v>
      </c>
      <c r="G4475">
        <v>0.36775570425187698</v>
      </c>
      <c r="H4475">
        <v>0.22664969893593201</v>
      </c>
      <c r="I4475">
        <v>0.21258927161987301</v>
      </c>
      <c r="J4475">
        <v>0.166163609845072</v>
      </c>
      <c r="K4475">
        <v>9.5423739865830498E-2</v>
      </c>
      <c r="L4475">
        <v>735.49054380920097</v>
      </c>
      <c r="M4475">
        <v>13.750300360968801</v>
      </c>
      <c r="N4475">
        <v>54.320111902174503</v>
      </c>
      <c r="O4475">
        <v>52.395781906201101</v>
      </c>
      <c r="P4475">
        <v>-5.9392879230042897E-2</v>
      </c>
      <c r="Q4475">
        <v>9.4857717973341193E-2</v>
      </c>
      <c r="R4475">
        <v>0.99624574652035403</v>
      </c>
      <c r="S4475" t="s">
        <v>10927</v>
      </c>
      <c r="T4475" t="s">
        <v>12902</v>
      </c>
      <c r="U4475" t="s">
        <v>12902</v>
      </c>
      <c r="V4475" t="s">
        <v>12902</v>
      </c>
      <c r="W4475" t="s">
        <v>17330</v>
      </c>
      <c r="X4475">
        <v>6</v>
      </c>
      <c r="Y4475" t="s">
        <v>23634</v>
      </c>
      <c r="Z4475" t="s">
        <v>30050</v>
      </c>
      <c r="AA4475">
        <v>0.52311104641256811</v>
      </c>
      <c r="AB4475" t="str">
        <f>HYPERLINK("Melting_Curves/meltCurve_Q8NBI6_XXYLT1.pdf", "Melting_Curves/meltCurve_Q8NBI6_XXYLT1.pdf")</f>
        <v>Melting_Curves/meltCurve_Q8NBI6_XXYLT1.pdf</v>
      </c>
    </row>
    <row r="4476" spans="1:28" x14ac:dyDescent="0.25">
      <c r="A4476" t="s">
        <v>4480</v>
      </c>
      <c r="B4476">
        <v>0.99673306730245903</v>
      </c>
      <c r="C4476">
        <v>0.93722996264415503</v>
      </c>
      <c r="D4476">
        <v>0.93602764678300698</v>
      </c>
      <c r="E4476">
        <v>0.87823146454745704</v>
      </c>
      <c r="F4476">
        <v>0.61498096921281897</v>
      </c>
      <c r="G4476">
        <v>0.46057962770595001</v>
      </c>
      <c r="H4476">
        <v>0.39914362976628898</v>
      </c>
      <c r="I4476">
        <v>0.56552607022794199</v>
      </c>
      <c r="J4476">
        <v>0.68144715835375003</v>
      </c>
      <c r="K4476">
        <v>0.77567084927193197</v>
      </c>
      <c r="L4476">
        <v>2489.6709002990601</v>
      </c>
      <c r="M4476">
        <v>49.323627810914601</v>
      </c>
      <c r="O4476">
        <v>50.393466987242697</v>
      </c>
      <c r="P4476">
        <v>-0.10339912563964999</v>
      </c>
      <c r="Q4476">
        <v>0.57743288737649401</v>
      </c>
      <c r="R4476">
        <v>0.74370931186867395</v>
      </c>
      <c r="S4476" t="s">
        <v>10928</v>
      </c>
      <c r="T4476" t="s">
        <v>12902</v>
      </c>
      <c r="U4476" t="s">
        <v>12902</v>
      </c>
      <c r="V4476" t="s">
        <v>12902</v>
      </c>
      <c r="W4476" t="s">
        <v>17331</v>
      </c>
      <c r="X4476">
        <v>5</v>
      </c>
      <c r="Y4476" t="s">
        <v>23635</v>
      </c>
      <c r="Z4476" t="s">
        <v>30051</v>
      </c>
      <c r="AA4476">
        <v>0.72596357633851061</v>
      </c>
      <c r="AB4476" t="str">
        <f>HYPERLINK("Melting_Curves/meltCurve_Q8NBJ4_2_GOLM1.pdf", "Melting_Curves/meltCurve_Q8NBJ4_2_GOLM1.pdf")</f>
        <v>Melting_Curves/meltCurve_Q8NBJ4_2_GOLM1.pdf</v>
      </c>
    </row>
    <row r="4477" spans="1:28" x14ac:dyDescent="0.25">
      <c r="A4477" t="s">
        <v>4481</v>
      </c>
      <c r="B4477">
        <v>0.99673306730245903</v>
      </c>
      <c r="C4477">
        <v>0.96704498441167197</v>
      </c>
      <c r="D4477">
        <v>0.98258486554164504</v>
      </c>
      <c r="E4477">
        <v>0.86125596523902304</v>
      </c>
      <c r="F4477">
        <v>0.45124761755501203</v>
      </c>
      <c r="G4477">
        <v>0.319539190131443</v>
      </c>
      <c r="H4477">
        <v>0.25207487954936098</v>
      </c>
      <c r="I4477">
        <v>0.199791518899055</v>
      </c>
      <c r="J4477">
        <v>0.17408422898748199</v>
      </c>
      <c r="K4477">
        <v>0.127795923336014</v>
      </c>
      <c r="L4477">
        <v>1313.2766249235899</v>
      </c>
      <c r="M4477">
        <v>25.152433116178599</v>
      </c>
      <c r="N4477">
        <v>53.177219003214702</v>
      </c>
      <c r="O4477">
        <v>51.886020942835103</v>
      </c>
      <c r="P4477">
        <v>-9.8994779499820898E-2</v>
      </c>
      <c r="Q4477">
        <v>0.18316009313954801</v>
      </c>
      <c r="R4477">
        <v>0.99076794603940899</v>
      </c>
      <c r="S4477" t="s">
        <v>10929</v>
      </c>
      <c r="T4477" t="s">
        <v>12902</v>
      </c>
      <c r="U4477" t="s">
        <v>12902</v>
      </c>
      <c r="V4477" t="s">
        <v>12902</v>
      </c>
      <c r="W4477" t="s">
        <v>17332</v>
      </c>
      <c r="X4477">
        <v>10</v>
      </c>
      <c r="Y4477" t="s">
        <v>23636</v>
      </c>
      <c r="Z4477" t="s">
        <v>30052</v>
      </c>
      <c r="AA4477">
        <v>0.52307317663222852</v>
      </c>
      <c r="AB4477" t="str">
        <f>HYPERLINK("Melting_Curves/meltCurve_Q8NBJ5_COLGALT1.pdf", "Melting_Curves/meltCurve_Q8NBJ5_COLGALT1.pdf")</f>
        <v>Melting_Curves/meltCurve_Q8NBJ5_COLGALT1.pdf</v>
      </c>
    </row>
    <row r="4478" spans="1:28" x14ac:dyDescent="0.25">
      <c r="A4478" t="s">
        <v>4482</v>
      </c>
      <c r="B4478">
        <v>0.99673306730245903</v>
      </c>
      <c r="C4478">
        <v>1.0133088314996299</v>
      </c>
      <c r="D4478">
        <v>0.91768377226724296</v>
      </c>
      <c r="E4478">
        <v>0.84890547840721498</v>
      </c>
      <c r="F4478">
        <v>0.72513102711755395</v>
      </c>
      <c r="G4478">
        <v>0.66390449910050697</v>
      </c>
      <c r="H4478">
        <v>0.37100577948402402</v>
      </c>
      <c r="I4478">
        <v>0.45997131519950502</v>
      </c>
      <c r="J4478">
        <v>0.774945920132462</v>
      </c>
      <c r="K4478">
        <v>0.63680525736562898</v>
      </c>
      <c r="L4478">
        <v>1087.63587626451</v>
      </c>
      <c r="M4478">
        <v>21.310427112109601</v>
      </c>
      <c r="O4478">
        <v>50.5946812161474</v>
      </c>
      <c r="P4478">
        <v>-4.5149182613397801E-2</v>
      </c>
      <c r="Q4478">
        <v>0.57124261515845598</v>
      </c>
      <c r="R4478">
        <v>0.73726340836000803</v>
      </c>
      <c r="S4478" t="s">
        <v>10930</v>
      </c>
      <c r="T4478" t="s">
        <v>12902</v>
      </c>
      <c r="U4478" t="s">
        <v>12902</v>
      </c>
      <c r="V4478" t="s">
        <v>12902</v>
      </c>
      <c r="W4478" t="s">
        <v>17333</v>
      </c>
      <c r="X4478">
        <v>4</v>
      </c>
      <c r="Y4478" t="s">
        <v>23637</v>
      </c>
      <c r="Z4478" t="s">
        <v>30053</v>
      </c>
      <c r="AA4478">
        <v>0.73427268421454028</v>
      </c>
      <c r="AB4478" t="str">
        <f>HYPERLINK("Melting_Curves/meltCurve_Q8NBK3_4_SUMF1.pdf", "Melting_Curves/meltCurve_Q8NBK3_4_SUMF1.pdf")</f>
        <v>Melting_Curves/meltCurve_Q8NBK3_4_SUMF1.pdf</v>
      </c>
    </row>
    <row r="4479" spans="1:28" x14ac:dyDescent="0.25">
      <c r="A4479" t="s">
        <v>4483</v>
      </c>
      <c r="B4479">
        <v>0.99673306730245903</v>
      </c>
      <c r="C4479">
        <v>1.02364942626328</v>
      </c>
      <c r="D4479">
        <v>0.97243331418711698</v>
      </c>
      <c r="E4479">
        <v>0.84046491315304706</v>
      </c>
      <c r="F4479">
        <v>0.75655637741107795</v>
      </c>
      <c r="G4479">
        <v>0.60542318865214495</v>
      </c>
      <c r="H4479">
        <v>0.44482791505405</v>
      </c>
      <c r="I4479">
        <v>0.41475791074358498</v>
      </c>
      <c r="J4479">
        <v>0.193137701050278</v>
      </c>
      <c r="K4479">
        <v>0.15989980034443901</v>
      </c>
      <c r="L4479">
        <v>589.96325855371003</v>
      </c>
      <c r="M4479">
        <v>9.9203995591248102</v>
      </c>
      <c r="N4479">
        <v>59.469696973786803</v>
      </c>
      <c r="O4479">
        <v>57.2045324506471</v>
      </c>
      <c r="P4479">
        <v>-4.3376695426099503E-2</v>
      </c>
      <c r="Q4479">
        <v>0</v>
      </c>
      <c r="R4479">
        <v>0.98506054666943799</v>
      </c>
      <c r="S4479" t="s">
        <v>10931</v>
      </c>
      <c r="T4479" t="s">
        <v>12902</v>
      </c>
      <c r="U4479" t="s">
        <v>12902</v>
      </c>
      <c r="V4479" t="s">
        <v>12902</v>
      </c>
      <c r="W4479" t="s">
        <v>17334</v>
      </c>
      <c r="X4479">
        <v>3</v>
      </c>
      <c r="Y4479" t="s">
        <v>23638</v>
      </c>
      <c r="Z4479" t="s">
        <v>30054</v>
      </c>
      <c r="AA4479">
        <v>0.64869149511789315</v>
      </c>
      <c r="AB4479" t="str">
        <f>HYPERLINK("Melting_Curves/meltCurve_Q8NBM4_2_UBAC2.pdf", "Melting_Curves/meltCurve_Q8NBM4_2_UBAC2.pdf")</f>
        <v>Melting_Curves/meltCurve_Q8NBM4_2_UBAC2.pdf</v>
      </c>
    </row>
    <row r="4480" spans="1:28" x14ac:dyDescent="0.25">
      <c r="A4480" t="s">
        <v>4484</v>
      </c>
      <c r="B4480">
        <v>0.99673306730245903</v>
      </c>
      <c r="C4480">
        <v>1.0034068952797901</v>
      </c>
      <c r="D4480">
        <v>1.02889402678714</v>
      </c>
      <c r="E4480">
        <v>0.99534427427945604</v>
      </c>
      <c r="F4480">
        <v>0.85447810268240898</v>
      </c>
      <c r="G4480">
        <v>0.79930340044516801</v>
      </c>
      <c r="H4480">
        <v>0.46661321354208801</v>
      </c>
      <c r="I4480">
        <v>0.23927605578514199</v>
      </c>
      <c r="J4480">
        <v>0.27264195031611899</v>
      </c>
      <c r="K4480">
        <v>0.24426896052212399</v>
      </c>
      <c r="L4480">
        <v>1392.53587333464</v>
      </c>
      <c r="M4480">
        <v>23.698905733997499</v>
      </c>
      <c r="N4480">
        <v>60.117666644198501</v>
      </c>
      <c r="O4480">
        <v>58.345915954761999</v>
      </c>
      <c r="P4480">
        <v>-8.0497668938600705E-2</v>
      </c>
      <c r="Q4480">
        <v>0.20728288152604299</v>
      </c>
      <c r="R4480">
        <v>0.98538247024682302</v>
      </c>
      <c r="S4480" t="s">
        <v>10932</v>
      </c>
      <c r="T4480" t="s">
        <v>12902</v>
      </c>
      <c r="U4480" t="s">
        <v>12902</v>
      </c>
      <c r="V4480" t="s">
        <v>12902</v>
      </c>
      <c r="W4480" t="s">
        <v>17335</v>
      </c>
      <c r="X4480">
        <v>8</v>
      </c>
      <c r="Y4480" t="s">
        <v>23639</v>
      </c>
      <c r="Z4480" t="s">
        <v>30055</v>
      </c>
      <c r="AA4480">
        <v>0.71002254179567714</v>
      </c>
      <c r="AB4480" t="str">
        <f>HYPERLINK("Melting_Curves/meltCurve_Q8NBM8_PCYOX1L.pdf", "Melting_Curves/meltCurve_Q8NBM8_PCYOX1L.pdf")</f>
        <v>Melting_Curves/meltCurve_Q8NBM8_PCYOX1L.pdf</v>
      </c>
    </row>
    <row r="4481" spans="1:28" x14ac:dyDescent="0.25">
      <c r="A4481" t="s">
        <v>4485</v>
      </c>
      <c r="B4481">
        <v>0.99673306730245903</v>
      </c>
      <c r="C4481">
        <v>0.96272188835684802</v>
      </c>
      <c r="D4481">
        <v>0.93830747144660298</v>
      </c>
      <c r="E4481">
        <v>0.89164156800363004</v>
      </c>
      <c r="F4481">
        <v>0.73929608359708499</v>
      </c>
      <c r="G4481">
        <v>0.67044692945529705</v>
      </c>
      <c r="H4481">
        <v>0.54360599528527298</v>
      </c>
      <c r="I4481">
        <v>0.50096474934376301</v>
      </c>
      <c r="J4481">
        <v>0.229366649323195</v>
      </c>
      <c r="K4481">
        <v>0.150513251561914</v>
      </c>
      <c r="L4481">
        <v>575.35131749037703</v>
      </c>
      <c r="M4481">
        <v>9.4453169362250993</v>
      </c>
      <c r="N4481">
        <v>60.9139100611944</v>
      </c>
      <c r="O4481">
        <v>58.3707841780002</v>
      </c>
      <c r="P4481">
        <v>-4.0478418185260601E-2</v>
      </c>
      <c r="Q4481">
        <v>0</v>
      </c>
      <c r="R4481">
        <v>0.96550473246315605</v>
      </c>
      <c r="S4481" t="s">
        <v>10933</v>
      </c>
      <c r="T4481" t="s">
        <v>12902</v>
      </c>
      <c r="U4481" t="s">
        <v>12902</v>
      </c>
      <c r="V4481" t="s">
        <v>12902</v>
      </c>
      <c r="W4481" t="s">
        <v>17336</v>
      </c>
      <c r="X4481">
        <v>6</v>
      </c>
      <c r="Y4481" t="s">
        <v>23640</v>
      </c>
      <c r="Z4481" t="s">
        <v>30056</v>
      </c>
      <c r="AA4481">
        <v>0.68268723687714983</v>
      </c>
      <c r="AB4481" t="str">
        <f>HYPERLINK("Melting_Curves/meltCurve_Q8NBN3_TMEM87A.pdf", "Melting_Curves/meltCurve_Q8NBN3_TMEM87A.pdf")</f>
        <v>Melting_Curves/meltCurve_Q8NBN3_TMEM87A.pdf</v>
      </c>
    </row>
    <row r="4482" spans="1:28" x14ac:dyDescent="0.25">
      <c r="A4482" t="s">
        <v>4486</v>
      </c>
      <c r="B4482">
        <v>0.99673306730245903</v>
      </c>
      <c r="C4482">
        <v>0.97886406257121095</v>
      </c>
      <c r="D4482">
        <v>0.797230248301946</v>
      </c>
      <c r="E4482">
        <v>0.473153971998375</v>
      </c>
      <c r="F4482">
        <v>0.16550169427077799</v>
      </c>
      <c r="G4482">
        <v>0.102264758073924</v>
      </c>
      <c r="H4482">
        <v>6.1193507427582901E-2</v>
      </c>
      <c r="I4482">
        <v>6.0983405198014699E-2</v>
      </c>
      <c r="J4482">
        <v>6.5620458135140197E-2</v>
      </c>
      <c r="K4482">
        <v>5.8069537692104101E-2</v>
      </c>
      <c r="L4482">
        <v>1107.42582856641</v>
      </c>
      <c r="M4482">
        <v>22.645399924798099</v>
      </c>
      <c r="N4482">
        <v>49.161050761370703</v>
      </c>
      <c r="O4482">
        <v>48.526356540667997</v>
      </c>
      <c r="P4482">
        <v>-0.110127791575744</v>
      </c>
      <c r="Q4482">
        <v>5.6056841306468201E-2</v>
      </c>
      <c r="R4482">
        <v>0.99883557115454602</v>
      </c>
      <c r="S4482" t="s">
        <v>10934</v>
      </c>
      <c r="T4482" t="s">
        <v>12902</v>
      </c>
      <c r="U4482" t="s">
        <v>12902</v>
      </c>
      <c r="V4482" t="s">
        <v>12902</v>
      </c>
      <c r="W4482" t="s">
        <v>17337</v>
      </c>
      <c r="X4482">
        <v>8</v>
      </c>
      <c r="Y4482" t="s">
        <v>23641</v>
      </c>
      <c r="Z4482" t="s">
        <v>30057</v>
      </c>
      <c r="AA4482">
        <v>0.34643924729512948</v>
      </c>
      <c r="AB4482" t="str">
        <f>HYPERLINK("Melting_Curves/meltCurve_Q8NBN7_RDH13.pdf", "Melting_Curves/meltCurve_Q8NBN7_RDH13.pdf")</f>
        <v>Melting_Curves/meltCurve_Q8NBN7_RDH13.pdf</v>
      </c>
    </row>
    <row r="4483" spans="1:28" x14ac:dyDescent="0.25">
      <c r="A4483" t="s">
        <v>4487</v>
      </c>
      <c r="B4483">
        <v>0.99673306730245903</v>
      </c>
      <c r="C4483">
        <v>0.93789839690242705</v>
      </c>
      <c r="D4483">
        <v>0.77324048438870296</v>
      </c>
      <c r="E4483">
        <v>0.54299669601107703</v>
      </c>
      <c r="F4483">
        <v>0.223307097114162</v>
      </c>
      <c r="G4483">
        <v>0.14655535058012401</v>
      </c>
      <c r="H4483">
        <v>0.108813010406155</v>
      </c>
      <c r="I4483">
        <v>0.104272551116578</v>
      </c>
      <c r="J4483">
        <v>0.104023152645234</v>
      </c>
      <c r="K4483">
        <v>8.1841933375266698E-2</v>
      </c>
      <c r="L4483">
        <v>922.81337710354103</v>
      </c>
      <c r="M4483">
        <v>18.787036571467699</v>
      </c>
      <c r="N4483">
        <v>49.6073597526809</v>
      </c>
      <c r="O4483">
        <v>48.573308393199099</v>
      </c>
      <c r="P4483">
        <v>-8.8544840795601307E-2</v>
      </c>
      <c r="Q4483">
        <v>8.4318268952537107E-2</v>
      </c>
      <c r="R4483">
        <v>0.99662680979023099</v>
      </c>
      <c r="S4483" t="s">
        <v>10935</v>
      </c>
      <c r="T4483" t="s">
        <v>12902</v>
      </c>
      <c r="U4483" t="s">
        <v>12902</v>
      </c>
      <c r="V4483" t="s">
        <v>12902</v>
      </c>
      <c r="W4483" t="s">
        <v>17338</v>
      </c>
      <c r="X4483">
        <v>4</v>
      </c>
      <c r="Y4483" t="s">
        <v>23642</v>
      </c>
      <c r="Z4483" t="s">
        <v>30058</v>
      </c>
      <c r="AA4483">
        <v>0.37720826084611581</v>
      </c>
      <c r="AB4483" t="str">
        <f>HYPERLINK("Melting_Curves/meltCurve_Q8NBP0_TTC13.pdf", "Melting_Curves/meltCurve_Q8NBP0_TTC13.pdf")</f>
        <v>Melting_Curves/meltCurve_Q8NBP0_TTC13.pdf</v>
      </c>
    </row>
    <row r="4484" spans="1:28" x14ac:dyDescent="0.25">
      <c r="A4484" t="s">
        <v>4488</v>
      </c>
      <c r="B4484">
        <v>0.99673306730245903</v>
      </c>
      <c r="C4484">
        <v>0.99179866038728604</v>
      </c>
      <c r="D4484">
        <v>0.95280121101174597</v>
      </c>
      <c r="E4484">
        <v>0.86718432173766002</v>
      </c>
      <c r="F4484">
        <v>0.61887835811941805</v>
      </c>
      <c r="G4484">
        <v>0.398361143619689</v>
      </c>
      <c r="H4484">
        <v>0.22915480661971999</v>
      </c>
      <c r="I4484">
        <v>0.21123986689948701</v>
      </c>
      <c r="J4484">
        <v>0.27080233713248397</v>
      </c>
      <c r="K4484">
        <v>0.214225940824429</v>
      </c>
      <c r="L4484">
        <v>1130.5883869924701</v>
      </c>
      <c r="M4484">
        <v>21.196151627648501</v>
      </c>
      <c r="N4484">
        <v>54.766954506439703</v>
      </c>
      <c r="O4484">
        <v>52.871361407713401</v>
      </c>
      <c r="P4484">
        <v>-7.8954020859388199E-2</v>
      </c>
      <c r="Q4484">
        <v>0.21225349601958601</v>
      </c>
      <c r="R4484">
        <v>0.99534868850451097</v>
      </c>
      <c r="S4484" t="s">
        <v>10936</v>
      </c>
      <c r="T4484" t="s">
        <v>12902</v>
      </c>
      <c r="U4484" t="s">
        <v>12902</v>
      </c>
      <c r="V4484" t="s">
        <v>12902</v>
      </c>
      <c r="W4484" t="s">
        <v>17339</v>
      </c>
      <c r="X4484">
        <v>5</v>
      </c>
      <c r="Y4484" t="s">
        <v>23643</v>
      </c>
      <c r="Z4484" t="s">
        <v>30059</v>
      </c>
      <c r="AA4484">
        <v>0.57230216813940926</v>
      </c>
      <c r="AB4484" t="str">
        <f>HYPERLINK("Melting_Curves/meltCurve_Q8NBP7_PCSK9.pdf", "Melting_Curves/meltCurve_Q8NBP7_PCSK9.pdf")</f>
        <v>Melting_Curves/meltCurve_Q8NBP7_PCSK9.pdf</v>
      </c>
    </row>
    <row r="4485" spans="1:28" x14ac:dyDescent="0.25">
      <c r="A4485" t="s">
        <v>4489</v>
      </c>
      <c r="B4485">
        <v>0.99673306730245903</v>
      </c>
      <c r="C4485">
        <v>1.0021807643277501</v>
      </c>
      <c r="D4485">
        <v>0.84452231597525096</v>
      </c>
      <c r="E4485">
        <v>0.76722656937507605</v>
      </c>
      <c r="F4485">
        <v>0.408209012975493</v>
      </c>
      <c r="G4485">
        <v>0.193508292446811</v>
      </c>
      <c r="H4485">
        <v>0.119824771754517</v>
      </c>
      <c r="I4485">
        <v>0.117528517708165</v>
      </c>
      <c r="J4485">
        <v>0.128348512117098</v>
      </c>
      <c r="K4485">
        <v>0.160683394534966</v>
      </c>
      <c r="L4485">
        <v>1102.57365011352</v>
      </c>
      <c r="M4485">
        <v>21.433756779859198</v>
      </c>
      <c r="N4485">
        <v>52.075336704562503</v>
      </c>
      <c r="O4485">
        <v>50.999493881557001</v>
      </c>
      <c r="P4485">
        <v>-9.2998948040719703E-2</v>
      </c>
      <c r="Q4485">
        <v>0.11489495171915499</v>
      </c>
      <c r="R4485">
        <v>0.98982260653466203</v>
      </c>
      <c r="S4485" t="s">
        <v>10937</v>
      </c>
      <c r="T4485" t="s">
        <v>12902</v>
      </c>
      <c r="U4485" t="s">
        <v>12902</v>
      </c>
      <c r="V4485" t="s">
        <v>12902</v>
      </c>
      <c r="W4485" t="s">
        <v>17340</v>
      </c>
      <c r="X4485">
        <v>4</v>
      </c>
      <c r="Y4485" t="s">
        <v>23644</v>
      </c>
      <c r="Z4485" t="s">
        <v>30060</v>
      </c>
      <c r="AA4485">
        <v>0.4632348274995427</v>
      </c>
      <c r="AB4485" t="str">
        <f>HYPERLINK("Melting_Curves/meltCurve_Q8NBU5_ATAD1.pdf", "Melting_Curves/meltCurve_Q8NBU5_ATAD1.pdf")</f>
        <v>Melting_Curves/meltCurve_Q8NBU5_ATAD1.pdf</v>
      </c>
    </row>
    <row r="4486" spans="1:28" x14ac:dyDescent="0.25">
      <c r="A4486" t="s">
        <v>4490</v>
      </c>
      <c r="B4486">
        <v>0.99673306730245903</v>
      </c>
      <c r="C4486">
        <v>1.0458768479069001</v>
      </c>
      <c r="D4486">
        <v>0.72875543908297302</v>
      </c>
      <c r="E4486">
        <v>0.74764426220877001</v>
      </c>
      <c r="F4486">
        <v>0.34418975310535599</v>
      </c>
      <c r="G4486">
        <v>0.15516830639729701</v>
      </c>
      <c r="H4486">
        <v>7.3264500805428304E-2</v>
      </c>
      <c r="I4486">
        <v>6.2662030534663807E-2</v>
      </c>
      <c r="J4486">
        <v>6.2205180135272403E-2</v>
      </c>
      <c r="K4486">
        <v>5.2080237455033103E-2</v>
      </c>
      <c r="L4486">
        <v>875.24357863831403</v>
      </c>
      <c r="M4486">
        <v>17.078315608533298</v>
      </c>
      <c r="N4486">
        <v>51.423827779595399</v>
      </c>
      <c r="O4486">
        <v>50.561640888213503</v>
      </c>
      <c r="P4486">
        <v>-8.2064042811022003E-2</v>
      </c>
      <c r="Q4486">
        <v>2.8231836995529402E-2</v>
      </c>
      <c r="R4486">
        <v>0.97307132107654903</v>
      </c>
      <c r="S4486" t="s">
        <v>10938</v>
      </c>
      <c r="T4486" t="s">
        <v>12902</v>
      </c>
      <c r="U4486" t="s">
        <v>12902</v>
      </c>
      <c r="V4486" t="s">
        <v>12902</v>
      </c>
      <c r="W4486" t="s">
        <v>17341</v>
      </c>
      <c r="X4486">
        <v>17</v>
      </c>
      <c r="Y4486" t="s">
        <v>23645</v>
      </c>
      <c r="Z4486" t="s">
        <v>30061</v>
      </c>
      <c r="AA4486">
        <v>0.41051426585041878</v>
      </c>
      <c r="AB4486" t="str">
        <f>HYPERLINK("Melting_Curves/meltCurve_Q8NBX0_SCCPDH.pdf", "Melting_Curves/meltCurve_Q8NBX0_SCCPDH.pdf")</f>
        <v>Melting_Curves/meltCurve_Q8NBX0_SCCPDH.pdf</v>
      </c>
    </row>
    <row r="4487" spans="1:28" x14ac:dyDescent="0.25">
      <c r="A4487" t="s">
        <v>4491</v>
      </c>
      <c r="B4487">
        <v>0.99673306730245903</v>
      </c>
      <c r="C4487">
        <v>0.84038349583126604</v>
      </c>
      <c r="D4487">
        <v>0.44076892227018899</v>
      </c>
      <c r="E4487">
        <v>0.62228618683440695</v>
      </c>
      <c r="F4487">
        <v>0.14861675092063401</v>
      </c>
      <c r="G4487">
        <v>8.1134094015618302E-2</v>
      </c>
      <c r="H4487">
        <v>4.1701323480414103E-2</v>
      </c>
      <c r="I4487">
        <v>4.1452118648576702E-2</v>
      </c>
      <c r="J4487">
        <v>5.01976718211865E-2</v>
      </c>
      <c r="K4487">
        <v>4.5102493830447503E-2</v>
      </c>
      <c r="L4487">
        <v>598.02369736655703</v>
      </c>
      <c r="M4487">
        <v>12.4694602206899</v>
      </c>
      <c r="N4487">
        <v>47.959068903293897</v>
      </c>
      <c r="O4487">
        <v>46.775712238589101</v>
      </c>
      <c r="P4487">
        <v>-6.6658795330136703E-2</v>
      </c>
      <c r="Q4487">
        <v>0</v>
      </c>
      <c r="R4487">
        <v>0.91668781903978702</v>
      </c>
      <c r="S4487" t="s">
        <v>10939</v>
      </c>
      <c r="T4487" t="s">
        <v>12902</v>
      </c>
      <c r="U4487" t="s">
        <v>12902</v>
      </c>
      <c r="V4487" t="s">
        <v>12902</v>
      </c>
      <c r="W4487" t="s">
        <v>17342</v>
      </c>
      <c r="X4487">
        <v>20</v>
      </c>
      <c r="Y4487" t="s">
        <v>23646</v>
      </c>
      <c r="Z4487" t="s">
        <v>30062</v>
      </c>
      <c r="AA4487">
        <v>0.30193638513558829</v>
      </c>
      <c r="AB4487" t="str">
        <f>HYPERLINK("Melting_Curves/meltCurve_Q8NBY1_MST4.pdf", "Melting_Curves/meltCurve_Q8NBY1_MST4.pdf")</f>
        <v>Melting_Curves/meltCurve_Q8NBY1_MST4.pdf</v>
      </c>
    </row>
    <row r="4488" spans="1:28" x14ac:dyDescent="0.25">
      <c r="A4488" t="s">
        <v>4492</v>
      </c>
      <c r="B4488">
        <v>0.99673306730245903</v>
      </c>
      <c r="C4488">
        <v>1.0146717728804699</v>
      </c>
      <c r="D4488">
        <v>0.98256831264506295</v>
      </c>
      <c r="E4488">
        <v>0.95315262494647701</v>
      </c>
      <c r="F4488">
        <v>1.0010833373266801</v>
      </c>
      <c r="G4488">
        <v>1.12013427327635</v>
      </c>
      <c r="H4488">
        <v>1.03633387488466</v>
      </c>
      <c r="I4488">
        <v>1.8048030256857399</v>
      </c>
      <c r="J4488">
        <v>2.5199712656878699</v>
      </c>
      <c r="K4488">
        <v>2.5813295790464901</v>
      </c>
      <c r="L4488">
        <v>15000</v>
      </c>
      <c r="M4488">
        <v>244.17151248795199</v>
      </c>
      <c r="O4488">
        <v>61.428096552870599</v>
      </c>
      <c r="P4488">
        <v>0.49686439497264201</v>
      </c>
      <c r="Q4488">
        <v>1.5</v>
      </c>
      <c r="R4488">
        <v>0.40035785339324997</v>
      </c>
      <c r="S4488" t="s">
        <v>10940</v>
      </c>
      <c r="T4488" t="s">
        <v>12902</v>
      </c>
      <c r="U4488" t="s">
        <v>12902</v>
      </c>
      <c r="V4488" t="s">
        <v>12902</v>
      </c>
      <c r="W4488" t="s">
        <v>17343</v>
      </c>
      <c r="X4488">
        <v>29</v>
      </c>
      <c r="Y4488" t="s">
        <v>23647</v>
      </c>
      <c r="Z4488" t="s">
        <v>30063</v>
      </c>
      <c r="AA4488">
        <v>1.142739690634069</v>
      </c>
      <c r="AB4488" t="str">
        <f>HYPERLINK("Melting_Curves/meltCurve_Q8NC51_SERBP1.pdf", "Melting_Curves/meltCurve_Q8NC51_SERBP1.pdf")</f>
        <v>Melting_Curves/meltCurve_Q8NC51_SERBP1.pdf</v>
      </c>
    </row>
    <row r="4489" spans="1:28" x14ac:dyDescent="0.25">
      <c r="A4489" t="s">
        <v>4493</v>
      </c>
      <c r="B4489">
        <v>0.99673306730245903</v>
      </c>
      <c r="C4489">
        <v>0.97879303924985495</v>
      </c>
      <c r="D4489">
        <v>0.93993040670767702</v>
      </c>
      <c r="E4489">
        <v>0.91164383757493195</v>
      </c>
      <c r="F4489">
        <v>0.76105448453656199</v>
      </c>
      <c r="G4489">
        <v>0.651330406714554</v>
      </c>
      <c r="H4489">
        <v>0.57866743156203804</v>
      </c>
      <c r="I4489">
        <v>0.98490822816003698</v>
      </c>
      <c r="J4489">
        <v>0.93805817691814497</v>
      </c>
      <c r="K4489">
        <v>1.1380065567277899</v>
      </c>
      <c r="L4489">
        <v>1514.9915478544599</v>
      </c>
      <c r="M4489">
        <v>32.258793481293303</v>
      </c>
      <c r="O4489">
        <v>46.784305250534999</v>
      </c>
      <c r="P4489">
        <v>-2.6367976275955302E-2</v>
      </c>
      <c r="Q4489">
        <v>0.84703688165681801</v>
      </c>
      <c r="R4489">
        <v>0.12432459857456001</v>
      </c>
      <c r="S4489" t="s">
        <v>10941</v>
      </c>
      <c r="T4489" t="s">
        <v>12902</v>
      </c>
      <c r="U4489" t="s">
        <v>12902</v>
      </c>
      <c r="V4489" t="s">
        <v>12902</v>
      </c>
      <c r="W4489" t="s">
        <v>17344</v>
      </c>
      <c r="X4489">
        <v>1</v>
      </c>
      <c r="Y4489" t="s">
        <v>23648</v>
      </c>
      <c r="Z4489" t="s">
        <v>30064</v>
      </c>
      <c r="AA4489">
        <v>0.8833286206266513</v>
      </c>
      <c r="AB4489" t="str">
        <f>HYPERLINK("Melting_Curves/meltCurve_Q8NC54_KCT2.pdf", "Melting_Curves/meltCurve_Q8NC54_KCT2.pdf")</f>
        <v>Melting_Curves/meltCurve_Q8NC54_KCT2.pdf</v>
      </c>
    </row>
    <row r="4490" spans="1:28" x14ac:dyDescent="0.25">
      <c r="A4490" t="s">
        <v>4494</v>
      </c>
      <c r="B4490">
        <v>0.99673306730245903</v>
      </c>
      <c r="C4490">
        <v>0.99228030416860102</v>
      </c>
      <c r="D4490">
        <v>0.93053473940800702</v>
      </c>
      <c r="E4490">
        <v>0.60829094079868595</v>
      </c>
      <c r="F4490">
        <v>0.324573287723884</v>
      </c>
      <c r="G4490">
        <v>0.22874308420084499</v>
      </c>
      <c r="H4490">
        <v>0.15112762596348001</v>
      </c>
      <c r="I4490">
        <v>0.16095688616894499</v>
      </c>
      <c r="J4490">
        <v>0.16595462872483599</v>
      </c>
      <c r="K4490">
        <v>0.163104815243822</v>
      </c>
      <c r="L4490">
        <v>1226.07833177046</v>
      </c>
      <c r="M4490">
        <v>24.517056783761301</v>
      </c>
      <c r="N4490">
        <v>50.820639120980402</v>
      </c>
      <c r="O4490">
        <v>49.680049570790402</v>
      </c>
      <c r="P4490">
        <v>-0.103393883594617</v>
      </c>
      <c r="Q4490">
        <v>0.16196488310082199</v>
      </c>
      <c r="R4490">
        <v>0.99859485519193902</v>
      </c>
      <c r="S4490" t="s">
        <v>10942</v>
      </c>
      <c r="T4490" t="s">
        <v>12902</v>
      </c>
      <c r="U4490" t="s">
        <v>12902</v>
      </c>
      <c r="V4490" t="s">
        <v>12902</v>
      </c>
      <c r="W4490" t="s">
        <v>17345</v>
      </c>
      <c r="X4490">
        <v>12</v>
      </c>
      <c r="Y4490" t="s">
        <v>23649</v>
      </c>
      <c r="Z4490" t="s">
        <v>30065</v>
      </c>
      <c r="AA4490">
        <v>0.44935706771403888</v>
      </c>
      <c r="AB4490" t="str">
        <f>HYPERLINK("Melting_Curves/meltCurve_Q8NC56_LEMD2.pdf", "Melting_Curves/meltCurve_Q8NC56_LEMD2.pdf")</f>
        <v>Melting_Curves/meltCurve_Q8NC56_LEMD2.pdf</v>
      </c>
    </row>
    <row r="4491" spans="1:28" x14ac:dyDescent="0.25">
      <c r="A4491" t="s">
        <v>4495</v>
      </c>
      <c r="B4491">
        <v>0.99673306730245903</v>
      </c>
      <c r="C4491">
        <v>0.92748864294476796</v>
      </c>
      <c r="D4491">
        <v>0.84815519043562204</v>
      </c>
      <c r="E4491">
        <v>0.63906484517975304</v>
      </c>
      <c r="F4491">
        <v>0.32621088208222798</v>
      </c>
      <c r="G4491">
        <v>0.202013849920882</v>
      </c>
      <c r="H4491">
        <v>0.13129248053783699</v>
      </c>
      <c r="I4491">
        <v>0.10168555427093599</v>
      </c>
      <c r="J4491">
        <v>0.12875267974749399</v>
      </c>
      <c r="K4491">
        <v>9.7430523374229902E-2</v>
      </c>
      <c r="L4491">
        <v>894.39180371644397</v>
      </c>
      <c r="M4491">
        <v>17.7537352226793</v>
      </c>
      <c r="N4491">
        <v>50.9748637202824</v>
      </c>
      <c r="O4491">
        <v>49.751556328915299</v>
      </c>
      <c r="P4491">
        <v>-8.0839749027764904E-2</v>
      </c>
      <c r="Q4491">
        <v>9.3893591577708199E-2</v>
      </c>
      <c r="R4491">
        <v>0.99730839433079399</v>
      </c>
      <c r="S4491" t="s">
        <v>10943</v>
      </c>
      <c r="T4491" t="s">
        <v>12902</v>
      </c>
      <c r="U4491" t="s">
        <v>12902</v>
      </c>
      <c r="V4491" t="s">
        <v>12902</v>
      </c>
      <c r="W4491" t="s">
        <v>17346</v>
      </c>
      <c r="X4491">
        <v>2</v>
      </c>
      <c r="Y4491" t="s">
        <v>23650</v>
      </c>
      <c r="Z4491" t="s">
        <v>30066</v>
      </c>
      <c r="AA4491">
        <v>0.42311427661464529</v>
      </c>
      <c r="AB4491" t="str">
        <f>HYPERLINK("Melting_Curves/meltCurve_Q8NC60_NOA1.pdf", "Melting_Curves/meltCurve_Q8NC60_NOA1.pdf")</f>
        <v>Melting_Curves/meltCurve_Q8NC60_NOA1.pdf</v>
      </c>
    </row>
    <row r="4492" spans="1:28" x14ac:dyDescent="0.25">
      <c r="A4492" t="s">
        <v>4496</v>
      </c>
      <c r="B4492">
        <v>0.99673306730245903</v>
      </c>
      <c r="C4492">
        <v>0.93885832346801501</v>
      </c>
      <c r="D4492">
        <v>0.95253128060239101</v>
      </c>
      <c r="E4492">
        <v>0.80019926902513605</v>
      </c>
      <c r="F4492">
        <v>0.44302932816071899</v>
      </c>
      <c r="G4492">
        <v>0.22223715097204499</v>
      </c>
      <c r="H4492">
        <v>0.128384532894115</v>
      </c>
      <c r="I4492">
        <v>0.117049263224629</v>
      </c>
      <c r="J4492">
        <v>0.11972969484946699</v>
      </c>
      <c r="K4492">
        <v>9.2805468049029505E-2</v>
      </c>
      <c r="L4492">
        <v>1198.9410186254299</v>
      </c>
      <c r="M4492">
        <v>22.9936402231132</v>
      </c>
      <c r="N4492">
        <v>52.660688115103703</v>
      </c>
      <c r="O4492">
        <v>51.752684871336399</v>
      </c>
      <c r="P4492">
        <v>-9.9827013199005707E-2</v>
      </c>
      <c r="Q4492">
        <v>0.10127828800734601</v>
      </c>
      <c r="R4492">
        <v>0.99744321335735597</v>
      </c>
      <c r="S4492" t="s">
        <v>10944</v>
      </c>
      <c r="T4492" t="s">
        <v>12902</v>
      </c>
      <c r="U4492" t="s">
        <v>12902</v>
      </c>
      <c r="V4492" t="s">
        <v>12902</v>
      </c>
      <c r="W4492" t="s">
        <v>17347</v>
      </c>
      <c r="X4492">
        <v>7</v>
      </c>
      <c r="Y4492" t="s">
        <v>23651</v>
      </c>
      <c r="Z4492" t="s">
        <v>30067</v>
      </c>
      <c r="AA4492">
        <v>0.47465869850599479</v>
      </c>
      <c r="AB4492" t="str">
        <f>HYPERLINK("Melting_Curves/meltCurve_Q8NC96_NECAP1.pdf", "Melting_Curves/meltCurve_Q8NC96_NECAP1.pdf")</f>
        <v>Melting_Curves/meltCurve_Q8NC96_NECAP1.pdf</v>
      </c>
    </row>
    <row r="4493" spans="1:28" x14ac:dyDescent="0.25">
      <c r="A4493" t="s">
        <v>4497</v>
      </c>
      <c r="B4493">
        <v>0.99673306730245903</v>
      </c>
      <c r="C4493">
        <v>0.86091695760067</v>
      </c>
      <c r="D4493">
        <v>0.90919787191797097</v>
      </c>
      <c r="E4493">
        <v>0.89499173722586101</v>
      </c>
      <c r="F4493">
        <v>0.280433426999393</v>
      </c>
      <c r="G4493">
        <v>0.175657472716021</v>
      </c>
      <c r="H4493">
        <v>0.10584569921657901</v>
      </c>
      <c r="I4493">
        <v>9.4153496262105105E-2</v>
      </c>
      <c r="J4493">
        <v>0.108486970181291</v>
      </c>
      <c r="K4493">
        <v>9.4978734477566495E-2</v>
      </c>
      <c r="L4493">
        <v>2392.2646568501</v>
      </c>
      <c r="M4493">
        <v>46.340112523525598</v>
      </c>
      <c r="N4493">
        <v>51.906556024739402</v>
      </c>
      <c r="O4493">
        <v>51.5281963586987</v>
      </c>
      <c r="P4493">
        <v>-0.199770500365792</v>
      </c>
      <c r="Q4493">
        <v>0.111456504995381</v>
      </c>
      <c r="R4493">
        <v>0.97919986572784101</v>
      </c>
      <c r="S4493" t="s">
        <v>10945</v>
      </c>
      <c r="T4493" t="s">
        <v>12902</v>
      </c>
      <c r="U4493" t="s">
        <v>12902</v>
      </c>
      <c r="V4493" t="s">
        <v>12902</v>
      </c>
      <c r="W4493" t="s">
        <v>17348</v>
      </c>
      <c r="X4493">
        <v>10</v>
      </c>
      <c r="Y4493" t="s">
        <v>23652</v>
      </c>
      <c r="Z4493" t="s">
        <v>30068</v>
      </c>
      <c r="AA4493">
        <v>0.45809666694588341</v>
      </c>
      <c r="AB4493" t="str">
        <f>HYPERLINK("Melting_Curves/meltCurve_Q8NCA5_2_FAM98A.pdf", "Melting_Curves/meltCurve_Q8NCA5_2_FAM98A.pdf")</f>
        <v>Melting_Curves/meltCurve_Q8NCA5_2_FAM98A.pdf</v>
      </c>
    </row>
    <row r="4494" spans="1:28" x14ac:dyDescent="0.25">
      <c r="A4494" t="s">
        <v>4498</v>
      </c>
      <c r="B4494">
        <v>0.99673306730245903</v>
      </c>
      <c r="C4494">
        <v>0.965227508241564</v>
      </c>
      <c r="D4494">
        <v>0.91020868331452298</v>
      </c>
      <c r="E4494">
        <v>0.76034624382389404</v>
      </c>
      <c r="F4494">
        <v>0.66037049492474698</v>
      </c>
      <c r="G4494">
        <v>0.57170946243390697</v>
      </c>
      <c r="H4494">
        <v>0.471479729678006</v>
      </c>
      <c r="I4494">
        <v>0.51002818226935498</v>
      </c>
      <c r="J4494">
        <v>0.72212570386406205</v>
      </c>
      <c r="K4494">
        <v>0.54642929775485705</v>
      </c>
      <c r="L4494">
        <v>1014.37812340265</v>
      </c>
      <c r="M4494">
        <v>20.640521498497499</v>
      </c>
      <c r="O4494">
        <v>48.690656427189701</v>
      </c>
      <c r="P4494">
        <v>-4.6562547094059201E-2</v>
      </c>
      <c r="Q4494">
        <v>0.56065144281272905</v>
      </c>
      <c r="R4494">
        <v>0.88313835356381598</v>
      </c>
      <c r="S4494" t="s">
        <v>10946</v>
      </c>
      <c r="T4494" t="s">
        <v>12902</v>
      </c>
      <c r="U4494" t="s">
        <v>12902</v>
      </c>
      <c r="V4494" t="s">
        <v>12902</v>
      </c>
      <c r="W4494" t="s">
        <v>17349</v>
      </c>
      <c r="X4494">
        <v>5</v>
      </c>
      <c r="Y4494" t="s">
        <v>23653</v>
      </c>
      <c r="Z4494" t="s">
        <v>30069</v>
      </c>
      <c r="AA4494">
        <v>0.70034563921266213</v>
      </c>
      <c r="AB4494" t="str">
        <f>HYPERLINK("Melting_Curves/meltCurve_Q8NCC3_PLA2G15.pdf", "Melting_Curves/meltCurve_Q8NCC3_PLA2G15.pdf")</f>
        <v>Melting_Curves/meltCurve_Q8NCC3_PLA2G15.pdf</v>
      </c>
    </row>
    <row r="4495" spans="1:28" x14ac:dyDescent="0.25">
      <c r="A4495" t="s">
        <v>4499</v>
      </c>
      <c r="B4495">
        <v>0.99673306730245903</v>
      </c>
      <c r="C4495">
        <v>0.92487038343522199</v>
      </c>
      <c r="D4495">
        <v>1.02008174000462</v>
      </c>
      <c r="E4495">
        <v>0.80638903617798297</v>
      </c>
      <c r="F4495">
        <v>0.26703346270934802</v>
      </c>
      <c r="G4495">
        <v>0.15877960230676599</v>
      </c>
      <c r="H4495">
        <v>0.10444087901233499</v>
      </c>
      <c r="I4495">
        <v>9.3896816675561004E-2</v>
      </c>
      <c r="J4495">
        <v>0.112742669891769</v>
      </c>
      <c r="K4495">
        <v>0.11825101314761299</v>
      </c>
      <c r="L4495">
        <v>2058.8859824811698</v>
      </c>
      <c r="M4495">
        <v>40.228475166710702</v>
      </c>
      <c r="N4495">
        <v>51.508478802039797</v>
      </c>
      <c r="O4495">
        <v>51.053835778791303</v>
      </c>
      <c r="P4495">
        <v>-0.174691731347865</v>
      </c>
      <c r="Q4495">
        <v>0.113198824154591</v>
      </c>
      <c r="R4495">
        <v>0.99496995010331102</v>
      </c>
      <c r="S4495" t="s">
        <v>10947</v>
      </c>
      <c r="T4495" t="s">
        <v>12902</v>
      </c>
      <c r="U4495" t="s">
        <v>12902</v>
      </c>
      <c r="V4495" t="s">
        <v>12902</v>
      </c>
      <c r="W4495" t="s">
        <v>17350</v>
      </c>
      <c r="X4495">
        <v>5</v>
      </c>
      <c r="Y4495" t="s">
        <v>23654</v>
      </c>
      <c r="Z4495" t="s">
        <v>30070</v>
      </c>
      <c r="AA4495">
        <v>0.44677569122998839</v>
      </c>
      <c r="AB4495" t="str">
        <f>HYPERLINK("Melting_Curves/meltCurve_Q8NCE0_4_TSEN2.pdf", "Melting_Curves/meltCurve_Q8NCE0_4_TSEN2.pdf")</f>
        <v>Melting_Curves/meltCurve_Q8NCE0_4_TSEN2.pdf</v>
      </c>
    </row>
    <row r="4496" spans="1:28" x14ac:dyDescent="0.25">
      <c r="A4496" t="s">
        <v>4500</v>
      </c>
      <c r="B4496">
        <v>0.99673306730245903</v>
      </c>
      <c r="C4496">
        <v>0.99773709302343006</v>
      </c>
      <c r="D4496">
        <v>0.88439344825566102</v>
      </c>
      <c r="E4496">
        <v>0.71688305699667798</v>
      </c>
      <c r="F4496">
        <v>0.25303937305422503</v>
      </c>
      <c r="G4496">
        <v>0.146940544433838</v>
      </c>
      <c r="H4496">
        <v>6.8603981208889803E-2</v>
      </c>
      <c r="I4496">
        <v>4.3918350779871301E-2</v>
      </c>
      <c r="J4496">
        <v>3.94068775004928E-2</v>
      </c>
      <c r="K4496">
        <v>3.38030766733982E-2</v>
      </c>
      <c r="L4496">
        <v>1247.2561347609601</v>
      </c>
      <c r="M4496">
        <v>24.469216351465899</v>
      </c>
      <c r="N4496">
        <v>51.154829336212501</v>
      </c>
      <c r="O4496">
        <v>50.635674850321998</v>
      </c>
      <c r="P4496">
        <v>-0.115765794558897</v>
      </c>
      <c r="Q4496">
        <v>4.17685648890051E-2</v>
      </c>
      <c r="R4496">
        <v>0.99546078966874896</v>
      </c>
      <c r="S4496" t="s">
        <v>10948</v>
      </c>
      <c r="T4496" t="s">
        <v>12902</v>
      </c>
      <c r="U4496" t="s">
        <v>12902</v>
      </c>
      <c r="V4496" t="s">
        <v>12902</v>
      </c>
      <c r="W4496" t="s">
        <v>17351</v>
      </c>
      <c r="X4496">
        <v>4</v>
      </c>
      <c r="Y4496" t="s">
        <v>23655</v>
      </c>
      <c r="Z4496" t="s">
        <v>30071</v>
      </c>
      <c r="AA4496">
        <v>0.40126727466692902</v>
      </c>
      <c r="AB4496" t="str">
        <f>HYPERLINK("Melting_Curves/meltCurve_Q8NCE2_MTMR14.pdf", "Melting_Curves/meltCurve_Q8NCE2_MTMR14.pdf")</f>
        <v>Melting_Curves/meltCurve_Q8NCE2_MTMR14.pdf</v>
      </c>
    </row>
    <row r="4497" spans="1:28" x14ac:dyDescent="0.25">
      <c r="A4497" t="s">
        <v>4501</v>
      </c>
      <c r="B4497">
        <v>0.99673306730245903</v>
      </c>
      <c r="C4497">
        <v>1.0038431873859199</v>
      </c>
      <c r="D4497">
        <v>0.847366144948139</v>
      </c>
      <c r="E4497">
        <v>0.60526495627363397</v>
      </c>
      <c r="F4497">
        <v>0.34934084428541001</v>
      </c>
      <c r="G4497">
        <v>0.21216173992369999</v>
      </c>
      <c r="H4497">
        <v>0.111253046590402</v>
      </c>
      <c r="I4497">
        <v>0.125682770711219</v>
      </c>
      <c r="J4497">
        <v>0.17140521130484801</v>
      </c>
      <c r="K4497">
        <v>0.15487923519133201</v>
      </c>
      <c r="L4497">
        <v>989.63653396759105</v>
      </c>
      <c r="M4497">
        <v>19.779453778616901</v>
      </c>
      <c r="N4497">
        <v>50.826523840604601</v>
      </c>
      <c r="O4497">
        <v>49.530556313052301</v>
      </c>
      <c r="P4497">
        <v>-8.6583910329953301E-2</v>
      </c>
      <c r="Q4497">
        <v>0.132755950512154</v>
      </c>
      <c r="R4497">
        <v>0.99523129675009503</v>
      </c>
      <c r="S4497" t="s">
        <v>10949</v>
      </c>
      <c r="T4497" t="s">
        <v>12902</v>
      </c>
      <c r="U4497" t="s">
        <v>12902</v>
      </c>
      <c r="V4497" t="s">
        <v>12902</v>
      </c>
      <c r="W4497" t="s">
        <v>17352</v>
      </c>
      <c r="X4497">
        <v>3</v>
      </c>
      <c r="Y4497" t="s">
        <v>23656</v>
      </c>
      <c r="Z4497" t="s">
        <v>30072</v>
      </c>
      <c r="AA4497">
        <v>0.43514243902713717</v>
      </c>
      <c r="AB4497" t="str">
        <f>HYPERLINK("Melting_Curves/meltCurve_Q8NCF5_NFATC2IP.pdf", "Melting_Curves/meltCurve_Q8NCF5_NFATC2IP.pdf")</f>
        <v>Melting_Curves/meltCurve_Q8NCF5_NFATC2IP.pdf</v>
      </c>
    </row>
    <row r="4498" spans="1:28" x14ac:dyDescent="0.25">
      <c r="A4498" t="s">
        <v>4502</v>
      </c>
      <c r="B4498">
        <v>0.99673306730245903</v>
      </c>
      <c r="C4498">
        <v>0.97488634380303496</v>
      </c>
      <c r="D4498">
        <v>0.93547188183795105</v>
      </c>
      <c r="E4498">
        <v>0.912090708770813</v>
      </c>
      <c r="F4498">
        <v>0.72275412075920697</v>
      </c>
      <c r="G4498">
        <v>0.36870059797441401</v>
      </c>
      <c r="H4498">
        <v>0.13759928524146101</v>
      </c>
      <c r="I4498">
        <v>0.10661159358268001</v>
      </c>
      <c r="J4498">
        <v>0.10080276793719301</v>
      </c>
      <c r="K4498">
        <v>9.0186291937013996E-2</v>
      </c>
      <c r="L4498">
        <v>1298.0550127740401</v>
      </c>
      <c r="M4498">
        <v>23.633931108976999</v>
      </c>
      <c r="N4498">
        <v>55.313202394838797</v>
      </c>
      <c r="O4498">
        <v>54.534688499971601</v>
      </c>
      <c r="P4498">
        <v>-0.100033477499546</v>
      </c>
      <c r="Q4498">
        <v>7.6717015159316698E-2</v>
      </c>
      <c r="R4498">
        <v>0.99660986846452304</v>
      </c>
      <c r="S4498" t="s">
        <v>10950</v>
      </c>
      <c r="T4498" t="s">
        <v>12902</v>
      </c>
      <c r="U4498" t="s">
        <v>12902</v>
      </c>
      <c r="V4498" t="s">
        <v>12902</v>
      </c>
      <c r="W4498" t="s">
        <v>17353</v>
      </c>
      <c r="X4498">
        <v>6</v>
      </c>
      <c r="Y4498" t="s">
        <v>23657</v>
      </c>
      <c r="Z4498" t="s">
        <v>30073</v>
      </c>
      <c r="AA4498">
        <v>0.5454165165715914</v>
      </c>
      <c r="AB4498" t="str">
        <f>HYPERLINK("Melting_Curves/meltCurve_Q8NCG7_DAGLB.pdf", "Melting_Curves/meltCurve_Q8NCG7_DAGLB.pdf")</f>
        <v>Melting_Curves/meltCurve_Q8NCG7_DAGLB.pdf</v>
      </c>
    </row>
    <row r="4499" spans="1:28" x14ac:dyDescent="0.25">
      <c r="A4499" t="s">
        <v>4503</v>
      </c>
      <c r="B4499">
        <v>0.99673306730245903</v>
      </c>
      <c r="C4499">
        <v>0.91541808395948399</v>
      </c>
      <c r="D4499">
        <v>0.88568143482241801</v>
      </c>
      <c r="E4499">
        <v>0.68259364353618301</v>
      </c>
      <c r="F4499">
        <v>0.21109001200300001</v>
      </c>
      <c r="G4499">
        <v>0.103642419643918</v>
      </c>
      <c r="H4499">
        <v>7.2301374628487805E-2</v>
      </c>
      <c r="I4499">
        <v>6.5205704956352903E-2</v>
      </c>
      <c r="J4499">
        <v>7.0621653027237302E-2</v>
      </c>
      <c r="K4499">
        <v>7.1476894236679106E-2</v>
      </c>
      <c r="L4499">
        <v>1406.8952111558101</v>
      </c>
      <c r="M4499">
        <v>27.8725315305823</v>
      </c>
      <c r="N4499">
        <v>50.720690895133401</v>
      </c>
      <c r="O4499">
        <v>50.218363854777003</v>
      </c>
      <c r="P4499">
        <v>-0.130030454519827</v>
      </c>
      <c r="Q4499">
        <v>6.2896795816963003E-2</v>
      </c>
      <c r="R4499">
        <v>0.99207379810054797</v>
      </c>
      <c r="S4499" t="s">
        <v>10951</v>
      </c>
      <c r="T4499" t="s">
        <v>12902</v>
      </c>
      <c r="U4499" t="s">
        <v>12902</v>
      </c>
      <c r="V4499" t="s">
        <v>12902</v>
      </c>
      <c r="W4499" t="s">
        <v>17354</v>
      </c>
      <c r="X4499">
        <v>4</v>
      </c>
      <c r="Y4499" t="s">
        <v>23658</v>
      </c>
      <c r="Z4499" t="s">
        <v>30074</v>
      </c>
      <c r="AA4499">
        <v>0.3969071400627418</v>
      </c>
      <c r="AB4499" t="str">
        <f>HYPERLINK("Melting_Curves/meltCurve_Q8NCL4_GALNT6.pdf", "Melting_Curves/meltCurve_Q8NCL4_GALNT6.pdf")</f>
        <v>Melting_Curves/meltCurve_Q8NCL4_GALNT6.pdf</v>
      </c>
    </row>
    <row r="4500" spans="1:28" x14ac:dyDescent="0.25">
      <c r="A4500" t="s">
        <v>4504</v>
      </c>
      <c r="B4500">
        <v>0.99673306730245903</v>
      </c>
      <c r="C4500">
        <v>0.79685875430713704</v>
      </c>
      <c r="D4500">
        <v>0.788863526810473</v>
      </c>
      <c r="E4500">
        <v>0.57687148113570896</v>
      </c>
      <c r="F4500">
        <v>0.37600785986669599</v>
      </c>
      <c r="G4500">
        <v>0.18475967075764901</v>
      </c>
      <c r="H4500">
        <v>0.135023399822084</v>
      </c>
      <c r="I4500">
        <v>0.126760841169967</v>
      </c>
      <c r="J4500">
        <v>0.229240000883246</v>
      </c>
      <c r="K4500">
        <v>0.222648423936046</v>
      </c>
      <c r="L4500">
        <v>708.29287567344704</v>
      </c>
      <c r="M4500">
        <v>14.451890286070901</v>
      </c>
      <c r="N4500">
        <v>50.222412270198298</v>
      </c>
      <c r="O4500">
        <v>48.100679925425403</v>
      </c>
      <c r="P4500">
        <v>-6.4062050333792697E-2</v>
      </c>
      <c r="Q4500">
        <v>0.147221129459295</v>
      </c>
      <c r="R4500">
        <v>0.96370553686991101</v>
      </c>
      <c r="S4500" t="s">
        <v>10952</v>
      </c>
      <c r="T4500" t="s">
        <v>12902</v>
      </c>
      <c r="U4500" t="s">
        <v>12902</v>
      </c>
      <c r="V4500" t="s">
        <v>12902</v>
      </c>
      <c r="W4500" t="s">
        <v>17355</v>
      </c>
      <c r="X4500">
        <v>4</v>
      </c>
      <c r="Y4500" t="s">
        <v>23659</v>
      </c>
      <c r="Z4500" t="s">
        <v>30075</v>
      </c>
      <c r="AA4500">
        <v>0.42590173536016168</v>
      </c>
      <c r="AB4500" t="str">
        <f>HYPERLINK("Melting_Curves/meltCurve_Q8NCN4_RNF169.pdf", "Melting_Curves/meltCurve_Q8NCN4_RNF169.pdf")</f>
        <v>Melting_Curves/meltCurve_Q8NCN4_RNF169.pdf</v>
      </c>
    </row>
    <row r="4501" spans="1:28" x14ac:dyDescent="0.25">
      <c r="A4501" t="s">
        <v>4505</v>
      </c>
      <c r="B4501">
        <v>0.99673306730245903</v>
      </c>
      <c r="C4501">
        <v>1.0194784435033299</v>
      </c>
      <c r="D4501">
        <v>1.06072693970566</v>
      </c>
      <c r="E4501">
        <v>1.15766850430381</v>
      </c>
      <c r="F4501">
        <v>1.01013368060877</v>
      </c>
      <c r="G4501">
        <v>0.39597990134296102</v>
      </c>
      <c r="H4501">
        <v>0.350645270916151</v>
      </c>
      <c r="I4501">
        <v>0.24379237193157199</v>
      </c>
      <c r="J4501">
        <v>0.19374126807009701</v>
      </c>
      <c r="K4501">
        <v>0.13887155583868999</v>
      </c>
      <c r="L4501">
        <v>7014.0655884443604</v>
      </c>
      <c r="M4501">
        <v>124.788389063389</v>
      </c>
      <c r="N4501">
        <v>56.489517885673799</v>
      </c>
      <c r="O4501">
        <v>56.193243845839902</v>
      </c>
      <c r="P4501">
        <v>-0.42652727757318398</v>
      </c>
      <c r="Q4501">
        <v>0.23172494002935301</v>
      </c>
      <c r="R4501">
        <v>0.96665064662099798</v>
      </c>
      <c r="S4501" t="s">
        <v>10953</v>
      </c>
      <c r="T4501" t="s">
        <v>12902</v>
      </c>
      <c r="U4501" t="s">
        <v>12902</v>
      </c>
      <c r="V4501" t="s">
        <v>12902</v>
      </c>
      <c r="W4501" t="s">
        <v>17356</v>
      </c>
      <c r="X4501">
        <v>16</v>
      </c>
      <c r="Y4501" t="s">
        <v>23660</v>
      </c>
      <c r="Z4501" t="s">
        <v>30076</v>
      </c>
      <c r="AA4501">
        <v>0.64709447293259936</v>
      </c>
      <c r="AB4501" t="str">
        <f>HYPERLINK("Melting_Curves/meltCurve_Q8NCN5_PDPR.pdf", "Melting_Curves/meltCurve_Q8NCN5_PDPR.pdf")</f>
        <v>Melting_Curves/meltCurve_Q8NCN5_PDPR.pdf</v>
      </c>
    </row>
    <row r="4502" spans="1:28" x14ac:dyDescent="0.25">
      <c r="A4502" t="s">
        <v>4506</v>
      </c>
      <c r="B4502">
        <v>0.99673306730245903</v>
      </c>
      <c r="C4502">
        <v>1.01678955219011</v>
      </c>
      <c r="D4502">
        <v>1.0196341337711201</v>
      </c>
      <c r="E4502">
        <v>1.0010750823277801</v>
      </c>
      <c r="F4502">
        <v>0.85943119081514596</v>
      </c>
      <c r="G4502">
        <v>0.80711183638248896</v>
      </c>
      <c r="H4502">
        <v>0.60862671321285999</v>
      </c>
      <c r="I4502">
        <v>0.79954649934487398</v>
      </c>
      <c r="J4502">
        <v>0.51089203349643697</v>
      </c>
      <c r="K4502">
        <v>0.15445025764225201</v>
      </c>
      <c r="L4502">
        <v>751.22826835221201</v>
      </c>
      <c r="M4502">
        <v>11.428642722085799</v>
      </c>
      <c r="N4502">
        <v>65.732052433580407</v>
      </c>
      <c r="O4502">
        <v>63.8161060953299</v>
      </c>
      <c r="P4502">
        <v>-4.4784815086222798E-2</v>
      </c>
      <c r="Q4502">
        <v>0</v>
      </c>
      <c r="R4502">
        <v>0.84788013572509402</v>
      </c>
      <c r="S4502" t="s">
        <v>10954</v>
      </c>
      <c r="T4502" t="s">
        <v>12902</v>
      </c>
      <c r="U4502" t="s">
        <v>12902</v>
      </c>
      <c r="V4502" t="s">
        <v>12902</v>
      </c>
      <c r="W4502" t="s">
        <v>17357</v>
      </c>
      <c r="X4502">
        <v>13</v>
      </c>
      <c r="Y4502" t="s">
        <v>23661</v>
      </c>
      <c r="Z4502" t="s">
        <v>30077</v>
      </c>
      <c r="AA4502">
        <v>0.80532382631447619</v>
      </c>
      <c r="AB4502" t="str">
        <f>HYPERLINK("Melting_Curves/meltCurve_Q8NCW5_APOA1BP.pdf", "Melting_Curves/meltCurve_Q8NCW5_APOA1BP.pdf")</f>
        <v>Melting_Curves/meltCurve_Q8NCW5_APOA1BP.pdf</v>
      </c>
    </row>
    <row r="4503" spans="1:28" x14ac:dyDescent="0.25">
      <c r="A4503" t="s">
        <v>4507</v>
      </c>
      <c r="B4503">
        <v>0.99673306730245903</v>
      </c>
      <c r="C4503">
        <v>0.90749000412373404</v>
      </c>
      <c r="D4503">
        <v>0.737507365326738</v>
      </c>
      <c r="E4503">
        <v>0.320459341773493</v>
      </c>
      <c r="F4503">
        <v>0.27782737522439099</v>
      </c>
      <c r="G4503">
        <v>0.18462432907617199</v>
      </c>
      <c r="H4503">
        <v>0.119663452918601</v>
      </c>
      <c r="I4503">
        <v>0.105973047664238</v>
      </c>
      <c r="J4503">
        <v>0.13050722973312201</v>
      </c>
      <c r="K4503">
        <v>0.11984586628589</v>
      </c>
      <c r="L4503">
        <v>1007.91366625406</v>
      </c>
      <c r="M4503">
        <v>21.228322147293301</v>
      </c>
      <c r="N4503">
        <v>48.160137522047002</v>
      </c>
      <c r="O4503">
        <v>47.064337317392997</v>
      </c>
      <c r="P4503">
        <v>-9.8153917267427795E-2</v>
      </c>
      <c r="Q4503">
        <v>0.12957186846803601</v>
      </c>
      <c r="R4503">
        <v>0.98982584557500997</v>
      </c>
      <c r="S4503" t="s">
        <v>10955</v>
      </c>
      <c r="T4503" t="s">
        <v>12902</v>
      </c>
      <c r="U4503" t="s">
        <v>12902</v>
      </c>
      <c r="V4503" t="s">
        <v>12902</v>
      </c>
      <c r="W4503" t="s">
        <v>17358</v>
      </c>
      <c r="X4503">
        <v>5</v>
      </c>
      <c r="Y4503" t="s">
        <v>23662</v>
      </c>
      <c r="Z4503" t="s">
        <v>30078</v>
      </c>
      <c r="AA4503">
        <v>0.35759904075635979</v>
      </c>
      <c r="AB4503" t="str">
        <f>HYPERLINK("Melting_Curves/meltCurve_Q8ND04_SMG8.pdf", "Melting_Curves/meltCurve_Q8ND04_SMG8.pdf")</f>
        <v>Melting_Curves/meltCurve_Q8ND04_SMG8.pdf</v>
      </c>
    </row>
    <row r="4504" spans="1:28" x14ac:dyDescent="0.25">
      <c r="A4504" t="s">
        <v>4508</v>
      </c>
      <c r="B4504">
        <v>0.99673306730245903</v>
      </c>
      <c r="C4504">
        <v>0.98349352015255098</v>
      </c>
      <c r="D4504">
        <v>0.76477922964483103</v>
      </c>
      <c r="E4504">
        <v>0.42656884473779499</v>
      </c>
      <c r="F4504">
        <v>0.21621699726320801</v>
      </c>
      <c r="G4504">
        <v>0.13903257189229001</v>
      </c>
      <c r="H4504">
        <v>9.1747991413438604E-2</v>
      </c>
      <c r="I4504">
        <v>0.114673135052394</v>
      </c>
      <c r="J4504">
        <v>0.15111059125565801</v>
      </c>
      <c r="K4504">
        <v>0.13748229846610999</v>
      </c>
      <c r="L4504">
        <v>1128.8399563263899</v>
      </c>
      <c r="M4504">
        <v>23.426181979411101</v>
      </c>
      <c r="N4504">
        <v>48.7667159446491</v>
      </c>
      <c r="O4504">
        <v>47.840094617222398</v>
      </c>
      <c r="P4504">
        <v>-0.107545486491102</v>
      </c>
      <c r="Q4504">
        <v>0.121513513618762</v>
      </c>
      <c r="R4504">
        <v>0.99688437223859305</v>
      </c>
      <c r="S4504" t="s">
        <v>10956</v>
      </c>
      <c r="T4504" t="s">
        <v>12902</v>
      </c>
      <c r="U4504" t="s">
        <v>12902</v>
      </c>
      <c r="V4504" t="s">
        <v>12902</v>
      </c>
      <c r="W4504" t="s">
        <v>17359</v>
      </c>
      <c r="X4504">
        <v>15</v>
      </c>
      <c r="Y4504" t="s">
        <v>23663</v>
      </c>
      <c r="Z4504" t="s">
        <v>30079</v>
      </c>
      <c r="AA4504">
        <v>0.37016198381853432</v>
      </c>
      <c r="AB4504" t="str">
        <f>HYPERLINK("Melting_Curves/meltCurve_Q8ND24_RNF214.pdf", "Melting_Curves/meltCurve_Q8ND24_RNF214.pdf")</f>
        <v>Melting_Curves/meltCurve_Q8ND24_RNF214.pdf</v>
      </c>
    </row>
    <row r="4505" spans="1:28" x14ac:dyDescent="0.25">
      <c r="A4505" t="s">
        <v>4509</v>
      </c>
      <c r="B4505">
        <v>0.99673306730245903</v>
      </c>
      <c r="C4505">
        <v>0.98888438891086505</v>
      </c>
      <c r="D4505">
        <v>0.93395736234460303</v>
      </c>
      <c r="E4505">
        <v>0.75129862547533099</v>
      </c>
      <c r="F4505">
        <v>0.36189793025391898</v>
      </c>
      <c r="G4505">
        <v>0.22363502671726701</v>
      </c>
      <c r="H4505">
        <v>0.15139881183984999</v>
      </c>
      <c r="I4505">
        <v>0.147169317324644</v>
      </c>
      <c r="J4505">
        <v>0.15782839874041199</v>
      </c>
      <c r="K4505">
        <v>0.161452135420218</v>
      </c>
      <c r="L4505">
        <v>1342.8064146092299</v>
      </c>
      <c r="M4505">
        <v>26.269618865333399</v>
      </c>
      <c r="N4505">
        <v>51.828740206927797</v>
      </c>
      <c r="O4505">
        <v>50.822870648574899</v>
      </c>
      <c r="P4505">
        <v>-0.109640200216751</v>
      </c>
      <c r="Q4505">
        <v>0.15154183313883501</v>
      </c>
      <c r="R4505">
        <v>0.99886524694291601</v>
      </c>
      <c r="S4505" t="s">
        <v>10957</v>
      </c>
      <c r="T4505" t="s">
        <v>12902</v>
      </c>
      <c r="U4505" t="s">
        <v>12902</v>
      </c>
      <c r="V4505" t="s">
        <v>12902</v>
      </c>
      <c r="W4505" t="s">
        <v>17360</v>
      </c>
      <c r="X4505">
        <v>12</v>
      </c>
      <c r="Y4505" t="s">
        <v>23664</v>
      </c>
      <c r="Z4505" t="s">
        <v>30080</v>
      </c>
      <c r="AA4505">
        <v>0.47289427248424099</v>
      </c>
      <c r="AB4505" t="str">
        <f>HYPERLINK("Melting_Curves/meltCurve_Q8ND56_2_LSM14A.pdf", "Melting_Curves/meltCurve_Q8ND56_2_LSM14A.pdf")</f>
        <v>Melting_Curves/meltCurve_Q8ND56_2_LSM14A.pdf</v>
      </c>
    </row>
    <row r="4506" spans="1:28" x14ac:dyDescent="0.25">
      <c r="A4506" t="s">
        <v>4510</v>
      </c>
      <c r="B4506">
        <v>0.99673306730245903</v>
      </c>
      <c r="C4506">
        <v>1.08806229922468</v>
      </c>
      <c r="D4506">
        <v>0.27609329945673899</v>
      </c>
      <c r="E4506">
        <v>0.50078794952461902</v>
      </c>
      <c r="F4506">
        <v>0.20141908359307001</v>
      </c>
      <c r="G4506">
        <v>0.13387691857058401</v>
      </c>
      <c r="H4506">
        <v>8.6023569158770102E-2</v>
      </c>
      <c r="I4506">
        <v>0.100273750483842</v>
      </c>
      <c r="J4506">
        <v>0.100627398472691</v>
      </c>
      <c r="K4506">
        <v>9.9014319304887494E-2</v>
      </c>
      <c r="L4506">
        <v>11409.636713620799</v>
      </c>
      <c r="M4506">
        <v>250</v>
      </c>
      <c r="N4506">
        <v>45.717085353632697</v>
      </c>
      <c r="O4506">
        <v>45.6356262057026</v>
      </c>
      <c r="P4506">
        <v>-1.13045630155636</v>
      </c>
      <c r="Q4506">
        <v>0.174574699923844</v>
      </c>
      <c r="R4506">
        <v>0.892825982194978</v>
      </c>
      <c r="S4506" t="s">
        <v>10958</v>
      </c>
      <c r="T4506" t="s">
        <v>12902</v>
      </c>
      <c r="U4506" t="s">
        <v>12902</v>
      </c>
      <c r="V4506" t="s">
        <v>12902</v>
      </c>
      <c r="W4506" t="s">
        <v>17361</v>
      </c>
      <c r="X4506">
        <v>4</v>
      </c>
      <c r="Y4506" t="s">
        <v>23665</v>
      </c>
      <c r="Z4506" t="s">
        <v>30081</v>
      </c>
      <c r="AA4506">
        <v>0.32978078662510518</v>
      </c>
      <c r="AB4506" t="str">
        <f>HYPERLINK("Melting_Curves/meltCurve_Q8ND76_CCNY.pdf", "Melting_Curves/meltCurve_Q8ND76_CCNY.pdf")</f>
        <v>Melting_Curves/meltCurve_Q8ND76_CCNY.pdf</v>
      </c>
    </row>
    <row r="4507" spans="1:28" x14ac:dyDescent="0.25">
      <c r="A4507" t="s">
        <v>4511</v>
      </c>
      <c r="B4507">
        <v>0.99673306730245903</v>
      </c>
      <c r="C4507">
        <v>0.70869639926933303</v>
      </c>
      <c r="D4507">
        <v>0.48881551654647298</v>
      </c>
      <c r="E4507">
        <v>0.30303532246410803</v>
      </c>
      <c r="F4507">
        <v>0.35400006484735203</v>
      </c>
      <c r="G4507">
        <v>0.17423255502583501</v>
      </c>
      <c r="H4507">
        <v>9.5625411457134393E-2</v>
      </c>
      <c r="I4507">
        <v>4.2820690230281698E-2</v>
      </c>
      <c r="J4507">
        <v>5.9350447258382399E-2</v>
      </c>
      <c r="K4507">
        <v>5.5118315851194297E-2</v>
      </c>
      <c r="L4507">
        <v>548.37444851463704</v>
      </c>
      <c r="M4507">
        <v>11.8056349648805</v>
      </c>
      <c r="N4507">
        <v>46.858940328824502</v>
      </c>
      <c r="O4507">
        <v>45.177538740496097</v>
      </c>
      <c r="P4507">
        <v>-6.2148932459506097E-2</v>
      </c>
      <c r="Q4507">
        <v>4.8923277351488201E-2</v>
      </c>
      <c r="R4507">
        <v>0.95451895259887998</v>
      </c>
      <c r="S4507" t="s">
        <v>10959</v>
      </c>
      <c r="T4507" t="s">
        <v>12902</v>
      </c>
      <c r="U4507" t="s">
        <v>12902</v>
      </c>
      <c r="V4507" t="s">
        <v>12902</v>
      </c>
      <c r="W4507" t="s">
        <v>17362</v>
      </c>
      <c r="X4507">
        <v>1</v>
      </c>
      <c r="Y4507" t="s">
        <v>23666</v>
      </c>
      <c r="Z4507" t="s">
        <v>30082</v>
      </c>
      <c r="AA4507">
        <v>0.29636013660957888</v>
      </c>
      <c r="AB4507" t="str">
        <f>HYPERLINK("Melting_Curves/meltCurve_Q8ND90_PNMA1.pdf", "Melting_Curves/meltCurve_Q8ND90_PNMA1.pdf")</f>
        <v>Melting_Curves/meltCurve_Q8ND90_PNMA1.pdf</v>
      </c>
    </row>
    <row r="4508" spans="1:28" x14ac:dyDescent="0.25">
      <c r="A4508" t="s">
        <v>4512</v>
      </c>
      <c r="B4508">
        <v>0.99673306730245903</v>
      </c>
      <c r="C4508">
        <v>0.96589042336075803</v>
      </c>
      <c r="D4508">
        <v>0.90068713002696399</v>
      </c>
      <c r="E4508">
        <v>0.81739461870103403</v>
      </c>
      <c r="F4508">
        <v>0.73492367476480003</v>
      </c>
      <c r="G4508">
        <v>0.53777747409298104</v>
      </c>
      <c r="H4508">
        <v>0.36929397262809599</v>
      </c>
      <c r="I4508">
        <v>0.44614613349877602</v>
      </c>
      <c r="J4508">
        <v>0.75537360928503805</v>
      </c>
      <c r="K4508">
        <v>0.739011880794056</v>
      </c>
      <c r="L4508">
        <v>1097.11123897073</v>
      </c>
      <c r="M4508">
        <v>21.914599584349499</v>
      </c>
      <c r="O4508">
        <v>49.651751429945897</v>
      </c>
      <c r="P4508">
        <v>-4.7120411122015801E-2</v>
      </c>
      <c r="Q4508">
        <v>0.57296816760505398</v>
      </c>
      <c r="R4508">
        <v>0.67490860170935996</v>
      </c>
      <c r="S4508" t="s">
        <v>10960</v>
      </c>
      <c r="T4508" t="s">
        <v>12902</v>
      </c>
      <c r="U4508" t="s">
        <v>12902</v>
      </c>
      <c r="V4508" t="s">
        <v>12902</v>
      </c>
      <c r="W4508" t="s">
        <v>17363</v>
      </c>
      <c r="X4508">
        <v>1</v>
      </c>
      <c r="Y4508" t="s">
        <v>23667</v>
      </c>
      <c r="Z4508" t="s">
        <v>30083</v>
      </c>
      <c r="AA4508">
        <v>0.72117629252469939</v>
      </c>
      <c r="AB4508" t="str">
        <f>HYPERLINK("Melting_Curves/meltCurve_Q8NDC0_MAPK1IP1L.pdf", "Melting_Curves/meltCurve_Q8NDC0_MAPK1IP1L.pdf")</f>
        <v>Melting_Curves/meltCurve_Q8NDC0_MAPK1IP1L.pdf</v>
      </c>
    </row>
    <row r="4509" spans="1:28" x14ac:dyDescent="0.25">
      <c r="A4509" t="s">
        <v>4513</v>
      </c>
      <c r="B4509">
        <v>0.99673306730245903</v>
      </c>
      <c r="C4509">
        <v>1.0431575334516801</v>
      </c>
      <c r="D4509">
        <v>1.04917995316488</v>
      </c>
      <c r="E4509">
        <v>0.90449719924276095</v>
      </c>
      <c r="F4509">
        <v>0.759198568512785</v>
      </c>
      <c r="G4509">
        <v>0.63132312312408101</v>
      </c>
      <c r="H4509">
        <v>0.510364536771725</v>
      </c>
      <c r="I4509">
        <v>0.61498388488021305</v>
      </c>
      <c r="J4509">
        <v>0.96817081337871003</v>
      </c>
      <c r="K4509">
        <v>1.08061899341269</v>
      </c>
      <c r="L4509">
        <v>12420.272274184201</v>
      </c>
      <c r="M4509">
        <v>250</v>
      </c>
      <c r="O4509">
        <v>49.677893683409202</v>
      </c>
      <c r="P4509">
        <v>-0.30096796284213401</v>
      </c>
      <c r="Q4509">
        <v>0.76077665073644296</v>
      </c>
      <c r="R4509">
        <v>0.36617181233433099</v>
      </c>
      <c r="S4509" t="s">
        <v>10961</v>
      </c>
      <c r="T4509" t="s">
        <v>12902</v>
      </c>
      <c r="U4509" t="s">
        <v>12902</v>
      </c>
      <c r="V4509" t="s">
        <v>12902</v>
      </c>
      <c r="W4509" t="s">
        <v>17364</v>
      </c>
      <c r="X4509">
        <v>8</v>
      </c>
      <c r="Y4509" t="s">
        <v>23668</v>
      </c>
      <c r="Z4509" t="s">
        <v>30084</v>
      </c>
      <c r="AA4509">
        <v>0.83799559378446131</v>
      </c>
      <c r="AB4509" t="str">
        <f>HYPERLINK("Melting_Curves/meltCurve_Q8NDD1_3_C1orf131.pdf", "Melting_Curves/meltCurve_Q8NDD1_3_C1orf131.pdf")</f>
        <v>Melting_Curves/meltCurve_Q8NDD1_3_C1orf131.pdf</v>
      </c>
    </row>
    <row r="4510" spans="1:28" x14ac:dyDescent="0.25">
      <c r="A4510" t="s">
        <v>4514</v>
      </c>
      <c r="B4510">
        <v>0.99673306730245903</v>
      </c>
      <c r="C4510">
        <v>0.953117070583957</v>
      </c>
      <c r="D4510">
        <v>1.0021780176165</v>
      </c>
      <c r="E4510">
        <v>1.0729069949822601</v>
      </c>
      <c r="F4510">
        <v>1.0725635928525501</v>
      </c>
      <c r="G4510">
        <v>0.92438144114402199</v>
      </c>
      <c r="H4510">
        <v>0.770650101608921</v>
      </c>
      <c r="I4510">
        <v>0.73889776457967005</v>
      </c>
      <c r="J4510">
        <v>0.71375033078583705</v>
      </c>
      <c r="K4510">
        <v>0.30438850570960102</v>
      </c>
      <c r="L4510">
        <v>1049.2710754708201</v>
      </c>
      <c r="M4510">
        <v>15.3640905143246</v>
      </c>
      <c r="N4510">
        <v>68.293732349105497</v>
      </c>
      <c r="O4510">
        <v>67.168125075839399</v>
      </c>
      <c r="P4510">
        <v>-5.7190448058589402E-2</v>
      </c>
      <c r="Q4510">
        <v>0</v>
      </c>
      <c r="R4510">
        <v>0.88293539440608704</v>
      </c>
      <c r="S4510" t="s">
        <v>10962</v>
      </c>
      <c r="T4510" t="s">
        <v>12902</v>
      </c>
      <c r="U4510" t="s">
        <v>12902</v>
      </c>
      <c r="V4510" t="s">
        <v>12902</v>
      </c>
      <c r="W4510" t="s">
        <v>17365</v>
      </c>
      <c r="X4510">
        <v>11</v>
      </c>
      <c r="Y4510" t="s">
        <v>23669</v>
      </c>
      <c r="Z4510" t="s">
        <v>30085</v>
      </c>
      <c r="AA4510">
        <v>0.87936418731260346</v>
      </c>
      <c r="AB4510" t="str">
        <f>HYPERLINK("Melting_Curves/meltCurve_Q8NDH3_NPEPL1.pdf", "Melting_Curves/meltCurve_Q8NDH3_NPEPL1.pdf")</f>
        <v>Melting_Curves/meltCurve_Q8NDH3_NPEPL1.pdf</v>
      </c>
    </row>
    <row r="4511" spans="1:28" x14ac:dyDescent="0.25">
      <c r="A4511" t="s">
        <v>4515</v>
      </c>
      <c r="B4511">
        <v>0.99673306730245903</v>
      </c>
      <c r="C4511">
        <v>0.85826293514647201</v>
      </c>
      <c r="D4511">
        <v>0.82796542305223098</v>
      </c>
      <c r="E4511">
        <v>0.529455914424248</v>
      </c>
      <c r="F4511">
        <v>0.442544574494728</v>
      </c>
      <c r="G4511">
        <v>0.25352550851148598</v>
      </c>
      <c r="H4511">
        <v>0.26524528363858102</v>
      </c>
      <c r="I4511">
        <v>0.20994128263223499</v>
      </c>
      <c r="J4511">
        <v>0.417762134524719</v>
      </c>
      <c r="K4511">
        <v>0.36659919568044702</v>
      </c>
      <c r="L4511">
        <v>912.35105580428399</v>
      </c>
      <c r="M4511">
        <v>19.011269633572098</v>
      </c>
      <c r="N4511">
        <v>50.413997912886302</v>
      </c>
      <c r="O4511">
        <v>47.468489929736798</v>
      </c>
      <c r="P4511">
        <v>-7.0134799101680398E-2</v>
      </c>
      <c r="Q4511">
        <v>0.29956059314528999</v>
      </c>
      <c r="R4511">
        <v>0.93568798525338304</v>
      </c>
      <c r="S4511" t="s">
        <v>10963</v>
      </c>
      <c r="T4511" t="s">
        <v>12902</v>
      </c>
      <c r="U4511" t="s">
        <v>12902</v>
      </c>
      <c r="V4511" t="s">
        <v>12902</v>
      </c>
      <c r="W4511" t="s">
        <v>17366</v>
      </c>
      <c r="X4511">
        <v>1</v>
      </c>
      <c r="Y4511" t="s">
        <v>23670</v>
      </c>
      <c r="Z4511" t="s">
        <v>30086</v>
      </c>
      <c r="AA4511">
        <v>0.49719473926516272</v>
      </c>
      <c r="AB4511" t="str">
        <f>HYPERLINK("Melting_Curves/meltCurve_Q8NDI1_3_EHBP1.pdf", "Melting_Curves/meltCurve_Q8NDI1_3_EHBP1.pdf")</f>
        <v>Melting_Curves/meltCurve_Q8NDI1_3_EHBP1.pdf</v>
      </c>
    </row>
    <row r="4512" spans="1:28" x14ac:dyDescent="0.25">
      <c r="A4512" t="s">
        <v>4516</v>
      </c>
      <c r="B4512">
        <v>0.99673306730245903</v>
      </c>
      <c r="C4512">
        <v>0.84986078544494303</v>
      </c>
      <c r="D4512">
        <v>0.72380611281945195</v>
      </c>
      <c r="E4512">
        <v>0.648328316412911</v>
      </c>
      <c r="F4512">
        <v>0.63651553531438199</v>
      </c>
      <c r="G4512">
        <v>0.32309681608544699</v>
      </c>
      <c r="H4512">
        <v>0.14989774001623599</v>
      </c>
      <c r="I4512">
        <v>0.10322020169580599</v>
      </c>
      <c r="J4512">
        <v>8.6400975633413701E-2</v>
      </c>
      <c r="K4512">
        <v>0</v>
      </c>
      <c r="L4512">
        <v>545.04194727683205</v>
      </c>
      <c r="M4512">
        <v>10.332644756251501</v>
      </c>
      <c r="N4512">
        <v>52.749507190004302</v>
      </c>
      <c r="O4512">
        <v>50.888360864798301</v>
      </c>
      <c r="P4512">
        <v>-5.0783118693851298E-2</v>
      </c>
      <c r="Q4512">
        <v>0</v>
      </c>
      <c r="R4512">
        <v>0.95784137813442405</v>
      </c>
      <c r="S4512" t="s">
        <v>10964</v>
      </c>
      <c r="T4512" t="s">
        <v>12902</v>
      </c>
      <c r="U4512" t="s">
        <v>12902</v>
      </c>
      <c r="V4512" t="s">
        <v>12902</v>
      </c>
      <c r="W4512" t="s">
        <v>17367</v>
      </c>
      <c r="X4512">
        <v>3</v>
      </c>
      <c r="Y4512" t="s">
        <v>23671</v>
      </c>
      <c r="Z4512" t="s">
        <v>30087</v>
      </c>
      <c r="AA4512">
        <v>0.45905675283652447</v>
      </c>
      <c r="AB4512" t="str">
        <f>HYPERLINK("Melting_Curves/meltCurve_Q8NDT2_RBM15B.pdf", "Melting_Curves/meltCurve_Q8NDT2_RBM15B.pdf")</f>
        <v>Melting_Curves/meltCurve_Q8NDT2_RBM15B.pdf</v>
      </c>
    </row>
    <row r="4513" spans="1:28" x14ac:dyDescent="0.25">
      <c r="A4513" t="s">
        <v>4517</v>
      </c>
      <c r="B4513">
        <v>0.99673306730245903</v>
      </c>
      <c r="C4513">
        <v>0.89627109316078901</v>
      </c>
      <c r="D4513">
        <v>1.0038408912867001</v>
      </c>
      <c r="E4513">
        <v>1.1289899768115601</v>
      </c>
      <c r="F4513">
        <v>0.67211246153289095</v>
      </c>
      <c r="G4513">
        <v>0.28611426540947199</v>
      </c>
      <c r="H4513">
        <v>0.16184056434729099</v>
      </c>
      <c r="I4513">
        <v>0.11980172456728699</v>
      </c>
      <c r="J4513">
        <v>0.12941851375334801</v>
      </c>
      <c r="K4513">
        <v>0.11121501706166199</v>
      </c>
      <c r="L4513">
        <v>2130.1983704762001</v>
      </c>
      <c r="M4513">
        <v>39.354676348063798</v>
      </c>
      <c r="N4513">
        <v>54.555524540150799</v>
      </c>
      <c r="O4513">
        <v>53.989019989289403</v>
      </c>
      <c r="P4513">
        <v>-0.15806391423239</v>
      </c>
      <c r="Q4513">
        <v>0.13263707890246801</v>
      </c>
      <c r="R4513">
        <v>0.977183317395108</v>
      </c>
      <c r="S4513" t="s">
        <v>10965</v>
      </c>
      <c r="T4513" t="s">
        <v>12902</v>
      </c>
      <c r="U4513" t="s">
        <v>12902</v>
      </c>
      <c r="V4513" t="s">
        <v>12902</v>
      </c>
      <c r="W4513" t="s">
        <v>17368</v>
      </c>
      <c r="X4513">
        <v>2</v>
      </c>
      <c r="Y4513" t="s">
        <v>23672</v>
      </c>
      <c r="Z4513" t="s">
        <v>30088</v>
      </c>
      <c r="AA4513">
        <v>0.54445839952709874</v>
      </c>
      <c r="AB4513" t="str">
        <f>HYPERLINK("Melting_Curves/meltCurve_Q8NDV3_2_SMC1B.pdf", "Melting_Curves/meltCurve_Q8NDV3_2_SMC1B.pdf")</f>
        <v>Melting_Curves/meltCurve_Q8NDV3_2_SMC1B.pdf</v>
      </c>
    </row>
    <row r="4514" spans="1:28" x14ac:dyDescent="0.25">
      <c r="A4514" t="s">
        <v>4518</v>
      </c>
      <c r="B4514">
        <v>0.99673306730245903</v>
      </c>
      <c r="C4514">
        <v>0.92326558786458501</v>
      </c>
      <c r="D4514">
        <v>0.84230179660471804</v>
      </c>
      <c r="E4514">
        <v>0.66217959585381803</v>
      </c>
      <c r="F4514">
        <v>0.31753305277590399</v>
      </c>
      <c r="G4514">
        <v>0.14734428984550199</v>
      </c>
      <c r="H4514">
        <v>9.3410583496347496E-2</v>
      </c>
      <c r="I4514">
        <v>7.8845548040748906E-2</v>
      </c>
      <c r="J4514">
        <v>8.2125378826736803E-2</v>
      </c>
      <c r="K4514">
        <v>6.7517371557895098E-2</v>
      </c>
      <c r="L4514">
        <v>928.31205471994804</v>
      </c>
      <c r="M4514">
        <v>18.3279257047264</v>
      </c>
      <c r="N4514">
        <v>50.980770607747402</v>
      </c>
      <c r="O4514">
        <v>50.0587114043661</v>
      </c>
      <c r="P4514">
        <v>-8.6407094489992203E-2</v>
      </c>
      <c r="Q4514">
        <v>5.6035225693973102E-2</v>
      </c>
      <c r="R4514">
        <v>0.99578455679087996</v>
      </c>
      <c r="S4514" t="s">
        <v>10966</v>
      </c>
      <c r="T4514" t="s">
        <v>12902</v>
      </c>
      <c r="U4514" t="s">
        <v>12902</v>
      </c>
      <c r="V4514" t="s">
        <v>12902</v>
      </c>
      <c r="W4514" t="s">
        <v>17369</v>
      </c>
      <c r="X4514">
        <v>9</v>
      </c>
      <c r="Y4514" t="s">
        <v>23673</v>
      </c>
      <c r="Z4514" t="s">
        <v>30089</v>
      </c>
      <c r="AA4514">
        <v>0.40659477636267299</v>
      </c>
      <c r="AB4514" t="str">
        <f>HYPERLINK("Melting_Curves/meltCurve_Q8NDZ4_C3orf58.pdf", "Melting_Curves/meltCurve_Q8NDZ4_C3orf58.pdf")</f>
        <v>Melting_Curves/meltCurve_Q8NDZ4_C3orf58.pdf</v>
      </c>
    </row>
    <row r="4515" spans="1:28" x14ac:dyDescent="0.25">
      <c r="A4515" t="s">
        <v>4519</v>
      </c>
      <c r="B4515">
        <v>0.99673306730245903</v>
      </c>
      <c r="C4515">
        <v>1.0078864502973499</v>
      </c>
      <c r="D4515">
        <v>0.91624166800832596</v>
      </c>
      <c r="E4515">
        <v>0.57177426875479598</v>
      </c>
      <c r="F4515">
        <v>0.28138699224545799</v>
      </c>
      <c r="G4515">
        <v>0.204341374256785</v>
      </c>
      <c r="H4515">
        <v>0.122061035488189</v>
      </c>
      <c r="I4515">
        <v>8.8280524825788506E-2</v>
      </c>
      <c r="J4515">
        <v>6.7810559831675402E-2</v>
      </c>
      <c r="K4515">
        <v>5.07198943905715E-2</v>
      </c>
      <c r="L4515">
        <v>1076.90459430345</v>
      </c>
      <c r="M4515">
        <v>21.462804952273299</v>
      </c>
      <c r="N4515">
        <v>50.5967553315214</v>
      </c>
      <c r="O4515">
        <v>49.745900919975199</v>
      </c>
      <c r="P4515">
        <v>-9.9037350614593206E-2</v>
      </c>
      <c r="Q4515">
        <v>8.1838374154677998E-2</v>
      </c>
      <c r="R4515">
        <v>0.99502410641777095</v>
      </c>
      <c r="S4515" t="s">
        <v>10967</v>
      </c>
      <c r="T4515" t="s">
        <v>12902</v>
      </c>
      <c r="U4515" t="s">
        <v>12902</v>
      </c>
      <c r="V4515" t="s">
        <v>12902</v>
      </c>
      <c r="W4515" t="s">
        <v>17370</v>
      </c>
      <c r="X4515">
        <v>24</v>
      </c>
      <c r="Y4515" t="s">
        <v>23674</v>
      </c>
      <c r="Z4515" t="s">
        <v>30090</v>
      </c>
      <c r="AA4515">
        <v>0.40439049405628669</v>
      </c>
      <c r="AB4515" t="str">
        <f>HYPERLINK("Melting_Curves/meltCurve_Q8NE62_CHDH.pdf", "Melting_Curves/meltCurve_Q8NE62_CHDH.pdf")</f>
        <v>Melting_Curves/meltCurve_Q8NE62_CHDH.pdf</v>
      </c>
    </row>
    <row r="4516" spans="1:28" x14ac:dyDescent="0.25">
      <c r="A4516" t="s">
        <v>4520</v>
      </c>
      <c r="B4516">
        <v>0.99673306730245903</v>
      </c>
      <c r="C4516">
        <v>0.76162973743017504</v>
      </c>
      <c r="D4516">
        <v>1.01317925831603</v>
      </c>
      <c r="E4516">
        <v>0.84517404229889104</v>
      </c>
      <c r="F4516">
        <v>0.41681319729643701</v>
      </c>
      <c r="G4516">
        <v>0.15283190667784699</v>
      </c>
      <c r="H4516">
        <v>8.7266432278867503E-2</v>
      </c>
      <c r="I4516">
        <v>7.2940893187596903E-2</v>
      </c>
      <c r="J4516">
        <v>7.3579234555656597E-2</v>
      </c>
      <c r="K4516">
        <v>6.0833707345881401E-2</v>
      </c>
      <c r="L4516">
        <v>1533.9759660959601</v>
      </c>
      <c r="M4516">
        <v>29.3350278424777</v>
      </c>
      <c r="N4516">
        <v>52.554967111263799</v>
      </c>
      <c r="O4516">
        <v>52.050422428182202</v>
      </c>
      <c r="P4516">
        <v>-0.131267529463719</v>
      </c>
      <c r="Q4516">
        <v>6.8351853525880205E-2</v>
      </c>
      <c r="R4516">
        <v>0.96256617719956605</v>
      </c>
      <c r="S4516" t="s">
        <v>10968</v>
      </c>
      <c r="T4516" t="s">
        <v>12902</v>
      </c>
      <c r="U4516" t="s">
        <v>12902</v>
      </c>
      <c r="V4516" t="s">
        <v>12902</v>
      </c>
      <c r="W4516" t="s">
        <v>17371</v>
      </c>
      <c r="X4516">
        <v>46</v>
      </c>
      <c r="Y4516" t="s">
        <v>23675</v>
      </c>
      <c r="Z4516" t="s">
        <v>30091</v>
      </c>
      <c r="AA4516">
        <v>0.4563170423301639</v>
      </c>
      <c r="AB4516" t="str">
        <f>HYPERLINK("Melting_Curves/meltCurve_Q8NE71_ABCF1.pdf", "Melting_Curves/meltCurve_Q8NE71_ABCF1.pdf")</f>
        <v>Melting_Curves/meltCurve_Q8NE71_ABCF1.pdf</v>
      </c>
    </row>
    <row r="4517" spans="1:28" x14ac:dyDescent="0.25">
      <c r="A4517" t="s">
        <v>4521</v>
      </c>
      <c r="B4517">
        <v>0.99673306730245903</v>
      </c>
      <c r="C4517">
        <v>0.95227969632980203</v>
      </c>
      <c r="D4517">
        <v>0.90558610241501802</v>
      </c>
      <c r="E4517">
        <v>0.79998652548483695</v>
      </c>
      <c r="F4517">
        <v>0.36652488361637597</v>
      </c>
      <c r="G4517">
        <v>0.279212842667451</v>
      </c>
      <c r="H4517">
        <v>0.186897823852928</v>
      </c>
      <c r="I4517">
        <v>0.144731209499431</v>
      </c>
      <c r="J4517">
        <v>0.16101539209162499</v>
      </c>
      <c r="K4517">
        <v>0.15559641953659401</v>
      </c>
      <c r="L4517">
        <v>1247.8823622704899</v>
      </c>
      <c r="M4517">
        <v>24.2772636995367</v>
      </c>
      <c r="N4517">
        <v>52.222279376164501</v>
      </c>
      <c r="O4517">
        <v>51.056308316855699</v>
      </c>
      <c r="P4517">
        <v>-0.100018084007592</v>
      </c>
      <c r="Q4517">
        <v>0.15864014827655001</v>
      </c>
      <c r="R4517">
        <v>0.990965650888602</v>
      </c>
      <c r="S4517" t="s">
        <v>10969</v>
      </c>
      <c r="T4517" t="s">
        <v>12902</v>
      </c>
      <c r="U4517" t="s">
        <v>12902</v>
      </c>
      <c r="V4517" t="s">
        <v>12902</v>
      </c>
      <c r="W4517" t="s">
        <v>17372</v>
      </c>
      <c r="X4517">
        <v>7</v>
      </c>
      <c r="Y4517" t="s">
        <v>23676</v>
      </c>
      <c r="Z4517" t="s">
        <v>30092</v>
      </c>
      <c r="AA4517">
        <v>0.4864748380526453</v>
      </c>
      <c r="AB4517" t="str">
        <f>HYPERLINK("Melting_Curves/meltCurve_Q8NEG4_FAM83F.pdf", "Melting_Curves/meltCurve_Q8NEG4_FAM83F.pdf")</f>
        <v>Melting_Curves/meltCurve_Q8NEG4_FAM83F.pdf</v>
      </c>
    </row>
    <row r="4518" spans="1:28" x14ac:dyDescent="0.25">
      <c r="A4518" t="s">
        <v>4522</v>
      </c>
      <c r="B4518">
        <v>0.99673306730245903</v>
      </c>
      <c r="C4518">
        <v>0.91396016594222496</v>
      </c>
      <c r="D4518">
        <v>0.918483174591325</v>
      </c>
      <c r="E4518">
        <v>0.74370670561968899</v>
      </c>
      <c r="F4518">
        <v>0.579518177628492</v>
      </c>
      <c r="G4518">
        <v>0.45932448441368501</v>
      </c>
      <c r="H4518">
        <v>0.43106793388761</v>
      </c>
      <c r="I4518">
        <v>0.48118545231444698</v>
      </c>
      <c r="J4518">
        <v>0.88200257186780795</v>
      </c>
      <c r="K4518">
        <v>0.73671787075343897</v>
      </c>
      <c r="L4518">
        <v>1487.0092083161301</v>
      </c>
      <c r="M4518">
        <v>30.8373047344807</v>
      </c>
      <c r="O4518">
        <v>48.019697949445003</v>
      </c>
      <c r="P4518">
        <v>-6.5173759310448998E-2</v>
      </c>
      <c r="Q4518">
        <v>0.59404942219702594</v>
      </c>
      <c r="R4518">
        <v>0.583539997655664</v>
      </c>
      <c r="S4518" t="s">
        <v>10970</v>
      </c>
      <c r="T4518" t="s">
        <v>12902</v>
      </c>
      <c r="U4518" t="s">
        <v>12902</v>
      </c>
      <c r="V4518" t="s">
        <v>12902</v>
      </c>
      <c r="W4518" t="s">
        <v>17373</v>
      </c>
      <c r="X4518">
        <v>6</v>
      </c>
      <c r="Y4518" t="s">
        <v>23677</v>
      </c>
      <c r="Z4518" t="s">
        <v>30093</v>
      </c>
      <c r="AA4518">
        <v>0.70760740813940615</v>
      </c>
      <c r="AB4518" t="str">
        <f>HYPERLINK("Melting_Curves/meltCurve_Q8NEL9_2_DDHD1.pdf", "Melting_Curves/meltCurve_Q8NEL9_2_DDHD1.pdf")</f>
        <v>Melting_Curves/meltCurve_Q8NEL9_2_DDHD1.pdf</v>
      </c>
    </row>
    <row r="4519" spans="1:28" x14ac:dyDescent="0.25">
      <c r="A4519" t="s">
        <v>4523</v>
      </c>
      <c r="B4519">
        <v>0.99673306730245903</v>
      </c>
      <c r="C4519">
        <v>0.95862356550273398</v>
      </c>
      <c r="D4519">
        <v>0.93801309193182503</v>
      </c>
      <c r="E4519">
        <v>0.75448223591472097</v>
      </c>
      <c r="F4519">
        <v>0.26754105567888697</v>
      </c>
      <c r="G4519">
        <v>0.157201583553121</v>
      </c>
      <c r="H4519">
        <v>8.1624326352818299E-2</v>
      </c>
      <c r="I4519">
        <v>8.0127434704986802E-2</v>
      </c>
      <c r="J4519">
        <v>0.12082717300821701</v>
      </c>
      <c r="K4519">
        <v>9.5783242219765502E-2</v>
      </c>
      <c r="L4519">
        <v>1641.9135316537099</v>
      </c>
      <c r="M4519">
        <v>32.200968674187898</v>
      </c>
      <c r="N4519">
        <v>51.3335371881847</v>
      </c>
      <c r="O4519">
        <v>50.794126513723597</v>
      </c>
      <c r="P4519">
        <v>-0.14310888208859299</v>
      </c>
      <c r="Q4519">
        <v>9.7038994357389399E-2</v>
      </c>
      <c r="R4519">
        <v>0.99643373221221598</v>
      </c>
      <c r="S4519" t="s">
        <v>10971</v>
      </c>
      <c r="T4519" t="s">
        <v>12902</v>
      </c>
      <c r="U4519" t="s">
        <v>12902</v>
      </c>
      <c r="V4519" t="s">
        <v>12902</v>
      </c>
      <c r="W4519" t="s">
        <v>17374</v>
      </c>
      <c r="X4519">
        <v>4</v>
      </c>
      <c r="Y4519" t="s">
        <v>23678</v>
      </c>
      <c r="Z4519" t="s">
        <v>30094</v>
      </c>
      <c r="AA4519">
        <v>0.43273536074145491</v>
      </c>
      <c r="AB4519" t="str">
        <f>HYPERLINK("Melting_Curves/meltCurve_Q8NEN9_PDZD8.pdf", "Melting_Curves/meltCurve_Q8NEN9_PDZD8.pdf")</f>
        <v>Melting_Curves/meltCurve_Q8NEN9_PDZD8.pdf</v>
      </c>
    </row>
    <row r="4520" spans="1:28" x14ac:dyDescent="0.25">
      <c r="A4520" t="s">
        <v>4524</v>
      </c>
      <c r="B4520">
        <v>0.99673306730245903</v>
      </c>
      <c r="C4520">
        <v>0.93237771662995095</v>
      </c>
      <c r="D4520">
        <v>0.46450276565057202</v>
      </c>
      <c r="E4520">
        <v>0.22542249122608099</v>
      </c>
      <c r="F4520">
        <v>0.170539735423962</v>
      </c>
      <c r="G4520">
        <v>8.9478545182297003E-2</v>
      </c>
      <c r="H4520">
        <v>4.6298349393439402E-2</v>
      </c>
      <c r="I4520">
        <v>3.9201748779498398E-2</v>
      </c>
      <c r="J4520">
        <v>4.1280332867843203E-2</v>
      </c>
      <c r="K4520">
        <v>4.6802721318417603E-2</v>
      </c>
      <c r="L4520">
        <v>1192.4292590498401</v>
      </c>
      <c r="M4520">
        <v>25.976831712702101</v>
      </c>
      <c r="N4520">
        <v>46.165469070141803</v>
      </c>
      <c r="O4520">
        <v>45.634114751380402</v>
      </c>
      <c r="P4520">
        <v>-0.132561668448825</v>
      </c>
      <c r="Q4520">
        <v>6.8513724210945898E-2</v>
      </c>
      <c r="R4520">
        <v>0.98573960513729597</v>
      </c>
      <c r="S4520" t="s">
        <v>10972</v>
      </c>
      <c r="T4520" t="s">
        <v>12902</v>
      </c>
      <c r="U4520" t="s">
        <v>12902</v>
      </c>
      <c r="V4520" t="s">
        <v>12902</v>
      </c>
      <c r="W4520" t="s">
        <v>17375</v>
      </c>
      <c r="X4520">
        <v>7</v>
      </c>
      <c r="Y4520" t="s">
        <v>23679</v>
      </c>
      <c r="Z4520" t="s">
        <v>30095</v>
      </c>
      <c r="AA4520">
        <v>0.25973257649367898</v>
      </c>
      <c r="AB4520" t="str">
        <f>HYPERLINK("Melting_Curves/meltCurve_Q8NEU8_2_APPL2.pdf", "Melting_Curves/meltCurve_Q8NEU8_2_APPL2.pdf")</f>
        <v>Melting_Curves/meltCurve_Q8NEU8_2_APPL2.pdf</v>
      </c>
    </row>
    <row r="4521" spans="1:28" x14ac:dyDescent="0.25">
      <c r="A4521" t="s">
        <v>4525</v>
      </c>
      <c r="B4521">
        <v>0.99673306730245903</v>
      </c>
      <c r="C4521">
        <v>1.0142253455501999</v>
      </c>
      <c r="D4521">
        <v>1.0310106189397299</v>
      </c>
      <c r="E4521">
        <v>0.95401497193370299</v>
      </c>
      <c r="F4521">
        <v>0.83016923125827102</v>
      </c>
      <c r="G4521">
        <v>0.49432871490944402</v>
      </c>
      <c r="H4521">
        <v>0.178136841255668</v>
      </c>
      <c r="I4521">
        <v>0.10093974586903499</v>
      </c>
      <c r="J4521">
        <v>8.1579807336958299E-2</v>
      </c>
      <c r="K4521">
        <v>7.1595475602613506E-2</v>
      </c>
      <c r="L4521">
        <v>1441.8855943574099</v>
      </c>
      <c r="M4521">
        <v>25.575053786191699</v>
      </c>
      <c r="N4521">
        <v>56.669556122686799</v>
      </c>
      <c r="O4521">
        <v>56.037284148470498</v>
      </c>
      <c r="P4521">
        <v>-0.107079484363117</v>
      </c>
      <c r="Q4521">
        <v>6.1527638053279203E-2</v>
      </c>
      <c r="R4521">
        <v>0.99885264280229202</v>
      </c>
      <c r="S4521" t="s">
        <v>10973</v>
      </c>
      <c r="T4521" t="s">
        <v>12902</v>
      </c>
      <c r="U4521" t="s">
        <v>12902</v>
      </c>
      <c r="V4521" t="s">
        <v>12902</v>
      </c>
      <c r="W4521" t="s">
        <v>17376</v>
      </c>
      <c r="X4521">
        <v>8</v>
      </c>
      <c r="Y4521" t="s">
        <v>23680</v>
      </c>
      <c r="Z4521" t="s">
        <v>30096</v>
      </c>
      <c r="AA4521">
        <v>0.58214368365758484</v>
      </c>
      <c r="AB4521" t="str">
        <f>HYPERLINK("Melting_Curves/meltCurve_Q8NEZ5_FBXO22.pdf", "Melting_Curves/meltCurve_Q8NEZ5_FBXO22.pdf")</f>
        <v>Melting_Curves/meltCurve_Q8NEZ5_FBXO22.pdf</v>
      </c>
    </row>
    <row r="4522" spans="1:28" x14ac:dyDescent="0.25">
      <c r="A4522" t="s">
        <v>4526</v>
      </c>
      <c r="B4522">
        <v>0.99673306730245903</v>
      </c>
      <c r="C4522">
        <v>0.922113700691361</v>
      </c>
      <c r="D4522">
        <v>0.86991989187048802</v>
      </c>
      <c r="E4522">
        <v>0.67357154323260904</v>
      </c>
      <c r="F4522">
        <v>0.26133796562336897</v>
      </c>
      <c r="G4522">
        <v>8.63882492997253E-2</v>
      </c>
      <c r="H4522">
        <v>4.89301522307534E-2</v>
      </c>
      <c r="I4522">
        <v>4.2389333298999597E-2</v>
      </c>
      <c r="J4522">
        <v>3.0397312713261002E-2</v>
      </c>
      <c r="K4522">
        <v>2.0750412781787301E-2</v>
      </c>
      <c r="L4522">
        <v>1112.2370709491499</v>
      </c>
      <c r="M4522">
        <v>21.912383346288198</v>
      </c>
      <c r="N4522">
        <v>50.849304932793402</v>
      </c>
      <c r="O4522">
        <v>50.341317345902702</v>
      </c>
      <c r="P4522">
        <v>-0.106730865723574</v>
      </c>
      <c r="Q4522">
        <v>1.9212241096825199E-2</v>
      </c>
      <c r="R4522">
        <v>0.99502449770735601</v>
      </c>
      <c r="S4522" t="s">
        <v>10974</v>
      </c>
      <c r="T4522" t="s">
        <v>12902</v>
      </c>
      <c r="U4522" t="s">
        <v>12902</v>
      </c>
      <c r="V4522" t="s">
        <v>12902</v>
      </c>
      <c r="W4522" t="s">
        <v>17377</v>
      </c>
      <c r="X4522">
        <v>6</v>
      </c>
      <c r="Y4522" t="s">
        <v>23681</v>
      </c>
      <c r="Z4522" t="s">
        <v>30097</v>
      </c>
      <c r="AA4522">
        <v>0.38237409645394171</v>
      </c>
      <c r="AB4522" t="str">
        <f>HYPERLINK("Melting_Curves/meltCurve_Q8NF37_LPCAT1.pdf", "Melting_Curves/meltCurve_Q8NF37_LPCAT1.pdf")</f>
        <v>Melting_Curves/meltCurve_Q8NF37_LPCAT1.pdf</v>
      </c>
    </row>
    <row r="4523" spans="1:28" x14ac:dyDescent="0.25">
      <c r="A4523" t="s">
        <v>4527</v>
      </c>
      <c r="B4523">
        <v>0.99673306730245903</v>
      </c>
      <c r="C4523">
        <v>0.93915020307265595</v>
      </c>
      <c r="D4523">
        <v>0.94542933157880205</v>
      </c>
      <c r="E4523">
        <v>0.93959208607073097</v>
      </c>
      <c r="F4523">
        <v>0.83200199347428805</v>
      </c>
      <c r="G4523">
        <v>0.70170229285755903</v>
      </c>
      <c r="H4523">
        <v>0.66744530325773299</v>
      </c>
      <c r="I4523">
        <v>0.94816819477560199</v>
      </c>
      <c r="J4523">
        <v>1.2389176469790599</v>
      </c>
      <c r="K4523">
        <v>1.1161351230683401</v>
      </c>
      <c r="L4523">
        <v>2113.8021306995702</v>
      </c>
      <c r="M4523">
        <v>50.4264105705765</v>
      </c>
      <c r="O4523">
        <v>41.852772859532699</v>
      </c>
      <c r="P4523">
        <v>-2.3097351925639199E-2</v>
      </c>
      <c r="Q4523">
        <v>0.92331893643057195</v>
      </c>
      <c r="R4523">
        <v>1.81097927204402E-2</v>
      </c>
      <c r="S4523" t="s">
        <v>10975</v>
      </c>
      <c r="T4523" t="s">
        <v>12902</v>
      </c>
      <c r="U4523" t="s">
        <v>12902</v>
      </c>
      <c r="V4523" t="s">
        <v>12902</v>
      </c>
      <c r="W4523" t="s">
        <v>17378</v>
      </c>
      <c r="X4523">
        <v>49</v>
      </c>
      <c r="Y4523" t="s">
        <v>23682</v>
      </c>
      <c r="Z4523" t="s">
        <v>30098</v>
      </c>
      <c r="AA4523">
        <v>0.92852120126717008</v>
      </c>
      <c r="AB4523" t="str">
        <f>HYPERLINK("Melting_Curves/meltCurve_Q8NFC6_BOD1L1.pdf", "Melting_Curves/meltCurve_Q8NFC6_BOD1L1.pdf")</f>
        <v>Melting_Curves/meltCurve_Q8NFC6_BOD1L1.pdf</v>
      </c>
    </row>
    <row r="4524" spans="1:28" x14ac:dyDescent="0.25">
      <c r="A4524" t="s">
        <v>4528</v>
      </c>
      <c r="B4524">
        <v>0.99673306730245903</v>
      </c>
      <c r="C4524">
        <v>0.92419628925530595</v>
      </c>
      <c r="D4524">
        <v>0.94480788052478004</v>
      </c>
      <c r="E4524">
        <v>0.67708846157754399</v>
      </c>
      <c r="F4524">
        <v>0.36109694528840902</v>
      </c>
      <c r="G4524">
        <v>0.25008996469735401</v>
      </c>
      <c r="H4524">
        <v>0.168336686361369</v>
      </c>
      <c r="I4524">
        <v>0.15204974839669699</v>
      </c>
      <c r="J4524">
        <v>0.13269248106109499</v>
      </c>
      <c r="K4524">
        <v>0.114022440692872</v>
      </c>
      <c r="L4524">
        <v>1042.4902589370199</v>
      </c>
      <c r="M4524">
        <v>20.4909880545082</v>
      </c>
      <c r="N4524">
        <v>51.6440063412524</v>
      </c>
      <c r="O4524">
        <v>50.398441032920402</v>
      </c>
      <c r="P4524">
        <v>-8.8291281344331798E-2</v>
      </c>
      <c r="Q4524">
        <v>0.13140134498745201</v>
      </c>
      <c r="R4524">
        <v>0.99504669655855904</v>
      </c>
      <c r="S4524" t="s">
        <v>10976</v>
      </c>
      <c r="T4524" t="s">
        <v>12902</v>
      </c>
      <c r="U4524" t="s">
        <v>12902</v>
      </c>
      <c r="V4524" t="s">
        <v>12902</v>
      </c>
      <c r="W4524" t="s">
        <v>17379</v>
      </c>
      <c r="X4524">
        <v>11</v>
      </c>
      <c r="Y4524" t="s">
        <v>23683</v>
      </c>
      <c r="Z4524" t="s">
        <v>30099</v>
      </c>
      <c r="AA4524">
        <v>0.45780554089624892</v>
      </c>
      <c r="AB4524" t="str">
        <f>HYPERLINK("Melting_Curves/meltCurve_Q8NFF5_2_FLAD1.pdf", "Melting_Curves/meltCurve_Q8NFF5_2_FLAD1.pdf")</f>
        <v>Melting_Curves/meltCurve_Q8NFF5_2_FLAD1.pdf</v>
      </c>
    </row>
    <row r="4525" spans="1:28" x14ac:dyDescent="0.25">
      <c r="A4525" t="s">
        <v>4529</v>
      </c>
      <c r="B4525">
        <v>0.99673306730245903</v>
      </c>
      <c r="C4525">
        <v>0.98359494067063302</v>
      </c>
      <c r="D4525">
        <v>0.97102172321483504</v>
      </c>
      <c r="E4525">
        <v>1.0905592841984</v>
      </c>
      <c r="F4525">
        <v>1.26667247817199</v>
      </c>
      <c r="G4525">
        <v>1.29292010652977</v>
      </c>
      <c r="H4525">
        <v>0.81683692202142899</v>
      </c>
      <c r="I4525">
        <v>0.23752661728649099</v>
      </c>
      <c r="J4525">
        <v>0.11133039839697199</v>
      </c>
      <c r="K4525">
        <v>7.2803537869162799E-2</v>
      </c>
      <c r="L4525">
        <v>3837.8341689470899</v>
      </c>
      <c r="M4525">
        <v>61.6567087138883</v>
      </c>
      <c r="N4525">
        <v>62.442609695301798</v>
      </c>
      <c r="O4525">
        <v>62.179840527285002</v>
      </c>
      <c r="P4525">
        <v>-0.225945157696857</v>
      </c>
      <c r="Q4525">
        <v>8.85517966845141E-2</v>
      </c>
      <c r="R4525">
        <v>0.9142928160796</v>
      </c>
      <c r="S4525" t="s">
        <v>10977</v>
      </c>
      <c r="T4525" t="s">
        <v>12902</v>
      </c>
      <c r="U4525" t="s">
        <v>12902</v>
      </c>
      <c r="V4525" t="s">
        <v>12902</v>
      </c>
      <c r="W4525" t="s">
        <v>17380</v>
      </c>
      <c r="X4525">
        <v>7</v>
      </c>
      <c r="Y4525" t="s">
        <v>23684</v>
      </c>
      <c r="Z4525" t="s">
        <v>30100</v>
      </c>
      <c r="AA4525">
        <v>0.765995783645679</v>
      </c>
      <c r="AB4525" t="str">
        <f>HYPERLINK("Melting_Curves/meltCurve_Q8NFH3_NUP43.pdf", "Melting_Curves/meltCurve_Q8NFH3_NUP43.pdf")</f>
        <v>Melting_Curves/meltCurve_Q8NFH3_NUP43.pdf</v>
      </c>
    </row>
    <row r="4526" spans="1:28" x14ac:dyDescent="0.25">
      <c r="A4526" t="s">
        <v>4530</v>
      </c>
      <c r="B4526">
        <v>0.99673306730245903</v>
      </c>
      <c r="C4526">
        <v>0.99894421311301196</v>
      </c>
      <c r="D4526">
        <v>0.94474145289366795</v>
      </c>
      <c r="E4526">
        <v>0.97826266557378605</v>
      </c>
      <c r="F4526">
        <v>0.86586058407751498</v>
      </c>
      <c r="G4526">
        <v>0.76834669873529504</v>
      </c>
      <c r="H4526">
        <v>0.29358533272835802</v>
      </c>
      <c r="I4526">
        <v>0.13654656792352399</v>
      </c>
      <c r="J4526">
        <v>0.11807960214541099</v>
      </c>
      <c r="K4526">
        <v>0.129539604169158</v>
      </c>
      <c r="L4526">
        <v>1757.1607386293299</v>
      </c>
      <c r="M4526">
        <v>30.092754035438102</v>
      </c>
      <c r="N4526">
        <v>58.822848255983303</v>
      </c>
      <c r="O4526">
        <v>58.135452993055999</v>
      </c>
      <c r="P4526">
        <v>-0.11659579566262</v>
      </c>
      <c r="Q4526">
        <v>9.9011586350350497E-2</v>
      </c>
      <c r="R4526">
        <v>0.99016068483702502</v>
      </c>
      <c r="S4526" t="s">
        <v>10978</v>
      </c>
      <c r="T4526" t="s">
        <v>12902</v>
      </c>
      <c r="U4526" t="s">
        <v>12902</v>
      </c>
      <c r="V4526" t="s">
        <v>12902</v>
      </c>
      <c r="W4526" t="s">
        <v>17381</v>
      </c>
      <c r="X4526">
        <v>9</v>
      </c>
      <c r="Y4526" t="s">
        <v>23685</v>
      </c>
      <c r="Z4526" t="s">
        <v>30101</v>
      </c>
      <c r="AA4526">
        <v>0.65721435448273469</v>
      </c>
      <c r="AB4526" t="str">
        <f>HYPERLINK("Melting_Curves/meltCurve_Q8NFH4_NUP37.pdf", "Melting_Curves/meltCurve_Q8NFH4_NUP37.pdf")</f>
        <v>Melting_Curves/meltCurve_Q8NFH4_NUP37.pdf</v>
      </c>
    </row>
    <row r="4527" spans="1:28" x14ac:dyDescent="0.25">
      <c r="A4527" t="s">
        <v>4531</v>
      </c>
      <c r="B4527">
        <v>0.99673306730245903</v>
      </c>
      <c r="C4527">
        <v>1.0284849283736499</v>
      </c>
      <c r="D4527">
        <v>0.97629432490002899</v>
      </c>
      <c r="E4527">
        <v>0.93511260558836695</v>
      </c>
      <c r="F4527">
        <v>0.72658609736749202</v>
      </c>
      <c r="G4527">
        <v>0.30119000716919597</v>
      </c>
      <c r="H4527">
        <v>0.120647905796733</v>
      </c>
      <c r="I4527">
        <v>8.0998680552018004E-2</v>
      </c>
      <c r="J4527">
        <v>8.4844313122858797E-2</v>
      </c>
      <c r="K4527">
        <v>8.5077991697036101E-2</v>
      </c>
      <c r="L4527">
        <v>1611.1389141574</v>
      </c>
      <c r="M4527">
        <v>29.470522508032399</v>
      </c>
      <c r="N4527">
        <v>54.980446073333702</v>
      </c>
      <c r="O4527">
        <v>54.419637890414201</v>
      </c>
      <c r="P4527">
        <v>-0.12499415582410001</v>
      </c>
      <c r="Q4527">
        <v>7.6760305775164003E-2</v>
      </c>
      <c r="R4527">
        <v>0.99883062141798495</v>
      </c>
      <c r="S4527" t="s">
        <v>10979</v>
      </c>
      <c r="T4527" t="s">
        <v>12902</v>
      </c>
      <c r="U4527" t="s">
        <v>12902</v>
      </c>
      <c r="V4527" t="s">
        <v>12902</v>
      </c>
      <c r="W4527" t="s">
        <v>17382</v>
      </c>
      <c r="X4527">
        <v>2</v>
      </c>
      <c r="Y4527" t="s">
        <v>23686</v>
      </c>
      <c r="Z4527" t="s">
        <v>30102</v>
      </c>
      <c r="AA4527">
        <v>0.53452614511317464</v>
      </c>
      <c r="AB4527" t="str">
        <f>HYPERLINK("Melting_Curves/meltCurve_Q8NFI3_ENGASE.pdf", "Melting_Curves/meltCurve_Q8NFI3_ENGASE.pdf")</f>
        <v>Melting_Curves/meltCurve_Q8NFI3_ENGASE.pdf</v>
      </c>
    </row>
    <row r="4528" spans="1:28" x14ac:dyDescent="0.25">
      <c r="A4528" t="s">
        <v>4532</v>
      </c>
      <c r="B4528">
        <v>0.99673306730245903</v>
      </c>
      <c r="C4528">
        <v>0.92259396132869398</v>
      </c>
      <c r="D4528">
        <v>0.86656920804836302</v>
      </c>
      <c r="E4528">
        <v>0.66149027942388405</v>
      </c>
      <c r="F4528">
        <v>0.37500150903955598</v>
      </c>
      <c r="G4528">
        <v>0.207717443395178</v>
      </c>
      <c r="H4528">
        <v>0.149208768333289</v>
      </c>
      <c r="I4528">
        <v>0.16203105764574599</v>
      </c>
      <c r="J4528">
        <v>0.16951037523041401</v>
      </c>
      <c r="K4528">
        <v>0.158211780417707</v>
      </c>
      <c r="L4528">
        <v>953.15488802521804</v>
      </c>
      <c r="M4528">
        <v>18.9045783738149</v>
      </c>
      <c r="N4528">
        <v>51.319498697063402</v>
      </c>
      <c r="O4528">
        <v>49.865252679861399</v>
      </c>
      <c r="P4528">
        <v>-8.1406665016521898E-2</v>
      </c>
      <c r="Q4528">
        <v>0.14111837288908899</v>
      </c>
      <c r="R4528">
        <v>0.99571927966556095</v>
      </c>
      <c r="S4528" t="s">
        <v>10980</v>
      </c>
      <c r="T4528" t="s">
        <v>12902</v>
      </c>
      <c r="U4528" t="s">
        <v>12902</v>
      </c>
      <c r="V4528" t="s">
        <v>12902</v>
      </c>
      <c r="W4528" t="s">
        <v>17383</v>
      </c>
      <c r="X4528">
        <v>7</v>
      </c>
      <c r="Y4528" t="s">
        <v>23687</v>
      </c>
      <c r="Z4528" t="s">
        <v>30103</v>
      </c>
      <c r="AA4528">
        <v>0.45270692604144902</v>
      </c>
      <c r="AB4528" t="str">
        <f>HYPERLINK("Melting_Curves/meltCurve_Q8NFQ8_TOR1AIP2.pdf", "Melting_Curves/meltCurve_Q8NFQ8_TOR1AIP2.pdf")</f>
        <v>Melting_Curves/meltCurve_Q8NFQ8_TOR1AIP2.pdf</v>
      </c>
    </row>
    <row r="4529" spans="1:28" x14ac:dyDescent="0.25">
      <c r="A4529" t="s">
        <v>4533</v>
      </c>
      <c r="B4529">
        <v>0.99673306730245903</v>
      </c>
      <c r="C4529">
        <v>1.0846346196213501</v>
      </c>
      <c r="D4529">
        <v>1.00560811012483</v>
      </c>
      <c r="E4529">
        <v>0.83348690095386302</v>
      </c>
      <c r="F4529">
        <v>0.66344825510066097</v>
      </c>
      <c r="G4529">
        <v>0.42767068815991999</v>
      </c>
      <c r="H4529">
        <v>0.27959300808320098</v>
      </c>
      <c r="I4529">
        <v>0.34916726648267898</v>
      </c>
      <c r="J4529">
        <v>0.48626864486586702</v>
      </c>
      <c r="K4529">
        <v>0.39020880540161301</v>
      </c>
      <c r="L4529">
        <v>1380.8839340379</v>
      </c>
      <c r="M4529">
        <v>26.387015917246899</v>
      </c>
      <c r="N4529">
        <v>55.1889766815477</v>
      </c>
      <c r="O4529">
        <v>52.034155033351801</v>
      </c>
      <c r="P4529">
        <v>-7.9561519037703393E-2</v>
      </c>
      <c r="Q4529">
        <v>0.37243809482595602</v>
      </c>
      <c r="R4529">
        <v>0.95512383240003795</v>
      </c>
      <c r="S4529" t="s">
        <v>10981</v>
      </c>
      <c r="T4529" t="s">
        <v>12902</v>
      </c>
      <c r="U4529" t="s">
        <v>12902</v>
      </c>
      <c r="V4529" t="s">
        <v>12902</v>
      </c>
      <c r="W4529" t="s">
        <v>17384</v>
      </c>
      <c r="X4529">
        <v>8</v>
      </c>
      <c r="Y4529" t="s">
        <v>23688</v>
      </c>
      <c r="Z4529" t="s">
        <v>30104</v>
      </c>
      <c r="AA4529">
        <v>0.63558714223722068</v>
      </c>
      <c r="AB4529" t="str">
        <f>HYPERLINK("Melting_Curves/meltCurve_Q8NFU3_TSTD1.pdf", "Melting_Curves/meltCurve_Q8NFU3_TSTD1.pdf")</f>
        <v>Melting_Curves/meltCurve_Q8NFU3_TSTD1.pdf</v>
      </c>
    </row>
    <row r="4530" spans="1:28" x14ac:dyDescent="0.25">
      <c r="A4530" t="s">
        <v>4534</v>
      </c>
      <c r="B4530">
        <v>0.99673306730245903</v>
      </c>
      <c r="C4530">
        <v>0.94679028479323402</v>
      </c>
      <c r="D4530">
        <v>0.83916704533692599</v>
      </c>
      <c r="E4530">
        <v>0.77943528284052599</v>
      </c>
      <c r="F4530">
        <v>0.48361209152765899</v>
      </c>
      <c r="G4530">
        <v>0.37241281032821999</v>
      </c>
      <c r="H4530">
        <v>0.24888822064191701</v>
      </c>
      <c r="I4530">
        <v>0.295921384392836</v>
      </c>
      <c r="J4530">
        <v>0.41102398176433302</v>
      </c>
      <c r="K4530">
        <v>0.34923288568073302</v>
      </c>
      <c r="L4530">
        <v>983.23865099231102</v>
      </c>
      <c r="M4530">
        <v>19.486223020981001</v>
      </c>
      <c r="N4530">
        <v>53.168392274585003</v>
      </c>
      <c r="O4530">
        <v>49.935751634624303</v>
      </c>
      <c r="P4530">
        <v>-6.6845785616815104E-2</v>
      </c>
      <c r="Q4530">
        <v>0.31482378413506001</v>
      </c>
      <c r="R4530">
        <v>0.96101778728714504</v>
      </c>
      <c r="S4530" t="s">
        <v>10982</v>
      </c>
      <c r="T4530" t="s">
        <v>12902</v>
      </c>
      <c r="U4530" t="s">
        <v>12902</v>
      </c>
      <c r="V4530" t="s">
        <v>12902</v>
      </c>
      <c r="W4530" t="s">
        <v>17385</v>
      </c>
      <c r="X4530">
        <v>7</v>
      </c>
      <c r="Y4530" t="s">
        <v>23688</v>
      </c>
      <c r="Z4530" t="s">
        <v>30105</v>
      </c>
      <c r="AA4530">
        <v>0.5636887450685264</v>
      </c>
      <c r="AB4530" t="str">
        <f>HYPERLINK("Melting_Curves/meltCurve_Q8NFU3_4_TSTD1.pdf", "Melting_Curves/meltCurve_Q8NFU3_4_TSTD1.pdf")</f>
        <v>Melting_Curves/meltCurve_Q8NFU3_4_TSTD1.pdf</v>
      </c>
    </row>
    <row r="4531" spans="1:28" x14ac:dyDescent="0.25">
      <c r="A4531" t="s">
        <v>4535</v>
      </c>
      <c r="B4531">
        <v>0.99673306730245903</v>
      </c>
      <c r="C4531">
        <v>1.0229459085993799</v>
      </c>
      <c r="D4531">
        <v>0.80425598868405301</v>
      </c>
      <c r="E4531">
        <v>0.46752905699372199</v>
      </c>
      <c r="F4531">
        <v>0.157619880605192</v>
      </c>
      <c r="G4531">
        <v>0.10295641266177399</v>
      </c>
      <c r="H4531">
        <v>7.3324389378108507E-2</v>
      </c>
      <c r="I4531">
        <v>5.0685015780944802E-2</v>
      </c>
      <c r="J4531">
        <v>3.8319936150525903E-2</v>
      </c>
      <c r="K4531">
        <v>4.1088674573332602E-2</v>
      </c>
      <c r="L4531">
        <v>1161.72945565855</v>
      </c>
      <c r="M4531">
        <v>23.721097461213802</v>
      </c>
      <c r="N4531">
        <v>49.188908134112403</v>
      </c>
      <c r="O4531">
        <v>48.630450611084399</v>
      </c>
      <c r="P4531">
        <v>-0.115958832713173</v>
      </c>
      <c r="Q4531">
        <v>4.9110340381085901E-2</v>
      </c>
      <c r="R4531">
        <v>0.99673533554830496</v>
      </c>
      <c r="S4531" t="s">
        <v>10983</v>
      </c>
      <c r="T4531" t="s">
        <v>12902</v>
      </c>
      <c r="U4531" t="s">
        <v>12902</v>
      </c>
      <c r="V4531" t="s">
        <v>12902</v>
      </c>
      <c r="W4531" t="s">
        <v>17386</v>
      </c>
      <c r="X4531">
        <v>11</v>
      </c>
      <c r="Y4531" t="s">
        <v>23689</v>
      </c>
      <c r="Z4531" t="s">
        <v>30106</v>
      </c>
      <c r="AA4531">
        <v>0.34295794200651791</v>
      </c>
      <c r="AB4531" t="str">
        <f>HYPERLINK("Melting_Curves/meltCurve_Q8NFV4_ABHD11.pdf", "Melting_Curves/meltCurve_Q8NFV4_ABHD11.pdf")</f>
        <v>Melting_Curves/meltCurve_Q8NFV4_ABHD11.pdf</v>
      </c>
    </row>
    <row r="4532" spans="1:28" x14ac:dyDescent="0.25">
      <c r="A4532" t="s">
        <v>4536</v>
      </c>
      <c r="B4532">
        <v>0.99673306730245903</v>
      </c>
      <c r="C4532">
        <v>0.89233343721761804</v>
      </c>
      <c r="D4532">
        <v>0.92428543611794101</v>
      </c>
      <c r="E4532">
        <v>0.93738418180152205</v>
      </c>
      <c r="F4532">
        <v>0.30438837702413302</v>
      </c>
      <c r="G4532">
        <v>0.19935506103461501</v>
      </c>
      <c r="H4532">
        <v>0.153547721297984</v>
      </c>
      <c r="I4532">
        <v>0.115457752579356</v>
      </c>
      <c r="J4532">
        <v>9.6600258886152104E-2</v>
      </c>
      <c r="K4532">
        <v>9.3128080557509096E-2</v>
      </c>
      <c r="L4532">
        <v>2723.5956822922799</v>
      </c>
      <c r="M4532">
        <v>52.514773115538198</v>
      </c>
      <c r="N4532">
        <v>52.158467850913297</v>
      </c>
      <c r="O4532">
        <v>51.788377585939699</v>
      </c>
      <c r="P4532">
        <v>-0.22093068588629999</v>
      </c>
      <c r="Q4532">
        <v>0.128501732541593</v>
      </c>
      <c r="R4532">
        <v>0.98373536938651895</v>
      </c>
      <c r="S4532" t="s">
        <v>10984</v>
      </c>
      <c r="T4532" t="s">
        <v>12902</v>
      </c>
      <c r="U4532" t="s">
        <v>12902</v>
      </c>
      <c r="V4532" t="s">
        <v>12902</v>
      </c>
      <c r="W4532" t="s">
        <v>17387</v>
      </c>
      <c r="X4532">
        <v>12</v>
      </c>
      <c r="Y4532" t="s">
        <v>23690</v>
      </c>
      <c r="Z4532" t="s">
        <v>30107</v>
      </c>
      <c r="AA4532">
        <v>0.47493971921612849</v>
      </c>
      <c r="AB4532" t="str">
        <f>HYPERLINK("Melting_Curves/meltCurve_Q8NFW8_CMAS.pdf", "Melting_Curves/meltCurve_Q8NFW8_CMAS.pdf")</f>
        <v>Melting_Curves/meltCurve_Q8NFW8_CMAS.pdf</v>
      </c>
    </row>
    <row r="4533" spans="1:28" x14ac:dyDescent="0.25">
      <c r="A4533" t="s">
        <v>4537</v>
      </c>
      <c r="B4533">
        <v>0.99673306730245903</v>
      </c>
      <c r="C4533">
        <v>0.94290867116267596</v>
      </c>
      <c r="D4533">
        <v>0.77666887488293701</v>
      </c>
      <c r="E4533">
        <v>0.45724263312855701</v>
      </c>
      <c r="F4533">
        <v>0.15708864361619501</v>
      </c>
      <c r="G4533">
        <v>0.106574500142747</v>
      </c>
      <c r="H4533">
        <v>7.8906062746315606E-2</v>
      </c>
      <c r="I4533">
        <v>7.8701366452042995E-2</v>
      </c>
      <c r="J4533">
        <v>8.0001276347643896E-2</v>
      </c>
      <c r="K4533">
        <v>6.8256052651077606E-2</v>
      </c>
      <c r="L4533">
        <v>1064.2722716835001</v>
      </c>
      <c r="M4533">
        <v>21.905012777775799</v>
      </c>
      <c r="N4533">
        <v>48.9120611651771</v>
      </c>
      <c r="O4533">
        <v>48.186280790133502</v>
      </c>
      <c r="P4533">
        <v>-0.105924938740368</v>
      </c>
      <c r="Q4533">
        <v>6.7973162267693593E-2</v>
      </c>
      <c r="R4533">
        <v>0.99844612197931204</v>
      </c>
      <c r="S4533" t="s">
        <v>10985</v>
      </c>
      <c r="T4533" t="s">
        <v>12902</v>
      </c>
      <c r="U4533" t="s">
        <v>12902</v>
      </c>
      <c r="V4533" t="s">
        <v>12902</v>
      </c>
      <c r="W4533" t="s">
        <v>17388</v>
      </c>
      <c r="X4533">
        <v>12</v>
      </c>
      <c r="Y4533" t="s">
        <v>23691</v>
      </c>
      <c r="Z4533" t="s">
        <v>30108</v>
      </c>
      <c r="AA4533">
        <v>0.34557025376633038</v>
      </c>
      <c r="AB4533" t="str">
        <f>HYPERLINK("Melting_Curves/meltCurve_Q8NFX7_2_STXBP6.pdf", "Melting_Curves/meltCurve_Q8NFX7_2_STXBP6.pdf")</f>
        <v>Melting_Curves/meltCurve_Q8NFX7_2_STXBP6.pdf</v>
      </c>
    </row>
    <row r="4534" spans="1:28" x14ac:dyDescent="0.25">
      <c r="A4534" t="s">
        <v>4538</v>
      </c>
      <c r="B4534">
        <v>0.99673306730245903</v>
      </c>
      <c r="C4534">
        <v>0.95898629940051505</v>
      </c>
      <c r="D4534">
        <v>1.01239315179664</v>
      </c>
      <c r="E4534">
        <v>1.0266330253098499</v>
      </c>
      <c r="F4534">
        <v>0.69533610055231199</v>
      </c>
      <c r="G4534">
        <v>0.50123141669058802</v>
      </c>
      <c r="H4534">
        <v>0.38162400689126302</v>
      </c>
      <c r="I4534">
        <v>0.38132517640759001</v>
      </c>
      <c r="J4534">
        <v>0.392871352953789</v>
      </c>
      <c r="K4534">
        <v>0.28688757007909299</v>
      </c>
      <c r="L4534">
        <v>1635.5264330172899</v>
      </c>
      <c r="M4534">
        <v>30.385270957390301</v>
      </c>
      <c r="N4534">
        <v>56.155963219576698</v>
      </c>
      <c r="O4534">
        <v>53.594761064342599</v>
      </c>
      <c r="P4534">
        <v>-9.0959354991004299E-2</v>
      </c>
      <c r="Q4534">
        <v>0.35825292247331297</v>
      </c>
      <c r="R4534">
        <v>0.98070406392310305</v>
      </c>
      <c r="S4534" t="s">
        <v>10986</v>
      </c>
      <c r="T4534" t="s">
        <v>12902</v>
      </c>
      <c r="U4534" t="s">
        <v>12902</v>
      </c>
      <c r="V4534" t="s">
        <v>12902</v>
      </c>
      <c r="W4534" t="s">
        <v>17389</v>
      </c>
      <c r="X4534">
        <v>4</v>
      </c>
      <c r="Y4534" t="s">
        <v>23692</v>
      </c>
      <c r="Z4534" t="s">
        <v>30109</v>
      </c>
      <c r="AA4534">
        <v>0.65812314461904864</v>
      </c>
      <c r="AB4534" t="str">
        <f>HYPERLINK("Melting_Curves/meltCurve_Q8NG68_TTL.pdf", "Melting_Curves/meltCurve_Q8NG68_TTL.pdf")</f>
        <v>Melting_Curves/meltCurve_Q8NG68_TTL.pdf</v>
      </c>
    </row>
    <row r="4535" spans="1:28" x14ac:dyDescent="0.25">
      <c r="A4535" t="s">
        <v>4539</v>
      </c>
      <c r="B4535">
        <v>0.99673306730245903</v>
      </c>
      <c r="C4535">
        <v>0.97829822810959399</v>
      </c>
      <c r="D4535">
        <v>0.960499665103136</v>
      </c>
      <c r="E4535">
        <v>0.92015942066242795</v>
      </c>
      <c r="F4535">
        <v>0.94911508100633701</v>
      </c>
      <c r="G4535">
        <v>0.84556492133604999</v>
      </c>
      <c r="H4535">
        <v>0.70600696676738695</v>
      </c>
      <c r="I4535">
        <v>0.92371490812218104</v>
      </c>
      <c r="J4535">
        <v>1.1979183250665999</v>
      </c>
      <c r="K4535">
        <v>1.2853499809167299</v>
      </c>
      <c r="L4535">
        <v>2372.5623479767301</v>
      </c>
      <c r="M4535">
        <v>57.109995218448397</v>
      </c>
      <c r="O4535">
        <v>41.492887236886197</v>
      </c>
      <c r="P4535">
        <v>-9.0742776654097607E-3</v>
      </c>
      <c r="Q4535">
        <v>0.97362858931008001</v>
      </c>
      <c r="R4535">
        <v>1.9743433277781301E-3</v>
      </c>
      <c r="S4535" t="s">
        <v>10987</v>
      </c>
      <c r="T4535" t="s">
        <v>12902</v>
      </c>
      <c r="U4535" t="s">
        <v>12902</v>
      </c>
      <c r="V4535" t="s">
        <v>12902</v>
      </c>
      <c r="W4535" t="s">
        <v>17390</v>
      </c>
      <c r="X4535">
        <v>3</v>
      </c>
      <c r="Y4535" t="s">
        <v>23693</v>
      </c>
      <c r="Z4535" t="s">
        <v>30110</v>
      </c>
      <c r="AA4535">
        <v>0.97508260586343531</v>
      </c>
      <c r="AB4535" t="str">
        <f>HYPERLINK("Melting_Curves/meltCurve_Q8NHG7_SVIP.pdf", "Melting_Curves/meltCurve_Q8NHG7_SVIP.pdf")</f>
        <v>Melting_Curves/meltCurve_Q8NHG7_SVIP.pdf</v>
      </c>
    </row>
    <row r="4536" spans="1:28" x14ac:dyDescent="0.25">
      <c r="A4536" t="s">
        <v>4540</v>
      </c>
      <c r="B4536">
        <v>0.99673306730245903</v>
      </c>
      <c r="C4536">
        <v>0.99502713765772299</v>
      </c>
      <c r="D4536">
        <v>0.93080703879210702</v>
      </c>
      <c r="E4536">
        <v>0.76621643589172705</v>
      </c>
      <c r="F4536">
        <v>0.64136821596447402</v>
      </c>
      <c r="G4536">
        <v>0.44740193845206799</v>
      </c>
      <c r="H4536">
        <v>0.30638294818901501</v>
      </c>
      <c r="I4536">
        <v>0.30181580095513699</v>
      </c>
      <c r="J4536">
        <v>0.248103157377384</v>
      </c>
      <c r="K4536">
        <v>0.18176352420489</v>
      </c>
      <c r="L4536">
        <v>693.47326897924097</v>
      </c>
      <c r="M4536">
        <v>12.861269298416399</v>
      </c>
      <c r="N4536">
        <v>55.7248756594688</v>
      </c>
      <c r="O4536">
        <v>52.665848785358101</v>
      </c>
      <c r="P4536">
        <v>-5.0658477370900998E-2</v>
      </c>
      <c r="Q4536">
        <v>0.17038347972502799</v>
      </c>
      <c r="R4536">
        <v>0.99479360835976605</v>
      </c>
      <c r="S4536" t="s">
        <v>10988</v>
      </c>
      <c r="T4536" t="s">
        <v>12902</v>
      </c>
      <c r="U4536" t="s">
        <v>12902</v>
      </c>
      <c r="V4536" t="s">
        <v>12902</v>
      </c>
      <c r="W4536" t="s">
        <v>17391</v>
      </c>
      <c r="X4536">
        <v>2</v>
      </c>
      <c r="Y4536" t="s">
        <v>23694</v>
      </c>
      <c r="Z4536" t="s">
        <v>30111</v>
      </c>
      <c r="AA4536">
        <v>0.57569935757633217</v>
      </c>
      <c r="AB4536" t="str">
        <f>HYPERLINK("Melting_Curves/meltCurve_Q8NHG8_ZNRF2.pdf", "Melting_Curves/meltCurve_Q8NHG8_ZNRF2.pdf")</f>
        <v>Melting_Curves/meltCurve_Q8NHG8_ZNRF2.pdf</v>
      </c>
    </row>
    <row r="4537" spans="1:28" x14ac:dyDescent="0.25">
      <c r="A4537" t="s">
        <v>4541</v>
      </c>
      <c r="B4537">
        <v>0.99673306730245903</v>
      </c>
      <c r="C4537">
        <v>0.92184443847186304</v>
      </c>
      <c r="D4537">
        <v>0.79080138574980197</v>
      </c>
      <c r="E4537">
        <v>0.80488890952260805</v>
      </c>
      <c r="F4537">
        <v>0.204198011525939</v>
      </c>
      <c r="G4537">
        <v>9.2153902912830196E-2</v>
      </c>
      <c r="H4537">
        <v>5.3274897689324398E-2</v>
      </c>
      <c r="I4537">
        <v>4.7767362948119799E-2</v>
      </c>
      <c r="J4537">
        <v>5.2791075858290203E-2</v>
      </c>
      <c r="K4537">
        <v>4.5708448178880201E-2</v>
      </c>
      <c r="L4537">
        <v>1835.2951954463599</v>
      </c>
      <c r="M4537">
        <v>35.904043260723299</v>
      </c>
      <c r="N4537">
        <v>51.262880770499898</v>
      </c>
      <c r="O4537">
        <v>50.958877881093102</v>
      </c>
      <c r="P4537">
        <v>-0.16757040722299499</v>
      </c>
      <c r="Q4537">
        <v>4.8667336134655403E-2</v>
      </c>
      <c r="R4537">
        <v>0.97065974573911995</v>
      </c>
      <c r="S4537" t="s">
        <v>10989</v>
      </c>
      <c r="T4537" t="s">
        <v>12902</v>
      </c>
      <c r="U4537" t="s">
        <v>12902</v>
      </c>
      <c r="V4537" t="s">
        <v>12902</v>
      </c>
      <c r="W4537" t="s">
        <v>17392</v>
      </c>
      <c r="X4537">
        <v>21</v>
      </c>
      <c r="Y4537" t="s">
        <v>23695</v>
      </c>
      <c r="Z4537" t="s">
        <v>30112</v>
      </c>
      <c r="AA4537">
        <v>0.40536688742553539</v>
      </c>
      <c r="AB4537" t="str">
        <f>HYPERLINK("Melting_Curves/meltCurve_Q8NHH9_ATL2.pdf", "Melting_Curves/meltCurve_Q8NHH9_ATL2.pdf")</f>
        <v>Melting_Curves/meltCurve_Q8NHH9_ATL2.pdf</v>
      </c>
    </row>
    <row r="4538" spans="1:28" x14ac:dyDescent="0.25">
      <c r="A4538" t="s">
        <v>4542</v>
      </c>
      <c r="B4538">
        <v>0.99673306730245903</v>
      </c>
      <c r="C4538">
        <v>0.86880762062616301</v>
      </c>
      <c r="D4538">
        <v>0.78507678263000003</v>
      </c>
      <c r="E4538">
        <v>0.58891580617708505</v>
      </c>
      <c r="F4538">
        <v>0.39191020744819699</v>
      </c>
      <c r="G4538">
        <v>0.23883372378675699</v>
      </c>
      <c r="H4538">
        <v>0.14428088447573401</v>
      </c>
      <c r="I4538">
        <v>0.16131315667811399</v>
      </c>
      <c r="J4538">
        <v>0.18564630801472501</v>
      </c>
      <c r="K4538">
        <v>0.16672363526435</v>
      </c>
      <c r="L4538">
        <v>697.041510814699</v>
      </c>
      <c r="M4538">
        <v>14.0389849678901</v>
      </c>
      <c r="N4538">
        <v>50.757313894128899</v>
      </c>
      <c r="O4538">
        <v>48.675574452786698</v>
      </c>
      <c r="P4538">
        <v>-6.2605033108607197E-2</v>
      </c>
      <c r="Q4538">
        <v>0.13186397282482501</v>
      </c>
      <c r="R4538">
        <v>0.99226560274228104</v>
      </c>
      <c r="S4538" t="s">
        <v>10990</v>
      </c>
      <c r="T4538" t="s">
        <v>12902</v>
      </c>
      <c r="U4538" t="s">
        <v>12902</v>
      </c>
      <c r="V4538" t="s">
        <v>12902</v>
      </c>
      <c r="W4538" t="s">
        <v>17393</v>
      </c>
      <c r="X4538">
        <v>2</v>
      </c>
      <c r="Y4538" t="s">
        <v>23696</v>
      </c>
      <c r="Z4538" t="s">
        <v>30113</v>
      </c>
      <c r="AA4538">
        <v>0.43469160531541268</v>
      </c>
      <c r="AB4538" t="str">
        <f>HYPERLINK("Melting_Curves/meltCurve_Q8NHM5_4_KDM2B.pdf", "Melting_Curves/meltCurve_Q8NHM5_4_KDM2B.pdf")</f>
        <v>Melting_Curves/meltCurve_Q8NHM5_4_KDM2B.pdf</v>
      </c>
    </row>
    <row r="4539" spans="1:28" x14ac:dyDescent="0.25">
      <c r="A4539" t="s">
        <v>4543</v>
      </c>
      <c r="B4539">
        <v>0.99673306730245903</v>
      </c>
      <c r="C4539">
        <v>1.0127143909479299</v>
      </c>
      <c r="D4539">
        <v>1.0111635367144101</v>
      </c>
      <c r="E4539">
        <v>1.0346561961060401</v>
      </c>
      <c r="F4539">
        <v>0.93181187473748905</v>
      </c>
      <c r="G4539">
        <v>0.78623181531805997</v>
      </c>
      <c r="H4539">
        <v>0.52890952882244202</v>
      </c>
      <c r="I4539">
        <v>0.38762310928013899</v>
      </c>
      <c r="J4539">
        <v>0.17888972666028599</v>
      </c>
      <c r="K4539">
        <v>0.13399453854343699</v>
      </c>
      <c r="L4539">
        <v>1027.69942409992</v>
      </c>
      <c r="M4539">
        <v>16.744493318055401</v>
      </c>
      <c r="N4539">
        <v>61.505075784599903</v>
      </c>
      <c r="O4539">
        <v>60.520015836845801</v>
      </c>
      <c r="P4539">
        <v>-6.7973724227458704E-2</v>
      </c>
      <c r="Q4539">
        <v>1.73482050945938E-2</v>
      </c>
      <c r="R4539">
        <v>0.99470583862436701</v>
      </c>
      <c r="S4539" t="s">
        <v>10991</v>
      </c>
      <c r="T4539" t="s">
        <v>12902</v>
      </c>
      <c r="U4539" t="s">
        <v>12902</v>
      </c>
      <c r="V4539" t="s">
        <v>12902</v>
      </c>
      <c r="W4539" t="s">
        <v>17394</v>
      </c>
      <c r="X4539">
        <v>12</v>
      </c>
      <c r="Y4539" t="s">
        <v>23697</v>
      </c>
      <c r="Z4539" t="s">
        <v>30114</v>
      </c>
      <c r="AA4539">
        <v>0.72033503893332673</v>
      </c>
      <c r="AB4539" t="str">
        <f>HYPERLINK("Melting_Curves/meltCurve_Q8NHP8_PLBD2.pdf", "Melting_Curves/meltCurve_Q8NHP8_PLBD2.pdf")</f>
        <v>Melting_Curves/meltCurve_Q8NHP8_PLBD2.pdf</v>
      </c>
    </row>
    <row r="4540" spans="1:28" x14ac:dyDescent="0.25">
      <c r="A4540" t="s">
        <v>4544</v>
      </c>
      <c r="B4540">
        <v>0.99673306730245903</v>
      </c>
      <c r="C4540">
        <v>0.92371854255951502</v>
      </c>
      <c r="D4540">
        <v>0.61897190232483801</v>
      </c>
      <c r="E4540">
        <v>0.228293404331114</v>
      </c>
      <c r="F4540">
        <v>0.15402162074210901</v>
      </c>
      <c r="G4540">
        <v>9.3691014890988106E-2</v>
      </c>
      <c r="H4540">
        <v>4.8121401124680899E-2</v>
      </c>
      <c r="I4540">
        <v>3.2956349708876898E-2</v>
      </c>
      <c r="J4540">
        <v>3.1968545831879497E-2</v>
      </c>
      <c r="K4540">
        <v>2.8295461828921401E-2</v>
      </c>
      <c r="L4540">
        <v>1107.54945628255</v>
      </c>
      <c r="M4540">
        <v>23.6444135129328</v>
      </c>
      <c r="N4540">
        <v>47.0465227244174</v>
      </c>
      <c r="O4540">
        <v>46.510702941632097</v>
      </c>
      <c r="P4540">
        <v>-0.120883398607414</v>
      </c>
      <c r="Q4540">
        <v>4.88615914050071E-2</v>
      </c>
      <c r="R4540">
        <v>0.99560193997473101</v>
      </c>
      <c r="S4540" t="s">
        <v>10992</v>
      </c>
      <c r="T4540" t="s">
        <v>12902</v>
      </c>
      <c r="U4540" t="s">
        <v>12902</v>
      </c>
      <c r="V4540" t="s">
        <v>12902</v>
      </c>
      <c r="W4540" t="s">
        <v>17395</v>
      </c>
      <c r="X4540">
        <v>2</v>
      </c>
      <c r="Y4540" t="s">
        <v>23698</v>
      </c>
      <c r="Z4540" t="s">
        <v>30115</v>
      </c>
      <c r="AA4540">
        <v>0.27542871702795679</v>
      </c>
      <c r="AB4540" t="str">
        <f>HYPERLINK("Melting_Curves/meltCurve_Q8NHU6_TDRD7.pdf", "Melting_Curves/meltCurve_Q8NHU6_TDRD7.pdf")</f>
        <v>Melting_Curves/meltCurve_Q8NHU6_TDRD7.pdf</v>
      </c>
    </row>
    <row r="4541" spans="1:28" x14ac:dyDescent="0.25">
      <c r="A4541" t="s">
        <v>4545</v>
      </c>
      <c r="B4541">
        <v>0.99673306730245903</v>
      </c>
      <c r="C4541">
        <v>1.0436711511441701</v>
      </c>
      <c r="D4541">
        <v>1.0791723305644301</v>
      </c>
      <c r="E4541">
        <v>1.0079788871553299</v>
      </c>
      <c r="F4541">
        <v>1.1146955704072501</v>
      </c>
      <c r="G4541">
        <v>1.0455540600720099</v>
      </c>
      <c r="H4541">
        <v>0.84284551092746596</v>
      </c>
      <c r="I4541">
        <v>0.59908341616990202</v>
      </c>
      <c r="J4541">
        <v>0.13136947552070799</v>
      </c>
      <c r="K4541">
        <v>3.7681366890979499E-2</v>
      </c>
      <c r="L4541">
        <v>2529.0082658933002</v>
      </c>
      <c r="M4541">
        <v>39.288141010731998</v>
      </c>
      <c r="N4541">
        <v>64.370762304002596</v>
      </c>
      <c r="O4541">
        <v>64.204684959735502</v>
      </c>
      <c r="P4541">
        <v>-0.15298037974333301</v>
      </c>
      <c r="Q4541">
        <v>0</v>
      </c>
      <c r="R4541">
        <v>0.97813413253715298</v>
      </c>
      <c r="S4541" t="s">
        <v>10993</v>
      </c>
      <c r="T4541" t="s">
        <v>12902</v>
      </c>
      <c r="U4541" t="s">
        <v>12902</v>
      </c>
      <c r="V4541" t="s">
        <v>12902</v>
      </c>
      <c r="W4541" t="s">
        <v>17396</v>
      </c>
      <c r="X4541">
        <v>1</v>
      </c>
      <c r="Y4541" t="s">
        <v>23699</v>
      </c>
      <c r="Z4541" t="s">
        <v>30116</v>
      </c>
      <c r="AA4541">
        <v>0.81412507092053821</v>
      </c>
      <c r="AB4541" t="str">
        <f>HYPERLINK("Melting_Curves/meltCurve_Q8NHV1_GIMAP7.pdf", "Melting_Curves/meltCurve_Q8NHV1_GIMAP7.pdf")</f>
        <v>Melting_Curves/meltCurve_Q8NHV1_GIMAP7.pdf</v>
      </c>
    </row>
    <row r="4542" spans="1:28" x14ac:dyDescent="0.25">
      <c r="A4542" t="s">
        <v>4546</v>
      </c>
      <c r="B4542">
        <v>0.99673306730245903</v>
      </c>
      <c r="C4542">
        <v>0.96086773759976196</v>
      </c>
      <c r="D4542">
        <v>0.92062014763396904</v>
      </c>
      <c r="E4542">
        <v>0.88549255208650901</v>
      </c>
      <c r="F4542">
        <v>0.58010898380763998</v>
      </c>
      <c r="G4542">
        <v>0.32835663043754298</v>
      </c>
      <c r="H4542">
        <v>0.176756622255935</v>
      </c>
      <c r="I4542">
        <v>0.168323383828377</v>
      </c>
      <c r="J4542">
        <v>0.136457853964675</v>
      </c>
      <c r="K4542">
        <v>9.4472259392557503E-2</v>
      </c>
      <c r="L4542">
        <v>1067.1761069471199</v>
      </c>
      <c r="M4542">
        <v>19.8998807050334</v>
      </c>
      <c r="N4542">
        <v>54.3008878119782</v>
      </c>
      <c r="O4542">
        <v>53.094503965571</v>
      </c>
      <c r="P4542">
        <v>-8.3454028149512596E-2</v>
      </c>
      <c r="Q4542">
        <v>0.10938061652913</v>
      </c>
      <c r="R4542">
        <v>0.99550092471933604</v>
      </c>
      <c r="S4542" t="s">
        <v>10994</v>
      </c>
      <c r="T4542" t="s">
        <v>12902</v>
      </c>
      <c r="U4542" t="s">
        <v>12902</v>
      </c>
      <c r="V4542" t="s">
        <v>12902</v>
      </c>
      <c r="W4542" t="s">
        <v>17397</v>
      </c>
      <c r="X4542">
        <v>9</v>
      </c>
      <c r="Y4542" t="s">
        <v>23700</v>
      </c>
      <c r="Z4542" t="s">
        <v>30117</v>
      </c>
      <c r="AA4542">
        <v>0.5262070338464262</v>
      </c>
      <c r="AB4542" t="str">
        <f>HYPERLINK("Melting_Curves/meltCurve_Q8NHV4_NEDD1.pdf", "Melting_Curves/meltCurve_Q8NHV4_NEDD1.pdf")</f>
        <v>Melting_Curves/meltCurve_Q8NHV4_NEDD1.pdf</v>
      </c>
    </row>
    <row r="4543" spans="1:28" x14ac:dyDescent="0.25">
      <c r="A4543" t="s">
        <v>4547</v>
      </c>
      <c r="B4543">
        <v>0.99673306730245903</v>
      </c>
      <c r="C4543">
        <v>0.94102264617804499</v>
      </c>
      <c r="D4543">
        <v>1.07299232820778</v>
      </c>
      <c r="E4543">
        <v>0.59782922919735404</v>
      </c>
      <c r="F4543">
        <v>0.18781726265335999</v>
      </c>
      <c r="G4543">
        <v>0.14295113146524799</v>
      </c>
      <c r="H4543">
        <v>0.136162266752655</v>
      </c>
      <c r="I4543">
        <v>0.18404775728650999</v>
      </c>
      <c r="J4543">
        <v>0.24297797897166801</v>
      </c>
      <c r="K4543">
        <v>0.24419268673426001</v>
      </c>
      <c r="L4543">
        <v>12400.7305024462</v>
      </c>
      <c r="M4543">
        <v>250</v>
      </c>
      <c r="N4543">
        <v>49.697749563913398</v>
      </c>
      <c r="O4543">
        <v>49.599747766495497</v>
      </c>
      <c r="P4543">
        <v>-1.0210592416072599</v>
      </c>
      <c r="Q4543">
        <v>0.18969150777621399</v>
      </c>
      <c r="R4543">
        <v>0.98552032093208697</v>
      </c>
      <c r="S4543" t="s">
        <v>10995</v>
      </c>
      <c r="T4543" t="s">
        <v>12902</v>
      </c>
      <c r="U4543" t="s">
        <v>12902</v>
      </c>
      <c r="V4543" t="s">
        <v>12902</v>
      </c>
      <c r="W4543" t="s">
        <v>17398</v>
      </c>
      <c r="X4543">
        <v>3</v>
      </c>
      <c r="Y4543" t="s">
        <v>23701</v>
      </c>
      <c r="Z4543" t="s">
        <v>30118</v>
      </c>
      <c r="AA4543">
        <v>0.44913968886270278</v>
      </c>
      <c r="AB4543" t="str">
        <f>HYPERLINK("Melting_Curves/meltCurve_Q8NI08_2_NCOA7.pdf", "Melting_Curves/meltCurve_Q8NI08_2_NCOA7.pdf")</f>
        <v>Melting_Curves/meltCurve_Q8NI08_2_NCOA7.pdf</v>
      </c>
    </row>
    <row r="4544" spans="1:28" x14ac:dyDescent="0.25">
      <c r="A4544" t="s">
        <v>4548</v>
      </c>
      <c r="B4544">
        <v>0.99673306730245903</v>
      </c>
      <c r="C4544">
        <v>1.05426638042705</v>
      </c>
      <c r="D4544">
        <v>1.07032094632343</v>
      </c>
      <c r="E4544">
        <v>1.00436219096309</v>
      </c>
      <c r="F4544">
        <v>0.87168252801169299</v>
      </c>
      <c r="G4544">
        <v>0.77776257168438201</v>
      </c>
      <c r="H4544">
        <v>0.47820074310585398</v>
      </c>
      <c r="I4544">
        <v>0.851849839731598</v>
      </c>
      <c r="J4544">
        <v>1.0786016401645</v>
      </c>
      <c r="K4544">
        <v>1.0844267426999601</v>
      </c>
      <c r="L4544">
        <v>13194.052469107601</v>
      </c>
      <c r="M4544">
        <v>250</v>
      </c>
      <c r="O4544">
        <v>52.772832550279098</v>
      </c>
      <c r="P4544">
        <v>-0.17271160688832099</v>
      </c>
      <c r="Q4544">
        <v>0.85416830881740402</v>
      </c>
      <c r="R4544">
        <v>0.21128103751276001</v>
      </c>
      <c r="S4544" t="s">
        <v>10996</v>
      </c>
      <c r="T4544" t="s">
        <v>12902</v>
      </c>
      <c r="U4544" t="s">
        <v>12902</v>
      </c>
      <c r="V4544" t="s">
        <v>12902</v>
      </c>
      <c r="W4544" t="s">
        <v>17399</v>
      </c>
      <c r="X4544">
        <v>1</v>
      </c>
      <c r="Y4544" t="s">
        <v>23702</v>
      </c>
      <c r="Z4544" t="s">
        <v>30119</v>
      </c>
      <c r="AA4544">
        <v>0.91628769239619079</v>
      </c>
      <c r="AB4544" t="str">
        <f>HYPERLINK("Melting_Curves/meltCurve_Q8NI22_2_MCFD2.pdf", "Melting_Curves/meltCurve_Q8NI22_2_MCFD2.pdf")</f>
        <v>Melting_Curves/meltCurve_Q8NI22_2_MCFD2.pdf</v>
      </c>
    </row>
    <row r="4545" spans="1:28" x14ac:dyDescent="0.25">
      <c r="A4545" t="s">
        <v>4549</v>
      </c>
      <c r="B4545">
        <v>0.99673306730245903</v>
      </c>
      <c r="C4545">
        <v>1.14536193486077</v>
      </c>
      <c r="D4545">
        <v>0.39788585726805498</v>
      </c>
      <c r="E4545">
        <v>0.98332788999453302</v>
      </c>
      <c r="F4545">
        <v>0.43719902981082398</v>
      </c>
      <c r="G4545">
        <v>0.21867409033794499</v>
      </c>
      <c r="H4545">
        <v>0.15556390441652701</v>
      </c>
      <c r="I4545">
        <v>0.17426201769806501</v>
      </c>
      <c r="J4545">
        <v>0.17378376600906401</v>
      </c>
      <c r="K4545">
        <v>0.137569654377944</v>
      </c>
      <c r="L4545">
        <v>644.56381855983796</v>
      </c>
      <c r="M4545">
        <v>12.4566668155627</v>
      </c>
      <c r="N4545">
        <v>52.505761136068699</v>
      </c>
      <c r="O4545">
        <v>50.465209773411502</v>
      </c>
      <c r="P4545">
        <v>-5.66226593941292E-2</v>
      </c>
      <c r="Q4545">
        <v>8.2618617965417598E-2</v>
      </c>
      <c r="R4545">
        <v>0.75326445033179901</v>
      </c>
      <c r="S4545" t="s">
        <v>10997</v>
      </c>
      <c r="T4545" t="s">
        <v>12902</v>
      </c>
      <c r="U4545" t="s">
        <v>12902</v>
      </c>
      <c r="V4545" t="s">
        <v>12902</v>
      </c>
      <c r="W4545" t="s">
        <v>17400</v>
      </c>
      <c r="X4545">
        <v>13</v>
      </c>
      <c r="Y4545" t="s">
        <v>23703</v>
      </c>
      <c r="Z4545" t="s">
        <v>30120</v>
      </c>
      <c r="AA4545">
        <v>0.46891354055068712</v>
      </c>
      <c r="AB4545" t="str">
        <f>HYPERLINK("Melting_Curves/meltCurve_Q8NI27_THOC2.pdf", "Melting_Curves/meltCurve_Q8NI27_THOC2.pdf")</f>
        <v>Melting_Curves/meltCurve_Q8NI27_THOC2.pdf</v>
      </c>
    </row>
    <row r="4546" spans="1:28" x14ac:dyDescent="0.25">
      <c r="A4546" t="s">
        <v>4550</v>
      </c>
      <c r="B4546">
        <v>0.99673306730245903</v>
      </c>
      <c r="C4546">
        <v>0.85491636554329298</v>
      </c>
      <c r="D4546">
        <v>0.48908212609345098</v>
      </c>
      <c r="E4546">
        <v>0.28637986297027401</v>
      </c>
      <c r="F4546">
        <v>0.21727653493081001</v>
      </c>
      <c r="G4546">
        <v>0.128106969087246</v>
      </c>
      <c r="H4546">
        <v>8.1777122633134802E-2</v>
      </c>
      <c r="I4546">
        <v>6.9153221503215706E-2</v>
      </c>
      <c r="J4546">
        <v>4.9379317907715298E-2</v>
      </c>
      <c r="K4546">
        <v>4.7397751774776897E-2</v>
      </c>
      <c r="L4546">
        <v>842.99647289486404</v>
      </c>
      <c r="M4546">
        <v>18.259858860315699</v>
      </c>
      <c r="N4546">
        <v>46.577328597934397</v>
      </c>
      <c r="O4546">
        <v>45.623621389481599</v>
      </c>
      <c r="P4546">
        <v>-9.2621697470387204E-2</v>
      </c>
      <c r="Q4546">
        <v>7.4354245852085499E-2</v>
      </c>
      <c r="R4546">
        <v>0.98633778221905999</v>
      </c>
      <c r="S4546" t="s">
        <v>10998</v>
      </c>
      <c r="T4546" t="s">
        <v>12902</v>
      </c>
      <c r="U4546" t="s">
        <v>12902</v>
      </c>
      <c r="V4546" t="s">
        <v>12902</v>
      </c>
      <c r="W4546" t="s">
        <v>17401</v>
      </c>
      <c r="X4546">
        <v>5</v>
      </c>
      <c r="Y4546" t="s">
        <v>23704</v>
      </c>
      <c r="Z4546" t="s">
        <v>30121</v>
      </c>
      <c r="AA4546">
        <v>0.28200852299250267</v>
      </c>
      <c r="AB4546" t="str">
        <f>HYPERLINK("Melting_Curves/meltCurve_Q8NI35_INADL.pdf", "Melting_Curves/meltCurve_Q8NI35_INADL.pdf")</f>
        <v>Melting_Curves/meltCurve_Q8NI35_INADL.pdf</v>
      </c>
    </row>
    <row r="4547" spans="1:28" x14ac:dyDescent="0.25">
      <c r="A4547" t="s">
        <v>4551</v>
      </c>
      <c r="B4547">
        <v>0.99673306730245903</v>
      </c>
      <c r="C4547">
        <v>1.06452839182515</v>
      </c>
      <c r="D4547">
        <v>1.3248854678264701</v>
      </c>
      <c r="E4547">
        <v>1.02580931934158</v>
      </c>
      <c r="F4547">
        <v>0.27656998866671401</v>
      </c>
      <c r="G4547">
        <v>0.16108952482773201</v>
      </c>
      <c r="H4547">
        <v>8.6097824428029504E-2</v>
      </c>
      <c r="I4547">
        <v>8.7304677274228304E-2</v>
      </c>
      <c r="J4547">
        <v>6.3303342017298703E-2</v>
      </c>
      <c r="K4547">
        <v>5.2554589912179803E-2</v>
      </c>
      <c r="L4547">
        <v>10622.951575720999</v>
      </c>
      <c r="M4547">
        <v>201.03510776080401</v>
      </c>
      <c r="N4547">
        <v>52.893527454099299</v>
      </c>
      <c r="O4547">
        <v>52.836044383766001</v>
      </c>
      <c r="P4547">
        <v>-0.86554511945577794</v>
      </c>
      <c r="Q4547">
        <v>9.0069733331411897E-2</v>
      </c>
      <c r="R4547">
        <v>0.95136692665655098</v>
      </c>
      <c r="S4547" t="s">
        <v>10999</v>
      </c>
      <c r="T4547" t="s">
        <v>12902</v>
      </c>
      <c r="U4547" t="s">
        <v>12902</v>
      </c>
      <c r="V4547" t="s">
        <v>12902</v>
      </c>
      <c r="W4547" t="s">
        <v>17402</v>
      </c>
      <c r="X4547">
        <v>12</v>
      </c>
      <c r="Y4547" t="s">
        <v>23705</v>
      </c>
      <c r="Z4547" t="s">
        <v>30122</v>
      </c>
      <c r="AA4547">
        <v>0.47968909380712033</v>
      </c>
      <c r="AB4547" t="str">
        <f>HYPERLINK("Melting_Curves/meltCurve_Q8NI36_WDR36.pdf", "Melting_Curves/meltCurve_Q8NI36_WDR36.pdf")</f>
        <v>Melting_Curves/meltCurve_Q8NI36_WDR36.pdf</v>
      </c>
    </row>
    <row r="4548" spans="1:28" x14ac:dyDescent="0.25">
      <c r="A4548" t="s">
        <v>4552</v>
      </c>
      <c r="B4548">
        <v>0.99673306730245903</v>
      </c>
      <c r="C4548">
        <v>0.99927723502534804</v>
      </c>
      <c r="D4548">
        <v>0.90358372624485805</v>
      </c>
      <c r="E4548">
        <v>0.62558666942284402</v>
      </c>
      <c r="F4548">
        <v>0.26915488139076099</v>
      </c>
      <c r="G4548">
        <v>0.13454454751397801</v>
      </c>
      <c r="H4548">
        <v>7.5101146457399903E-2</v>
      </c>
      <c r="I4548">
        <v>6.11966052736009E-2</v>
      </c>
      <c r="J4548">
        <v>6.0455044655720901E-2</v>
      </c>
      <c r="K4548">
        <v>5.3688737129356102E-2</v>
      </c>
      <c r="L4548">
        <v>1166.6555488009899</v>
      </c>
      <c r="M4548">
        <v>23.1193888262275</v>
      </c>
      <c r="N4548">
        <v>50.726165499498698</v>
      </c>
      <c r="O4548">
        <v>50.089222939212398</v>
      </c>
      <c r="P4548">
        <v>-0.10885346316571699</v>
      </c>
      <c r="Q4548">
        <v>5.6673120748921398E-2</v>
      </c>
      <c r="R4548">
        <v>0.99968570901173404</v>
      </c>
      <c r="S4548" t="s">
        <v>11000</v>
      </c>
      <c r="T4548" t="s">
        <v>12902</v>
      </c>
      <c r="U4548" t="s">
        <v>12902</v>
      </c>
      <c r="V4548" t="s">
        <v>12902</v>
      </c>
      <c r="W4548" t="s">
        <v>17403</v>
      </c>
      <c r="X4548">
        <v>4</v>
      </c>
      <c r="Y4548" t="s">
        <v>23706</v>
      </c>
      <c r="Z4548" t="s">
        <v>30123</v>
      </c>
      <c r="AA4548">
        <v>0.39554134781931111</v>
      </c>
      <c r="AB4548" t="str">
        <f>HYPERLINK("Melting_Curves/meltCurve_Q8NI37_PPTC7.pdf", "Melting_Curves/meltCurve_Q8NI37_PPTC7.pdf")</f>
        <v>Melting_Curves/meltCurve_Q8NI37_PPTC7.pdf</v>
      </c>
    </row>
    <row r="4549" spans="1:28" x14ac:dyDescent="0.25">
      <c r="A4549" t="s">
        <v>4553</v>
      </c>
      <c r="B4549">
        <v>0.99673306730245903</v>
      </c>
      <c r="C4549">
        <v>1.0049695534221601</v>
      </c>
      <c r="D4549">
        <v>0.93369736357625899</v>
      </c>
      <c r="E4549">
        <v>0.80667757679726804</v>
      </c>
      <c r="F4549">
        <v>0.45232089046380403</v>
      </c>
      <c r="G4549">
        <v>0.31647882579084202</v>
      </c>
      <c r="H4549">
        <v>0.212724751650435</v>
      </c>
      <c r="I4549">
        <v>0.19613397755387699</v>
      </c>
      <c r="J4549">
        <v>0.17747440692404501</v>
      </c>
      <c r="K4549">
        <v>0.13327255967436899</v>
      </c>
      <c r="L4549">
        <v>1084.5121297840301</v>
      </c>
      <c r="M4549">
        <v>20.841245728992099</v>
      </c>
      <c r="N4549">
        <v>53.054561154989699</v>
      </c>
      <c r="O4549">
        <v>51.564839046908901</v>
      </c>
      <c r="P4549">
        <v>-8.4397042775987793E-2</v>
      </c>
      <c r="Q4549">
        <v>0.16477169778589901</v>
      </c>
      <c r="R4549">
        <v>0.99602046096438701</v>
      </c>
      <c r="S4549" t="s">
        <v>11001</v>
      </c>
      <c r="T4549" t="s">
        <v>12902</v>
      </c>
      <c r="U4549" t="s">
        <v>12902</v>
      </c>
      <c r="V4549" t="s">
        <v>12902</v>
      </c>
      <c r="W4549" t="s">
        <v>17404</v>
      </c>
      <c r="X4549">
        <v>16</v>
      </c>
      <c r="Y4549" t="s">
        <v>23707</v>
      </c>
      <c r="Z4549" t="s">
        <v>30124</v>
      </c>
      <c r="AA4549">
        <v>0.51061682388191409</v>
      </c>
      <c r="AB4549" t="str">
        <f>HYPERLINK("Melting_Curves/meltCurve_Q8NI60_ADCK3.pdf", "Melting_Curves/meltCurve_Q8NI60_ADCK3.pdf")</f>
        <v>Melting_Curves/meltCurve_Q8NI60_ADCK3.pdf</v>
      </c>
    </row>
    <row r="4550" spans="1:28" x14ac:dyDescent="0.25">
      <c r="A4550" t="s">
        <v>4554</v>
      </c>
      <c r="B4550">
        <v>0.99673306730245903</v>
      </c>
      <c r="C4550">
        <v>0.96181798563747001</v>
      </c>
      <c r="D4550">
        <v>1.0910966248915901</v>
      </c>
      <c r="E4550">
        <v>0.88869594317526801</v>
      </c>
      <c r="F4550">
        <v>0.88502611122605801</v>
      </c>
      <c r="G4550">
        <v>0.63643434608674798</v>
      </c>
      <c r="H4550">
        <v>0.36079691048542201</v>
      </c>
      <c r="I4550">
        <v>0.33618438565521602</v>
      </c>
      <c r="J4550">
        <v>0.37445992260599797</v>
      </c>
      <c r="K4550">
        <v>0.40915478865007499</v>
      </c>
      <c r="L4550">
        <v>1690.49833959957</v>
      </c>
      <c r="M4550">
        <v>30.205264218070099</v>
      </c>
      <c r="N4550">
        <v>58.381119957776299</v>
      </c>
      <c r="O4550">
        <v>55.723398707810603</v>
      </c>
      <c r="P4550">
        <v>-8.7189786919360093E-2</v>
      </c>
      <c r="Q4550">
        <v>0.356604612836947</v>
      </c>
      <c r="R4550">
        <v>0.96733871464171595</v>
      </c>
      <c r="S4550" t="s">
        <v>11002</v>
      </c>
      <c r="T4550" t="s">
        <v>12902</v>
      </c>
      <c r="U4550" t="s">
        <v>12902</v>
      </c>
      <c r="V4550" t="s">
        <v>12902</v>
      </c>
      <c r="W4550" t="s">
        <v>17405</v>
      </c>
      <c r="X4550">
        <v>6</v>
      </c>
      <c r="Y4550" t="s">
        <v>23708</v>
      </c>
      <c r="Z4550" t="s">
        <v>30125</v>
      </c>
      <c r="AA4550">
        <v>0.7032780009754831</v>
      </c>
      <c r="AB4550" t="str">
        <f>HYPERLINK("Melting_Curves/meltCurve_Q8TA86_RP9.pdf", "Melting_Curves/meltCurve_Q8TA86_RP9.pdf")</f>
        <v>Melting_Curves/meltCurve_Q8TA86_RP9.pdf</v>
      </c>
    </row>
    <row r="4551" spans="1:28" x14ac:dyDescent="0.25">
      <c r="A4551" t="s">
        <v>4555</v>
      </c>
      <c r="B4551">
        <v>0.99673306730245903</v>
      </c>
      <c r="C4551">
        <v>0.929062232679013</v>
      </c>
      <c r="D4551">
        <v>0.60770249832635603</v>
      </c>
      <c r="E4551">
        <v>0.190533342242767</v>
      </c>
      <c r="F4551">
        <v>0.107726069297957</v>
      </c>
      <c r="G4551">
        <v>6.3025687106650394E-2</v>
      </c>
      <c r="H4551">
        <v>4.6607766350487398E-2</v>
      </c>
      <c r="I4551">
        <v>3.7909438660246299E-2</v>
      </c>
      <c r="J4551">
        <v>3.9910577680565801E-2</v>
      </c>
      <c r="K4551">
        <v>4.06768255078871E-2</v>
      </c>
      <c r="L4551">
        <v>1294.82423274545</v>
      </c>
      <c r="M4551">
        <v>27.7825215180459</v>
      </c>
      <c r="N4551">
        <v>46.776879584393001</v>
      </c>
      <c r="O4551">
        <v>46.366257257615899</v>
      </c>
      <c r="P4551">
        <v>-0.14256038723944101</v>
      </c>
      <c r="Q4551">
        <v>4.8332147255860498E-2</v>
      </c>
      <c r="R4551">
        <v>0.99896165474296295</v>
      </c>
      <c r="S4551" t="s">
        <v>11003</v>
      </c>
      <c r="T4551" t="s">
        <v>12902</v>
      </c>
      <c r="U4551" t="s">
        <v>12902</v>
      </c>
      <c r="V4551" t="s">
        <v>12902</v>
      </c>
      <c r="W4551" t="s">
        <v>17406</v>
      </c>
      <c r="X4551">
        <v>5</v>
      </c>
      <c r="Y4551" t="s">
        <v>23709</v>
      </c>
      <c r="Z4551" t="s">
        <v>30126</v>
      </c>
      <c r="AA4551">
        <v>0.26466107401847128</v>
      </c>
      <c r="AB4551" t="str">
        <f>HYPERLINK("Melting_Curves/meltCurve_Q8TAA5_GRPEL2.pdf", "Melting_Curves/meltCurve_Q8TAA5_GRPEL2.pdf")</f>
        <v>Melting_Curves/meltCurve_Q8TAA5_GRPEL2.pdf</v>
      </c>
    </row>
    <row r="4552" spans="1:28" x14ac:dyDescent="0.25">
      <c r="A4552" t="s">
        <v>4556</v>
      </c>
      <c r="B4552">
        <v>0.99673306730245903</v>
      </c>
      <c r="C4552">
        <v>1.1129426078548701</v>
      </c>
      <c r="D4552">
        <v>1.01026338866878</v>
      </c>
      <c r="E4552">
        <v>0.98857702004389802</v>
      </c>
      <c r="F4552">
        <v>0.87109562248712902</v>
      </c>
      <c r="G4552">
        <v>0.65579440650093401</v>
      </c>
      <c r="H4552">
        <v>0.34184476257983099</v>
      </c>
      <c r="I4552">
        <v>0.54741280057516195</v>
      </c>
      <c r="J4552">
        <v>0.54300402184101804</v>
      </c>
      <c r="K4552">
        <v>0.50716601676459405</v>
      </c>
      <c r="L4552">
        <v>2063.1962578900202</v>
      </c>
      <c r="M4552">
        <v>37.449902203905097</v>
      </c>
      <c r="N4552">
        <v>61.209957654776503</v>
      </c>
      <c r="O4552">
        <v>54.9357834756728</v>
      </c>
      <c r="P4552">
        <v>-8.7231179989616006E-2</v>
      </c>
      <c r="Q4552">
        <v>0.48815884403535698</v>
      </c>
      <c r="R4552">
        <v>0.92673369878067702</v>
      </c>
      <c r="S4552" t="s">
        <v>11004</v>
      </c>
      <c r="T4552" t="s">
        <v>12902</v>
      </c>
      <c r="U4552" t="s">
        <v>12902</v>
      </c>
      <c r="V4552" t="s">
        <v>12902</v>
      </c>
      <c r="W4552" t="s">
        <v>17407</v>
      </c>
      <c r="X4552">
        <v>3</v>
      </c>
      <c r="Y4552" t="s">
        <v>23710</v>
      </c>
      <c r="Z4552" t="s">
        <v>30127</v>
      </c>
      <c r="AA4552">
        <v>0.74786402686729114</v>
      </c>
      <c r="AB4552" t="str">
        <f>HYPERLINK("Melting_Curves/meltCurve_Q8TAE6_PPP1R14C.pdf", "Melting_Curves/meltCurve_Q8TAE6_PPP1R14C.pdf")</f>
        <v>Melting_Curves/meltCurve_Q8TAE6_PPP1R14C.pdf</v>
      </c>
    </row>
    <row r="4553" spans="1:28" x14ac:dyDescent="0.25">
      <c r="A4553" t="s">
        <v>4557</v>
      </c>
      <c r="B4553">
        <v>0.99673306730245903</v>
      </c>
      <c r="C4553">
        <v>0.98771824719496304</v>
      </c>
      <c r="D4553">
        <v>1.0272600929898299</v>
      </c>
      <c r="E4553">
        <v>1.0101424369527601</v>
      </c>
      <c r="F4553">
        <v>1.16113456576922</v>
      </c>
      <c r="G4553">
        <v>1.0492997601430201</v>
      </c>
      <c r="H4553">
        <v>0.61567250266936002</v>
      </c>
      <c r="I4553">
        <v>0.812279014183653</v>
      </c>
      <c r="J4553">
        <v>1.2235202850789999</v>
      </c>
      <c r="K4553">
        <v>1.6027526277680599</v>
      </c>
      <c r="L4553">
        <v>15000</v>
      </c>
      <c r="M4553">
        <v>223.33460637228399</v>
      </c>
      <c r="O4553">
        <v>67.158432966842298</v>
      </c>
      <c r="P4553">
        <v>0.41568621857156701</v>
      </c>
      <c r="Q4553">
        <v>1.5</v>
      </c>
      <c r="R4553">
        <v>0.62966746918315797</v>
      </c>
      <c r="S4553" t="s">
        <v>11005</v>
      </c>
      <c r="T4553" t="s">
        <v>12902</v>
      </c>
      <c r="U4553" t="s">
        <v>12902</v>
      </c>
      <c r="V4553" t="s">
        <v>12902</v>
      </c>
      <c r="W4553" t="s">
        <v>17408</v>
      </c>
      <c r="X4553">
        <v>4</v>
      </c>
      <c r="Y4553" t="s">
        <v>23711</v>
      </c>
      <c r="Z4553" t="s">
        <v>30128</v>
      </c>
      <c r="AA4553">
        <v>1.0471968547530719</v>
      </c>
      <c r="AB4553" t="str">
        <f>HYPERLINK("Melting_Curves/meltCurve_Q8TAE8_GADD45GIP1.pdf", "Melting_Curves/meltCurve_Q8TAE8_GADD45GIP1.pdf")</f>
        <v>Melting_Curves/meltCurve_Q8TAE8_GADD45GIP1.pdf</v>
      </c>
    </row>
    <row r="4554" spans="1:28" x14ac:dyDescent="0.25">
      <c r="A4554" t="s">
        <v>4558</v>
      </c>
      <c r="B4554">
        <v>0.99673306730245903</v>
      </c>
      <c r="C4554">
        <v>0.98924110059364401</v>
      </c>
      <c r="D4554">
        <v>0.99472862831289299</v>
      </c>
      <c r="E4554">
        <v>1.0401035019749101</v>
      </c>
      <c r="F4554">
        <v>0.96899250939927395</v>
      </c>
      <c r="G4554">
        <v>0.83906840754963097</v>
      </c>
      <c r="H4554">
        <v>0.26718845349714598</v>
      </c>
      <c r="I4554">
        <v>0.104049771945447</v>
      </c>
      <c r="J4554">
        <v>0.11354034904812001</v>
      </c>
      <c r="K4554">
        <v>0.17634078966710001</v>
      </c>
      <c r="L4554">
        <v>2780.71156296564</v>
      </c>
      <c r="M4554">
        <v>47.463363032822997</v>
      </c>
      <c r="N4554">
        <v>58.952748549883601</v>
      </c>
      <c r="O4554">
        <v>58.482767040395302</v>
      </c>
      <c r="P4554">
        <v>-0.176987611573339</v>
      </c>
      <c r="Q4554">
        <v>0.127688099172243</v>
      </c>
      <c r="R4554">
        <v>0.99591715564285499</v>
      </c>
      <c r="S4554" t="s">
        <v>11006</v>
      </c>
      <c r="T4554" t="s">
        <v>12902</v>
      </c>
      <c r="U4554" t="s">
        <v>12902</v>
      </c>
      <c r="V4554" t="s">
        <v>12902</v>
      </c>
      <c r="W4554" t="s">
        <v>17409</v>
      </c>
      <c r="X4554">
        <v>23</v>
      </c>
      <c r="Y4554" t="s">
        <v>23712</v>
      </c>
      <c r="Z4554" t="s">
        <v>30129</v>
      </c>
      <c r="AA4554">
        <v>0.67060818634051977</v>
      </c>
      <c r="AB4554" t="str">
        <f>HYPERLINK("Melting_Curves/meltCurve_Q8TAF3_WDR48.pdf", "Melting_Curves/meltCurve_Q8TAF3_WDR48.pdf")</f>
        <v>Melting_Curves/meltCurve_Q8TAF3_WDR48.pdf</v>
      </c>
    </row>
    <row r="4555" spans="1:28" x14ac:dyDescent="0.25">
      <c r="A4555" t="s">
        <v>4559</v>
      </c>
      <c r="B4555">
        <v>0.99673306730245903</v>
      </c>
      <c r="C4555">
        <v>0.87109044933903101</v>
      </c>
      <c r="D4555">
        <v>0.81686558163344303</v>
      </c>
      <c r="E4555">
        <v>0.82197033083251803</v>
      </c>
      <c r="F4555">
        <v>0.64970445159639001</v>
      </c>
      <c r="G4555">
        <v>0.50302475674431402</v>
      </c>
      <c r="H4555">
        <v>0.32005550537155197</v>
      </c>
      <c r="I4555">
        <v>0.54009164233890095</v>
      </c>
      <c r="J4555">
        <v>0.70122812068806395</v>
      </c>
      <c r="K4555">
        <v>0.66812952891407895</v>
      </c>
      <c r="L4555">
        <v>735.79123694735199</v>
      </c>
      <c r="M4555">
        <v>15.313801561575101</v>
      </c>
      <c r="O4555">
        <v>47.250617486759701</v>
      </c>
      <c r="P4555">
        <v>-3.67733753929907E-2</v>
      </c>
      <c r="Q4555">
        <v>0.54618640138367003</v>
      </c>
      <c r="R4555">
        <v>0.6661053433313</v>
      </c>
      <c r="S4555" t="s">
        <v>11007</v>
      </c>
      <c r="T4555" t="s">
        <v>12902</v>
      </c>
      <c r="U4555" t="s">
        <v>12902</v>
      </c>
      <c r="V4555" t="s">
        <v>12902</v>
      </c>
      <c r="W4555" t="s">
        <v>17410</v>
      </c>
      <c r="X4555">
        <v>3</v>
      </c>
      <c r="Y4555" t="s">
        <v>23713</v>
      </c>
      <c r="Z4555" t="s">
        <v>30130</v>
      </c>
      <c r="AA4555">
        <v>0.67910675649474683</v>
      </c>
      <c r="AB4555" t="str">
        <f>HYPERLINK("Melting_Curves/meltCurve_Q8TAM6_ERMN.pdf", "Melting_Curves/meltCurve_Q8TAM6_ERMN.pdf")</f>
        <v>Melting_Curves/meltCurve_Q8TAM6_ERMN.pdf</v>
      </c>
    </row>
    <row r="4556" spans="1:28" x14ac:dyDescent="0.25">
      <c r="A4556" t="s">
        <v>4560</v>
      </c>
      <c r="B4556">
        <v>0.99673306730245903</v>
      </c>
      <c r="C4556">
        <v>0.93973630790604401</v>
      </c>
      <c r="D4556">
        <v>0.95743914446721401</v>
      </c>
      <c r="E4556">
        <v>0.89201950705173005</v>
      </c>
      <c r="F4556">
        <v>0.58597097743995596</v>
      </c>
      <c r="G4556">
        <v>0.458690224208125</v>
      </c>
      <c r="H4556">
        <v>0.31950466946643502</v>
      </c>
      <c r="I4556">
        <v>0.24107090723027799</v>
      </c>
      <c r="J4556">
        <v>0.13568419090369299</v>
      </c>
      <c r="K4556">
        <v>0.14643865556274399</v>
      </c>
      <c r="L4556">
        <v>751.94419894669602</v>
      </c>
      <c r="M4556">
        <v>13.6841322156305</v>
      </c>
      <c r="N4556">
        <v>55.883368265175498</v>
      </c>
      <c r="O4556">
        <v>53.816431673976297</v>
      </c>
      <c r="P4556">
        <v>-5.7083305699559897E-2</v>
      </c>
      <c r="Q4556">
        <v>0.10214973014079</v>
      </c>
      <c r="R4556">
        <v>0.98899735453212501</v>
      </c>
      <c r="S4556" t="s">
        <v>11008</v>
      </c>
      <c r="T4556" t="s">
        <v>12902</v>
      </c>
      <c r="U4556" t="s">
        <v>12902</v>
      </c>
      <c r="V4556" t="s">
        <v>12902</v>
      </c>
      <c r="W4556" t="s">
        <v>17411</v>
      </c>
      <c r="X4556">
        <v>2</v>
      </c>
      <c r="Y4556" t="s">
        <v>23714</v>
      </c>
      <c r="Z4556" t="s">
        <v>30131</v>
      </c>
      <c r="AA4556">
        <v>0.56862102517691748</v>
      </c>
      <c r="AB4556" t="str">
        <f>HYPERLINK("Melting_Curves/meltCurve_Q8TAP6_CEP76.pdf", "Melting_Curves/meltCurve_Q8TAP6_CEP76.pdf")</f>
        <v>Melting_Curves/meltCurve_Q8TAP6_CEP76.pdf</v>
      </c>
    </row>
    <row r="4557" spans="1:28" x14ac:dyDescent="0.25">
      <c r="A4557" t="s">
        <v>4561</v>
      </c>
      <c r="B4557">
        <v>0.99673306730245903</v>
      </c>
      <c r="C4557">
        <v>0.87396750066237405</v>
      </c>
      <c r="D4557">
        <v>0.66359537266670299</v>
      </c>
      <c r="E4557">
        <v>0.34897806023386202</v>
      </c>
      <c r="F4557">
        <v>0.216705884110277</v>
      </c>
      <c r="G4557">
        <v>0.15782366068304099</v>
      </c>
      <c r="H4557">
        <v>0.106985385579337</v>
      </c>
      <c r="I4557">
        <v>0.12297541936618001</v>
      </c>
      <c r="J4557">
        <v>0.14524313246517301</v>
      </c>
      <c r="K4557">
        <v>0.128305172691251</v>
      </c>
      <c r="L4557">
        <v>929.57299670165605</v>
      </c>
      <c r="M4557">
        <v>19.762406289901801</v>
      </c>
      <c r="N4557">
        <v>47.727668649553301</v>
      </c>
      <c r="O4557">
        <v>46.563752308877199</v>
      </c>
      <c r="P4557">
        <v>-9.2919139529875294E-2</v>
      </c>
      <c r="Q4557">
        <v>0.124293652930032</v>
      </c>
      <c r="R4557">
        <v>0.99801623750202195</v>
      </c>
      <c r="S4557" t="s">
        <v>11009</v>
      </c>
      <c r="T4557" t="s">
        <v>12902</v>
      </c>
      <c r="U4557" t="s">
        <v>12902</v>
      </c>
      <c r="V4557" t="s">
        <v>12902</v>
      </c>
      <c r="W4557" t="s">
        <v>17412</v>
      </c>
      <c r="X4557">
        <v>17</v>
      </c>
      <c r="Y4557" t="s">
        <v>23715</v>
      </c>
      <c r="Z4557" t="s">
        <v>30132</v>
      </c>
      <c r="AA4557">
        <v>0.34286069856949453</v>
      </c>
      <c r="AB4557" t="str">
        <f>HYPERLINK("Melting_Curves/meltCurve_Q8TAQ2_SMARCC2.pdf", "Melting_Curves/meltCurve_Q8TAQ2_SMARCC2.pdf")</f>
        <v>Melting_Curves/meltCurve_Q8TAQ2_SMARCC2.pdf</v>
      </c>
    </row>
    <row r="4558" spans="1:28" x14ac:dyDescent="0.25">
      <c r="A4558" t="s">
        <v>4562</v>
      </c>
      <c r="B4558">
        <v>0.99673306730245903</v>
      </c>
      <c r="C4558">
        <v>0.805650077743711</v>
      </c>
      <c r="D4558">
        <v>0.831809667657889</v>
      </c>
      <c r="E4558">
        <v>0.852050943811966</v>
      </c>
      <c r="F4558">
        <v>0.33730345951656798</v>
      </c>
      <c r="G4558">
        <v>0.14700927510870801</v>
      </c>
      <c r="H4558">
        <v>9.5868722180010496E-2</v>
      </c>
      <c r="I4558">
        <v>6.7568001122742E-2</v>
      </c>
      <c r="J4558">
        <v>5.9895997641864401E-2</v>
      </c>
      <c r="K4558">
        <v>4.2777184703473997E-2</v>
      </c>
      <c r="L4558">
        <v>1337.5417091438601</v>
      </c>
      <c r="M4558">
        <v>25.802631101515502</v>
      </c>
      <c r="N4558">
        <v>52.075011354213999</v>
      </c>
      <c r="O4558">
        <v>51.529066296403798</v>
      </c>
      <c r="P4558">
        <v>-0.118234771313329</v>
      </c>
      <c r="Q4558">
        <v>5.5529789373060801E-2</v>
      </c>
      <c r="R4558">
        <v>0.95627085933932698</v>
      </c>
      <c r="S4558" t="s">
        <v>11010</v>
      </c>
      <c r="T4558" t="s">
        <v>12902</v>
      </c>
      <c r="U4558" t="s">
        <v>12902</v>
      </c>
      <c r="V4558" t="s">
        <v>12902</v>
      </c>
      <c r="W4558" t="s">
        <v>17413</v>
      </c>
      <c r="X4558">
        <v>21</v>
      </c>
      <c r="Y4558" t="s">
        <v>23716</v>
      </c>
      <c r="Z4558" t="s">
        <v>30133</v>
      </c>
      <c r="AA4558">
        <v>0.43629613071648049</v>
      </c>
      <c r="AB4558" t="str">
        <f>HYPERLINK("Melting_Curves/meltCurve_Q8TAT6_NPLOC4.pdf", "Melting_Curves/meltCurve_Q8TAT6_NPLOC4.pdf")</f>
        <v>Melting_Curves/meltCurve_Q8TAT6_NPLOC4.pdf</v>
      </c>
    </row>
    <row r="4559" spans="1:28" x14ac:dyDescent="0.25">
      <c r="A4559" t="s">
        <v>4563</v>
      </c>
      <c r="B4559">
        <v>0.99673306730245903</v>
      </c>
      <c r="C4559">
        <v>0.97443458808414196</v>
      </c>
      <c r="D4559">
        <v>0.92825182097044001</v>
      </c>
      <c r="E4559">
        <v>0.805867695393504</v>
      </c>
      <c r="F4559">
        <v>0.60225557572848498</v>
      </c>
      <c r="G4559">
        <v>0.30417341394400199</v>
      </c>
      <c r="H4559">
        <v>8.6745620978076504E-2</v>
      </c>
      <c r="I4559">
        <v>7.4152881533563295E-2</v>
      </c>
      <c r="J4559">
        <v>7.0609595547309598E-2</v>
      </c>
      <c r="K4559">
        <v>6.6659907807861102E-2</v>
      </c>
      <c r="L4559">
        <v>972.71401515550497</v>
      </c>
      <c r="M4559">
        <v>18.065991638959801</v>
      </c>
      <c r="N4559">
        <v>54.0162327195386</v>
      </c>
      <c r="O4559">
        <v>53.195566340420598</v>
      </c>
      <c r="P4559">
        <v>-8.2508233564123901E-2</v>
      </c>
      <c r="Q4559">
        <v>2.8260615044672002E-2</v>
      </c>
      <c r="R4559">
        <v>0.99584877353714396</v>
      </c>
      <c r="S4559" t="s">
        <v>11011</v>
      </c>
      <c r="T4559" t="s">
        <v>12902</v>
      </c>
      <c r="U4559" t="s">
        <v>12902</v>
      </c>
      <c r="V4559" t="s">
        <v>12902</v>
      </c>
      <c r="W4559" t="s">
        <v>17414</v>
      </c>
      <c r="X4559">
        <v>13</v>
      </c>
      <c r="Y4559" t="s">
        <v>23717</v>
      </c>
      <c r="Z4559" t="s">
        <v>30134</v>
      </c>
      <c r="AA4559">
        <v>0.4921579974511236</v>
      </c>
      <c r="AB4559" t="str">
        <f>HYPERLINK("Melting_Curves/meltCurve_Q8TB36_GDAP1.pdf", "Melting_Curves/meltCurve_Q8TB36_GDAP1.pdf")</f>
        <v>Melting_Curves/meltCurve_Q8TB36_GDAP1.pdf</v>
      </c>
    </row>
    <row r="4560" spans="1:28" x14ac:dyDescent="0.25">
      <c r="A4560" t="s">
        <v>4564</v>
      </c>
      <c r="B4560">
        <v>0.99673306730245903</v>
      </c>
      <c r="C4560">
        <v>0.97629023359479605</v>
      </c>
      <c r="D4560">
        <v>0.902685637170902</v>
      </c>
      <c r="E4560">
        <v>0.87672913011090203</v>
      </c>
      <c r="F4560">
        <v>0.68958355282782302</v>
      </c>
      <c r="G4560">
        <v>0.30105630098962299</v>
      </c>
      <c r="H4560">
        <v>8.1753685044225796E-2</v>
      </c>
      <c r="I4560">
        <v>6.6101176194305694E-2</v>
      </c>
      <c r="J4560">
        <v>5.9947691515671302E-2</v>
      </c>
      <c r="K4560">
        <v>4.7095948142454401E-2</v>
      </c>
      <c r="L4560">
        <v>1241.7935294407901</v>
      </c>
      <c r="M4560">
        <v>22.758362692544502</v>
      </c>
      <c r="N4560">
        <v>54.713965039399099</v>
      </c>
      <c r="O4560">
        <v>54.148226588044402</v>
      </c>
      <c r="P4560">
        <v>-0.10190492296595299</v>
      </c>
      <c r="Q4560">
        <v>3.0182758591944199E-2</v>
      </c>
      <c r="R4560">
        <v>0.992843099054176</v>
      </c>
      <c r="S4560" t="s">
        <v>11012</v>
      </c>
      <c r="T4560" t="s">
        <v>12902</v>
      </c>
      <c r="U4560" t="s">
        <v>12902</v>
      </c>
      <c r="V4560" t="s">
        <v>12902</v>
      </c>
      <c r="W4560" t="s">
        <v>17415</v>
      </c>
      <c r="X4560">
        <v>3</v>
      </c>
      <c r="Y4560" t="s">
        <v>23718</v>
      </c>
      <c r="Z4560" t="s">
        <v>30135</v>
      </c>
      <c r="AA4560">
        <v>0.51158148455541108</v>
      </c>
      <c r="AB4560" t="str">
        <f>HYPERLINK("Melting_Curves/meltCurve_Q8TB37_NUBPL.pdf", "Melting_Curves/meltCurve_Q8TB37_NUBPL.pdf")</f>
        <v>Melting_Curves/meltCurve_Q8TB37_NUBPL.pdf</v>
      </c>
    </row>
    <row r="4561" spans="1:28" x14ac:dyDescent="0.25">
      <c r="A4561" t="s">
        <v>4565</v>
      </c>
      <c r="B4561">
        <v>0.99673306730245903</v>
      </c>
      <c r="C4561">
        <v>0.99314702045278402</v>
      </c>
      <c r="D4561">
        <v>0.80818832325976497</v>
      </c>
      <c r="E4561">
        <v>0.58865832469333701</v>
      </c>
      <c r="F4561">
        <v>0.37694625811744698</v>
      </c>
      <c r="G4561">
        <v>0.274142604962616</v>
      </c>
      <c r="H4561">
        <v>0.159917878368984</v>
      </c>
      <c r="I4561">
        <v>0.14720578786784899</v>
      </c>
      <c r="J4561">
        <v>0.23902453198047699</v>
      </c>
      <c r="K4561">
        <v>0.23773184267541</v>
      </c>
      <c r="L4561">
        <v>915.32479895256995</v>
      </c>
      <c r="M4561">
        <v>18.510753945063598</v>
      </c>
      <c r="N4561">
        <v>50.766706147014098</v>
      </c>
      <c r="O4561">
        <v>48.882007446900701</v>
      </c>
      <c r="P4561">
        <v>-7.6607705674452395E-2</v>
      </c>
      <c r="Q4561">
        <v>0.19083293970270801</v>
      </c>
      <c r="R4561">
        <v>0.98769203010217799</v>
      </c>
      <c r="S4561" t="s">
        <v>11013</v>
      </c>
      <c r="T4561" t="s">
        <v>12902</v>
      </c>
      <c r="U4561" t="s">
        <v>12902</v>
      </c>
      <c r="V4561" t="s">
        <v>12902</v>
      </c>
      <c r="W4561" t="s">
        <v>17416</v>
      </c>
      <c r="X4561">
        <v>5</v>
      </c>
      <c r="Y4561" t="s">
        <v>23719</v>
      </c>
      <c r="Z4561" t="s">
        <v>30136</v>
      </c>
      <c r="AA4561">
        <v>0.45884048938340699</v>
      </c>
      <c r="AB4561" t="str">
        <f>HYPERLINK("Melting_Curves/meltCurve_Q8TB52_FBXO30.pdf", "Melting_Curves/meltCurve_Q8TB52_FBXO30.pdf")</f>
        <v>Melting_Curves/meltCurve_Q8TB52_FBXO30.pdf</v>
      </c>
    </row>
    <row r="4562" spans="1:28" x14ac:dyDescent="0.25">
      <c r="A4562" t="s">
        <v>4566</v>
      </c>
      <c r="B4562">
        <v>0.99673306730245903</v>
      </c>
      <c r="C4562">
        <v>0.86010255610711095</v>
      </c>
      <c r="D4562">
        <v>0.81077900670770497</v>
      </c>
      <c r="E4562">
        <v>0.67008262195036306</v>
      </c>
      <c r="F4562">
        <v>0.51493030185107003</v>
      </c>
      <c r="G4562">
        <v>0.37184854724587701</v>
      </c>
      <c r="H4562">
        <v>0.22990728168640501</v>
      </c>
      <c r="I4562">
        <v>0.149501541191665</v>
      </c>
      <c r="J4562">
        <v>7.4064756745422095E-2</v>
      </c>
      <c r="K4562">
        <v>5.1536851418050603E-2</v>
      </c>
      <c r="L4562">
        <v>528.874188609562</v>
      </c>
      <c r="M4562">
        <v>9.9536396751348502</v>
      </c>
      <c r="N4562">
        <v>53.133747374263798</v>
      </c>
      <c r="O4562">
        <v>51.122560102978397</v>
      </c>
      <c r="P4562">
        <v>-4.8699470058305203E-2</v>
      </c>
      <c r="Q4562">
        <v>0</v>
      </c>
      <c r="R4562">
        <v>0.99275437037966896</v>
      </c>
      <c r="S4562" t="s">
        <v>11014</v>
      </c>
      <c r="T4562" t="s">
        <v>12902</v>
      </c>
      <c r="U4562" t="s">
        <v>12902</v>
      </c>
      <c r="V4562" t="s">
        <v>12902</v>
      </c>
      <c r="W4562" t="s">
        <v>17417</v>
      </c>
      <c r="X4562">
        <v>9</v>
      </c>
      <c r="Y4562" t="s">
        <v>23720</v>
      </c>
      <c r="Z4562" t="s">
        <v>30137</v>
      </c>
      <c r="AA4562">
        <v>0.47161914542472538</v>
      </c>
      <c r="AB4562" t="str">
        <f>HYPERLINK("Melting_Curves/meltCurve_Q8TB61_3_SLC35B2.pdf", "Melting_Curves/meltCurve_Q8TB61_3_SLC35B2.pdf")</f>
        <v>Melting_Curves/meltCurve_Q8TB61_3_SLC35B2.pdf</v>
      </c>
    </row>
    <row r="4563" spans="1:28" x14ac:dyDescent="0.25">
      <c r="A4563" t="s">
        <v>4567</v>
      </c>
      <c r="B4563">
        <v>0.99673306730245903</v>
      </c>
      <c r="C4563">
        <v>0.95527997913787899</v>
      </c>
      <c r="D4563">
        <v>0.93389868372628104</v>
      </c>
      <c r="E4563">
        <v>0.80213814076266898</v>
      </c>
      <c r="F4563">
        <v>0.53120795254887598</v>
      </c>
      <c r="G4563">
        <v>0.30300248196270801</v>
      </c>
      <c r="H4563">
        <v>0.23404469445036499</v>
      </c>
      <c r="I4563">
        <v>0.25536845051281898</v>
      </c>
      <c r="J4563">
        <v>0.371637283127359</v>
      </c>
      <c r="K4563">
        <v>0.384514318345895</v>
      </c>
      <c r="L4563">
        <v>1390.0284438060801</v>
      </c>
      <c r="M4563">
        <v>27.069740400541399</v>
      </c>
      <c r="N4563">
        <v>53.170473989969501</v>
      </c>
      <c r="O4563">
        <v>51.072132450827098</v>
      </c>
      <c r="P4563">
        <v>-9.2477038726555494E-2</v>
      </c>
      <c r="Q4563">
        <v>0.30210606642025101</v>
      </c>
      <c r="R4563">
        <v>0.96970778708026895</v>
      </c>
      <c r="S4563" t="s">
        <v>11015</v>
      </c>
      <c r="T4563" t="s">
        <v>12902</v>
      </c>
      <c r="U4563" t="s">
        <v>12902</v>
      </c>
      <c r="V4563" t="s">
        <v>12902</v>
      </c>
      <c r="W4563" t="s">
        <v>17418</v>
      </c>
      <c r="X4563">
        <v>7</v>
      </c>
      <c r="Y4563" t="s">
        <v>23721</v>
      </c>
      <c r="Z4563" t="s">
        <v>30138</v>
      </c>
      <c r="AA4563">
        <v>0.57155318542897982</v>
      </c>
      <c r="AB4563" t="str">
        <f>HYPERLINK("Melting_Curves/meltCurve_Q8TB72_3_PUM2.pdf", "Melting_Curves/meltCurve_Q8TB72_3_PUM2.pdf")</f>
        <v>Melting_Curves/meltCurve_Q8TB72_3_PUM2.pdf</v>
      </c>
    </row>
    <row r="4564" spans="1:28" x14ac:dyDescent="0.25">
      <c r="A4564" t="s">
        <v>4568</v>
      </c>
      <c r="B4564">
        <v>0.99673306730245903</v>
      </c>
      <c r="C4564">
        <v>0.97627908931017704</v>
      </c>
      <c r="D4564">
        <v>0.92701345542521796</v>
      </c>
      <c r="E4564">
        <v>0.75070991509939999</v>
      </c>
      <c r="F4564">
        <v>0.48589149587387598</v>
      </c>
      <c r="G4564">
        <v>0.26420867373006901</v>
      </c>
      <c r="H4564">
        <v>0.172401035889029</v>
      </c>
      <c r="I4564">
        <v>0.17866595135313501</v>
      </c>
      <c r="J4564">
        <v>0.19714277791999299</v>
      </c>
      <c r="K4564">
        <v>0.18308476443919899</v>
      </c>
      <c r="L4564">
        <v>1066.2349539929501</v>
      </c>
      <c r="M4564">
        <v>20.624281597800199</v>
      </c>
      <c r="N4564">
        <v>52.735576829417703</v>
      </c>
      <c r="O4564">
        <v>51.219352093536202</v>
      </c>
      <c r="P4564">
        <v>-8.3880921727291502E-2</v>
      </c>
      <c r="Q4564">
        <v>0.16676777548660801</v>
      </c>
      <c r="R4564">
        <v>0.99776366671385797</v>
      </c>
      <c r="S4564" t="s">
        <v>11016</v>
      </c>
      <c r="T4564" t="s">
        <v>12902</v>
      </c>
      <c r="U4564" t="s">
        <v>12902</v>
      </c>
      <c r="V4564" t="s">
        <v>12902</v>
      </c>
      <c r="W4564" t="s">
        <v>17419</v>
      </c>
      <c r="X4564">
        <v>22</v>
      </c>
      <c r="Y4564" t="s">
        <v>23722</v>
      </c>
      <c r="Z4564" t="s">
        <v>30139</v>
      </c>
      <c r="AA4564">
        <v>0.50258748506454298</v>
      </c>
      <c r="AB4564" t="str">
        <f>HYPERLINK("Melting_Curves/meltCurve_Q8TBA6_2_GOLGA5.pdf", "Melting_Curves/meltCurve_Q8TBA6_2_GOLGA5.pdf")</f>
        <v>Melting_Curves/meltCurve_Q8TBA6_2_GOLGA5.pdf</v>
      </c>
    </row>
    <row r="4565" spans="1:28" x14ac:dyDescent="0.25">
      <c r="A4565" t="s">
        <v>4569</v>
      </c>
      <c r="B4565">
        <v>0.99673306730245903</v>
      </c>
      <c r="C4565">
        <v>0.87951842465957397</v>
      </c>
      <c r="D4565">
        <v>0.73923772710764502</v>
      </c>
      <c r="E4565">
        <v>0.39422947520243401</v>
      </c>
      <c r="F4565">
        <v>0.234854273047886</v>
      </c>
      <c r="G4565">
        <v>0.150969592486184</v>
      </c>
      <c r="H4565">
        <v>0.119327272292044</v>
      </c>
      <c r="I4565">
        <v>0.12587643612643201</v>
      </c>
      <c r="J4565">
        <v>0.196893727491527</v>
      </c>
      <c r="K4565">
        <v>0.19380635034291799</v>
      </c>
      <c r="L4565">
        <v>1007.89731581527</v>
      </c>
      <c r="M4565">
        <v>21.211792378372699</v>
      </c>
      <c r="N4565">
        <v>48.3324249730912</v>
      </c>
      <c r="O4565">
        <v>47.099654746521303</v>
      </c>
      <c r="P4565">
        <v>-9.5638225120550702E-2</v>
      </c>
      <c r="Q4565">
        <v>0.15058402294148401</v>
      </c>
      <c r="R4565">
        <v>0.99109532805132705</v>
      </c>
      <c r="S4565" t="s">
        <v>11017</v>
      </c>
      <c r="T4565" t="s">
        <v>12902</v>
      </c>
      <c r="U4565" t="s">
        <v>12902</v>
      </c>
      <c r="V4565" t="s">
        <v>12902</v>
      </c>
      <c r="W4565" t="s">
        <v>17420</v>
      </c>
      <c r="X4565">
        <v>1</v>
      </c>
      <c r="Y4565" t="s">
        <v>23723</v>
      </c>
      <c r="Z4565" t="s">
        <v>30140</v>
      </c>
      <c r="AA4565">
        <v>0.37414125839132489</v>
      </c>
      <c r="AB4565" t="str">
        <f>HYPERLINK("Melting_Curves/meltCurve_Q8TBB1_LNX1.pdf", "Melting_Curves/meltCurve_Q8TBB1_LNX1.pdf")</f>
        <v>Melting_Curves/meltCurve_Q8TBB1_LNX1.pdf</v>
      </c>
    </row>
    <row r="4566" spans="1:28" x14ac:dyDescent="0.25">
      <c r="A4566" t="s">
        <v>4570</v>
      </c>
      <c r="B4566">
        <v>0.99673306730245903</v>
      </c>
      <c r="C4566">
        <v>0.96770281465294905</v>
      </c>
      <c r="D4566">
        <v>0.91733452847205099</v>
      </c>
      <c r="E4566">
        <v>0.78549708551490305</v>
      </c>
      <c r="F4566">
        <v>0.50594577870336499</v>
      </c>
      <c r="G4566">
        <v>0.36581320671388601</v>
      </c>
      <c r="H4566">
        <v>0.19337059594028899</v>
      </c>
      <c r="I4566">
        <v>0.10623233172200799</v>
      </c>
      <c r="J4566">
        <v>9.7783525066596697E-2</v>
      </c>
      <c r="K4566">
        <v>6.8682848561908996E-2</v>
      </c>
      <c r="L4566">
        <v>754.92337757357598</v>
      </c>
      <c r="M4566">
        <v>14.083177097382199</v>
      </c>
      <c r="N4566">
        <v>53.890611490726002</v>
      </c>
      <c r="O4566">
        <v>52.558499734592097</v>
      </c>
      <c r="P4566">
        <v>-6.4584490927439703E-2</v>
      </c>
      <c r="Q4566">
        <v>3.6005457020203802E-2</v>
      </c>
      <c r="R4566">
        <v>0.99763279899295398</v>
      </c>
      <c r="S4566" t="s">
        <v>11018</v>
      </c>
      <c r="T4566" t="s">
        <v>12902</v>
      </c>
      <c r="U4566" t="s">
        <v>12902</v>
      </c>
      <c r="V4566" t="s">
        <v>12902</v>
      </c>
      <c r="W4566" t="s">
        <v>17421</v>
      </c>
      <c r="X4566">
        <v>4</v>
      </c>
      <c r="Y4566" t="s">
        <v>23724</v>
      </c>
      <c r="Z4566" t="s">
        <v>30141</v>
      </c>
      <c r="AA4566">
        <v>0.49501809690422038</v>
      </c>
      <c r="AB4566" t="str">
        <f>HYPERLINK("Melting_Curves/meltCurve_Q8TBB5_3_KLHDC4.pdf", "Melting_Curves/meltCurve_Q8TBB5_3_KLHDC4.pdf")</f>
        <v>Melting_Curves/meltCurve_Q8TBB5_3_KLHDC4.pdf</v>
      </c>
    </row>
    <row r="4567" spans="1:28" x14ac:dyDescent="0.25">
      <c r="A4567" t="s">
        <v>4571</v>
      </c>
      <c r="B4567">
        <v>0.99673306730245903</v>
      </c>
      <c r="C4567">
        <v>0.99104418339056899</v>
      </c>
      <c r="D4567">
        <v>0.96485190026373602</v>
      </c>
      <c r="E4567">
        <v>0.66869465813121498</v>
      </c>
      <c r="F4567">
        <v>0.24929474694369699</v>
      </c>
      <c r="G4567">
        <v>0.16204993860407299</v>
      </c>
      <c r="H4567">
        <v>9.4854524392948406E-2</v>
      </c>
      <c r="I4567">
        <v>8.2719331843185806E-2</v>
      </c>
      <c r="J4567">
        <v>8.5723984913088996E-2</v>
      </c>
      <c r="K4567">
        <v>7.3328347405950095E-2</v>
      </c>
      <c r="L4567">
        <v>1476.0414103309899</v>
      </c>
      <c r="M4567">
        <v>29.196257995518199</v>
      </c>
      <c r="N4567">
        <v>50.895697138145998</v>
      </c>
      <c r="O4567">
        <v>50.320447411030898</v>
      </c>
      <c r="P4567">
        <v>-0.13220613171265799</v>
      </c>
      <c r="Q4567">
        <v>8.8564931545492498E-2</v>
      </c>
      <c r="R4567">
        <v>0.99865173577272004</v>
      </c>
      <c r="S4567" t="s">
        <v>11019</v>
      </c>
      <c r="T4567" t="s">
        <v>12902</v>
      </c>
      <c r="U4567" t="s">
        <v>12902</v>
      </c>
      <c r="V4567" t="s">
        <v>12902</v>
      </c>
      <c r="W4567" t="s">
        <v>17422</v>
      </c>
      <c r="X4567">
        <v>21</v>
      </c>
      <c r="Y4567" t="s">
        <v>23725</v>
      </c>
      <c r="Z4567" t="s">
        <v>30142</v>
      </c>
      <c r="AA4567">
        <v>0.41527191318551909</v>
      </c>
      <c r="AB4567" t="str">
        <f>HYPERLINK("Melting_Curves/meltCurve_Q8TBC4_UBA3.pdf", "Melting_Curves/meltCurve_Q8TBC4_UBA3.pdf")</f>
        <v>Melting_Curves/meltCurve_Q8TBC4_UBA3.pdf</v>
      </c>
    </row>
    <row r="4568" spans="1:28" x14ac:dyDescent="0.25">
      <c r="A4568" t="s">
        <v>4572</v>
      </c>
      <c r="B4568">
        <v>0.99673306730245903</v>
      </c>
      <c r="C4568">
        <v>1.03424998583449</v>
      </c>
      <c r="D4568">
        <v>0.97273345371259101</v>
      </c>
      <c r="E4568">
        <v>0.85329127201300503</v>
      </c>
      <c r="F4568">
        <v>0.464526129735573</v>
      </c>
      <c r="G4568">
        <v>0.25502490429882602</v>
      </c>
      <c r="H4568">
        <v>0.148258462927222</v>
      </c>
      <c r="I4568">
        <v>0.114645485765237</v>
      </c>
      <c r="J4568">
        <v>0.120243090682901</v>
      </c>
      <c r="K4568">
        <v>0.103397084580288</v>
      </c>
      <c r="L4568">
        <v>1327.9373910529</v>
      </c>
      <c r="M4568">
        <v>25.281178733502301</v>
      </c>
      <c r="N4568">
        <v>53.070970018856997</v>
      </c>
      <c r="O4568">
        <v>52.201373278852401</v>
      </c>
      <c r="P4568">
        <v>-0.10725163798139201</v>
      </c>
      <c r="Q4568">
        <v>0.114185167577882</v>
      </c>
      <c r="R4568">
        <v>0.99794636591916297</v>
      </c>
      <c r="S4568" t="s">
        <v>11020</v>
      </c>
      <c r="T4568" t="s">
        <v>12902</v>
      </c>
      <c r="U4568" t="s">
        <v>12902</v>
      </c>
      <c r="V4568" t="s">
        <v>12902</v>
      </c>
      <c r="W4568" t="s">
        <v>17423</v>
      </c>
      <c r="X4568">
        <v>7</v>
      </c>
      <c r="Y4568" t="s">
        <v>23726</v>
      </c>
      <c r="Z4568" t="s">
        <v>30143</v>
      </c>
      <c r="AA4568">
        <v>0.49201824207335781</v>
      </c>
      <c r="AB4568" t="str">
        <f>HYPERLINK("Melting_Curves/meltCurve_Q8TBE9_NANP.pdf", "Melting_Curves/meltCurve_Q8TBE9_NANP.pdf")</f>
        <v>Melting_Curves/meltCurve_Q8TBE9_NANP.pdf</v>
      </c>
    </row>
    <row r="4569" spans="1:28" x14ac:dyDescent="0.25">
      <c r="A4569" t="s">
        <v>4573</v>
      </c>
      <c r="B4569">
        <v>0.99673306730245903</v>
      </c>
      <c r="C4569">
        <v>1.02110055961062</v>
      </c>
      <c r="D4569">
        <v>0.98888724706954201</v>
      </c>
      <c r="E4569">
        <v>0.94193212981115004</v>
      </c>
      <c r="F4569">
        <v>0.76474446183355105</v>
      </c>
      <c r="G4569">
        <v>0.54882966339059602</v>
      </c>
      <c r="H4569">
        <v>0.20843719733493299</v>
      </c>
      <c r="I4569">
        <v>0.121031111693712</v>
      </c>
      <c r="J4569">
        <v>0.128886687185466</v>
      </c>
      <c r="K4569">
        <v>0.123785213628618</v>
      </c>
      <c r="L4569">
        <v>1194.7726067460601</v>
      </c>
      <c r="M4569">
        <v>21.217350095492002</v>
      </c>
      <c r="N4569">
        <v>56.811090794460704</v>
      </c>
      <c r="O4569">
        <v>55.818051315112498</v>
      </c>
      <c r="P4569">
        <v>-8.6938266584878507E-2</v>
      </c>
      <c r="Q4569">
        <v>8.5163874689275706E-2</v>
      </c>
      <c r="R4569">
        <v>0.99539067803710402</v>
      </c>
      <c r="S4569" t="s">
        <v>11021</v>
      </c>
      <c r="T4569" t="s">
        <v>12902</v>
      </c>
      <c r="U4569" t="s">
        <v>12902</v>
      </c>
      <c r="V4569" t="s">
        <v>12902</v>
      </c>
      <c r="W4569" t="s">
        <v>17424</v>
      </c>
      <c r="X4569">
        <v>6</v>
      </c>
      <c r="Y4569" t="s">
        <v>23727</v>
      </c>
      <c r="Z4569" t="s">
        <v>30144</v>
      </c>
      <c r="AA4569">
        <v>0.59329299289861914</v>
      </c>
      <c r="AB4569" t="str">
        <f>HYPERLINK("Melting_Curves/meltCurve_Q8TBF2_FAM213B.pdf", "Melting_Curves/meltCurve_Q8TBF2_FAM213B.pdf")</f>
        <v>Melting_Curves/meltCurve_Q8TBF2_FAM213B.pdf</v>
      </c>
    </row>
    <row r="4570" spans="1:28" x14ac:dyDescent="0.25">
      <c r="A4570" t="s">
        <v>4574</v>
      </c>
      <c r="B4570">
        <v>0.99673306730245903</v>
      </c>
      <c r="C4570">
        <v>0.95225141276994496</v>
      </c>
      <c r="D4570">
        <v>1.07578150424427</v>
      </c>
      <c r="E4570">
        <v>1.1596618405894901</v>
      </c>
      <c r="F4570">
        <v>1.5098547723067199</v>
      </c>
      <c r="G4570">
        <v>1.3149328571069401</v>
      </c>
      <c r="H4570">
        <v>1.5281307395502199</v>
      </c>
      <c r="I4570">
        <v>0.95169576459515703</v>
      </c>
      <c r="J4570">
        <v>1.77228461362743</v>
      </c>
      <c r="K4570">
        <v>0.70843741608254696</v>
      </c>
      <c r="L4570">
        <v>12392.730033317799</v>
      </c>
      <c r="M4570">
        <v>250</v>
      </c>
      <c r="O4570">
        <v>49.567742204114701</v>
      </c>
      <c r="P4570">
        <v>0.37518855227404202</v>
      </c>
      <c r="Q4570">
        <v>1.2975560250378499</v>
      </c>
      <c r="R4570">
        <v>0.17442737394910601</v>
      </c>
      <c r="S4570" t="s">
        <v>11022</v>
      </c>
      <c r="T4570" t="s">
        <v>12902</v>
      </c>
      <c r="U4570" t="s">
        <v>12902</v>
      </c>
      <c r="V4570" t="s">
        <v>12902</v>
      </c>
      <c r="W4570" t="s">
        <v>17425</v>
      </c>
      <c r="X4570">
        <v>2</v>
      </c>
      <c r="Y4570" t="s">
        <v>23728</v>
      </c>
      <c r="Z4570" t="s">
        <v>30145</v>
      </c>
      <c r="AA4570">
        <v>1.2026006404360039</v>
      </c>
      <c r="AB4570" t="str">
        <f>HYPERLINK("Melting_Curves/meltCurve_Q8TBK2_2_SETD6.pdf", "Melting_Curves/meltCurve_Q8TBK2_2_SETD6.pdf")</f>
        <v>Melting_Curves/meltCurve_Q8TBK2_2_SETD6.pdf</v>
      </c>
    </row>
    <row r="4571" spans="1:28" x14ac:dyDescent="0.25">
      <c r="A4571" t="s">
        <v>4575</v>
      </c>
      <c r="B4571">
        <v>0.99673306730245903</v>
      </c>
      <c r="C4571">
        <v>0.77296788267694705</v>
      </c>
      <c r="D4571">
        <v>0.71738415488371998</v>
      </c>
      <c r="E4571">
        <v>0.59582428393464903</v>
      </c>
      <c r="F4571">
        <v>0.52100978782440799</v>
      </c>
      <c r="G4571">
        <v>0.40300083232927503</v>
      </c>
      <c r="H4571">
        <v>0.39953595400446701</v>
      </c>
      <c r="I4571">
        <v>0.33701192739090502</v>
      </c>
      <c r="J4571">
        <v>0.172271383691117</v>
      </c>
      <c r="K4571">
        <v>0.117563393048426</v>
      </c>
      <c r="L4571">
        <v>337.93001476139199</v>
      </c>
      <c r="M4571">
        <v>6.29511801171226</v>
      </c>
      <c r="N4571">
        <v>53.6812834247635</v>
      </c>
      <c r="O4571">
        <v>49.027856516693802</v>
      </c>
      <c r="P4571">
        <v>-3.2187216905910199E-2</v>
      </c>
      <c r="Q4571">
        <v>0</v>
      </c>
      <c r="R4571">
        <v>0.95117316444896305</v>
      </c>
      <c r="S4571" t="s">
        <v>11023</v>
      </c>
      <c r="T4571" t="s">
        <v>12902</v>
      </c>
      <c r="U4571" t="s">
        <v>12902</v>
      </c>
      <c r="V4571" t="s">
        <v>12902</v>
      </c>
      <c r="W4571" t="s">
        <v>17426</v>
      </c>
      <c r="X4571">
        <v>3</v>
      </c>
      <c r="Y4571" t="s">
        <v>23729</v>
      </c>
      <c r="Z4571" t="s">
        <v>30146</v>
      </c>
      <c r="AA4571">
        <v>0.49593097541123687</v>
      </c>
      <c r="AB4571" t="str">
        <f>HYPERLINK("Melting_Curves/meltCurve_Q8TBP6_SLC25A40.pdf", "Melting_Curves/meltCurve_Q8TBP6_SLC25A40.pdf")</f>
        <v>Melting_Curves/meltCurve_Q8TBP6_SLC25A40.pdf</v>
      </c>
    </row>
    <row r="4572" spans="1:28" x14ac:dyDescent="0.25">
      <c r="A4572" t="s">
        <v>4576</v>
      </c>
      <c r="B4572">
        <v>0.99673306730245903</v>
      </c>
      <c r="C4572">
        <v>0.89991999632187003</v>
      </c>
      <c r="D4572">
        <v>0.56940719328610201</v>
      </c>
      <c r="E4572">
        <v>0.41106785618380698</v>
      </c>
      <c r="F4572">
        <v>0.186363637697055</v>
      </c>
      <c r="G4572">
        <v>0.123943926896389</v>
      </c>
      <c r="H4572">
        <v>7.9532805974972295E-2</v>
      </c>
      <c r="I4572">
        <v>6.5572621993831806E-2</v>
      </c>
      <c r="J4572">
        <v>5.9469204135353497E-2</v>
      </c>
      <c r="K4572">
        <v>5.4657674252016501E-2</v>
      </c>
      <c r="L4572">
        <v>772.28331985737395</v>
      </c>
      <c r="M4572">
        <v>16.290078852270099</v>
      </c>
      <c r="N4572">
        <v>47.753458040786903</v>
      </c>
      <c r="O4572">
        <v>46.711066878497398</v>
      </c>
      <c r="P4572">
        <v>-8.2347979700644003E-2</v>
      </c>
      <c r="Q4572">
        <v>5.5553044973087197E-2</v>
      </c>
      <c r="R4572">
        <v>0.99031620369906903</v>
      </c>
      <c r="S4572" t="s">
        <v>11024</v>
      </c>
      <c r="T4572" t="s">
        <v>12902</v>
      </c>
      <c r="U4572" t="s">
        <v>12902</v>
      </c>
      <c r="V4572" t="s">
        <v>12902</v>
      </c>
      <c r="W4572" t="s">
        <v>17427</v>
      </c>
      <c r="X4572">
        <v>17</v>
      </c>
      <c r="Y4572" t="s">
        <v>23730</v>
      </c>
      <c r="Z4572" t="s">
        <v>30147</v>
      </c>
      <c r="AA4572">
        <v>0.30991039368291451</v>
      </c>
      <c r="AB4572" t="str">
        <f>HYPERLINK("Melting_Curves/meltCurve_Q8TBX8_PIP4K2C.pdf", "Melting_Curves/meltCurve_Q8TBX8_PIP4K2C.pdf")</f>
        <v>Melting_Curves/meltCurve_Q8TBX8_PIP4K2C.pdf</v>
      </c>
    </row>
    <row r="4573" spans="1:28" x14ac:dyDescent="0.25">
      <c r="A4573" t="s">
        <v>4577</v>
      </c>
      <c r="B4573">
        <v>0.99673306730245903</v>
      </c>
      <c r="C4573">
        <v>1.04161170497634</v>
      </c>
      <c r="D4573">
        <v>0.87765203333424702</v>
      </c>
      <c r="E4573">
        <v>0.90725116193468902</v>
      </c>
      <c r="F4573">
        <v>0.71379251957198697</v>
      </c>
      <c r="G4573">
        <v>0.37091986054848702</v>
      </c>
      <c r="H4573">
        <v>0.15912097032580799</v>
      </c>
      <c r="I4573">
        <v>9.7002872928680095E-2</v>
      </c>
      <c r="J4573">
        <v>7.61623414883109E-2</v>
      </c>
      <c r="K4573">
        <v>6.6873654230028598E-2</v>
      </c>
      <c r="L4573">
        <v>1126.1178078338</v>
      </c>
      <c r="M4573">
        <v>20.441696938150201</v>
      </c>
      <c r="N4573">
        <v>55.358670153567502</v>
      </c>
      <c r="O4573">
        <v>54.570192724466096</v>
      </c>
      <c r="P4573">
        <v>-8.9217244551423103E-2</v>
      </c>
      <c r="Q4573">
        <v>4.7348172706670001E-2</v>
      </c>
      <c r="R4573">
        <v>0.99089011975661201</v>
      </c>
      <c r="S4573" t="s">
        <v>11025</v>
      </c>
      <c r="T4573" t="s">
        <v>12902</v>
      </c>
      <c r="U4573" t="s">
        <v>12902</v>
      </c>
      <c r="V4573" t="s">
        <v>12902</v>
      </c>
      <c r="W4573" t="s">
        <v>17428</v>
      </c>
      <c r="X4573">
        <v>2</v>
      </c>
      <c r="Y4573" t="s">
        <v>23731</v>
      </c>
      <c r="Z4573" t="s">
        <v>30148</v>
      </c>
      <c r="AA4573">
        <v>0.53875436832667389</v>
      </c>
      <c r="AB4573" t="str">
        <f>HYPERLINK("Melting_Curves/meltCurve_Q8TBZ3_4_WDR20.pdf", "Melting_Curves/meltCurve_Q8TBZ3_4_WDR20.pdf")</f>
        <v>Melting_Curves/meltCurve_Q8TBZ3_4_WDR20.pdf</v>
      </c>
    </row>
    <row r="4574" spans="1:28" x14ac:dyDescent="0.25">
      <c r="A4574" t="s">
        <v>4578</v>
      </c>
      <c r="B4574">
        <v>0.99673306730245903</v>
      </c>
      <c r="C4574">
        <v>0.94553597770096398</v>
      </c>
      <c r="D4574">
        <v>0.97177208304996499</v>
      </c>
      <c r="E4574">
        <v>0.80905137147139095</v>
      </c>
      <c r="F4574">
        <v>0.20889296076427599</v>
      </c>
      <c r="G4574">
        <v>9.6385399965471505E-2</v>
      </c>
      <c r="H4574">
        <v>7.0554555076043093E-2</v>
      </c>
      <c r="I4574">
        <v>8.1017352092375899E-2</v>
      </c>
      <c r="J4574">
        <v>7.7358747955004303E-2</v>
      </c>
      <c r="K4574">
        <v>8.5664764732831494E-2</v>
      </c>
      <c r="L4574">
        <v>2280.9634709718498</v>
      </c>
      <c r="M4574">
        <v>44.6635725542315</v>
      </c>
      <c r="N4574">
        <v>51.269024112121201</v>
      </c>
      <c r="O4574">
        <v>50.967820852747501</v>
      </c>
      <c r="P4574">
        <v>-0.201633142784827</v>
      </c>
      <c r="Q4574">
        <v>7.9626856862833606E-2</v>
      </c>
      <c r="R4574">
        <v>0.99784299489722394</v>
      </c>
      <c r="S4574" t="s">
        <v>11026</v>
      </c>
      <c r="T4574" t="s">
        <v>12902</v>
      </c>
      <c r="U4574" t="s">
        <v>12902</v>
      </c>
      <c r="V4574" t="s">
        <v>12902</v>
      </c>
      <c r="W4574" t="s">
        <v>17429</v>
      </c>
      <c r="X4574">
        <v>2</v>
      </c>
      <c r="Y4574" t="s">
        <v>23732</v>
      </c>
      <c r="Z4574" t="s">
        <v>30149</v>
      </c>
      <c r="AA4574">
        <v>0.42184278496050898</v>
      </c>
      <c r="AB4574" t="str">
        <f>HYPERLINK("Melting_Curves/meltCurve_Q8TBZ6_TRMT10A.pdf", "Melting_Curves/meltCurve_Q8TBZ6_TRMT10A.pdf")</f>
        <v>Melting_Curves/meltCurve_Q8TBZ6_TRMT10A.pdf</v>
      </c>
    </row>
    <row r="4575" spans="1:28" x14ac:dyDescent="0.25">
      <c r="A4575" t="s">
        <v>4579</v>
      </c>
      <c r="B4575">
        <v>0.99673306730245903</v>
      </c>
      <c r="C4575">
        <v>0.96597921578813595</v>
      </c>
      <c r="D4575">
        <v>0.74015863601782195</v>
      </c>
      <c r="E4575">
        <v>0.30789685955378199</v>
      </c>
      <c r="F4575">
        <v>0.12444629486507799</v>
      </c>
      <c r="G4575">
        <v>6.7518666425360405E-2</v>
      </c>
      <c r="H4575">
        <v>4.5768906853308901E-2</v>
      </c>
      <c r="I4575">
        <v>4.3430809432617998E-2</v>
      </c>
      <c r="J4575">
        <v>4.74606831449206E-2</v>
      </c>
      <c r="K4575">
        <v>4.3894330979162101E-2</v>
      </c>
      <c r="L4575">
        <v>1234.5649169230201</v>
      </c>
      <c r="M4575">
        <v>25.841023802616</v>
      </c>
      <c r="N4575">
        <v>47.959153831246901</v>
      </c>
      <c r="O4575">
        <v>47.492033079325203</v>
      </c>
      <c r="P4575">
        <v>-0.12961804534043</v>
      </c>
      <c r="Q4575">
        <v>4.7135077399696003E-2</v>
      </c>
      <c r="R4575">
        <v>0.99964966471291805</v>
      </c>
      <c r="S4575" t="s">
        <v>11027</v>
      </c>
      <c r="T4575" t="s">
        <v>12902</v>
      </c>
      <c r="U4575" t="s">
        <v>12902</v>
      </c>
      <c r="V4575" t="s">
        <v>12902</v>
      </c>
      <c r="W4575" t="s">
        <v>17430</v>
      </c>
      <c r="X4575">
        <v>9</v>
      </c>
      <c r="Y4575" t="s">
        <v>23733</v>
      </c>
      <c r="Z4575" t="s">
        <v>30150</v>
      </c>
      <c r="AA4575">
        <v>0.30195177734703199</v>
      </c>
      <c r="AB4575" t="str">
        <f>HYPERLINK("Melting_Curves/meltCurve_Q8TC07_2_TBC1D15.pdf", "Melting_Curves/meltCurve_Q8TC07_2_TBC1D15.pdf")</f>
        <v>Melting_Curves/meltCurve_Q8TC07_2_TBC1D15.pdf</v>
      </c>
    </row>
    <row r="4576" spans="1:28" x14ac:dyDescent="0.25">
      <c r="A4576" t="s">
        <v>4580</v>
      </c>
      <c r="B4576">
        <v>0.99673306730245903</v>
      </c>
      <c r="C4576">
        <v>0.93915588294338603</v>
      </c>
      <c r="D4576">
        <v>0.83375154788614303</v>
      </c>
      <c r="E4576">
        <v>0.34974876004731598</v>
      </c>
      <c r="F4576">
        <v>0.16131632880906899</v>
      </c>
      <c r="G4576">
        <v>9.88225275549523E-2</v>
      </c>
      <c r="H4576">
        <v>6.3172510443113006E-2</v>
      </c>
      <c r="I4576">
        <v>6.3545010222727502E-2</v>
      </c>
      <c r="J4576">
        <v>6.3190564048618003E-2</v>
      </c>
      <c r="K4576">
        <v>5.7646029561467797E-2</v>
      </c>
      <c r="L4576">
        <v>1329.02358506825</v>
      </c>
      <c r="M4576">
        <v>27.524121945348199</v>
      </c>
      <c r="N4576">
        <v>48.543024383008998</v>
      </c>
      <c r="O4576">
        <v>48.0330481514439</v>
      </c>
      <c r="P4576">
        <v>-0.13353586848912699</v>
      </c>
      <c r="Q4576">
        <v>6.7861127065500501E-2</v>
      </c>
      <c r="R4576">
        <v>0.99778499389761299</v>
      </c>
      <c r="S4576" t="s">
        <v>11028</v>
      </c>
      <c r="T4576" t="s">
        <v>12902</v>
      </c>
      <c r="U4576" t="s">
        <v>12902</v>
      </c>
      <c r="V4576" t="s">
        <v>12902</v>
      </c>
      <c r="W4576" t="s">
        <v>17431</v>
      </c>
      <c r="X4576">
        <v>11</v>
      </c>
      <c r="Y4576" t="s">
        <v>23734</v>
      </c>
      <c r="Z4576" t="s">
        <v>30151</v>
      </c>
      <c r="AA4576">
        <v>0.33204288223571882</v>
      </c>
      <c r="AB4576" t="str">
        <f>HYPERLINK("Melting_Curves/meltCurve_Q8TC12_RDH11.pdf", "Melting_Curves/meltCurve_Q8TC12_RDH11.pdf")</f>
        <v>Melting_Curves/meltCurve_Q8TC12_RDH11.pdf</v>
      </c>
    </row>
    <row r="4577" spans="1:28" x14ac:dyDescent="0.25">
      <c r="A4577" t="s">
        <v>4581</v>
      </c>
      <c r="B4577">
        <v>0.99673306730245903</v>
      </c>
      <c r="C4577">
        <v>1.03008132098241</v>
      </c>
      <c r="D4577">
        <v>0.97975481202419901</v>
      </c>
      <c r="E4577">
        <v>0.91149416419698204</v>
      </c>
      <c r="F4577">
        <v>0.74766830051737598</v>
      </c>
      <c r="G4577">
        <v>0.21916788832818099</v>
      </c>
      <c r="H4577">
        <v>0.100466984589706</v>
      </c>
      <c r="I4577">
        <v>7.8415324282415697E-2</v>
      </c>
      <c r="J4577">
        <v>7.1655739893931397E-2</v>
      </c>
      <c r="K4577">
        <v>7.6695281304391294E-2</v>
      </c>
      <c r="L4577">
        <v>2060.3443780520201</v>
      </c>
      <c r="M4577">
        <v>37.838520340893801</v>
      </c>
      <c r="N4577">
        <v>54.682736994020402</v>
      </c>
      <c r="O4577">
        <v>54.299557572454297</v>
      </c>
      <c r="P4577">
        <v>-0.16130553448680801</v>
      </c>
      <c r="Q4577">
        <v>7.4086791723428996E-2</v>
      </c>
      <c r="R4577">
        <v>0.99643026881327601</v>
      </c>
      <c r="S4577" t="s">
        <v>11029</v>
      </c>
      <c r="T4577" t="s">
        <v>12902</v>
      </c>
      <c r="U4577" t="s">
        <v>12902</v>
      </c>
      <c r="V4577" t="s">
        <v>12902</v>
      </c>
      <c r="W4577" t="s">
        <v>17432</v>
      </c>
      <c r="X4577">
        <v>9</v>
      </c>
      <c r="Y4577" t="s">
        <v>23735</v>
      </c>
      <c r="Z4577" t="s">
        <v>30152</v>
      </c>
      <c r="AA4577">
        <v>0.52398050581302713</v>
      </c>
      <c r="AB4577" t="str">
        <f>HYPERLINK("Melting_Curves/meltCurve_Q8TCA0_LRRC20.pdf", "Melting_Curves/meltCurve_Q8TCA0_LRRC20.pdf")</f>
        <v>Melting_Curves/meltCurve_Q8TCA0_LRRC20.pdf</v>
      </c>
    </row>
    <row r="4578" spans="1:28" x14ac:dyDescent="0.25">
      <c r="A4578" t="s">
        <v>4582</v>
      </c>
      <c r="B4578">
        <v>0.99673306730245903</v>
      </c>
      <c r="C4578">
        <v>0.98034888625071503</v>
      </c>
      <c r="D4578">
        <v>1.0089349308547599</v>
      </c>
      <c r="E4578">
        <v>0.83589636569550496</v>
      </c>
      <c r="F4578">
        <v>0.78146604582429002</v>
      </c>
      <c r="G4578">
        <v>0.72979259955647302</v>
      </c>
      <c r="H4578">
        <v>0.66988424093143595</v>
      </c>
      <c r="I4578">
        <v>0.99878387594664897</v>
      </c>
      <c r="J4578">
        <v>1.20723897540077</v>
      </c>
      <c r="K4578">
        <v>1.37299519300885</v>
      </c>
      <c r="L4578">
        <v>15000</v>
      </c>
      <c r="M4578">
        <v>223.770126701111</v>
      </c>
      <c r="O4578">
        <v>67.027716646631305</v>
      </c>
      <c r="P4578">
        <v>0.31133213357719902</v>
      </c>
      <c r="Q4578">
        <v>1.3730235855213</v>
      </c>
      <c r="R4578">
        <v>0.39028554691098499</v>
      </c>
      <c r="S4578" t="s">
        <v>11030</v>
      </c>
      <c r="T4578" t="s">
        <v>12902</v>
      </c>
      <c r="U4578" t="s">
        <v>12902</v>
      </c>
      <c r="V4578" t="s">
        <v>12902</v>
      </c>
      <c r="W4578" t="s">
        <v>17433</v>
      </c>
      <c r="X4578">
        <v>1</v>
      </c>
      <c r="Y4578" t="s">
        <v>23736</v>
      </c>
      <c r="Z4578" t="s">
        <v>30153</v>
      </c>
      <c r="AA4578">
        <v>1.036836617303232</v>
      </c>
      <c r="AB4578" t="str">
        <f>HYPERLINK("Melting_Curves/meltCurve_Q8TCD1_C18orf32.pdf", "Melting_Curves/meltCurve_Q8TCD1_C18orf32.pdf")</f>
        <v>Melting_Curves/meltCurve_Q8TCD1_C18orf32.pdf</v>
      </c>
    </row>
    <row r="4579" spans="1:28" x14ac:dyDescent="0.25">
      <c r="A4579" t="s">
        <v>4583</v>
      </c>
      <c r="B4579">
        <v>0.99673306730245903</v>
      </c>
      <c r="C4579">
        <v>0.97254626227505203</v>
      </c>
      <c r="D4579">
        <v>0.96185360441355205</v>
      </c>
      <c r="E4579">
        <v>0.85740656751003197</v>
      </c>
      <c r="F4579">
        <v>0.75091008254804703</v>
      </c>
      <c r="G4579">
        <v>0.60632228942393596</v>
      </c>
      <c r="H4579">
        <v>0.47948865736211599</v>
      </c>
      <c r="I4579">
        <v>0.25235810770726802</v>
      </c>
      <c r="J4579">
        <v>0.12755144463177401</v>
      </c>
      <c r="K4579">
        <v>0.115041440794175</v>
      </c>
      <c r="L4579">
        <v>691.69456197633099</v>
      </c>
      <c r="M4579">
        <v>11.7878637476545</v>
      </c>
      <c r="N4579">
        <v>58.678533868188701</v>
      </c>
      <c r="O4579">
        <v>57.066199411815496</v>
      </c>
      <c r="P4579">
        <v>-5.1654526610944697E-2</v>
      </c>
      <c r="Q4579">
        <v>0</v>
      </c>
      <c r="R4579">
        <v>0.98848554620560702</v>
      </c>
      <c r="S4579" t="s">
        <v>11031</v>
      </c>
      <c r="T4579" t="s">
        <v>12902</v>
      </c>
      <c r="U4579" t="s">
        <v>12902</v>
      </c>
      <c r="V4579" t="s">
        <v>12902</v>
      </c>
      <c r="W4579" t="s">
        <v>17434</v>
      </c>
      <c r="X4579">
        <v>10</v>
      </c>
      <c r="Y4579" t="s">
        <v>23737</v>
      </c>
      <c r="Z4579" t="s">
        <v>30154</v>
      </c>
      <c r="AA4579">
        <v>0.63185779773989204</v>
      </c>
      <c r="AB4579" t="str">
        <f>HYPERLINK("Melting_Curves/meltCurve_Q8TCD5_NT5C.pdf", "Melting_Curves/meltCurve_Q8TCD5_NT5C.pdf")</f>
        <v>Melting_Curves/meltCurve_Q8TCD5_NT5C.pdf</v>
      </c>
    </row>
    <row r="4580" spans="1:28" x14ac:dyDescent="0.25">
      <c r="A4580" t="s">
        <v>4584</v>
      </c>
      <c r="B4580">
        <v>0.99673306730245903</v>
      </c>
      <c r="C4580">
        <v>0.76213754282471802</v>
      </c>
      <c r="D4580">
        <v>0.31225850714997699</v>
      </c>
      <c r="E4580">
        <v>0.168298242013497</v>
      </c>
      <c r="F4580">
        <v>0.116660012604866</v>
      </c>
      <c r="G4580">
        <v>7.4779242358423106E-2</v>
      </c>
      <c r="H4580">
        <v>4.9757620262790597E-2</v>
      </c>
      <c r="I4580">
        <v>5.3684051541844198E-2</v>
      </c>
      <c r="J4580">
        <v>8.2208915130991003E-2</v>
      </c>
      <c r="K4580">
        <v>7.6601281747077699E-2</v>
      </c>
      <c r="L4580">
        <v>1296.9656312101299</v>
      </c>
      <c r="M4580">
        <v>29.180060740977201</v>
      </c>
      <c r="N4580">
        <v>44.712138343320497</v>
      </c>
      <c r="O4580">
        <v>44.239802353434399</v>
      </c>
      <c r="P4580">
        <v>-0.151797004649632</v>
      </c>
      <c r="Q4580">
        <v>7.9450766260005801E-2</v>
      </c>
      <c r="R4580">
        <v>0.99411529925328301</v>
      </c>
      <c r="S4580" t="s">
        <v>11032</v>
      </c>
      <c r="T4580" t="s">
        <v>12902</v>
      </c>
      <c r="U4580" t="s">
        <v>12902</v>
      </c>
      <c r="V4580" t="s">
        <v>12902</v>
      </c>
      <c r="W4580" t="s">
        <v>17435</v>
      </c>
      <c r="X4580">
        <v>11</v>
      </c>
      <c r="Y4580" t="s">
        <v>23738</v>
      </c>
      <c r="Z4580" t="s">
        <v>30155</v>
      </c>
      <c r="AA4580">
        <v>0.2226273404030428</v>
      </c>
      <c r="AB4580" t="str">
        <f>HYPERLINK("Melting_Curves/meltCurve_Q8TCG1_KIAA1524.pdf", "Melting_Curves/meltCurve_Q8TCG1_KIAA1524.pdf")</f>
        <v>Melting_Curves/meltCurve_Q8TCG1_KIAA1524.pdf</v>
      </c>
    </row>
    <row r="4581" spans="1:28" x14ac:dyDescent="0.25">
      <c r="A4581" t="s">
        <v>4585</v>
      </c>
      <c r="B4581">
        <v>0.99673306730245903</v>
      </c>
      <c r="C4581">
        <v>0.93971128934214398</v>
      </c>
      <c r="D4581">
        <v>0.85390243916021602</v>
      </c>
      <c r="E4581">
        <v>0.60055503297646795</v>
      </c>
      <c r="F4581">
        <v>0.23750712456241599</v>
      </c>
      <c r="G4581">
        <v>0.12530077476938201</v>
      </c>
      <c r="H4581">
        <v>7.4928301518242299E-2</v>
      </c>
      <c r="I4581">
        <v>5.7433728376496997E-2</v>
      </c>
      <c r="J4581">
        <v>7.1089433603847396E-2</v>
      </c>
      <c r="K4581">
        <v>4.6440794573342797E-2</v>
      </c>
      <c r="L4581">
        <v>1044.0524424385601</v>
      </c>
      <c r="M4581">
        <v>20.856063215705198</v>
      </c>
      <c r="N4581">
        <v>50.314070678314003</v>
      </c>
      <c r="O4581">
        <v>49.606486428148401</v>
      </c>
      <c r="P4581">
        <v>-9.9855032214258996E-2</v>
      </c>
      <c r="Q4581">
        <v>4.9998910471343701E-2</v>
      </c>
      <c r="R4581">
        <v>0.99778274155305502</v>
      </c>
      <c r="S4581" t="s">
        <v>11033</v>
      </c>
      <c r="T4581" t="s">
        <v>12902</v>
      </c>
      <c r="U4581" t="s">
        <v>12902</v>
      </c>
      <c r="V4581" t="s">
        <v>12902</v>
      </c>
      <c r="W4581" t="s">
        <v>17436</v>
      </c>
      <c r="X4581">
        <v>4</v>
      </c>
      <c r="Y4581" t="s">
        <v>23739</v>
      </c>
      <c r="Z4581" t="s">
        <v>30156</v>
      </c>
      <c r="AA4581">
        <v>0.38074516436365469</v>
      </c>
      <c r="AB4581" t="str">
        <f>HYPERLINK("Melting_Curves/meltCurve_Q8TCG2_PI4K2B.pdf", "Melting_Curves/meltCurve_Q8TCG2_PI4K2B.pdf")</f>
        <v>Melting_Curves/meltCurve_Q8TCG2_PI4K2B.pdf</v>
      </c>
    </row>
    <row r="4582" spans="1:28" x14ac:dyDescent="0.25">
      <c r="A4582" t="s">
        <v>4586</v>
      </c>
      <c r="B4582">
        <v>0.99673306730245903</v>
      </c>
      <c r="C4582">
        <v>0.78650716065916604</v>
      </c>
      <c r="D4582">
        <v>0.62678976702192701</v>
      </c>
      <c r="E4582">
        <v>0.69092961623476701</v>
      </c>
      <c r="F4582">
        <v>0.27006663914252299</v>
      </c>
      <c r="G4582">
        <v>0.11963033159693399</v>
      </c>
      <c r="H4582">
        <v>7.2039480631411995E-2</v>
      </c>
      <c r="I4582">
        <v>6.3947636692568199E-2</v>
      </c>
      <c r="J4582">
        <v>5.1917008279109202E-2</v>
      </c>
      <c r="K4582">
        <v>4.1025830532744001E-2</v>
      </c>
      <c r="L4582">
        <v>586.65563819192698</v>
      </c>
      <c r="M4582">
        <v>11.812293338717501</v>
      </c>
      <c r="N4582">
        <v>49.6648382529687</v>
      </c>
      <c r="O4582">
        <v>48.305558825052998</v>
      </c>
      <c r="P4582">
        <v>-6.1148867328026997E-2</v>
      </c>
      <c r="Q4582">
        <v>0</v>
      </c>
      <c r="R4582">
        <v>0.95025879378488298</v>
      </c>
      <c r="S4582" t="s">
        <v>11034</v>
      </c>
      <c r="T4582" t="s">
        <v>12902</v>
      </c>
      <c r="U4582" t="s">
        <v>12902</v>
      </c>
      <c r="V4582" t="s">
        <v>12902</v>
      </c>
      <c r="W4582" t="s">
        <v>17437</v>
      </c>
      <c r="X4582">
        <v>17</v>
      </c>
      <c r="Y4582" t="s">
        <v>23740</v>
      </c>
      <c r="Z4582" t="s">
        <v>30157</v>
      </c>
      <c r="AA4582">
        <v>0.35836614539838102</v>
      </c>
      <c r="AB4582" t="str">
        <f>HYPERLINK("Melting_Curves/meltCurve_Q8TCJ2_STT3B.pdf", "Melting_Curves/meltCurve_Q8TCJ2_STT3B.pdf")</f>
        <v>Melting_Curves/meltCurve_Q8TCJ2_STT3B.pdf</v>
      </c>
    </row>
    <row r="4583" spans="1:28" x14ac:dyDescent="0.25">
      <c r="A4583" t="s">
        <v>4587</v>
      </c>
      <c r="B4583">
        <v>0.99673306730245903</v>
      </c>
      <c r="C4583">
        <v>0.96611981741553699</v>
      </c>
      <c r="D4583">
        <v>0.65597267939238602</v>
      </c>
      <c r="E4583">
        <v>0.64037862296570403</v>
      </c>
      <c r="F4583">
        <v>0.17784821465242701</v>
      </c>
      <c r="G4583">
        <v>0.10177245758179999</v>
      </c>
      <c r="H4583">
        <v>5.57159892946393E-2</v>
      </c>
      <c r="I4583">
        <v>4.9467819017050198E-2</v>
      </c>
      <c r="J4583">
        <v>5.1778505451369798E-2</v>
      </c>
      <c r="K4583">
        <v>4.1505831873299003E-2</v>
      </c>
      <c r="L4583">
        <v>810.03249210913998</v>
      </c>
      <c r="M4583">
        <v>16.367725158048799</v>
      </c>
      <c r="N4583">
        <v>49.6059680134045</v>
      </c>
      <c r="O4583">
        <v>48.768576163103901</v>
      </c>
      <c r="P4583">
        <v>-8.2330963016599701E-2</v>
      </c>
      <c r="Q4583">
        <v>1.88310774992816E-2</v>
      </c>
      <c r="R4583">
        <v>0.96890188449523396</v>
      </c>
      <c r="S4583" t="s">
        <v>11035</v>
      </c>
      <c r="T4583" t="s">
        <v>12902</v>
      </c>
      <c r="U4583" t="s">
        <v>12902</v>
      </c>
      <c r="V4583" t="s">
        <v>12902</v>
      </c>
      <c r="W4583" t="s">
        <v>17438</v>
      </c>
      <c r="X4583">
        <v>25</v>
      </c>
      <c r="Y4583" t="s">
        <v>23741</v>
      </c>
      <c r="Z4583" t="s">
        <v>30158</v>
      </c>
      <c r="AA4583">
        <v>0.34942470990114111</v>
      </c>
      <c r="AB4583" t="str">
        <f>HYPERLINK("Melting_Curves/meltCurve_Q8TCS8_PNPT1.pdf", "Melting_Curves/meltCurve_Q8TCS8_PNPT1.pdf")</f>
        <v>Melting_Curves/meltCurve_Q8TCS8_PNPT1.pdf</v>
      </c>
    </row>
    <row r="4584" spans="1:28" x14ac:dyDescent="0.25">
      <c r="A4584" t="s">
        <v>4588</v>
      </c>
      <c r="B4584">
        <v>0.99673306730245903</v>
      </c>
      <c r="C4584">
        <v>0.95554921914761803</v>
      </c>
      <c r="D4584">
        <v>0.88199946793269302</v>
      </c>
      <c r="E4584">
        <v>0.78384921957926801</v>
      </c>
      <c r="F4584">
        <v>0.58925822511963299</v>
      </c>
      <c r="G4584">
        <v>0.439406630482156</v>
      </c>
      <c r="H4584">
        <v>0.31939748738324097</v>
      </c>
      <c r="I4584">
        <v>0.231498278735154</v>
      </c>
      <c r="J4584">
        <v>0.16987225658507801</v>
      </c>
      <c r="K4584">
        <v>0.121401908484066</v>
      </c>
      <c r="L4584">
        <v>565.11566218539895</v>
      </c>
      <c r="M4584">
        <v>10.243463582238901</v>
      </c>
      <c r="N4584">
        <v>55.554520361869599</v>
      </c>
      <c r="O4584">
        <v>53.1898789661428</v>
      </c>
      <c r="P4584">
        <v>-4.6512143998973798E-2</v>
      </c>
      <c r="Q4584">
        <v>3.43585241375578E-2</v>
      </c>
      <c r="R4584">
        <v>0.99860659781632599</v>
      </c>
      <c r="S4584" t="s">
        <v>11036</v>
      </c>
      <c r="T4584" t="s">
        <v>12902</v>
      </c>
      <c r="U4584" t="s">
        <v>12902</v>
      </c>
      <c r="V4584" t="s">
        <v>12902</v>
      </c>
      <c r="W4584" t="s">
        <v>17439</v>
      </c>
      <c r="X4584">
        <v>9</v>
      </c>
      <c r="Y4584" t="s">
        <v>23742</v>
      </c>
      <c r="Z4584" t="s">
        <v>30159</v>
      </c>
      <c r="AA4584">
        <v>0.54663367466711632</v>
      </c>
      <c r="AB4584" t="str">
        <f>HYPERLINK("Melting_Curves/meltCurve_Q8TCT9_5_HM13.pdf", "Melting_Curves/meltCurve_Q8TCT9_5_HM13.pdf")</f>
        <v>Melting_Curves/meltCurve_Q8TCT9_5_HM13.pdf</v>
      </c>
    </row>
    <row r="4585" spans="1:28" x14ac:dyDescent="0.25">
      <c r="A4585" t="s">
        <v>4589</v>
      </c>
      <c r="B4585">
        <v>0.99673306730245903</v>
      </c>
      <c r="C4585">
        <v>1.0204670435649399</v>
      </c>
      <c r="D4585">
        <v>1.01115786812796</v>
      </c>
      <c r="E4585">
        <v>0.926852788440514</v>
      </c>
      <c r="F4585">
        <v>0.86141906924719602</v>
      </c>
      <c r="G4585">
        <v>0.52274849796785305</v>
      </c>
      <c r="H4585">
        <v>0.60513929459417704</v>
      </c>
      <c r="I4585">
        <v>0.15648384606958701</v>
      </c>
      <c r="J4585">
        <v>0.104650163911147</v>
      </c>
      <c r="K4585">
        <v>7.9688253173588103E-2</v>
      </c>
      <c r="L4585">
        <v>865.62120877749396</v>
      </c>
      <c r="M4585">
        <v>14.638049871220501</v>
      </c>
      <c r="N4585">
        <v>59.135009126093102</v>
      </c>
      <c r="O4585">
        <v>58.0642507365665</v>
      </c>
      <c r="P4585">
        <v>-6.3032234469374407E-2</v>
      </c>
      <c r="Q4585">
        <v>0</v>
      </c>
      <c r="R4585">
        <v>0.94997665300078904</v>
      </c>
      <c r="S4585" t="s">
        <v>11037</v>
      </c>
      <c r="T4585" t="s">
        <v>12902</v>
      </c>
      <c r="U4585" t="s">
        <v>12902</v>
      </c>
      <c r="V4585" t="s">
        <v>12902</v>
      </c>
      <c r="W4585" t="s">
        <v>17440</v>
      </c>
      <c r="X4585">
        <v>3</v>
      </c>
      <c r="Y4585" t="s">
        <v>23743</v>
      </c>
      <c r="Z4585" t="s">
        <v>30160</v>
      </c>
      <c r="AA4585">
        <v>0.64770936627605635</v>
      </c>
      <c r="AB4585" t="str">
        <f>HYPERLINK("Melting_Curves/meltCurve_Q8TCX5_2_RHPN1.pdf", "Melting_Curves/meltCurve_Q8TCX5_2_RHPN1.pdf")</f>
        <v>Melting_Curves/meltCurve_Q8TCX5_2_RHPN1.pdf</v>
      </c>
    </row>
    <row r="4586" spans="1:28" x14ac:dyDescent="0.25">
      <c r="A4586" t="s">
        <v>4590</v>
      </c>
      <c r="B4586">
        <v>0.99673306730245903</v>
      </c>
      <c r="C4586">
        <v>0.98118452399485701</v>
      </c>
      <c r="D4586">
        <v>0.87406795639234802</v>
      </c>
      <c r="E4586">
        <v>0.57188656672837901</v>
      </c>
      <c r="F4586">
        <v>0.18500958818059099</v>
      </c>
      <c r="G4586">
        <v>0.13762104298862701</v>
      </c>
      <c r="H4586">
        <v>6.8318784277619601E-2</v>
      </c>
      <c r="I4586">
        <v>4.6391443311928501E-2</v>
      </c>
      <c r="J4586">
        <v>3.00321184167631E-2</v>
      </c>
      <c r="K4586">
        <v>3.1471172897581799E-2</v>
      </c>
      <c r="L4586">
        <v>1176.3640818210599</v>
      </c>
      <c r="M4586">
        <v>23.581106292048599</v>
      </c>
      <c r="N4586">
        <v>50.076630086395198</v>
      </c>
      <c r="O4586">
        <v>49.531270397088903</v>
      </c>
      <c r="P4586">
        <v>-0.11391061591597799</v>
      </c>
      <c r="Q4586">
        <v>4.2955534204080797E-2</v>
      </c>
      <c r="R4586">
        <v>0.99731192995303397</v>
      </c>
      <c r="S4586" t="s">
        <v>11038</v>
      </c>
      <c r="T4586" t="s">
        <v>12902</v>
      </c>
      <c r="U4586" t="s">
        <v>12902</v>
      </c>
      <c r="V4586" t="s">
        <v>12902</v>
      </c>
      <c r="W4586" t="s">
        <v>17441</v>
      </c>
      <c r="X4586">
        <v>1</v>
      </c>
      <c r="Y4586" t="s">
        <v>23744</v>
      </c>
      <c r="Z4586" t="s">
        <v>30161</v>
      </c>
      <c r="AA4586">
        <v>0.36793939444752699</v>
      </c>
      <c r="AB4586" t="str">
        <f>HYPERLINK("Melting_Curves/meltCurve_Q8TCY9_3_URGCP.pdf", "Melting_Curves/meltCurve_Q8TCY9_3_URGCP.pdf")</f>
        <v>Melting_Curves/meltCurve_Q8TCY9_3_URGCP.pdf</v>
      </c>
    </row>
    <row r="4587" spans="1:28" x14ac:dyDescent="0.25">
      <c r="A4587" t="s">
        <v>4591</v>
      </c>
      <c r="B4587">
        <v>0.99673306730245903</v>
      </c>
      <c r="C4587">
        <v>0.96169558205654604</v>
      </c>
      <c r="D4587">
        <v>0.85186575933687803</v>
      </c>
      <c r="E4587">
        <v>0.34880006655319901</v>
      </c>
      <c r="F4587">
        <v>0.15448623348380899</v>
      </c>
      <c r="G4587">
        <v>8.7890607294539097E-2</v>
      </c>
      <c r="H4587">
        <v>5.5852121385905597E-2</v>
      </c>
      <c r="I4587">
        <v>4.9669902000125297E-2</v>
      </c>
      <c r="J4587">
        <v>4.6646434968330097E-2</v>
      </c>
      <c r="K4587">
        <v>4.3404599631828203E-2</v>
      </c>
      <c r="L4587">
        <v>1411.37219842728</v>
      </c>
      <c r="M4587">
        <v>29.152840455469999</v>
      </c>
      <c r="N4587">
        <v>48.615999563907202</v>
      </c>
      <c r="O4587">
        <v>48.1867703506162</v>
      </c>
      <c r="P4587">
        <v>-0.14257683819068401</v>
      </c>
      <c r="Q4587">
        <v>5.73450803358194E-2</v>
      </c>
      <c r="R4587">
        <v>0.99802780962911297</v>
      </c>
      <c r="S4587" t="s">
        <v>11039</v>
      </c>
      <c r="T4587" t="s">
        <v>12902</v>
      </c>
      <c r="U4587" t="s">
        <v>12902</v>
      </c>
      <c r="V4587" t="s">
        <v>12902</v>
      </c>
      <c r="W4587" t="s">
        <v>17442</v>
      </c>
      <c r="X4587">
        <v>7</v>
      </c>
      <c r="Y4587" t="s">
        <v>23745</v>
      </c>
      <c r="Z4587" t="s">
        <v>30162</v>
      </c>
      <c r="AA4587">
        <v>0.32773850693683559</v>
      </c>
      <c r="AB4587" t="str">
        <f>HYPERLINK("Melting_Curves/meltCurve_Q8TD16_BICD2.pdf", "Melting_Curves/meltCurve_Q8TD16_BICD2.pdf")</f>
        <v>Melting_Curves/meltCurve_Q8TD16_BICD2.pdf</v>
      </c>
    </row>
    <row r="4588" spans="1:28" x14ac:dyDescent="0.25">
      <c r="A4588" t="s">
        <v>4592</v>
      </c>
      <c r="B4588">
        <v>0.99673306730245903</v>
      </c>
      <c r="C4588">
        <v>0.94523921037746905</v>
      </c>
      <c r="D4588">
        <v>0.92291517543213397</v>
      </c>
      <c r="E4588">
        <v>0.816384424387538</v>
      </c>
      <c r="F4588">
        <v>0.24304630209613101</v>
      </c>
      <c r="G4588">
        <v>0.153367249436724</v>
      </c>
      <c r="H4588">
        <v>9.9485032732083603E-2</v>
      </c>
      <c r="I4588">
        <v>0.104188179622463</v>
      </c>
      <c r="J4588">
        <v>7.3080387189462304E-2</v>
      </c>
      <c r="K4588">
        <v>6.1014405122346599E-2</v>
      </c>
      <c r="L4588">
        <v>2020.72720070982</v>
      </c>
      <c r="M4588">
        <v>39.463857939463097</v>
      </c>
      <c r="N4588">
        <v>51.468630210799702</v>
      </c>
      <c r="O4588">
        <v>51.073549356716597</v>
      </c>
      <c r="P4588">
        <v>-0.17546585841208501</v>
      </c>
      <c r="Q4588">
        <v>9.1660567327457004E-2</v>
      </c>
      <c r="R4588">
        <v>0.99280559465727902</v>
      </c>
      <c r="S4588" t="s">
        <v>11040</v>
      </c>
      <c r="T4588" t="s">
        <v>12902</v>
      </c>
      <c r="U4588" t="s">
        <v>12902</v>
      </c>
      <c r="V4588" t="s">
        <v>12902</v>
      </c>
      <c r="W4588" t="s">
        <v>17443</v>
      </c>
      <c r="X4588">
        <v>14</v>
      </c>
      <c r="Y4588" t="s">
        <v>23746</v>
      </c>
      <c r="Z4588" t="s">
        <v>30163</v>
      </c>
      <c r="AA4588">
        <v>0.43421334479959622</v>
      </c>
      <c r="AB4588" t="str">
        <f>HYPERLINK("Melting_Curves/meltCurve_Q8TD19_NEK9.pdf", "Melting_Curves/meltCurve_Q8TD19_NEK9.pdf")</f>
        <v>Melting_Curves/meltCurve_Q8TD19_NEK9.pdf</v>
      </c>
    </row>
    <row r="4589" spans="1:28" x14ac:dyDescent="0.25">
      <c r="A4589" t="s">
        <v>4593</v>
      </c>
      <c r="B4589">
        <v>0.99673306730245903</v>
      </c>
      <c r="C4589">
        <v>0.96222532905151104</v>
      </c>
      <c r="D4589">
        <v>0.73611932661863999</v>
      </c>
      <c r="E4589">
        <v>0.46912290247632399</v>
      </c>
      <c r="F4589">
        <v>0.24245761517664</v>
      </c>
      <c r="G4589">
        <v>0.14684198947475999</v>
      </c>
      <c r="H4589">
        <v>8.6827181391141997E-2</v>
      </c>
      <c r="I4589">
        <v>7.3773104081463495E-2</v>
      </c>
      <c r="J4589">
        <v>7.2622919723710003E-2</v>
      </c>
      <c r="K4589">
        <v>6.3122966262041294E-2</v>
      </c>
      <c r="L4589">
        <v>866.94120850983404</v>
      </c>
      <c r="M4589">
        <v>17.765499132740501</v>
      </c>
      <c r="N4589">
        <v>49.179000457873798</v>
      </c>
      <c r="O4589">
        <v>48.1934304504707</v>
      </c>
      <c r="P4589">
        <v>-8.6253518641239299E-2</v>
      </c>
      <c r="Q4589">
        <v>6.4110234325289603E-2</v>
      </c>
      <c r="R4589">
        <v>0.99803839924325199</v>
      </c>
      <c r="S4589" t="s">
        <v>11041</v>
      </c>
      <c r="T4589" t="s">
        <v>12902</v>
      </c>
      <c r="U4589" t="s">
        <v>12902</v>
      </c>
      <c r="V4589" t="s">
        <v>12902</v>
      </c>
      <c r="W4589" t="s">
        <v>17444</v>
      </c>
      <c r="X4589">
        <v>30</v>
      </c>
      <c r="Y4589" t="s">
        <v>23747</v>
      </c>
      <c r="Z4589" t="s">
        <v>30164</v>
      </c>
      <c r="AA4589">
        <v>0.35532073231322597</v>
      </c>
      <c r="AB4589" t="str">
        <f>HYPERLINK("Melting_Curves/meltCurve_Q8TD30_GPT2.pdf", "Melting_Curves/meltCurve_Q8TD30_GPT2.pdf")</f>
        <v>Melting_Curves/meltCurve_Q8TD30_GPT2.pdf</v>
      </c>
    </row>
    <row r="4590" spans="1:28" x14ac:dyDescent="0.25">
      <c r="A4590" t="s">
        <v>4594</v>
      </c>
      <c r="B4590">
        <v>0.99673306730245903</v>
      </c>
      <c r="C4590">
        <v>0.94260224171167994</v>
      </c>
      <c r="D4590">
        <v>0.874659988847174</v>
      </c>
      <c r="E4590">
        <v>0.62431820006746097</v>
      </c>
      <c r="F4590">
        <v>0.39187343345467301</v>
      </c>
      <c r="G4590">
        <v>0.26272564744654803</v>
      </c>
      <c r="H4590">
        <v>0.16857926645233201</v>
      </c>
      <c r="I4590">
        <v>0.165790446008897</v>
      </c>
      <c r="J4590">
        <v>0.15174301912548999</v>
      </c>
      <c r="K4590">
        <v>0.14837480824072199</v>
      </c>
      <c r="L4590">
        <v>856.75153024530596</v>
      </c>
      <c r="M4590">
        <v>16.980180216370702</v>
      </c>
      <c r="N4590">
        <v>51.4406098038896</v>
      </c>
      <c r="O4590">
        <v>49.771762778842302</v>
      </c>
      <c r="P4590">
        <v>-7.3461364049086E-2</v>
      </c>
      <c r="Q4590">
        <v>0.138743158032854</v>
      </c>
      <c r="R4590">
        <v>0.99914606127060601</v>
      </c>
      <c r="S4590" t="s">
        <v>11042</v>
      </c>
      <c r="T4590" t="s">
        <v>12902</v>
      </c>
      <c r="U4590" t="s">
        <v>12902</v>
      </c>
      <c r="V4590" t="s">
        <v>12902</v>
      </c>
      <c r="W4590" t="s">
        <v>17445</v>
      </c>
      <c r="X4590">
        <v>1</v>
      </c>
      <c r="Y4590" t="s">
        <v>23748</v>
      </c>
      <c r="Z4590" t="s">
        <v>30165</v>
      </c>
      <c r="AA4590">
        <v>0.45517454821690467</v>
      </c>
      <c r="AB4590" t="str">
        <f>HYPERLINK("Melting_Curves/meltCurve_Q8TDB6_DTX3L.pdf", "Melting_Curves/meltCurve_Q8TDB6_DTX3L.pdf")</f>
        <v>Melting_Curves/meltCurve_Q8TDB6_DTX3L.pdf</v>
      </c>
    </row>
    <row r="4591" spans="1:28" x14ac:dyDescent="0.25">
      <c r="A4591" t="s">
        <v>4595</v>
      </c>
      <c r="B4591">
        <v>0.99673306730245903</v>
      </c>
      <c r="C4591">
        <v>0.94914847041638295</v>
      </c>
      <c r="D4591">
        <v>0.94062716428159698</v>
      </c>
      <c r="E4591">
        <v>0.66797684641492405</v>
      </c>
      <c r="F4591">
        <v>0.442076280147154</v>
      </c>
      <c r="G4591">
        <v>0.25887859044295197</v>
      </c>
      <c r="H4591">
        <v>0.113518140917395</v>
      </c>
      <c r="I4591">
        <v>9.4938393624841202E-2</v>
      </c>
      <c r="J4591">
        <v>8.9644210909705799E-2</v>
      </c>
      <c r="K4591">
        <v>8.8141290990853299E-2</v>
      </c>
      <c r="L4591">
        <v>868.88074647442704</v>
      </c>
      <c r="M4591">
        <v>16.772262090620401</v>
      </c>
      <c r="N4591">
        <v>52.244017479386102</v>
      </c>
      <c r="O4591">
        <v>51.084995907924103</v>
      </c>
      <c r="P4591">
        <v>-7.6685792848335196E-2</v>
      </c>
      <c r="Q4591">
        <v>6.5781796952276705E-2</v>
      </c>
      <c r="R4591">
        <v>0.99674620974830996</v>
      </c>
      <c r="S4591" t="s">
        <v>11043</v>
      </c>
      <c r="T4591" t="s">
        <v>12902</v>
      </c>
      <c r="U4591" t="s">
        <v>12902</v>
      </c>
      <c r="V4591" t="s">
        <v>12902</v>
      </c>
      <c r="W4591" t="s">
        <v>17446</v>
      </c>
      <c r="X4591">
        <v>5</v>
      </c>
      <c r="Y4591" t="s">
        <v>23749</v>
      </c>
      <c r="Z4591" t="s">
        <v>30166</v>
      </c>
      <c r="AA4591">
        <v>0.45095398855971208</v>
      </c>
      <c r="AB4591" t="str">
        <f>HYPERLINK("Melting_Curves/meltCurve_Q8TDD1_2_DDX54.pdf", "Melting_Curves/meltCurve_Q8TDD1_2_DDX54.pdf")</f>
        <v>Melting_Curves/meltCurve_Q8TDD1_2_DDX54.pdf</v>
      </c>
    </row>
    <row r="4592" spans="1:28" x14ac:dyDescent="0.25">
      <c r="A4592" t="s">
        <v>4596</v>
      </c>
      <c r="B4592">
        <v>0.99673306730245903</v>
      </c>
      <c r="C4592">
        <v>0.92236495656692497</v>
      </c>
      <c r="D4592">
        <v>1.0521710246796701</v>
      </c>
      <c r="E4592">
        <v>0.88593648675491399</v>
      </c>
      <c r="F4592">
        <v>0.76046701553309903</v>
      </c>
      <c r="G4592">
        <v>0.46278735634298701</v>
      </c>
      <c r="H4592">
        <v>0.22979571097047699</v>
      </c>
      <c r="I4592">
        <v>0.24500187060963499</v>
      </c>
      <c r="J4592">
        <v>0.41577914166049501</v>
      </c>
      <c r="K4592">
        <v>0.550760569136309</v>
      </c>
      <c r="L4592">
        <v>1857.51849248183</v>
      </c>
      <c r="M4592">
        <v>34.544145836543898</v>
      </c>
      <c r="N4592">
        <v>55.8472823169989</v>
      </c>
      <c r="O4592">
        <v>53.593062168122003</v>
      </c>
      <c r="P4592">
        <v>-0.102894670025475</v>
      </c>
      <c r="Q4592">
        <v>0.36146402611279699</v>
      </c>
      <c r="R4592">
        <v>0.89651816278215501</v>
      </c>
      <c r="S4592" t="s">
        <v>11044</v>
      </c>
      <c r="T4592" t="s">
        <v>12902</v>
      </c>
      <c r="U4592" t="s">
        <v>12902</v>
      </c>
      <c r="V4592" t="s">
        <v>12902</v>
      </c>
      <c r="W4592" t="s">
        <v>17447</v>
      </c>
      <c r="X4592">
        <v>6</v>
      </c>
      <c r="Y4592" t="s">
        <v>23750</v>
      </c>
      <c r="Z4592" t="s">
        <v>30167</v>
      </c>
      <c r="AA4592">
        <v>0.65777396065778393</v>
      </c>
      <c r="AB4592" t="str">
        <f>HYPERLINK("Melting_Curves/meltCurve_Q8TDH9_BLOC1S5.pdf", "Melting_Curves/meltCurve_Q8TDH9_BLOC1S5.pdf")</f>
        <v>Melting_Curves/meltCurve_Q8TDH9_BLOC1S5.pdf</v>
      </c>
    </row>
    <row r="4593" spans="1:28" x14ac:dyDescent="0.25">
      <c r="A4593" t="s">
        <v>4597</v>
      </c>
      <c r="B4593">
        <v>0.99673306730245903</v>
      </c>
      <c r="C4593">
        <v>0.96038168777890298</v>
      </c>
      <c r="D4593">
        <v>1.07529186423979</v>
      </c>
      <c r="E4593">
        <v>0.871372721084684</v>
      </c>
      <c r="F4593">
        <v>0.74631765743699097</v>
      </c>
      <c r="G4593">
        <v>0.50778928719888405</v>
      </c>
      <c r="H4593">
        <v>0.40340553254546901</v>
      </c>
      <c r="I4593">
        <v>0.211134352830709</v>
      </c>
      <c r="J4593">
        <v>0.35185481665475898</v>
      </c>
      <c r="K4593">
        <v>0.25488948617900098</v>
      </c>
      <c r="L4593">
        <v>1041.1052292268</v>
      </c>
      <c r="M4593">
        <v>18.970508593026299</v>
      </c>
      <c r="N4593">
        <v>57.066900077630798</v>
      </c>
      <c r="O4593">
        <v>54.281276978198001</v>
      </c>
      <c r="P4593">
        <v>-6.4805784843843597E-2</v>
      </c>
      <c r="Q4593">
        <v>0.25830145116082998</v>
      </c>
      <c r="R4593">
        <v>0.97125890110859003</v>
      </c>
      <c r="S4593" t="s">
        <v>11045</v>
      </c>
      <c r="T4593" t="s">
        <v>12902</v>
      </c>
      <c r="U4593" t="s">
        <v>12902</v>
      </c>
      <c r="V4593" t="s">
        <v>12902</v>
      </c>
      <c r="W4593" t="s">
        <v>17448</v>
      </c>
      <c r="X4593">
        <v>1</v>
      </c>
      <c r="Y4593" t="s">
        <v>23751</v>
      </c>
      <c r="Z4593" t="s">
        <v>30168</v>
      </c>
      <c r="AA4593">
        <v>0.63689809514879014</v>
      </c>
      <c r="AB4593" t="str">
        <f>HYPERLINK("Melting_Curves/meltCurve_Q8TDJ6_2_DMXL2.pdf", "Melting_Curves/meltCurve_Q8TDJ6_2_DMXL2.pdf")</f>
        <v>Melting_Curves/meltCurve_Q8TDJ6_2_DMXL2.pdf</v>
      </c>
    </row>
    <row r="4594" spans="1:28" x14ac:dyDescent="0.25">
      <c r="A4594" t="s">
        <v>4598</v>
      </c>
      <c r="B4594">
        <v>0.99673306730245903</v>
      </c>
      <c r="C4594">
        <v>0.99857995050653103</v>
      </c>
      <c r="D4594">
        <v>1.04016733053234</v>
      </c>
      <c r="E4594">
        <v>1.0488692983188701</v>
      </c>
      <c r="F4594">
        <v>0.96053348179229803</v>
      </c>
      <c r="G4594">
        <v>0.84030782032024198</v>
      </c>
      <c r="H4594">
        <v>0.68695503113461698</v>
      </c>
      <c r="I4594">
        <v>0.89789923215011302</v>
      </c>
      <c r="J4594">
        <v>1.2630956332947201</v>
      </c>
      <c r="K4594">
        <v>0.47160050928631497</v>
      </c>
      <c r="L4594">
        <v>4105.7997676555096</v>
      </c>
      <c r="M4594">
        <v>75.961557046620101</v>
      </c>
      <c r="O4594">
        <v>54.013595500454898</v>
      </c>
      <c r="P4594">
        <v>-5.9388373264064001E-2</v>
      </c>
      <c r="Q4594">
        <v>0.83108408058193595</v>
      </c>
      <c r="R4594">
        <v>0.18722006378060599</v>
      </c>
      <c r="S4594" t="s">
        <v>11046</v>
      </c>
      <c r="T4594" t="s">
        <v>12902</v>
      </c>
      <c r="U4594" t="s">
        <v>12902</v>
      </c>
      <c r="V4594" t="s">
        <v>12902</v>
      </c>
      <c r="W4594" t="s">
        <v>17449</v>
      </c>
      <c r="X4594">
        <v>13</v>
      </c>
      <c r="Y4594" t="s">
        <v>23752</v>
      </c>
      <c r="Z4594" t="s">
        <v>30169</v>
      </c>
      <c r="AA4594">
        <v>0.91037272420342419</v>
      </c>
      <c r="AB4594" t="str">
        <f>HYPERLINK("Melting_Curves/meltCurve_Q8TDQ7_GNPDA2.pdf", "Melting_Curves/meltCurve_Q8TDQ7_GNPDA2.pdf")</f>
        <v>Melting_Curves/meltCurve_Q8TDQ7_GNPDA2.pdf</v>
      </c>
    </row>
    <row r="4595" spans="1:28" x14ac:dyDescent="0.25">
      <c r="A4595" t="s">
        <v>4599</v>
      </c>
      <c r="B4595">
        <v>0.99673306730245903</v>
      </c>
      <c r="C4595">
        <v>0.94467068064997906</v>
      </c>
      <c r="D4595">
        <v>0.91872674960276202</v>
      </c>
      <c r="E4595">
        <v>0.69609811779375896</v>
      </c>
      <c r="F4595">
        <v>0.444141402933944</v>
      </c>
      <c r="G4595">
        <v>0.22947662552391801</v>
      </c>
      <c r="H4595">
        <v>0.10664524188900799</v>
      </c>
      <c r="I4595">
        <v>9.8203203361550098E-2</v>
      </c>
      <c r="J4595">
        <v>6.8176392941895994E-2</v>
      </c>
      <c r="K4595">
        <v>4.4298976280815201E-2</v>
      </c>
      <c r="L4595">
        <v>856.25521711875001</v>
      </c>
      <c r="M4595">
        <v>16.447921970706702</v>
      </c>
      <c r="N4595">
        <v>52.316036639378602</v>
      </c>
      <c r="O4595">
        <v>51.307295007478103</v>
      </c>
      <c r="P4595">
        <v>-7.7033655674657503E-2</v>
      </c>
      <c r="Q4595">
        <v>3.8879099893003699E-2</v>
      </c>
      <c r="R4595">
        <v>0.99870319703723898</v>
      </c>
      <c r="S4595" t="s">
        <v>11047</v>
      </c>
      <c r="T4595" t="s">
        <v>12902</v>
      </c>
      <c r="U4595" t="s">
        <v>12902</v>
      </c>
      <c r="V4595" t="s">
        <v>12902</v>
      </c>
      <c r="W4595" t="s">
        <v>17450</v>
      </c>
      <c r="X4595">
        <v>1</v>
      </c>
      <c r="Y4595" t="s">
        <v>23753</v>
      </c>
      <c r="Z4595" t="s">
        <v>30170</v>
      </c>
      <c r="AA4595">
        <v>0.44376178947197692</v>
      </c>
      <c r="AB4595" t="str">
        <f>HYPERLINK("Melting_Curves/meltCurve_Q8TDR2_STK35.pdf", "Melting_Curves/meltCurve_Q8TDR2_STK35.pdf")</f>
        <v>Melting_Curves/meltCurve_Q8TDR2_STK35.pdf</v>
      </c>
    </row>
    <row r="4596" spans="1:28" x14ac:dyDescent="0.25">
      <c r="A4596" t="s">
        <v>4600</v>
      </c>
      <c r="B4596">
        <v>0.99673306730245903</v>
      </c>
      <c r="C4596">
        <v>0.85823256722018804</v>
      </c>
      <c r="D4596">
        <v>0.51712504098171197</v>
      </c>
      <c r="E4596">
        <v>0.23694174476367899</v>
      </c>
      <c r="F4596">
        <v>0.14351436092834799</v>
      </c>
      <c r="G4596">
        <v>4.7092850829038302E-2</v>
      </c>
      <c r="H4596">
        <v>2.7785875855893101E-2</v>
      </c>
      <c r="I4596">
        <v>2.0372200327601099E-2</v>
      </c>
      <c r="J4596">
        <v>2.36233675133957E-2</v>
      </c>
      <c r="K4596">
        <v>7.6829279523226999E-3</v>
      </c>
      <c r="L4596">
        <v>921.085340662411</v>
      </c>
      <c r="M4596">
        <v>19.869872680548799</v>
      </c>
      <c r="N4596">
        <v>46.474706331663597</v>
      </c>
      <c r="O4596">
        <v>45.894004253123001</v>
      </c>
      <c r="P4596">
        <v>-0.10556052229810001</v>
      </c>
      <c r="Q4596">
        <v>2.47681351766771E-2</v>
      </c>
      <c r="R4596">
        <v>0.99543668359584903</v>
      </c>
      <c r="S4596" t="s">
        <v>11048</v>
      </c>
      <c r="T4596" t="s">
        <v>12902</v>
      </c>
      <c r="U4596" t="s">
        <v>12902</v>
      </c>
      <c r="V4596" t="s">
        <v>12902</v>
      </c>
      <c r="W4596" t="s">
        <v>17451</v>
      </c>
      <c r="X4596">
        <v>3</v>
      </c>
      <c r="Y4596" t="s">
        <v>23754</v>
      </c>
      <c r="Z4596" t="s">
        <v>30171</v>
      </c>
      <c r="AA4596">
        <v>0.24633679608647471</v>
      </c>
      <c r="AB4596" t="str">
        <f>HYPERLINK("Melting_Curves/meltCurve_Q8TDX7_NEK7.pdf", "Melting_Curves/meltCurve_Q8TDX7_NEK7.pdf")</f>
        <v>Melting_Curves/meltCurve_Q8TDX7_NEK7.pdf</v>
      </c>
    </row>
    <row r="4597" spans="1:28" x14ac:dyDescent="0.25">
      <c r="A4597" t="s">
        <v>4601</v>
      </c>
      <c r="B4597">
        <v>0.99673306730245903</v>
      </c>
      <c r="C4597">
        <v>0.95394330345285705</v>
      </c>
      <c r="D4597">
        <v>0.72372295652748297</v>
      </c>
      <c r="E4597">
        <v>0.51915587196291901</v>
      </c>
      <c r="F4597">
        <v>0.34582745721930203</v>
      </c>
      <c r="G4597">
        <v>0.224865394812125</v>
      </c>
      <c r="H4597">
        <v>0.15857214064376601</v>
      </c>
      <c r="I4597">
        <v>0.14487495198853501</v>
      </c>
      <c r="J4597">
        <v>0.11928879252629</v>
      </c>
      <c r="K4597">
        <v>0.108959490252667</v>
      </c>
      <c r="L4597">
        <v>724.713091714043</v>
      </c>
      <c r="M4597">
        <v>14.7426912853196</v>
      </c>
      <c r="N4597">
        <v>49.9949563003861</v>
      </c>
      <c r="O4597">
        <v>48.279571392374798</v>
      </c>
      <c r="P4597">
        <v>-6.7994662837571301E-2</v>
      </c>
      <c r="Q4597">
        <v>0.10941679401592801</v>
      </c>
      <c r="R4597">
        <v>0.99540855425019004</v>
      </c>
      <c r="S4597" t="s">
        <v>11049</v>
      </c>
      <c r="T4597" t="s">
        <v>12902</v>
      </c>
      <c r="U4597" t="s">
        <v>12902</v>
      </c>
      <c r="V4597" t="s">
        <v>12902</v>
      </c>
      <c r="W4597" t="s">
        <v>17452</v>
      </c>
      <c r="X4597">
        <v>2</v>
      </c>
      <c r="Y4597" t="s">
        <v>23755</v>
      </c>
      <c r="Z4597" t="s">
        <v>30172</v>
      </c>
      <c r="AA4597">
        <v>0.40383289717678061</v>
      </c>
      <c r="AB4597" t="str">
        <f>HYPERLINK("Melting_Curves/meltCurve_Q8TDY2_2_RB1CC1.pdf", "Melting_Curves/meltCurve_Q8TDY2_2_RB1CC1.pdf")</f>
        <v>Melting_Curves/meltCurve_Q8TDY2_2_RB1CC1.pdf</v>
      </c>
    </row>
    <row r="4598" spans="1:28" x14ac:dyDescent="0.25">
      <c r="A4598" t="s">
        <v>4602</v>
      </c>
      <c r="B4598">
        <v>0.99673306730245903</v>
      </c>
      <c r="C4598">
        <v>0.75432733001682395</v>
      </c>
      <c r="D4598">
        <v>0.35696549778143899</v>
      </c>
      <c r="E4598">
        <v>0.26114222932182302</v>
      </c>
      <c r="F4598">
        <v>0.140923702985741</v>
      </c>
      <c r="G4598">
        <v>9.6773925409574996E-2</v>
      </c>
      <c r="H4598">
        <v>6.5642379219265301E-2</v>
      </c>
      <c r="I4598">
        <v>5.1257507509014297E-2</v>
      </c>
      <c r="J4598">
        <v>5.92031944698641E-2</v>
      </c>
      <c r="K4598">
        <v>5.7011028592507597E-2</v>
      </c>
      <c r="L4598">
        <v>952.99786332468898</v>
      </c>
      <c r="M4598">
        <v>21.241645498171099</v>
      </c>
      <c r="N4598">
        <v>45.2159302086948</v>
      </c>
      <c r="O4598">
        <v>44.472655398074401</v>
      </c>
      <c r="P4598">
        <v>-0.110326850871572</v>
      </c>
      <c r="Q4598">
        <v>7.6078896740225097E-2</v>
      </c>
      <c r="R4598">
        <v>0.98332933566410696</v>
      </c>
      <c r="S4598" t="s">
        <v>11050</v>
      </c>
      <c r="T4598" t="s">
        <v>12902</v>
      </c>
      <c r="U4598" t="s">
        <v>12902</v>
      </c>
      <c r="V4598" t="s">
        <v>12902</v>
      </c>
      <c r="W4598" t="s">
        <v>17453</v>
      </c>
      <c r="X4598">
        <v>3</v>
      </c>
      <c r="Y4598" t="s">
        <v>23756</v>
      </c>
      <c r="Z4598" t="s">
        <v>30173</v>
      </c>
      <c r="AA4598">
        <v>0.23968923372411799</v>
      </c>
      <c r="AB4598" t="str">
        <f>HYPERLINK("Melting_Curves/meltCurve_Q8TDZ2_MICAL1.pdf", "Melting_Curves/meltCurve_Q8TDZ2_MICAL1.pdf")</f>
        <v>Melting_Curves/meltCurve_Q8TDZ2_MICAL1.pdf</v>
      </c>
    </row>
    <row r="4599" spans="1:28" x14ac:dyDescent="0.25">
      <c r="A4599" t="s">
        <v>4603</v>
      </c>
      <c r="B4599">
        <v>0.99673306730245903</v>
      </c>
      <c r="C4599">
        <v>0.99443588102340297</v>
      </c>
      <c r="D4599">
        <v>0.95846285939778397</v>
      </c>
      <c r="E4599">
        <v>0.81722964559836397</v>
      </c>
      <c r="F4599">
        <v>0.25086790069081799</v>
      </c>
      <c r="G4599">
        <v>0.14644333415282201</v>
      </c>
      <c r="H4599">
        <v>0.103478161881756</v>
      </c>
      <c r="I4599">
        <v>0.12242505770459899</v>
      </c>
      <c r="J4599">
        <v>0.130277892184648</v>
      </c>
      <c r="K4599">
        <v>0.11372746015341299</v>
      </c>
      <c r="L4599">
        <v>2206.0929602040601</v>
      </c>
      <c r="M4599">
        <v>43.169419027793097</v>
      </c>
      <c r="N4599">
        <v>51.430176729416601</v>
      </c>
      <c r="O4599">
        <v>50.993845995676303</v>
      </c>
      <c r="P4599">
        <v>-0.18623697734846201</v>
      </c>
      <c r="Q4599">
        <v>0.120032148229912</v>
      </c>
      <c r="R4599">
        <v>0.99876000764141204</v>
      </c>
      <c r="S4599" t="s">
        <v>11051</v>
      </c>
      <c r="T4599" t="s">
        <v>12902</v>
      </c>
      <c r="U4599" t="s">
        <v>12902</v>
      </c>
      <c r="V4599" t="s">
        <v>12902</v>
      </c>
      <c r="W4599" t="s">
        <v>17454</v>
      </c>
      <c r="X4599">
        <v>5</v>
      </c>
      <c r="Y4599" t="s">
        <v>23757</v>
      </c>
      <c r="Z4599" t="s">
        <v>30174</v>
      </c>
      <c r="AA4599">
        <v>0.44837808261299988</v>
      </c>
      <c r="AB4599" t="str">
        <f>HYPERLINK("Melting_Curves/meltCurve_Q8TE04_2_PANK1.pdf", "Melting_Curves/meltCurve_Q8TE04_2_PANK1.pdf")</f>
        <v>Melting_Curves/meltCurve_Q8TE04_2_PANK1.pdf</v>
      </c>
    </row>
    <row r="4600" spans="1:28" x14ac:dyDescent="0.25">
      <c r="A4600" t="s">
        <v>4604</v>
      </c>
      <c r="B4600">
        <v>0.99673306730245903</v>
      </c>
      <c r="C4600">
        <v>0.79361156914069297</v>
      </c>
      <c r="D4600">
        <v>0.445293573145771</v>
      </c>
      <c r="E4600">
        <v>0.37303022169748401</v>
      </c>
      <c r="F4600">
        <v>0.17641940588925301</v>
      </c>
      <c r="G4600">
        <v>0.11665544540921299</v>
      </c>
      <c r="H4600">
        <v>8.2030279122412994E-2</v>
      </c>
      <c r="I4600">
        <v>8.0705853612254297E-2</v>
      </c>
      <c r="J4600">
        <v>6.7408386686500704E-2</v>
      </c>
      <c r="K4600">
        <v>5.7263291141514003E-2</v>
      </c>
      <c r="L4600">
        <v>727.60899519217799</v>
      </c>
      <c r="M4600">
        <v>15.8006589290174</v>
      </c>
      <c r="N4600">
        <v>46.488795164208902</v>
      </c>
      <c r="O4600">
        <v>45.330606655784898</v>
      </c>
      <c r="P4600">
        <v>-8.1102036873480304E-2</v>
      </c>
      <c r="Q4600">
        <v>6.9380163692470895E-2</v>
      </c>
      <c r="R4600">
        <v>0.97930659612068605</v>
      </c>
      <c r="S4600" t="s">
        <v>11052</v>
      </c>
      <c r="T4600" t="s">
        <v>12902</v>
      </c>
      <c r="U4600" t="s">
        <v>12902</v>
      </c>
      <c r="V4600" t="s">
        <v>12902</v>
      </c>
      <c r="W4600" t="s">
        <v>17455</v>
      </c>
      <c r="X4600">
        <v>8</v>
      </c>
      <c r="Y4600" t="s">
        <v>23758</v>
      </c>
      <c r="Z4600" t="s">
        <v>30175</v>
      </c>
      <c r="AA4600">
        <v>0.28126916064597812</v>
      </c>
      <c r="AB4600" t="str">
        <f>HYPERLINK("Melting_Curves/meltCurve_Q8TE77_SSH3.pdf", "Melting_Curves/meltCurve_Q8TE77_SSH3.pdf")</f>
        <v>Melting_Curves/meltCurve_Q8TE77_SSH3.pdf</v>
      </c>
    </row>
    <row r="4601" spans="1:28" x14ac:dyDescent="0.25">
      <c r="A4601" t="s">
        <v>4605</v>
      </c>
      <c r="B4601">
        <v>0.99673306730245903</v>
      </c>
      <c r="C4601">
        <v>1.0142049044535999</v>
      </c>
      <c r="D4601">
        <v>0.96375758145280199</v>
      </c>
      <c r="E4601">
        <v>0.88746984365994996</v>
      </c>
      <c r="F4601">
        <v>0.60846104453175598</v>
      </c>
      <c r="G4601">
        <v>0.26784295310627698</v>
      </c>
      <c r="H4601">
        <v>0.14171224750508199</v>
      </c>
      <c r="I4601">
        <v>0.13244257395872899</v>
      </c>
      <c r="J4601">
        <v>0.101009508779928</v>
      </c>
      <c r="K4601">
        <v>8.1404490764040105E-2</v>
      </c>
      <c r="L4601">
        <v>1311.7082214301499</v>
      </c>
      <c r="M4601">
        <v>24.4329361137926</v>
      </c>
      <c r="N4601">
        <v>54.143657653180597</v>
      </c>
      <c r="O4601">
        <v>53.330307126129703</v>
      </c>
      <c r="P4601">
        <v>-0.103853029136113</v>
      </c>
      <c r="Q4601">
        <v>9.3284181846957304E-2</v>
      </c>
      <c r="R4601">
        <v>0.998848225882222</v>
      </c>
      <c r="S4601" t="s">
        <v>11053</v>
      </c>
      <c r="T4601" t="s">
        <v>12902</v>
      </c>
      <c r="U4601" t="s">
        <v>12902</v>
      </c>
      <c r="V4601" t="s">
        <v>12902</v>
      </c>
      <c r="W4601" t="s">
        <v>17456</v>
      </c>
      <c r="X4601">
        <v>14</v>
      </c>
      <c r="Y4601" t="s">
        <v>23759</v>
      </c>
      <c r="Z4601" t="s">
        <v>30176</v>
      </c>
      <c r="AA4601">
        <v>0.51567091405584542</v>
      </c>
      <c r="AB4601" t="str">
        <f>HYPERLINK("Melting_Curves/meltCurve_Q8TEA1_NSUN6.pdf", "Melting_Curves/meltCurve_Q8TEA1_NSUN6.pdf")</f>
        <v>Melting_Curves/meltCurve_Q8TEA1_NSUN6.pdf</v>
      </c>
    </row>
    <row r="4602" spans="1:28" x14ac:dyDescent="0.25">
      <c r="A4602" t="s">
        <v>4606</v>
      </c>
      <c r="B4602">
        <v>0.99673306730245903</v>
      </c>
      <c r="C4602">
        <v>0.88791073099402396</v>
      </c>
      <c r="D4602">
        <v>0.83585172540880504</v>
      </c>
      <c r="E4602">
        <v>0.55865555958677904</v>
      </c>
      <c r="F4602">
        <v>0.32908054839478101</v>
      </c>
      <c r="G4602">
        <v>0.18650211182474999</v>
      </c>
      <c r="H4602">
        <v>0.115623407171198</v>
      </c>
      <c r="I4602">
        <v>0.10580288821384599</v>
      </c>
      <c r="J4602">
        <v>0.12046457525031901</v>
      </c>
      <c r="K4602">
        <v>8.7650730327936202E-2</v>
      </c>
      <c r="L4602">
        <v>806.39110206678004</v>
      </c>
      <c r="M4602">
        <v>16.176917569631001</v>
      </c>
      <c r="N4602">
        <v>50.413431922890197</v>
      </c>
      <c r="O4602">
        <v>49.105194477455598</v>
      </c>
      <c r="P4602">
        <v>-7.5534098669341507E-2</v>
      </c>
      <c r="Q4602">
        <v>8.2931183435113007E-2</v>
      </c>
      <c r="R4602">
        <v>0.99657717629045495</v>
      </c>
      <c r="S4602" t="s">
        <v>11054</v>
      </c>
      <c r="T4602" t="s">
        <v>12902</v>
      </c>
      <c r="U4602" t="s">
        <v>12902</v>
      </c>
      <c r="V4602" t="s">
        <v>12902</v>
      </c>
      <c r="W4602" t="s">
        <v>17457</v>
      </c>
      <c r="X4602">
        <v>4</v>
      </c>
      <c r="Y4602" t="s">
        <v>23760</v>
      </c>
      <c r="Z4602" t="s">
        <v>30177</v>
      </c>
      <c r="AA4602">
        <v>0.40313922517112322</v>
      </c>
      <c r="AB4602" t="str">
        <f>HYPERLINK("Melting_Curves/meltCurve_Q8TEA7_3_TBCK.pdf", "Melting_Curves/meltCurve_Q8TEA7_3_TBCK.pdf")</f>
        <v>Melting_Curves/meltCurve_Q8TEA7_3_TBCK.pdf</v>
      </c>
    </row>
    <row r="4603" spans="1:28" x14ac:dyDescent="0.25">
      <c r="A4603" t="s">
        <v>4607</v>
      </c>
      <c r="B4603">
        <v>0.99673306730245903</v>
      </c>
      <c r="C4603">
        <v>0.94779254680732195</v>
      </c>
      <c r="D4603">
        <v>1.1461251823882199</v>
      </c>
      <c r="E4603">
        <v>0.97153575613513399</v>
      </c>
      <c r="F4603">
        <v>0.83188767078944703</v>
      </c>
      <c r="G4603">
        <v>0.50861251219649195</v>
      </c>
      <c r="H4603">
        <v>0.40251362421750703</v>
      </c>
      <c r="I4603">
        <v>0.52829236558453396</v>
      </c>
      <c r="J4603">
        <v>0.58243261047898998</v>
      </c>
      <c r="K4603">
        <v>0.417660423404485</v>
      </c>
      <c r="L4603">
        <v>3098.4872014543998</v>
      </c>
      <c r="M4603">
        <v>57.521203106863197</v>
      </c>
      <c r="N4603">
        <v>57.215857987858399</v>
      </c>
      <c r="O4603">
        <v>53.801879766372998</v>
      </c>
      <c r="P4603">
        <v>-0.13825153676185201</v>
      </c>
      <c r="Q4603">
        <v>0.48275150447041998</v>
      </c>
      <c r="R4603">
        <v>0.92978173493514804</v>
      </c>
      <c r="S4603" t="s">
        <v>11055</v>
      </c>
      <c r="T4603" t="s">
        <v>12902</v>
      </c>
      <c r="U4603" t="s">
        <v>12902</v>
      </c>
      <c r="V4603" t="s">
        <v>12902</v>
      </c>
      <c r="W4603" t="s">
        <v>17458</v>
      </c>
      <c r="X4603">
        <v>6</v>
      </c>
      <c r="Y4603" t="s">
        <v>23761</v>
      </c>
      <c r="Z4603" t="s">
        <v>30178</v>
      </c>
      <c r="AA4603">
        <v>0.72276608126689534</v>
      </c>
      <c r="AB4603" t="str">
        <f>HYPERLINK("Melting_Curves/meltCurve_Q8TEA8_DTD1.pdf", "Melting_Curves/meltCurve_Q8TEA8_DTD1.pdf")</f>
        <v>Melting_Curves/meltCurve_Q8TEA8_DTD1.pdf</v>
      </c>
    </row>
    <row r="4604" spans="1:28" x14ac:dyDescent="0.25">
      <c r="A4604" t="s">
        <v>4608</v>
      </c>
      <c r="B4604">
        <v>0.99673306730245903</v>
      </c>
      <c r="C4604">
        <v>0.883407041792443</v>
      </c>
      <c r="D4604">
        <v>0.88875464485094202</v>
      </c>
      <c r="E4604">
        <v>0.852407297613475</v>
      </c>
      <c r="F4604">
        <v>0.65810387023016703</v>
      </c>
      <c r="G4604">
        <v>0.38438715718724398</v>
      </c>
      <c r="H4604">
        <v>0.149742603436158</v>
      </c>
      <c r="I4604">
        <v>0.11733509108580401</v>
      </c>
      <c r="J4604">
        <v>0.132994810601749</v>
      </c>
      <c r="K4604">
        <v>0.109247364730628</v>
      </c>
      <c r="L4604">
        <v>896.35500783169095</v>
      </c>
      <c r="M4604">
        <v>16.458179713817302</v>
      </c>
      <c r="N4604">
        <v>54.911606320356597</v>
      </c>
      <c r="O4604">
        <v>53.677577688510603</v>
      </c>
      <c r="P4604">
        <v>-7.1832027136782703E-2</v>
      </c>
      <c r="Q4604">
        <v>6.2958688517354006E-2</v>
      </c>
      <c r="R4604">
        <v>0.98245807163489296</v>
      </c>
      <c r="S4604" t="s">
        <v>11056</v>
      </c>
      <c r="T4604" t="s">
        <v>12902</v>
      </c>
      <c r="U4604" t="s">
        <v>12902</v>
      </c>
      <c r="V4604" t="s">
        <v>12902</v>
      </c>
      <c r="W4604" t="s">
        <v>17459</v>
      </c>
      <c r="X4604">
        <v>5</v>
      </c>
      <c r="Y4604" t="s">
        <v>23762</v>
      </c>
      <c r="Z4604" t="s">
        <v>30179</v>
      </c>
      <c r="AA4604">
        <v>0.5313952215589296</v>
      </c>
      <c r="AB4604" t="str">
        <f>HYPERLINK("Melting_Curves/meltCurve_Q8TEB1_2_DCAF11.pdf", "Melting_Curves/meltCurve_Q8TEB1_2_DCAF11.pdf")</f>
        <v>Melting_Curves/meltCurve_Q8TEB1_2_DCAF11.pdf</v>
      </c>
    </row>
    <row r="4605" spans="1:28" x14ac:dyDescent="0.25">
      <c r="A4605" t="s">
        <v>4609</v>
      </c>
      <c r="B4605">
        <v>0.99673306730245903</v>
      </c>
      <c r="C4605">
        <v>0.94280403456904305</v>
      </c>
      <c r="D4605">
        <v>1.1375911548950299</v>
      </c>
      <c r="E4605">
        <v>1.40820185874617</v>
      </c>
      <c r="F4605">
        <v>1.0301382572070199</v>
      </c>
      <c r="G4605">
        <v>0.57637495685595896</v>
      </c>
      <c r="H4605">
        <v>0.18033914736446299</v>
      </c>
      <c r="I4605">
        <v>0.109793124256851</v>
      </c>
      <c r="J4605">
        <v>9.3793861129373698E-2</v>
      </c>
      <c r="K4605">
        <v>8.5143770090589793E-2</v>
      </c>
      <c r="L4605">
        <v>3112.0566030667401</v>
      </c>
      <c r="M4605">
        <v>54.646906241368796</v>
      </c>
      <c r="N4605">
        <v>57.205051994575399</v>
      </c>
      <c r="O4605">
        <v>56.872340123377803</v>
      </c>
      <c r="P4605">
        <v>-0.21410574748112601</v>
      </c>
      <c r="Q4605">
        <v>0.10870068273151499</v>
      </c>
      <c r="R4605">
        <v>0.91584934503167204</v>
      </c>
      <c r="S4605" t="s">
        <v>11057</v>
      </c>
      <c r="T4605" t="s">
        <v>12902</v>
      </c>
      <c r="U4605" t="s">
        <v>12902</v>
      </c>
      <c r="V4605" t="s">
        <v>12902</v>
      </c>
      <c r="W4605" t="s">
        <v>17460</v>
      </c>
      <c r="X4605">
        <v>9</v>
      </c>
      <c r="Y4605" t="s">
        <v>23763</v>
      </c>
      <c r="Z4605" t="s">
        <v>30180</v>
      </c>
      <c r="AA4605">
        <v>0.61410955566493641</v>
      </c>
      <c r="AB4605" t="str">
        <f>HYPERLINK("Melting_Curves/meltCurve_Q8TED0_UTP15.pdf", "Melting_Curves/meltCurve_Q8TED0_UTP15.pdf")</f>
        <v>Melting_Curves/meltCurve_Q8TED0_UTP15.pdf</v>
      </c>
    </row>
    <row r="4606" spans="1:28" x14ac:dyDescent="0.25">
      <c r="A4606" t="s">
        <v>4610</v>
      </c>
      <c r="B4606">
        <v>0.99673306730245903</v>
      </c>
      <c r="C4606">
        <v>0.83893946598748603</v>
      </c>
      <c r="D4606">
        <v>0.78580526135171502</v>
      </c>
      <c r="E4606">
        <v>0.74485912878232197</v>
      </c>
      <c r="F4606">
        <v>0.47526326662748403</v>
      </c>
      <c r="G4606">
        <v>0.17912682825796999</v>
      </c>
      <c r="H4606">
        <v>0.117343408545005</v>
      </c>
      <c r="I4606">
        <v>0.104092583274039</v>
      </c>
      <c r="J4606">
        <v>0.10088478008018199</v>
      </c>
      <c r="K4606">
        <v>7.4601521439789403E-2</v>
      </c>
      <c r="L4606">
        <v>664.79607053315704</v>
      </c>
      <c r="M4606">
        <v>12.798524041890399</v>
      </c>
      <c r="N4606">
        <v>52.099839985395398</v>
      </c>
      <c r="O4606">
        <v>50.724065475914401</v>
      </c>
      <c r="P4606">
        <v>-6.19000750547051E-2</v>
      </c>
      <c r="Q4606">
        <v>1.8876204715274202E-2</v>
      </c>
      <c r="R4606">
        <v>0.97277268016316698</v>
      </c>
      <c r="S4606" t="s">
        <v>11058</v>
      </c>
      <c r="T4606" t="s">
        <v>12902</v>
      </c>
      <c r="U4606" t="s">
        <v>12902</v>
      </c>
      <c r="V4606" t="s">
        <v>12902</v>
      </c>
      <c r="W4606" t="s">
        <v>17461</v>
      </c>
      <c r="X4606">
        <v>25</v>
      </c>
      <c r="Y4606" t="s">
        <v>23764</v>
      </c>
      <c r="Z4606" t="s">
        <v>30181</v>
      </c>
      <c r="AA4606">
        <v>0.43713575006384497</v>
      </c>
      <c r="AB4606" t="str">
        <f>HYPERLINK("Melting_Curves/meltCurve_Q8TEM1_NUP210.pdf", "Melting_Curves/meltCurve_Q8TEM1_NUP210.pdf")</f>
        <v>Melting_Curves/meltCurve_Q8TEM1_NUP210.pdf</v>
      </c>
    </row>
    <row r="4607" spans="1:28" x14ac:dyDescent="0.25">
      <c r="A4607" t="s">
        <v>4611</v>
      </c>
      <c r="B4607">
        <v>0.99673306730245903</v>
      </c>
      <c r="C4607">
        <v>0.88112792324278499</v>
      </c>
      <c r="D4607">
        <v>0.90017926529165504</v>
      </c>
      <c r="E4607">
        <v>0.87070153565853603</v>
      </c>
      <c r="F4607">
        <v>0.20609017247606101</v>
      </c>
      <c r="G4607">
        <v>0.124965512701327</v>
      </c>
      <c r="H4607">
        <v>7.5808272797662293E-2</v>
      </c>
      <c r="I4607">
        <v>6.9788000413248494E-2</v>
      </c>
      <c r="J4607">
        <v>7.1451256919722803E-2</v>
      </c>
      <c r="K4607">
        <v>5.2904504145444703E-2</v>
      </c>
      <c r="L4607">
        <v>2559.10951516972</v>
      </c>
      <c r="M4607">
        <v>49.845512700653302</v>
      </c>
      <c r="N4607">
        <v>51.511563298159899</v>
      </c>
      <c r="O4607">
        <v>51.258386097053901</v>
      </c>
      <c r="P4607">
        <v>-0.22459802811574001</v>
      </c>
      <c r="Q4607">
        <v>7.6143714109896996E-2</v>
      </c>
      <c r="R4607">
        <v>0.98386650655882302</v>
      </c>
      <c r="S4607" t="s">
        <v>11059</v>
      </c>
      <c r="T4607" t="s">
        <v>12902</v>
      </c>
      <c r="U4607" t="s">
        <v>12902</v>
      </c>
      <c r="V4607" t="s">
        <v>12902</v>
      </c>
      <c r="W4607" t="s">
        <v>17462</v>
      </c>
      <c r="X4607">
        <v>25</v>
      </c>
      <c r="Y4607" t="s">
        <v>23765</v>
      </c>
      <c r="Z4607" t="s">
        <v>30182</v>
      </c>
      <c r="AA4607">
        <v>0.42749185126971451</v>
      </c>
      <c r="AB4607" t="str">
        <f>HYPERLINK("Melting_Curves/meltCurve_Q8TEQ6_GEMIN5.pdf", "Melting_Curves/meltCurve_Q8TEQ6_GEMIN5.pdf")</f>
        <v>Melting_Curves/meltCurve_Q8TEQ6_GEMIN5.pdf</v>
      </c>
    </row>
    <row r="4608" spans="1:28" x14ac:dyDescent="0.25">
      <c r="A4608" t="s">
        <v>4612</v>
      </c>
      <c r="B4608">
        <v>0.99673306730245903</v>
      </c>
      <c r="C4608">
        <v>1.02143188279054</v>
      </c>
      <c r="D4608">
        <v>0.92941667105207504</v>
      </c>
      <c r="E4608">
        <v>0.98083936543452799</v>
      </c>
      <c r="F4608">
        <v>0.53255534063022003</v>
      </c>
      <c r="G4608">
        <v>0.37541403034725401</v>
      </c>
      <c r="H4608">
        <v>0.27852234539341703</v>
      </c>
      <c r="I4608">
        <v>0.29500920007668302</v>
      </c>
      <c r="J4608">
        <v>0.15055448025743501</v>
      </c>
      <c r="K4608">
        <v>7.9805592543318496E-2</v>
      </c>
      <c r="L4608">
        <v>1170.2118423858201</v>
      </c>
      <c r="M4608">
        <v>21.865772548322401</v>
      </c>
      <c r="N4608">
        <v>54.5885233226753</v>
      </c>
      <c r="O4608">
        <v>53.076374600370002</v>
      </c>
      <c r="P4608">
        <v>-8.5036275016979704E-2</v>
      </c>
      <c r="Q4608">
        <v>0.174360033816782</v>
      </c>
      <c r="R4608">
        <v>0.96610480867974902</v>
      </c>
      <c r="S4608" t="s">
        <v>11060</v>
      </c>
      <c r="T4608" t="s">
        <v>12902</v>
      </c>
      <c r="U4608" t="s">
        <v>12902</v>
      </c>
      <c r="V4608" t="s">
        <v>12902</v>
      </c>
      <c r="W4608" t="s">
        <v>17463</v>
      </c>
      <c r="X4608">
        <v>1</v>
      </c>
      <c r="Y4608" t="s">
        <v>23766</v>
      </c>
      <c r="Z4608" t="s">
        <v>30183</v>
      </c>
      <c r="AA4608">
        <v>0.55609734999478777</v>
      </c>
      <c r="AB4608" t="str">
        <f>HYPERLINK("Melting_Curves/meltCurve_Q8TEQ8_2_PIGO.pdf", "Melting_Curves/meltCurve_Q8TEQ8_2_PIGO.pdf")</f>
        <v>Melting_Curves/meltCurve_Q8TEQ8_2_PIGO.pdf</v>
      </c>
    </row>
    <row r="4609" spans="1:28" x14ac:dyDescent="0.25">
      <c r="A4609" t="s">
        <v>4613</v>
      </c>
      <c r="B4609">
        <v>0.99673306730245903</v>
      </c>
      <c r="C4609">
        <v>1.0003577467995299</v>
      </c>
      <c r="D4609">
        <v>0.8731362458427</v>
      </c>
      <c r="E4609">
        <v>0.70429120652912802</v>
      </c>
      <c r="F4609">
        <v>0.31039804764387902</v>
      </c>
      <c r="G4609">
        <v>0.24182827125044601</v>
      </c>
      <c r="H4609">
        <v>0.18687582361138599</v>
      </c>
      <c r="I4609">
        <v>0.132886652923629</v>
      </c>
      <c r="J4609">
        <v>0.178499101681942</v>
      </c>
      <c r="K4609">
        <v>5.9457942199089703E-2</v>
      </c>
      <c r="L4609">
        <v>1073.02558494717</v>
      </c>
      <c r="M4609">
        <v>21.172999606608499</v>
      </c>
      <c r="N4609">
        <v>51.405254263212797</v>
      </c>
      <c r="O4609">
        <v>50.233378719623197</v>
      </c>
      <c r="P4609">
        <v>-9.1753572119699103E-2</v>
      </c>
      <c r="Q4609">
        <v>0.129273645117612</v>
      </c>
      <c r="R4609">
        <v>0.98812794077813404</v>
      </c>
      <c r="S4609" t="s">
        <v>11061</v>
      </c>
      <c r="T4609" t="s">
        <v>12902</v>
      </c>
      <c r="U4609" t="s">
        <v>12902</v>
      </c>
      <c r="V4609" t="s">
        <v>12902</v>
      </c>
      <c r="W4609" t="s">
        <v>17464</v>
      </c>
      <c r="X4609">
        <v>1</v>
      </c>
      <c r="Y4609" t="s">
        <v>23767</v>
      </c>
      <c r="Z4609" t="s">
        <v>30184</v>
      </c>
      <c r="AA4609">
        <v>0.45007021279048121</v>
      </c>
      <c r="AB4609" t="str">
        <f>HYPERLINK("Melting_Curves/meltCurve_Q8TET4_GANC.pdf", "Melting_Curves/meltCurve_Q8TET4_GANC.pdf")</f>
        <v>Melting_Curves/meltCurve_Q8TET4_GANC.pdf</v>
      </c>
    </row>
    <row r="4610" spans="1:28" x14ac:dyDescent="0.25">
      <c r="A4610" t="s">
        <v>4614</v>
      </c>
      <c r="B4610">
        <v>0.99673306730245903</v>
      </c>
      <c r="C4610">
        <v>0.895910749310176</v>
      </c>
      <c r="D4610">
        <v>0.81114622903056</v>
      </c>
      <c r="E4610">
        <v>0.81425993668614804</v>
      </c>
      <c r="F4610">
        <v>0.71422815240752502</v>
      </c>
      <c r="G4610">
        <v>0.55889720045651803</v>
      </c>
      <c r="H4610">
        <v>0.280624554613843</v>
      </c>
      <c r="I4610">
        <v>7.64733818172285E-2</v>
      </c>
      <c r="J4610">
        <v>5.2199300177253501E-2</v>
      </c>
      <c r="K4610">
        <v>3.2786070054142497E-2</v>
      </c>
      <c r="L4610">
        <v>757.64827733135496</v>
      </c>
      <c r="M4610">
        <v>13.4679673570392</v>
      </c>
      <c r="N4610">
        <v>56.255576917580697</v>
      </c>
      <c r="O4610">
        <v>55.058743611963799</v>
      </c>
      <c r="P4610">
        <v>-6.1162118433821203E-2</v>
      </c>
      <c r="Q4610">
        <v>0</v>
      </c>
      <c r="R4610">
        <v>0.960755181783852</v>
      </c>
      <c r="S4610" t="s">
        <v>11062</v>
      </c>
      <c r="T4610" t="s">
        <v>12902</v>
      </c>
      <c r="U4610" t="s">
        <v>12902</v>
      </c>
      <c r="V4610" t="s">
        <v>12902</v>
      </c>
      <c r="W4610" t="s">
        <v>17465</v>
      </c>
      <c r="X4610">
        <v>1</v>
      </c>
      <c r="Y4610" t="s">
        <v>23768</v>
      </c>
      <c r="Z4610" t="s">
        <v>30185</v>
      </c>
      <c r="AA4610">
        <v>0.56043965915996441</v>
      </c>
      <c r="AB4610" t="str">
        <f>HYPERLINK("Melting_Curves/meltCurve_Q8TEV9_2_SMCR8.pdf", "Melting_Curves/meltCurve_Q8TEV9_2_SMCR8.pdf")</f>
        <v>Melting_Curves/meltCurve_Q8TEV9_2_SMCR8.pdf</v>
      </c>
    </row>
    <row r="4611" spans="1:28" x14ac:dyDescent="0.25">
      <c r="A4611" t="s">
        <v>4615</v>
      </c>
      <c r="B4611">
        <v>0.99673306730245903</v>
      </c>
      <c r="C4611">
        <v>0.83064441028533997</v>
      </c>
      <c r="D4611">
        <v>0.49313483589067603</v>
      </c>
      <c r="E4611">
        <v>0.238643421921439</v>
      </c>
      <c r="F4611">
        <v>0.12010031595686201</v>
      </c>
      <c r="G4611">
        <v>7.2958450647981704E-2</v>
      </c>
      <c r="H4611">
        <v>4.3958401191314E-2</v>
      </c>
      <c r="I4611">
        <v>4.0266889489246803E-2</v>
      </c>
      <c r="J4611">
        <v>3.8765127062827601E-2</v>
      </c>
      <c r="K4611">
        <v>3.8186374071829399E-2</v>
      </c>
      <c r="L4611">
        <v>941.83465730165005</v>
      </c>
      <c r="M4611">
        <v>20.4823231015834</v>
      </c>
      <c r="N4611">
        <v>46.196376983147204</v>
      </c>
      <c r="O4611">
        <v>45.551219119139098</v>
      </c>
      <c r="P4611">
        <v>-0.107338696996501</v>
      </c>
      <c r="Q4611">
        <v>4.5173987801682101E-2</v>
      </c>
      <c r="R4611">
        <v>0.99705777313431498</v>
      </c>
      <c r="S4611" t="s">
        <v>11063</v>
      </c>
      <c r="T4611" t="s">
        <v>12902</v>
      </c>
      <c r="U4611" t="s">
        <v>12902</v>
      </c>
      <c r="V4611" t="s">
        <v>12902</v>
      </c>
      <c r="W4611" t="s">
        <v>17466</v>
      </c>
      <c r="X4611">
        <v>23</v>
      </c>
      <c r="Y4611" t="s">
        <v>23769</v>
      </c>
      <c r="Z4611" t="s">
        <v>30186</v>
      </c>
      <c r="AA4611">
        <v>0.24958395494417171</v>
      </c>
      <c r="AB4611" t="str">
        <f>HYPERLINK("Melting_Curves/meltCurve_Q8TEX9_IPO4.pdf", "Melting_Curves/meltCurve_Q8TEX9_IPO4.pdf")</f>
        <v>Melting_Curves/meltCurve_Q8TEX9_IPO4.pdf</v>
      </c>
    </row>
    <row r="4612" spans="1:28" x14ac:dyDescent="0.25">
      <c r="A4612" t="s">
        <v>4616</v>
      </c>
      <c r="B4612">
        <v>0.99673306730245903</v>
      </c>
      <c r="C4612">
        <v>0.96175211110556802</v>
      </c>
      <c r="D4612">
        <v>0.99773896545377805</v>
      </c>
      <c r="E4612">
        <v>1.0219090218185101</v>
      </c>
      <c r="F4612">
        <v>0.98637849772583497</v>
      </c>
      <c r="G4612">
        <v>0.83212686263408897</v>
      </c>
      <c r="H4612">
        <v>0.727463443855901</v>
      </c>
      <c r="I4612">
        <v>0.81199434859992303</v>
      </c>
      <c r="J4612">
        <v>0.64358539185489105</v>
      </c>
      <c r="K4612">
        <v>0.51014082371946701</v>
      </c>
      <c r="L4612">
        <v>578.88217369087204</v>
      </c>
      <c r="M4612">
        <v>8.10108661372273</v>
      </c>
      <c r="O4612">
        <v>67.498411106284806</v>
      </c>
      <c r="P4612">
        <v>-3.0037108254989502E-2</v>
      </c>
      <c r="Q4612">
        <v>0</v>
      </c>
      <c r="R4612">
        <v>0.91109942204118699</v>
      </c>
      <c r="S4612" t="s">
        <v>11064</v>
      </c>
      <c r="T4612" t="s">
        <v>12902</v>
      </c>
      <c r="U4612" t="s">
        <v>12902</v>
      </c>
      <c r="V4612" t="s">
        <v>12902</v>
      </c>
      <c r="W4612" t="s">
        <v>17467</v>
      </c>
      <c r="X4612">
        <v>11</v>
      </c>
      <c r="Y4612" t="s">
        <v>23770</v>
      </c>
      <c r="Z4612" t="s">
        <v>30187</v>
      </c>
      <c r="AA4612">
        <v>0.86297362154253543</v>
      </c>
      <c r="AB4612" t="str">
        <f>HYPERLINK("Melting_Curves/meltCurve_Q8TF01_PNISR.pdf", "Melting_Curves/meltCurve_Q8TF01_PNISR.pdf")</f>
        <v>Melting_Curves/meltCurve_Q8TF01_PNISR.pdf</v>
      </c>
    </row>
    <row r="4613" spans="1:28" x14ac:dyDescent="0.25">
      <c r="A4613" t="s">
        <v>4617</v>
      </c>
      <c r="B4613">
        <v>0.99673306730245903</v>
      </c>
      <c r="C4613">
        <v>0.94168426375224301</v>
      </c>
      <c r="D4613">
        <v>0.89260292407938602</v>
      </c>
      <c r="E4613">
        <v>0.67084748634851499</v>
      </c>
      <c r="F4613">
        <v>0.20335159309162601</v>
      </c>
      <c r="G4613">
        <v>0.13547166886072901</v>
      </c>
      <c r="H4613">
        <v>7.3925277972728604E-2</v>
      </c>
      <c r="I4613">
        <v>6.2249491536520297E-2</v>
      </c>
      <c r="J4613">
        <v>6.7791286372529805E-2</v>
      </c>
      <c r="K4613">
        <v>5.8514929215402002E-2</v>
      </c>
      <c r="L4613">
        <v>1372.5713846803901</v>
      </c>
      <c r="M4613">
        <v>27.223727320721</v>
      </c>
      <c r="N4613">
        <v>50.671389072684597</v>
      </c>
      <c r="O4613">
        <v>50.1485128292722</v>
      </c>
      <c r="P4613">
        <v>-0.12708652461088199</v>
      </c>
      <c r="Q4613">
        <v>6.3590569651966897E-2</v>
      </c>
      <c r="R4613">
        <v>0.99445135624235104</v>
      </c>
      <c r="S4613" t="s">
        <v>11065</v>
      </c>
      <c r="T4613" t="s">
        <v>12902</v>
      </c>
      <c r="U4613" t="s">
        <v>12902</v>
      </c>
      <c r="V4613" t="s">
        <v>12902</v>
      </c>
      <c r="W4613" t="s">
        <v>17468</v>
      </c>
      <c r="X4613">
        <v>6</v>
      </c>
      <c r="Y4613" t="s">
        <v>23771</v>
      </c>
      <c r="Z4613" t="s">
        <v>30188</v>
      </c>
      <c r="AA4613">
        <v>0.395869730414181</v>
      </c>
      <c r="AB4613" t="str">
        <f>HYPERLINK("Melting_Curves/meltCurve_Q8TF05_2_PPP4R1.pdf", "Melting_Curves/meltCurve_Q8TF05_2_PPP4R1.pdf")</f>
        <v>Melting_Curves/meltCurve_Q8TF05_2_PPP4R1.pdf</v>
      </c>
    </row>
    <row r="4614" spans="1:28" x14ac:dyDescent="0.25">
      <c r="A4614" t="s">
        <v>4618</v>
      </c>
      <c r="B4614">
        <v>0.99673306730245903</v>
      </c>
      <c r="C4614">
        <v>0.963065091495242</v>
      </c>
      <c r="D4614">
        <v>0.93885884036896705</v>
      </c>
      <c r="E4614">
        <v>0.85903918728526696</v>
      </c>
      <c r="F4614">
        <v>0.83008512368744203</v>
      </c>
      <c r="G4614">
        <v>0.67821472519924997</v>
      </c>
      <c r="H4614">
        <v>0.64056093549583903</v>
      </c>
      <c r="I4614">
        <v>0.72684279560835197</v>
      </c>
      <c r="J4614">
        <v>0.71133447361480096</v>
      </c>
      <c r="K4614">
        <v>0.67913394159189899</v>
      </c>
      <c r="L4614">
        <v>808.29724271157795</v>
      </c>
      <c r="M4614">
        <v>15.966882895416299</v>
      </c>
      <c r="O4614">
        <v>49.849252296049599</v>
      </c>
      <c r="P4614">
        <v>-2.5868921376070199E-2</v>
      </c>
      <c r="Q4614">
        <v>0.67697030657449297</v>
      </c>
      <c r="R4614">
        <v>0.93066086033659201</v>
      </c>
      <c r="S4614" t="s">
        <v>11066</v>
      </c>
      <c r="T4614" t="s">
        <v>12902</v>
      </c>
      <c r="U4614" t="s">
        <v>12902</v>
      </c>
      <c r="V4614" t="s">
        <v>12902</v>
      </c>
      <c r="W4614" t="s">
        <v>17469</v>
      </c>
      <c r="X4614">
        <v>6</v>
      </c>
      <c r="Y4614" t="s">
        <v>23772</v>
      </c>
      <c r="Z4614" t="s">
        <v>30189</v>
      </c>
      <c r="AA4614">
        <v>0.79813969811425345</v>
      </c>
      <c r="AB4614" t="str">
        <f>HYPERLINK("Melting_Curves/meltCurve_Q8TF71_SLC16A10.pdf", "Melting_Curves/meltCurve_Q8TF71_SLC16A10.pdf")</f>
        <v>Melting_Curves/meltCurve_Q8TF71_SLC16A10.pdf</v>
      </c>
    </row>
    <row r="4615" spans="1:28" x14ac:dyDescent="0.25">
      <c r="A4615" t="s">
        <v>4619</v>
      </c>
      <c r="B4615">
        <v>0.99673306730245903</v>
      </c>
      <c r="C4615">
        <v>0.98954896516766</v>
      </c>
      <c r="D4615">
        <v>1.00773154363279</v>
      </c>
      <c r="E4615">
        <v>0.96025825263162601</v>
      </c>
      <c r="F4615">
        <v>0.90031956342550501</v>
      </c>
      <c r="G4615">
        <v>0.78619354766846605</v>
      </c>
      <c r="H4615">
        <v>0.68171044595194996</v>
      </c>
      <c r="I4615">
        <v>0.93051329472321398</v>
      </c>
      <c r="J4615">
        <v>1.48115585715285</v>
      </c>
      <c r="K4615">
        <v>1.43897857401561</v>
      </c>
      <c r="L4615">
        <v>14999.3627693489</v>
      </c>
      <c r="M4615">
        <v>228.37643419389099</v>
      </c>
      <c r="O4615">
        <v>65.673199854333802</v>
      </c>
      <c r="P4615">
        <v>0.40138425177265702</v>
      </c>
      <c r="Q4615">
        <v>1.4616972083158499</v>
      </c>
      <c r="R4615">
        <v>0.718250555087942</v>
      </c>
      <c r="S4615" t="s">
        <v>11067</v>
      </c>
      <c r="T4615" t="s">
        <v>12902</v>
      </c>
      <c r="U4615" t="s">
        <v>12902</v>
      </c>
      <c r="V4615" t="s">
        <v>12902</v>
      </c>
      <c r="W4615" t="s">
        <v>17470</v>
      </c>
      <c r="X4615">
        <v>14</v>
      </c>
      <c r="Y4615" t="s">
        <v>23773</v>
      </c>
      <c r="Z4615" t="s">
        <v>30190</v>
      </c>
      <c r="AA4615">
        <v>1.0664476786971031</v>
      </c>
      <c r="AB4615" t="str">
        <f>HYPERLINK("Melting_Curves/meltCurve_Q8TF74_WIPF2.pdf", "Melting_Curves/meltCurve_Q8TF74_WIPF2.pdf")</f>
        <v>Melting_Curves/meltCurve_Q8TF74_WIPF2.pdf</v>
      </c>
    </row>
    <row r="4616" spans="1:28" x14ac:dyDescent="0.25">
      <c r="A4616" t="s">
        <v>4620</v>
      </c>
      <c r="B4616">
        <v>0.99673306730245903</v>
      </c>
      <c r="C4616">
        <v>0.99744888505819196</v>
      </c>
      <c r="D4616">
        <v>0.74269203229395697</v>
      </c>
      <c r="E4616">
        <v>0.50546245744699203</v>
      </c>
      <c r="F4616">
        <v>0.37684210288418701</v>
      </c>
      <c r="G4616">
        <v>0.19730011148547699</v>
      </c>
      <c r="H4616">
        <v>0.117256502208699</v>
      </c>
      <c r="I4616">
        <v>0.10579255969109</v>
      </c>
      <c r="J4616">
        <v>7.7031377359175507E-2</v>
      </c>
      <c r="K4616">
        <v>4.9093698855975601E-2</v>
      </c>
      <c r="L4616">
        <v>714.03603606831803</v>
      </c>
      <c r="M4616">
        <v>14.3175233941176</v>
      </c>
      <c r="N4616">
        <v>50.281508888267098</v>
      </c>
      <c r="O4616">
        <v>48.928842436605002</v>
      </c>
      <c r="P4616">
        <v>-6.9132472548878096E-2</v>
      </c>
      <c r="Q4616">
        <v>5.5098634309149797E-2</v>
      </c>
      <c r="R4616">
        <v>0.98955776018803498</v>
      </c>
      <c r="S4616" t="s">
        <v>11068</v>
      </c>
      <c r="T4616" t="s">
        <v>12902</v>
      </c>
      <c r="U4616" t="s">
        <v>12902</v>
      </c>
      <c r="V4616" t="s">
        <v>12902</v>
      </c>
      <c r="W4616" t="s">
        <v>17471</v>
      </c>
      <c r="X4616">
        <v>3</v>
      </c>
      <c r="Y4616" t="s">
        <v>23774</v>
      </c>
      <c r="Z4616" t="s">
        <v>30191</v>
      </c>
      <c r="AA4616">
        <v>0.39058408197318673</v>
      </c>
      <c r="AB4616" t="str">
        <f>HYPERLINK("Melting_Curves/meltCurve_Q8WTS1_ABHD5.pdf", "Melting_Curves/meltCurve_Q8WTS1_ABHD5.pdf")</f>
        <v>Melting_Curves/meltCurve_Q8WTS1_ABHD5.pdf</v>
      </c>
    </row>
    <row r="4617" spans="1:28" x14ac:dyDescent="0.25">
      <c r="A4617" t="s">
        <v>4621</v>
      </c>
      <c r="B4617">
        <v>0.99673306730245903</v>
      </c>
      <c r="C4617">
        <v>1.0127905438474101</v>
      </c>
      <c r="D4617">
        <v>0.81609570501552298</v>
      </c>
      <c r="E4617">
        <v>0.37887074209257099</v>
      </c>
      <c r="F4617">
        <v>0.32924168937986098</v>
      </c>
      <c r="G4617">
        <v>0.25687092120758498</v>
      </c>
      <c r="H4617">
        <v>0.19955930252801399</v>
      </c>
      <c r="I4617">
        <v>0.16550225974466301</v>
      </c>
      <c r="J4617">
        <v>0.134369488408973</v>
      </c>
      <c r="K4617">
        <v>0.110533842573485</v>
      </c>
      <c r="L4617">
        <v>1200.66885026813</v>
      </c>
      <c r="M4617">
        <v>24.967343442282601</v>
      </c>
      <c r="N4617">
        <v>48.944105367217396</v>
      </c>
      <c r="O4617">
        <v>47.784258375606001</v>
      </c>
      <c r="P4617">
        <v>-0.10755007254847</v>
      </c>
      <c r="Q4617">
        <v>0.17666364579171501</v>
      </c>
      <c r="R4617">
        <v>0.979166238624402</v>
      </c>
      <c r="S4617" t="s">
        <v>11069</v>
      </c>
      <c r="T4617" t="s">
        <v>12902</v>
      </c>
      <c r="U4617" t="s">
        <v>12902</v>
      </c>
      <c r="V4617" t="s">
        <v>12902</v>
      </c>
      <c r="W4617" t="s">
        <v>17472</v>
      </c>
      <c r="X4617">
        <v>5</v>
      </c>
      <c r="Y4617" t="s">
        <v>23775</v>
      </c>
      <c r="Z4617" t="s">
        <v>30192</v>
      </c>
      <c r="AA4617">
        <v>0.40597440046021538</v>
      </c>
      <c r="AB4617" t="str">
        <f>HYPERLINK("Melting_Curves/meltCurve_Q8WTS6_SETD7.pdf", "Melting_Curves/meltCurve_Q8WTS6_SETD7.pdf")</f>
        <v>Melting_Curves/meltCurve_Q8WTS6_SETD7.pdf</v>
      </c>
    </row>
    <row r="4618" spans="1:28" x14ac:dyDescent="0.25">
      <c r="A4618" t="s">
        <v>4622</v>
      </c>
      <c r="B4618">
        <v>0.99673306730245903</v>
      </c>
      <c r="C4618">
        <v>0.82004834100922996</v>
      </c>
      <c r="D4618">
        <v>0.51444756434872396</v>
      </c>
      <c r="E4618">
        <v>0.25594200437981601</v>
      </c>
      <c r="F4618">
        <v>0.18122661173770199</v>
      </c>
      <c r="G4618">
        <v>0.116783120577875</v>
      </c>
      <c r="H4618">
        <v>7.8638134583674399E-2</v>
      </c>
      <c r="I4618">
        <v>5.9715709998703799E-2</v>
      </c>
      <c r="J4618">
        <v>5.4661686005290297E-2</v>
      </c>
      <c r="K4618">
        <v>4.7019089849824502E-2</v>
      </c>
      <c r="L4618">
        <v>870.135286451193</v>
      </c>
      <c r="M4618">
        <v>18.894413309850499</v>
      </c>
      <c r="N4618">
        <v>46.4144199173221</v>
      </c>
      <c r="O4618">
        <v>45.545954050364998</v>
      </c>
      <c r="P4618">
        <v>-9.6611203273377494E-2</v>
      </c>
      <c r="Q4618">
        <v>6.8492887932754098E-2</v>
      </c>
      <c r="R4618">
        <v>0.99409570103759803</v>
      </c>
      <c r="S4618" t="s">
        <v>11070</v>
      </c>
      <c r="T4618" t="s">
        <v>12902</v>
      </c>
      <c r="U4618" t="s">
        <v>12902</v>
      </c>
      <c r="V4618" t="s">
        <v>12902</v>
      </c>
      <c r="W4618" t="s">
        <v>17473</v>
      </c>
      <c r="X4618">
        <v>12</v>
      </c>
      <c r="Y4618" t="s">
        <v>23776</v>
      </c>
      <c r="Z4618" t="s">
        <v>30193</v>
      </c>
      <c r="AA4618">
        <v>0.27275496583588671</v>
      </c>
      <c r="AB4618" t="str">
        <f>HYPERLINK("Melting_Curves/meltCurve_Q8WTW3_COG1.pdf", "Melting_Curves/meltCurve_Q8WTW3_COG1.pdf")</f>
        <v>Melting_Curves/meltCurve_Q8WTW3_COG1.pdf</v>
      </c>
    </row>
    <row r="4619" spans="1:28" x14ac:dyDescent="0.25">
      <c r="A4619" t="s">
        <v>4623</v>
      </c>
      <c r="B4619">
        <v>0.99673306730245903</v>
      </c>
      <c r="C4619">
        <v>0.97885926973318205</v>
      </c>
      <c r="D4619">
        <v>1.0072531670384</v>
      </c>
      <c r="E4619">
        <v>0.837921884889399</v>
      </c>
      <c r="F4619">
        <v>0.648955161492625</v>
      </c>
      <c r="G4619">
        <v>0.473481566493196</v>
      </c>
      <c r="H4619">
        <v>0.25389097611461903</v>
      </c>
      <c r="I4619">
        <v>0.26231148464526099</v>
      </c>
      <c r="J4619">
        <v>0.28842416858805298</v>
      </c>
      <c r="K4619">
        <v>0.311065687552599</v>
      </c>
      <c r="L4619">
        <v>1073.1253258459999</v>
      </c>
      <c r="M4619">
        <v>20.100799661666301</v>
      </c>
      <c r="N4619">
        <v>55.437704044577799</v>
      </c>
      <c r="O4619">
        <v>52.867228505575298</v>
      </c>
      <c r="P4619">
        <v>-7.0125670299988604E-2</v>
      </c>
      <c r="Q4619">
        <v>0.26227190664162903</v>
      </c>
      <c r="R4619">
        <v>0.98810660981909604</v>
      </c>
      <c r="S4619" t="s">
        <v>11071</v>
      </c>
      <c r="T4619" t="s">
        <v>12902</v>
      </c>
      <c r="U4619" t="s">
        <v>12902</v>
      </c>
      <c r="V4619" t="s">
        <v>12902</v>
      </c>
      <c r="W4619" t="s">
        <v>17474</v>
      </c>
      <c r="X4619">
        <v>1</v>
      </c>
      <c r="Y4619" t="s">
        <v>23777</v>
      </c>
      <c r="Z4619" t="s">
        <v>30194</v>
      </c>
      <c r="AA4619">
        <v>0.60149930290093778</v>
      </c>
      <c r="AB4619" t="str">
        <f>HYPERLINK("Melting_Curves/meltCurve_Q8WTW4_NPRL2.pdf", "Melting_Curves/meltCurve_Q8WTW4_NPRL2.pdf")</f>
        <v>Melting_Curves/meltCurve_Q8WTW4_NPRL2.pdf</v>
      </c>
    </row>
    <row r="4620" spans="1:28" x14ac:dyDescent="0.25">
      <c r="A4620" t="s">
        <v>4624</v>
      </c>
      <c r="B4620">
        <v>0.99673306730245903</v>
      </c>
      <c r="C4620">
        <v>0.893434610538001</v>
      </c>
      <c r="D4620">
        <v>1.0301738178464801</v>
      </c>
      <c r="E4620">
        <v>0.86919208569742001</v>
      </c>
      <c r="F4620">
        <v>0.477861587708304</v>
      </c>
      <c r="G4620">
        <v>0.30961705066252299</v>
      </c>
      <c r="H4620">
        <v>0.19811889371723301</v>
      </c>
      <c r="I4620">
        <v>0.21864090234553099</v>
      </c>
      <c r="J4620">
        <v>0.29439169228378598</v>
      </c>
      <c r="K4620">
        <v>0.27724078197930702</v>
      </c>
      <c r="L4620">
        <v>1767.55311592673</v>
      </c>
      <c r="M4620">
        <v>34.042120812083297</v>
      </c>
      <c r="N4620">
        <v>53.002480573451798</v>
      </c>
      <c r="O4620">
        <v>51.744338033275397</v>
      </c>
      <c r="P4620">
        <v>-0.12333544383352001</v>
      </c>
      <c r="Q4620">
        <v>0.25011889843583701</v>
      </c>
      <c r="R4620">
        <v>0.98133649090687103</v>
      </c>
      <c r="S4620" t="s">
        <v>11072</v>
      </c>
      <c r="T4620" t="s">
        <v>12902</v>
      </c>
      <c r="U4620" t="s">
        <v>12902</v>
      </c>
      <c r="V4620" t="s">
        <v>12902</v>
      </c>
      <c r="W4620" t="s">
        <v>17475</v>
      </c>
      <c r="X4620">
        <v>1</v>
      </c>
      <c r="Y4620" t="s">
        <v>23778</v>
      </c>
      <c r="Z4620" t="s">
        <v>30195</v>
      </c>
      <c r="AA4620">
        <v>0.55185393758848167</v>
      </c>
      <c r="AB4620" t="str">
        <f>HYPERLINK("Melting_Curves/meltCurve_Q8WTX9_ZDHHC1.pdf", "Melting_Curves/meltCurve_Q8WTX9_ZDHHC1.pdf")</f>
        <v>Melting_Curves/meltCurve_Q8WTX9_ZDHHC1.pdf</v>
      </c>
    </row>
    <row r="4621" spans="1:28" x14ac:dyDescent="0.25">
      <c r="A4621" t="s">
        <v>4625</v>
      </c>
      <c r="B4621">
        <v>0.99673306730245903</v>
      </c>
      <c r="C4621">
        <v>0.84377417427143298</v>
      </c>
      <c r="D4621">
        <v>0.67196026730117997</v>
      </c>
      <c r="E4621">
        <v>0.52107243398393399</v>
      </c>
      <c r="F4621">
        <v>0.30392837244723298</v>
      </c>
      <c r="G4621">
        <v>0.20810478236296001</v>
      </c>
      <c r="H4621">
        <v>9.5917327771908006E-2</v>
      </c>
      <c r="I4621">
        <v>6.4703648581558401E-2</v>
      </c>
      <c r="J4621">
        <v>6.38285359851858E-2</v>
      </c>
      <c r="K4621">
        <v>5.5353395687306302E-2</v>
      </c>
      <c r="L4621">
        <v>581.45765609898001</v>
      </c>
      <c r="M4621">
        <v>11.7802398801142</v>
      </c>
      <c r="N4621">
        <v>49.500724929099697</v>
      </c>
      <c r="O4621">
        <v>48.000796992389503</v>
      </c>
      <c r="P4621">
        <v>-6.0350813852771301E-2</v>
      </c>
      <c r="Q4621">
        <v>1.6611843854343101E-2</v>
      </c>
      <c r="R4621">
        <v>0.99442302761380497</v>
      </c>
      <c r="S4621" t="s">
        <v>11073</v>
      </c>
      <c r="T4621" t="s">
        <v>12902</v>
      </c>
      <c r="U4621" t="s">
        <v>12902</v>
      </c>
      <c r="V4621" t="s">
        <v>12902</v>
      </c>
      <c r="W4621" t="s">
        <v>17476</v>
      </c>
      <c r="X4621">
        <v>5</v>
      </c>
      <c r="Y4621" t="s">
        <v>23779</v>
      </c>
      <c r="Z4621" t="s">
        <v>30196</v>
      </c>
      <c r="AA4621">
        <v>0.35982271806323851</v>
      </c>
      <c r="AB4621" t="str">
        <f>HYPERLINK("Melting_Curves/meltCurve_Q8WU10_PYROXD1.pdf", "Melting_Curves/meltCurve_Q8WU10_PYROXD1.pdf")</f>
        <v>Melting_Curves/meltCurve_Q8WU10_PYROXD1.pdf</v>
      </c>
    </row>
    <row r="4622" spans="1:28" x14ac:dyDescent="0.25">
      <c r="A4622" t="s">
        <v>4626</v>
      </c>
      <c r="B4622">
        <v>0.99673306730245903</v>
      </c>
      <c r="C4622">
        <v>0.99799904096220804</v>
      </c>
      <c r="D4622">
        <v>0.852621555340352</v>
      </c>
      <c r="E4622">
        <v>0.53648644009831703</v>
      </c>
      <c r="F4622">
        <v>0.28950470812293</v>
      </c>
      <c r="G4622">
        <v>0.18118807451907501</v>
      </c>
      <c r="H4622">
        <v>0.105262047128865</v>
      </c>
      <c r="I4622">
        <v>7.4268547000496302E-2</v>
      </c>
      <c r="J4622">
        <v>8.12379287583615E-2</v>
      </c>
      <c r="K4622">
        <v>4.6142529768387203E-2</v>
      </c>
      <c r="L4622">
        <v>951.39109012061795</v>
      </c>
      <c r="M4622">
        <v>19.072805227820201</v>
      </c>
      <c r="N4622">
        <v>50.271383690089301</v>
      </c>
      <c r="O4622">
        <v>49.343419951638403</v>
      </c>
      <c r="P4622">
        <v>-9.0002057271573094E-2</v>
      </c>
      <c r="Q4622">
        <v>6.8656143677391507E-2</v>
      </c>
      <c r="R4622">
        <v>0.99732428220810099</v>
      </c>
      <c r="S4622" t="s">
        <v>11074</v>
      </c>
      <c r="T4622" t="s">
        <v>12902</v>
      </c>
      <c r="U4622" t="s">
        <v>12902</v>
      </c>
      <c r="V4622" t="s">
        <v>12902</v>
      </c>
      <c r="W4622" t="s">
        <v>17477</v>
      </c>
      <c r="X4622">
        <v>5</v>
      </c>
      <c r="Y4622" t="s">
        <v>23780</v>
      </c>
      <c r="Z4622" t="s">
        <v>30197</v>
      </c>
      <c r="AA4622">
        <v>0.38967297964722009</v>
      </c>
      <c r="AB4622" t="str">
        <f>HYPERLINK("Melting_Curves/meltCurve_Q8WU79_2_SMAP2.pdf", "Melting_Curves/meltCurve_Q8WU79_2_SMAP2.pdf")</f>
        <v>Melting_Curves/meltCurve_Q8WU79_2_SMAP2.pdf</v>
      </c>
    </row>
    <row r="4623" spans="1:28" x14ac:dyDescent="0.25">
      <c r="A4623" t="s">
        <v>4627</v>
      </c>
      <c r="B4623">
        <v>0.99673306730245903</v>
      </c>
      <c r="C4623">
        <v>0.989690171974281</v>
      </c>
      <c r="D4623">
        <v>1.0540838565394199</v>
      </c>
      <c r="E4623">
        <v>1.0539103994955299</v>
      </c>
      <c r="F4623">
        <v>0.74560824021911798</v>
      </c>
      <c r="G4623">
        <v>0.49228485627497698</v>
      </c>
      <c r="H4623">
        <v>0.28484152098139498</v>
      </c>
      <c r="I4623">
        <v>0.33769199005075601</v>
      </c>
      <c r="J4623">
        <v>0.41796956515637002</v>
      </c>
      <c r="K4623">
        <v>0.44482917942322803</v>
      </c>
      <c r="L4623">
        <v>2188.9374602592602</v>
      </c>
      <c r="M4623">
        <v>40.617910797407497</v>
      </c>
      <c r="N4623">
        <v>55.831164541151502</v>
      </c>
      <c r="O4623">
        <v>53.760807862000497</v>
      </c>
      <c r="P4623">
        <v>-0.117463376547851</v>
      </c>
      <c r="Q4623">
        <v>0.37811536018484398</v>
      </c>
      <c r="R4623">
        <v>0.96880486597507998</v>
      </c>
      <c r="S4623" t="s">
        <v>11075</v>
      </c>
      <c r="T4623" t="s">
        <v>12902</v>
      </c>
      <c r="U4623" t="s">
        <v>12902</v>
      </c>
      <c r="V4623" t="s">
        <v>12902</v>
      </c>
      <c r="W4623" t="s">
        <v>17478</v>
      </c>
      <c r="X4623">
        <v>10</v>
      </c>
      <c r="Y4623" t="s">
        <v>23781</v>
      </c>
      <c r="Z4623" t="s">
        <v>30198</v>
      </c>
      <c r="AA4623">
        <v>0.66830982220905466</v>
      </c>
      <c r="AB4623" t="str">
        <f>HYPERLINK("Melting_Curves/meltCurve_Q8WU90_ZC3H15.pdf", "Melting_Curves/meltCurve_Q8WU90_ZC3H15.pdf")</f>
        <v>Melting_Curves/meltCurve_Q8WU90_ZC3H15.pdf</v>
      </c>
    </row>
    <row r="4624" spans="1:28" x14ac:dyDescent="0.25">
      <c r="A4624" t="s">
        <v>4628</v>
      </c>
      <c r="B4624">
        <v>0.99673306730245903</v>
      </c>
      <c r="C4624">
        <v>0.96145197921999503</v>
      </c>
      <c r="D4624">
        <v>0.86192170268280199</v>
      </c>
      <c r="E4624">
        <v>0.60548828546521305</v>
      </c>
      <c r="F4624">
        <v>0.26325467674293801</v>
      </c>
      <c r="G4624">
        <v>0.16731862717012499</v>
      </c>
      <c r="H4624">
        <v>0.106958523086919</v>
      </c>
      <c r="I4624">
        <v>9.5923429458088599E-2</v>
      </c>
      <c r="J4624">
        <v>0.10574009797780699</v>
      </c>
      <c r="K4624">
        <v>8.4415925257882996E-2</v>
      </c>
      <c r="L4624">
        <v>1064.03661195886</v>
      </c>
      <c r="M4624">
        <v>21.280734020173998</v>
      </c>
      <c r="N4624">
        <v>50.467335554307297</v>
      </c>
      <c r="O4624">
        <v>49.5647743176022</v>
      </c>
      <c r="P4624">
        <v>-9.7741184120285901E-2</v>
      </c>
      <c r="Q4624">
        <v>8.9430839429391895E-2</v>
      </c>
      <c r="R4624">
        <v>0.998689002600051</v>
      </c>
      <c r="S4624" t="s">
        <v>11076</v>
      </c>
      <c r="T4624" t="s">
        <v>12902</v>
      </c>
      <c r="U4624" t="s">
        <v>12902</v>
      </c>
      <c r="V4624" t="s">
        <v>12902</v>
      </c>
      <c r="W4624" t="s">
        <v>17479</v>
      </c>
      <c r="X4624">
        <v>16</v>
      </c>
      <c r="Y4624" t="s">
        <v>23782</v>
      </c>
      <c r="Z4624" t="s">
        <v>30199</v>
      </c>
      <c r="AA4624">
        <v>0.40417616954126329</v>
      </c>
      <c r="AB4624" t="str">
        <f>HYPERLINK("Melting_Curves/meltCurve_Q8WUA2_PPIL4.pdf", "Melting_Curves/meltCurve_Q8WUA2_PPIL4.pdf")</f>
        <v>Melting_Curves/meltCurve_Q8WUA2_PPIL4.pdf</v>
      </c>
    </row>
    <row r="4625" spans="1:28" x14ac:dyDescent="0.25">
      <c r="A4625" t="s">
        <v>4629</v>
      </c>
      <c r="B4625">
        <v>0.99673306730245903</v>
      </c>
      <c r="C4625">
        <v>0.73910079099422898</v>
      </c>
      <c r="D4625">
        <v>0.70910021360594</v>
      </c>
      <c r="E4625">
        <v>0.58696826051926598</v>
      </c>
      <c r="F4625">
        <v>0.36197509372106201</v>
      </c>
      <c r="G4625">
        <v>0.24275540971430901</v>
      </c>
      <c r="H4625">
        <v>0.16743750614973299</v>
      </c>
      <c r="I4625">
        <v>0.17047031996731399</v>
      </c>
      <c r="J4625">
        <v>0.22214603773640901</v>
      </c>
      <c r="K4625">
        <v>0.21789395065589801</v>
      </c>
      <c r="L4625">
        <v>561.89624675165999</v>
      </c>
      <c r="M4625">
        <v>11.615944212565701</v>
      </c>
      <c r="N4625">
        <v>49.910312338846197</v>
      </c>
      <c r="O4625">
        <v>47.005881855376501</v>
      </c>
      <c r="P4625">
        <v>-5.2501823440461899E-2</v>
      </c>
      <c r="Q4625">
        <v>0.15040227299617201</v>
      </c>
      <c r="R4625">
        <v>0.96279126485718303</v>
      </c>
      <c r="S4625" t="s">
        <v>11077</v>
      </c>
      <c r="T4625" t="s">
        <v>12902</v>
      </c>
      <c r="U4625" t="s">
        <v>12902</v>
      </c>
      <c r="V4625" t="s">
        <v>12902</v>
      </c>
      <c r="W4625" t="s">
        <v>17480</v>
      </c>
      <c r="X4625">
        <v>5</v>
      </c>
      <c r="Y4625" t="s">
        <v>23783</v>
      </c>
      <c r="Z4625" t="s">
        <v>30200</v>
      </c>
      <c r="AA4625">
        <v>0.42183601133272242</v>
      </c>
      <c r="AB4625" t="str">
        <f>HYPERLINK("Melting_Curves/meltCurve_Q8WUA4_GTF3C2.pdf", "Melting_Curves/meltCurve_Q8WUA4_GTF3C2.pdf")</f>
        <v>Melting_Curves/meltCurve_Q8WUA4_GTF3C2.pdf</v>
      </c>
    </row>
    <row r="4626" spans="1:28" x14ac:dyDescent="0.25">
      <c r="A4626" t="s">
        <v>4630</v>
      </c>
      <c r="B4626">
        <v>0.99673306730245903</v>
      </c>
      <c r="C4626">
        <v>0.94289729995091598</v>
      </c>
      <c r="D4626">
        <v>0.73314603814754498</v>
      </c>
      <c r="E4626">
        <v>0.63019848983395699</v>
      </c>
      <c r="F4626">
        <v>0.61833521135226899</v>
      </c>
      <c r="G4626">
        <v>0.55138288705471505</v>
      </c>
      <c r="H4626">
        <v>0.449974202642972</v>
      </c>
      <c r="I4626">
        <v>0.37141127692963399</v>
      </c>
      <c r="J4626">
        <v>0.111458147256961</v>
      </c>
      <c r="K4626">
        <v>6.8968361377219095E-2</v>
      </c>
      <c r="L4626">
        <v>408.82572512027798</v>
      </c>
      <c r="M4626">
        <v>7.30684840611766</v>
      </c>
      <c r="N4626">
        <v>55.951034203472403</v>
      </c>
      <c r="O4626">
        <v>52.2172936056987</v>
      </c>
      <c r="P4626">
        <v>-3.5038291400520803E-2</v>
      </c>
      <c r="Q4626">
        <v>0</v>
      </c>
      <c r="R4626">
        <v>0.91728816478916497</v>
      </c>
      <c r="S4626" t="s">
        <v>11078</v>
      </c>
      <c r="T4626" t="s">
        <v>12902</v>
      </c>
      <c r="U4626" t="s">
        <v>12902</v>
      </c>
      <c r="V4626" t="s">
        <v>12902</v>
      </c>
      <c r="W4626" t="s">
        <v>17481</v>
      </c>
      <c r="X4626">
        <v>11</v>
      </c>
      <c r="Y4626" t="s">
        <v>23784</v>
      </c>
      <c r="Z4626" t="s">
        <v>30201</v>
      </c>
      <c r="AA4626">
        <v>0.55075780776569372</v>
      </c>
      <c r="AB4626" t="str">
        <f>HYPERLINK("Melting_Curves/meltCurve_Q8WUD1_RAB2B.pdf", "Melting_Curves/meltCurve_Q8WUD1_RAB2B.pdf")</f>
        <v>Melting_Curves/meltCurve_Q8WUD1_RAB2B.pdf</v>
      </c>
    </row>
    <row r="4627" spans="1:28" x14ac:dyDescent="0.25">
      <c r="A4627" t="s">
        <v>4631</v>
      </c>
      <c r="B4627">
        <v>0.99673306730245903</v>
      </c>
      <c r="C4627">
        <v>0.89090242635885797</v>
      </c>
      <c r="D4627">
        <v>0.706955451057795</v>
      </c>
      <c r="E4627">
        <v>0.42131733538878802</v>
      </c>
      <c r="F4627">
        <v>0.22884442155689499</v>
      </c>
      <c r="G4627">
        <v>0.14799743486576</v>
      </c>
      <c r="H4627">
        <v>9.8679383592491607E-2</v>
      </c>
      <c r="I4627">
        <v>0.114525595445745</v>
      </c>
      <c r="J4627">
        <v>0.15630276506422899</v>
      </c>
      <c r="K4627">
        <v>0.183515131091775</v>
      </c>
      <c r="L4627">
        <v>924.07514442350896</v>
      </c>
      <c r="M4627">
        <v>19.3973104908968</v>
      </c>
      <c r="N4627">
        <v>48.388472703676001</v>
      </c>
      <c r="O4627">
        <v>47.1416866846292</v>
      </c>
      <c r="P4627">
        <v>-8.9528312743417104E-2</v>
      </c>
      <c r="Q4627">
        <v>0.12970199981359001</v>
      </c>
      <c r="R4627">
        <v>0.99355616177390904</v>
      </c>
      <c r="S4627" t="s">
        <v>11079</v>
      </c>
      <c r="T4627" t="s">
        <v>12902</v>
      </c>
      <c r="U4627" t="s">
        <v>12902</v>
      </c>
      <c r="V4627" t="s">
        <v>12902</v>
      </c>
      <c r="W4627" t="s">
        <v>17482</v>
      </c>
      <c r="X4627">
        <v>14</v>
      </c>
      <c r="Y4627" t="s">
        <v>23785</v>
      </c>
      <c r="Z4627" t="s">
        <v>30202</v>
      </c>
      <c r="AA4627">
        <v>0.36464070340015481</v>
      </c>
      <c r="AB4627" t="str">
        <f>HYPERLINK("Melting_Curves/meltCurve_Q8WUF5_PPP1R13L.pdf", "Melting_Curves/meltCurve_Q8WUF5_PPP1R13L.pdf")</f>
        <v>Melting_Curves/meltCurve_Q8WUF5_PPP1R13L.pdf</v>
      </c>
    </row>
    <row r="4628" spans="1:28" x14ac:dyDescent="0.25">
      <c r="A4628" t="s">
        <v>4632</v>
      </c>
      <c r="B4628">
        <v>0.99673306730245903</v>
      </c>
      <c r="C4628">
        <v>0.96342658178308904</v>
      </c>
      <c r="D4628">
        <v>0.90504740270021999</v>
      </c>
      <c r="E4628">
        <v>0.80072502847633797</v>
      </c>
      <c r="F4628">
        <v>0.40729883151037599</v>
      </c>
      <c r="G4628">
        <v>0.219816008292119</v>
      </c>
      <c r="H4628">
        <v>0.13124572294634701</v>
      </c>
      <c r="I4628">
        <v>0.12485090325991199</v>
      </c>
      <c r="J4628">
        <v>0.157554090246142</v>
      </c>
      <c r="K4628">
        <v>0.15886059469597899</v>
      </c>
      <c r="L4628">
        <v>1296.9343546940299</v>
      </c>
      <c r="M4628">
        <v>25.106730753721902</v>
      </c>
      <c r="N4628">
        <v>52.317679602782</v>
      </c>
      <c r="O4628">
        <v>51.332466581555899</v>
      </c>
      <c r="P4628">
        <v>-0.105661488117771</v>
      </c>
      <c r="Q4628">
        <v>0.135882239777526</v>
      </c>
      <c r="R4628">
        <v>0.994816316703795</v>
      </c>
      <c r="S4628" t="s">
        <v>11080</v>
      </c>
      <c r="T4628" t="s">
        <v>12902</v>
      </c>
      <c r="U4628" t="s">
        <v>12902</v>
      </c>
      <c r="V4628" t="s">
        <v>12902</v>
      </c>
      <c r="W4628" t="s">
        <v>17483</v>
      </c>
      <c r="X4628">
        <v>5</v>
      </c>
      <c r="Y4628" t="s">
        <v>23786</v>
      </c>
      <c r="Z4628" t="s">
        <v>30203</v>
      </c>
      <c r="AA4628">
        <v>0.47944160678704811</v>
      </c>
      <c r="AB4628" t="str">
        <f>HYPERLINK("Melting_Curves/meltCurve_Q8WUF8_3_FAM172A.pdf", "Melting_Curves/meltCurve_Q8WUF8_3_FAM172A.pdf")</f>
        <v>Melting_Curves/meltCurve_Q8WUF8_3_FAM172A.pdf</v>
      </c>
    </row>
    <row r="4629" spans="1:28" x14ac:dyDescent="0.25">
      <c r="A4629" t="s">
        <v>4633</v>
      </c>
      <c r="B4629">
        <v>0.99673306730245903</v>
      </c>
      <c r="C4629">
        <v>1.01595891085726</v>
      </c>
      <c r="D4629">
        <v>0.99256382909307606</v>
      </c>
      <c r="E4629">
        <v>0.81561800281158403</v>
      </c>
      <c r="F4629">
        <v>0.41765219157526901</v>
      </c>
      <c r="G4629">
        <v>0.23837716948649201</v>
      </c>
      <c r="H4629">
        <v>0.13361836650574799</v>
      </c>
      <c r="I4629">
        <v>0.19303666076424</v>
      </c>
      <c r="J4629">
        <v>0.207682161090887</v>
      </c>
      <c r="K4629">
        <v>0.24291875984085801</v>
      </c>
      <c r="L4629">
        <v>1653.4126704436101</v>
      </c>
      <c r="M4629">
        <v>32.074283745266001</v>
      </c>
      <c r="N4629">
        <v>52.352221851079001</v>
      </c>
      <c r="O4629">
        <v>51.350339987856302</v>
      </c>
      <c r="P4629">
        <v>-0.12582293378871601</v>
      </c>
      <c r="Q4629">
        <v>0.194243242060122</v>
      </c>
      <c r="R4629">
        <v>0.99427666702440598</v>
      </c>
      <c r="S4629" t="s">
        <v>11081</v>
      </c>
      <c r="T4629" t="s">
        <v>12902</v>
      </c>
      <c r="U4629" t="s">
        <v>12902</v>
      </c>
      <c r="V4629" t="s">
        <v>12902</v>
      </c>
      <c r="W4629" t="s">
        <v>17484</v>
      </c>
      <c r="X4629">
        <v>4</v>
      </c>
      <c r="Y4629" t="s">
        <v>23787</v>
      </c>
      <c r="Z4629" t="s">
        <v>30204</v>
      </c>
      <c r="AA4629">
        <v>0.50891840727848769</v>
      </c>
      <c r="AB4629" t="str">
        <f>HYPERLINK("Melting_Curves/meltCurve_Q8WUH6_C12orf23.pdf", "Melting_Curves/meltCurve_Q8WUH6_C12orf23.pdf")</f>
        <v>Melting_Curves/meltCurve_Q8WUH6_C12orf23.pdf</v>
      </c>
    </row>
    <row r="4630" spans="1:28" x14ac:dyDescent="0.25">
      <c r="A4630" t="s">
        <v>4634</v>
      </c>
      <c r="B4630">
        <v>0.99673306730245903</v>
      </c>
      <c r="C4630">
        <v>1.0772027543937801</v>
      </c>
      <c r="D4630">
        <v>0.95474232277625803</v>
      </c>
      <c r="E4630">
        <v>0.81581033691506399</v>
      </c>
      <c r="F4630">
        <v>0.407492524679201</v>
      </c>
      <c r="G4630">
        <v>0.26928804513466797</v>
      </c>
      <c r="H4630">
        <v>0.187315369566317</v>
      </c>
      <c r="I4630">
        <v>0.16646105581315701</v>
      </c>
      <c r="J4630">
        <v>0.19627787105035799</v>
      </c>
      <c r="K4630">
        <v>0.187825593036933</v>
      </c>
      <c r="L4630">
        <v>1500.86921510906</v>
      </c>
      <c r="M4630">
        <v>29.101813620629301</v>
      </c>
      <c r="N4630">
        <v>52.411099768936197</v>
      </c>
      <c r="O4630">
        <v>51.331348209891402</v>
      </c>
      <c r="P4630">
        <v>-0.115367324597292</v>
      </c>
      <c r="Q4630">
        <v>0.186041251984361</v>
      </c>
      <c r="R4630">
        <v>0.99345253513389697</v>
      </c>
      <c r="S4630" t="s">
        <v>11082</v>
      </c>
      <c r="T4630" t="s">
        <v>12902</v>
      </c>
      <c r="U4630" t="s">
        <v>12902</v>
      </c>
      <c r="V4630" t="s">
        <v>12902</v>
      </c>
      <c r="W4630" t="s">
        <v>17485</v>
      </c>
      <c r="X4630">
        <v>2</v>
      </c>
      <c r="Y4630" t="s">
        <v>23788</v>
      </c>
      <c r="Z4630" t="s">
        <v>30205</v>
      </c>
      <c r="AA4630">
        <v>0.5055282098410363</v>
      </c>
      <c r="AB4630" t="str">
        <f>HYPERLINK("Melting_Curves/meltCurve_Q8WUJ0_STYX.pdf", "Melting_Curves/meltCurve_Q8WUJ0_STYX.pdf")</f>
        <v>Melting_Curves/meltCurve_Q8WUJ0_STYX.pdf</v>
      </c>
    </row>
    <row r="4631" spans="1:28" x14ac:dyDescent="0.25">
      <c r="A4631" t="s">
        <v>4635</v>
      </c>
      <c r="B4631">
        <v>0.99673306730245903</v>
      </c>
      <c r="C4631">
        <v>1.0460153272399599</v>
      </c>
      <c r="D4631">
        <v>0.99163930927794397</v>
      </c>
      <c r="E4631">
        <v>0.75180864352972598</v>
      </c>
      <c r="F4631">
        <v>0.58991652002181605</v>
      </c>
      <c r="G4631">
        <v>0.31032999254809901</v>
      </c>
      <c r="H4631">
        <v>0.23964874396057001</v>
      </c>
      <c r="I4631">
        <v>0.164239963118857</v>
      </c>
      <c r="J4631">
        <v>0.23837144273135699</v>
      </c>
      <c r="K4631">
        <v>0.19904360809516</v>
      </c>
      <c r="L4631">
        <v>1051.5488121701901</v>
      </c>
      <c r="M4631">
        <v>20.0237520733317</v>
      </c>
      <c r="N4631">
        <v>53.779563901043304</v>
      </c>
      <c r="O4631">
        <v>51.999697638031101</v>
      </c>
      <c r="P4631">
        <v>-7.8196557363544403E-2</v>
      </c>
      <c r="Q4631">
        <v>0.18775123021784901</v>
      </c>
      <c r="R4631">
        <v>0.98820737524747804</v>
      </c>
      <c r="S4631" t="s">
        <v>11083</v>
      </c>
      <c r="T4631" t="s">
        <v>12902</v>
      </c>
      <c r="U4631" t="s">
        <v>12902</v>
      </c>
      <c r="V4631" t="s">
        <v>12902</v>
      </c>
      <c r="W4631" t="s">
        <v>17486</v>
      </c>
      <c r="X4631">
        <v>1</v>
      </c>
      <c r="Y4631" t="s">
        <v>23789</v>
      </c>
      <c r="Z4631" t="s">
        <v>30206</v>
      </c>
      <c r="AA4631">
        <v>0.53778415789920042</v>
      </c>
      <c r="AB4631" t="str">
        <f>HYPERLINK("Melting_Curves/meltCurve_Q8WUJ3_2_KIAA1199.pdf", "Melting_Curves/meltCurve_Q8WUJ3_2_KIAA1199.pdf")</f>
        <v>Melting_Curves/meltCurve_Q8WUJ3_2_KIAA1199.pdf</v>
      </c>
    </row>
    <row r="4632" spans="1:28" x14ac:dyDescent="0.25">
      <c r="A4632" t="s">
        <v>4636</v>
      </c>
      <c r="B4632">
        <v>0.99673306730245903</v>
      </c>
      <c r="C4632">
        <v>1.0668619346853501</v>
      </c>
      <c r="D4632">
        <v>0.40003648419458399</v>
      </c>
      <c r="E4632">
        <v>0.57408959940215698</v>
      </c>
      <c r="F4632">
        <v>0.18287975592556399</v>
      </c>
      <c r="G4632">
        <v>7.5507426155395893E-2</v>
      </c>
      <c r="H4632">
        <v>4.0221557661247902E-2</v>
      </c>
      <c r="I4632">
        <v>3.6132920504508101E-2</v>
      </c>
      <c r="J4632">
        <v>3.7469162731202203E-2</v>
      </c>
      <c r="K4632">
        <v>3.1807995454566702E-2</v>
      </c>
      <c r="L4632">
        <v>725.59771356891497</v>
      </c>
      <c r="M4632">
        <v>15.0716433988344</v>
      </c>
      <c r="N4632">
        <v>48.240393535721402</v>
      </c>
      <c r="O4632">
        <v>47.319545681850599</v>
      </c>
      <c r="P4632">
        <v>-7.8444380213867598E-2</v>
      </c>
      <c r="Q4632">
        <v>1.49490156065677E-2</v>
      </c>
      <c r="R4632">
        <v>0.89932604478612099</v>
      </c>
      <c r="S4632" t="s">
        <v>11084</v>
      </c>
      <c r="T4632" t="s">
        <v>12902</v>
      </c>
      <c r="U4632" t="s">
        <v>12902</v>
      </c>
      <c r="V4632" t="s">
        <v>12902</v>
      </c>
      <c r="W4632" t="s">
        <v>17487</v>
      </c>
      <c r="X4632">
        <v>6</v>
      </c>
      <c r="Y4632" t="s">
        <v>23790</v>
      </c>
      <c r="Z4632" t="s">
        <v>30207</v>
      </c>
      <c r="AA4632">
        <v>0.30727877388358282</v>
      </c>
      <c r="AB4632" t="str">
        <f>HYPERLINK("Melting_Curves/meltCurve_Q8WUK0_PTPMT1.pdf", "Melting_Curves/meltCurve_Q8WUK0_PTPMT1.pdf")</f>
        <v>Melting_Curves/meltCurve_Q8WUK0_PTPMT1.pdf</v>
      </c>
    </row>
    <row r="4633" spans="1:28" x14ac:dyDescent="0.25">
      <c r="A4633" t="s">
        <v>4637</v>
      </c>
      <c r="B4633">
        <v>0.99673306730245903</v>
      </c>
      <c r="C4633">
        <v>0.91513118175928798</v>
      </c>
      <c r="D4633">
        <v>0.86462196524461798</v>
      </c>
      <c r="E4633">
        <v>0.82709697125909099</v>
      </c>
      <c r="F4633">
        <v>0.32272225122430798</v>
      </c>
      <c r="G4633">
        <v>0.23055370033702</v>
      </c>
      <c r="H4633">
        <v>0.13830908140149001</v>
      </c>
      <c r="I4633">
        <v>0.13201644515630201</v>
      </c>
      <c r="J4633">
        <v>0.16250748491456801</v>
      </c>
      <c r="K4633">
        <v>0.12250571216039199</v>
      </c>
      <c r="L4633">
        <v>1543.9108552520399</v>
      </c>
      <c r="M4633">
        <v>30.068529744869299</v>
      </c>
      <c r="N4633">
        <v>51.918857511150897</v>
      </c>
      <c r="O4633">
        <v>51.120909997569697</v>
      </c>
      <c r="P4633">
        <v>-0.12630009964168901</v>
      </c>
      <c r="Q4633">
        <v>0.14109099914397399</v>
      </c>
      <c r="R4633">
        <v>0.97967381580801205</v>
      </c>
      <c r="S4633" t="s">
        <v>11085</v>
      </c>
      <c r="T4633" t="s">
        <v>12902</v>
      </c>
      <c r="U4633" t="s">
        <v>12902</v>
      </c>
      <c r="V4633" t="s">
        <v>12902</v>
      </c>
      <c r="W4633" t="s">
        <v>17488</v>
      </c>
      <c r="X4633">
        <v>8</v>
      </c>
      <c r="Y4633" t="s">
        <v>23791</v>
      </c>
      <c r="Z4633" t="s">
        <v>30208</v>
      </c>
      <c r="AA4633">
        <v>0.47134821395145871</v>
      </c>
      <c r="AB4633" t="str">
        <f>HYPERLINK("Melting_Curves/meltCurve_Q8WUM0_NUP133.pdf", "Melting_Curves/meltCurve_Q8WUM0_NUP133.pdf")</f>
        <v>Melting_Curves/meltCurve_Q8WUM0_NUP133.pdf</v>
      </c>
    </row>
    <row r="4634" spans="1:28" x14ac:dyDescent="0.25">
      <c r="A4634" t="s">
        <v>4638</v>
      </c>
      <c r="B4634">
        <v>0.99673306730245903</v>
      </c>
      <c r="C4634">
        <v>1.06897337224119</v>
      </c>
      <c r="D4634">
        <v>0.57408414724315704</v>
      </c>
      <c r="E4634">
        <v>0.177942984862933</v>
      </c>
      <c r="F4634">
        <v>0.10978397723031599</v>
      </c>
      <c r="G4634">
        <v>6.6095236728500803E-2</v>
      </c>
      <c r="H4634">
        <v>4.7850382826267898E-2</v>
      </c>
      <c r="I4634">
        <v>4.5289150959166698E-2</v>
      </c>
      <c r="J4634">
        <v>5.1973106700926301E-2</v>
      </c>
      <c r="K4634">
        <v>5.0004373361571097E-2</v>
      </c>
      <c r="L4634">
        <v>1939.4044601789201</v>
      </c>
      <c r="M4634">
        <v>41.872717800669399</v>
      </c>
      <c r="N4634">
        <v>46.4797152284468</v>
      </c>
      <c r="O4634">
        <v>46.211384666729401</v>
      </c>
      <c r="P4634">
        <v>-0.21105537917398901</v>
      </c>
      <c r="Q4634">
        <v>6.8305367084475502E-2</v>
      </c>
      <c r="R4634">
        <v>0.98879484039904897</v>
      </c>
      <c r="S4634" t="s">
        <v>11086</v>
      </c>
      <c r="T4634" t="s">
        <v>12902</v>
      </c>
      <c r="U4634" t="s">
        <v>12902</v>
      </c>
      <c r="V4634" t="s">
        <v>12902</v>
      </c>
      <c r="W4634" t="s">
        <v>17489</v>
      </c>
      <c r="X4634">
        <v>52</v>
      </c>
      <c r="Y4634" t="s">
        <v>23792</v>
      </c>
      <c r="Z4634" t="s">
        <v>30209</v>
      </c>
      <c r="AA4634">
        <v>0.26723234472359819</v>
      </c>
      <c r="AB4634" t="str">
        <f>HYPERLINK("Melting_Curves/meltCurve_Q8WUM4_PDCD6IP.pdf", "Melting_Curves/meltCurve_Q8WUM4_PDCD6IP.pdf")</f>
        <v>Melting_Curves/meltCurve_Q8WUM4_PDCD6IP.pdf</v>
      </c>
    </row>
    <row r="4635" spans="1:28" x14ac:dyDescent="0.25">
      <c r="A4635" t="s">
        <v>4639</v>
      </c>
      <c r="B4635">
        <v>0.99673306730245903</v>
      </c>
      <c r="C4635">
        <v>0.99907261299458505</v>
      </c>
      <c r="D4635">
        <v>0.96982560087479297</v>
      </c>
      <c r="E4635">
        <v>0.80338510493244697</v>
      </c>
      <c r="F4635">
        <v>0.65777797493668999</v>
      </c>
      <c r="G4635">
        <v>0.405220897726908</v>
      </c>
      <c r="H4635">
        <v>0.214622236499766</v>
      </c>
      <c r="I4635">
        <v>0.212050908238133</v>
      </c>
      <c r="J4635">
        <v>0.23278632870347399</v>
      </c>
      <c r="K4635">
        <v>0.23654155516033401</v>
      </c>
      <c r="L4635">
        <v>1004.00114436116</v>
      </c>
      <c r="M4635">
        <v>18.770432222351701</v>
      </c>
      <c r="N4635">
        <v>54.934330955258098</v>
      </c>
      <c r="O4635">
        <v>52.892429471554301</v>
      </c>
      <c r="P4635">
        <v>-7.14292809127825E-2</v>
      </c>
      <c r="Q4635">
        <v>0.194923115097415</v>
      </c>
      <c r="R4635">
        <v>0.99190260013313902</v>
      </c>
      <c r="S4635" t="s">
        <v>11087</v>
      </c>
      <c r="T4635" t="s">
        <v>12902</v>
      </c>
      <c r="U4635" t="s">
        <v>12902</v>
      </c>
      <c r="V4635" t="s">
        <v>12902</v>
      </c>
      <c r="W4635" t="s">
        <v>17490</v>
      </c>
      <c r="X4635">
        <v>4</v>
      </c>
      <c r="Y4635" t="s">
        <v>23793</v>
      </c>
      <c r="Z4635" t="s">
        <v>30210</v>
      </c>
      <c r="AA4635">
        <v>0.5691149765293313</v>
      </c>
      <c r="AB4635" t="str">
        <f>HYPERLINK("Melting_Curves/meltCurve_Q8WUN7_UBTD2.pdf", "Melting_Curves/meltCurve_Q8WUN7_UBTD2.pdf")</f>
        <v>Melting_Curves/meltCurve_Q8WUN7_UBTD2.pdf</v>
      </c>
    </row>
    <row r="4636" spans="1:28" x14ac:dyDescent="0.25">
      <c r="A4636" t="s">
        <v>4640</v>
      </c>
      <c r="B4636">
        <v>0.99673306730245903</v>
      </c>
      <c r="C4636">
        <v>0.99044903994650901</v>
      </c>
      <c r="D4636">
        <v>0.96382877783594501</v>
      </c>
      <c r="E4636">
        <v>0.77919741542641596</v>
      </c>
      <c r="F4636">
        <v>0.57525311008047897</v>
      </c>
      <c r="G4636">
        <v>0.42251885854569499</v>
      </c>
      <c r="H4636">
        <v>0.25825643315595798</v>
      </c>
      <c r="I4636">
        <v>0.16695532097549201</v>
      </c>
      <c r="J4636">
        <v>0.20009049385335601</v>
      </c>
      <c r="K4636">
        <v>0.265339916073072</v>
      </c>
      <c r="L4636">
        <v>897.67025968153496</v>
      </c>
      <c r="M4636">
        <v>16.962151616136399</v>
      </c>
      <c r="N4636">
        <v>54.462940180877602</v>
      </c>
      <c r="O4636">
        <v>52.202831225996</v>
      </c>
      <c r="P4636">
        <v>-6.5754361752759102E-2</v>
      </c>
      <c r="Q4636">
        <v>0.190586590657988</v>
      </c>
      <c r="R4636">
        <v>0.98977539047991103</v>
      </c>
      <c r="S4636" t="s">
        <v>11088</v>
      </c>
      <c r="T4636" t="s">
        <v>12902</v>
      </c>
      <c r="U4636" t="s">
        <v>12902</v>
      </c>
      <c r="V4636" t="s">
        <v>12902</v>
      </c>
      <c r="W4636" t="s">
        <v>17491</v>
      </c>
      <c r="X4636">
        <v>9</v>
      </c>
      <c r="Y4636" t="s">
        <v>23794</v>
      </c>
      <c r="Z4636" t="s">
        <v>30211</v>
      </c>
      <c r="AA4636">
        <v>0.55380327707925214</v>
      </c>
      <c r="AB4636" t="str">
        <f>HYPERLINK("Melting_Curves/meltCurve_Q8WUP2_FBLIM1.pdf", "Melting_Curves/meltCurve_Q8WUP2_FBLIM1.pdf")</f>
        <v>Melting_Curves/meltCurve_Q8WUP2_FBLIM1.pdf</v>
      </c>
    </row>
    <row r="4637" spans="1:28" x14ac:dyDescent="0.25">
      <c r="A4637" t="s">
        <v>4641</v>
      </c>
      <c r="B4637">
        <v>0.99673306730245903</v>
      </c>
      <c r="C4637">
        <v>1.0122689865035699</v>
      </c>
      <c r="D4637">
        <v>0.96279829139727202</v>
      </c>
      <c r="E4637">
        <v>0.95430870633618403</v>
      </c>
      <c r="F4637">
        <v>1.00196947937703</v>
      </c>
      <c r="G4637">
        <v>0.88548325039151599</v>
      </c>
      <c r="H4637">
        <v>0.61382613375977102</v>
      </c>
      <c r="I4637">
        <v>0.78590550546966398</v>
      </c>
      <c r="J4637">
        <v>1.10358290005769</v>
      </c>
      <c r="K4637">
        <v>1.00415967325031</v>
      </c>
      <c r="L4637">
        <v>14053.044111392999</v>
      </c>
      <c r="M4637">
        <v>250</v>
      </c>
      <c r="O4637">
        <v>56.208579122169397</v>
      </c>
      <c r="P4637">
        <v>-0.13691353681940499</v>
      </c>
      <c r="Q4637">
        <v>0.87686855401275499</v>
      </c>
      <c r="R4637">
        <v>0.15683542181164301</v>
      </c>
      <c r="S4637" t="s">
        <v>11089</v>
      </c>
      <c r="T4637" t="s">
        <v>12902</v>
      </c>
      <c r="U4637" t="s">
        <v>12902</v>
      </c>
      <c r="V4637" t="s">
        <v>12902</v>
      </c>
      <c r="W4637" t="s">
        <v>17492</v>
      </c>
      <c r="X4637">
        <v>4</v>
      </c>
      <c r="Y4637" t="s">
        <v>23795</v>
      </c>
      <c r="Z4637" t="s">
        <v>30212</v>
      </c>
      <c r="AA4637">
        <v>0.94342165872541406</v>
      </c>
      <c r="AB4637" t="str">
        <f>HYPERLINK("Melting_Curves/meltCurve_Q8WUR7_C15orf40.pdf", "Melting_Curves/meltCurve_Q8WUR7_C15orf40.pdf")</f>
        <v>Melting_Curves/meltCurve_Q8WUR7_C15orf40.pdf</v>
      </c>
    </row>
    <row r="4638" spans="1:28" x14ac:dyDescent="0.25">
      <c r="A4638" t="s">
        <v>4642</v>
      </c>
      <c r="B4638">
        <v>0.99673306730245903</v>
      </c>
      <c r="C4638">
        <v>1.0605672263008901</v>
      </c>
      <c r="D4638">
        <v>0.99276612834782996</v>
      </c>
      <c r="E4638">
        <v>0.92158093905271798</v>
      </c>
      <c r="F4638">
        <v>0.43859199538320198</v>
      </c>
      <c r="G4638">
        <v>0.161541925949162</v>
      </c>
      <c r="H4638">
        <v>8.92945860476584E-2</v>
      </c>
      <c r="I4638">
        <v>8.1642151797898799E-2</v>
      </c>
      <c r="J4638">
        <v>4.1319254743885703E-2</v>
      </c>
      <c r="K4638">
        <v>2.0859510473034901E-2</v>
      </c>
      <c r="L4638">
        <v>1787.54703873571</v>
      </c>
      <c r="M4638">
        <v>33.913911211438702</v>
      </c>
      <c r="N4638">
        <v>52.9046910344086</v>
      </c>
      <c r="O4638">
        <v>52.5261182076366</v>
      </c>
      <c r="P4638">
        <v>-0.15187136776187399</v>
      </c>
      <c r="Q4638">
        <v>5.9125741508003198E-2</v>
      </c>
      <c r="R4638">
        <v>0.99580050279421495</v>
      </c>
      <c r="S4638" t="s">
        <v>11090</v>
      </c>
      <c r="T4638" t="s">
        <v>12902</v>
      </c>
      <c r="U4638" t="s">
        <v>12902</v>
      </c>
      <c r="V4638" t="s">
        <v>12902</v>
      </c>
      <c r="W4638" t="s">
        <v>17493</v>
      </c>
      <c r="X4638">
        <v>4</v>
      </c>
      <c r="Y4638" t="s">
        <v>23796</v>
      </c>
      <c r="Z4638" t="s">
        <v>30213</v>
      </c>
      <c r="AA4638">
        <v>0.46245757545235</v>
      </c>
      <c r="AB4638" t="str">
        <f>HYPERLINK("Melting_Curves/meltCurve_Q8WUX2_CHAC2.pdf", "Melting_Curves/meltCurve_Q8WUX2_CHAC2.pdf")</f>
        <v>Melting_Curves/meltCurve_Q8WUX2_CHAC2.pdf</v>
      </c>
    </row>
    <row r="4639" spans="1:28" x14ac:dyDescent="0.25">
      <c r="A4639" t="s">
        <v>4643</v>
      </c>
      <c r="B4639">
        <v>0.99673306730245903</v>
      </c>
      <c r="C4639">
        <v>0.98622911287804005</v>
      </c>
      <c r="D4639">
        <v>0.73697004552871803</v>
      </c>
      <c r="E4639">
        <v>0.30300274988903497</v>
      </c>
      <c r="F4639">
        <v>0.19747797356494901</v>
      </c>
      <c r="G4639">
        <v>0.124987720032292</v>
      </c>
      <c r="H4639">
        <v>6.9953431583549094E-2</v>
      </c>
      <c r="I4639">
        <v>6.1224123884170499E-2</v>
      </c>
      <c r="J4639">
        <v>5.7884736702479199E-2</v>
      </c>
      <c r="K4639">
        <v>4.8284558457032202E-2</v>
      </c>
      <c r="L4639">
        <v>1189.2626202835399</v>
      </c>
      <c r="M4639">
        <v>24.9210513398499</v>
      </c>
      <c r="N4639">
        <v>48.030770781778202</v>
      </c>
      <c r="O4639">
        <v>47.417111136899898</v>
      </c>
      <c r="P4639">
        <v>-0.12164648085944001</v>
      </c>
      <c r="Q4639">
        <v>7.4188956397024997E-2</v>
      </c>
      <c r="R4639">
        <v>0.99409874913559704</v>
      </c>
      <c r="S4639" t="s">
        <v>11091</v>
      </c>
      <c r="T4639" t="s">
        <v>12902</v>
      </c>
      <c r="U4639" t="s">
        <v>12902</v>
      </c>
      <c r="V4639" t="s">
        <v>12902</v>
      </c>
      <c r="W4639" t="s">
        <v>17494</v>
      </c>
      <c r="X4639">
        <v>6</v>
      </c>
      <c r="Y4639" t="s">
        <v>23797</v>
      </c>
      <c r="Z4639" t="s">
        <v>30214</v>
      </c>
      <c r="AA4639">
        <v>0.32071633737423449</v>
      </c>
      <c r="AB4639" t="str">
        <f>HYPERLINK("Melting_Curves/meltCurve_Q8WUX9_CHMP7.pdf", "Melting_Curves/meltCurve_Q8WUX9_CHMP7.pdf")</f>
        <v>Melting_Curves/meltCurve_Q8WUX9_CHMP7.pdf</v>
      </c>
    </row>
    <row r="4640" spans="1:28" x14ac:dyDescent="0.25">
      <c r="A4640" t="s">
        <v>4644</v>
      </c>
      <c r="B4640">
        <v>0.99673306730245903</v>
      </c>
      <c r="C4640">
        <v>0.94233668198784004</v>
      </c>
      <c r="D4640">
        <v>0.89070583522797597</v>
      </c>
      <c r="E4640">
        <v>0.75917022213419105</v>
      </c>
      <c r="F4640">
        <v>0.67764338614748698</v>
      </c>
      <c r="G4640">
        <v>0.57203283875607402</v>
      </c>
      <c r="H4640">
        <v>0.53003726805906703</v>
      </c>
      <c r="I4640">
        <v>0.67064806760167694</v>
      </c>
      <c r="J4640">
        <v>0.67533049635928699</v>
      </c>
      <c r="K4640">
        <v>0.61265120049438704</v>
      </c>
      <c r="L4640">
        <v>969.44775266716397</v>
      </c>
      <c r="M4640">
        <v>20.162266967139001</v>
      </c>
      <c r="O4640">
        <v>47.616779996335403</v>
      </c>
      <c r="P4640">
        <v>-4.1119534395254301E-2</v>
      </c>
      <c r="Q4640">
        <v>0.611567866813718</v>
      </c>
      <c r="R4640">
        <v>0.91761125493956797</v>
      </c>
      <c r="S4640" t="s">
        <v>11092</v>
      </c>
      <c r="T4640" t="s">
        <v>12902</v>
      </c>
      <c r="U4640" t="s">
        <v>12902</v>
      </c>
      <c r="V4640" t="s">
        <v>12902</v>
      </c>
      <c r="W4640" t="s">
        <v>17495</v>
      </c>
      <c r="X4640">
        <v>16</v>
      </c>
      <c r="Y4640" t="s">
        <v>23798</v>
      </c>
      <c r="Z4640" t="s">
        <v>30215</v>
      </c>
      <c r="AA4640">
        <v>0.72163280135613583</v>
      </c>
      <c r="AB4640" t="str">
        <f>HYPERLINK("Melting_Curves/meltCurve_Q8WUY1_THEM6.pdf", "Melting_Curves/meltCurve_Q8WUY1_THEM6.pdf")</f>
        <v>Melting_Curves/meltCurve_Q8WUY1_THEM6.pdf</v>
      </c>
    </row>
    <row r="4641" spans="1:28" x14ac:dyDescent="0.25">
      <c r="A4641" t="s">
        <v>4645</v>
      </c>
      <c r="B4641">
        <v>0.99673306730245903</v>
      </c>
      <c r="C4641">
        <v>0.96902912518939099</v>
      </c>
      <c r="D4641">
        <v>0.80294775021556797</v>
      </c>
      <c r="E4641">
        <v>0.61036171506443604</v>
      </c>
      <c r="F4641">
        <v>0.261760264526818</v>
      </c>
      <c r="G4641">
        <v>0.16524083226799599</v>
      </c>
      <c r="H4641">
        <v>0.103515133061994</v>
      </c>
      <c r="I4641">
        <v>8.5233536724834094E-2</v>
      </c>
      <c r="J4641">
        <v>9.2720809875326896E-2</v>
      </c>
      <c r="K4641">
        <v>8.5708144299785002E-2</v>
      </c>
      <c r="L4641">
        <v>939.60258633373098</v>
      </c>
      <c r="M4641">
        <v>18.825695382966</v>
      </c>
      <c r="N4641">
        <v>50.350223723038098</v>
      </c>
      <c r="O4641">
        <v>49.357700049560499</v>
      </c>
      <c r="P4641">
        <v>-8.8131133054744501E-2</v>
      </c>
      <c r="Q4641">
        <v>7.5780149594571397E-2</v>
      </c>
      <c r="R4641">
        <v>0.99607574661785503</v>
      </c>
      <c r="S4641" t="s">
        <v>11093</v>
      </c>
      <c r="T4641" t="s">
        <v>12902</v>
      </c>
      <c r="U4641" t="s">
        <v>12902</v>
      </c>
      <c r="V4641" t="s">
        <v>12902</v>
      </c>
      <c r="W4641" t="s">
        <v>17496</v>
      </c>
      <c r="X4641">
        <v>6</v>
      </c>
      <c r="Y4641" t="s">
        <v>23799</v>
      </c>
      <c r="Z4641" t="s">
        <v>30216</v>
      </c>
      <c r="AA4641">
        <v>0.39557892894459529</v>
      </c>
      <c r="AB4641" t="str">
        <f>HYPERLINK("Melting_Curves/meltCurve_Q8WUY8_NAT14.pdf", "Melting_Curves/meltCurve_Q8WUY8_NAT14.pdf")</f>
        <v>Melting_Curves/meltCurve_Q8WUY8_NAT14.pdf</v>
      </c>
    </row>
    <row r="4642" spans="1:28" x14ac:dyDescent="0.25">
      <c r="A4642" t="s">
        <v>4646</v>
      </c>
      <c r="B4642">
        <v>0.99673306730245903</v>
      </c>
      <c r="C4642">
        <v>0.97176359776710897</v>
      </c>
      <c r="D4642">
        <v>0.888232086444391</v>
      </c>
      <c r="E4642">
        <v>0.823777893415921</v>
      </c>
      <c r="F4642">
        <v>0.39626113130059398</v>
      </c>
      <c r="G4642">
        <v>0.233644210935292</v>
      </c>
      <c r="H4642">
        <v>0.14169917592020301</v>
      </c>
      <c r="I4642">
        <v>9.8693296061907396E-2</v>
      </c>
      <c r="J4642">
        <v>5.0116688041250697E-2</v>
      </c>
      <c r="K4642">
        <v>6.1193276167284601E-2</v>
      </c>
      <c r="L4642">
        <v>1068.3623739858299</v>
      </c>
      <c r="M4642">
        <v>20.4608041451412</v>
      </c>
      <c r="N4642">
        <v>52.576707003725602</v>
      </c>
      <c r="O4642">
        <v>51.723977777092799</v>
      </c>
      <c r="P4642">
        <v>-9.2405554221948502E-2</v>
      </c>
      <c r="Q4642">
        <v>6.5639723164209907E-2</v>
      </c>
      <c r="R4642">
        <v>0.99221947575611802</v>
      </c>
      <c r="S4642" t="s">
        <v>11094</v>
      </c>
      <c r="T4642" t="s">
        <v>12902</v>
      </c>
      <c r="U4642" t="s">
        <v>12902</v>
      </c>
      <c r="V4642" t="s">
        <v>12902</v>
      </c>
      <c r="W4642" t="s">
        <v>17497</v>
      </c>
      <c r="X4642">
        <v>3</v>
      </c>
      <c r="Y4642" t="s">
        <v>23800</v>
      </c>
      <c r="Z4642" t="s">
        <v>30217</v>
      </c>
      <c r="AA4642">
        <v>0.45848591346208922</v>
      </c>
      <c r="AB4642" t="str">
        <f>HYPERLINK("Melting_Curves/meltCurve_Q8WV22_NSMCE1.pdf", "Melting_Curves/meltCurve_Q8WV22_NSMCE1.pdf")</f>
        <v>Melting_Curves/meltCurve_Q8WV22_NSMCE1.pdf</v>
      </c>
    </row>
    <row r="4643" spans="1:28" x14ac:dyDescent="0.25">
      <c r="A4643" t="s">
        <v>4647</v>
      </c>
      <c r="B4643">
        <v>0.99673306730245903</v>
      </c>
      <c r="C4643">
        <v>0.94215602186332803</v>
      </c>
      <c r="D4643">
        <v>0.96181617943025</v>
      </c>
      <c r="E4643">
        <v>0.87899610110732596</v>
      </c>
      <c r="F4643">
        <v>0.65068538813493504</v>
      </c>
      <c r="G4643">
        <v>0.58557997711106902</v>
      </c>
      <c r="H4643">
        <v>0.20022652513556199</v>
      </c>
      <c r="I4643">
        <v>3.7656185979925899E-2</v>
      </c>
      <c r="J4643">
        <v>3.8521294121525398E-2</v>
      </c>
      <c r="K4643">
        <v>3.4631186892036897E-2</v>
      </c>
      <c r="L4643">
        <v>935.94931819751298</v>
      </c>
      <c r="M4643">
        <v>16.637131336299898</v>
      </c>
      <c r="N4643">
        <v>56.256652616643599</v>
      </c>
      <c r="O4643">
        <v>55.462711557138299</v>
      </c>
      <c r="P4643">
        <v>-7.4997436410199403E-2</v>
      </c>
      <c r="Q4643">
        <v>0</v>
      </c>
      <c r="R4643">
        <v>0.97939396626012798</v>
      </c>
      <c r="S4643" t="s">
        <v>11095</v>
      </c>
      <c r="T4643" t="s">
        <v>12902</v>
      </c>
      <c r="U4643" t="s">
        <v>12902</v>
      </c>
      <c r="V4643" t="s">
        <v>12902</v>
      </c>
      <c r="W4643" t="s">
        <v>17498</v>
      </c>
      <c r="X4643">
        <v>1</v>
      </c>
      <c r="Y4643" t="s">
        <v>23801</v>
      </c>
      <c r="Z4643" t="s">
        <v>30218</v>
      </c>
      <c r="AA4643">
        <v>0.55765686715377727</v>
      </c>
      <c r="AB4643" t="str">
        <f>HYPERLINK("Melting_Curves/meltCurve_Q8WV41_SNX33.pdf", "Melting_Curves/meltCurve_Q8WV41_SNX33.pdf")</f>
        <v>Melting_Curves/meltCurve_Q8WV41_SNX33.pdf</v>
      </c>
    </row>
    <row r="4644" spans="1:28" x14ac:dyDescent="0.25">
      <c r="A4644" t="s">
        <v>4648</v>
      </c>
      <c r="B4644">
        <v>0.99673306730245903</v>
      </c>
      <c r="C4644">
        <v>0.92382084572543399</v>
      </c>
      <c r="D4644">
        <v>0.41328973471893898</v>
      </c>
      <c r="E4644">
        <v>0.154130074820618</v>
      </c>
      <c r="F4644">
        <v>0.107241077445017</v>
      </c>
      <c r="G4644">
        <v>3.9787195757143901E-2</v>
      </c>
      <c r="H4644">
        <v>4.18477177774884E-2</v>
      </c>
      <c r="I4644">
        <v>2.8299888394309702E-2</v>
      </c>
      <c r="J4644">
        <v>2.76910629033385E-2</v>
      </c>
      <c r="K4644">
        <v>3.15722744568721E-2</v>
      </c>
      <c r="L4644">
        <v>1540.52288750193</v>
      </c>
      <c r="M4644">
        <v>33.855903276764998</v>
      </c>
      <c r="N4644">
        <v>45.645565732647803</v>
      </c>
      <c r="O4644">
        <v>45.344471776151302</v>
      </c>
      <c r="P4644">
        <v>-0.177254159573242</v>
      </c>
      <c r="Q4644">
        <v>5.0391505532692699E-2</v>
      </c>
      <c r="R4644">
        <v>0.99367781210053097</v>
      </c>
      <c r="S4644" t="s">
        <v>11096</v>
      </c>
      <c r="T4644" t="s">
        <v>12902</v>
      </c>
      <c r="U4644" t="s">
        <v>12902</v>
      </c>
      <c r="V4644" t="s">
        <v>12902</v>
      </c>
      <c r="W4644" t="s">
        <v>17499</v>
      </c>
      <c r="X4644">
        <v>1</v>
      </c>
      <c r="Y4644" t="s">
        <v>23802</v>
      </c>
      <c r="Z4644" t="s">
        <v>30219</v>
      </c>
      <c r="AA4644">
        <v>0.22904056225647501</v>
      </c>
      <c r="AB4644" t="str">
        <f>HYPERLINK("Melting_Curves/meltCurve_Q8WV60_PTCD2.pdf", "Melting_Curves/meltCurve_Q8WV60_PTCD2.pdf")</f>
        <v>Melting_Curves/meltCurve_Q8WV60_PTCD2.pdf</v>
      </c>
    </row>
    <row r="4645" spans="1:28" x14ac:dyDescent="0.25">
      <c r="A4645" t="s">
        <v>4649</v>
      </c>
      <c r="B4645">
        <v>0.99673306730245903</v>
      </c>
      <c r="C4645">
        <v>0.95590275623715504</v>
      </c>
      <c r="D4645">
        <v>0.93159771148352</v>
      </c>
      <c r="E4645">
        <v>0.88436730257820495</v>
      </c>
      <c r="F4645">
        <v>0.42511035960722399</v>
      </c>
      <c r="G4645">
        <v>0.27746106114601699</v>
      </c>
      <c r="H4645">
        <v>0.19962075189623099</v>
      </c>
      <c r="I4645">
        <v>0.14024444336011099</v>
      </c>
      <c r="J4645">
        <v>0.15232001910864601</v>
      </c>
      <c r="K4645">
        <v>0.13520868197878499</v>
      </c>
      <c r="L4645">
        <v>1489.0263285522201</v>
      </c>
      <c r="M4645">
        <v>28.545387752878199</v>
      </c>
      <c r="N4645">
        <v>52.863147857287601</v>
      </c>
      <c r="O4645">
        <v>51.909468350991197</v>
      </c>
      <c r="P4645">
        <v>-0.115849399337874</v>
      </c>
      <c r="Q4645">
        <v>0.15732327130381299</v>
      </c>
      <c r="R4645">
        <v>0.99130660883032296</v>
      </c>
      <c r="S4645" t="s">
        <v>11097</v>
      </c>
      <c r="T4645" t="s">
        <v>12902</v>
      </c>
      <c r="U4645" t="s">
        <v>12902</v>
      </c>
      <c r="V4645" t="s">
        <v>12902</v>
      </c>
      <c r="W4645" t="s">
        <v>17500</v>
      </c>
      <c r="X4645">
        <v>4</v>
      </c>
      <c r="Y4645" t="s">
        <v>23803</v>
      </c>
      <c r="Z4645" t="s">
        <v>30220</v>
      </c>
      <c r="AA4645">
        <v>0.50493950291911671</v>
      </c>
      <c r="AB4645" t="str">
        <f>HYPERLINK("Melting_Curves/meltCurve_Q8WV74_NUDT8.pdf", "Melting_Curves/meltCurve_Q8WV74_NUDT8.pdf")</f>
        <v>Melting_Curves/meltCurve_Q8WV74_NUDT8.pdf</v>
      </c>
    </row>
    <row r="4646" spans="1:28" x14ac:dyDescent="0.25">
      <c r="A4646" t="s">
        <v>4650</v>
      </c>
      <c r="B4646">
        <v>0.99673306730245903</v>
      </c>
      <c r="C4646">
        <v>1.0161471210600601</v>
      </c>
      <c r="D4646">
        <v>0.86162904305723298</v>
      </c>
      <c r="E4646">
        <v>0.44016028143175601</v>
      </c>
      <c r="F4646">
        <v>8.7839266298766594E-2</v>
      </c>
      <c r="G4646">
        <v>5.1104095158077997E-2</v>
      </c>
      <c r="H4646">
        <v>2.72745039152823E-2</v>
      </c>
      <c r="I4646">
        <v>2.47891237450194E-2</v>
      </c>
      <c r="J4646">
        <v>1.6296810462450701E-2</v>
      </c>
      <c r="K4646">
        <v>1.6305309322873E-2</v>
      </c>
      <c r="L4646">
        <v>1452.49416722869</v>
      </c>
      <c r="M4646">
        <v>29.620025166710398</v>
      </c>
      <c r="N4646">
        <v>49.105798534449697</v>
      </c>
      <c r="O4646">
        <v>48.815669464769101</v>
      </c>
      <c r="P4646">
        <v>-0.14863628904899701</v>
      </c>
      <c r="Q4646">
        <v>2.0158482019909801E-2</v>
      </c>
      <c r="R4646">
        <v>0.99883760337657201</v>
      </c>
      <c r="S4646" t="s">
        <v>11098</v>
      </c>
      <c r="T4646" t="s">
        <v>12902</v>
      </c>
      <c r="U4646" t="s">
        <v>12902</v>
      </c>
      <c r="V4646" t="s">
        <v>12902</v>
      </c>
      <c r="W4646" t="s">
        <v>17501</v>
      </c>
      <c r="X4646">
        <v>2</v>
      </c>
      <c r="Y4646" t="s">
        <v>23804</v>
      </c>
      <c r="Z4646" t="s">
        <v>30221</v>
      </c>
      <c r="AA4646">
        <v>0.32146722573225911</v>
      </c>
      <c r="AB4646" t="str">
        <f>HYPERLINK("Melting_Curves/meltCurve_Q8WV93_LACE1.pdf", "Melting_Curves/meltCurve_Q8WV93_LACE1.pdf")</f>
        <v>Melting_Curves/meltCurve_Q8WV93_LACE1.pdf</v>
      </c>
    </row>
    <row r="4647" spans="1:28" x14ac:dyDescent="0.25">
      <c r="A4647" t="s">
        <v>4651</v>
      </c>
      <c r="B4647">
        <v>0.99673306730245903</v>
      </c>
      <c r="C4647">
        <v>0.75618546546490895</v>
      </c>
      <c r="D4647">
        <v>0.384288831265512</v>
      </c>
      <c r="E4647">
        <v>0.14324625473614999</v>
      </c>
      <c r="F4647">
        <v>0.146421268114062</v>
      </c>
      <c r="G4647">
        <v>9.0930368286332802E-2</v>
      </c>
      <c r="H4647">
        <v>8.3041008513554906E-2</v>
      </c>
      <c r="I4647">
        <v>6.8123621713722604E-2</v>
      </c>
      <c r="J4647">
        <v>8.3796114755026394E-2</v>
      </c>
      <c r="K4647">
        <v>8.6527962885791398E-2</v>
      </c>
      <c r="L4647">
        <v>1174.32759069034</v>
      </c>
      <c r="M4647">
        <v>26.286497258549399</v>
      </c>
      <c r="N4647">
        <v>45.009710272474798</v>
      </c>
      <c r="O4647">
        <v>44.418029647472899</v>
      </c>
      <c r="P4647">
        <v>-0.134786889471395</v>
      </c>
      <c r="Q4647">
        <v>8.8976816076897294E-2</v>
      </c>
      <c r="R4647">
        <v>0.99578833158929803</v>
      </c>
      <c r="S4647" t="s">
        <v>11099</v>
      </c>
      <c r="T4647" t="s">
        <v>12902</v>
      </c>
      <c r="U4647" t="s">
        <v>12902</v>
      </c>
      <c r="V4647" t="s">
        <v>12902</v>
      </c>
      <c r="W4647" t="s">
        <v>17502</v>
      </c>
      <c r="X4647">
        <v>3</v>
      </c>
      <c r="Y4647" t="s">
        <v>23805</v>
      </c>
      <c r="Z4647" t="s">
        <v>30222</v>
      </c>
      <c r="AA4647">
        <v>0.2392604266200683</v>
      </c>
      <c r="AB4647" t="str">
        <f>HYPERLINK("Melting_Curves/meltCurve_Q8WVB6_CHTF18.pdf", "Melting_Curves/meltCurve_Q8WVB6_CHTF18.pdf")</f>
        <v>Melting_Curves/meltCurve_Q8WVB6_CHTF18.pdf</v>
      </c>
    </row>
    <row r="4648" spans="1:28" x14ac:dyDescent="0.25">
      <c r="A4648" t="s">
        <v>4652</v>
      </c>
      <c r="B4648">
        <v>0.99673306730245903</v>
      </c>
      <c r="C4648">
        <v>0.90324128031672002</v>
      </c>
      <c r="D4648">
        <v>0.77655275316089301</v>
      </c>
      <c r="E4648">
        <v>0.46853936931273399</v>
      </c>
      <c r="F4648">
        <v>0.29516855791917102</v>
      </c>
      <c r="G4648">
        <v>0.22492742990985001</v>
      </c>
      <c r="H4648">
        <v>0.174810723471757</v>
      </c>
      <c r="I4648">
        <v>0.232965054534955</v>
      </c>
      <c r="J4648">
        <v>0.33110179671233902</v>
      </c>
      <c r="K4648">
        <v>0.37368745573291701</v>
      </c>
      <c r="L4648">
        <v>1151.1360273824901</v>
      </c>
      <c r="M4648">
        <v>24.262652780471502</v>
      </c>
      <c r="N4648">
        <v>48.9507711796401</v>
      </c>
      <c r="O4648">
        <v>47.126012733645098</v>
      </c>
      <c r="P4648">
        <v>-9.4864761181573803E-2</v>
      </c>
      <c r="Q4648">
        <v>0.26297780754010502</v>
      </c>
      <c r="R4648">
        <v>0.96170859399446595</v>
      </c>
      <c r="S4648" t="s">
        <v>11100</v>
      </c>
      <c r="T4648" t="s">
        <v>12902</v>
      </c>
      <c r="U4648" t="s">
        <v>12902</v>
      </c>
      <c r="V4648" t="s">
        <v>12902</v>
      </c>
      <c r="W4648" t="s">
        <v>17503</v>
      </c>
      <c r="X4648">
        <v>9</v>
      </c>
      <c r="Y4648" t="s">
        <v>23806</v>
      </c>
      <c r="Z4648" t="s">
        <v>30223</v>
      </c>
      <c r="AA4648">
        <v>0.45285192633579269</v>
      </c>
      <c r="AB4648" t="str">
        <f>HYPERLINK("Melting_Curves/meltCurve_Q8WVC0_LEO1.pdf", "Melting_Curves/meltCurve_Q8WVC0_LEO1.pdf")</f>
        <v>Melting_Curves/meltCurve_Q8WVC0_LEO1.pdf</v>
      </c>
    </row>
    <row r="4649" spans="1:28" x14ac:dyDescent="0.25">
      <c r="A4649" t="s">
        <v>4653</v>
      </c>
      <c r="B4649">
        <v>0.99673306730245903</v>
      </c>
      <c r="C4649">
        <v>1.0873813744327301</v>
      </c>
      <c r="D4649">
        <v>1.2176674233804099</v>
      </c>
      <c r="E4649">
        <v>1.0817498870714399</v>
      </c>
      <c r="F4649">
        <v>0.91197124389980899</v>
      </c>
      <c r="G4649">
        <v>0.58678769531106301</v>
      </c>
      <c r="H4649">
        <v>0.34136131816285298</v>
      </c>
      <c r="I4649">
        <v>0.50921149455414905</v>
      </c>
      <c r="J4649">
        <v>0.95140283447621299</v>
      </c>
      <c r="K4649">
        <v>1.11779890214257</v>
      </c>
      <c r="L4649">
        <v>13346.420924792101</v>
      </c>
      <c r="M4649">
        <v>250</v>
      </c>
      <c r="O4649">
        <v>53.382251834611097</v>
      </c>
      <c r="P4649">
        <v>-0.349703618360026</v>
      </c>
      <c r="Q4649">
        <v>0.70131244706820195</v>
      </c>
      <c r="R4649">
        <v>0.39399465865468802</v>
      </c>
      <c r="S4649" t="s">
        <v>11101</v>
      </c>
      <c r="T4649" t="s">
        <v>12902</v>
      </c>
      <c r="U4649" t="s">
        <v>12902</v>
      </c>
      <c r="V4649" t="s">
        <v>12902</v>
      </c>
      <c r="W4649" t="s">
        <v>17504</v>
      </c>
      <c r="X4649">
        <v>7</v>
      </c>
      <c r="Y4649" t="s">
        <v>23807</v>
      </c>
      <c r="Z4649" t="s">
        <v>30224</v>
      </c>
      <c r="AA4649">
        <v>0.83461166836432976</v>
      </c>
      <c r="AB4649" t="str">
        <f>HYPERLINK("Melting_Curves/meltCurve_Q8WVC2_RPS21.pdf", "Melting_Curves/meltCurve_Q8WVC2_RPS21.pdf")</f>
        <v>Melting_Curves/meltCurve_Q8WVC2_RPS21.pdf</v>
      </c>
    </row>
    <row r="4650" spans="1:28" x14ac:dyDescent="0.25">
      <c r="A4650" t="s">
        <v>4654</v>
      </c>
      <c r="B4650">
        <v>0.99673306730245903</v>
      </c>
      <c r="C4650">
        <v>1.01356525255347</v>
      </c>
      <c r="D4650">
        <v>0.64709411559251195</v>
      </c>
      <c r="E4650">
        <v>0.24181922248589</v>
      </c>
      <c r="F4650">
        <v>0.15896152800611699</v>
      </c>
      <c r="G4650">
        <v>0.10183920893468799</v>
      </c>
      <c r="H4650">
        <v>6.6774730506884497E-2</v>
      </c>
      <c r="I4650">
        <v>5.6059123464910598E-2</v>
      </c>
      <c r="J4650">
        <v>6.5946785744453798E-2</v>
      </c>
      <c r="K4650">
        <v>5.9756545528656099E-2</v>
      </c>
      <c r="L4650">
        <v>1378.7187231600601</v>
      </c>
      <c r="M4650">
        <v>29.369769504650598</v>
      </c>
      <c r="N4650">
        <v>47.217922786236201</v>
      </c>
      <c r="O4650">
        <v>46.727460411357001</v>
      </c>
      <c r="P4650">
        <v>-0.144804443021783</v>
      </c>
      <c r="Q4650">
        <v>7.8468281676685306E-2</v>
      </c>
      <c r="R4650">
        <v>0.99306730862968795</v>
      </c>
      <c r="S4650" t="s">
        <v>11102</v>
      </c>
      <c r="T4650" t="s">
        <v>12902</v>
      </c>
      <c r="U4650" t="s">
        <v>12902</v>
      </c>
      <c r="V4650" t="s">
        <v>12902</v>
      </c>
      <c r="W4650" t="s">
        <v>17505</v>
      </c>
      <c r="X4650">
        <v>7</v>
      </c>
      <c r="Y4650" t="s">
        <v>23808</v>
      </c>
      <c r="Z4650" t="s">
        <v>30225</v>
      </c>
      <c r="AA4650">
        <v>0.29754469022084729</v>
      </c>
      <c r="AB4650" t="str">
        <f>HYPERLINK("Melting_Curves/meltCurve_Q8WVJ2_NUDCD2.pdf", "Melting_Curves/meltCurve_Q8WVJ2_NUDCD2.pdf")</f>
        <v>Melting_Curves/meltCurve_Q8WVJ2_NUDCD2.pdf</v>
      </c>
    </row>
    <row r="4651" spans="1:28" x14ac:dyDescent="0.25">
      <c r="A4651" t="s">
        <v>4655</v>
      </c>
      <c r="B4651">
        <v>0.99673306730245903</v>
      </c>
      <c r="C4651">
        <v>1.11732692548607</v>
      </c>
      <c r="D4651">
        <v>1.27472396136203</v>
      </c>
      <c r="E4651">
        <v>1.22416159941046</v>
      </c>
      <c r="F4651">
        <v>1.02676137616535</v>
      </c>
      <c r="G4651">
        <v>0.81453373862431899</v>
      </c>
      <c r="H4651">
        <v>0.58766153220752804</v>
      </c>
      <c r="I4651">
        <v>0.97627427488724905</v>
      </c>
      <c r="J4651">
        <v>1.50278922912281</v>
      </c>
      <c r="K4651">
        <v>1.5661165836567199</v>
      </c>
      <c r="L4651">
        <v>15000</v>
      </c>
      <c r="M4651">
        <v>228.32001130593099</v>
      </c>
      <c r="O4651">
        <v>65.692224871853099</v>
      </c>
      <c r="P4651">
        <v>0.43445022883399398</v>
      </c>
      <c r="Q4651">
        <v>1.5</v>
      </c>
      <c r="R4651">
        <v>0.56307460776513396</v>
      </c>
      <c r="S4651" t="s">
        <v>11103</v>
      </c>
      <c r="T4651" t="s">
        <v>12902</v>
      </c>
      <c r="U4651" t="s">
        <v>12902</v>
      </c>
      <c r="V4651" t="s">
        <v>12902</v>
      </c>
      <c r="W4651" t="s">
        <v>17506</v>
      </c>
      <c r="X4651">
        <v>3</v>
      </c>
      <c r="Y4651" t="s">
        <v>23809</v>
      </c>
      <c r="Z4651" t="s">
        <v>30226</v>
      </c>
      <c r="AA4651">
        <v>1.0716431557251851</v>
      </c>
      <c r="AB4651" t="str">
        <f>HYPERLINK("Melting_Curves/meltCurve_Q8WVK2_SNRNP27.pdf", "Melting_Curves/meltCurve_Q8WVK2_SNRNP27.pdf")</f>
        <v>Melting_Curves/meltCurve_Q8WVK2_SNRNP27.pdf</v>
      </c>
    </row>
    <row r="4652" spans="1:28" x14ac:dyDescent="0.25">
      <c r="A4652" t="s">
        <v>4656</v>
      </c>
      <c r="B4652">
        <v>0.99673306730245903</v>
      </c>
      <c r="C4652">
        <v>0.99901731423623297</v>
      </c>
      <c r="D4652">
        <v>0.87515570210482696</v>
      </c>
      <c r="E4652">
        <v>0.80265825887145403</v>
      </c>
      <c r="F4652">
        <v>0.58199629967093303</v>
      </c>
      <c r="G4652">
        <v>0.36055115414863897</v>
      </c>
      <c r="H4652">
        <v>0.196606784052862</v>
      </c>
      <c r="I4652">
        <v>0.161985574904351</v>
      </c>
      <c r="J4652">
        <v>0.106765363129926</v>
      </c>
      <c r="K4652">
        <v>7.9386080168367901E-2</v>
      </c>
      <c r="L4652">
        <v>744.56515218096604</v>
      </c>
      <c r="M4652">
        <v>13.777427130012001</v>
      </c>
      <c r="N4652">
        <v>54.403198081300701</v>
      </c>
      <c r="O4652">
        <v>52.942017296334299</v>
      </c>
      <c r="P4652">
        <v>-6.2227289206789202E-2</v>
      </c>
      <c r="Q4652">
        <v>4.3660672418052202E-2</v>
      </c>
      <c r="R4652">
        <v>0.99702246255082605</v>
      </c>
      <c r="S4652" t="s">
        <v>11104</v>
      </c>
      <c r="T4652" t="s">
        <v>12902</v>
      </c>
      <c r="U4652" t="s">
        <v>12902</v>
      </c>
      <c r="V4652" t="s">
        <v>12902</v>
      </c>
      <c r="W4652" t="s">
        <v>17507</v>
      </c>
      <c r="X4652">
        <v>2</v>
      </c>
      <c r="Y4652" t="s">
        <v>23810</v>
      </c>
      <c r="Z4652" t="s">
        <v>30227</v>
      </c>
      <c r="AA4652">
        <v>0.51293217969581006</v>
      </c>
      <c r="AB4652" t="str">
        <f>HYPERLINK("Melting_Curves/meltCurve_Q8WVL7_ANKRD49.pdf", "Melting_Curves/meltCurve_Q8WVL7_ANKRD49.pdf")</f>
        <v>Melting_Curves/meltCurve_Q8WVL7_ANKRD49.pdf</v>
      </c>
    </row>
    <row r="4653" spans="1:28" x14ac:dyDescent="0.25">
      <c r="A4653" t="s">
        <v>4657</v>
      </c>
      <c r="B4653">
        <v>0.99673306730245903</v>
      </c>
      <c r="C4653">
        <v>1.0089428321315499</v>
      </c>
      <c r="D4653">
        <v>0.87061309364558603</v>
      </c>
      <c r="E4653">
        <v>0.72990261602614603</v>
      </c>
      <c r="F4653">
        <v>0.40941274612851603</v>
      </c>
      <c r="G4653">
        <v>0.24542841233911999</v>
      </c>
      <c r="H4653">
        <v>0.13942502686146399</v>
      </c>
      <c r="I4653">
        <v>0.139611131272559</v>
      </c>
      <c r="J4653">
        <v>5.5649103321738301E-2</v>
      </c>
      <c r="K4653">
        <v>6.0359730541148897E-2</v>
      </c>
      <c r="L4653">
        <v>872.38208658379904</v>
      </c>
      <c r="M4653">
        <v>16.816880276218299</v>
      </c>
      <c r="N4653">
        <v>52.286414546595402</v>
      </c>
      <c r="O4653">
        <v>51.158483763142897</v>
      </c>
      <c r="P4653">
        <v>-7.7096879509156294E-2</v>
      </c>
      <c r="Q4653">
        <v>6.1917213614106202E-2</v>
      </c>
      <c r="R4653">
        <v>0.99561237423085602</v>
      </c>
      <c r="S4653" t="s">
        <v>11105</v>
      </c>
      <c r="T4653" t="s">
        <v>12902</v>
      </c>
      <c r="U4653" t="s">
        <v>12902</v>
      </c>
      <c r="V4653" t="s">
        <v>12902</v>
      </c>
      <c r="W4653" t="s">
        <v>17508</v>
      </c>
      <c r="X4653">
        <v>5</v>
      </c>
      <c r="Y4653" t="s">
        <v>23811</v>
      </c>
      <c r="Z4653" t="s">
        <v>30228</v>
      </c>
      <c r="AA4653">
        <v>0.45079215927271998</v>
      </c>
      <c r="AB4653" t="str">
        <f>HYPERLINK("Melting_Curves/meltCurve_Q8WVM0_TFB1M.pdf", "Melting_Curves/meltCurve_Q8WVM0_TFB1M.pdf")</f>
        <v>Melting_Curves/meltCurve_Q8WVM0_TFB1M.pdf</v>
      </c>
    </row>
    <row r="4654" spans="1:28" x14ac:dyDescent="0.25">
      <c r="A4654" t="s">
        <v>4658</v>
      </c>
      <c r="B4654">
        <v>0.99673306730245903</v>
      </c>
      <c r="C4654">
        <v>1.0614284135790999</v>
      </c>
      <c r="D4654">
        <v>0.51210985219288097</v>
      </c>
      <c r="E4654">
        <v>0.42986102223082101</v>
      </c>
      <c r="F4654">
        <v>0.150464935426673</v>
      </c>
      <c r="G4654">
        <v>8.0934236091873293E-2</v>
      </c>
      <c r="H4654">
        <v>4.3435943230163802E-2</v>
      </c>
      <c r="I4654">
        <v>3.7567196916428999E-2</v>
      </c>
      <c r="J4654">
        <v>3.4587174973382803E-2</v>
      </c>
      <c r="K4654">
        <v>3.0314989363850301E-2</v>
      </c>
      <c r="L4654">
        <v>898.40429493143301</v>
      </c>
      <c r="M4654">
        <v>18.868097565821898</v>
      </c>
      <c r="N4654">
        <v>47.799824742836002</v>
      </c>
      <c r="O4654">
        <v>47.0898186665369</v>
      </c>
      <c r="P4654">
        <v>-9.6650675728242694E-2</v>
      </c>
      <c r="Q4654">
        <v>3.5180930634182497E-2</v>
      </c>
      <c r="R4654">
        <v>0.95741172969690103</v>
      </c>
      <c r="S4654" t="s">
        <v>11106</v>
      </c>
      <c r="T4654" t="s">
        <v>12902</v>
      </c>
      <c r="U4654" t="s">
        <v>12902</v>
      </c>
      <c r="V4654" t="s">
        <v>12902</v>
      </c>
      <c r="W4654" t="s">
        <v>17509</v>
      </c>
      <c r="X4654">
        <v>15</v>
      </c>
      <c r="Y4654" t="s">
        <v>23812</v>
      </c>
      <c r="Z4654" t="s">
        <v>30229</v>
      </c>
      <c r="AA4654">
        <v>0.29576662092346873</v>
      </c>
      <c r="AB4654" t="str">
        <f>HYPERLINK("Melting_Curves/meltCurve_Q8WVM8_SCFD1.pdf", "Melting_Curves/meltCurve_Q8WVM8_SCFD1.pdf")</f>
        <v>Melting_Curves/meltCurve_Q8WVM8_SCFD1.pdf</v>
      </c>
    </row>
    <row r="4655" spans="1:28" x14ac:dyDescent="0.25">
      <c r="A4655" t="s">
        <v>4659</v>
      </c>
      <c r="B4655">
        <v>0.99673306730245903</v>
      </c>
      <c r="C4655">
        <v>0.86986287780058402</v>
      </c>
      <c r="D4655">
        <v>0.84523413210799003</v>
      </c>
      <c r="E4655">
        <v>0.68613639047277697</v>
      </c>
      <c r="F4655">
        <v>0.55521143308418297</v>
      </c>
      <c r="G4655">
        <v>0.31612731858727899</v>
      </c>
      <c r="H4655">
        <v>0.129945185587967</v>
      </c>
      <c r="I4655">
        <v>8.1769965434314501E-2</v>
      </c>
      <c r="J4655">
        <v>6.2225527777766999E-2</v>
      </c>
      <c r="K4655">
        <v>5.7438547199194001E-2</v>
      </c>
      <c r="L4655">
        <v>639.69573473280298</v>
      </c>
      <c r="M4655">
        <v>12.0667159499568</v>
      </c>
      <c r="N4655">
        <v>53.013239734318397</v>
      </c>
      <c r="O4655">
        <v>51.620252658626598</v>
      </c>
      <c r="P4655">
        <v>-5.8453635362903801E-2</v>
      </c>
      <c r="Q4655">
        <v>0</v>
      </c>
      <c r="R4655">
        <v>0.98895798246497202</v>
      </c>
      <c r="S4655" t="s">
        <v>11107</v>
      </c>
      <c r="T4655" t="s">
        <v>12902</v>
      </c>
      <c r="U4655" t="s">
        <v>12902</v>
      </c>
      <c r="V4655" t="s">
        <v>12902</v>
      </c>
      <c r="W4655" t="s">
        <v>17510</v>
      </c>
      <c r="X4655">
        <v>6</v>
      </c>
      <c r="Y4655" t="s">
        <v>23813</v>
      </c>
      <c r="Z4655" t="s">
        <v>30230</v>
      </c>
      <c r="AA4655">
        <v>0.46204045097136781</v>
      </c>
      <c r="AB4655" t="str">
        <f>HYPERLINK("Melting_Curves/meltCurve_Q8WVQ1_CANT1.pdf", "Melting_Curves/meltCurve_Q8WVQ1_CANT1.pdf")</f>
        <v>Melting_Curves/meltCurve_Q8WVQ1_CANT1.pdf</v>
      </c>
    </row>
    <row r="4656" spans="1:28" x14ac:dyDescent="0.25">
      <c r="A4656" t="s">
        <v>4660</v>
      </c>
      <c r="B4656">
        <v>0.99673306730245903</v>
      </c>
      <c r="C4656">
        <v>0.99594567135062195</v>
      </c>
      <c r="D4656">
        <v>1.0775477131103099</v>
      </c>
      <c r="E4656">
        <v>0.94601827714483899</v>
      </c>
      <c r="F4656">
        <v>0.88308595074519203</v>
      </c>
      <c r="G4656">
        <v>0.91343164129212595</v>
      </c>
      <c r="H4656">
        <v>1.0482975638419001</v>
      </c>
      <c r="I4656">
        <v>0.53040691230899495</v>
      </c>
      <c r="J4656">
        <v>0.87361277080064004</v>
      </c>
      <c r="K4656">
        <v>0.38626209033261</v>
      </c>
      <c r="L4656">
        <v>964.60268975167503</v>
      </c>
      <c r="M4656">
        <v>13.821566112564</v>
      </c>
      <c r="N4656">
        <v>69.789680652327803</v>
      </c>
      <c r="O4656">
        <v>68.377419663267403</v>
      </c>
      <c r="P4656">
        <v>-5.0541133143002397E-2</v>
      </c>
      <c r="Q4656">
        <v>0</v>
      </c>
      <c r="R4656">
        <v>0.618973493613863</v>
      </c>
      <c r="S4656" t="s">
        <v>11108</v>
      </c>
      <c r="T4656" t="s">
        <v>12902</v>
      </c>
      <c r="U4656" t="s">
        <v>12902</v>
      </c>
      <c r="V4656" t="s">
        <v>12902</v>
      </c>
      <c r="W4656" t="s">
        <v>17511</v>
      </c>
      <c r="X4656">
        <v>2</v>
      </c>
      <c r="Y4656" t="s">
        <v>23814</v>
      </c>
      <c r="Z4656" t="s">
        <v>30231</v>
      </c>
      <c r="AA4656">
        <v>0.89613089432736015</v>
      </c>
      <c r="AB4656" t="str">
        <f>HYPERLINK("Melting_Curves/meltCurve_Q8WVT3_TRAPPC12.pdf", "Melting_Curves/meltCurve_Q8WVT3_TRAPPC12.pdf")</f>
        <v>Melting_Curves/meltCurve_Q8WVT3_TRAPPC12.pdf</v>
      </c>
    </row>
    <row r="4657" spans="1:28" x14ac:dyDescent="0.25">
      <c r="A4657" t="s">
        <v>4661</v>
      </c>
      <c r="B4657">
        <v>0.99673306730245903</v>
      </c>
      <c r="C4657">
        <v>0.50513421504745903</v>
      </c>
      <c r="D4657">
        <v>0.280257295691477</v>
      </c>
      <c r="E4657">
        <v>0.15363149032599399</v>
      </c>
      <c r="F4657">
        <v>9.6341115569461705E-2</v>
      </c>
      <c r="G4657">
        <v>6.7086054153851299E-2</v>
      </c>
      <c r="H4657">
        <v>5.5541391969745002E-2</v>
      </c>
      <c r="I4657">
        <v>7.6704258250759605E-2</v>
      </c>
      <c r="J4657">
        <v>0.121789365440169</v>
      </c>
      <c r="K4657">
        <v>0.16544992985604101</v>
      </c>
      <c r="L4657">
        <v>1300.8422747100999</v>
      </c>
      <c r="M4657">
        <v>30.280485405183398</v>
      </c>
      <c r="N4657">
        <v>43.307389963989401</v>
      </c>
      <c r="O4657">
        <v>42.773716400155003</v>
      </c>
      <c r="P4657">
        <v>-0.157887337116247</v>
      </c>
      <c r="Q4657">
        <v>0.107889783935537</v>
      </c>
      <c r="R4657">
        <v>0.96845125442400204</v>
      </c>
      <c r="S4657" t="s">
        <v>11109</v>
      </c>
      <c r="T4657" t="s">
        <v>12902</v>
      </c>
      <c r="U4657" t="s">
        <v>12902</v>
      </c>
      <c r="V4657" t="s">
        <v>12902</v>
      </c>
      <c r="W4657" t="s">
        <v>17512</v>
      </c>
      <c r="X4657">
        <v>12</v>
      </c>
      <c r="Y4657" t="s">
        <v>23815</v>
      </c>
      <c r="Z4657" t="s">
        <v>30232</v>
      </c>
      <c r="AA4657">
        <v>0.2040426188793259</v>
      </c>
      <c r="AB4657" t="str">
        <f>HYPERLINK("Melting_Curves/meltCurve_Q8WVV4_POF1B.pdf", "Melting_Curves/meltCurve_Q8WVV4_POF1B.pdf")</f>
        <v>Melting_Curves/meltCurve_Q8WVV4_POF1B.pdf</v>
      </c>
    </row>
    <row r="4658" spans="1:28" x14ac:dyDescent="0.25">
      <c r="A4658" t="s">
        <v>4662</v>
      </c>
      <c r="B4658">
        <v>0.99673306730245903</v>
      </c>
      <c r="C4658">
        <v>0.91601202481057797</v>
      </c>
      <c r="D4658">
        <v>0.72010841759854505</v>
      </c>
      <c r="E4658">
        <v>0.26524249561982699</v>
      </c>
      <c r="F4658">
        <v>0.18469010341810899</v>
      </c>
      <c r="G4658">
        <v>0.105887218534049</v>
      </c>
      <c r="H4658">
        <v>7.2421976165247495E-2</v>
      </c>
      <c r="I4658">
        <v>6.6088349624855103E-2</v>
      </c>
      <c r="J4658">
        <v>6.9074345743317403E-2</v>
      </c>
      <c r="K4658">
        <v>6.16480538758283E-2</v>
      </c>
      <c r="L4658">
        <v>1167.7398487952501</v>
      </c>
      <c r="M4658">
        <v>24.6642612445184</v>
      </c>
      <c r="N4658">
        <v>47.6635076687515</v>
      </c>
      <c r="O4658">
        <v>47.037474699204402</v>
      </c>
      <c r="P4658">
        <v>-0.121143298989402</v>
      </c>
      <c r="Q4658">
        <v>7.5878420905095001E-2</v>
      </c>
      <c r="R4658">
        <v>0.99566319666907599</v>
      </c>
      <c r="S4658" t="s">
        <v>11110</v>
      </c>
      <c r="T4658" t="s">
        <v>12902</v>
      </c>
      <c r="U4658" t="s">
        <v>12902</v>
      </c>
      <c r="V4658" t="s">
        <v>12902</v>
      </c>
      <c r="W4658" t="s">
        <v>17513</v>
      </c>
      <c r="X4658">
        <v>21</v>
      </c>
      <c r="Y4658" t="s">
        <v>23816</v>
      </c>
      <c r="Z4658" t="s">
        <v>30233</v>
      </c>
      <c r="AA4658">
        <v>0.31059776538733719</v>
      </c>
      <c r="AB4658" t="str">
        <f>HYPERLINK("Melting_Curves/meltCurve_Q8WVV9_4_HNRPLL.pdf", "Melting_Curves/meltCurve_Q8WVV9_4_HNRPLL.pdf")</f>
        <v>Melting_Curves/meltCurve_Q8WVV9_4_HNRPLL.pdf</v>
      </c>
    </row>
    <row r="4659" spans="1:28" x14ac:dyDescent="0.25">
      <c r="A4659" t="s">
        <v>4663</v>
      </c>
      <c r="B4659">
        <v>0.99673306730245903</v>
      </c>
      <c r="C4659">
        <v>0.89308704204427503</v>
      </c>
      <c r="D4659">
        <v>0.78247205442046297</v>
      </c>
      <c r="E4659">
        <v>0.614865779130782</v>
      </c>
      <c r="F4659">
        <v>0.268596792991036</v>
      </c>
      <c r="G4659">
        <v>0.12823474996290499</v>
      </c>
      <c r="H4659">
        <v>7.14399942508991E-2</v>
      </c>
      <c r="I4659">
        <v>5.6191451320447998E-2</v>
      </c>
      <c r="J4659">
        <v>4.8521643767762503E-2</v>
      </c>
      <c r="K4659">
        <v>4.3341703005956099E-2</v>
      </c>
      <c r="L4659">
        <v>799.41240465357396</v>
      </c>
      <c r="M4659">
        <v>15.9488923386404</v>
      </c>
      <c r="N4659">
        <v>50.259552913333899</v>
      </c>
      <c r="O4659">
        <v>49.355229362844298</v>
      </c>
      <c r="P4659">
        <v>-7.9084239136055404E-2</v>
      </c>
      <c r="Q4659">
        <v>2.1145621650585301E-2</v>
      </c>
      <c r="R4659">
        <v>0.99354763149675296</v>
      </c>
      <c r="S4659" t="s">
        <v>11111</v>
      </c>
      <c r="T4659" t="s">
        <v>12902</v>
      </c>
      <c r="U4659" t="s">
        <v>12902</v>
      </c>
      <c r="V4659" t="s">
        <v>12902</v>
      </c>
      <c r="W4659" t="s">
        <v>17514</v>
      </c>
      <c r="X4659">
        <v>7</v>
      </c>
      <c r="Y4659" t="s">
        <v>23817</v>
      </c>
      <c r="Z4659" t="s">
        <v>30234</v>
      </c>
      <c r="AA4659">
        <v>0.37229867484935841</v>
      </c>
      <c r="AB4659" t="str">
        <f>HYPERLINK("Melting_Curves/meltCurve_Q8WVX9_FAR1.pdf", "Melting_Curves/meltCurve_Q8WVX9_FAR1.pdf")</f>
        <v>Melting_Curves/meltCurve_Q8WVX9_FAR1.pdf</v>
      </c>
    </row>
    <row r="4660" spans="1:28" x14ac:dyDescent="0.25">
      <c r="A4660" t="s">
        <v>4664</v>
      </c>
      <c r="B4660">
        <v>0.99673306730245903</v>
      </c>
      <c r="C4660">
        <v>0.99544624262001902</v>
      </c>
      <c r="D4660">
        <v>0.85872322218776498</v>
      </c>
      <c r="E4660">
        <v>0.49960517782616798</v>
      </c>
      <c r="F4660">
        <v>0.15292101808842401</v>
      </c>
      <c r="G4660">
        <v>0.101319498649731</v>
      </c>
      <c r="H4660">
        <v>5.9771187465038199E-2</v>
      </c>
      <c r="I4660">
        <v>4.6818191541499403E-2</v>
      </c>
      <c r="J4660">
        <v>5.0937349691480102E-2</v>
      </c>
      <c r="K4660">
        <v>4.1194561637829898E-2</v>
      </c>
      <c r="L4660">
        <v>1274.5603920082899</v>
      </c>
      <c r="M4660">
        <v>25.850039213601601</v>
      </c>
      <c r="N4660">
        <v>49.503186337515302</v>
      </c>
      <c r="O4660">
        <v>49.013704456862499</v>
      </c>
      <c r="P4660">
        <v>-0.12540015353928999</v>
      </c>
      <c r="Q4660">
        <v>4.8937094479779897E-2</v>
      </c>
      <c r="R4660">
        <v>0.99901910630114898</v>
      </c>
      <c r="S4660" t="s">
        <v>11112</v>
      </c>
      <c r="T4660" t="s">
        <v>12902</v>
      </c>
      <c r="U4660" t="s">
        <v>12902</v>
      </c>
      <c r="V4660" t="s">
        <v>12902</v>
      </c>
      <c r="W4660" t="s">
        <v>17515</v>
      </c>
      <c r="X4660">
        <v>14</v>
      </c>
      <c r="Y4660" t="s">
        <v>23818</v>
      </c>
      <c r="Z4660" t="s">
        <v>30235</v>
      </c>
      <c r="AA4660">
        <v>0.35184299659949048</v>
      </c>
      <c r="AB4660" t="str">
        <f>HYPERLINK("Melting_Curves/meltCurve_Q8WVY7_UBLCP1.pdf", "Melting_Curves/meltCurve_Q8WVY7_UBLCP1.pdf")</f>
        <v>Melting_Curves/meltCurve_Q8WVY7_UBLCP1.pdf</v>
      </c>
    </row>
    <row r="4661" spans="1:28" x14ac:dyDescent="0.25">
      <c r="A4661" t="s">
        <v>4665</v>
      </c>
      <c r="B4661">
        <v>0.99673306730245903</v>
      </c>
      <c r="C4661">
        <v>1.2104746807701401</v>
      </c>
      <c r="D4661">
        <v>1.0585221124928901</v>
      </c>
      <c r="E4661">
        <v>1.0731772980399401</v>
      </c>
      <c r="F4661">
        <v>0.26476608782608901</v>
      </c>
      <c r="G4661">
        <v>0.15996494103477199</v>
      </c>
      <c r="H4661">
        <v>7.1086816284311502E-2</v>
      </c>
      <c r="I4661">
        <v>9.1892477387346905E-2</v>
      </c>
      <c r="J4661">
        <v>9.9316774623967902E-2</v>
      </c>
      <c r="K4661">
        <v>0.102596139189553</v>
      </c>
      <c r="L4661">
        <v>13218.800911698199</v>
      </c>
      <c r="M4661">
        <v>250</v>
      </c>
      <c r="N4661">
        <v>52.925091184568601</v>
      </c>
      <c r="O4661">
        <v>52.871819826684401</v>
      </c>
      <c r="P4661">
        <v>-1.05801704050079</v>
      </c>
      <c r="Q4661">
        <v>0.104971416955149</v>
      </c>
      <c r="R4661">
        <v>0.97423163888745201</v>
      </c>
      <c r="S4661" t="s">
        <v>11113</v>
      </c>
      <c r="T4661" t="s">
        <v>12902</v>
      </c>
      <c r="U4661" t="s">
        <v>12902</v>
      </c>
      <c r="V4661" t="s">
        <v>12902</v>
      </c>
      <c r="W4661" t="s">
        <v>17516</v>
      </c>
      <c r="X4661">
        <v>9</v>
      </c>
      <c r="Y4661" t="s">
        <v>23819</v>
      </c>
      <c r="Z4661" t="s">
        <v>30236</v>
      </c>
      <c r="AA4661">
        <v>0.48917698048867952</v>
      </c>
      <c r="AB4661" t="str">
        <f>HYPERLINK("Melting_Curves/meltCurve_Q8WVZ9_KBTBD7.pdf", "Melting_Curves/meltCurve_Q8WVZ9_KBTBD7.pdf")</f>
        <v>Melting_Curves/meltCurve_Q8WVZ9_KBTBD7.pdf</v>
      </c>
    </row>
    <row r="4662" spans="1:28" x14ac:dyDescent="0.25">
      <c r="A4662" t="s">
        <v>4666</v>
      </c>
      <c r="B4662">
        <v>0.99673306730245903</v>
      </c>
      <c r="C4662">
        <v>1.0203441670906701</v>
      </c>
      <c r="D4662">
        <v>0.93435316344639596</v>
      </c>
      <c r="E4662">
        <v>0.93829576847802398</v>
      </c>
      <c r="F4662">
        <v>0.73809514845940905</v>
      </c>
      <c r="G4662">
        <v>0.39593863881102898</v>
      </c>
      <c r="H4662">
        <v>0.187710379076894</v>
      </c>
      <c r="I4662">
        <v>0.15588330112434601</v>
      </c>
      <c r="J4662">
        <v>0.14544282014680401</v>
      </c>
      <c r="K4662">
        <v>0.114193953586277</v>
      </c>
      <c r="L4662">
        <v>1333.96838778762</v>
      </c>
      <c r="M4662">
        <v>24.259661074132499</v>
      </c>
      <c r="N4662">
        <v>55.619129542508198</v>
      </c>
      <c r="O4662">
        <v>54.617551035360599</v>
      </c>
      <c r="P4662">
        <v>-9.76676526758717E-2</v>
      </c>
      <c r="Q4662">
        <v>0.12046793488092</v>
      </c>
      <c r="R4662">
        <v>0.99688402127342302</v>
      </c>
      <c r="S4662" t="s">
        <v>11114</v>
      </c>
      <c r="T4662" t="s">
        <v>12902</v>
      </c>
      <c r="U4662" t="s">
        <v>12902</v>
      </c>
      <c r="V4662" t="s">
        <v>12902</v>
      </c>
      <c r="W4662" t="s">
        <v>17517</v>
      </c>
      <c r="X4662">
        <v>3</v>
      </c>
      <c r="Y4662" t="s">
        <v>23820</v>
      </c>
      <c r="Z4662" t="s">
        <v>30237</v>
      </c>
      <c r="AA4662">
        <v>0.56842971520415742</v>
      </c>
      <c r="AB4662" t="str">
        <f>HYPERLINK("Melting_Curves/meltCurve_Q8WW01_TSEN15.pdf", "Melting_Curves/meltCurve_Q8WW01_TSEN15.pdf")</f>
        <v>Melting_Curves/meltCurve_Q8WW01_TSEN15.pdf</v>
      </c>
    </row>
    <row r="4663" spans="1:28" x14ac:dyDescent="0.25">
      <c r="A4663" t="s">
        <v>4667</v>
      </c>
      <c r="B4663">
        <v>0.99673306730245903</v>
      </c>
      <c r="C4663">
        <v>1.0260758504494301</v>
      </c>
      <c r="D4663">
        <v>1.0490359707019701</v>
      </c>
      <c r="E4663">
        <v>0.97895275719241404</v>
      </c>
      <c r="F4663">
        <v>0.95665894791685002</v>
      </c>
      <c r="G4663">
        <v>0.86030292762011595</v>
      </c>
      <c r="H4663">
        <v>0.78750169430542405</v>
      </c>
      <c r="I4663">
        <v>0.99197389564024097</v>
      </c>
      <c r="J4663">
        <v>1.7985815509272001</v>
      </c>
      <c r="K4663">
        <v>1.77269470473401</v>
      </c>
      <c r="L4663">
        <v>15000</v>
      </c>
      <c r="M4663">
        <v>230.40421523797701</v>
      </c>
      <c r="O4663">
        <v>65.098070839819997</v>
      </c>
      <c r="P4663">
        <v>0.44241751915808097</v>
      </c>
      <c r="Q4663">
        <v>1.5</v>
      </c>
      <c r="R4663">
        <v>0.79747462207123598</v>
      </c>
      <c r="S4663" t="s">
        <v>11115</v>
      </c>
      <c r="T4663" t="s">
        <v>12902</v>
      </c>
      <c r="U4663" t="s">
        <v>12902</v>
      </c>
      <c r="V4663" t="s">
        <v>12902</v>
      </c>
      <c r="W4663" t="s">
        <v>17518</v>
      </c>
      <c r="X4663">
        <v>18</v>
      </c>
      <c r="Y4663" t="s">
        <v>23821</v>
      </c>
      <c r="Z4663" t="s">
        <v>30238</v>
      </c>
      <c r="AA4663">
        <v>1.081549813546471</v>
      </c>
      <c r="AB4663" t="str">
        <f>HYPERLINK("Melting_Curves/meltCurve_Q8WW12_PCNP.pdf", "Melting_Curves/meltCurve_Q8WW12_PCNP.pdf")</f>
        <v>Melting_Curves/meltCurve_Q8WW12_PCNP.pdf</v>
      </c>
    </row>
    <row r="4664" spans="1:28" x14ac:dyDescent="0.25">
      <c r="A4664" t="s">
        <v>4668</v>
      </c>
      <c r="B4664">
        <v>0.99673306730245903</v>
      </c>
      <c r="C4664">
        <v>1.0470478302358599</v>
      </c>
      <c r="D4664">
        <v>0.992231659026376</v>
      </c>
      <c r="E4664">
        <v>1.00121228791313</v>
      </c>
      <c r="F4664">
        <v>0.583545472560968</v>
      </c>
      <c r="G4664">
        <v>0.33416983922349403</v>
      </c>
      <c r="H4664">
        <v>0.15262052894484701</v>
      </c>
      <c r="I4664">
        <v>0.104328522058401</v>
      </c>
      <c r="J4664">
        <v>0.112519847665043</v>
      </c>
      <c r="K4664">
        <v>9.4999437412931001E-2</v>
      </c>
      <c r="L4664">
        <v>1456.5056891615</v>
      </c>
      <c r="M4664">
        <v>26.989551339642201</v>
      </c>
      <c r="N4664">
        <v>54.445285771627098</v>
      </c>
      <c r="O4664">
        <v>53.671890270344399</v>
      </c>
      <c r="P4664">
        <v>-0.112412452150042</v>
      </c>
      <c r="Q4664">
        <v>0.105827520341155</v>
      </c>
      <c r="R4664">
        <v>0.99172618954702296</v>
      </c>
      <c r="S4664" t="s">
        <v>11116</v>
      </c>
      <c r="T4664" t="s">
        <v>12902</v>
      </c>
      <c r="U4664" t="s">
        <v>12902</v>
      </c>
      <c r="V4664" t="s">
        <v>12902</v>
      </c>
      <c r="W4664" t="s">
        <v>17519</v>
      </c>
      <c r="X4664">
        <v>15</v>
      </c>
      <c r="Y4664" t="s">
        <v>23822</v>
      </c>
      <c r="Z4664" t="s">
        <v>30239</v>
      </c>
      <c r="AA4664">
        <v>0.52926166565580501</v>
      </c>
      <c r="AB4664" t="str">
        <f>HYPERLINK("Melting_Curves/meltCurve_Q8WW59_SPRYD4.pdf", "Melting_Curves/meltCurve_Q8WW59_SPRYD4.pdf")</f>
        <v>Melting_Curves/meltCurve_Q8WW59_SPRYD4.pdf</v>
      </c>
    </row>
    <row r="4665" spans="1:28" x14ac:dyDescent="0.25">
      <c r="A4665" t="s">
        <v>4669</v>
      </c>
      <c r="B4665">
        <v>0.99673306730245903</v>
      </c>
      <c r="C4665">
        <v>1.0484763459533499</v>
      </c>
      <c r="D4665">
        <v>0.99728291730889496</v>
      </c>
      <c r="E4665">
        <v>1.0394188895521701</v>
      </c>
      <c r="F4665">
        <v>0.95893994759763601</v>
      </c>
      <c r="G4665">
        <v>0.76368653264877095</v>
      </c>
      <c r="H4665">
        <v>0.480430849628318</v>
      </c>
      <c r="I4665">
        <v>0.45449551340799399</v>
      </c>
      <c r="J4665">
        <v>0.28379358510085201</v>
      </c>
      <c r="K4665">
        <v>0.24674863959007201</v>
      </c>
      <c r="L4665">
        <v>1211.0325918775</v>
      </c>
      <c r="M4665">
        <v>20.436594190482001</v>
      </c>
      <c r="N4665">
        <v>61.189752924620997</v>
      </c>
      <c r="O4665">
        <v>58.699403393178201</v>
      </c>
      <c r="P4665">
        <v>-6.6350884250890099E-2</v>
      </c>
      <c r="Q4665">
        <v>0.23771228077829301</v>
      </c>
      <c r="R4665">
        <v>0.98441903097642702</v>
      </c>
      <c r="S4665" t="s">
        <v>11117</v>
      </c>
      <c r="T4665" t="s">
        <v>12902</v>
      </c>
      <c r="U4665" t="s">
        <v>12902</v>
      </c>
      <c r="V4665" t="s">
        <v>12902</v>
      </c>
      <c r="W4665" t="s">
        <v>17520</v>
      </c>
      <c r="X4665">
        <v>2</v>
      </c>
      <c r="Y4665" t="s">
        <v>23823</v>
      </c>
      <c r="Z4665" t="s">
        <v>30240</v>
      </c>
      <c r="AA4665">
        <v>0.73433729437072626</v>
      </c>
      <c r="AB4665" t="str">
        <f>HYPERLINK("Melting_Curves/meltCurve_Q8WWB7_2_C1orf85.pdf", "Melting_Curves/meltCurve_Q8WWB7_2_C1orf85.pdf")</f>
        <v>Melting_Curves/meltCurve_Q8WWB7_2_C1orf85.pdf</v>
      </c>
    </row>
    <row r="4666" spans="1:28" x14ac:dyDescent="0.25">
      <c r="A4666" t="s">
        <v>4670</v>
      </c>
      <c r="B4666">
        <v>0.99673306730245903</v>
      </c>
      <c r="C4666">
        <v>0.87838097332305998</v>
      </c>
      <c r="D4666">
        <v>0.88605709788946596</v>
      </c>
      <c r="E4666">
        <v>0.68374901159603796</v>
      </c>
      <c r="F4666">
        <v>0.45476395154453197</v>
      </c>
      <c r="G4666">
        <v>0.26611090977998503</v>
      </c>
      <c r="H4666">
        <v>0.13009145113193901</v>
      </c>
      <c r="I4666">
        <v>0.100765008256507</v>
      </c>
      <c r="J4666">
        <v>0.100865168615573</v>
      </c>
      <c r="K4666">
        <v>8.4124586059073997E-2</v>
      </c>
      <c r="L4666">
        <v>723.66837058616204</v>
      </c>
      <c r="M4666">
        <v>13.9245198689067</v>
      </c>
      <c r="N4666">
        <v>52.3278458684415</v>
      </c>
      <c r="O4666">
        <v>50.934100322071203</v>
      </c>
      <c r="P4666">
        <v>-6.5257230678000197E-2</v>
      </c>
      <c r="Q4666">
        <v>4.5318847410805399E-2</v>
      </c>
      <c r="R4666">
        <v>0.99404763583607403</v>
      </c>
      <c r="S4666" t="s">
        <v>11118</v>
      </c>
      <c r="T4666" t="s">
        <v>12902</v>
      </c>
      <c r="U4666" t="s">
        <v>12902</v>
      </c>
      <c r="V4666" t="s">
        <v>12902</v>
      </c>
      <c r="W4666" t="s">
        <v>17521</v>
      </c>
      <c r="X4666">
        <v>5</v>
      </c>
      <c r="Y4666" t="s">
        <v>23824</v>
      </c>
      <c r="Z4666" t="s">
        <v>30241</v>
      </c>
      <c r="AA4666">
        <v>0.45013615666900708</v>
      </c>
      <c r="AB4666" t="str">
        <f>HYPERLINK("Melting_Curves/meltCurve_Q8WWC4_C2orf47.pdf", "Melting_Curves/meltCurve_Q8WWC4_C2orf47.pdf")</f>
        <v>Melting_Curves/meltCurve_Q8WWC4_C2orf47.pdf</v>
      </c>
    </row>
    <row r="4667" spans="1:28" x14ac:dyDescent="0.25">
      <c r="A4667" t="s">
        <v>4671</v>
      </c>
      <c r="B4667">
        <v>0.99673306730245903</v>
      </c>
      <c r="C4667">
        <v>0.95955347051482498</v>
      </c>
      <c r="D4667">
        <v>0.87687817973743198</v>
      </c>
      <c r="E4667">
        <v>0.53293468059016802</v>
      </c>
      <c r="F4667">
        <v>0.176963691987373</v>
      </c>
      <c r="G4667">
        <v>6.1585997623261599E-2</v>
      </c>
      <c r="H4667">
        <v>2.9960600424610899E-2</v>
      </c>
      <c r="I4667">
        <v>1.9564240100994099E-2</v>
      </c>
      <c r="J4667">
        <v>1.6582773288943201E-2</v>
      </c>
      <c r="K4667">
        <v>8.3163541380598706E-3</v>
      </c>
      <c r="L4667">
        <v>1190.74100459078</v>
      </c>
      <c r="M4667">
        <v>23.9269301926855</v>
      </c>
      <c r="N4667">
        <v>49.818155771982397</v>
      </c>
      <c r="O4667">
        <v>49.422010889237697</v>
      </c>
      <c r="P4667">
        <v>-0.119530771331133</v>
      </c>
      <c r="Q4667">
        <v>1.24338712689259E-2</v>
      </c>
      <c r="R4667">
        <v>0.99965345851671195</v>
      </c>
      <c r="S4667" t="s">
        <v>11119</v>
      </c>
      <c r="T4667" t="s">
        <v>12902</v>
      </c>
      <c r="U4667" t="s">
        <v>12902</v>
      </c>
      <c r="V4667" t="s">
        <v>12902</v>
      </c>
      <c r="W4667" t="s">
        <v>17522</v>
      </c>
      <c r="X4667">
        <v>6</v>
      </c>
      <c r="Y4667" t="s">
        <v>23825</v>
      </c>
      <c r="Z4667" t="s">
        <v>30242</v>
      </c>
      <c r="AA4667">
        <v>0.34353232927270888</v>
      </c>
      <c r="AB4667" t="str">
        <f>HYPERLINK("Melting_Curves/meltCurve_Q8WWH5_TRUB1.pdf", "Melting_Curves/meltCurve_Q8WWH5_TRUB1.pdf")</f>
        <v>Melting_Curves/meltCurve_Q8WWH5_TRUB1.pdf</v>
      </c>
    </row>
    <row r="4668" spans="1:28" x14ac:dyDescent="0.25">
      <c r="A4668" t="s">
        <v>4672</v>
      </c>
      <c r="B4668">
        <v>0.99673306730245903</v>
      </c>
      <c r="C4668">
        <v>0.94208040733696297</v>
      </c>
      <c r="D4668">
        <v>0.989706753915082</v>
      </c>
      <c r="E4668">
        <v>0.86840957453492096</v>
      </c>
      <c r="F4668">
        <v>1.0122457301307799</v>
      </c>
      <c r="G4668">
        <v>0.84318368140739197</v>
      </c>
      <c r="H4668">
        <v>0.91227255037177901</v>
      </c>
      <c r="I4668">
        <v>0.85633198440986802</v>
      </c>
      <c r="J4668">
        <v>0.80000728808240695</v>
      </c>
      <c r="K4668">
        <v>0.68867768708744603</v>
      </c>
      <c r="L4668">
        <v>372.32455762161999</v>
      </c>
      <c r="M4668">
        <v>4.28434503035683</v>
      </c>
      <c r="Q4668">
        <v>0</v>
      </c>
      <c r="R4668">
        <v>0.70764971336042803</v>
      </c>
      <c r="S4668" t="s">
        <v>11120</v>
      </c>
      <c r="T4668" t="s">
        <v>12902</v>
      </c>
      <c r="U4668" t="s">
        <v>12902</v>
      </c>
      <c r="V4668" t="s">
        <v>12902</v>
      </c>
      <c r="W4668" t="s">
        <v>17523</v>
      </c>
      <c r="X4668">
        <v>6</v>
      </c>
      <c r="Y4668" t="s">
        <v>23826</v>
      </c>
      <c r="Z4668" t="s">
        <v>30243</v>
      </c>
      <c r="AA4668">
        <v>0.90278974115871158</v>
      </c>
      <c r="AB4668" t="str">
        <f>HYPERLINK("Melting_Curves/meltCurve_Q8WWI5_SLC44A1.pdf", "Melting_Curves/meltCurve_Q8WWI5_SLC44A1.pdf")</f>
        <v>Melting_Curves/meltCurve_Q8WWI5_SLC44A1.pdf</v>
      </c>
    </row>
    <row r="4669" spans="1:28" x14ac:dyDescent="0.25">
      <c r="A4669" t="s">
        <v>4673</v>
      </c>
      <c r="B4669">
        <v>0.99673306730245903</v>
      </c>
      <c r="C4669">
        <v>0.945440993301088</v>
      </c>
      <c r="D4669">
        <v>0.72009631450017897</v>
      </c>
      <c r="E4669">
        <v>0.795160880212468</v>
      </c>
      <c r="F4669">
        <v>0.462825029968087</v>
      </c>
      <c r="G4669">
        <v>0.19949324908604499</v>
      </c>
      <c r="H4669">
        <v>0.102459518608478</v>
      </c>
      <c r="I4669">
        <v>0.111006906033222</v>
      </c>
      <c r="J4669">
        <v>0.135101785146374</v>
      </c>
      <c r="K4669">
        <v>0.13632011085014201</v>
      </c>
      <c r="L4669">
        <v>769.69667953834903</v>
      </c>
      <c r="M4669">
        <v>14.891978809730199</v>
      </c>
      <c r="N4669">
        <v>52.224178610207098</v>
      </c>
      <c r="O4669">
        <v>50.780188607039499</v>
      </c>
      <c r="P4669">
        <v>-6.8101613079546999E-2</v>
      </c>
      <c r="Q4669">
        <v>7.1217398354182296E-2</v>
      </c>
      <c r="R4669">
        <v>0.95998619675790597</v>
      </c>
      <c r="S4669" t="s">
        <v>11121</v>
      </c>
      <c r="T4669" t="s">
        <v>12902</v>
      </c>
      <c r="U4669" t="s">
        <v>12902</v>
      </c>
      <c r="V4669" t="s">
        <v>12902</v>
      </c>
      <c r="W4669" t="s">
        <v>17524</v>
      </c>
      <c r="X4669">
        <v>34</v>
      </c>
      <c r="Y4669" t="s">
        <v>23827</v>
      </c>
      <c r="Z4669" t="s">
        <v>30244</v>
      </c>
      <c r="AA4669">
        <v>0.45421551015734779</v>
      </c>
      <c r="AB4669" t="str">
        <f>HYPERLINK("Melting_Curves/meltCurve_Q8WWM7_ATXN2L.pdf", "Melting_Curves/meltCurve_Q8WWM7_ATXN2L.pdf")</f>
        <v>Melting_Curves/meltCurve_Q8WWM7_ATXN2L.pdf</v>
      </c>
    </row>
    <row r="4670" spans="1:28" x14ac:dyDescent="0.25">
      <c r="A4670" t="s">
        <v>4674</v>
      </c>
      <c r="B4670">
        <v>0.99673306730245903</v>
      </c>
      <c r="C4670">
        <v>0.81748942349857701</v>
      </c>
      <c r="D4670">
        <v>0.27730834074667199</v>
      </c>
      <c r="E4670">
        <v>0.39081106683057598</v>
      </c>
      <c r="F4670">
        <v>0.16334237309678001</v>
      </c>
      <c r="G4670">
        <v>0.105163150033147</v>
      </c>
      <c r="H4670">
        <v>5.3266411704231201E-2</v>
      </c>
      <c r="I4670">
        <v>3.2168592315120301E-2</v>
      </c>
      <c r="J4670">
        <v>3.7907719301129197E-2</v>
      </c>
      <c r="K4670">
        <v>3.21217221837456E-2</v>
      </c>
      <c r="L4670">
        <v>793.33153938202804</v>
      </c>
      <c r="M4670">
        <v>17.505408378934401</v>
      </c>
      <c r="N4670">
        <v>45.650857115729799</v>
      </c>
      <c r="O4670">
        <v>44.740221434854597</v>
      </c>
      <c r="P4670">
        <v>-9.1981556115583799E-2</v>
      </c>
      <c r="Q4670">
        <v>5.9708063714482701E-2</v>
      </c>
      <c r="R4670">
        <v>0.92734489486132299</v>
      </c>
      <c r="S4670" t="s">
        <v>11122</v>
      </c>
      <c r="T4670" t="s">
        <v>12902</v>
      </c>
      <c r="U4670" t="s">
        <v>12902</v>
      </c>
      <c r="V4670" t="s">
        <v>12902</v>
      </c>
      <c r="W4670" t="s">
        <v>17525</v>
      </c>
      <c r="X4670">
        <v>7</v>
      </c>
      <c r="Y4670" t="s">
        <v>23828</v>
      </c>
      <c r="Z4670" t="s">
        <v>30245</v>
      </c>
      <c r="AA4670">
        <v>0.2473005203766824</v>
      </c>
      <c r="AB4670" t="str">
        <f>HYPERLINK("Melting_Curves/meltCurve_Q8WWV3_RTN4IP1.pdf", "Melting_Curves/meltCurve_Q8WWV3_RTN4IP1.pdf")</f>
        <v>Melting_Curves/meltCurve_Q8WWV3_RTN4IP1.pdf</v>
      </c>
    </row>
    <row r="4671" spans="1:28" x14ac:dyDescent="0.25">
      <c r="A4671" t="s">
        <v>4675</v>
      </c>
      <c r="B4671">
        <v>0.99673306730245903</v>
      </c>
      <c r="C4671">
        <v>1.0117727100312399</v>
      </c>
      <c r="D4671">
        <v>0.84707632495916296</v>
      </c>
      <c r="E4671">
        <v>0.861750936345684</v>
      </c>
      <c r="F4671">
        <v>0.68442000045286699</v>
      </c>
      <c r="G4671">
        <v>0.50148066688541804</v>
      </c>
      <c r="H4671">
        <v>0.31257282451749602</v>
      </c>
      <c r="I4671">
        <v>0.37500348777007197</v>
      </c>
      <c r="J4671">
        <v>0.48144698437144601</v>
      </c>
      <c r="K4671">
        <v>0.45806250494837297</v>
      </c>
      <c r="L4671">
        <v>1011.46943938357</v>
      </c>
      <c r="M4671">
        <v>19.3673475469792</v>
      </c>
      <c r="N4671">
        <v>56.870443346549997</v>
      </c>
      <c r="O4671">
        <v>51.678268899408501</v>
      </c>
      <c r="P4671">
        <v>-5.6479371844561699E-2</v>
      </c>
      <c r="Q4671">
        <v>0.39720226038203599</v>
      </c>
      <c r="R4671">
        <v>0.93443008624440405</v>
      </c>
      <c r="S4671" t="s">
        <v>11123</v>
      </c>
      <c r="T4671" t="s">
        <v>12902</v>
      </c>
      <c r="U4671" t="s">
        <v>12902</v>
      </c>
      <c r="V4671" t="s">
        <v>12902</v>
      </c>
      <c r="W4671" t="s">
        <v>17526</v>
      </c>
      <c r="X4671">
        <v>1</v>
      </c>
      <c r="Y4671" t="s">
        <v>23829</v>
      </c>
      <c r="Z4671" t="s">
        <v>30246</v>
      </c>
      <c r="AA4671">
        <v>0.65167102110800579</v>
      </c>
      <c r="AB4671" t="str">
        <f>HYPERLINK("Melting_Curves/meltCurve_Q8WWX9_SELM.pdf", "Melting_Curves/meltCurve_Q8WWX9_SELM.pdf")</f>
        <v>Melting_Curves/meltCurve_Q8WWX9_SELM.pdf</v>
      </c>
    </row>
    <row r="4672" spans="1:28" x14ac:dyDescent="0.25">
      <c r="A4672" t="s">
        <v>4676</v>
      </c>
      <c r="B4672">
        <v>0.99673306730245903</v>
      </c>
      <c r="C4672">
        <v>0.99951502602839803</v>
      </c>
      <c r="D4672">
        <v>0.90788489194595701</v>
      </c>
      <c r="E4672">
        <v>0.82503477711362405</v>
      </c>
      <c r="F4672">
        <v>0.60877181522251</v>
      </c>
      <c r="G4672">
        <v>0.42427121515942701</v>
      </c>
      <c r="H4672">
        <v>0.27610846458681998</v>
      </c>
      <c r="I4672">
        <v>0.21410186530191599</v>
      </c>
      <c r="J4672">
        <v>0.17341460951562401</v>
      </c>
      <c r="K4672">
        <v>0.13580708672240999</v>
      </c>
      <c r="L4672">
        <v>740.47322971845495</v>
      </c>
      <c r="M4672">
        <v>13.625144310530301</v>
      </c>
      <c r="N4672">
        <v>55.307326435463096</v>
      </c>
      <c r="O4672">
        <v>53.2155193276216</v>
      </c>
      <c r="P4672">
        <v>-5.7269493291981097E-2</v>
      </c>
      <c r="Q4672">
        <v>0.10542561711894401</v>
      </c>
      <c r="R4672">
        <v>0.99862256460108501</v>
      </c>
      <c r="S4672" t="s">
        <v>11124</v>
      </c>
      <c r="T4672" t="s">
        <v>12902</v>
      </c>
      <c r="U4672" t="s">
        <v>12902</v>
      </c>
      <c r="V4672" t="s">
        <v>12902</v>
      </c>
      <c r="W4672" t="s">
        <v>17527</v>
      </c>
      <c r="X4672">
        <v>5</v>
      </c>
      <c r="Y4672" t="s">
        <v>23830</v>
      </c>
      <c r="Z4672" t="s">
        <v>30247</v>
      </c>
      <c r="AA4672">
        <v>0.55323983924019282</v>
      </c>
      <c r="AB4672" t="str">
        <f>HYPERLINK("Melting_Curves/meltCurve_Q8WX77_IGFBPL1.pdf", "Melting_Curves/meltCurve_Q8WX77_IGFBPL1.pdf")</f>
        <v>Melting_Curves/meltCurve_Q8WX77_IGFBPL1.pdf</v>
      </c>
    </row>
    <row r="4673" spans="1:28" x14ac:dyDescent="0.25">
      <c r="A4673" t="s">
        <v>4677</v>
      </c>
      <c r="B4673">
        <v>0.99673306730245903</v>
      </c>
      <c r="C4673">
        <v>0.88231735585070004</v>
      </c>
      <c r="D4673">
        <v>0.75590891647053304</v>
      </c>
      <c r="E4673">
        <v>0.50521426119361601</v>
      </c>
      <c r="F4673">
        <v>0.194554633520896</v>
      </c>
      <c r="G4673">
        <v>0.11485388215003201</v>
      </c>
      <c r="H4673">
        <v>6.6873283343647394E-2</v>
      </c>
      <c r="I4673">
        <v>5.49451114565985E-2</v>
      </c>
      <c r="J4673">
        <v>5.8164802551965197E-2</v>
      </c>
      <c r="K4673">
        <v>5.2649360576694601E-2</v>
      </c>
      <c r="L4673">
        <v>841.79391787992495</v>
      </c>
      <c r="M4673">
        <v>17.196866183737601</v>
      </c>
      <c r="N4673">
        <v>49.1771875585966</v>
      </c>
      <c r="O4673">
        <v>48.302880343719799</v>
      </c>
      <c r="P4673">
        <v>-8.5617806720704695E-2</v>
      </c>
      <c r="Q4673">
        <v>3.8117157512003001E-2</v>
      </c>
      <c r="R4673">
        <v>0.99606181973990104</v>
      </c>
      <c r="S4673" t="s">
        <v>11125</v>
      </c>
      <c r="T4673" t="s">
        <v>12902</v>
      </c>
      <c r="U4673" t="s">
        <v>12902</v>
      </c>
      <c r="V4673" t="s">
        <v>12902</v>
      </c>
      <c r="W4673" t="s">
        <v>17528</v>
      </c>
      <c r="X4673">
        <v>16</v>
      </c>
      <c r="Y4673" t="s">
        <v>23831</v>
      </c>
      <c r="Z4673" t="s">
        <v>30248</v>
      </c>
      <c r="AA4673">
        <v>0.34335254424164929</v>
      </c>
      <c r="AB4673" t="str">
        <f>HYPERLINK("Melting_Curves/meltCurve_Q8WX92_NELFB.pdf", "Melting_Curves/meltCurve_Q8WX92_NELFB.pdf")</f>
        <v>Melting_Curves/meltCurve_Q8WX92_NELFB.pdf</v>
      </c>
    </row>
    <row r="4674" spans="1:28" x14ac:dyDescent="0.25">
      <c r="A4674" t="s">
        <v>4678</v>
      </c>
      <c r="B4674">
        <v>0.99673306730245903</v>
      </c>
      <c r="C4674">
        <v>0.93322632429767005</v>
      </c>
      <c r="D4674">
        <v>0.78934485584141201</v>
      </c>
      <c r="E4674">
        <v>0.51329656357319497</v>
      </c>
      <c r="F4674">
        <v>0.18837104951564901</v>
      </c>
      <c r="G4674">
        <v>0.118227220491344</v>
      </c>
      <c r="H4674">
        <v>7.5032400311017294E-2</v>
      </c>
      <c r="I4674">
        <v>6.7320238845385502E-2</v>
      </c>
      <c r="J4674">
        <v>5.37557604200272E-2</v>
      </c>
      <c r="K4674">
        <v>5.1447273384740699E-2</v>
      </c>
      <c r="L4674">
        <v>964.45938181086206</v>
      </c>
      <c r="M4674">
        <v>19.6243154603352</v>
      </c>
      <c r="N4674">
        <v>49.408726515362197</v>
      </c>
      <c r="O4674">
        <v>48.644350159248503</v>
      </c>
      <c r="P4674">
        <v>-9.5865068386247795E-2</v>
      </c>
      <c r="Q4674">
        <v>4.9519959537299901E-2</v>
      </c>
      <c r="R4674">
        <v>0.99798204316028705</v>
      </c>
      <c r="S4674" t="s">
        <v>11126</v>
      </c>
      <c r="T4674" t="s">
        <v>12902</v>
      </c>
      <c r="U4674" t="s">
        <v>12902</v>
      </c>
      <c r="V4674" t="s">
        <v>12902</v>
      </c>
      <c r="W4674" t="s">
        <v>17529</v>
      </c>
      <c r="X4674">
        <v>11</v>
      </c>
      <c r="Y4674" t="s">
        <v>23832</v>
      </c>
      <c r="Z4674" t="s">
        <v>30249</v>
      </c>
      <c r="AA4674">
        <v>0.35310971785779888</v>
      </c>
      <c r="AB4674" t="str">
        <f>HYPERLINK("Melting_Curves/meltCurve_Q8WXA9_2_SREK1.pdf", "Melting_Curves/meltCurve_Q8WXA9_2_SREK1.pdf")</f>
        <v>Melting_Curves/meltCurve_Q8WXA9_2_SREK1.pdf</v>
      </c>
    </row>
    <row r="4675" spans="1:28" x14ac:dyDescent="0.25">
      <c r="A4675" t="s">
        <v>4679</v>
      </c>
      <c r="B4675">
        <v>0.99673306730245903</v>
      </c>
      <c r="C4675">
        <v>1.00246957127784</v>
      </c>
      <c r="D4675">
        <v>0.88150616048088504</v>
      </c>
      <c r="E4675">
        <v>0.85049215038206205</v>
      </c>
      <c r="F4675">
        <v>0.70877527113073602</v>
      </c>
      <c r="G4675">
        <v>0.56895003058995697</v>
      </c>
      <c r="H4675">
        <v>0.52764769557902802</v>
      </c>
      <c r="I4675">
        <v>0.91777644078165799</v>
      </c>
      <c r="J4675">
        <v>0.98264194142196903</v>
      </c>
      <c r="K4675">
        <v>1.0429043692075599</v>
      </c>
      <c r="L4675">
        <v>1801.7224337330899</v>
      </c>
      <c r="M4675">
        <v>39.320269857829203</v>
      </c>
      <c r="O4675">
        <v>45.703678499443399</v>
      </c>
      <c r="P4675">
        <v>-4.3543653823886003E-2</v>
      </c>
      <c r="Q4675">
        <v>0.79754962662553297</v>
      </c>
      <c r="R4675">
        <v>0.206695940307075</v>
      </c>
      <c r="S4675" t="s">
        <v>11127</v>
      </c>
      <c r="T4675" t="s">
        <v>12902</v>
      </c>
      <c r="U4675" t="s">
        <v>12902</v>
      </c>
      <c r="V4675" t="s">
        <v>12902</v>
      </c>
      <c r="W4675" t="s">
        <v>17530</v>
      </c>
      <c r="X4675">
        <v>1</v>
      </c>
      <c r="Y4675" t="s">
        <v>23833</v>
      </c>
      <c r="Z4675" t="s">
        <v>30250</v>
      </c>
      <c r="AA4675">
        <v>0.83751932523193873</v>
      </c>
      <c r="AB4675" t="str">
        <f>HYPERLINK("Melting_Curves/meltCurve_Q8WXD2_SCG3.pdf", "Melting_Curves/meltCurve_Q8WXD2_SCG3.pdf")</f>
        <v>Melting_Curves/meltCurve_Q8WXD2_SCG3.pdf</v>
      </c>
    </row>
    <row r="4676" spans="1:28" x14ac:dyDescent="0.25">
      <c r="A4676" t="s">
        <v>4680</v>
      </c>
      <c r="B4676">
        <v>0.99673306730245903</v>
      </c>
      <c r="C4676">
        <v>0.97185825622630395</v>
      </c>
      <c r="D4676">
        <v>0.93888070316551497</v>
      </c>
      <c r="E4676">
        <v>0.79361250035340303</v>
      </c>
      <c r="F4676">
        <v>0.75481627202434398</v>
      </c>
      <c r="G4676">
        <v>0.51007626220543101</v>
      </c>
      <c r="H4676">
        <v>0.30625347873821501</v>
      </c>
      <c r="I4676">
        <v>0.30425149334636498</v>
      </c>
      <c r="J4676">
        <v>0.40340661635560499</v>
      </c>
      <c r="K4676">
        <v>0.35795731611935999</v>
      </c>
      <c r="L4676">
        <v>892.125203340383</v>
      </c>
      <c r="M4676">
        <v>16.659526374305301</v>
      </c>
      <c r="N4676">
        <v>56.894753996834197</v>
      </c>
      <c r="O4676">
        <v>52.796709749728301</v>
      </c>
      <c r="P4676">
        <v>-5.4260552336275698E-2</v>
      </c>
      <c r="Q4676">
        <v>0.31220450776005398</v>
      </c>
      <c r="R4676">
        <v>0.96335584109574901</v>
      </c>
      <c r="S4676" t="s">
        <v>11128</v>
      </c>
      <c r="T4676" t="s">
        <v>12902</v>
      </c>
      <c r="U4676" t="s">
        <v>12902</v>
      </c>
      <c r="V4676" t="s">
        <v>12902</v>
      </c>
      <c r="W4676" t="s">
        <v>17531</v>
      </c>
      <c r="X4676">
        <v>4</v>
      </c>
      <c r="Y4676" t="s">
        <v>23834</v>
      </c>
      <c r="Z4676" t="s">
        <v>30251</v>
      </c>
      <c r="AA4676">
        <v>0.63536345810359474</v>
      </c>
      <c r="AB4676" t="str">
        <f>HYPERLINK("Melting_Curves/meltCurve_Q8WXD5_GEMIN6.pdf", "Melting_Curves/meltCurve_Q8WXD5_GEMIN6.pdf")</f>
        <v>Melting_Curves/meltCurve_Q8WXD5_GEMIN6.pdf</v>
      </c>
    </row>
    <row r="4677" spans="1:28" x14ac:dyDescent="0.25">
      <c r="A4677" t="s">
        <v>4681</v>
      </c>
      <c r="B4677">
        <v>0.99673306730245903</v>
      </c>
      <c r="C4677">
        <v>0.95925642647285903</v>
      </c>
      <c r="D4677">
        <v>0.91103625607745597</v>
      </c>
      <c r="E4677">
        <v>0.82308120540268503</v>
      </c>
      <c r="F4677">
        <v>0.51456024653641197</v>
      </c>
      <c r="G4677">
        <v>0.26247194608118002</v>
      </c>
      <c r="H4677">
        <v>8.8433755667042105E-2</v>
      </c>
      <c r="I4677">
        <v>8.3238047334705995E-2</v>
      </c>
      <c r="J4677">
        <v>7.5557044287274805E-2</v>
      </c>
      <c r="K4677">
        <v>8.0829787004375805E-2</v>
      </c>
      <c r="L4677">
        <v>1040.0077009689301</v>
      </c>
      <c r="M4677">
        <v>19.610585647784699</v>
      </c>
      <c r="N4677">
        <v>53.3372672602246</v>
      </c>
      <c r="O4677">
        <v>52.490747907982403</v>
      </c>
      <c r="P4677">
        <v>-8.8460313903352406E-2</v>
      </c>
      <c r="Q4677">
        <v>5.2922761987236902E-2</v>
      </c>
      <c r="R4677">
        <v>0.99661356070868901</v>
      </c>
      <c r="S4677" t="s">
        <v>11129</v>
      </c>
      <c r="T4677" t="s">
        <v>12902</v>
      </c>
      <c r="U4677" t="s">
        <v>12902</v>
      </c>
      <c r="V4677" t="s">
        <v>12902</v>
      </c>
      <c r="W4677" t="s">
        <v>17532</v>
      </c>
      <c r="X4677">
        <v>2</v>
      </c>
      <c r="Y4677" t="s">
        <v>23835</v>
      </c>
      <c r="Z4677" t="s">
        <v>30252</v>
      </c>
      <c r="AA4677">
        <v>0.47782727328565688</v>
      </c>
      <c r="AB4677" t="str">
        <f>HYPERLINK("Melting_Curves/meltCurve_Q8WXE1_5_ATRIP.pdf", "Melting_Curves/meltCurve_Q8WXE1_5_ATRIP.pdf")</f>
        <v>Melting_Curves/meltCurve_Q8WXE1_5_ATRIP.pdf</v>
      </c>
    </row>
    <row r="4678" spans="1:28" x14ac:dyDescent="0.25">
      <c r="A4678" t="s">
        <v>4682</v>
      </c>
      <c r="B4678">
        <v>0.99673306730245903</v>
      </c>
      <c r="C4678">
        <v>0.93683427133971198</v>
      </c>
      <c r="D4678">
        <v>0.58235384085846997</v>
      </c>
      <c r="E4678">
        <v>0.36221225945812402</v>
      </c>
      <c r="F4678">
        <v>0.22729673915638299</v>
      </c>
      <c r="G4678">
        <v>0.164409140272123</v>
      </c>
      <c r="H4678">
        <v>0.10619180001570901</v>
      </c>
      <c r="I4678">
        <v>0.105148090716981</v>
      </c>
      <c r="J4678">
        <v>0.100314279351489</v>
      </c>
      <c r="K4678">
        <v>9.3041459385689904E-2</v>
      </c>
      <c r="L4678">
        <v>894.417503800031</v>
      </c>
      <c r="M4678">
        <v>19.035755847134201</v>
      </c>
      <c r="N4678">
        <v>47.594172868504501</v>
      </c>
      <c r="O4678">
        <v>46.476858890892302</v>
      </c>
      <c r="P4678">
        <v>-9.1345832896744805E-2</v>
      </c>
      <c r="Q4678">
        <v>0.10793152788504599</v>
      </c>
      <c r="R4678">
        <v>0.99021657728543599</v>
      </c>
      <c r="S4678" t="s">
        <v>11130</v>
      </c>
      <c r="T4678" t="s">
        <v>12902</v>
      </c>
      <c r="U4678" t="s">
        <v>12902</v>
      </c>
      <c r="V4678" t="s">
        <v>12902</v>
      </c>
      <c r="W4678" t="s">
        <v>17533</v>
      </c>
      <c r="X4678">
        <v>26</v>
      </c>
      <c r="Y4678" t="s">
        <v>23836</v>
      </c>
      <c r="Z4678" t="s">
        <v>30253</v>
      </c>
      <c r="AA4678">
        <v>0.33024130518352829</v>
      </c>
      <c r="AB4678" t="str">
        <f>HYPERLINK("Melting_Curves/meltCurve_Q8WXF1_PSPC1.pdf", "Melting_Curves/meltCurve_Q8WXF1_PSPC1.pdf")</f>
        <v>Melting_Curves/meltCurve_Q8WXF1_PSPC1.pdf</v>
      </c>
    </row>
    <row r="4679" spans="1:28" x14ac:dyDescent="0.25">
      <c r="A4679" t="s">
        <v>4683</v>
      </c>
      <c r="B4679">
        <v>0.99673306730245903</v>
      </c>
      <c r="C4679">
        <v>0.86455848930419799</v>
      </c>
      <c r="D4679">
        <v>0.82883981649077498</v>
      </c>
      <c r="E4679">
        <v>0.55089419416270402</v>
      </c>
      <c r="F4679">
        <v>0.226953606959169</v>
      </c>
      <c r="G4679">
        <v>0.16230646805488899</v>
      </c>
      <c r="H4679">
        <v>0.13418038152738099</v>
      </c>
      <c r="I4679">
        <v>0.13030851526763301</v>
      </c>
      <c r="J4679">
        <v>0.133115993644288</v>
      </c>
      <c r="K4679">
        <v>0.16649831954998101</v>
      </c>
      <c r="L4679">
        <v>996.73201381103399</v>
      </c>
      <c r="M4679">
        <v>20.333747347122401</v>
      </c>
      <c r="N4679">
        <v>49.726915111358402</v>
      </c>
      <c r="O4679">
        <v>48.551896130141301</v>
      </c>
      <c r="P4679">
        <v>-9.1539803312801399E-2</v>
      </c>
      <c r="Q4679">
        <v>0.12573027770061199</v>
      </c>
      <c r="R4679">
        <v>0.98786459945966199</v>
      </c>
      <c r="S4679" t="s">
        <v>11131</v>
      </c>
      <c r="T4679" t="s">
        <v>12902</v>
      </c>
      <c r="U4679" t="s">
        <v>12902</v>
      </c>
      <c r="V4679" t="s">
        <v>12902</v>
      </c>
      <c r="W4679" t="s">
        <v>17534</v>
      </c>
      <c r="X4679">
        <v>4</v>
      </c>
      <c r="Y4679" t="s">
        <v>23837</v>
      </c>
      <c r="Z4679" t="s">
        <v>30254</v>
      </c>
      <c r="AA4679">
        <v>0.40039269160009411</v>
      </c>
      <c r="AB4679" t="str">
        <f>HYPERLINK("Melting_Curves/meltCurve_Q8WXG6_6_MADD.pdf", "Melting_Curves/meltCurve_Q8WXG6_6_MADD.pdf")</f>
        <v>Melting_Curves/meltCurve_Q8WXG6_6_MADD.pdf</v>
      </c>
    </row>
    <row r="4680" spans="1:28" x14ac:dyDescent="0.25">
      <c r="A4680" t="s">
        <v>4684</v>
      </c>
      <c r="B4680">
        <v>0.99673306730245903</v>
      </c>
      <c r="C4680">
        <v>1.1273894744437301</v>
      </c>
      <c r="D4680">
        <v>1.02802452878482</v>
      </c>
      <c r="E4680">
        <v>0.95663096145500004</v>
      </c>
      <c r="F4680">
        <v>0.82525018672261397</v>
      </c>
      <c r="G4680">
        <v>0.58859330957558798</v>
      </c>
      <c r="H4680">
        <v>0.53909992009755403</v>
      </c>
      <c r="I4680">
        <v>0.17210052416159999</v>
      </c>
      <c r="J4680">
        <v>0.15310484444886999</v>
      </c>
      <c r="K4680">
        <v>6.22777535559631E-2</v>
      </c>
      <c r="L4680">
        <v>884.28942009519403</v>
      </c>
      <c r="M4680">
        <v>14.926549212468</v>
      </c>
      <c r="N4680">
        <v>59.242723281969297</v>
      </c>
      <c r="O4680">
        <v>58.209895122746197</v>
      </c>
      <c r="P4680">
        <v>-6.4113182526608303E-2</v>
      </c>
      <c r="Q4680">
        <v>0</v>
      </c>
      <c r="R4680">
        <v>0.96681560985225101</v>
      </c>
      <c r="S4680" t="s">
        <v>11132</v>
      </c>
      <c r="T4680" t="s">
        <v>12902</v>
      </c>
      <c r="U4680" t="s">
        <v>12902</v>
      </c>
      <c r="V4680" t="s">
        <v>12902</v>
      </c>
      <c r="W4680" t="s">
        <v>17535</v>
      </c>
      <c r="X4680">
        <v>3</v>
      </c>
      <c r="Y4680" t="s">
        <v>23838</v>
      </c>
      <c r="Z4680" t="s">
        <v>30255</v>
      </c>
      <c r="AA4680">
        <v>0.65106241416753019</v>
      </c>
      <c r="AB4680" t="str">
        <f>HYPERLINK("Melting_Curves/meltCurve_Q8WXH0_SYNE2.pdf", "Melting_Curves/meltCurve_Q8WXH0_SYNE2.pdf")</f>
        <v>Melting_Curves/meltCurve_Q8WXH0_SYNE2.pdf</v>
      </c>
    </row>
    <row r="4681" spans="1:28" x14ac:dyDescent="0.25">
      <c r="A4681" t="s">
        <v>4685</v>
      </c>
      <c r="B4681">
        <v>0.99673306730245903</v>
      </c>
      <c r="C4681">
        <v>0.79929988973364396</v>
      </c>
      <c r="D4681">
        <v>0.66345964679069702</v>
      </c>
      <c r="E4681">
        <v>0.45251287583053501</v>
      </c>
      <c r="F4681">
        <v>0.26216431601286</v>
      </c>
      <c r="G4681">
        <v>0.16072660921804499</v>
      </c>
      <c r="H4681">
        <v>0.105233196062809</v>
      </c>
      <c r="I4681">
        <v>0.13559012553236899</v>
      </c>
      <c r="J4681">
        <v>0.16555792904837999</v>
      </c>
      <c r="K4681">
        <v>0.17159566132507001</v>
      </c>
      <c r="L4681">
        <v>718.74253388892998</v>
      </c>
      <c r="M4681">
        <v>15.174658223957399</v>
      </c>
      <c r="N4681">
        <v>48.288202560227496</v>
      </c>
      <c r="O4681">
        <v>46.564962661562099</v>
      </c>
      <c r="P4681">
        <v>-7.12158141569353E-2</v>
      </c>
      <c r="Q4681">
        <v>0.12595316877087101</v>
      </c>
      <c r="R4681">
        <v>0.98716319818625597</v>
      </c>
      <c r="S4681" t="s">
        <v>11133</v>
      </c>
      <c r="T4681" t="s">
        <v>12902</v>
      </c>
      <c r="U4681" t="s">
        <v>12902</v>
      </c>
      <c r="V4681" t="s">
        <v>12902</v>
      </c>
      <c r="W4681" t="s">
        <v>17536</v>
      </c>
      <c r="X4681">
        <v>6</v>
      </c>
      <c r="Y4681" t="s">
        <v>23839</v>
      </c>
      <c r="Z4681" t="s">
        <v>30256</v>
      </c>
      <c r="AA4681">
        <v>0.36322031313256292</v>
      </c>
      <c r="AB4681" t="str">
        <f>HYPERLINK("Melting_Curves/meltCurve_Q8WXI9_GATAD2B.pdf", "Melting_Curves/meltCurve_Q8WXI9_GATAD2B.pdf")</f>
        <v>Melting_Curves/meltCurve_Q8WXI9_GATAD2B.pdf</v>
      </c>
    </row>
    <row r="4682" spans="1:28" x14ac:dyDescent="0.25">
      <c r="A4682" t="s">
        <v>4686</v>
      </c>
      <c r="B4682">
        <v>0.99673306730245903</v>
      </c>
      <c r="C4682">
        <v>1.12800617988009</v>
      </c>
      <c r="D4682">
        <v>0.955704389086524</v>
      </c>
      <c r="E4682">
        <v>0.94053484143695998</v>
      </c>
      <c r="F4682">
        <v>0.82203471616421597</v>
      </c>
      <c r="G4682">
        <v>0.80481335466263204</v>
      </c>
      <c r="H4682">
        <v>0.89286293207189005</v>
      </c>
      <c r="I4682">
        <v>2.21271791605816</v>
      </c>
      <c r="J4682">
        <v>3.7022758039345098</v>
      </c>
      <c r="K4682">
        <v>4.0753275510461897</v>
      </c>
      <c r="L4682">
        <v>15000</v>
      </c>
      <c r="M4682">
        <v>241.48287389550401</v>
      </c>
      <c r="O4682">
        <v>62.111945961959599</v>
      </c>
      <c r="P4682">
        <v>0.48598315244483298</v>
      </c>
      <c r="Q4682">
        <v>1.5</v>
      </c>
      <c r="R4682">
        <v>0.14029711024288</v>
      </c>
      <c r="S4682" t="s">
        <v>11134</v>
      </c>
      <c r="T4682" t="s">
        <v>12902</v>
      </c>
      <c r="U4682" t="s">
        <v>12902</v>
      </c>
      <c r="V4682" t="s">
        <v>12902</v>
      </c>
      <c r="W4682" t="s">
        <v>17537</v>
      </c>
      <c r="X4682">
        <v>1</v>
      </c>
      <c r="Y4682" t="s">
        <v>23840</v>
      </c>
      <c r="Z4682" t="s">
        <v>30257</v>
      </c>
      <c r="AA4682">
        <v>1.131338142431338</v>
      </c>
      <c r="AB4682" t="str">
        <f>HYPERLINK("Melting_Curves/meltCurve_Q8WXX0_DNAH7.pdf", "Melting_Curves/meltCurve_Q8WXX0_DNAH7.pdf")</f>
        <v>Melting_Curves/meltCurve_Q8WXX0_DNAH7.pdf</v>
      </c>
    </row>
    <row r="4683" spans="1:28" x14ac:dyDescent="0.25">
      <c r="A4683" t="s">
        <v>4687</v>
      </c>
      <c r="B4683">
        <v>0.99673306730245903</v>
      </c>
      <c r="C4683">
        <v>1.06194045562402</v>
      </c>
      <c r="D4683">
        <v>1.0045620092129</v>
      </c>
      <c r="E4683">
        <v>0.886571590545567</v>
      </c>
      <c r="F4683">
        <v>0.34991736122482198</v>
      </c>
      <c r="G4683">
        <v>0.25124357673839598</v>
      </c>
      <c r="H4683">
        <v>0.17756570446664</v>
      </c>
      <c r="I4683">
        <v>0.22690807561055801</v>
      </c>
      <c r="J4683">
        <v>0.24541795655541801</v>
      </c>
      <c r="K4683">
        <v>0.28884468150245002</v>
      </c>
      <c r="L4683">
        <v>2561.1087226508998</v>
      </c>
      <c r="M4683">
        <v>49.886156613092197</v>
      </c>
      <c r="N4683">
        <v>52.007331334397001</v>
      </c>
      <c r="O4683">
        <v>51.256769198561898</v>
      </c>
      <c r="P4683">
        <v>-0.18574121631681101</v>
      </c>
      <c r="Q4683">
        <v>0.236622971676758</v>
      </c>
      <c r="R4683">
        <v>0.99209401884276005</v>
      </c>
      <c r="S4683" t="s">
        <v>11135</v>
      </c>
      <c r="T4683" t="s">
        <v>12902</v>
      </c>
      <c r="U4683" t="s">
        <v>12902</v>
      </c>
      <c r="V4683" t="s">
        <v>12902</v>
      </c>
      <c r="W4683" t="s">
        <v>17538</v>
      </c>
      <c r="X4683">
        <v>8</v>
      </c>
      <c r="Y4683" t="s">
        <v>23841</v>
      </c>
      <c r="Z4683" t="s">
        <v>30258</v>
      </c>
      <c r="AA4683">
        <v>0.52689234412193775</v>
      </c>
      <c r="AB4683" t="str">
        <f>HYPERLINK("Melting_Curves/meltCurve_Q8WXX5_DNAJC9.pdf", "Melting_Curves/meltCurve_Q8WXX5_DNAJC9.pdf")</f>
        <v>Melting_Curves/meltCurve_Q8WXX5_DNAJC9.pdf</v>
      </c>
    </row>
    <row r="4684" spans="1:28" x14ac:dyDescent="0.25">
      <c r="A4684" t="s">
        <v>4688</v>
      </c>
      <c r="B4684">
        <v>0.99673306730245903</v>
      </c>
      <c r="C4684">
        <v>0.97829232378480502</v>
      </c>
      <c r="D4684">
        <v>0.92914289345665402</v>
      </c>
      <c r="E4684">
        <v>0.85169265734996502</v>
      </c>
      <c r="F4684">
        <v>0.81397297921975198</v>
      </c>
      <c r="G4684">
        <v>0.66829992291622298</v>
      </c>
      <c r="H4684">
        <v>0.63202159841111205</v>
      </c>
      <c r="I4684">
        <v>0.77750248636708297</v>
      </c>
      <c r="J4684">
        <v>0.83846391023447397</v>
      </c>
      <c r="K4684">
        <v>1.1765535245595899</v>
      </c>
      <c r="L4684">
        <v>1506.6205583763499</v>
      </c>
      <c r="M4684">
        <v>32.326362242483597</v>
      </c>
      <c r="O4684">
        <v>46.429291965165397</v>
      </c>
      <c r="P4684">
        <v>-3.1553688497180002E-2</v>
      </c>
      <c r="Q4684">
        <v>0.81872277703436702</v>
      </c>
      <c r="R4684">
        <v>0.20106109993996699</v>
      </c>
      <c r="S4684" t="s">
        <v>11136</v>
      </c>
      <c r="T4684" t="s">
        <v>12902</v>
      </c>
      <c r="U4684" t="s">
        <v>12902</v>
      </c>
      <c r="V4684" t="s">
        <v>12902</v>
      </c>
      <c r="W4684" t="s">
        <v>17539</v>
      </c>
      <c r="X4684">
        <v>4</v>
      </c>
      <c r="Y4684" t="s">
        <v>23842</v>
      </c>
      <c r="Z4684" t="s">
        <v>30259</v>
      </c>
      <c r="AA4684">
        <v>0.85957088454851693</v>
      </c>
      <c r="AB4684" t="str">
        <f>HYPERLINK("Melting_Curves/meltCurve_Q8WY22_BRI3BP.pdf", "Melting_Curves/meltCurve_Q8WY22_BRI3BP.pdf")</f>
        <v>Melting_Curves/meltCurve_Q8WY22_BRI3BP.pdf</v>
      </c>
    </row>
    <row r="4685" spans="1:28" x14ac:dyDescent="0.25">
      <c r="A4685" t="s">
        <v>4689</v>
      </c>
      <c r="B4685">
        <v>0.99673306730245903</v>
      </c>
      <c r="C4685">
        <v>0.88860887106576703</v>
      </c>
      <c r="D4685">
        <v>0.32129042021527798</v>
      </c>
      <c r="E4685">
        <v>0.13784094085324</v>
      </c>
      <c r="F4685">
        <v>8.60652111591685E-2</v>
      </c>
      <c r="G4685">
        <v>5.5357422257563599E-2</v>
      </c>
      <c r="H4685">
        <v>3.8581700585428501E-2</v>
      </c>
      <c r="I4685">
        <v>3.21367942602181E-2</v>
      </c>
      <c r="J4685">
        <v>3.4334917093512003E-2</v>
      </c>
      <c r="K4685">
        <v>3.3430978740991303E-2</v>
      </c>
      <c r="L4685">
        <v>1740.3844042426499</v>
      </c>
      <c r="M4685">
        <v>38.688375382017099</v>
      </c>
      <c r="N4685">
        <v>45.118456902458099</v>
      </c>
      <c r="O4685">
        <v>44.865024386954403</v>
      </c>
      <c r="P4685">
        <v>-0.20390050956544001</v>
      </c>
      <c r="Q4685">
        <v>5.4188755027806602E-2</v>
      </c>
      <c r="R4685">
        <v>0.99489194389037605</v>
      </c>
      <c r="S4685" t="s">
        <v>11137</v>
      </c>
      <c r="T4685" t="s">
        <v>12902</v>
      </c>
      <c r="U4685" t="s">
        <v>12902</v>
      </c>
      <c r="V4685" t="s">
        <v>12902</v>
      </c>
      <c r="W4685" t="s">
        <v>17540</v>
      </c>
      <c r="X4685">
        <v>17</v>
      </c>
      <c r="Y4685" t="s">
        <v>23843</v>
      </c>
      <c r="Z4685" t="s">
        <v>30260</v>
      </c>
      <c r="AA4685">
        <v>0.2147102048567085</v>
      </c>
      <c r="AB4685" t="str">
        <f>HYPERLINK("Melting_Curves/meltCurve_Q8WYA6_CTNNBL1.pdf", "Melting_Curves/meltCurve_Q8WYA6_CTNNBL1.pdf")</f>
        <v>Melting_Curves/meltCurve_Q8WYA6_CTNNBL1.pdf</v>
      </c>
    </row>
    <row r="4686" spans="1:28" x14ac:dyDescent="0.25">
      <c r="A4686" t="s">
        <v>4690</v>
      </c>
      <c r="B4686">
        <v>0.99673306730245903</v>
      </c>
      <c r="C4686">
        <v>0.79512056486012495</v>
      </c>
      <c r="D4686">
        <v>0.72945228151522201</v>
      </c>
      <c r="E4686">
        <v>0.67469277563574703</v>
      </c>
      <c r="F4686">
        <v>0.37212589818956698</v>
      </c>
      <c r="G4686">
        <v>0.26540394964589797</v>
      </c>
      <c r="H4686">
        <v>0.26867259442130098</v>
      </c>
      <c r="I4686">
        <v>0.28179630695590102</v>
      </c>
      <c r="J4686">
        <v>0.31977347139934598</v>
      </c>
      <c r="K4686">
        <v>0.224096101785694</v>
      </c>
      <c r="L4686">
        <v>612.10525520917201</v>
      </c>
      <c r="M4686">
        <v>12.610544069648</v>
      </c>
      <c r="N4686">
        <v>51.014470473202799</v>
      </c>
      <c r="O4686">
        <v>47.367082628717696</v>
      </c>
      <c r="P4686">
        <v>-5.1336979822072103E-2</v>
      </c>
      <c r="Q4686">
        <v>0.228835960432376</v>
      </c>
      <c r="R4686">
        <v>0.95081654682732497</v>
      </c>
      <c r="S4686" t="s">
        <v>11138</v>
      </c>
      <c r="T4686" t="s">
        <v>12902</v>
      </c>
      <c r="U4686" t="s">
        <v>12902</v>
      </c>
      <c r="V4686" t="s">
        <v>12902</v>
      </c>
      <c r="W4686" t="s">
        <v>17541</v>
      </c>
      <c r="X4686">
        <v>7</v>
      </c>
      <c r="Y4686" t="s">
        <v>23844</v>
      </c>
      <c r="Z4686" t="s">
        <v>30261</v>
      </c>
      <c r="AA4686">
        <v>0.47506856221134469</v>
      </c>
      <c r="AB4686" t="str">
        <f>HYPERLINK("Melting_Curves/meltCurve_Q8WYP5_AHCTF1.pdf", "Melting_Curves/meltCurve_Q8WYP5_AHCTF1.pdf")</f>
        <v>Melting_Curves/meltCurve_Q8WYP5_AHCTF1.pdf</v>
      </c>
    </row>
    <row r="4687" spans="1:28" x14ac:dyDescent="0.25">
      <c r="A4687" t="s">
        <v>4691</v>
      </c>
      <c r="B4687">
        <v>0.99673306730245903</v>
      </c>
      <c r="C4687">
        <v>0.99055086120133196</v>
      </c>
      <c r="D4687">
        <v>0.67887099455473399</v>
      </c>
      <c r="E4687">
        <v>0.24119053908313401</v>
      </c>
      <c r="F4687">
        <v>0.135369653277602</v>
      </c>
      <c r="G4687">
        <v>8.5518439668393301E-2</v>
      </c>
      <c r="H4687">
        <v>5.8349918636033803E-2</v>
      </c>
      <c r="I4687">
        <v>5.2710016449341403E-2</v>
      </c>
      <c r="J4687">
        <v>4.6124802951660798E-2</v>
      </c>
      <c r="K4687">
        <v>4.1112574992471E-2</v>
      </c>
      <c r="L4687">
        <v>1350.2782020680499</v>
      </c>
      <c r="M4687">
        <v>28.633363862159101</v>
      </c>
      <c r="N4687">
        <v>47.373721168088501</v>
      </c>
      <c r="O4687">
        <v>46.929270823842202</v>
      </c>
      <c r="P4687">
        <v>-0.14319288162302901</v>
      </c>
      <c r="Q4687">
        <v>6.1250654719068598E-2</v>
      </c>
      <c r="R4687">
        <v>0.99678555595923901</v>
      </c>
      <c r="S4687" t="s">
        <v>11139</v>
      </c>
      <c r="T4687" t="s">
        <v>12902</v>
      </c>
      <c r="U4687" t="s">
        <v>12902</v>
      </c>
      <c r="V4687" t="s">
        <v>12902</v>
      </c>
      <c r="W4687" t="s">
        <v>17542</v>
      </c>
      <c r="X4687">
        <v>4</v>
      </c>
      <c r="Y4687" t="s">
        <v>23845</v>
      </c>
      <c r="Z4687" t="s">
        <v>30262</v>
      </c>
      <c r="AA4687">
        <v>0.29144305461936021</v>
      </c>
      <c r="AB4687" t="str">
        <f>HYPERLINK("Melting_Curves/meltCurve_Q8WZ82_OVCA2.pdf", "Melting_Curves/meltCurve_Q8WZ82_OVCA2.pdf")</f>
        <v>Melting_Curves/meltCurve_Q8WZ82_OVCA2.pdf</v>
      </c>
    </row>
    <row r="4688" spans="1:28" x14ac:dyDescent="0.25">
      <c r="A4688" t="s">
        <v>4692</v>
      </c>
      <c r="B4688">
        <v>0.99673306730245903</v>
      </c>
      <c r="C4688">
        <v>1.01890692812423</v>
      </c>
      <c r="D4688">
        <v>0.97693622333779895</v>
      </c>
      <c r="E4688">
        <v>0.94059313329880301</v>
      </c>
      <c r="F4688">
        <v>0.78780851368059301</v>
      </c>
      <c r="G4688">
        <v>0.63588246019282002</v>
      </c>
      <c r="H4688">
        <v>0.40780924764438298</v>
      </c>
      <c r="I4688">
        <v>0.52068173773497095</v>
      </c>
      <c r="J4688">
        <v>0.58107949817130999</v>
      </c>
      <c r="K4688">
        <v>0.55490544680062903</v>
      </c>
      <c r="L4688">
        <v>1549.9175744076899</v>
      </c>
      <c r="M4688">
        <v>28.901501434764501</v>
      </c>
      <c r="O4688">
        <v>53.372804376000502</v>
      </c>
      <c r="P4688">
        <v>-6.5116965476399502E-2</v>
      </c>
      <c r="Q4688">
        <v>0.518994022683537</v>
      </c>
      <c r="R4688">
        <v>0.95037874873722705</v>
      </c>
      <c r="S4688" t="s">
        <v>11140</v>
      </c>
      <c r="T4688" t="s">
        <v>12902</v>
      </c>
      <c r="U4688" t="s">
        <v>12902</v>
      </c>
      <c r="V4688" t="s">
        <v>12902</v>
      </c>
      <c r="W4688" t="s">
        <v>17543</v>
      </c>
      <c r="X4688">
        <v>14</v>
      </c>
      <c r="Y4688" t="s">
        <v>23846</v>
      </c>
      <c r="Z4688" t="s">
        <v>30263</v>
      </c>
      <c r="AA4688">
        <v>0.74087297217343939</v>
      </c>
      <c r="AB4688" t="str">
        <f>HYPERLINK("Melting_Curves/meltCurve_Q8WZA0_LZIC.pdf", "Melting_Curves/meltCurve_Q8WZA0_LZIC.pdf")</f>
        <v>Melting_Curves/meltCurve_Q8WZA0_LZIC.pdf</v>
      </c>
    </row>
    <row r="4689" spans="1:28" x14ac:dyDescent="0.25">
      <c r="A4689" t="s">
        <v>4693</v>
      </c>
      <c r="B4689">
        <v>0.99673306730245903</v>
      </c>
      <c r="C4689">
        <v>1.06315772343199</v>
      </c>
      <c r="D4689">
        <v>0.56710539937474502</v>
      </c>
      <c r="E4689">
        <v>0.68906736954769598</v>
      </c>
      <c r="F4689">
        <v>0.133363179979399</v>
      </c>
      <c r="G4689">
        <v>7.4126671470640296E-2</v>
      </c>
      <c r="H4689">
        <v>4.34961630935118E-2</v>
      </c>
      <c r="I4689">
        <v>3.8332963708742E-2</v>
      </c>
      <c r="J4689">
        <v>4.8880723257961403E-2</v>
      </c>
      <c r="K4689">
        <v>3.9676749302653899E-2</v>
      </c>
      <c r="L4689">
        <v>846.74251845714002</v>
      </c>
      <c r="M4689">
        <v>17.1328420854835</v>
      </c>
      <c r="N4689">
        <v>49.491919883941598</v>
      </c>
      <c r="O4689">
        <v>48.763615655019201</v>
      </c>
      <c r="P4689">
        <v>-8.6793914365792493E-2</v>
      </c>
      <c r="Q4689">
        <v>1.1925423797117101E-2</v>
      </c>
      <c r="R4689">
        <v>0.92617374598926705</v>
      </c>
      <c r="S4689" t="s">
        <v>11141</v>
      </c>
      <c r="T4689" t="s">
        <v>12902</v>
      </c>
      <c r="U4689" t="s">
        <v>12902</v>
      </c>
      <c r="V4689" t="s">
        <v>12902</v>
      </c>
      <c r="W4689" t="s">
        <v>17544</v>
      </c>
      <c r="X4689">
        <v>15</v>
      </c>
      <c r="Y4689" t="s">
        <v>23847</v>
      </c>
      <c r="Z4689" t="s">
        <v>30264</v>
      </c>
      <c r="AA4689">
        <v>0.34095147622409278</v>
      </c>
      <c r="AB4689" t="str">
        <f>HYPERLINK("Melting_Curves/meltCurve_Q8WZA9_IRGQ.pdf", "Melting_Curves/meltCurve_Q8WZA9_IRGQ.pdf")</f>
        <v>Melting_Curves/meltCurve_Q8WZA9_IRGQ.pdf</v>
      </c>
    </row>
    <row r="4690" spans="1:28" x14ac:dyDescent="0.25">
      <c r="A4690" t="s">
        <v>4694</v>
      </c>
      <c r="B4690">
        <v>0.99673306730245903</v>
      </c>
      <c r="C4690">
        <v>0.92793858667359597</v>
      </c>
      <c r="D4690">
        <v>0.98304100807678396</v>
      </c>
      <c r="E4690">
        <v>1.1114834990836</v>
      </c>
      <c r="F4690">
        <v>1.06662503431238</v>
      </c>
      <c r="G4690">
        <v>0.96454769716032696</v>
      </c>
      <c r="H4690">
        <v>0.73351396546321102</v>
      </c>
      <c r="I4690">
        <v>0.58821648699108497</v>
      </c>
      <c r="J4690">
        <v>0.26389036397969501</v>
      </c>
      <c r="K4690">
        <v>0.12518200677475</v>
      </c>
      <c r="L4690">
        <v>1471.1355607411999</v>
      </c>
      <c r="M4690">
        <v>22.855282294837199</v>
      </c>
      <c r="N4690">
        <v>64.367438828670402</v>
      </c>
      <c r="O4690">
        <v>63.880726467106697</v>
      </c>
      <c r="P4690">
        <v>-8.9446857512267205E-2</v>
      </c>
      <c r="Q4690">
        <v>0</v>
      </c>
      <c r="R4690">
        <v>0.97109471198381603</v>
      </c>
      <c r="S4690" t="s">
        <v>11142</v>
      </c>
      <c r="T4690" t="s">
        <v>12902</v>
      </c>
      <c r="U4690" t="s">
        <v>12902</v>
      </c>
      <c r="V4690" t="s">
        <v>12902</v>
      </c>
      <c r="W4690" t="s">
        <v>17545</v>
      </c>
      <c r="X4690">
        <v>8</v>
      </c>
      <c r="Y4690" t="s">
        <v>23848</v>
      </c>
      <c r="Z4690" t="s">
        <v>30265</v>
      </c>
      <c r="AA4690">
        <v>0.80784931160437545</v>
      </c>
      <c r="AB4690" t="str">
        <f>HYPERLINK("Melting_Curves/meltCurve_Q92466_DDB2.pdf", "Melting_Curves/meltCurve_Q92466_DDB2.pdf")</f>
        <v>Melting_Curves/meltCurve_Q92466_DDB2.pdf</v>
      </c>
    </row>
    <row r="4691" spans="1:28" x14ac:dyDescent="0.25">
      <c r="A4691" t="s">
        <v>4695</v>
      </c>
      <c r="B4691">
        <v>0.99673306730245903</v>
      </c>
      <c r="C4691">
        <v>0.991154991240907</v>
      </c>
      <c r="D4691">
        <v>1.03051114331621</v>
      </c>
      <c r="E4691">
        <v>0.73006591698139101</v>
      </c>
      <c r="F4691">
        <v>0.80204819359552804</v>
      </c>
      <c r="G4691">
        <v>0.55944796519881501</v>
      </c>
      <c r="H4691">
        <v>0.54989815890355098</v>
      </c>
      <c r="I4691">
        <v>0.90358044951948802</v>
      </c>
      <c r="J4691">
        <v>1.520105990554</v>
      </c>
      <c r="K4691">
        <v>1.11394912084621</v>
      </c>
      <c r="L4691">
        <v>11896.1473854003</v>
      </c>
      <c r="M4691">
        <v>250</v>
      </c>
      <c r="O4691">
        <v>47.581544465214101</v>
      </c>
      <c r="P4691">
        <v>-0.15403955661066701</v>
      </c>
      <c r="Q4691">
        <v>0.88272895999463796</v>
      </c>
      <c r="R4691">
        <v>4.31694790988814E-2</v>
      </c>
      <c r="S4691" t="s">
        <v>11143</v>
      </c>
      <c r="T4691" t="s">
        <v>12902</v>
      </c>
      <c r="U4691" t="s">
        <v>12902</v>
      </c>
      <c r="V4691" t="s">
        <v>12902</v>
      </c>
      <c r="W4691" t="s">
        <v>17546</v>
      </c>
      <c r="X4691">
        <v>2</v>
      </c>
      <c r="Y4691" t="s">
        <v>23849</v>
      </c>
      <c r="Z4691" t="s">
        <v>30266</v>
      </c>
      <c r="AA4691">
        <v>0.91238717677620484</v>
      </c>
      <c r="AB4691" t="str">
        <f>HYPERLINK("Melting_Curves/meltCurve_Q92485_SMPDL3B.pdf", "Melting_Curves/meltCurve_Q92485_SMPDL3B.pdf")</f>
        <v>Melting_Curves/meltCurve_Q92485_SMPDL3B.pdf</v>
      </c>
    </row>
    <row r="4692" spans="1:28" x14ac:dyDescent="0.25">
      <c r="A4692" t="s">
        <v>4696</v>
      </c>
      <c r="B4692">
        <v>0.99673306730245903</v>
      </c>
      <c r="C4692">
        <v>0.87378484343754204</v>
      </c>
      <c r="D4692">
        <v>0.90111330901684195</v>
      </c>
      <c r="E4692">
        <v>0.84840031218436796</v>
      </c>
      <c r="F4692">
        <v>0.168693254293769</v>
      </c>
      <c r="G4692">
        <v>0.115673312897779</v>
      </c>
      <c r="H4692">
        <v>6.8624519088547095E-2</v>
      </c>
      <c r="I4692">
        <v>6.2917871629722302E-2</v>
      </c>
      <c r="J4692">
        <v>6.5548899534002794E-2</v>
      </c>
      <c r="K4692">
        <v>5.85723995061143E-2</v>
      </c>
      <c r="L4692">
        <v>2684.2704193148002</v>
      </c>
      <c r="M4692">
        <v>52.529078218401096</v>
      </c>
      <c r="N4692">
        <v>51.252571541898199</v>
      </c>
      <c r="O4692">
        <v>51.026758205015199</v>
      </c>
      <c r="P4692">
        <v>-0.238804474574524</v>
      </c>
      <c r="Q4692">
        <v>7.2101772182115401E-2</v>
      </c>
      <c r="R4692">
        <v>0.98323980776603004</v>
      </c>
      <c r="S4692" t="s">
        <v>11144</v>
      </c>
      <c r="T4692" t="s">
        <v>12902</v>
      </c>
      <c r="U4692" t="s">
        <v>12902</v>
      </c>
      <c r="V4692" t="s">
        <v>12902</v>
      </c>
      <c r="W4692" t="s">
        <v>17547</v>
      </c>
      <c r="X4692">
        <v>37</v>
      </c>
      <c r="Y4692" t="s">
        <v>23850</v>
      </c>
      <c r="Z4692" t="s">
        <v>30267</v>
      </c>
      <c r="AA4692">
        <v>0.41733840588102428</v>
      </c>
      <c r="AB4692" t="str">
        <f>HYPERLINK("Melting_Curves/meltCurve_Q92499_DDX1.pdf", "Melting_Curves/meltCurve_Q92499_DDX1.pdf")</f>
        <v>Melting_Curves/meltCurve_Q92499_DDX1.pdf</v>
      </c>
    </row>
    <row r="4693" spans="1:28" x14ac:dyDescent="0.25">
      <c r="A4693" t="s">
        <v>4697</v>
      </c>
      <c r="B4693">
        <v>0.99673306730245903</v>
      </c>
      <c r="C4693">
        <v>0.80384884407274404</v>
      </c>
      <c r="D4693">
        <v>0.96709957379577904</v>
      </c>
      <c r="E4693">
        <v>0.67614430796154501</v>
      </c>
      <c r="F4693">
        <v>0.65389683497314799</v>
      </c>
      <c r="G4693">
        <v>0.56146308348529905</v>
      </c>
      <c r="H4693">
        <v>0.57719397313458298</v>
      </c>
      <c r="I4693">
        <v>0.78631047975476198</v>
      </c>
      <c r="J4693">
        <v>0.56592420365792895</v>
      </c>
      <c r="K4693">
        <v>0.42936688254953298</v>
      </c>
      <c r="L4693">
        <v>590.62533328565598</v>
      </c>
      <c r="M4693">
        <v>12.303378724085301</v>
      </c>
      <c r="O4693">
        <v>46.789787082661903</v>
      </c>
      <c r="P4693">
        <v>-2.91699480168559E-2</v>
      </c>
      <c r="Q4693">
        <v>0.556363472425492</v>
      </c>
      <c r="R4693">
        <v>0.67315162628338698</v>
      </c>
      <c r="S4693" t="s">
        <v>11145</v>
      </c>
      <c r="T4693" t="s">
        <v>12902</v>
      </c>
      <c r="U4693" t="s">
        <v>12902</v>
      </c>
      <c r="V4693" t="s">
        <v>12902</v>
      </c>
      <c r="W4693" t="s">
        <v>17548</v>
      </c>
      <c r="X4693">
        <v>2</v>
      </c>
      <c r="Y4693" t="s">
        <v>23851</v>
      </c>
      <c r="Z4693" t="s">
        <v>30268</v>
      </c>
      <c r="AA4693">
        <v>0.69134320840082641</v>
      </c>
      <c r="AB4693" t="str">
        <f>HYPERLINK("Melting_Curves/meltCurve_Q92504_SLC39A7.pdf", "Melting_Curves/meltCurve_Q92504_SLC39A7.pdf")</f>
        <v>Melting_Curves/meltCurve_Q92504_SLC39A7.pdf</v>
      </c>
    </row>
    <row r="4694" spans="1:28" x14ac:dyDescent="0.25">
      <c r="A4694" t="s">
        <v>4698</v>
      </c>
      <c r="B4694">
        <v>0.99673306730245903</v>
      </c>
      <c r="C4694">
        <v>0.97662353648945999</v>
      </c>
      <c r="D4694">
        <v>1.0439243702951</v>
      </c>
      <c r="E4694">
        <v>1.10128079848192</v>
      </c>
      <c r="F4694">
        <v>1.0662546596020901</v>
      </c>
      <c r="G4694">
        <v>0.95034555409666599</v>
      </c>
      <c r="H4694">
        <v>0.78905710726948197</v>
      </c>
      <c r="I4694">
        <v>0.80165400660165298</v>
      </c>
      <c r="J4694">
        <v>0.74886808897346502</v>
      </c>
      <c r="K4694">
        <v>0.43869526564017702</v>
      </c>
      <c r="L4694">
        <v>981.46903192940704</v>
      </c>
      <c r="M4694">
        <v>14.0141672688572</v>
      </c>
      <c r="O4694">
        <v>68.6542825209998</v>
      </c>
      <c r="P4694">
        <v>-5.1038383743783299E-2</v>
      </c>
      <c r="Q4694">
        <v>0</v>
      </c>
      <c r="R4694">
        <v>0.876771126013147</v>
      </c>
      <c r="S4694" t="s">
        <v>11146</v>
      </c>
      <c r="T4694" t="s">
        <v>12902</v>
      </c>
      <c r="U4694" t="s">
        <v>12902</v>
      </c>
      <c r="V4694" t="s">
        <v>12902</v>
      </c>
      <c r="W4694" t="s">
        <v>17549</v>
      </c>
      <c r="X4694">
        <v>10</v>
      </c>
      <c r="Y4694" t="s">
        <v>23852</v>
      </c>
      <c r="Z4694" t="s">
        <v>30269</v>
      </c>
      <c r="AA4694">
        <v>0.90108809814355162</v>
      </c>
      <c r="AB4694" t="str">
        <f>HYPERLINK("Melting_Curves/meltCurve_Q92506_HSD17B8.pdf", "Melting_Curves/meltCurve_Q92506_HSD17B8.pdf")</f>
        <v>Melting_Curves/meltCurve_Q92506_HSD17B8.pdf</v>
      </c>
    </row>
    <row r="4695" spans="1:28" x14ac:dyDescent="0.25">
      <c r="A4695" t="s">
        <v>4699</v>
      </c>
      <c r="B4695">
        <v>0.99673306730245903</v>
      </c>
      <c r="C4695">
        <v>0.91441501288015603</v>
      </c>
      <c r="D4695">
        <v>0.83435465194430203</v>
      </c>
      <c r="E4695">
        <v>0.55076973618914205</v>
      </c>
      <c r="F4695">
        <v>0.53885999919632299</v>
      </c>
      <c r="G4695">
        <v>0.38480080074026202</v>
      </c>
      <c r="H4695">
        <v>0.253236981014208</v>
      </c>
      <c r="I4695">
        <v>0.140946904218719</v>
      </c>
      <c r="J4695">
        <v>0.20329916181169799</v>
      </c>
      <c r="K4695">
        <v>0.15491695162954799</v>
      </c>
      <c r="L4695">
        <v>538.57917162111301</v>
      </c>
      <c r="M4695">
        <v>10.409945982065301</v>
      </c>
      <c r="N4695">
        <v>52.819922539672802</v>
      </c>
      <c r="O4695">
        <v>49.937027094694997</v>
      </c>
      <c r="P4695">
        <v>-4.7126949044945902E-2</v>
      </c>
      <c r="Q4695">
        <v>9.6095705467107898E-2</v>
      </c>
      <c r="R4695">
        <v>0.97802117481594497</v>
      </c>
      <c r="S4695" t="s">
        <v>11147</v>
      </c>
      <c r="T4695" t="s">
        <v>12902</v>
      </c>
      <c r="U4695" t="s">
        <v>12902</v>
      </c>
      <c r="V4695" t="s">
        <v>12902</v>
      </c>
      <c r="W4695" t="s">
        <v>17550</v>
      </c>
      <c r="X4695">
        <v>2</v>
      </c>
      <c r="Y4695" t="s">
        <v>23853</v>
      </c>
      <c r="Z4695" t="s">
        <v>30270</v>
      </c>
      <c r="AA4695">
        <v>0.48333502539685291</v>
      </c>
      <c r="AB4695" t="str">
        <f>HYPERLINK("Melting_Curves/meltCurve_Q92508_PIEZO1.pdf", "Melting_Curves/meltCurve_Q92508_PIEZO1.pdf")</f>
        <v>Melting_Curves/meltCurve_Q92508_PIEZO1.pdf</v>
      </c>
    </row>
    <row r="4696" spans="1:28" x14ac:dyDescent="0.25">
      <c r="A4696" t="s">
        <v>4700</v>
      </c>
      <c r="B4696">
        <v>0.99673306730245903</v>
      </c>
      <c r="C4696">
        <v>0.93288048752990405</v>
      </c>
      <c r="D4696">
        <v>0.88586979301416602</v>
      </c>
      <c r="E4696">
        <v>0.69624746149280703</v>
      </c>
      <c r="F4696">
        <v>0.374868017740702</v>
      </c>
      <c r="G4696">
        <v>0.215274725662845</v>
      </c>
      <c r="H4696">
        <v>0.14459658713884099</v>
      </c>
      <c r="I4696">
        <v>0.146260624705945</v>
      </c>
      <c r="J4696">
        <v>0.150078780772647</v>
      </c>
      <c r="K4696">
        <v>0.144688552446194</v>
      </c>
      <c r="L4696">
        <v>1013.78307936589</v>
      </c>
      <c r="M4696">
        <v>19.946041786935901</v>
      </c>
      <c r="N4696">
        <v>51.607565202507097</v>
      </c>
      <c r="O4696">
        <v>50.323676238722904</v>
      </c>
      <c r="P4696">
        <v>-8.6178767524571195E-2</v>
      </c>
      <c r="Q4696">
        <v>0.130315947681548</v>
      </c>
      <c r="R4696">
        <v>0.99677996119176804</v>
      </c>
      <c r="S4696" t="s">
        <v>11148</v>
      </c>
      <c r="T4696" t="s">
        <v>12902</v>
      </c>
      <c r="U4696" t="s">
        <v>12902</v>
      </c>
      <c r="V4696" t="s">
        <v>12902</v>
      </c>
      <c r="W4696" t="s">
        <v>17551</v>
      </c>
      <c r="X4696">
        <v>12</v>
      </c>
      <c r="Y4696" t="s">
        <v>23854</v>
      </c>
      <c r="Z4696" t="s">
        <v>30271</v>
      </c>
      <c r="AA4696">
        <v>0.45630337385465031</v>
      </c>
      <c r="AB4696" t="str">
        <f>HYPERLINK("Melting_Curves/meltCurve_Q92520_FAM3C.pdf", "Melting_Curves/meltCurve_Q92520_FAM3C.pdf")</f>
        <v>Melting_Curves/meltCurve_Q92520_FAM3C.pdf</v>
      </c>
    </row>
    <row r="4697" spans="1:28" x14ac:dyDescent="0.25">
      <c r="A4697" t="s">
        <v>4701</v>
      </c>
      <c r="B4697">
        <v>0.99673306730245903</v>
      </c>
      <c r="C4697">
        <v>1.0503124827927699</v>
      </c>
      <c r="D4697">
        <v>0.92625567335293102</v>
      </c>
      <c r="E4697">
        <v>0.926792194256428</v>
      </c>
      <c r="F4697">
        <v>0.67792468764617997</v>
      </c>
      <c r="G4697">
        <v>0.401817893403902</v>
      </c>
      <c r="H4697">
        <v>0.22755498165129001</v>
      </c>
      <c r="I4697">
        <v>0.15782691449012601</v>
      </c>
      <c r="J4697">
        <v>0.21492467959903899</v>
      </c>
      <c r="K4697">
        <v>0.19327799645552601</v>
      </c>
      <c r="L4697">
        <v>1265.58999898146</v>
      </c>
      <c r="M4697">
        <v>23.326723030804001</v>
      </c>
      <c r="N4697">
        <v>55.282858617163001</v>
      </c>
      <c r="O4697">
        <v>53.8609235203892</v>
      </c>
      <c r="P4697">
        <v>-8.9223200354912005E-2</v>
      </c>
      <c r="Q4697">
        <v>0.17595640407677299</v>
      </c>
      <c r="R4697">
        <v>0.99241615442944198</v>
      </c>
      <c r="S4697" t="s">
        <v>11149</v>
      </c>
      <c r="T4697" t="s">
        <v>12902</v>
      </c>
      <c r="U4697" t="s">
        <v>12902</v>
      </c>
      <c r="V4697" t="s">
        <v>12902</v>
      </c>
      <c r="W4697" t="s">
        <v>17552</v>
      </c>
      <c r="X4697">
        <v>2</v>
      </c>
      <c r="Y4697" t="s">
        <v>23855</v>
      </c>
      <c r="Z4697" t="s">
        <v>30272</v>
      </c>
      <c r="AA4697">
        <v>0.57614105142487126</v>
      </c>
      <c r="AB4697" t="str">
        <f>HYPERLINK("Melting_Curves/meltCurve_Q92522_H1FX.pdf", "Melting_Curves/meltCurve_Q92522_H1FX.pdf")</f>
        <v>Melting_Curves/meltCurve_Q92522_H1FX.pdf</v>
      </c>
    </row>
    <row r="4698" spans="1:28" x14ac:dyDescent="0.25">
      <c r="A4698" t="s">
        <v>4702</v>
      </c>
      <c r="B4698">
        <v>0.99673306730245903</v>
      </c>
      <c r="C4698">
        <v>1.0609437952256799</v>
      </c>
      <c r="D4698">
        <v>0.93490602376661902</v>
      </c>
      <c r="E4698">
        <v>0.67217580336653304</v>
      </c>
      <c r="F4698">
        <v>0.35464881087658501</v>
      </c>
      <c r="G4698">
        <v>0.21177781133328299</v>
      </c>
      <c r="H4698">
        <v>0.15078568527174999</v>
      </c>
      <c r="I4698">
        <v>0.110165015981375</v>
      </c>
      <c r="J4698">
        <v>0.114892347737166</v>
      </c>
      <c r="K4698">
        <v>8.7253274549867296E-2</v>
      </c>
      <c r="L4698">
        <v>1138.17394530772</v>
      </c>
      <c r="M4698">
        <v>22.340964118559501</v>
      </c>
      <c r="N4698">
        <v>51.515488157523997</v>
      </c>
      <c r="O4698">
        <v>50.542689752835997</v>
      </c>
      <c r="P4698">
        <v>-9.84087566565819E-2</v>
      </c>
      <c r="Q4698">
        <v>0.109485343599406</v>
      </c>
      <c r="R4698">
        <v>0.99507100113810198</v>
      </c>
      <c r="S4698" t="s">
        <v>11150</v>
      </c>
      <c r="T4698" t="s">
        <v>12902</v>
      </c>
      <c r="U4698" t="s">
        <v>12902</v>
      </c>
      <c r="V4698" t="s">
        <v>12902</v>
      </c>
      <c r="W4698" t="s">
        <v>17553</v>
      </c>
      <c r="X4698">
        <v>9</v>
      </c>
      <c r="Y4698" t="s">
        <v>23856</v>
      </c>
      <c r="Z4698" t="s">
        <v>30273</v>
      </c>
      <c r="AA4698">
        <v>0.44440592017037062</v>
      </c>
      <c r="AB4698" t="str">
        <f>HYPERLINK("Melting_Curves/meltCurve_Q92526_CCT6B.pdf", "Melting_Curves/meltCurve_Q92526_CCT6B.pdf")</f>
        <v>Melting_Curves/meltCurve_Q92526_CCT6B.pdf</v>
      </c>
    </row>
    <row r="4699" spans="1:28" x14ac:dyDescent="0.25">
      <c r="A4699" t="s">
        <v>4703</v>
      </c>
      <c r="B4699">
        <v>0.99673306730245903</v>
      </c>
      <c r="C4699">
        <v>0.89107110734880801</v>
      </c>
      <c r="D4699">
        <v>0.81120948557319295</v>
      </c>
      <c r="E4699">
        <v>0.64312552819623003</v>
      </c>
      <c r="F4699">
        <v>0.51283633713991505</v>
      </c>
      <c r="G4699">
        <v>0.39576421013843699</v>
      </c>
      <c r="H4699">
        <v>0.28247583770794099</v>
      </c>
      <c r="I4699">
        <v>0.24322653925065599</v>
      </c>
      <c r="J4699">
        <v>0.18390628062779499</v>
      </c>
      <c r="K4699">
        <v>0.119502061901787</v>
      </c>
      <c r="L4699">
        <v>474.82238618826199</v>
      </c>
      <c r="M4699">
        <v>8.9603105866772399</v>
      </c>
      <c r="N4699">
        <v>53.644203547951903</v>
      </c>
      <c r="O4699">
        <v>50.551814411607197</v>
      </c>
      <c r="P4699">
        <v>-4.2055787340744402E-2</v>
      </c>
      <c r="Q4699">
        <v>5.1627733003499099E-2</v>
      </c>
      <c r="R4699">
        <v>0.99517622923980098</v>
      </c>
      <c r="S4699" t="s">
        <v>11151</v>
      </c>
      <c r="T4699" t="s">
        <v>12902</v>
      </c>
      <c r="U4699" t="s">
        <v>12902</v>
      </c>
      <c r="V4699" t="s">
        <v>12902</v>
      </c>
      <c r="W4699" t="s">
        <v>17554</v>
      </c>
      <c r="X4699">
        <v>4</v>
      </c>
      <c r="Y4699" t="s">
        <v>23857</v>
      </c>
      <c r="Z4699" t="s">
        <v>30274</v>
      </c>
      <c r="AA4699">
        <v>0.49794413146650268</v>
      </c>
      <c r="AB4699" t="str">
        <f>HYPERLINK("Melting_Curves/meltCurve_Q92536_SLC7A6.pdf", "Melting_Curves/meltCurve_Q92536_SLC7A6.pdf")</f>
        <v>Melting_Curves/meltCurve_Q92536_SLC7A6.pdf</v>
      </c>
    </row>
    <row r="4700" spans="1:28" x14ac:dyDescent="0.25">
      <c r="A4700" t="s">
        <v>4704</v>
      </c>
      <c r="B4700">
        <v>0.99673306730245903</v>
      </c>
      <c r="C4700">
        <v>0.93281590358163702</v>
      </c>
      <c r="D4700">
        <v>0.867115328241572</v>
      </c>
      <c r="E4700">
        <v>0.50304034068970505</v>
      </c>
      <c r="F4700">
        <v>0.282220967474275</v>
      </c>
      <c r="G4700">
        <v>0.181160788642071</v>
      </c>
      <c r="H4700">
        <v>0.11301975842198</v>
      </c>
      <c r="I4700">
        <v>0.10110419631049999</v>
      </c>
      <c r="J4700">
        <v>9.3298678212646396E-2</v>
      </c>
      <c r="K4700">
        <v>8.4548820314038195E-2</v>
      </c>
      <c r="L4700">
        <v>975.93832167956202</v>
      </c>
      <c r="M4700">
        <v>19.7396515150608</v>
      </c>
      <c r="N4700">
        <v>49.960576585095602</v>
      </c>
      <c r="O4700">
        <v>48.9414641844104</v>
      </c>
      <c r="P4700">
        <v>-9.1471418528914397E-2</v>
      </c>
      <c r="Q4700">
        <v>9.2872777436358703E-2</v>
      </c>
      <c r="R4700">
        <v>0.99727800128122601</v>
      </c>
      <c r="S4700" t="s">
        <v>11152</v>
      </c>
      <c r="T4700" t="s">
        <v>12902</v>
      </c>
      <c r="U4700" t="s">
        <v>12902</v>
      </c>
      <c r="V4700" t="s">
        <v>12902</v>
      </c>
      <c r="W4700" t="s">
        <v>17555</v>
      </c>
      <c r="X4700">
        <v>23</v>
      </c>
      <c r="Y4700" t="s">
        <v>23858</v>
      </c>
      <c r="Z4700" t="s">
        <v>30275</v>
      </c>
      <c r="AA4700">
        <v>0.39132942691781952</v>
      </c>
      <c r="AB4700" t="str">
        <f>HYPERLINK("Melting_Curves/meltCurve_Q92538_GBF1.pdf", "Melting_Curves/meltCurve_Q92538_GBF1.pdf")</f>
        <v>Melting_Curves/meltCurve_Q92538_GBF1.pdf</v>
      </c>
    </row>
    <row r="4701" spans="1:28" x14ac:dyDescent="0.25">
      <c r="A4701" t="s">
        <v>4705</v>
      </c>
      <c r="B4701">
        <v>0.99673306730245903</v>
      </c>
      <c r="C4701">
        <v>0.91446396780543804</v>
      </c>
      <c r="D4701">
        <v>0.86199539628262301</v>
      </c>
      <c r="E4701">
        <v>0.76778107418806996</v>
      </c>
      <c r="F4701">
        <v>0.323790041591691</v>
      </c>
      <c r="G4701">
        <v>0.19074502757152301</v>
      </c>
      <c r="H4701">
        <v>0.122348414808356</v>
      </c>
      <c r="I4701">
        <v>9.5143883840760501E-2</v>
      </c>
      <c r="J4701">
        <v>0.10606050640282801</v>
      </c>
      <c r="K4701">
        <v>9.5008694386740006E-2</v>
      </c>
      <c r="L4701">
        <v>1131.6264125011301</v>
      </c>
      <c r="M4701">
        <v>22.096211230099801</v>
      </c>
      <c r="N4701">
        <v>51.683471907208101</v>
      </c>
      <c r="O4701">
        <v>50.799655441141503</v>
      </c>
      <c r="P4701">
        <v>-9.8848874476329507E-2</v>
      </c>
      <c r="Q4701">
        <v>9.0997271068113797E-2</v>
      </c>
      <c r="R4701">
        <v>0.98764237338318395</v>
      </c>
      <c r="S4701" t="s">
        <v>11153</v>
      </c>
      <c r="T4701" t="s">
        <v>12902</v>
      </c>
      <c r="U4701" t="s">
        <v>12902</v>
      </c>
      <c r="V4701" t="s">
        <v>12902</v>
      </c>
      <c r="W4701" t="s">
        <v>17556</v>
      </c>
      <c r="X4701">
        <v>22</v>
      </c>
      <c r="Y4701" t="s">
        <v>23859</v>
      </c>
      <c r="Z4701" t="s">
        <v>30276</v>
      </c>
      <c r="AA4701">
        <v>0.44122327845615589</v>
      </c>
      <c r="AB4701" t="str">
        <f>HYPERLINK("Melting_Curves/meltCurve_Q92541_RTF1.pdf", "Melting_Curves/meltCurve_Q92541_RTF1.pdf")</f>
        <v>Melting_Curves/meltCurve_Q92541_RTF1.pdf</v>
      </c>
    </row>
    <row r="4702" spans="1:28" x14ac:dyDescent="0.25">
      <c r="A4702" t="s">
        <v>4706</v>
      </c>
      <c r="B4702">
        <v>0.99673306730245903</v>
      </c>
      <c r="C4702">
        <v>0.87386151517033295</v>
      </c>
      <c r="D4702">
        <v>0.79402951209944295</v>
      </c>
      <c r="E4702">
        <v>0.57072019818669095</v>
      </c>
      <c r="F4702">
        <v>0.19032651916655499</v>
      </c>
      <c r="G4702">
        <v>9.9650624097865403E-2</v>
      </c>
      <c r="H4702">
        <v>5.2854829462112299E-2</v>
      </c>
      <c r="I4702">
        <v>3.9648244323401603E-2</v>
      </c>
      <c r="J4702">
        <v>3.9877088090232E-2</v>
      </c>
      <c r="K4702">
        <v>3.3356322375058402E-2</v>
      </c>
      <c r="L4702">
        <v>885.72578683704796</v>
      </c>
      <c r="M4702">
        <v>17.859285160495801</v>
      </c>
      <c r="N4702">
        <v>49.697548289716103</v>
      </c>
      <c r="O4702">
        <v>48.985418657874703</v>
      </c>
      <c r="P4702">
        <v>-8.9496773587496095E-2</v>
      </c>
      <c r="Q4702">
        <v>1.8143416646767802E-2</v>
      </c>
      <c r="R4702">
        <v>0.99138624401269004</v>
      </c>
      <c r="S4702" t="s">
        <v>11154</v>
      </c>
      <c r="T4702" t="s">
        <v>12902</v>
      </c>
      <c r="U4702" t="s">
        <v>12902</v>
      </c>
      <c r="V4702" t="s">
        <v>12902</v>
      </c>
      <c r="W4702" t="s">
        <v>17557</v>
      </c>
      <c r="X4702">
        <v>11</v>
      </c>
      <c r="Y4702" t="s">
        <v>23860</v>
      </c>
      <c r="Z4702" t="s">
        <v>30277</v>
      </c>
      <c r="AA4702">
        <v>0.34926020968234112</v>
      </c>
      <c r="AB4702" t="str">
        <f>HYPERLINK("Melting_Curves/meltCurve_Q92544_TM9SF4.pdf", "Melting_Curves/meltCurve_Q92544_TM9SF4.pdf")</f>
        <v>Melting_Curves/meltCurve_Q92544_TM9SF4.pdf</v>
      </c>
    </row>
    <row r="4703" spans="1:28" x14ac:dyDescent="0.25">
      <c r="A4703" t="s">
        <v>4707</v>
      </c>
      <c r="B4703">
        <v>0.99673306730245903</v>
      </c>
      <c r="C4703">
        <v>0.81378453723655497</v>
      </c>
      <c r="D4703">
        <v>0.45771816851253699</v>
      </c>
      <c r="E4703">
        <v>0.22092416990615299</v>
      </c>
      <c r="F4703">
        <v>0.149880922196725</v>
      </c>
      <c r="G4703">
        <v>8.9637128969273894E-2</v>
      </c>
      <c r="H4703">
        <v>5.6960523671006E-2</v>
      </c>
      <c r="I4703">
        <v>4.71578375872925E-2</v>
      </c>
      <c r="J4703">
        <v>4.6295405274892801E-2</v>
      </c>
      <c r="K4703">
        <v>4.5872408520645398E-2</v>
      </c>
      <c r="L4703">
        <v>962.25470489559996</v>
      </c>
      <c r="M4703">
        <v>21.097686331086599</v>
      </c>
      <c r="N4703">
        <v>45.892539666177399</v>
      </c>
      <c r="O4703">
        <v>45.205655538013801</v>
      </c>
      <c r="P4703">
        <v>-0.10956158643166999</v>
      </c>
      <c r="Q4703">
        <v>6.1001724746417602E-2</v>
      </c>
      <c r="R4703">
        <v>0.99440206785468899</v>
      </c>
      <c r="S4703" t="s">
        <v>11155</v>
      </c>
      <c r="T4703" t="s">
        <v>12902</v>
      </c>
      <c r="U4703" t="s">
        <v>12902</v>
      </c>
      <c r="V4703" t="s">
        <v>12902</v>
      </c>
      <c r="W4703" t="s">
        <v>17558</v>
      </c>
      <c r="X4703">
        <v>8</v>
      </c>
      <c r="Y4703" t="s">
        <v>23861</v>
      </c>
      <c r="Z4703" t="s">
        <v>30278</v>
      </c>
      <c r="AA4703">
        <v>0.2497970873880965</v>
      </c>
      <c r="AB4703" t="str">
        <f>HYPERLINK("Melting_Curves/meltCurve_Q92547_TOPBP1.pdf", "Melting_Curves/meltCurve_Q92547_TOPBP1.pdf")</f>
        <v>Melting_Curves/meltCurve_Q92547_TOPBP1.pdf</v>
      </c>
    </row>
    <row r="4704" spans="1:28" x14ac:dyDescent="0.25">
      <c r="A4704" t="s">
        <v>4708</v>
      </c>
      <c r="B4704">
        <v>0.99673306730245903</v>
      </c>
      <c r="C4704">
        <v>0.92945168296987701</v>
      </c>
      <c r="D4704">
        <v>0.73375485871463397</v>
      </c>
      <c r="E4704">
        <v>0.29195333364987902</v>
      </c>
      <c r="F4704">
        <v>0.182131156618034</v>
      </c>
      <c r="G4704">
        <v>0.13289483379859601</v>
      </c>
      <c r="H4704">
        <v>0.104684338566483</v>
      </c>
      <c r="I4704">
        <v>0.13228634490778399</v>
      </c>
      <c r="J4704">
        <v>0.20060065954011999</v>
      </c>
      <c r="K4704">
        <v>0.19491146633082401</v>
      </c>
      <c r="L4704">
        <v>1441.19282477464</v>
      </c>
      <c r="M4704">
        <v>30.611321843628499</v>
      </c>
      <c r="N4704">
        <v>47.645292401044898</v>
      </c>
      <c r="O4704">
        <v>46.880831408117601</v>
      </c>
      <c r="P4704">
        <v>-0.13839714737855799</v>
      </c>
      <c r="Q4704">
        <v>0.15219155275353499</v>
      </c>
      <c r="R4704">
        <v>0.99232857455420398</v>
      </c>
      <c r="S4704" t="s">
        <v>11156</v>
      </c>
      <c r="T4704" t="s">
        <v>12902</v>
      </c>
      <c r="U4704" t="s">
        <v>12902</v>
      </c>
      <c r="V4704" t="s">
        <v>12902</v>
      </c>
      <c r="W4704" t="s">
        <v>17559</v>
      </c>
      <c r="X4704">
        <v>3</v>
      </c>
      <c r="Y4704" t="s">
        <v>23862</v>
      </c>
      <c r="Z4704" t="s">
        <v>30279</v>
      </c>
      <c r="AA4704">
        <v>0.35715470026864948</v>
      </c>
      <c r="AB4704" t="str">
        <f>HYPERLINK("Melting_Curves/meltCurve_Q92551_IP6K1.pdf", "Melting_Curves/meltCurve_Q92551_IP6K1.pdf")</f>
        <v>Melting_Curves/meltCurve_Q92551_IP6K1.pdf</v>
      </c>
    </row>
    <row r="4705" spans="1:28" x14ac:dyDescent="0.25">
      <c r="A4705" t="s">
        <v>4709</v>
      </c>
      <c r="B4705">
        <v>0.99673306730245903</v>
      </c>
      <c r="C4705">
        <v>1.0971887362242101</v>
      </c>
      <c r="D4705">
        <v>0.94943173060812602</v>
      </c>
      <c r="E4705">
        <v>1.03314762027209</v>
      </c>
      <c r="F4705">
        <v>0.63904765323053503</v>
      </c>
      <c r="G4705">
        <v>0.941844782898698</v>
      </c>
      <c r="H4705">
        <v>0.59129460903946496</v>
      </c>
      <c r="I4705">
        <v>1.56624958135272</v>
      </c>
      <c r="J4705">
        <v>1.3945493445692201</v>
      </c>
      <c r="K4705">
        <v>1.47503366216246</v>
      </c>
      <c r="L4705">
        <v>8330.6310193046302</v>
      </c>
      <c r="M4705">
        <v>132.85505291541</v>
      </c>
      <c r="O4705">
        <v>62.690448219917201</v>
      </c>
      <c r="P4705">
        <v>0.25662127004875201</v>
      </c>
      <c r="Q4705">
        <v>1.4843686033843</v>
      </c>
      <c r="R4705">
        <v>0.64828068699825003</v>
      </c>
      <c r="S4705" t="s">
        <v>11157</v>
      </c>
      <c r="T4705" t="s">
        <v>12902</v>
      </c>
      <c r="U4705" t="s">
        <v>12902</v>
      </c>
      <c r="V4705" t="s">
        <v>12902</v>
      </c>
      <c r="W4705" t="s">
        <v>17560</v>
      </c>
      <c r="X4705">
        <v>5</v>
      </c>
      <c r="Y4705" t="s">
        <v>23863</v>
      </c>
      <c r="Z4705" t="s">
        <v>30280</v>
      </c>
      <c r="AA4705">
        <v>1.1175989356670759</v>
      </c>
      <c r="AB4705" t="str">
        <f>HYPERLINK("Melting_Curves/meltCurve_Q92552_MRPS27.pdf", "Melting_Curves/meltCurve_Q92552_MRPS27.pdf")</f>
        <v>Melting_Curves/meltCurve_Q92552_MRPS27.pdf</v>
      </c>
    </row>
    <row r="4706" spans="1:28" x14ac:dyDescent="0.25">
      <c r="A4706" t="s">
        <v>4710</v>
      </c>
      <c r="B4706">
        <v>0.99673306730245903</v>
      </c>
      <c r="C4706">
        <v>0.87106789887768399</v>
      </c>
      <c r="D4706">
        <v>0.94194449303092598</v>
      </c>
      <c r="E4706">
        <v>0.90958179041253495</v>
      </c>
      <c r="F4706">
        <v>0.43130977954719601</v>
      </c>
      <c r="G4706">
        <v>0.29558326382149003</v>
      </c>
      <c r="H4706">
        <v>0.18183596868191901</v>
      </c>
      <c r="I4706">
        <v>0.16803155318827401</v>
      </c>
      <c r="J4706">
        <v>0.159728632406518</v>
      </c>
      <c r="K4706">
        <v>0.16349466545910099</v>
      </c>
      <c r="L4706">
        <v>1671.1840058078101</v>
      </c>
      <c r="M4706">
        <v>32.010507369086</v>
      </c>
      <c r="N4706">
        <v>52.9209210840108</v>
      </c>
      <c r="O4706">
        <v>52.004883074608202</v>
      </c>
      <c r="P4706">
        <v>-0.12691183989111299</v>
      </c>
      <c r="Q4706">
        <v>0.17527069800278</v>
      </c>
      <c r="R4706">
        <v>0.978957068457872</v>
      </c>
      <c r="S4706" t="s">
        <v>11158</v>
      </c>
      <c r="T4706" t="s">
        <v>12902</v>
      </c>
      <c r="U4706" t="s">
        <v>12902</v>
      </c>
      <c r="V4706" t="s">
        <v>12902</v>
      </c>
      <c r="W4706" t="s">
        <v>17561</v>
      </c>
      <c r="X4706">
        <v>5</v>
      </c>
      <c r="Y4706" t="s">
        <v>23864</v>
      </c>
      <c r="Z4706" t="s">
        <v>30281</v>
      </c>
      <c r="AA4706">
        <v>0.51551063087539584</v>
      </c>
      <c r="AB4706" t="str">
        <f>HYPERLINK("Melting_Curves/meltCurve_Q92558_WASF1.pdf", "Melting_Curves/meltCurve_Q92558_WASF1.pdf")</f>
        <v>Melting_Curves/meltCurve_Q92558_WASF1.pdf</v>
      </c>
    </row>
    <row r="4707" spans="1:28" x14ac:dyDescent="0.25">
      <c r="A4707" t="s">
        <v>4711</v>
      </c>
      <c r="B4707">
        <v>0.99673306730245903</v>
      </c>
      <c r="C4707">
        <v>0.92056780181412601</v>
      </c>
      <c r="D4707">
        <v>0.93018916718762501</v>
      </c>
      <c r="E4707">
        <v>0.91566782553278403</v>
      </c>
      <c r="F4707">
        <v>0.27262439339948702</v>
      </c>
      <c r="G4707">
        <v>0.20049706203860501</v>
      </c>
      <c r="H4707">
        <v>0.118583549441102</v>
      </c>
      <c r="I4707">
        <v>8.2524233142038703E-2</v>
      </c>
      <c r="J4707">
        <v>7.12120123875674E-2</v>
      </c>
      <c r="K4707">
        <v>6.1812459543090198E-2</v>
      </c>
      <c r="L4707">
        <v>2538.4763982099398</v>
      </c>
      <c r="M4707">
        <v>49.0738225613552</v>
      </c>
      <c r="N4707">
        <v>51.970620355275102</v>
      </c>
      <c r="O4707">
        <v>51.642029341176297</v>
      </c>
      <c r="P4707">
        <v>-0.213222783857656</v>
      </c>
      <c r="Q4707">
        <v>0.102474900215792</v>
      </c>
      <c r="R4707">
        <v>0.98618765523598295</v>
      </c>
      <c r="S4707" t="s">
        <v>11159</v>
      </c>
      <c r="T4707" t="s">
        <v>12902</v>
      </c>
      <c r="U4707" t="s">
        <v>12902</v>
      </c>
      <c r="V4707" t="s">
        <v>12902</v>
      </c>
      <c r="W4707" t="s">
        <v>17562</v>
      </c>
      <c r="X4707">
        <v>4</v>
      </c>
      <c r="Y4707" t="s">
        <v>23865</v>
      </c>
      <c r="Z4707" t="s">
        <v>30282</v>
      </c>
      <c r="AA4707">
        <v>0.45546490675460649</v>
      </c>
      <c r="AB4707" t="str">
        <f>HYPERLINK("Melting_Curves/meltCurve_Q92572_AP3S1.pdf", "Melting_Curves/meltCurve_Q92572_AP3S1.pdf")</f>
        <v>Melting_Curves/meltCurve_Q92572_AP3S1.pdf</v>
      </c>
    </row>
    <row r="4708" spans="1:28" x14ac:dyDescent="0.25">
      <c r="A4708" t="s">
        <v>4712</v>
      </c>
      <c r="B4708">
        <v>0.99673306730245903</v>
      </c>
      <c r="C4708">
        <v>0.99004044367728095</v>
      </c>
      <c r="D4708">
        <v>0.90503836708708296</v>
      </c>
      <c r="E4708">
        <v>0.63383875672683498</v>
      </c>
      <c r="F4708">
        <v>0.32695943042679398</v>
      </c>
      <c r="G4708">
        <v>0.21260894948398301</v>
      </c>
      <c r="H4708">
        <v>0.17927681861537401</v>
      </c>
      <c r="I4708">
        <v>0.215745295813178</v>
      </c>
      <c r="J4708">
        <v>0.21771026539249</v>
      </c>
      <c r="K4708">
        <v>0.22268463301854499</v>
      </c>
      <c r="L4708">
        <v>1326.93347522363</v>
      </c>
      <c r="M4708">
        <v>26.634520460703801</v>
      </c>
      <c r="N4708">
        <v>50.811096704973799</v>
      </c>
      <c r="O4708">
        <v>49.541770690950699</v>
      </c>
      <c r="P4708">
        <v>-0.107176902509003</v>
      </c>
      <c r="Q4708">
        <v>0.20258721120787099</v>
      </c>
      <c r="R4708">
        <v>0.99793445916965196</v>
      </c>
      <c r="S4708" t="s">
        <v>11160</v>
      </c>
      <c r="T4708" t="s">
        <v>12902</v>
      </c>
      <c r="U4708" t="s">
        <v>12902</v>
      </c>
      <c r="V4708" t="s">
        <v>12902</v>
      </c>
      <c r="W4708" t="s">
        <v>17563</v>
      </c>
      <c r="X4708">
        <v>10</v>
      </c>
      <c r="Y4708" t="s">
        <v>23866</v>
      </c>
      <c r="Z4708" t="s">
        <v>30283</v>
      </c>
      <c r="AA4708">
        <v>0.46986781800245209</v>
      </c>
      <c r="AB4708" t="str">
        <f>HYPERLINK("Melting_Curves/meltCurve_Q92575_UBXN4.pdf", "Melting_Curves/meltCurve_Q92575_UBXN4.pdf")</f>
        <v>Melting_Curves/meltCurve_Q92575_UBXN4.pdf</v>
      </c>
    </row>
    <row r="4709" spans="1:28" x14ac:dyDescent="0.25">
      <c r="A4709" t="s">
        <v>4713</v>
      </c>
      <c r="B4709">
        <v>0.99673306730245903</v>
      </c>
      <c r="C4709">
        <v>0.94795941019971897</v>
      </c>
      <c r="D4709">
        <v>0.96514670378019096</v>
      </c>
      <c r="E4709">
        <v>0.89370310795722996</v>
      </c>
      <c r="F4709">
        <v>0.70463441156729001</v>
      </c>
      <c r="G4709">
        <v>0.51713385715068905</v>
      </c>
      <c r="H4709">
        <v>0.38084875050147199</v>
      </c>
      <c r="I4709">
        <v>0.407845765534737</v>
      </c>
      <c r="J4709">
        <v>0.54271506157065397</v>
      </c>
      <c r="K4709">
        <v>0.48858441750475901</v>
      </c>
      <c r="L4709">
        <v>1423.91121370776</v>
      </c>
      <c r="M4709">
        <v>27.077951539358999</v>
      </c>
      <c r="N4709">
        <v>57.597463180210397</v>
      </c>
      <c r="O4709">
        <v>52.3013307160114</v>
      </c>
      <c r="P4709">
        <v>-7.08508217017981E-2</v>
      </c>
      <c r="Q4709">
        <v>0.45260904575211902</v>
      </c>
      <c r="R4709">
        <v>0.95839575118953302</v>
      </c>
      <c r="S4709" t="s">
        <v>11161</v>
      </c>
      <c r="T4709" t="s">
        <v>12902</v>
      </c>
      <c r="U4709" t="s">
        <v>12902</v>
      </c>
      <c r="V4709" t="s">
        <v>12902</v>
      </c>
      <c r="W4709" t="s">
        <v>17564</v>
      </c>
      <c r="X4709">
        <v>37</v>
      </c>
      <c r="Y4709" t="s">
        <v>23867</v>
      </c>
      <c r="Z4709" t="s">
        <v>30284</v>
      </c>
      <c r="AA4709">
        <v>0.6865618557790818</v>
      </c>
      <c r="AB4709" t="str">
        <f>HYPERLINK("Melting_Curves/meltCurve_Q92576_2_PHF3.pdf", "Melting_Curves/meltCurve_Q92576_2_PHF3.pdf")</f>
        <v>Melting_Curves/meltCurve_Q92576_2_PHF3.pdf</v>
      </c>
    </row>
    <row r="4710" spans="1:28" x14ac:dyDescent="0.25">
      <c r="A4710" t="s">
        <v>4714</v>
      </c>
      <c r="B4710">
        <v>0.99673306730245903</v>
      </c>
      <c r="C4710">
        <v>0.928139181854722</v>
      </c>
      <c r="D4710">
        <v>0.83134321157701496</v>
      </c>
      <c r="E4710">
        <v>0.65431493907286997</v>
      </c>
      <c r="F4710">
        <v>0.37116599582361998</v>
      </c>
      <c r="G4710">
        <v>0.23178558044369199</v>
      </c>
      <c r="H4710">
        <v>0.154983191188418</v>
      </c>
      <c r="I4710">
        <v>0.158455344690486</v>
      </c>
      <c r="J4710">
        <v>0.164340007999381</v>
      </c>
      <c r="K4710">
        <v>0.13205139898599499</v>
      </c>
      <c r="L4710">
        <v>835.93466116593595</v>
      </c>
      <c r="M4710">
        <v>16.590276567696101</v>
      </c>
      <c r="N4710">
        <v>51.290927138213704</v>
      </c>
      <c r="O4710">
        <v>49.6720105688226</v>
      </c>
      <c r="P4710">
        <v>-7.2920238972498497E-2</v>
      </c>
      <c r="Q4710">
        <v>0.12675393377319599</v>
      </c>
      <c r="R4710">
        <v>0.99681132988138299</v>
      </c>
      <c r="S4710" t="s">
        <v>11162</v>
      </c>
      <c r="T4710" t="s">
        <v>12902</v>
      </c>
      <c r="U4710" t="s">
        <v>12902</v>
      </c>
      <c r="V4710" t="s">
        <v>12902</v>
      </c>
      <c r="W4710" t="s">
        <v>17565</v>
      </c>
      <c r="X4710">
        <v>1</v>
      </c>
      <c r="Y4710" t="s">
        <v>23868</v>
      </c>
      <c r="Z4710" t="s">
        <v>30285</v>
      </c>
      <c r="AA4710">
        <v>0.44631415306030819</v>
      </c>
      <c r="AB4710" t="str">
        <f>HYPERLINK("Melting_Curves/meltCurve_Q92581_SLC9A6.pdf", "Melting_Curves/meltCurve_Q92581_SLC9A6.pdf")</f>
        <v>Melting_Curves/meltCurve_Q92581_SLC9A6.pdf</v>
      </c>
    </row>
    <row r="4711" spans="1:28" x14ac:dyDescent="0.25">
      <c r="A4711" t="s">
        <v>4715</v>
      </c>
      <c r="B4711">
        <v>0.99673306730245903</v>
      </c>
      <c r="C4711">
        <v>0.87313853420304799</v>
      </c>
      <c r="D4711">
        <v>0.99689524541142005</v>
      </c>
      <c r="E4711">
        <v>0.68439540247368902</v>
      </c>
      <c r="F4711">
        <v>0.493167990431359</v>
      </c>
      <c r="G4711">
        <v>0.33130267042775202</v>
      </c>
      <c r="H4711">
        <v>0.255590246862197</v>
      </c>
      <c r="I4711">
        <v>0.25142806055717398</v>
      </c>
      <c r="J4711">
        <v>0.40447066534061799</v>
      </c>
      <c r="K4711">
        <v>0.35708623186449601</v>
      </c>
      <c r="L4711">
        <v>1255.16656105586</v>
      </c>
      <c r="M4711">
        <v>24.963274082946899</v>
      </c>
      <c r="N4711">
        <v>52.361968713111501</v>
      </c>
      <c r="O4711">
        <v>49.961195825850602</v>
      </c>
      <c r="P4711">
        <v>-8.5611712571701096E-2</v>
      </c>
      <c r="Q4711">
        <v>0.31464029400305199</v>
      </c>
      <c r="R4711">
        <v>0.95180663113303898</v>
      </c>
      <c r="S4711" t="s">
        <v>11163</v>
      </c>
      <c r="T4711" t="s">
        <v>12902</v>
      </c>
      <c r="U4711" t="s">
        <v>12902</v>
      </c>
      <c r="V4711" t="s">
        <v>12902</v>
      </c>
      <c r="W4711" t="s">
        <v>17566</v>
      </c>
      <c r="X4711">
        <v>2</v>
      </c>
      <c r="Y4711" t="s">
        <v>23869</v>
      </c>
      <c r="Z4711" t="s">
        <v>30286</v>
      </c>
      <c r="AA4711">
        <v>0.55566373917978473</v>
      </c>
      <c r="AB4711" t="str">
        <f>HYPERLINK("Melting_Curves/meltCurve_Q92585_MAML1.pdf", "Melting_Curves/meltCurve_Q92585_MAML1.pdf")</f>
        <v>Melting_Curves/meltCurve_Q92585_MAML1.pdf</v>
      </c>
    </row>
    <row r="4712" spans="1:28" x14ac:dyDescent="0.25">
      <c r="A4712" t="s">
        <v>4716</v>
      </c>
      <c r="B4712">
        <v>0.99673306730245903</v>
      </c>
      <c r="C4712">
        <v>0.97851426198069202</v>
      </c>
      <c r="D4712">
        <v>0.91355330042663696</v>
      </c>
      <c r="E4712">
        <v>0.87636543360308805</v>
      </c>
      <c r="F4712">
        <v>0.31806691339821902</v>
      </c>
      <c r="G4712">
        <v>0.178857922126788</v>
      </c>
      <c r="H4712">
        <v>8.4544403673524796E-2</v>
      </c>
      <c r="I4712">
        <v>6.0958854207069903E-2</v>
      </c>
      <c r="J4712">
        <v>5.8828987872920097E-2</v>
      </c>
      <c r="K4712">
        <v>4.7415159597936497E-2</v>
      </c>
      <c r="L4712">
        <v>1804.5274902128799</v>
      </c>
      <c r="M4712">
        <v>34.7761553653216</v>
      </c>
      <c r="N4712">
        <v>52.122441608864698</v>
      </c>
      <c r="O4712">
        <v>51.7191087271177</v>
      </c>
      <c r="P4712">
        <v>-0.156016477926051</v>
      </c>
      <c r="Q4712">
        <v>7.1892351330860402E-2</v>
      </c>
      <c r="R4712">
        <v>0.99214257161039798</v>
      </c>
      <c r="S4712" t="s">
        <v>11164</v>
      </c>
      <c r="T4712" t="s">
        <v>12902</v>
      </c>
      <c r="U4712" t="s">
        <v>12902</v>
      </c>
      <c r="V4712" t="s">
        <v>12902</v>
      </c>
      <c r="W4712" t="s">
        <v>17567</v>
      </c>
      <c r="X4712">
        <v>13</v>
      </c>
      <c r="Y4712" t="s">
        <v>23870</v>
      </c>
      <c r="Z4712" t="s">
        <v>30287</v>
      </c>
      <c r="AA4712">
        <v>0.44413362927572841</v>
      </c>
      <c r="AB4712" t="str">
        <f>HYPERLINK("Melting_Curves/meltCurve_Q92597_NDRG1.pdf", "Melting_Curves/meltCurve_Q92597_NDRG1.pdf")</f>
        <v>Melting_Curves/meltCurve_Q92597_NDRG1.pdf</v>
      </c>
    </row>
    <row r="4713" spans="1:28" x14ac:dyDescent="0.25">
      <c r="A4713" t="s">
        <v>4717</v>
      </c>
      <c r="B4713">
        <v>0.99673306730245903</v>
      </c>
      <c r="C4713">
        <v>1.0861564692649099</v>
      </c>
      <c r="D4713">
        <v>0.65964268615728605</v>
      </c>
      <c r="E4713">
        <v>0.60273768832993901</v>
      </c>
      <c r="F4713">
        <v>0.16787243813116301</v>
      </c>
      <c r="G4713">
        <v>0.10868378235446099</v>
      </c>
      <c r="H4713">
        <v>6.48524089725106E-2</v>
      </c>
      <c r="I4713">
        <v>6.20135740044475E-2</v>
      </c>
      <c r="J4713">
        <v>6.9359399288456206E-2</v>
      </c>
      <c r="K4713">
        <v>6.2066673002405197E-2</v>
      </c>
      <c r="L4713">
        <v>948.96236564318701</v>
      </c>
      <c r="M4713">
        <v>19.261491769463099</v>
      </c>
      <c r="N4713">
        <v>49.5253953605175</v>
      </c>
      <c r="O4713">
        <v>48.745533719737402</v>
      </c>
      <c r="P4713">
        <v>-9.4072850206881498E-2</v>
      </c>
      <c r="Q4713">
        <v>4.7746481913025399E-2</v>
      </c>
      <c r="R4713">
        <v>0.96232276328796695</v>
      </c>
      <c r="S4713" t="s">
        <v>11165</v>
      </c>
      <c r="T4713" t="s">
        <v>12902</v>
      </c>
      <c r="U4713" t="s">
        <v>12902</v>
      </c>
      <c r="V4713" t="s">
        <v>12902</v>
      </c>
      <c r="W4713" t="s">
        <v>17568</v>
      </c>
      <c r="X4713">
        <v>59</v>
      </c>
      <c r="Y4713" t="s">
        <v>23871</v>
      </c>
      <c r="Z4713" t="s">
        <v>30288</v>
      </c>
      <c r="AA4713">
        <v>0.356259838347525</v>
      </c>
      <c r="AB4713" t="str">
        <f>HYPERLINK("Melting_Curves/meltCurve_Q92598_2_HSPH1.pdf", "Melting_Curves/meltCurve_Q92598_2_HSPH1.pdf")</f>
        <v>Melting_Curves/meltCurve_Q92598_2_HSPH1.pdf</v>
      </c>
    </row>
    <row r="4714" spans="1:28" x14ac:dyDescent="0.25">
      <c r="A4714" t="s">
        <v>4718</v>
      </c>
      <c r="B4714">
        <v>0.99673306730245903</v>
      </c>
      <c r="C4714">
        <v>0.88409607119817502</v>
      </c>
      <c r="D4714">
        <v>0.91882858327665595</v>
      </c>
      <c r="E4714">
        <v>0.62394673963633196</v>
      </c>
      <c r="F4714">
        <v>0.334230478808064</v>
      </c>
      <c r="G4714">
        <v>0.35079148066323401</v>
      </c>
      <c r="H4714">
        <v>0.264052343315344</v>
      </c>
      <c r="I4714">
        <v>0.193269041994482</v>
      </c>
      <c r="J4714">
        <v>0.221123897570255</v>
      </c>
      <c r="K4714">
        <v>0.20347993881767201</v>
      </c>
      <c r="L4714">
        <v>976.16526358486499</v>
      </c>
      <c r="M4714">
        <v>19.613573259084902</v>
      </c>
      <c r="N4714">
        <v>51.260804588379003</v>
      </c>
      <c r="O4714">
        <v>49.261167451703599</v>
      </c>
      <c r="P4714">
        <v>-7.7904957074688003E-2</v>
      </c>
      <c r="Q4714">
        <v>0.217367559610739</v>
      </c>
      <c r="R4714">
        <v>0.97952702408454595</v>
      </c>
      <c r="S4714" t="s">
        <v>11166</v>
      </c>
      <c r="T4714" t="s">
        <v>12902</v>
      </c>
      <c r="U4714" t="s">
        <v>12902</v>
      </c>
      <c r="V4714" t="s">
        <v>12902</v>
      </c>
      <c r="W4714" t="s">
        <v>17569</v>
      </c>
      <c r="X4714">
        <v>4</v>
      </c>
      <c r="Y4714" t="s">
        <v>23872</v>
      </c>
      <c r="Z4714" t="s">
        <v>30289</v>
      </c>
      <c r="AA4714">
        <v>0.48357406945042758</v>
      </c>
      <c r="AB4714" t="str">
        <f>HYPERLINK("Melting_Curves/meltCurve_Q92600_RQCD1.pdf", "Melting_Curves/meltCurve_Q92600_RQCD1.pdf")</f>
        <v>Melting_Curves/meltCurve_Q92600_RQCD1.pdf</v>
      </c>
    </row>
    <row r="4715" spans="1:28" x14ac:dyDescent="0.25">
      <c r="A4715" t="s">
        <v>4719</v>
      </c>
      <c r="B4715">
        <v>0.99673306730245903</v>
      </c>
      <c r="C4715">
        <v>0.890665794363523</v>
      </c>
      <c r="D4715">
        <v>0.89444490392057596</v>
      </c>
      <c r="E4715">
        <v>0.54955961380732499</v>
      </c>
      <c r="F4715">
        <v>0.24419324758382099</v>
      </c>
      <c r="G4715">
        <v>0.16855840608167499</v>
      </c>
      <c r="H4715">
        <v>0.117769723658564</v>
      </c>
      <c r="I4715">
        <v>0.118286266634395</v>
      </c>
      <c r="J4715">
        <v>0.14291351033781799</v>
      </c>
      <c r="K4715">
        <v>0.11863390358050301</v>
      </c>
      <c r="L4715">
        <v>1163.3810030023999</v>
      </c>
      <c r="M4715">
        <v>23.525718406362799</v>
      </c>
      <c r="N4715">
        <v>50.033168184182799</v>
      </c>
      <c r="O4715">
        <v>49.098284414124898</v>
      </c>
      <c r="P4715">
        <v>-0.105457853940699</v>
      </c>
      <c r="Q4715">
        <v>0.119650609897437</v>
      </c>
      <c r="R4715">
        <v>0.99280923045088398</v>
      </c>
      <c r="S4715" t="s">
        <v>11167</v>
      </c>
      <c r="T4715" t="s">
        <v>12902</v>
      </c>
      <c r="U4715" t="s">
        <v>12902</v>
      </c>
      <c r="V4715" t="s">
        <v>12902</v>
      </c>
      <c r="W4715" t="s">
        <v>17570</v>
      </c>
      <c r="X4715">
        <v>13</v>
      </c>
      <c r="Y4715" t="s">
        <v>23873</v>
      </c>
      <c r="Z4715" t="s">
        <v>30290</v>
      </c>
      <c r="AA4715">
        <v>0.4058614966926245</v>
      </c>
      <c r="AB4715" t="str">
        <f>HYPERLINK("Melting_Curves/meltCurve_Q92609_TBC1D5.pdf", "Melting_Curves/meltCurve_Q92609_TBC1D5.pdf")</f>
        <v>Melting_Curves/meltCurve_Q92609_TBC1D5.pdf</v>
      </c>
    </row>
    <row r="4716" spans="1:28" x14ac:dyDescent="0.25">
      <c r="A4716" t="s">
        <v>4720</v>
      </c>
      <c r="B4716">
        <v>0.99673306730245903</v>
      </c>
      <c r="C4716">
        <v>0.87078428325488</v>
      </c>
      <c r="D4716">
        <v>0.68518879160537405</v>
      </c>
      <c r="E4716">
        <v>0.338110332510898</v>
      </c>
      <c r="F4716">
        <v>0.18386682870396501</v>
      </c>
      <c r="G4716">
        <v>0.114857081982304</v>
      </c>
      <c r="H4716">
        <v>7.1784763109266E-2</v>
      </c>
      <c r="I4716">
        <v>9.4678090048488206E-2</v>
      </c>
      <c r="J4716">
        <v>0.12961438439911799</v>
      </c>
      <c r="K4716">
        <v>0.140263249818184</v>
      </c>
      <c r="L4716">
        <v>985.04588160613002</v>
      </c>
      <c r="M4716">
        <v>20.875452512667898</v>
      </c>
      <c r="N4716">
        <v>47.714189500261099</v>
      </c>
      <c r="O4716">
        <v>46.7601945441669</v>
      </c>
      <c r="P4716">
        <v>-0.100113262378638</v>
      </c>
      <c r="Q4716">
        <v>0.10302552788778201</v>
      </c>
      <c r="R4716">
        <v>0.99526111739397705</v>
      </c>
      <c r="S4716" t="s">
        <v>11168</v>
      </c>
      <c r="T4716" t="s">
        <v>12902</v>
      </c>
      <c r="U4716" t="s">
        <v>12902</v>
      </c>
      <c r="V4716" t="s">
        <v>12902</v>
      </c>
      <c r="W4716" t="s">
        <v>17571</v>
      </c>
      <c r="X4716">
        <v>6</v>
      </c>
      <c r="Y4716" t="s">
        <v>23874</v>
      </c>
      <c r="Z4716" t="s">
        <v>30291</v>
      </c>
      <c r="AA4716">
        <v>0.3297716280072675</v>
      </c>
      <c r="AB4716" t="str">
        <f>HYPERLINK("Melting_Curves/meltCurve_Q92615_LARP4B.pdf", "Melting_Curves/meltCurve_Q92615_LARP4B.pdf")</f>
        <v>Melting_Curves/meltCurve_Q92615_LARP4B.pdf</v>
      </c>
    </row>
    <row r="4717" spans="1:28" x14ac:dyDescent="0.25">
      <c r="A4717" t="s">
        <v>4721</v>
      </c>
      <c r="B4717">
        <v>0.99673306730245903</v>
      </c>
      <c r="C4717">
        <v>0.66566184122260896</v>
      </c>
      <c r="D4717">
        <v>0.18071810645949499</v>
      </c>
      <c r="E4717">
        <v>0.12612835050896401</v>
      </c>
      <c r="F4717">
        <v>8.6668399833592605E-2</v>
      </c>
      <c r="G4717">
        <v>5.8223811948490398E-2</v>
      </c>
      <c r="H4717">
        <v>3.5355362830532901E-2</v>
      </c>
      <c r="I4717">
        <v>3.1016335997939799E-2</v>
      </c>
      <c r="J4717">
        <v>3.0653922113809899E-2</v>
      </c>
      <c r="K4717">
        <v>2.5464118887687601E-2</v>
      </c>
      <c r="L4717">
        <v>1560.43862905182</v>
      </c>
      <c r="M4717">
        <v>35.7401659296861</v>
      </c>
      <c r="N4717">
        <v>43.798612727663198</v>
      </c>
      <c r="O4717">
        <v>43.524635175678497</v>
      </c>
      <c r="P4717">
        <v>-0.194356510043941</v>
      </c>
      <c r="Q4717">
        <v>5.3248054336247901E-2</v>
      </c>
      <c r="R4717">
        <v>0.99222139138111498</v>
      </c>
      <c r="S4717" t="s">
        <v>11169</v>
      </c>
      <c r="T4717" t="s">
        <v>12902</v>
      </c>
      <c r="U4717" t="s">
        <v>12902</v>
      </c>
      <c r="V4717" t="s">
        <v>12902</v>
      </c>
      <c r="W4717" t="s">
        <v>17572</v>
      </c>
      <c r="X4717">
        <v>72</v>
      </c>
      <c r="Y4717" t="s">
        <v>23875</v>
      </c>
      <c r="Z4717" t="s">
        <v>30292</v>
      </c>
      <c r="AA4717">
        <v>0.17350806678746669</v>
      </c>
      <c r="AB4717" t="str">
        <f>HYPERLINK("Melting_Curves/meltCurve_Q92616_GCN1L1.pdf", "Melting_Curves/meltCurve_Q92616_GCN1L1.pdf")</f>
        <v>Melting_Curves/meltCurve_Q92616_GCN1L1.pdf</v>
      </c>
    </row>
    <row r="4718" spans="1:28" x14ac:dyDescent="0.25">
      <c r="A4718" t="s">
        <v>4722</v>
      </c>
      <c r="B4718">
        <v>0.99673306730245903</v>
      </c>
      <c r="C4718">
        <v>0.94692067142829195</v>
      </c>
      <c r="D4718">
        <v>0.90229489584139499</v>
      </c>
      <c r="E4718">
        <v>0.83384611914185103</v>
      </c>
      <c r="F4718">
        <v>0.333510931208719</v>
      </c>
      <c r="G4718">
        <v>0.171791134215179</v>
      </c>
      <c r="H4718">
        <v>0.10610525986536901</v>
      </c>
      <c r="I4718">
        <v>0.10331652035449899</v>
      </c>
      <c r="J4718">
        <v>0.111351034845474</v>
      </c>
      <c r="K4718">
        <v>9.6489516372107204E-2</v>
      </c>
      <c r="L4718">
        <v>1653.70340746331</v>
      </c>
      <c r="M4718">
        <v>32.045079759259799</v>
      </c>
      <c r="N4718">
        <v>51.986600279073301</v>
      </c>
      <c r="O4718">
        <v>51.405812998946999</v>
      </c>
      <c r="P4718">
        <v>-0.13953177179291901</v>
      </c>
      <c r="Q4718">
        <v>0.104672799408407</v>
      </c>
      <c r="R4718">
        <v>0.99265750734157898</v>
      </c>
      <c r="S4718" t="s">
        <v>11170</v>
      </c>
      <c r="T4718" t="s">
        <v>12902</v>
      </c>
      <c r="U4718" t="s">
        <v>12902</v>
      </c>
      <c r="V4718" t="s">
        <v>12902</v>
      </c>
      <c r="W4718" t="s">
        <v>17573</v>
      </c>
      <c r="X4718">
        <v>29</v>
      </c>
      <c r="Y4718" t="s">
        <v>23876</v>
      </c>
      <c r="Z4718" t="s">
        <v>30293</v>
      </c>
      <c r="AA4718">
        <v>0.45601493341144622</v>
      </c>
      <c r="AB4718" t="str">
        <f>HYPERLINK("Melting_Curves/meltCurve_Q92620_DHX38.pdf", "Melting_Curves/meltCurve_Q92620_DHX38.pdf")</f>
        <v>Melting_Curves/meltCurve_Q92620_DHX38.pdf</v>
      </c>
    </row>
    <row r="4719" spans="1:28" x14ac:dyDescent="0.25">
      <c r="A4719" t="s">
        <v>4723</v>
      </c>
      <c r="B4719">
        <v>0.99673306730245903</v>
      </c>
      <c r="C4719">
        <v>0.95840390023369804</v>
      </c>
      <c r="D4719">
        <v>0.92452735417964704</v>
      </c>
      <c r="E4719">
        <v>1.0510044755171699</v>
      </c>
      <c r="F4719">
        <v>0.28379737484245399</v>
      </c>
      <c r="G4719">
        <v>0.182901074488312</v>
      </c>
      <c r="H4719">
        <v>0.111718157312378</v>
      </c>
      <c r="I4719">
        <v>0.10576087714990599</v>
      </c>
      <c r="J4719">
        <v>0.106374511394511</v>
      </c>
      <c r="K4719">
        <v>9.0451145249911796E-2</v>
      </c>
      <c r="L4719">
        <v>13221.6935033794</v>
      </c>
      <c r="M4719">
        <v>250</v>
      </c>
      <c r="N4719">
        <v>52.944583033382898</v>
      </c>
      <c r="O4719">
        <v>52.883389621316702</v>
      </c>
      <c r="P4719">
        <v>-1.0406845914151699</v>
      </c>
      <c r="Q4719">
        <v>0.11944114167637999</v>
      </c>
      <c r="R4719">
        <v>0.99105616513624595</v>
      </c>
      <c r="S4719" t="s">
        <v>11171</v>
      </c>
      <c r="T4719" t="s">
        <v>12902</v>
      </c>
      <c r="U4719" t="s">
        <v>12902</v>
      </c>
      <c r="V4719" t="s">
        <v>12902</v>
      </c>
      <c r="W4719" t="s">
        <v>17574</v>
      </c>
      <c r="X4719">
        <v>12</v>
      </c>
      <c r="Y4719" t="s">
        <v>23877</v>
      </c>
      <c r="Z4719" t="s">
        <v>30294</v>
      </c>
      <c r="AA4719">
        <v>0.49777497158378559</v>
      </c>
      <c r="AB4719" t="str">
        <f>HYPERLINK("Melting_Curves/meltCurve_Q92621_NUP205.pdf", "Melting_Curves/meltCurve_Q92621_NUP205.pdf")</f>
        <v>Melting_Curves/meltCurve_Q92621_NUP205.pdf</v>
      </c>
    </row>
    <row r="4720" spans="1:28" x14ac:dyDescent="0.25">
      <c r="A4720" t="s">
        <v>4724</v>
      </c>
      <c r="B4720">
        <v>0.99673306730245903</v>
      </c>
      <c r="C4720">
        <v>1.01874255481111</v>
      </c>
      <c r="D4720">
        <v>0.99044301537842705</v>
      </c>
      <c r="E4720">
        <v>0.83109645052356096</v>
      </c>
      <c r="F4720">
        <v>0.35872692998482503</v>
      </c>
      <c r="G4720">
        <v>0.183703655455071</v>
      </c>
      <c r="H4720">
        <v>0.10209293442865899</v>
      </c>
      <c r="I4720">
        <v>0.103484687978073</v>
      </c>
      <c r="J4720">
        <v>0.10963327946100999</v>
      </c>
      <c r="K4720">
        <v>9.3654309114513098E-2</v>
      </c>
      <c r="L4720">
        <v>1671.5397096806801</v>
      </c>
      <c r="M4720">
        <v>32.283183608521099</v>
      </c>
      <c r="N4720">
        <v>52.1584406596279</v>
      </c>
      <c r="O4720">
        <v>51.5799516696826</v>
      </c>
      <c r="P4720">
        <v>-0.14003573967534499</v>
      </c>
      <c r="Q4720">
        <v>0.105044706758571</v>
      </c>
      <c r="R4720">
        <v>0.99890091472840703</v>
      </c>
      <c r="S4720" t="s">
        <v>11172</v>
      </c>
      <c r="T4720" t="s">
        <v>12902</v>
      </c>
      <c r="U4720" t="s">
        <v>12902</v>
      </c>
      <c r="V4720" t="s">
        <v>12902</v>
      </c>
      <c r="W4720" t="s">
        <v>17575</v>
      </c>
      <c r="X4720">
        <v>10</v>
      </c>
      <c r="Y4720" t="s">
        <v>23878</v>
      </c>
      <c r="Z4720" t="s">
        <v>30295</v>
      </c>
      <c r="AA4720">
        <v>0.46130968008552142</v>
      </c>
      <c r="AB4720" t="str">
        <f>HYPERLINK("Melting_Curves/meltCurve_Q92623_TTC9.pdf", "Melting_Curves/meltCurve_Q92623_TTC9.pdf")</f>
        <v>Melting_Curves/meltCurve_Q92623_TTC9.pdf</v>
      </c>
    </row>
    <row r="4721" spans="1:28" x14ac:dyDescent="0.25">
      <c r="A4721" t="s">
        <v>4725</v>
      </c>
      <c r="B4721">
        <v>0.99673306730245903</v>
      </c>
      <c r="C4721">
        <v>0.80419557385662799</v>
      </c>
      <c r="D4721">
        <v>0.28518450283473501</v>
      </c>
      <c r="E4721">
        <v>0.176098565920696</v>
      </c>
      <c r="F4721">
        <v>0.131571468281862</v>
      </c>
      <c r="G4721">
        <v>8.9769351551461499E-2</v>
      </c>
      <c r="H4721">
        <v>6.2326328943214798E-2</v>
      </c>
      <c r="I4721">
        <v>6.2253528665858003E-2</v>
      </c>
      <c r="J4721">
        <v>5.7760426841280001E-2</v>
      </c>
      <c r="K4721">
        <v>5.2522243242556603E-2</v>
      </c>
      <c r="L4721">
        <v>1523.4047073229301</v>
      </c>
      <c r="M4721">
        <v>34.2601197390156</v>
      </c>
      <c r="N4721">
        <v>44.7055745537332</v>
      </c>
      <c r="O4721">
        <v>44.315153915289798</v>
      </c>
      <c r="P4721">
        <v>-0.177056702758977</v>
      </c>
      <c r="Q4721">
        <v>8.3918585494976994E-2</v>
      </c>
      <c r="R4721">
        <v>0.99071649423245001</v>
      </c>
      <c r="S4721" t="s">
        <v>11173</v>
      </c>
      <c r="T4721" t="s">
        <v>12902</v>
      </c>
      <c r="U4721" t="s">
        <v>12902</v>
      </c>
      <c r="V4721" t="s">
        <v>12902</v>
      </c>
      <c r="W4721" t="s">
        <v>17576</v>
      </c>
      <c r="X4721">
        <v>12</v>
      </c>
      <c r="Y4721" t="s">
        <v>23879</v>
      </c>
      <c r="Z4721" t="s">
        <v>30296</v>
      </c>
      <c r="AA4721">
        <v>0.22479711305381481</v>
      </c>
      <c r="AB4721" t="str">
        <f>HYPERLINK("Melting_Curves/meltCurve_Q92625_ANKS1A.pdf", "Melting_Curves/meltCurve_Q92625_ANKS1A.pdf")</f>
        <v>Melting_Curves/meltCurve_Q92625_ANKS1A.pdf</v>
      </c>
    </row>
    <row r="4722" spans="1:28" x14ac:dyDescent="0.25">
      <c r="A4722" t="s">
        <v>4726</v>
      </c>
      <c r="B4722">
        <v>0.99673306730245903</v>
      </c>
      <c r="C4722">
        <v>1.02646044696228</v>
      </c>
      <c r="D4722">
        <v>0.96874547588530802</v>
      </c>
      <c r="E4722">
        <v>0.95085899315937605</v>
      </c>
      <c r="F4722">
        <v>0.50581506287035505</v>
      </c>
      <c r="G4722">
        <v>0.28167890829465903</v>
      </c>
      <c r="H4722">
        <v>0.184544122570137</v>
      </c>
      <c r="I4722">
        <v>0.15779111825071501</v>
      </c>
      <c r="J4722">
        <v>0.190618797623169</v>
      </c>
      <c r="K4722">
        <v>0.156586172665377</v>
      </c>
      <c r="L4722">
        <v>1842.79736889166</v>
      </c>
      <c r="M4722">
        <v>34.932749006260998</v>
      </c>
      <c r="N4722">
        <v>53.420521353418103</v>
      </c>
      <c r="O4722">
        <v>52.5807124038922</v>
      </c>
      <c r="P4722">
        <v>-0.13670755572320301</v>
      </c>
      <c r="Q4722">
        <v>0.17691465563619899</v>
      </c>
      <c r="R4722">
        <v>0.995953304721649</v>
      </c>
      <c r="S4722" t="s">
        <v>11174</v>
      </c>
      <c r="T4722" t="s">
        <v>12902</v>
      </c>
      <c r="U4722" t="s">
        <v>12902</v>
      </c>
      <c r="V4722" t="s">
        <v>12902</v>
      </c>
      <c r="W4722" t="s">
        <v>17577</v>
      </c>
      <c r="X4722">
        <v>3</v>
      </c>
      <c r="Y4722" t="s">
        <v>23880</v>
      </c>
      <c r="Z4722" t="s">
        <v>30297</v>
      </c>
      <c r="AA4722">
        <v>0.53073359237214968</v>
      </c>
      <c r="AB4722" t="str">
        <f>HYPERLINK("Melting_Curves/meltCurve_Q92636_NSMAF.pdf", "Melting_Curves/meltCurve_Q92636_NSMAF.pdf")</f>
        <v>Melting_Curves/meltCurve_Q92636_NSMAF.pdf</v>
      </c>
    </row>
    <row r="4723" spans="1:28" x14ac:dyDescent="0.25">
      <c r="A4723" t="s">
        <v>4727</v>
      </c>
      <c r="B4723">
        <v>0.99673306730245903</v>
      </c>
      <c r="C4723">
        <v>0.88922565776191498</v>
      </c>
      <c r="D4723">
        <v>0.62430924263897603</v>
      </c>
      <c r="E4723">
        <v>0.36735692312878798</v>
      </c>
      <c r="F4723">
        <v>0.25805538071753398</v>
      </c>
      <c r="G4723">
        <v>0.18112693564055701</v>
      </c>
      <c r="H4723">
        <v>0.16820458384836101</v>
      </c>
      <c r="I4723">
        <v>0.14499195020627001</v>
      </c>
      <c r="J4723">
        <v>0.216028670714416</v>
      </c>
      <c r="K4723">
        <v>0.202800424469225</v>
      </c>
      <c r="L4723">
        <v>973.76430267825504</v>
      </c>
      <c r="M4723">
        <v>20.9234686966346</v>
      </c>
      <c r="N4723">
        <v>47.563175521192903</v>
      </c>
      <c r="O4723">
        <v>46.120481265572003</v>
      </c>
      <c r="P4723">
        <v>-9.2855982938545606E-2</v>
      </c>
      <c r="Q4723">
        <v>0.18131245859117401</v>
      </c>
      <c r="R4723">
        <v>0.99431372126156603</v>
      </c>
      <c r="S4723" t="s">
        <v>11175</v>
      </c>
      <c r="T4723" t="s">
        <v>12902</v>
      </c>
      <c r="U4723" t="s">
        <v>12902</v>
      </c>
      <c r="V4723" t="s">
        <v>12902</v>
      </c>
      <c r="W4723" t="s">
        <v>17578</v>
      </c>
      <c r="X4723">
        <v>2</v>
      </c>
      <c r="Y4723" t="s">
        <v>23881</v>
      </c>
      <c r="Z4723" t="s">
        <v>30298</v>
      </c>
      <c r="AA4723">
        <v>0.37082710994348678</v>
      </c>
      <c r="AB4723" t="str">
        <f>HYPERLINK("Melting_Curves/meltCurve_Q92664_2_GTF3A.pdf", "Melting_Curves/meltCurve_Q92664_2_GTF3A.pdf")</f>
        <v>Melting_Curves/meltCurve_Q92664_2_GTF3A.pdf</v>
      </c>
    </row>
    <row r="4724" spans="1:28" x14ac:dyDescent="0.25">
      <c r="A4724" t="s">
        <v>4728</v>
      </c>
      <c r="B4724">
        <v>0.99673306730245903</v>
      </c>
      <c r="C4724">
        <v>0.91640356885344798</v>
      </c>
      <c r="D4724">
        <v>0.53588348412391695</v>
      </c>
      <c r="E4724">
        <v>0.39371580934653899</v>
      </c>
      <c r="F4724">
        <v>0.226603586206098</v>
      </c>
      <c r="G4724">
        <v>0.14800859822711199</v>
      </c>
      <c r="H4724">
        <v>0.110449561144483</v>
      </c>
      <c r="I4724">
        <v>0.12662070521990201</v>
      </c>
      <c r="J4724">
        <v>0.17330748393887599</v>
      </c>
      <c r="K4724">
        <v>0.19712906900873001</v>
      </c>
      <c r="L4724">
        <v>941.15583199448304</v>
      </c>
      <c r="M4724">
        <v>20.294289295724401</v>
      </c>
      <c r="N4724">
        <v>47.2226937328128</v>
      </c>
      <c r="O4724">
        <v>45.932155713934499</v>
      </c>
      <c r="P4724">
        <v>-9.3604885677390601E-2</v>
      </c>
      <c r="Q4724">
        <v>0.15260056874188499</v>
      </c>
      <c r="R4724">
        <v>0.98001128964993101</v>
      </c>
      <c r="S4724" t="s">
        <v>11176</v>
      </c>
      <c r="T4724" t="s">
        <v>12902</v>
      </c>
      <c r="U4724" t="s">
        <v>12902</v>
      </c>
      <c r="V4724" t="s">
        <v>12902</v>
      </c>
      <c r="W4724" t="s">
        <v>17579</v>
      </c>
      <c r="X4724">
        <v>7</v>
      </c>
      <c r="Y4724" t="s">
        <v>23882</v>
      </c>
      <c r="Z4724" t="s">
        <v>30299</v>
      </c>
      <c r="AA4724">
        <v>0.34505658115643728</v>
      </c>
      <c r="AB4724" t="str">
        <f>HYPERLINK("Melting_Curves/meltCurve_Q92665_MRPS31.pdf", "Melting_Curves/meltCurve_Q92665_MRPS31.pdf")</f>
        <v>Melting_Curves/meltCurve_Q92665_MRPS31.pdf</v>
      </c>
    </row>
    <row r="4725" spans="1:28" x14ac:dyDescent="0.25">
      <c r="A4725" t="s">
        <v>4729</v>
      </c>
      <c r="B4725">
        <v>0.99673306730245903</v>
      </c>
      <c r="C4725">
        <v>0.85838998395331201</v>
      </c>
      <c r="D4725">
        <v>0.56188896878485395</v>
      </c>
      <c r="E4725">
        <v>0.41931732945217298</v>
      </c>
      <c r="F4725">
        <v>0.30459840797187898</v>
      </c>
      <c r="G4725">
        <v>0.24716218540663201</v>
      </c>
      <c r="H4725">
        <v>0.21333266496374001</v>
      </c>
      <c r="I4725">
        <v>0.27709266783251302</v>
      </c>
      <c r="J4725">
        <v>0.387634834820826</v>
      </c>
      <c r="K4725">
        <v>0.44666451823187098</v>
      </c>
      <c r="L4725">
        <v>1168.4863960907401</v>
      </c>
      <c r="M4725">
        <v>25.890324171931901</v>
      </c>
      <c r="N4725">
        <v>46.936670225499299</v>
      </c>
      <c r="O4725">
        <v>44.865497710843002</v>
      </c>
      <c r="P4725">
        <v>-9.87938838086896E-2</v>
      </c>
      <c r="Q4725">
        <v>0.31520604773333299</v>
      </c>
      <c r="R4725">
        <v>0.93188218342092999</v>
      </c>
      <c r="S4725" t="s">
        <v>11177</v>
      </c>
      <c r="T4725" t="s">
        <v>12902</v>
      </c>
      <c r="U4725" t="s">
        <v>12902</v>
      </c>
      <c r="V4725" t="s">
        <v>12902</v>
      </c>
      <c r="W4725" t="s">
        <v>17580</v>
      </c>
      <c r="X4725">
        <v>12</v>
      </c>
      <c r="Y4725" t="s">
        <v>23883</v>
      </c>
      <c r="Z4725" t="s">
        <v>30300</v>
      </c>
      <c r="AA4725">
        <v>0.43854839507001081</v>
      </c>
      <c r="AB4725" t="str">
        <f>HYPERLINK("Melting_Curves/meltCurve_Q92667_AKAP1.pdf", "Melting_Curves/meltCurve_Q92667_AKAP1.pdf")</f>
        <v>Melting_Curves/meltCurve_Q92667_AKAP1.pdf</v>
      </c>
    </row>
    <row r="4726" spans="1:28" x14ac:dyDescent="0.25">
      <c r="A4726" t="s">
        <v>4730</v>
      </c>
      <c r="B4726">
        <v>0.99673306730245903</v>
      </c>
      <c r="C4726">
        <v>0.93578642370264997</v>
      </c>
      <c r="D4726">
        <v>0.98447784871544397</v>
      </c>
      <c r="E4726">
        <v>0.94723088880612805</v>
      </c>
      <c r="F4726">
        <v>0.63375693212087802</v>
      </c>
      <c r="G4726">
        <v>0.34690293404552602</v>
      </c>
      <c r="H4726">
        <v>0.19885747259570599</v>
      </c>
      <c r="I4726">
        <v>0.16316619008025501</v>
      </c>
      <c r="J4726">
        <v>0.14823563898030101</v>
      </c>
      <c r="K4726">
        <v>0.109402930876698</v>
      </c>
      <c r="L4726">
        <v>1317.2548288793901</v>
      </c>
      <c r="M4726">
        <v>24.351746944914201</v>
      </c>
      <c r="N4726">
        <v>54.790459983836101</v>
      </c>
      <c r="O4726">
        <v>53.732020682834502</v>
      </c>
      <c r="P4726">
        <v>-9.8199885966229597E-2</v>
      </c>
      <c r="Q4726">
        <v>0.133302748124459</v>
      </c>
      <c r="R4726">
        <v>0.99524079764351303</v>
      </c>
      <c r="S4726" t="s">
        <v>11178</v>
      </c>
      <c r="T4726" t="s">
        <v>12902</v>
      </c>
      <c r="U4726" t="s">
        <v>12902</v>
      </c>
      <c r="V4726" t="s">
        <v>12902</v>
      </c>
      <c r="W4726" t="s">
        <v>17581</v>
      </c>
      <c r="X4726">
        <v>21</v>
      </c>
      <c r="Y4726" t="s">
        <v>23884</v>
      </c>
      <c r="Z4726" t="s">
        <v>30301</v>
      </c>
      <c r="AA4726">
        <v>0.54885483841478167</v>
      </c>
      <c r="AB4726" t="str">
        <f>HYPERLINK("Melting_Curves/meltCurve_Q92673_SORL1.pdf", "Melting_Curves/meltCurve_Q92673_SORL1.pdf")</f>
        <v>Melting_Curves/meltCurve_Q92673_SORL1.pdf</v>
      </c>
    </row>
    <row r="4727" spans="1:28" x14ac:dyDescent="0.25">
      <c r="A4727" t="s">
        <v>4731</v>
      </c>
      <c r="B4727">
        <v>0.99673306730245903</v>
      </c>
      <c r="C4727">
        <v>0.86937651683401795</v>
      </c>
      <c r="D4727">
        <v>1.2147484875527801</v>
      </c>
      <c r="E4727">
        <v>0.712923048816829</v>
      </c>
      <c r="F4727">
        <v>0.64329640117662301</v>
      </c>
      <c r="G4727">
        <v>0.50925328885992205</v>
      </c>
      <c r="H4727">
        <v>0.468996501806551</v>
      </c>
      <c r="I4727">
        <v>0.73253150180078197</v>
      </c>
      <c r="J4727">
        <v>1.0583985747934099</v>
      </c>
      <c r="K4727">
        <v>0.86225582820701197</v>
      </c>
      <c r="L4727">
        <v>12101.7605995089</v>
      </c>
      <c r="M4727">
        <v>250</v>
      </c>
      <c r="O4727">
        <v>48.4039441850163</v>
      </c>
      <c r="P4727">
        <v>-0.37132560422741101</v>
      </c>
      <c r="Q4727">
        <v>0.71242201632087998</v>
      </c>
      <c r="R4727">
        <v>0.397757105677636</v>
      </c>
      <c r="S4727" t="s">
        <v>11179</v>
      </c>
      <c r="T4727" t="s">
        <v>12902</v>
      </c>
      <c r="U4727" t="s">
        <v>12902</v>
      </c>
      <c r="V4727" t="s">
        <v>12902</v>
      </c>
      <c r="W4727" t="s">
        <v>17582</v>
      </c>
      <c r="X4727">
        <v>1</v>
      </c>
      <c r="Y4727" t="s">
        <v>23885</v>
      </c>
      <c r="Z4727" t="s">
        <v>30302</v>
      </c>
      <c r="AA4727">
        <v>0.79303579049200623</v>
      </c>
      <c r="AB4727" t="str">
        <f>HYPERLINK("Melting_Curves/meltCurve_Q92686_NRGN.pdf", "Melting_Curves/meltCurve_Q92686_NRGN.pdf")</f>
        <v>Melting_Curves/meltCurve_Q92686_NRGN.pdf</v>
      </c>
    </row>
    <row r="4728" spans="1:28" x14ac:dyDescent="0.25">
      <c r="A4728" t="s">
        <v>4732</v>
      </c>
      <c r="B4728">
        <v>0.99673306730245903</v>
      </c>
      <c r="C4728">
        <v>0.98174818848115897</v>
      </c>
      <c r="D4728">
        <v>1.0077873406818401</v>
      </c>
      <c r="E4728">
        <v>0.95192933010422398</v>
      </c>
      <c r="F4728">
        <v>0.64786379798773197</v>
      </c>
      <c r="G4728">
        <v>0.23922410807967101</v>
      </c>
      <c r="H4728">
        <v>0.108893883706491</v>
      </c>
      <c r="I4728">
        <v>8.6499641034731095E-2</v>
      </c>
      <c r="J4728">
        <v>0.100419299709152</v>
      </c>
      <c r="K4728">
        <v>8.0472750757884196E-2</v>
      </c>
      <c r="L4728">
        <v>1755.1901817989501</v>
      </c>
      <c r="M4728">
        <v>32.520761469347597</v>
      </c>
      <c r="N4728">
        <v>54.289056066048801</v>
      </c>
      <c r="O4728">
        <v>53.768525176521102</v>
      </c>
      <c r="P4728">
        <v>-0.13810644014228199</v>
      </c>
      <c r="Q4728">
        <v>8.6645701441646794E-2</v>
      </c>
      <c r="R4728">
        <v>0.99959062362462003</v>
      </c>
      <c r="S4728" t="s">
        <v>11180</v>
      </c>
      <c r="T4728" t="s">
        <v>12902</v>
      </c>
      <c r="U4728" t="s">
        <v>12902</v>
      </c>
      <c r="V4728" t="s">
        <v>12902</v>
      </c>
      <c r="W4728" t="s">
        <v>17583</v>
      </c>
      <c r="X4728">
        <v>12</v>
      </c>
      <c r="Y4728" t="s">
        <v>23886</v>
      </c>
      <c r="Z4728" t="s">
        <v>30303</v>
      </c>
      <c r="AA4728">
        <v>0.51713265230868044</v>
      </c>
      <c r="AB4728" t="str">
        <f>HYPERLINK("Melting_Curves/meltCurve_Q92688_2_ANP32B.pdf", "Melting_Curves/meltCurve_Q92688_2_ANP32B.pdf")</f>
        <v>Melting_Curves/meltCurve_Q92688_2_ANP32B.pdf</v>
      </c>
    </row>
    <row r="4729" spans="1:28" x14ac:dyDescent="0.25">
      <c r="A4729" t="s">
        <v>4733</v>
      </c>
      <c r="B4729">
        <v>0.99673306730245903</v>
      </c>
      <c r="C4729">
        <v>0.99256654048705395</v>
      </c>
      <c r="D4729">
        <v>0.93224912805214299</v>
      </c>
      <c r="E4729">
        <v>0.81502996737768396</v>
      </c>
      <c r="F4729">
        <v>0.84407960983323505</v>
      </c>
      <c r="G4729">
        <v>0.67264503086359595</v>
      </c>
      <c r="H4729">
        <v>0.46531339257623699</v>
      </c>
      <c r="I4729">
        <v>0.52242639964396997</v>
      </c>
      <c r="J4729">
        <v>0.50057613184263605</v>
      </c>
      <c r="K4729">
        <v>0.53202917646453596</v>
      </c>
      <c r="L4729">
        <v>729.42482284649202</v>
      </c>
      <c r="M4729">
        <v>13.474119912438701</v>
      </c>
      <c r="N4729">
        <v>67.037633495518904</v>
      </c>
      <c r="O4729">
        <v>52.984555836332902</v>
      </c>
      <c r="P4729">
        <v>-3.4169990257158299E-2</v>
      </c>
      <c r="Q4729">
        <v>0.46261323740333399</v>
      </c>
      <c r="R4729">
        <v>0.94325932558560299</v>
      </c>
      <c r="S4729" t="s">
        <v>11181</v>
      </c>
      <c r="T4729" t="s">
        <v>12902</v>
      </c>
      <c r="U4729" t="s">
        <v>12902</v>
      </c>
      <c r="V4729" t="s">
        <v>12902</v>
      </c>
      <c r="W4729" t="s">
        <v>17584</v>
      </c>
      <c r="X4729">
        <v>9</v>
      </c>
      <c r="Y4729" t="s">
        <v>23887</v>
      </c>
      <c r="Z4729" t="s">
        <v>30304</v>
      </c>
      <c r="AA4729">
        <v>0.72818445466791171</v>
      </c>
      <c r="AB4729" t="str">
        <f>HYPERLINK("Melting_Curves/meltCurve_Q92692_PVRL2.pdf", "Melting_Curves/meltCurve_Q92692_PVRL2.pdf")</f>
        <v>Melting_Curves/meltCurve_Q92692_PVRL2.pdf</v>
      </c>
    </row>
    <row r="4730" spans="1:28" x14ac:dyDescent="0.25">
      <c r="A4730" t="s">
        <v>4734</v>
      </c>
      <c r="B4730">
        <v>0.99673306730245903</v>
      </c>
      <c r="C4730">
        <v>0.98187155553440197</v>
      </c>
      <c r="D4730">
        <v>0.95295767067993797</v>
      </c>
      <c r="E4730">
        <v>0.85437570166893895</v>
      </c>
      <c r="F4730">
        <v>0.84922919021304399</v>
      </c>
      <c r="G4730">
        <v>0.70726772807281302</v>
      </c>
      <c r="H4730">
        <v>0.56637167563379998</v>
      </c>
      <c r="I4730">
        <v>0.42447604911186698</v>
      </c>
      <c r="J4730">
        <v>0.342693904841119</v>
      </c>
      <c r="K4730">
        <v>0.22829686670890401</v>
      </c>
      <c r="L4730">
        <v>577.00872559732397</v>
      </c>
      <c r="M4730">
        <v>9.3002791703398202</v>
      </c>
      <c r="N4730">
        <v>62.042071859187097</v>
      </c>
      <c r="O4730">
        <v>59.376132196398601</v>
      </c>
      <c r="P4730">
        <v>-3.91834337247867E-2</v>
      </c>
      <c r="Q4730">
        <v>0</v>
      </c>
      <c r="R4730">
        <v>0.99250461294634895</v>
      </c>
      <c r="S4730" t="s">
        <v>11182</v>
      </c>
      <c r="T4730" t="s">
        <v>12902</v>
      </c>
      <c r="U4730" t="s">
        <v>12902</v>
      </c>
      <c r="V4730" t="s">
        <v>12902</v>
      </c>
      <c r="W4730" t="s">
        <v>17585</v>
      </c>
      <c r="X4730">
        <v>8</v>
      </c>
      <c r="Y4730" t="s">
        <v>23887</v>
      </c>
      <c r="Z4730" t="s">
        <v>30305</v>
      </c>
      <c r="AA4730">
        <v>0.70844463148924375</v>
      </c>
      <c r="AB4730" t="str">
        <f>HYPERLINK("Melting_Curves/meltCurve_Q92692_2_PVRL2.pdf", "Melting_Curves/meltCurve_Q92692_2_PVRL2.pdf")</f>
        <v>Melting_Curves/meltCurve_Q92692_2_PVRL2.pdf</v>
      </c>
    </row>
    <row r="4731" spans="1:28" x14ac:dyDescent="0.25">
      <c r="A4731" t="s">
        <v>4735</v>
      </c>
      <c r="B4731">
        <v>0.99673306730245903</v>
      </c>
      <c r="C4731">
        <v>1.00359694142544</v>
      </c>
      <c r="D4731">
        <v>0.99133861921796895</v>
      </c>
      <c r="E4731">
        <v>1.00364380200248</v>
      </c>
      <c r="F4731">
        <v>0.40706157837597801</v>
      </c>
      <c r="G4731">
        <v>0.16392292469783601</v>
      </c>
      <c r="H4731">
        <v>0.10174950623708</v>
      </c>
      <c r="I4731">
        <v>8.2491915415402101E-2</v>
      </c>
      <c r="J4731">
        <v>7.5846534808869895E-2</v>
      </c>
      <c r="K4731">
        <v>6.1479458074997897E-2</v>
      </c>
      <c r="L4731">
        <v>3115.1732330045002</v>
      </c>
      <c r="M4731">
        <v>59.163774293327101</v>
      </c>
      <c r="N4731">
        <v>52.838991727351498</v>
      </c>
      <c r="O4731">
        <v>52.593316390395103</v>
      </c>
      <c r="P4731">
        <v>-0.254846313261885</v>
      </c>
      <c r="Q4731">
        <v>9.3823091226701197E-2</v>
      </c>
      <c r="R4731">
        <v>0.996817842593684</v>
      </c>
      <c r="S4731" t="s">
        <v>11183</v>
      </c>
      <c r="T4731" t="s">
        <v>12902</v>
      </c>
      <c r="U4731" t="s">
        <v>12902</v>
      </c>
      <c r="V4731" t="s">
        <v>12902</v>
      </c>
      <c r="W4731" t="s">
        <v>17586</v>
      </c>
      <c r="X4731">
        <v>17</v>
      </c>
      <c r="Y4731" t="s">
        <v>23888</v>
      </c>
      <c r="Z4731" t="s">
        <v>30306</v>
      </c>
      <c r="AA4731">
        <v>0.47753079971062312</v>
      </c>
      <c r="AB4731" t="str">
        <f>HYPERLINK("Melting_Curves/meltCurve_Q92696_RABGGTA.pdf", "Melting_Curves/meltCurve_Q92696_RABGGTA.pdf")</f>
        <v>Melting_Curves/meltCurve_Q92696_RABGGTA.pdf</v>
      </c>
    </row>
    <row r="4732" spans="1:28" x14ac:dyDescent="0.25">
      <c r="A4732" t="s">
        <v>4736</v>
      </c>
      <c r="B4732">
        <v>0.99673306730245903</v>
      </c>
      <c r="C4732">
        <v>0.94376573071993697</v>
      </c>
      <c r="D4732">
        <v>0.94274704801456299</v>
      </c>
      <c r="E4732">
        <v>0.94052253527681995</v>
      </c>
      <c r="F4732">
        <v>0.83995223729601298</v>
      </c>
      <c r="G4732">
        <v>0.74174418011669596</v>
      </c>
      <c r="H4732">
        <v>0.57456240722502405</v>
      </c>
      <c r="I4732">
        <v>0.63495149899146397</v>
      </c>
      <c r="J4732">
        <v>0.67700784084807997</v>
      </c>
      <c r="K4732">
        <v>0.479244758537204</v>
      </c>
      <c r="L4732">
        <v>652.26106489778704</v>
      </c>
      <c r="M4732">
        <v>11.6454122113305</v>
      </c>
      <c r="O4732">
        <v>54.434977824778699</v>
      </c>
      <c r="P4732">
        <v>-2.6111239519888401E-2</v>
      </c>
      <c r="Q4732">
        <v>0.51191764218971503</v>
      </c>
      <c r="R4732">
        <v>0.91030233900439195</v>
      </c>
      <c r="S4732" t="s">
        <v>11184</v>
      </c>
      <c r="T4732" t="s">
        <v>12902</v>
      </c>
      <c r="U4732" t="s">
        <v>12902</v>
      </c>
      <c r="V4732" t="s">
        <v>12902</v>
      </c>
      <c r="W4732" t="s">
        <v>17587</v>
      </c>
      <c r="X4732">
        <v>13</v>
      </c>
      <c r="Y4732" t="s">
        <v>23889</v>
      </c>
      <c r="Z4732" t="s">
        <v>30307</v>
      </c>
      <c r="AA4732">
        <v>0.78243183537887873</v>
      </c>
      <c r="AB4732" t="str">
        <f>HYPERLINK("Melting_Curves/meltCurve_Q92734_2_TFG.pdf", "Melting_Curves/meltCurve_Q92734_2_TFG.pdf")</f>
        <v>Melting_Curves/meltCurve_Q92734_2_TFG.pdf</v>
      </c>
    </row>
    <row r="4733" spans="1:28" x14ac:dyDescent="0.25">
      <c r="A4733" t="s">
        <v>4737</v>
      </c>
      <c r="B4733">
        <v>0.99673306730245903</v>
      </c>
      <c r="C4733">
        <v>0.95846430554319895</v>
      </c>
      <c r="D4733">
        <v>0.90443134973178196</v>
      </c>
      <c r="E4733">
        <v>0.69341535606197802</v>
      </c>
      <c r="F4733">
        <v>0.32543362108937601</v>
      </c>
      <c r="G4733">
        <v>0.19175595808615001</v>
      </c>
      <c r="H4733">
        <v>0.115259279890654</v>
      </c>
      <c r="I4733">
        <v>0.13910605733477599</v>
      </c>
      <c r="J4733">
        <v>0.202219325489852</v>
      </c>
      <c r="K4733">
        <v>0.21337347068854201</v>
      </c>
      <c r="L4733">
        <v>1336.50055156248</v>
      </c>
      <c r="M4733">
        <v>26.495273777074701</v>
      </c>
      <c r="N4733">
        <v>51.197629335696703</v>
      </c>
      <c r="O4733">
        <v>50.158255936390198</v>
      </c>
      <c r="P4733">
        <v>-0.110711829265687</v>
      </c>
      <c r="Q4733">
        <v>0.16165382231293099</v>
      </c>
      <c r="R4733">
        <v>0.99115479697071596</v>
      </c>
      <c r="S4733" t="s">
        <v>11185</v>
      </c>
      <c r="T4733" t="s">
        <v>12902</v>
      </c>
      <c r="U4733" t="s">
        <v>12902</v>
      </c>
      <c r="V4733" t="s">
        <v>12902</v>
      </c>
      <c r="W4733" t="s">
        <v>17588</v>
      </c>
      <c r="X4733">
        <v>9</v>
      </c>
      <c r="Y4733" t="s">
        <v>23890</v>
      </c>
      <c r="Z4733" t="s">
        <v>30308</v>
      </c>
      <c r="AA4733">
        <v>0.46018496639988121</v>
      </c>
      <c r="AB4733" t="str">
        <f>HYPERLINK("Melting_Curves/meltCurve_Q92738_USP6NL.pdf", "Melting_Curves/meltCurve_Q92738_USP6NL.pdf")</f>
        <v>Melting_Curves/meltCurve_Q92738_USP6NL.pdf</v>
      </c>
    </row>
    <row r="4734" spans="1:28" x14ac:dyDescent="0.25">
      <c r="A4734" t="s">
        <v>4738</v>
      </c>
      <c r="B4734">
        <v>0.99673306730245903</v>
      </c>
      <c r="C4734">
        <v>0.99210200404789595</v>
      </c>
      <c r="D4734">
        <v>1.00179133708779</v>
      </c>
      <c r="E4734">
        <v>1.1083893384563299</v>
      </c>
      <c r="F4734">
        <v>0.98253062486729104</v>
      </c>
      <c r="G4734">
        <v>0.98929871677147296</v>
      </c>
      <c r="H4734">
        <v>0.84229564810067603</v>
      </c>
      <c r="I4734">
        <v>0.64751391209202602</v>
      </c>
      <c r="J4734">
        <v>0.298724903233334</v>
      </c>
      <c r="K4734">
        <v>0.26439299472339001</v>
      </c>
      <c r="L4734">
        <v>2009.3132488179899</v>
      </c>
      <c r="M4734">
        <v>31.328971950459401</v>
      </c>
      <c r="N4734">
        <v>65.088274486942097</v>
      </c>
      <c r="O4734">
        <v>63.876329473219499</v>
      </c>
      <c r="P4734">
        <v>-0.10007361678104799</v>
      </c>
      <c r="Q4734">
        <v>0.18384806666140999</v>
      </c>
      <c r="R4734">
        <v>0.97859833382092598</v>
      </c>
      <c r="S4734" t="s">
        <v>11186</v>
      </c>
      <c r="T4734" t="s">
        <v>12902</v>
      </c>
      <c r="U4734" t="s">
        <v>12902</v>
      </c>
      <c r="V4734" t="s">
        <v>12902</v>
      </c>
      <c r="W4734" t="s">
        <v>17589</v>
      </c>
      <c r="X4734">
        <v>16</v>
      </c>
      <c r="Y4734" t="s">
        <v>23891</v>
      </c>
      <c r="Z4734" t="s">
        <v>30309</v>
      </c>
      <c r="AA4734">
        <v>0.84138970038381367</v>
      </c>
      <c r="AB4734" t="str">
        <f>HYPERLINK("Melting_Curves/meltCurve_Q92747_ARPC1A.pdf", "Melting_Curves/meltCurve_Q92747_ARPC1A.pdf")</f>
        <v>Melting_Curves/meltCurve_Q92747_ARPC1A.pdf</v>
      </c>
    </row>
    <row r="4735" spans="1:28" x14ac:dyDescent="0.25">
      <c r="A4735" t="s">
        <v>4739</v>
      </c>
      <c r="B4735">
        <v>0.99673306730245903</v>
      </c>
      <c r="C4735">
        <v>0.82047872965280999</v>
      </c>
      <c r="D4735">
        <v>0.77830603107593499</v>
      </c>
      <c r="E4735">
        <v>0.52380261180704601</v>
      </c>
      <c r="F4735">
        <v>0.29224912608102899</v>
      </c>
      <c r="G4735">
        <v>0.193197004140996</v>
      </c>
      <c r="H4735">
        <v>0.16125552741813801</v>
      </c>
      <c r="I4735">
        <v>0.12470944153281301</v>
      </c>
      <c r="J4735">
        <v>0.12957047885335601</v>
      </c>
      <c r="K4735">
        <v>0.124447788265367</v>
      </c>
      <c r="L4735">
        <v>710.44697385277698</v>
      </c>
      <c r="M4735">
        <v>14.533123977374601</v>
      </c>
      <c r="N4735">
        <v>49.682442847018898</v>
      </c>
      <c r="O4735">
        <v>47.987062411498201</v>
      </c>
      <c r="P4735">
        <v>-6.7842151092170705E-2</v>
      </c>
      <c r="Q4735">
        <v>0.104067604839075</v>
      </c>
      <c r="R4735">
        <v>0.99100163931928997</v>
      </c>
      <c r="S4735" t="s">
        <v>11187</v>
      </c>
      <c r="T4735" t="s">
        <v>12902</v>
      </c>
      <c r="U4735" t="s">
        <v>12902</v>
      </c>
      <c r="V4735" t="s">
        <v>12902</v>
      </c>
      <c r="W4735" t="s">
        <v>17590</v>
      </c>
      <c r="X4735">
        <v>5</v>
      </c>
      <c r="Y4735" t="s">
        <v>23892</v>
      </c>
      <c r="Z4735" t="s">
        <v>30310</v>
      </c>
      <c r="AA4735">
        <v>0.39297203603995512</v>
      </c>
      <c r="AB4735" t="str">
        <f>HYPERLINK("Melting_Curves/meltCurve_Q92759_GTF2H4.pdf", "Melting_Curves/meltCurve_Q92759_GTF2H4.pdf")</f>
        <v>Melting_Curves/meltCurve_Q92759_GTF2H4.pdf</v>
      </c>
    </row>
    <row r="4736" spans="1:28" x14ac:dyDescent="0.25">
      <c r="A4736" t="s">
        <v>4740</v>
      </c>
      <c r="B4736">
        <v>0.99673306730245903</v>
      </c>
      <c r="C4736">
        <v>0.995733959039794</v>
      </c>
      <c r="D4736">
        <v>0.95314319353910804</v>
      </c>
      <c r="E4736">
        <v>0.803551134731603</v>
      </c>
      <c r="F4736">
        <v>0.28246478563653599</v>
      </c>
      <c r="G4736">
        <v>0.17496579900986201</v>
      </c>
      <c r="H4736">
        <v>0.115551396924581</v>
      </c>
      <c r="I4736">
        <v>0.11920176826682299</v>
      </c>
      <c r="J4736">
        <v>0.113075808278864</v>
      </c>
      <c r="K4736">
        <v>9.5367602666465101E-2</v>
      </c>
      <c r="L4736">
        <v>1865.25467612489</v>
      </c>
      <c r="M4736">
        <v>36.421369701404302</v>
      </c>
      <c r="N4736">
        <v>51.587353008161699</v>
      </c>
      <c r="O4736">
        <v>51.059536853115802</v>
      </c>
      <c r="P4736">
        <v>-0.15762852751206299</v>
      </c>
      <c r="Q4736">
        <v>0.11607768557250001</v>
      </c>
      <c r="R4736">
        <v>0.99798697653934498</v>
      </c>
      <c r="S4736" t="s">
        <v>11188</v>
      </c>
      <c r="T4736" t="s">
        <v>12902</v>
      </c>
      <c r="U4736" t="s">
        <v>12902</v>
      </c>
      <c r="V4736" t="s">
        <v>12902</v>
      </c>
      <c r="W4736" t="s">
        <v>17591</v>
      </c>
      <c r="X4736">
        <v>8</v>
      </c>
      <c r="Y4736" t="s">
        <v>23893</v>
      </c>
      <c r="Z4736" t="s">
        <v>30311</v>
      </c>
      <c r="AA4736">
        <v>0.45024247719919841</v>
      </c>
      <c r="AB4736" t="str">
        <f>HYPERLINK("Melting_Curves/meltCurve_Q92783_2_STAM.pdf", "Melting_Curves/meltCurve_Q92783_2_STAM.pdf")</f>
        <v>Melting_Curves/meltCurve_Q92783_2_STAM.pdf</v>
      </c>
    </row>
    <row r="4737" spans="1:28" x14ac:dyDescent="0.25">
      <c r="A4737" t="s">
        <v>4741</v>
      </c>
      <c r="B4737">
        <v>0.99673306730245903</v>
      </c>
      <c r="C4737">
        <v>0.79147726202720103</v>
      </c>
      <c r="D4737">
        <v>0.77570792523352206</v>
      </c>
      <c r="E4737">
        <v>0.518420152292284</v>
      </c>
      <c r="F4737">
        <v>0.38568212489744802</v>
      </c>
      <c r="G4737">
        <v>0.310281647005482</v>
      </c>
      <c r="H4737">
        <v>0.37044754236314897</v>
      </c>
      <c r="I4737">
        <v>0.37762215551464701</v>
      </c>
      <c r="J4737">
        <v>0.40642082577000999</v>
      </c>
      <c r="K4737">
        <v>0.43623863264993601</v>
      </c>
      <c r="L4737">
        <v>852.29984385184503</v>
      </c>
      <c r="M4737">
        <v>18.3924325379717</v>
      </c>
      <c r="N4737">
        <v>50.010465195556499</v>
      </c>
      <c r="O4737">
        <v>45.8022988041009</v>
      </c>
      <c r="P4737">
        <v>-6.3210552813313295E-2</v>
      </c>
      <c r="Q4737">
        <v>0.37038046657408502</v>
      </c>
      <c r="R4737">
        <v>0.94395192971209296</v>
      </c>
      <c r="S4737" t="s">
        <v>11189</v>
      </c>
      <c r="T4737" t="s">
        <v>12902</v>
      </c>
      <c r="U4737" t="s">
        <v>12902</v>
      </c>
      <c r="V4737" t="s">
        <v>12902</v>
      </c>
      <c r="W4737" t="s">
        <v>17592</v>
      </c>
      <c r="X4737">
        <v>2</v>
      </c>
      <c r="Y4737" t="s">
        <v>23894</v>
      </c>
      <c r="Z4737" t="s">
        <v>30312</v>
      </c>
      <c r="AA4737">
        <v>0.51493229615722813</v>
      </c>
      <c r="AB4737" t="str">
        <f>HYPERLINK("Melting_Curves/meltCurve_Q92786_PROX1.pdf", "Melting_Curves/meltCurve_Q92786_PROX1.pdf")</f>
        <v>Melting_Curves/meltCurve_Q92786_PROX1.pdf</v>
      </c>
    </row>
    <row r="4738" spans="1:28" x14ac:dyDescent="0.25">
      <c r="A4738" t="s">
        <v>4742</v>
      </c>
      <c r="B4738">
        <v>0.99673306730245903</v>
      </c>
      <c r="C4738">
        <v>0.94711503992052304</v>
      </c>
      <c r="D4738">
        <v>0.95381228804054297</v>
      </c>
      <c r="E4738">
        <v>0.83773956724910104</v>
      </c>
      <c r="F4738">
        <v>0.416809671634504</v>
      </c>
      <c r="G4738">
        <v>0.20764247321329199</v>
      </c>
      <c r="H4738">
        <v>0.133026560951478</v>
      </c>
      <c r="I4738">
        <v>0.13453149531799</v>
      </c>
      <c r="J4738">
        <v>0.15585021107768901</v>
      </c>
      <c r="K4738">
        <v>0.13216356560415099</v>
      </c>
      <c r="L4738">
        <v>1526.43913435425</v>
      </c>
      <c r="M4738">
        <v>29.390482230220499</v>
      </c>
      <c r="N4738">
        <v>52.502613004518601</v>
      </c>
      <c r="O4738">
        <v>51.697825548371597</v>
      </c>
      <c r="P4738">
        <v>-0.122826685984852</v>
      </c>
      <c r="Q4738">
        <v>0.135797692867546</v>
      </c>
      <c r="R4738">
        <v>0.99697547106453799</v>
      </c>
      <c r="S4738" t="s">
        <v>11190</v>
      </c>
      <c r="T4738" t="s">
        <v>12902</v>
      </c>
      <c r="U4738" t="s">
        <v>12902</v>
      </c>
      <c r="V4738" t="s">
        <v>12902</v>
      </c>
      <c r="W4738" t="s">
        <v>17593</v>
      </c>
      <c r="X4738">
        <v>18</v>
      </c>
      <c r="Y4738" t="s">
        <v>23895</v>
      </c>
      <c r="Z4738" t="s">
        <v>30313</v>
      </c>
      <c r="AA4738">
        <v>0.48539495290770412</v>
      </c>
      <c r="AB4738" t="str">
        <f>HYPERLINK("Melting_Curves/meltCurve_Q92793_CREBBP.pdf", "Melting_Curves/meltCurve_Q92793_CREBBP.pdf")</f>
        <v>Melting_Curves/meltCurve_Q92793_CREBBP.pdf</v>
      </c>
    </row>
    <row r="4739" spans="1:28" x14ac:dyDescent="0.25">
      <c r="A4739" t="s">
        <v>4743</v>
      </c>
      <c r="B4739">
        <v>0.99673306730245903</v>
      </c>
      <c r="C4739">
        <v>0.87207239710141304</v>
      </c>
      <c r="D4739">
        <v>0.576119684101845</v>
      </c>
      <c r="E4739">
        <v>0.192628173920871</v>
      </c>
      <c r="F4739">
        <v>0.13089098654036199</v>
      </c>
      <c r="G4739">
        <v>0.107509357231068</v>
      </c>
      <c r="H4739">
        <v>8.0935501240194704E-2</v>
      </c>
      <c r="I4739">
        <v>0.10647799089866</v>
      </c>
      <c r="J4739">
        <v>0.140168691222225</v>
      </c>
      <c r="K4739">
        <v>0.108561743690022</v>
      </c>
      <c r="L4739">
        <v>1276.1043566690601</v>
      </c>
      <c r="M4739">
        <v>27.7174992383176</v>
      </c>
      <c r="N4739">
        <v>46.438219520328197</v>
      </c>
      <c r="O4739">
        <v>45.8020152121507</v>
      </c>
      <c r="P4739">
        <v>-0.135276428009594</v>
      </c>
      <c r="Q4739">
        <v>0.105853292520407</v>
      </c>
      <c r="R4739">
        <v>0.99700658073859105</v>
      </c>
      <c r="S4739" t="s">
        <v>11191</v>
      </c>
      <c r="T4739" t="s">
        <v>12902</v>
      </c>
      <c r="U4739" t="s">
        <v>12902</v>
      </c>
      <c r="V4739" t="s">
        <v>12902</v>
      </c>
      <c r="W4739" t="s">
        <v>17594</v>
      </c>
      <c r="X4739">
        <v>16</v>
      </c>
      <c r="Y4739" t="s">
        <v>23896</v>
      </c>
      <c r="Z4739" t="s">
        <v>30314</v>
      </c>
      <c r="AA4739">
        <v>0.29237340506995502</v>
      </c>
      <c r="AB4739" t="str">
        <f>HYPERLINK("Melting_Curves/meltCurve_Q92797_SYMPK.pdf", "Melting_Curves/meltCurve_Q92797_SYMPK.pdf")</f>
        <v>Melting_Curves/meltCurve_Q92797_SYMPK.pdf</v>
      </c>
    </row>
    <row r="4740" spans="1:28" x14ac:dyDescent="0.25">
      <c r="A4740" t="s">
        <v>4744</v>
      </c>
      <c r="B4740">
        <v>0.99673306730245903</v>
      </c>
      <c r="C4740">
        <v>0.84769328198431204</v>
      </c>
      <c r="D4740">
        <v>0.90365076778750897</v>
      </c>
      <c r="E4740">
        <v>0.76850714582953195</v>
      </c>
      <c r="F4740">
        <v>0.56080087224239705</v>
      </c>
      <c r="G4740">
        <v>0.49538089998437301</v>
      </c>
      <c r="H4740">
        <v>0.34159330769980401</v>
      </c>
      <c r="I4740">
        <v>0.46451096292838301</v>
      </c>
      <c r="J4740">
        <v>0.62658236647858001</v>
      </c>
      <c r="K4740">
        <v>0.61706218244639699</v>
      </c>
      <c r="L4740">
        <v>1009.6778997891</v>
      </c>
      <c r="M4740">
        <v>20.619725171706001</v>
      </c>
      <c r="O4740">
        <v>48.5130310342511</v>
      </c>
      <c r="P4740">
        <v>-5.2889419780081201E-2</v>
      </c>
      <c r="Q4740">
        <v>0.502272383955082</v>
      </c>
      <c r="R4740">
        <v>0.80287221814114396</v>
      </c>
      <c r="S4740" t="s">
        <v>11192</v>
      </c>
      <c r="T4740" t="s">
        <v>12902</v>
      </c>
      <c r="U4740" t="s">
        <v>12902</v>
      </c>
      <c r="V4740" t="s">
        <v>12902</v>
      </c>
      <c r="W4740" t="s">
        <v>17595</v>
      </c>
      <c r="X4740">
        <v>12</v>
      </c>
      <c r="Y4740" t="s">
        <v>23897</v>
      </c>
      <c r="Z4740" t="s">
        <v>30315</v>
      </c>
      <c r="AA4740">
        <v>0.65758995510066276</v>
      </c>
      <c r="AB4740" t="str">
        <f>HYPERLINK("Melting_Curves/meltCurve_Q92804_2_TAF15.pdf", "Melting_Curves/meltCurve_Q92804_2_TAF15.pdf")</f>
        <v>Melting_Curves/meltCurve_Q92804_2_TAF15.pdf</v>
      </c>
    </row>
    <row r="4741" spans="1:28" x14ac:dyDescent="0.25">
      <c r="A4741" t="s">
        <v>4745</v>
      </c>
      <c r="B4741">
        <v>0.99673306730245903</v>
      </c>
      <c r="C4741">
        <v>0.97742417446089103</v>
      </c>
      <c r="D4741">
        <v>0.75702607521112897</v>
      </c>
      <c r="E4741">
        <v>0.36098305208235598</v>
      </c>
      <c r="F4741">
        <v>0.23900821968546401</v>
      </c>
      <c r="G4741">
        <v>0.15950617031512301</v>
      </c>
      <c r="H4741">
        <v>0.11402511097127201</v>
      </c>
      <c r="I4741">
        <v>0.159765270083843</v>
      </c>
      <c r="J4741">
        <v>0.191720814996682</v>
      </c>
      <c r="K4741">
        <v>0.187263481863892</v>
      </c>
      <c r="L4741">
        <v>1304.8052039491099</v>
      </c>
      <c r="M4741">
        <v>27.447274845099301</v>
      </c>
      <c r="N4741">
        <v>48.242101434034602</v>
      </c>
      <c r="O4741">
        <v>47.288407044026002</v>
      </c>
      <c r="P4741">
        <v>-0.121175533328416</v>
      </c>
      <c r="Q4741">
        <v>0.16492332250212</v>
      </c>
      <c r="R4741">
        <v>0.99500174447506595</v>
      </c>
      <c r="S4741" t="s">
        <v>11193</v>
      </c>
      <c r="T4741" t="s">
        <v>12902</v>
      </c>
      <c r="U4741" t="s">
        <v>12902</v>
      </c>
      <c r="V4741" t="s">
        <v>12902</v>
      </c>
      <c r="W4741" t="s">
        <v>17596</v>
      </c>
      <c r="X4741">
        <v>5</v>
      </c>
      <c r="Y4741" t="s">
        <v>23898</v>
      </c>
      <c r="Z4741" t="s">
        <v>30316</v>
      </c>
      <c r="AA4741">
        <v>0.3808210122524906</v>
      </c>
      <c r="AB4741" t="str">
        <f>HYPERLINK("Melting_Curves/meltCurve_Q92805_GOLGA1.pdf", "Melting_Curves/meltCurve_Q92805_GOLGA1.pdf")</f>
        <v>Melting_Curves/meltCurve_Q92805_GOLGA1.pdf</v>
      </c>
    </row>
    <row r="4742" spans="1:28" x14ac:dyDescent="0.25">
      <c r="A4742" t="s">
        <v>4746</v>
      </c>
      <c r="B4742">
        <v>0.99673306730245903</v>
      </c>
      <c r="C4742">
        <v>1.02201954388387</v>
      </c>
      <c r="D4742">
        <v>1.04460776899713</v>
      </c>
      <c r="E4742">
        <v>1.0509815355499801</v>
      </c>
      <c r="F4742">
        <v>0.91876864051487495</v>
      </c>
      <c r="G4742">
        <v>0.884342437690394</v>
      </c>
      <c r="H4742">
        <v>0.673825500758925</v>
      </c>
      <c r="I4742">
        <v>0.68704071407504896</v>
      </c>
      <c r="J4742">
        <v>0.29311885613910399</v>
      </c>
      <c r="K4742">
        <v>0.16081575727973599</v>
      </c>
      <c r="L4742">
        <v>1118.7477302431801</v>
      </c>
      <c r="M4742">
        <v>17.318720500923401</v>
      </c>
      <c r="N4742">
        <v>64.597597384473801</v>
      </c>
      <c r="O4742">
        <v>63.754781965154201</v>
      </c>
      <c r="P4742">
        <v>-6.7915350594843105E-2</v>
      </c>
      <c r="Q4742">
        <v>0</v>
      </c>
      <c r="R4742">
        <v>0.95469363379339101</v>
      </c>
      <c r="S4742" t="s">
        <v>11194</v>
      </c>
      <c r="T4742" t="s">
        <v>12902</v>
      </c>
      <c r="U4742" t="s">
        <v>12902</v>
      </c>
      <c r="V4742" t="s">
        <v>12902</v>
      </c>
      <c r="W4742" t="s">
        <v>17597</v>
      </c>
      <c r="X4742">
        <v>14</v>
      </c>
      <c r="Y4742" t="s">
        <v>23899</v>
      </c>
      <c r="Z4742" t="s">
        <v>30317</v>
      </c>
      <c r="AA4742">
        <v>0.8049793657498171</v>
      </c>
      <c r="AB4742" t="str">
        <f>HYPERLINK("Melting_Curves/meltCurve_Q92820_GGH.pdf", "Melting_Curves/meltCurve_Q92820_GGH.pdf")</f>
        <v>Melting_Curves/meltCurve_Q92820_GGH.pdf</v>
      </c>
    </row>
    <row r="4743" spans="1:28" x14ac:dyDescent="0.25">
      <c r="A4743" t="s">
        <v>4747</v>
      </c>
      <c r="B4743">
        <v>0.99673306730245903</v>
      </c>
      <c r="C4743">
        <v>1.0037721177966501</v>
      </c>
      <c r="D4743">
        <v>0.96633540718856403</v>
      </c>
      <c r="E4743">
        <v>0.81911358409566404</v>
      </c>
      <c r="F4743">
        <v>0.33300753183955001</v>
      </c>
      <c r="G4743">
        <v>0.193521924906669</v>
      </c>
      <c r="H4743">
        <v>0.12394795570435301</v>
      </c>
      <c r="I4743">
        <v>0.11812725072279499</v>
      </c>
      <c r="J4743">
        <v>0.16295083914745001</v>
      </c>
      <c r="K4743">
        <v>0.15527221069375299</v>
      </c>
      <c r="L4743">
        <v>1817.44434132421</v>
      </c>
      <c r="M4743">
        <v>35.367204678439599</v>
      </c>
      <c r="N4743">
        <v>51.882163695145501</v>
      </c>
      <c r="O4743">
        <v>51.2243633654805</v>
      </c>
      <c r="P4743">
        <v>-0.14791979403447</v>
      </c>
      <c r="Q4743">
        <v>0.14303949140744299</v>
      </c>
      <c r="R4743">
        <v>0.99812627659701902</v>
      </c>
      <c r="S4743" t="s">
        <v>11195</v>
      </c>
      <c r="T4743" t="s">
        <v>12902</v>
      </c>
      <c r="U4743" t="s">
        <v>12902</v>
      </c>
      <c r="V4743" t="s">
        <v>12902</v>
      </c>
      <c r="W4743" t="s">
        <v>17598</v>
      </c>
      <c r="X4743">
        <v>8</v>
      </c>
      <c r="Y4743" t="s">
        <v>23900</v>
      </c>
      <c r="Z4743" t="s">
        <v>30318</v>
      </c>
      <c r="AA4743">
        <v>0.47223587959608088</v>
      </c>
      <c r="AB4743" t="str">
        <f>HYPERLINK("Melting_Curves/meltCurve_Q92843_2_BCL2L2.pdf", "Melting_Curves/meltCurve_Q92843_2_BCL2L2.pdf")</f>
        <v>Melting_Curves/meltCurve_Q92843_2_BCL2L2.pdf</v>
      </c>
    </row>
    <row r="4744" spans="1:28" x14ac:dyDescent="0.25">
      <c r="A4744" t="s">
        <v>4748</v>
      </c>
      <c r="B4744">
        <v>0.99673306730245903</v>
      </c>
      <c r="C4744">
        <v>0.88980344430489799</v>
      </c>
      <c r="D4744">
        <v>0.75582352316073498</v>
      </c>
      <c r="E4744">
        <v>0.48465432327804903</v>
      </c>
      <c r="F4744">
        <v>0.34449772163262399</v>
      </c>
      <c r="G4744">
        <v>0.20908688019150401</v>
      </c>
      <c r="H4744">
        <v>0.13961531249770001</v>
      </c>
      <c r="I4744">
        <v>0.12850235940743099</v>
      </c>
      <c r="J4744">
        <v>0.11161487764066599</v>
      </c>
      <c r="K4744">
        <v>9.2752021778893898E-2</v>
      </c>
      <c r="L4744">
        <v>696.189168140883</v>
      </c>
      <c r="M4744">
        <v>14.178068146053301</v>
      </c>
      <c r="N4744">
        <v>49.802326975115797</v>
      </c>
      <c r="O4744">
        <v>48.157368178708097</v>
      </c>
      <c r="P4744">
        <v>-6.6969839578975093E-2</v>
      </c>
      <c r="Q4744">
        <v>9.0232883651468698E-2</v>
      </c>
      <c r="R4744">
        <v>0.99746577309754103</v>
      </c>
      <c r="S4744" t="s">
        <v>11196</v>
      </c>
      <c r="T4744" t="s">
        <v>12902</v>
      </c>
      <c r="U4744" t="s">
        <v>12902</v>
      </c>
      <c r="V4744" t="s">
        <v>12902</v>
      </c>
      <c r="W4744" t="s">
        <v>17599</v>
      </c>
      <c r="X4744">
        <v>4</v>
      </c>
      <c r="Y4744" t="s">
        <v>23901</v>
      </c>
      <c r="Z4744" t="s">
        <v>30319</v>
      </c>
      <c r="AA4744">
        <v>0.39111630587659829</v>
      </c>
      <c r="AB4744" t="str">
        <f>HYPERLINK("Melting_Curves/meltCurve_Q92845_2_KIFAP3.pdf", "Melting_Curves/meltCurve_Q92845_2_KIFAP3.pdf")</f>
        <v>Melting_Curves/meltCurve_Q92845_2_KIFAP3.pdf</v>
      </c>
    </row>
    <row r="4745" spans="1:28" x14ac:dyDescent="0.25">
      <c r="A4745" t="s">
        <v>4749</v>
      </c>
      <c r="B4745">
        <v>0.99673306730245903</v>
      </c>
      <c r="C4745">
        <v>0.91307978178629101</v>
      </c>
      <c r="D4745">
        <v>0.90732075582231198</v>
      </c>
      <c r="E4745">
        <v>0.83424822364641305</v>
      </c>
      <c r="F4745">
        <v>0.63735530003963703</v>
      </c>
      <c r="G4745">
        <v>0.49136486834411103</v>
      </c>
      <c r="H4745">
        <v>0.38071348347101103</v>
      </c>
      <c r="I4745">
        <v>0.26364942844831302</v>
      </c>
      <c r="J4745">
        <v>0.24849623084542199</v>
      </c>
      <c r="K4745">
        <v>0.18245518734136701</v>
      </c>
      <c r="L4745">
        <v>566.86289573202805</v>
      </c>
      <c r="M4745">
        <v>10.166710203816701</v>
      </c>
      <c r="N4745">
        <v>56.8595334656885</v>
      </c>
      <c r="O4745">
        <v>53.728627941969897</v>
      </c>
      <c r="P4745">
        <v>-4.3092661363092997E-2</v>
      </c>
      <c r="Q4745">
        <v>8.9478158764545901E-2</v>
      </c>
      <c r="R4745">
        <v>0.99421249945764201</v>
      </c>
      <c r="S4745" t="s">
        <v>11197</v>
      </c>
      <c r="T4745" t="s">
        <v>12902</v>
      </c>
      <c r="U4745" t="s">
        <v>12902</v>
      </c>
      <c r="V4745" t="s">
        <v>12902</v>
      </c>
      <c r="W4745" t="s">
        <v>17600</v>
      </c>
      <c r="X4745">
        <v>2</v>
      </c>
      <c r="Y4745" t="s">
        <v>23902</v>
      </c>
      <c r="Z4745" t="s">
        <v>30320</v>
      </c>
      <c r="AA4745">
        <v>0.58797718865533288</v>
      </c>
      <c r="AB4745" t="str">
        <f>HYPERLINK("Melting_Curves/meltCurve_Q92854_SEMA4D.pdf", "Melting_Curves/meltCurve_Q92854_SEMA4D.pdf")</f>
        <v>Melting_Curves/meltCurve_Q92854_SEMA4D.pdf</v>
      </c>
    </row>
    <row r="4746" spans="1:28" x14ac:dyDescent="0.25">
      <c r="A4746" t="s">
        <v>4750</v>
      </c>
      <c r="B4746">
        <v>0.99673306730245903</v>
      </c>
      <c r="C4746">
        <v>0.89957922316415995</v>
      </c>
      <c r="D4746">
        <v>1.0747087800981601</v>
      </c>
      <c r="E4746">
        <v>0.77012951962422405</v>
      </c>
      <c r="F4746">
        <v>0.59102907659080695</v>
      </c>
      <c r="G4746">
        <v>0.47736318924398902</v>
      </c>
      <c r="H4746">
        <v>0.39636953002827802</v>
      </c>
      <c r="I4746">
        <v>0.349890236900471</v>
      </c>
      <c r="J4746">
        <v>0.35681673251212598</v>
      </c>
      <c r="K4746">
        <v>0.24102104212914499</v>
      </c>
      <c r="L4746">
        <v>886.71660266339302</v>
      </c>
      <c r="M4746">
        <v>16.878082729879999</v>
      </c>
      <c r="N4746">
        <v>55.6285468058093</v>
      </c>
      <c r="O4746">
        <v>51.815691858733203</v>
      </c>
      <c r="P4746">
        <v>-5.66551090179147E-2</v>
      </c>
      <c r="Q4746">
        <v>0.30431980567164402</v>
      </c>
      <c r="R4746">
        <v>0.95624412350521504</v>
      </c>
      <c r="S4746" t="s">
        <v>11198</v>
      </c>
      <c r="T4746" t="s">
        <v>12902</v>
      </c>
      <c r="U4746" t="s">
        <v>12902</v>
      </c>
      <c r="V4746" t="s">
        <v>12902</v>
      </c>
      <c r="W4746" t="s">
        <v>17601</v>
      </c>
      <c r="X4746">
        <v>3</v>
      </c>
      <c r="Y4746" t="s">
        <v>23903</v>
      </c>
      <c r="Z4746" t="s">
        <v>30321</v>
      </c>
      <c r="AA4746">
        <v>0.60777963798261014</v>
      </c>
      <c r="AB4746" t="str">
        <f>HYPERLINK("Melting_Curves/meltCurve_Q92876_KLK6.pdf", "Melting_Curves/meltCurve_Q92876_KLK6.pdf")</f>
        <v>Melting_Curves/meltCurve_Q92876_KLK6.pdf</v>
      </c>
    </row>
    <row r="4747" spans="1:28" x14ac:dyDescent="0.25">
      <c r="A4747" t="s">
        <v>4751</v>
      </c>
      <c r="B4747">
        <v>0.99673306730245903</v>
      </c>
      <c r="C4747">
        <v>0.86569877955594199</v>
      </c>
      <c r="D4747">
        <v>0.75052669484844503</v>
      </c>
      <c r="E4747">
        <v>0.65853705885459202</v>
      </c>
      <c r="F4747">
        <v>0.24573893988939999</v>
      </c>
      <c r="G4747">
        <v>0.13664677175453899</v>
      </c>
      <c r="H4747">
        <v>8.2086012929515603E-2</v>
      </c>
      <c r="I4747">
        <v>6.7870461492896494E-2</v>
      </c>
      <c r="J4747">
        <v>7.2495723109550006E-2</v>
      </c>
      <c r="K4747">
        <v>6.1010049944090698E-2</v>
      </c>
      <c r="L4747">
        <v>766.92872294656604</v>
      </c>
      <c r="M4747">
        <v>15.3355453371979</v>
      </c>
      <c r="N4747">
        <v>50.227314159320898</v>
      </c>
      <c r="O4747">
        <v>49.182632249738397</v>
      </c>
      <c r="P4747">
        <v>-7.54554624502453E-2</v>
      </c>
      <c r="Q4747">
        <v>3.2116506579791301E-2</v>
      </c>
      <c r="R4747">
        <v>0.98081611601608598</v>
      </c>
      <c r="S4747" t="s">
        <v>11199</v>
      </c>
      <c r="T4747" t="s">
        <v>12902</v>
      </c>
      <c r="U4747" t="s">
        <v>12902</v>
      </c>
      <c r="V4747" t="s">
        <v>12902</v>
      </c>
      <c r="W4747" t="s">
        <v>17602</v>
      </c>
      <c r="X4747">
        <v>65</v>
      </c>
      <c r="Y4747" t="s">
        <v>23904</v>
      </c>
      <c r="Z4747" t="s">
        <v>30322</v>
      </c>
      <c r="AA4747">
        <v>0.37724553245688558</v>
      </c>
      <c r="AB4747" t="str">
        <f>HYPERLINK("Melting_Curves/meltCurve_Q92878_RAD50.pdf", "Melting_Curves/meltCurve_Q92878_RAD50.pdf")</f>
        <v>Melting_Curves/meltCurve_Q92878_RAD50.pdf</v>
      </c>
    </row>
    <row r="4748" spans="1:28" x14ac:dyDescent="0.25">
      <c r="A4748" t="s">
        <v>4752</v>
      </c>
      <c r="B4748">
        <v>0.99673306730245903</v>
      </c>
      <c r="C4748">
        <v>0.97779528968729601</v>
      </c>
      <c r="D4748">
        <v>0.93248066403505503</v>
      </c>
      <c r="E4748">
        <v>0.58104245022979795</v>
      </c>
      <c r="F4748">
        <v>0.29750955005640101</v>
      </c>
      <c r="G4748">
        <v>0.200280915635551</v>
      </c>
      <c r="H4748">
        <v>0.108995411461921</v>
      </c>
      <c r="I4748">
        <v>9.4421394556822497E-2</v>
      </c>
      <c r="J4748">
        <v>0.116921525398996</v>
      </c>
      <c r="K4748">
        <v>0.115886667298219</v>
      </c>
      <c r="L4748">
        <v>1165.0723201154501</v>
      </c>
      <c r="M4748">
        <v>23.268000321293599</v>
      </c>
      <c r="N4748">
        <v>50.619089745124398</v>
      </c>
      <c r="O4748">
        <v>49.706419179014397</v>
      </c>
      <c r="P4748">
        <v>-0.10401601233692399</v>
      </c>
      <c r="Q4748">
        <v>0.111196315971656</v>
      </c>
      <c r="R4748">
        <v>0.99724772131147399</v>
      </c>
      <c r="S4748" t="s">
        <v>11200</v>
      </c>
      <c r="T4748" t="s">
        <v>12902</v>
      </c>
      <c r="U4748" t="s">
        <v>12902</v>
      </c>
      <c r="V4748" t="s">
        <v>12902</v>
      </c>
      <c r="W4748" t="s">
        <v>17603</v>
      </c>
      <c r="X4748">
        <v>10</v>
      </c>
      <c r="Y4748" t="s">
        <v>23905</v>
      </c>
      <c r="Z4748" t="s">
        <v>30323</v>
      </c>
      <c r="AA4748">
        <v>0.41877162982580679</v>
      </c>
      <c r="AB4748" t="str">
        <f>HYPERLINK("Melting_Curves/meltCurve_Q92882_OSTF1.pdf", "Melting_Curves/meltCurve_Q92882_OSTF1.pdf")</f>
        <v>Melting_Curves/meltCurve_Q92882_OSTF1.pdf</v>
      </c>
    </row>
    <row r="4749" spans="1:28" x14ac:dyDescent="0.25">
      <c r="A4749" t="s">
        <v>4753</v>
      </c>
      <c r="B4749">
        <v>0.99673306730245903</v>
      </c>
      <c r="C4749">
        <v>0.96563769748143602</v>
      </c>
      <c r="D4749">
        <v>0.92272745766683595</v>
      </c>
      <c r="E4749">
        <v>0.90225966015641201</v>
      </c>
      <c r="F4749">
        <v>0.699288524831022</v>
      </c>
      <c r="G4749">
        <v>0.50066856585126795</v>
      </c>
      <c r="H4749">
        <v>0.214159004131452</v>
      </c>
      <c r="I4749">
        <v>9.2109872088506101E-2</v>
      </c>
      <c r="J4749">
        <v>6.4704840686544807E-2</v>
      </c>
      <c r="K4749">
        <v>5.0293379742333902E-2</v>
      </c>
      <c r="L4749">
        <v>908.47305281128604</v>
      </c>
      <c r="M4749">
        <v>16.154967530395901</v>
      </c>
      <c r="N4749">
        <v>56.234904283566301</v>
      </c>
      <c r="O4749">
        <v>55.394397423295203</v>
      </c>
      <c r="P4749">
        <v>-7.2914355277744605E-2</v>
      </c>
      <c r="Q4749">
        <v>0</v>
      </c>
      <c r="R4749">
        <v>0.99549640374695902</v>
      </c>
      <c r="S4749" t="s">
        <v>11201</v>
      </c>
      <c r="T4749" t="s">
        <v>12902</v>
      </c>
      <c r="U4749" t="s">
        <v>12902</v>
      </c>
      <c r="V4749" t="s">
        <v>12902</v>
      </c>
      <c r="W4749" t="s">
        <v>17604</v>
      </c>
      <c r="X4749">
        <v>16</v>
      </c>
      <c r="Y4749" t="s">
        <v>23906</v>
      </c>
      <c r="Z4749" t="s">
        <v>30324</v>
      </c>
      <c r="AA4749">
        <v>0.55741502023455813</v>
      </c>
      <c r="AB4749" t="str">
        <f>HYPERLINK("Melting_Curves/meltCurve_Q92890_UFD1L.pdf", "Melting_Curves/meltCurve_Q92890_UFD1L.pdf")</f>
        <v>Melting_Curves/meltCurve_Q92890_UFD1L.pdf</v>
      </c>
    </row>
    <row r="4750" spans="1:28" x14ac:dyDescent="0.25">
      <c r="A4750" t="s">
        <v>4754</v>
      </c>
      <c r="B4750">
        <v>0.99673306730245903</v>
      </c>
      <c r="C4750">
        <v>0.91328876076607901</v>
      </c>
      <c r="D4750">
        <v>0.97463264991169996</v>
      </c>
      <c r="E4750">
        <v>0.91810223582947104</v>
      </c>
      <c r="F4750">
        <v>0.81460033644052099</v>
      </c>
      <c r="G4750">
        <v>0.58288616756800704</v>
      </c>
      <c r="H4750">
        <v>0.321445772062811</v>
      </c>
      <c r="I4750">
        <v>0.25024716403061897</v>
      </c>
      <c r="J4750">
        <v>0.21631140508417801</v>
      </c>
      <c r="K4750">
        <v>0.16011600675670401</v>
      </c>
      <c r="L4750">
        <v>991.86109276479601</v>
      </c>
      <c r="M4750">
        <v>17.450827743128499</v>
      </c>
      <c r="N4750">
        <v>57.921345410465001</v>
      </c>
      <c r="O4750">
        <v>56.106866452612401</v>
      </c>
      <c r="P4750">
        <v>-6.6929527877638201E-2</v>
      </c>
      <c r="Q4750">
        <v>0.139296587328994</v>
      </c>
      <c r="R4750">
        <v>0.99153372889570901</v>
      </c>
      <c r="S4750" t="s">
        <v>11202</v>
      </c>
      <c r="T4750" t="s">
        <v>12902</v>
      </c>
      <c r="U4750" t="s">
        <v>12902</v>
      </c>
      <c r="V4750" t="s">
        <v>12902</v>
      </c>
      <c r="W4750" t="s">
        <v>13792</v>
      </c>
      <c r="X4750">
        <v>61</v>
      </c>
      <c r="Y4750" t="s">
        <v>20183</v>
      </c>
      <c r="Z4750" t="s">
        <v>30325</v>
      </c>
      <c r="AA4750">
        <v>0.63470697905109452</v>
      </c>
      <c r="AB4750" t="str">
        <f>HYPERLINK("Melting_Curves/meltCurve_Q92896_GLG1.pdf", "Melting_Curves/meltCurve_Q92896_GLG1.pdf")</f>
        <v>Melting_Curves/meltCurve_Q92896_GLG1.pdf</v>
      </c>
    </row>
    <row r="4751" spans="1:28" x14ac:dyDescent="0.25">
      <c r="A4751" t="s">
        <v>4755</v>
      </c>
      <c r="B4751">
        <v>0.99673306730245903</v>
      </c>
      <c r="C4751">
        <v>0.85406407626661396</v>
      </c>
      <c r="D4751">
        <v>0.94640848736099403</v>
      </c>
      <c r="E4751">
        <v>0.78974893939445101</v>
      </c>
      <c r="F4751">
        <v>0.40487437404257398</v>
      </c>
      <c r="G4751">
        <v>0.20049860336924899</v>
      </c>
      <c r="H4751">
        <v>0.11654347532407799</v>
      </c>
      <c r="I4751">
        <v>0.101442080538429</v>
      </c>
      <c r="J4751">
        <v>0.10527268694340899</v>
      </c>
      <c r="K4751">
        <v>7.8520669204989402E-2</v>
      </c>
      <c r="L4751">
        <v>1183.55831288228</v>
      </c>
      <c r="M4751">
        <v>22.8028242448745</v>
      </c>
      <c r="N4751">
        <v>52.341862048884003</v>
      </c>
      <c r="O4751">
        <v>51.509783850474598</v>
      </c>
      <c r="P4751">
        <v>-0.10106502085612599</v>
      </c>
      <c r="Q4751">
        <v>8.6826030147812205E-2</v>
      </c>
      <c r="R4751">
        <v>0.98522285436233803</v>
      </c>
      <c r="S4751" t="s">
        <v>11203</v>
      </c>
      <c r="T4751" t="s">
        <v>12902</v>
      </c>
      <c r="U4751" t="s">
        <v>12902</v>
      </c>
      <c r="V4751" t="s">
        <v>12902</v>
      </c>
      <c r="W4751" t="s">
        <v>17605</v>
      </c>
      <c r="X4751">
        <v>57</v>
      </c>
      <c r="Y4751" t="s">
        <v>23907</v>
      </c>
      <c r="Z4751" t="s">
        <v>30326</v>
      </c>
      <c r="AA4751">
        <v>0.45910028191186553</v>
      </c>
      <c r="AB4751" t="str">
        <f>HYPERLINK("Melting_Curves/meltCurve_Q92900_UPF1.pdf", "Melting_Curves/meltCurve_Q92900_UPF1.pdf")</f>
        <v>Melting_Curves/meltCurve_Q92900_UPF1.pdf</v>
      </c>
    </row>
    <row r="4752" spans="1:28" x14ac:dyDescent="0.25">
      <c r="A4752" t="s">
        <v>4756</v>
      </c>
      <c r="B4752">
        <v>0.99673306730245903</v>
      </c>
      <c r="C4752">
        <v>0.98762463816929602</v>
      </c>
      <c r="D4752">
        <v>1.0761857597245901</v>
      </c>
      <c r="E4752">
        <v>0.82031732687341097</v>
      </c>
      <c r="F4752">
        <v>0.458414806538262</v>
      </c>
      <c r="G4752">
        <v>0.19599266251667999</v>
      </c>
      <c r="H4752">
        <v>0.17946129487565399</v>
      </c>
      <c r="I4752">
        <v>0.18020571679182201</v>
      </c>
      <c r="J4752">
        <v>0.29906249041799299</v>
      </c>
      <c r="K4752">
        <v>0.28216882331562598</v>
      </c>
      <c r="L4752">
        <v>1817.6843577508801</v>
      </c>
      <c r="M4752">
        <v>35.209587205094302</v>
      </c>
      <c r="N4752">
        <v>52.514197122040002</v>
      </c>
      <c r="O4752">
        <v>51.4590201064103</v>
      </c>
      <c r="P4752">
        <v>-0.132637392992837</v>
      </c>
      <c r="Q4752">
        <v>0.22460133005632099</v>
      </c>
      <c r="R4752">
        <v>0.97950945200590001</v>
      </c>
      <c r="S4752" t="s">
        <v>11204</v>
      </c>
      <c r="T4752" t="s">
        <v>12902</v>
      </c>
      <c r="U4752" t="s">
        <v>12902</v>
      </c>
      <c r="V4752" t="s">
        <v>12902</v>
      </c>
      <c r="W4752" t="s">
        <v>17606</v>
      </c>
      <c r="X4752">
        <v>1</v>
      </c>
      <c r="Y4752" t="s">
        <v>23908</v>
      </c>
      <c r="Z4752" t="s">
        <v>30327</v>
      </c>
      <c r="AA4752">
        <v>0.52863543888456155</v>
      </c>
      <c r="AB4752" t="str">
        <f>HYPERLINK("Melting_Curves/meltCurve_Q92902_2_HPS1.pdf", "Melting_Curves/meltCurve_Q92902_2_HPS1.pdf")</f>
        <v>Melting_Curves/meltCurve_Q92902_2_HPS1.pdf</v>
      </c>
    </row>
    <row r="4753" spans="1:28" x14ac:dyDescent="0.25">
      <c r="A4753" t="s">
        <v>4757</v>
      </c>
      <c r="B4753">
        <v>0.99673306730245903</v>
      </c>
      <c r="C4753">
        <v>0.98116977057117505</v>
      </c>
      <c r="D4753">
        <v>0.95398650232205096</v>
      </c>
      <c r="E4753">
        <v>0.98847510655558402</v>
      </c>
      <c r="F4753">
        <v>0.70283095657872297</v>
      </c>
      <c r="G4753">
        <v>0.29884811300930902</v>
      </c>
      <c r="H4753">
        <v>0.15527393816938401</v>
      </c>
      <c r="I4753">
        <v>0.132655732300441</v>
      </c>
      <c r="J4753">
        <v>0.12205245899469799</v>
      </c>
      <c r="K4753">
        <v>0.101889325437769</v>
      </c>
      <c r="L4753">
        <v>1748.8063763571599</v>
      </c>
      <c r="M4753">
        <v>32.159307963009198</v>
      </c>
      <c r="N4753">
        <v>54.840224197487601</v>
      </c>
      <c r="O4753">
        <v>54.1705040255436</v>
      </c>
      <c r="P4753">
        <v>-0.13084756823413099</v>
      </c>
      <c r="Q4753">
        <v>0.118383567790288</v>
      </c>
      <c r="R4753">
        <v>0.99777392439137502</v>
      </c>
      <c r="S4753" t="s">
        <v>11205</v>
      </c>
      <c r="T4753" t="s">
        <v>12902</v>
      </c>
      <c r="U4753" t="s">
        <v>12902</v>
      </c>
      <c r="V4753" t="s">
        <v>12902</v>
      </c>
      <c r="W4753" t="s">
        <v>17607</v>
      </c>
      <c r="X4753">
        <v>9</v>
      </c>
      <c r="Y4753" t="s">
        <v>23909</v>
      </c>
      <c r="Z4753" t="s">
        <v>30328</v>
      </c>
      <c r="AA4753">
        <v>0.54604146613142412</v>
      </c>
      <c r="AB4753" t="str">
        <f>HYPERLINK("Melting_Curves/meltCurve_Q92905_COPS5.pdf", "Melting_Curves/meltCurve_Q92905_COPS5.pdf")</f>
        <v>Melting_Curves/meltCurve_Q92905_COPS5.pdf</v>
      </c>
    </row>
    <row r="4754" spans="1:28" x14ac:dyDescent="0.25">
      <c r="A4754" t="s">
        <v>4758</v>
      </c>
      <c r="B4754">
        <v>0.99673306730245903</v>
      </c>
      <c r="C4754">
        <v>0.83354216765088196</v>
      </c>
      <c r="D4754">
        <v>0.65564430599850798</v>
      </c>
      <c r="E4754">
        <v>0.44203390546284199</v>
      </c>
      <c r="F4754">
        <v>0.216066814270956</v>
      </c>
      <c r="G4754">
        <v>0.14346119106319899</v>
      </c>
      <c r="H4754">
        <v>9.0228254856018694E-2</v>
      </c>
      <c r="I4754">
        <v>9.6022884054703203E-2</v>
      </c>
      <c r="J4754">
        <v>0.103110615036497</v>
      </c>
      <c r="K4754">
        <v>0.10647758153593601</v>
      </c>
      <c r="L4754">
        <v>739.423691833916</v>
      </c>
      <c r="M4754">
        <v>15.5071604872264</v>
      </c>
      <c r="N4754">
        <v>48.233425073258999</v>
      </c>
      <c r="O4754">
        <v>46.910884417913998</v>
      </c>
      <c r="P4754">
        <v>-7.5943472660523204E-2</v>
      </c>
      <c r="Q4754">
        <v>8.1131704985765205E-2</v>
      </c>
      <c r="R4754">
        <v>0.99506138640727304</v>
      </c>
      <c r="S4754" t="s">
        <v>11206</v>
      </c>
      <c r="T4754" t="s">
        <v>12902</v>
      </c>
      <c r="U4754" t="s">
        <v>12902</v>
      </c>
      <c r="V4754" t="s">
        <v>12902</v>
      </c>
      <c r="W4754" t="s">
        <v>17608</v>
      </c>
      <c r="X4754">
        <v>15</v>
      </c>
      <c r="Y4754" t="s">
        <v>23910</v>
      </c>
      <c r="Z4754" t="s">
        <v>30329</v>
      </c>
      <c r="AA4754">
        <v>0.33890336410569599</v>
      </c>
      <c r="AB4754" t="str">
        <f>HYPERLINK("Melting_Curves/meltCurve_Q92917_GPKOW.pdf", "Melting_Curves/meltCurve_Q92917_GPKOW.pdf")</f>
        <v>Melting_Curves/meltCurve_Q92917_GPKOW.pdf</v>
      </c>
    </row>
    <row r="4755" spans="1:28" x14ac:dyDescent="0.25">
      <c r="A4755" t="s">
        <v>4759</v>
      </c>
      <c r="B4755">
        <v>0.99673306730245903</v>
      </c>
      <c r="C4755">
        <v>0.85579743810643605</v>
      </c>
      <c r="D4755">
        <v>0.56760955654972101</v>
      </c>
      <c r="E4755">
        <v>0.28435411525332899</v>
      </c>
      <c r="F4755">
        <v>0.190855387012066</v>
      </c>
      <c r="G4755">
        <v>0.136795230531568</v>
      </c>
      <c r="H4755">
        <v>9.9875176386178197E-2</v>
      </c>
      <c r="I4755">
        <v>7.9715308195088097E-2</v>
      </c>
      <c r="J4755">
        <v>6.7166154448769499E-2</v>
      </c>
      <c r="K4755">
        <v>5.7279762403964499E-2</v>
      </c>
      <c r="L4755">
        <v>887.72014488705804</v>
      </c>
      <c r="M4755">
        <v>19.101544918737702</v>
      </c>
      <c r="N4755">
        <v>46.915543259085801</v>
      </c>
      <c r="O4755">
        <v>45.973383456595499</v>
      </c>
      <c r="P4755">
        <v>-9.5326282638214299E-2</v>
      </c>
      <c r="Q4755">
        <v>8.2315214151251107E-2</v>
      </c>
      <c r="R4755">
        <v>0.995562637483144</v>
      </c>
      <c r="S4755" t="s">
        <v>11207</v>
      </c>
      <c r="T4755" t="s">
        <v>12902</v>
      </c>
      <c r="U4755" t="s">
        <v>12902</v>
      </c>
      <c r="V4755" t="s">
        <v>12902</v>
      </c>
      <c r="W4755" t="s">
        <v>17609</v>
      </c>
      <c r="X4755">
        <v>15</v>
      </c>
      <c r="Y4755" t="s">
        <v>23911</v>
      </c>
      <c r="Z4755" t="s">
        <v>30330</v>
      </c>
      <c r="AA4755">
        <v>0.29561556979944259</v>
      </c>
      <c r="AB4755" t="str">
        <f>HYPERLINK("Melting_Curves/meltCurve_Q92922_SMARCC1.pdf", "Melting_Curves/meltCurve_Q92922_SMARCC1.pdf")</f>
        <v>Melting_Curves/meltCurve_Q92922_SMARCC1.pdf</v>
      </c>
    </row>
    <row r="4756" spans="1:28" x14ac:dyDescent="0.25">
      <c r="A4756" t="s">
        <v>4760</v>
      </c>
      <c r="B4756">
        <v>0.99673306730245903</v>
      </c>
      <c r="C4756">
        <v>0.96783286994283702</v>
      </c>
      <c r="D4756">
        <v>0.92805495826605799</v>
      </c>
      <c r="E4756">
        <v>0.83052979711945796</v>
      </c>
      <c r="F4756">
        <v>0.70618398667832405</v>
      </c>
      <c r="G4756">
        <v>0.60476505254143498</v>
      </c>
      <c r="H4756">
        <v>0.60135374591879898</v>
      </c>
      <c r="I4756">
        <v>0.999447855101807</v>
      </c>
      <c r="J4756">
        <v>1.2143900949288999</v>
      </c>
      <c r="K4756">
        <v>1.4464905807028301</v>
      </c>
      <c r="L4756">
        <v>2125.4443130556601</v>
      </c>
      <c r="M4756">
        <v>49.025315953256502</v>
      </c>
      <c r="O4756">
        <v>43.282072560988397</v>
      </c>
      <c r="P4756">
        <v>-2.3865621614402199E-2</v>
      </c>
      <c r="Q4756">
        <v>0.91572089886934704</v>
      </c>
      <c r="R4756">
        <v>1.1729095062533199E-2</v>
      </c>
      <c r="S4756" t="s">
        <v>11208</v>
      </c>
      <c r="T4756" t="s">
        <v>12902</v>
      </c>
      <c r="U4756" t="s">
        <v>12902</v>
      </c>
      <c r="V4756" t="s">
        <v>12902</v>
      </c>
      <c r="W4756" t="s">
        <v>17610</v>
      </c>
      <c r="X4756">
        <v>3</v>
      </c>
      <c r="Y4756" t="s">
        <v>23912</v>
      </c>
      <c r="Z4756" t="s">
        <v>30331</v>
      </c>
      <c r="AA4756">
        <v>0.92534418814439445</v>
      </c>
      <c r="AB4756" t="str">
        <f>HYPERLINK("Melting_Curves/meltCurve_Q92934_BAD.pdf", "Melting_Curves/meltCurve_Q92934_BAD.pdf")</f>
        <v>Melting_Curves/meltCurve_Q92934_BAD.pdf</v>
      </c>
    </row>
    <row r="4757" spans="1:28" x14ac:dyDescent="0.25">
      <c r="A4757" t="s">
        <v>4761</v>
      </c>
      <c r="B4757">
        <v>0.99673306730245903</v>
      </c>
      <c r="C4757">
        <v>1.0655444986232401</v>
      </c>
      <c r="D4757">
        <v>0.85671686114560097</v>
      </c>
      <c r="E4757">
        <v>0.77583452096565597</v>
      </c>
      <c r="F4757">
        <v>0.65622994686367198</v>
      </c>
      <c r="G4757">
        <v>0.58882116093988301</v>
      </c>
      <c r="H4757">
        <v>0.445486966694985</v>
      </c>
      <c r="I4757">
        <v>0.414721667757876</v>
      </c>
      <c r="J4757">
        <v>0.54367890522742801</v>
      </c>
      <c r="K4757">
        <v>0.60390683490381902</v>
      </c>
      <c r="L4757">
        <v>900.82489211204802</v>
      </c>
      <c r="M4757">
        <v>17.9905611688914</v>
      </c>
      <c r="O4757">
        <v>49.465713520511599</v>
      </c>
      <c r="P4757">
        <v>-4.5091760921252999E-2</v>
      </c>
      <c r="Q4757">
        <v>0.50409866674765802</v>
      </c>
      <c r="R4757">
        <v>0.91112502978203203</v>
      </c>
      <c r="S4757" t="s">
        <v>11209</v>
      </c>
      <c r="T4757" t="s">
        <v>12902</v>
      </c>
      <c r="U4757" t="s">
        <v>12902</v>
      </c>
      <c r="V4757" t="s">
        <v>12902</v>
      </c>
      <c r="W4757" t="s">
        <v>17611</v>
      </c>
      <c r="X4757">
        <v>51</v>
      </c>
      <c r="Y4757" t="s">
        <v>23913</v>
      </c>
      <c r="Z4757" t="s">
        <v>30332</v>
      </c>
      <c r="AA4757">
        <v>0.67904803841560812</v>
      </c>
      <c r="AB4757" t="str">
        <f>HYPERLINK("Melting_Curves/meltCurve_Q92945_KHSRP.pdf", "Melting_Curves/meltCurve_Q92945_KHSRP.pdf")</f>
        <v>Melting_Curves/meltCurve_Q92945_KHSRP.pdf</v>
      </c>
    </row>
    <row r="4758" spans="1:28" x14ac:dyDescent="0.25">
      <c r="A4758" t="s">
        <v>4762</v>
      </c>
      <c r="B4758">
        <v>0.99673306730245903</v>
      </c>
      <c r="C4758">
        <v>0.973340566083706</v>
      </c>
      <c r="D4758">
        <v>0.98955553607481805</v>
      </c>
      <c r="E4758">
        <v>0.99836586722197196</v>
      </c>
      <c r="F4758">
        <v>0.86647695973996297</v>
      </c>
      <c r="G4758">
        <v>0.62822417152515497</v>
      </c>
      <c r="H4758">
        <v>0.28034520997237</v>
      </c>
      <c r="I4758">
        <v>0.196949374346264</v>
      </c>
      <c r="J4758">
        <v>0.17606163075963299</v>
      </c>
      <c r="K4758">
        <v>0.16388739935875199</v>
      </c>
      <c r="L4758">
        <v>1487.3883466822499</v>
      </c>
      <c r="M4758">
        <v>26.036015098036</v>
      </c>
      <c r="N4758">
        <v>57.934222074889803</v>
      </c>
      <c r="O4758">
        <v>56.794287123462503</v>
      </c>
      <c r="P4758">
        <v>-9.7193024378636098E-2</v>
      </c>
      <c r="Q4758">
        <v>0.151952350367144</v>
      </c>
      <c r="R4758">
        <v>0.998129947502852</v>
      </c>
      <c r="S4758" t="s">
        <v>11210</v>
      </c>
      <c r="T4758" t="s">
        <v>12902</v>
      </c>
      <c r="U4758" t="s">
        <v>12902</v>
      </c>
      <c r="V4758" t="s">
        <v>12902</v>
      </c>
      <c r="W4758" t="s">
        <v>17612</v>
      </c>
      <c r="X4758">
        <v>16</v>
      </c>
      <c r="Y4758" t="s">
        <v>23914</v>
      </c>
      <c r="Z4758" t="s">
        <v>30333</v>
      </c>
      <c r="AA4758">
        <v>0.64328137958257703</v>
      </c>
      <c r="AB4758" t="str">
        <f>HYPERLINK("Melting_Curves/meltCurve_Q92947_GCDH.pdf", "Melting_Curves/meltCurve_Q92947_GCDH.pdf")</f>
        <v>Melting_Curves/meltCurve_Q92947_GCDH.pdf</v>
      </c>
    </row>
    <row r="4759" spans="1:28" x14ac:dyDescent="0.25">
      <c r="A4759" t="s">
        <v>4763</v>
      </c>
      <c r="B4759">
        <v>0.99673306730245903</v>
      </c>
      <c r="C4759">
        <v>0.89208710129089597</v>
      </c>
      <c r="D4759">
        <v>0.93261032928264098</v>
      </c>
      <c r="E4759">
        <v>0.80224983143268103</v>
      </c>
      <c r="F4759">
        <v>0.54958649852919395</v>
      </c>
      <c r="G4759">
        <v>0.41610829788813197</v>
      </c>
      <c r="H4759">
        <v>0.25678480323506098</v>
      </c>
      <c r="I4759">
        <v>0.26085292953990502</v>
      </c>
      <c r="J4759">
        <v>0.21700968729652001</v>
      </c>
      <c r="K4759">
        <v>7.3492730821418203E-2</v>
      </c>
      <c r="L4759">
        <v>633.20956631790705</v>
      </c>
      <c r="M4759">
        <v>11.6891381907294</v>
      </c>
      <c r="N4759">
        <v>54.980684614652503</v>
      </c>
      <c r="O4759">
        <v>52.658195147057</v>
      </c>
      <c r="P4759">
        <v>-5.1119756543121897E-2</v>
      </c>
      <c r="Q4759">
        <v>7.9091723866858601E-2</v>
      </c>
      <c r="R4759">
        <v>0.98212179416243095</v>
      </c>
      <c r="S4759" t="s">
        <v>11211</v>
      </c>
      <c r="T4759" t="s">
        <v>12902</v>
      </c>
      <c r="U4759" t="s">
        <v>12902</v>
      </c>
      <c r="V4759" t="s">
        <v>12902</v>
      </c>
      <c r="W4759" t="s">
        <v>17613</v>
      </c>
      <c r="X4759">
        <v>3</v>
      </c>
      <c r="Y4759" t="s">
        <v>23915</v>
      </c>
      <c r="Z4759" t="s">
        <v>30334</v>
      </c>
      <c r="AA4759">
        <v>0.53829124839998232</v>
      </c>
      <c r="AB4759" t="str">
        <f>HYPERLINK("Melting_Curves/meltCurve_Q92963_2_RIT1.pdf", "Melting_Curves/meltCurve_Q92963_2_RIT1.pdf")</f>
        <v>Melting_Curves/meltCurve_Q92963_2_RIT1.pdf</v>
      </c>
    </row>
    <row r="4760" spans="1:28" x14ac:dyDescent="0.25">
      <c r="A4760" t="s">
        <v>4764</v>
      </c>
      <c r="B4760">
        <v>0.99673306730245903</v>
      </c>
      <c r="C4760">
        <v>0.89138115199884405</v>
      </c>
      <c r="D4760">
        <v>0.86895569966046105</v>
      </c>
      <c r="E4760">
        <v>0.62464085090916199</v>
      </c>
      <c r="F4760">
        <v>0.57583800964100096</v>
      </c>
      <c r="G4760">
        <v>0.438022689057186</v>
      </c>
      <c r="H4760">
        <v>0.42089571122084901</v>
      </c>
      <c r="I4760">
        <v>0.44543111359159798</v>
      </c>
      <c r="J4760">
        <v>0.54259854284285203</v>
      </c>
      <c r="K4760">
        <v>0.58910500361894003</v>
      </c>
      <c r="L4760">
        <v>999.90092865155304</v>
      </c>
      <c r="M4760">
        <v>21.0135813880045</v>
      </c>
      <c r="N4760">
        <v>57.941488415971001</v>
      </c>
      <c r="O4760">
        <v>47.158928884307599</v>
      </c>
      <c r="P4760">
        <v>-5.7001808871433503E-2</v>
      </c>
      <c r="Q4760">
        <v>0.48831731946722501</v>
      </c>
      <c r="R4760">
        <v>0.91852547958577002</v>
      </c>
      <c r="S4760" t="s">
        <v>11212</v>
      </c>
      <c r="T4760" t="s">
        <v>12902</v>
      </c>
      <c r="U4760" t="s">
        <v>12902</v>
      </c>
      <c r="V4760" t="s">
        <v>12902</v>
      </c>
      <c r="W4760" t="s">
        <v>17614</v>
      </c>
      <c r="X4760">
        <v>2</v>
      </c>
      <c r="Y4760" t="s">
        <v>23916</v>
      </c>
      <c r="Z4760" t="s">
        <v>30335</v>
      </c>
      <c r="AA4760">
        <v>0.62426352031581211</v>
      </c>
      <c r="AB4760" t="str">
        <f>HYPERLINK("Melting_Curves/meltCurve_Q92968_PEX13.pdf", "Melting_Curves/meltCurve_Q92968_PEX13.pdf")</f>
        <v>Melting_Curves/meltCurve_Q92968_PEX13.pdf</v>
      </c>
    </row>
    <row r="4761" spans="1:28" x14ac:dyDescent="0.25">
      <c r="A4761" t="s">
        <v>4765</v>
      </c>
      <c r="B4761">
        <v>0.99673306730245903</v>
      </c>
      <c r="C4761">
        <v>0.89954923896658801</v>
      </c>
      <c r="D4761">
        <v>0.716305465161997</v>
      </c>
      <c r="E4761">
        <v>0.41888929579490403</v>
      </c>
      <c r="F4761">
        <v>0.16031153073812701</v>
      </c>
      <c r="G4761">
        <v>0.10638177899854501</v>
      </c>
      <c r="H4761">
        <v>7.2942877677210194E-2</v>
      </c>
      <c r="I4761">
        <v>5.0452339009091601E-2</v>
      </c>
      <c r="J4761">
        <v>4.9159220083326301E-2</v>
      </c>
      <c r="K4761">
        <v>4.0018096560010201E-2</v>
      </c>
      <c r="L4761">
        <v>888.78848228680204</v>
      </c>
      <c r="M4761">
        <v>18.432979966239898</v>
      </c>
      <c r="N4761">
        <v>48.448378106695202</v>
      </c>
      <c r="O4761">
        <v>47.660572805319902</v>
      </c>
      <c r="P4761">
        <v>-9.2624408246168702E-2</v>
      </c>
      <c r="Q4761">
        <v>4.2079571157377399E-2</v>
      </c>
      <c r="R4761">
        <v>0.99867646990366998</v>
      </c>
      <c r="S4761" t="s">
        <v>11213</v>
      </c>
      <c r="T4761" t="s">
        <v>12902</v>
      </c>
      <c r="U4761" t="s">
        <v>12902</v>
      </c>
      <c r="V4761" t="s">
        <v>12902</v>
      </c>
      <c r="W4761" t="s">
        <v>17615</v>
      </c>
      <c r="X4761">
        <v>27</v>
      </c>
      <c r="Y4761" t="s">
        <v>23917</v>
      </c>
      <c r="Z4761" t="s">
        <v>30336</v>
      </c>
      <c r="AA4761">
        <v>0.32054142328779739</v>
      </c>
      <c r="AB4761" t="str">
        <f>HYPERLINK("Melting_Curves/meltCurve_Q92973_2_TNPO1.pdf", "Melting_Curves/meltCurve_Q92973_2_TNPO1.pdf")</f>
        <v>Melting_Curves/meltCurve_Q92973_2_TNPO1.pdf</v>
      </c>
    </row>
    <row r="4762" spans="1:28" x14ac:dyDescent="0.25">
      <c r="A4762" t="s">
        <v>4766</v>
      </c>
      <c r="B4762">
        <v>0.99673306730245903</v>
      </c>
      <c r="C4762">
        <v>1.0321629019035401</v>
      </c>
      <c r="D4762">
        <v>1.1157708736678</v>
      </c>
      <c r="E4762">
        <v>1.2054158035423901</v>
      </c>
      <c r="F4762">
        <v>1.0114227982564299</v>
      </c>
      <c r="G4762">
        <v>0.82381046094093502</v>
      </c>
      <c r="H4762">
        <v>0.38391922353206698</v>
      </c>
      <c r="I4762">
        <v>0.173294555632756</v>
      </c>
      <c r="J4762">
        <v>0.17320421187299001</v>
      </c>
      <c r="K4762">
        <v>0.158427273448735</v>
      </c>
      <c r="L4762">
        <v>2167.9997093502002</v>
      </c>
      <c r="M4762">
        <v>36.7218986827042</v>
      </c>
      <c r="N4762">
        <v>59.625890469223499</v>
      </c>
      <c r="O4762">
        <v>58.864072192469798</v>
      </c>
      <c r="P4762">
        <v>-0.13228466093465299</v>
      </c>
      <c r="Q4762">
        <v>0.15180953921218901</v>
      </c>
      <c r="R4762">
        <v>0.96510527216833097</v>
      </c>
      <c r="S4762" t="s">
        <v>11214</v>
      </c>
      <c r="T4762" t="s">
        <v>12902</v>
      </c>
      <c r="U4762" t="s">
        <v>12902</v>
      </c>
      <c r="V4762" t="s">
        <v>12902</v>
      </c>
      <c r="W4762" t="s">
        <v>17616</v>
      </c>
      <c r="X4762">
        <v>11</v>
      </c>
      <c r="Y4762" t="s">
        <v>23918</v>
      </c>
      <c r="Z4762" t="s">
        <v>30337</v>
      </c>
      <c r="AA4762">
        <v>0.69397807797168742</v>
      </c>
      <c r="AB4762" t="str">
        <f>HYPERLINK("Melting_Curves/meltCurve_Q92979_EMG1.pdf", "Melting_Curves/meltCurve_Q92979_EMG1.pdf")</f>
        <v>Melting_Curves/meltCurve_Q92979_EMG1.pdf</v>
      </c>
    </row>
    <row r="4763" spans="1:28" x14ac:dyDescent="0.25">
      <c r="A4763" t="s">
        <v>4767</v>
      </c>
      <c r="B4763">
        <v>0.99673306730245903</v>
      </c>
      <c r="C4763">
        <v>1.0024274135992299</v>
      </c>
      <c r="D4763">
        <v>0.98851653751688096</v>
      </c>
      <c r="E4763">
        <v>0.90717389800798198</v>
      </c>
      <c r="F4763">
        <v>0.399755768932546</v>
      </c>
      <c r="G4763">
        <v>0.24571741077915699</v>
      </c>
      <c r="H4763">
        <v>0.188567890688354</v>
      </c>
      <c r="I4763">
        <v>0.233704928669246</v>
      </c>
      <c r="J4763">
        <v>0.18214459959645199</v>
      </c>
      <c r="K4763">
        <v>9.8505827809838603E-2</v>
      </c>
      <c r="L4763">
        <v>2113.9994806270702</v>
      </c>
      <c r="M4763">
        <v>40.684849338319303</v>
      </c>
      <c r="N4763">
        <v>52.547484770975601</v>
      </c>
      <c r="O4763">
        <v>51.835300500450202</v>
      </c>
      <c r="P4763">
        <v>-0.16038358703661501</v>
      </c>
      <c r="Q4763">
        <v>0.18264263293774699</v>
      </c>
      <c r="R4763">
        <v>0.99184788850034</v>
      </c>
      <c r="S4763" t="s">
        <v>11215</v>
      </c>
      <c r="T4763" t="s">
        <v>12902</v>
      </c>
      <c r="U4763" t="s">
        <v>12902</v>
      </c>
      <c r="V4763" t="s">
        <v>12902</v>
      </c>
      <c r="W4763" t="s">
        <v>17617</v>
      </c>
      <c r="X4763">
        <v>13</v>
      </c>
      <c r="Y4763" t="s">
        <v>23919</v>
      </c>
      <c r="Z4763" t="s">
        <v>30338</v>
      </c>
      <c r="AA4763">
        <v>0.51134146251527135</v>
      </c>
      <c r="AB4763" t="str">
        <f>HYPERLINK("Melting_Curves/meltCurve_Q92990_GLMN.pdf", "Melting_Curves/meltCurve_Q92990_GLMN.pdf")</f>
        <v>Melting_Curves/meltCurve_Q92990_GLMN.pdf</v>
      </c>
    </row>
    <row r="4764" spans="1:28" x14ac:dyDescent="0.25">
      <c r="A4764" t="s">
        <v>4768</v>
      </c>
      <c r="B4764">
        <v>0.99673306730245903</v>
      </c>
      <c r="C4764">
        <v>0.92484417998720303</v>
      </c>
      <c r="D4764">
        <v>0.76960279491217098</v>
      </c>
      <c r="E4764">
        <v>0.45048737170120701</v>
      </c>
      <c r="F4764">
        <v>0.25596582081441399</v>
      </c>
      <c r="G4764">
        <v>0.16494813541578399</v>
      </c>
      <c r="H4764">
        <v>9.9392631474340201E-2</v>
      </c>
      <c r="I4764">
        <v>8.7474794386343105E-2</v>
      </c>
      <c r="J4764">
        <v>8.87080399809409E-2</v>
      </c>
      <c r="K4764">
        <v>6.6653018360133695E-2</v>
      </c>
      <c r="L4764">
        <v>862.26276093137005</v>
      </c>
      <c r="M4764">
        <v>17.690628196821301</v>
      </c>
      <c r="N4764">
        <v>49.204960983127101</v>
      </c>
      <c r="O4764">
        <v>48.131195853325401</v>
      </c>
      <c r="P4764">
        <v>-8.4836374263528594E-2</v>
      </c>
      <c r="Q4764">
        <v>7.6785629023538998E-2</v>
      </c>
      <c r="R4764">
        <v>0.99894867313445801</v>
      </c>
      <c r="S4764" t="s">
        <v>11216</v>
      </c>
      <c r="T4764" t="s">
        <v>12902</v>
      </c>
      <c r="U4764" t="s">
        <v>12902</v>
      </c>
      <c r="V4764" t="s">
        <v>12902</v>
      </c>
      <c r="W4764" t="s">
        <v>17618</v>
      </c>
      <c r="X4764">
        <v>13</v>
      </c>
      <c r="Y4764" t="s">
        <v>23920</v>
      </c>
      <c r="Z4764" t="s">
        <v>30339</v>
      </c>
      <c r="AA4764">
        <v>0.36243136539592019</v>
      </c>
      <c r="AB4764" t="str">
        <f>HYPERLINK("Melting_Curves/meltCurve_Q92995_USP13.pdf", "Melting_Curves/meltCurve_Q92995_USP13.pdf")</f>
        <v>Melting_Curves/meltCurve_Q92995_USP13.pdf</v>
      </c>
    </row>
    <row r="4765" spans="1:28" x14ac:dyDescent="0.25">
      <c r="A4765" t="s">
        <v>4769</v>
      </c>
      <c r="B4765">
        <v>0.99673306730245903</v>
      </c>
      <c r="C4765">
        <v>0.911782952437306</v>
      </c>
      <c r="D4765">
        <v>0.89236377813512402</v>
      </c>
      <c r="E4765">
        <v>0.60240926334936895</v>
      </c>
      <c r="F4765">
        <v>0.26873020721682001</v>
      </c>
      <c r="G4765">
        <v>0.180941152865463</v>
      </c>
      <c r="H4765">
        <v>0.117429903360375</v>
      </c>
      <c r="I4765">
        <v>0.107957427162566</v>
      </c>
      <c r="J4765">
        <v>0.118067217197316</v>
      </c>
      <c r="K4765">
        <v>0.102067477986723</v>
      </c>
      <c r="L4765">
        <v>1087.2483176855101</v>
      </c>
      <c r="M4765">
        <v>21.7580404029144</v>
      </c>
      <c r="N4765">
        <v>50.512164419984501</v>
      </c>
      <c r="O4765">
        <v>49.553595890516</v>
      </c>
      <c r="P4765">
        <v>-9.83408197755469E-2</v>
      </c>
      <c r="Q4765">
        <v>0.104142195285017</v>
      </c>
      <c r="R4765">
        <v>0.99580144786638003</v>
      </c>
      <c r="S4765" t="s">
        <v>11217</v>
      </c>
      <c r="T4765" t="s">
        <v>12902</v>
      </c>
      <c r="U4765" t="s">
        <v>12902</v>
      </c>
      <c r="V4765" t="s">
        <v>12902</v>
      </c>
      <c r="W4765" t="s">
        <v>17619</v>
      </c>
      <c r="X4765">
        <v>17</v>
      </c>
      <c r="Y4765" t="s">
        <v>23921</v>
      </c>
      <c r="Z4765" t="s">
        <v>30340</v>
      </c>
      <c r="AA4765">
        <v>0.41243085813706087</v>
      </c>
      <c r="AB4765" t="str">
        <f>HYPERLINK("Melting_Curves/meltCurve_Q93008_1_USP9X.pdf", "Melting_Curves/meltCurve_Q93008_1_USP9X.pdf")</f>
        <v>Melting_Curves/meltCurve_Q93008_1_USP9X.pdf</v>
      </c>
    </row>
    <row r="4766" spans="1:28" x14ac:dyDescent="0.25">
      <c r="A4766" t="s">
        <v>4770</v>
      </c>
      <c r="B4766">
        <v>0.99673306730245903</v>
      </c>
      <c r="C4766">
        <v>0.95564615067743197</v>
      </c>
      <c r="D4766">
        <v>0.53134606104113102</v>
      </c>
      <c r="E4766">
        <v>0.36339035941950398</v>
      </c>
      <c r="F4766">
        <v>0.248690563384865</v>
      </c>
      <c r="G4766">
        <v>0.22152290135480601</v>
      </c>
      <c r="H4766">
        <v>0.173819832835959</v>
      </c>
      <c r="I4766">
        <v>0.27157716652691299</v>
      </c>
      <c r="J4766">
        <v>0.33809684791470601</v>
      </c>
      <c r="K4766">
        <v>0.32457552147303598</v>
      </c>
      <c r="L4766">
        <v>1744.5004312194501</v>
      </c>
      <c r="M4766">
        <v>38.405062580766597</v>
      </c>
      <c r="N4766">
        <v>46.368530613737803</v>
      </c>
      <c r="O4766">
        <v>45.301076991328301</v>
      </c>
      <c r="P4766">
        <v>-0.154426408500412</v>
      </c>
      <c r="Q4766">
        <v>0.27138089716431701</v>
      </c>
      <c r="R4766">
        <v>0.96857609347195095</v>
      </c>
      <c r="S4766" t="s">
        <v>11218</v>
      </c>
      <c r="T4766" t="s">
        <v>12902</v>
      </c>
      <c r="U4766" t="s">
        <v>12902</v>
      </c>
      <c r="V4766" t="s">
        <v>12902</v>
      </c>
      <c r="W4766" t="s">
        <v>17620</v>
      </c>
      <c r="X4766">
        <v>4</v>
      </c>
      <c r="Y4766" t="s">
        <v>23922</v>
      </c>
      <c r="Z4766" t="s">
        <v>30341</v>
      </c>
      <c r="AA4766">
        <v>0.40570878170941149</v>
      </c>
      <c r="AB4766" t="str">
        <f>HYPERLINK("Melting_Curves/meltCurve_Q93015_2_NAT6.pdf", "Melting_Curves/meltCurve_Q93015_2_NAT6.pdf")</f>
        <v>Melting_Curves/meltCurve_Q93015_2_NAT6.pdf</v>
      </c>
    </row>
    <row r="4767" spans="1:28" x14ac:dyDescent="0.25">
      <c r="A4767" t="s">
        <v>4771</v>
      </c>
      <c r="B4767">
        <v>0.99673306730245903</v>
      </c>
      <c r="C4767">
        <v>0.96168994651767004</v>
      </c>
      <c r="D4767">
        <v>1.01660141071598</v>
      </c>
      <c r="E4767">
        <v>1.16464874275369</v>
      </c>
      <c r="F4767">
        <v>1.11336223385443</v>
      </c>
      <c r="G4767">
        <v>0.59229165285564001</v>
      </c>
      <c r="H4767">
        <v>0.12163658143879801</v>
      </c>
      <c r="I4767">
        <v>0.11248996388385001</v>
      </c>
      <c r="J4767">
        <v>0.10176813725934</v>
      </c>
      <c r="K4767">
        <v>8.0097449030870696E-2</v>
      </c>
      <c r="L4767">
        <v>14210.244730524601</v>
      </c>
      <c r="M4767">
        <v>250</v>
      </c>
      <c r="N4767">
        <v>56.894047328759299</v>
      </c>
      <c r="O4767">
        <v>56.837342655937697</v>
      </c>
      <c r="P4767">
        <v>-0.98526994643481103</v>
      </c>
      <c r="Q4767">
        <v>0.103998010772097</v>
      </c>
      <c r="R4767">
        <v>0.97889957529231297</v>
      </c>
      <c r="S4767" t="s">
        <v>11219</v>
      </c>
      <c r="T4767" t="s">
        <v>12902</v>
      </c>
      <c r="U4767" t="s">
        <v>12902</v>
      </c>
      <c r="V4767" t="s">
        <v>12902</v>
      </c>
      <c r="W4767" t="s">
        <v>17621</v>
      </c>
      <c r="X4767">
        <v>34</v>
      </c>
      <c r="Y4767" t="s">
        <v>23923</v>
      </c>
      <c r="Z4767" t="s">
        <v>30342</v>
      </c>
      <c r="AA4767">
        <v>0.60707241197194139</v>
      </c>
      <c r="AB4767" t="str">
        <f>HYPERLINK("Melting_Curves/meltCurve_Q93034_CUL5.pdf", "Melting_Curves/meltCurve_Q93034_CUL5.pdf")</f>
        <v>Melting_Curves/meltCurve_Q93034_CUL5.pdf</v>
      </c>
    </row>
    <row r="4768" spans="1:28" x14ac:dyDescent="0.25">
      <c r="A4768" t="s">
        <v>4772</v>
      </c>
      <c r="B4768">
        <v>0.99673306730245903</v>
      </c>
      <c r="C4768">
        <v>1.01705961581619</v>
      </c>
      <c r="D4768">
        <v>1.0133581414760799</v>
      </c>
      <c r="E4768">
        <v>0.96840758218290901</v>
      </c>
      <c r="F4768">
        <v>0.79592571219937103</v>
      </c>
      <c r="G4768">
        <v>0.62904955072135704</v>
      </c>
      <c r="H4768">
        <v>0.40109131144487498</v>
      </c>
      <c r="I4768">
        <v>0.25751030589521501</v>
      </c>
      <c r="J4768">
        <v>0.19958417747350499</v>
      </c>
      <c r="K4768">
        <v>0.20070586768641599</v>
      </c>
      <c r="L4768">
        <v>981.96601164850199</v>
      </c>
      <c r="M4768">
        <v>17.081383900818601</v>
      </c>
      <c r="N4768">
        <v>58.670116111746999</v>
      </c>
      <c r="O4768">
        <v>56.7169232551283</v>
      </c>
      <c r="P4768">
        <v>-6.4330115778232805E-2</v>
      </c>
      <c r="Q4768">
        <v>0.14564636941519901</v>
      </c>
      <c r="R4768">
        <v>0.99684494950358205</v>
      </c>
      <c r="S4768" t="s">
        <v>11220</v>
      </c>
      <c r="T4768" t="s">
        <v>12902</v>
      </c>
      <c r="U4768" t="s">
        <v>12902</v>
      </c>
      <c r="V4768" t="s">
        <v>12902</v>
      </c>
      <c r="W4768" t="s">
        <v>17622</v>
      </c>
      <c r="X4768">
        <v>24</v>
      </c>
      <c r="Y4768" t="s">
        <v>23924</v>
      </c>
      <c r="Z4768" t="s">
        <v>30343</v>
      </c>
      <c r="AA4768">
        <v>0.65534113728958776</v>
      </c>
      <c r="AB4768" t="str">
        <f>HYPERLINK("Melting_Curves/meltCurve_Q93052_LPP.pdf", "Melting_Curves/meltCurve_Q93052_LPP.pdf")</f>
        <v>Melting_Curves/meltCurve_Q93052_LPP.pdf</v>
      </c>
    </row>
    <row r="4769" spans="1:28" x14ac:dyDescent="0.25">
      <c r="A4769" t="s">
        <v>4773</v>
      </c>
      <c r="B4769">
        <v>0.99673306730245903</v>
      </c>
      <c r="C4769">
        <v>0.94238290416364101</v>
      </c>
      <c r="D4769">
        <v>0.66957986019931304</v>
      </c>
      <c r="E4769">
        <v>0.40973882391598498</v>
      </c>
      <c r="F4769">
        <v>0.217390983630352</v>
      </c>
      <c r="G4769">
        <v>0.19178044527499499</v>
      </c>
      <c r="H4769">
        <v>5.2466345394569798E-2</v>
      </c>
      <c r="I4769">
        <v>7.2326737877792896E-2</v>
      </c>
      <c r="J4769">
        <v>3.89613031421914E-2</v>
      </c>
      <c r="K4769">
        <v>0</v>
      </c>
      <c r="L4769">
        <v>767.39052111952901</v>
      </c>
      <c r="M4769">
        <v>15.861642650201199</v>
      </c>
      <c r="N4769">
        <v>48.604709466054103</v>
      </c>
      <c r="O4769">
        <v>47.630863515797103</v>
      </c>
      <c r="P4769">
        <v>-8.0319718885392896E-2</v>
      </c>
      <c r="Q4769">
        <v>3.5311298402295098E-2</v>
      </c>
      <c r="R4769">
        <v>0.98984588091270198</v>
      </c>
      <c r="S4769" t="s">
        <v>11221</v>
      </c>
      <c r="T4769" t="s">
        <v>12902</v>
      </c>
      <c r="U4769" t="s">
        <v>12902</v>
      </c>
      <c r="V4769" t="s">
        <v>12902</v>
      </c>
      <c r="W4769" t="s">
        <v>17623</v>
      </c>
      <c r="X4769">
        <v>1</v>
      </c>
      <c r="Y4769" t="s">
        <v>23925</v>
      </c>
      <c r="Z4769" t="s">
        <v>30344</v>
      </c>
      <c r="AA4769">
        <v>0.32665848131515629</v>
      </c>
      <c r="AB4769" t="str">
        <f>HYPERLINK("Melting_Curves/meltCurve_Q93063_EXT2.pdf", "Melting_Curves/meltCurve_Q93063_EXT2.pdf")</f>
        <v>Melting_Curves/meltCurve_Q93063_EXT2.pdf</v>
      </c>
    </row>
    <row r="4770" spans="1:28" x14ac:dyDescent="0.25">
      <c r="A4770" t="s">
        <v>4774</v>
      </c>
      <c r="B4770">
        <v>0.99673306730245903</v>
      </c>
      <c r="C4770">
        <v>0.92877095599096704</v>
      </c>
      <c r="D4770">
        <v>0.85741125466680301</v>
      </c>
      <c r="E4770">
        <v>0.87008264175205896</v>
      </c>
      <c r="F4770">
        <v>0.82012090486593103</v>
      </c>
      <c r="G4770">
        <v>0.87361595779613099</v>
      </c>
      <c r="H4770">
        <v>0.96257111432876696</v>
      </c>
      <c r="I4770">
        <v>1.44246766283913</v>
      </c>
      <c r="J4770">
        <v>1.8341639983815201</v>
      </c>
      <c r="K4770">
        <v>1.91048689214755</v>
      </c>
      <c r="L4770">
        <v>15000</v>
      </c>
      <c r="M4770">
        <v>236.41494250538</v>
      </c>
      <c r="O4770">
        <v>63.4432257709475</v>
      </c>
      <c r="P4770">
        <v>0.465800207869977</v>
      </c>
      <c r="Q4770">
        <v>1.5</v>
      </c>
      <c r="R4770">
        <v>0.76572400182965905</v>
      </c>
      <c r="S4770" t="s">
        <v>11222</v>
      </c>
      <c r="T4770" t="s">
        <v>12902</v>
      </c>
      <c r="U4770" t="s">
        <v>12902</v>
      </c>
      <c r="V4770" t="s">
        <v>12902</v>
      </c>
      <c r="W4770" t="s">
        <v>17624</v>
      </c>
      <c r="X4770">
        <v>5</v>
      </c>
      <c r="Y4770" t="s">
        <v>23926</v>
      </c>
      <c r="Z4770" t="s">
        <v>30345</v>
      </c>
      <c r="AA4770">
        <v>1.109141637688859</v>
      </c>
      <c r="AB4770" t="str">
        <f>HYPERLINK("Melting_Curves/meltCurve_Q93077_HIST1H2AC.pdf", "Melting_Curves/meltCurve_Q93077_HIST1H2AC.pdf")</f>
        <v>Melting_Curves/meltCurve_Q93077_HIST1H2AC.pdf</v>
      </c>
    </row>
    <row r="4771" spans="1:28" x14ac:dyDescent="0.25">
      <c r="A4771" t="s">
        <v>4775</v>
      </c>
      <c r="B4771">
        <v>0.99673306730245903</v>
      </c>
      <c r="C4771">
        <v>1.0025162394336999</v>
      </c>
      <c r="D4771">
        <v>1.04153838728962</v>
      </c>
      <c r="E4771">
        <v>0.83957744656241196</v>
      </c>
      <c r="F4771">
        <v>0.75897592439991501</v>
      </c>
      <c r="G4771">
        <v>0.63223857809360196</v>
      </c>
      <c r="H4771">
        <v>0.54843718493196802</v>
      </c>
      <c r="I4771">
        <v>0.74934336572877103</v>
      </c>
      <c r="J4771">
        <v>1.2511776968594901</v>
      </c>
      <c r="K4771">
        <v>1.2103130864848599</v>
      </c>
      <c r="L4771">
        <v>15000</v>
      </c>
      <c r="M4771">
        <v>227.74111027677299</v>
      </c>
      <c r="O4771">
        <v>65.859182403098899</v>
      </c>
      <c r="P4771">
        <v>0.200683689931764</v>
      </c>
      <c r="Q4771">
        <v>1.2321383907844501</v>
      </c>
      <c r="R4771">
        <v>2.4477016540435399E-2</v>
      </c>
      <c r="S4771" t="s">
        <v>11223</v>
      </c>
      <c r="T4771" t="s">
        <v>12902</v>
      </c>
      <c r="U4771" t="s">
        <v>12902</v>
      </c>
      <c r="V4771" t="s">
        <v>12902</v>
      </c>
      <c r="W4771" t="s">
        <v>17625</v>
      </c>
      <c r="X4771">
        <v>9</v>
      </c>
      <c r="Y4771" t="s">
        <v>23927</v>
      </c>
      <c r="Z4771" t="s">
        <v>30346</v>
      </c>
      <c r="AA4771">
        <v>1.031969791693814</v>
      </c>
      <c r="AB4771" t="str">
        <f>HYPERLINK("Melting_Curves/meltCurve_Q969E4_TCEAL3.pdf", "Melting_Curves/meltCurve_Q969E4_TCEAL3.pdf")</f>
        <v>Melting_Curves/meltCurve_Q969E4_TCEAL3.pdf</v>
      </c>
    </row>
    <row r="4772" spans="1:28" x14ac:dyDescent="0.25">
      <c r="A4772" t="s">
        <v>4776</v>
      </c>
      <c r="B4772">
        <v>0.99673306730245903</v>
      </c>
      <c r="C4772">
        <v>0.96494039086257899</v>
      </c>
      <c r="D4772">
        <v>1.0254065557723699</v>
      </c>
      <c r="E4772">
        <v>0.77775196467123398</v>
      </c>
      <c r="F4772">
        <v>0.37169275677068703</v>
      </c>
      <c r="G4772">
        <v>0.25334035361798402</v>
      </c>
      <c r="H4772">
        <v>0.239517743579819</v>
      </c>
      <c r="I4772">
        <v>0.38691317190721802</v>
      </c>
      <c r="J4772">
        <v>0.57843195459869501</v>
      </c>
      <c r="K4772">
        <v>0.62691109194003503</v>
      </c>
      <c r="L4772">
        <v>12425.05100618</v>
      </c>
      <c r="M4772">
        <v>250</v>
      </c>
      <c r="N4772">
        <v>50.042294162615498</v>
      </c>
      <c r="O4772">
        <v>49.697023745720699</v>
      </c>
      <c r="P4772">
        <v>-0.74266540405836601</v>
      </c>
      <c r="Q4772">
        <v>0.40946783959108102</v>
      </c>
      <c r="R4772">
        <v>0.84309459361653805</v>
      </c>
      <c r="S4772" t="s">
        <v>11224</v>
      </c>
      <c r="T4772" t="s">
        <v>12902</v>
      </c>
      <c r="U4772" t="s">
        <v>12902</v>
      </c>
      <c r="V4772" t="s">
        <v>12902</v>
      </c>
      <c r="W4772" t="s">
        <v>17626</v>
      </c>
      <c r="X4772">
        <v>3</v>
      </c>
      <c r="Y4772" t="s">
        <v>23928</v>
      </c>
      <c r="Z4772" t="s">
        <v>30347</v>
      </c>
      <c r="AA4772">
        <v>0.60046209559848196</v>
      </c>
      <c r="AB4772" t="str">
        <f>HYPERLINK("Melting_Curves/meltCurve_Q969E8_TSR2.pdf", "Melting_Curves/meltCurve_Q969E8_TSR2.pdf")</f>
        <v>Melting_Curves/meltCurve_Q969E8_TSR2.pdf</v>
      </c>
    </row>
    <row r="4773" spans="1:28" x14ac:dyDescent="0.25">
      <c r="A4773" t="s">
        <v>4777</v>
      </c>
      <c r="B4773">
        <v>0.99673306730245903</v>
      </c>
      <c r="C4773">
        <v>0.96595963090797299</v>
      </c>
      <c r="D4773">
        <v>0.93613293553260701</v>
      </c>
      <c r="E4773">
        <v>0.93197588599848602</v>
      </c>
      <c r="F4773">
        <v>0.68261976225432197</v>
      </c>
      <c r="G4773">
        <v>0.33920253473329198</v>
      </c>
      <c r="H4773">
        <v>9.2360930961869897E-2</v>
      </c>
      <c r="I4773">
        <v>8.1322086723948805E-2</v>
      </c>
      <c r="J4773">
        <v>0.109032710979513</v>
      </c>
      <c r="K4773">
        <v>9.1300440089911394E-2</v>
      </c>
      <c r="L4773">
        <v>1406.3814936558999</v>
      </c>
      <c r="M4773">
        <v>25.777796312507501</v>
      </c>
      <c r="N4773">
        <v>54.901074447082102</v>
      </c>
      <c r="O4773">
        <v>54.232703956496202</v>
      </c>
      <c r="P4773">
        <v>-0.109987991930695</v>
      </c>
      <c r="Q4773">
        <v>7.4416589063650895E-2</v>
      </c>
      <c r="R4773">
        <v>0.99509351869072604</v>
      </c>
      <c r="S4773" t="s">
        <v>11225</v>
      </c>
      <c r="T4773" t="s">
        <v>12902</v>
      </c>
      <c r="U4773" t="s">
        <v>12902</v>
      </c>
      <c r="V4773" t="s">
        <v>12902</v>
      </c>
      <c r="W4773" t="s">
        <v>17627</v>
      </c>
      <c r="X4773">
        <v>6</v>
      </c>
      <c r="Y4773" t="s">
        <v>23929</v>
      </c>
      <c r="Z4773" t="s">
        <v>30348</v>
      </c>
      <c r="AA4773">
        <v>0.53167887246071555</v>
      </c>
      <c r="AB4773" t="str">
        <f>HYPERLINK("Melting_Curves/meltCurve_Q969G6_RFK.pdf", "Melting_Curves/meltCurve_Q969G6_RFK.pdf")</f>
        <v>Melting_Curves/meltCurve_Q969G6_RFK.pdf</v>
      </c>
    </row>
    <row r="4774" spans="1:28" x14ac:dyDescent="0.25">
      <c r="A4774" t="s">
        <v>4778</v>
      </c>
      <c r="B4774">
        <v>0.99673306730245903</v>
      </c>
      <c r="C4774">
        <v>1.0760263311032101</v>
      </c>
      <c r="D4774">
        <v>1.2181647128053901</v>
      </c>
      <c r="E4774">
        <v>1.61018606592257</v>
      </c>
      <c r="F4774">
        <v>1.9968294189925599</v>
      </c>
      <c r="G4774">
        <v>1.4374973729950999</v>
      </c>
      <c r="H4774">
        <v>0.69943395930706298</v>
      </c>
      <c r="I4774">
        <v>0.35733167360894003</v>
      </c>
      <c r="J4774">
        <v>0.128877618740775</v>
      </c>
      <c r="K4774">
        <v>5.3411544355040398E-2</v>
      </c>
      <c r="L4774">
        <v>2762.42289004946</v>
      </c>
      <c r="M4774">
        <v>44.254445375940101</v>
      </c>
      <c r="N4774">
        <v>62.6617424444185</v>
      </c>
      <c r="O4774">
        <v>62.294300167992397</v>
      </c>
      <c r="P4774">
        <v>-0.163737506115713</v>
      </c>
      <c r="Q4774">
        <v>7.8067735856945097E-2</v>
      </c>
      <c r="R4774">
        <v>0.56484975349018196</v>
      </c>
      <c r="S4774" t="s">
        <v>11226</v>
      </c>
      <c r="T4774" t="s">
        <v>12902</v>
      </c>
      <c r="U4774" t="s">
        <v>12902</v>
      </c>
      <c r="V4774" t="s">
        <v>12902</v>
      </c>
      <c r="W4774" t="s">
        <v>17628</v>
      </c>
      <c r="X4774">
        <v>1</v>
      </c>
      <c r="Y4774" t="s">
        <v>23930</v>
      </c>
      <c r="Z4774" t="s">
        <v>30349</v>
      </c>
      <c r="AA4774">
        <v>0.76987036457842339</v>
      </c>
      <c r="AB4774" t="str">
        <f>HYPERLINK("Melting_Curves/meltCurve_Q969H6_2_POP5.pdf", "Melting_Curves/meltCurve_Q969H6_2_POP5.pdf")</f>
        <v>Melting_Curves/meltCurve_Q969H6_2_POP5.pdf</v>
      </c>
    </row>
    <row r="4775" spans="1:28" x14ac:dyDescent="0.25">
      <c r="A4775" t="s">
        <v>4779</v>
      </c>
      <c r="B4775">
        <v>0.99673306730245903</v>
      </c>
      <c r="C4775">
        <v>0.99236119875677897</v>
      </c>
      <c r="D4775">
        <v>0.99538159007066296</v>
      </c>
      <c r="E4775">
        <v>0.91141066379342195</v>
      </c>
      <c r="F4775">
        <v>0.86451891052614305</v>
      </c>
      <c r="G4775">
        <v>0.84100570225312299</v>
      </c>
      <c r="H4775">
        <v>0.43122671443478</v>
      </c>
      <c r="I4775">
        <v>0.18832182508950099</v>
      </c>
      <c r="J4775">
        <v>0.120665449811257</v>
      </c>
      <c r="K4775">
        <v>8.7858919737104302E-2</v>
      </c>
      <c r="L4775">
        <v>1404.37691054839</v>
      </c>
      <c r="M4775">
        <v>23.4651617315679</v>
      </c>
      <c r="N4775">
        <v>60.086529637780401</v>
      </c>
      <c r="O4775">
        <v>59.4198351853736</v>
      </c>
      <c r="P4775">
        <v>-9.43625738741668E-2</v>
      </c>
      <c r="Q4775">
        <v>4.4214832887576799E-2</v>
      </c>
      <c r="R4775">
        <v>0.98683802601258497</v>
      </c>
      <c r="S4775" t="s">
        <v>11227</v>
      </c>
      <c r="T4775" t="s">
        <v>12902</v>
      </c>
      <c r="U4775" t="s">
        <v>12902</v>
      </c>
      <c r="V4775" t="s">
        <v>12902</v>
      </c>
      <c r="W4775" t="s">
        <v>17629</v>
      </c>
      <c r="X4775">
        <v>7</v>
      </c>
      <c r="Y4775" t="s">
        <v>23931</v>
      </c>
      <c r="Z4775" t="s">
        <v>30350</v>
      </c>
      <c r="AA4775">
        <v>0.68423000784181343</v>
      </c>
      <c r="AB4775" t="str">
        <f>HYPERLINK("Melting_Curves/meltCurve_Q969H8_C19orf10.pdf", "Melting_Curves/meltCurve_Q969H8_C19orf10.pdf")</f>
        <v>Melting_Curves/meltCurve_Q969H8_C19orf10.pdf</v>
      </c>
    </row>
    <row r="4776" spans="1:28" x14ac:dyDescent="0.25">
      <c r="A4776" t="s">
        <v>4780</v>
      </c>
      <c r="B4776">
        <v>0.99673306730245903</v>
      </c>
      <c r="C4776">
        <v>1.0232689694606001</v>
      </c>
      <c r="D4776">
        <v>0.87132369074480698</v>
      </c>
      <c r="E4776">
        <v>0.94441586517999998</v>
      </c>
      <c r="F4776">
        <v>0.89164168894438101</v>
      </c>
      <c r="G4776">
        <v>0.84478571997525198</v>
      </c>
      <c r="H4776">
        <v>0.67202949695218095</v>
      </c>
      <c r="I4776">
        <v>1.24550374372144</v>
      </c>
      <c r="J4776">
        <v>1.04444150681354</v>
      </c>
      <c r="K4776">
        <v>1.2660801962102</v>
      </c>
      <c r="L4776">
        <v>2029.9540777464399</v>
      </c>
      <c r="M4776">
        <v>29.014388930481999</v>
      </c>
      <c r="O4776">
        <v>69.6338783378541</v>
      </c>
      <c r="P4776">
        <v>5.2084211828963299E-2</v>
      </c>
      <c r="Q4776">
        <v>1.5</v>
      </c>
      <c r="R4776">
        <v>0.25309015896220999</v>
      </c>
      <c r="S4776" t="s">
        <v>11228</v>
      </c>
      <c r="T4776" t="s">
        <v>12902</v>
      </c>
      <c r="U4776" t="s">
        <v>12902</v>
      </c>
      <c r="V4776" t="s">
        <v>12902</v>
      </c>
      <c r="W4776" t="s">
        <v>17630</v>
      </c>
      <c r="X4776">
        <v>1</v>
      </c>
      <c r="Y4776" t="s">
        <v>23932</v>
      </c>
      <c r="Z4776" t="s">
        <v>30351</v>
      </c>
      <c r="AA4776">
        <v>1.026108430712745</v>
      </c>
      <c r="AB4776" t="str">
        <f>HYPERLINK("Melting_Curves/meltCurve_Q969L2_MAL2.pdf", "Melting_Curves/meltCurve_Q969L2_MAL2.pdf")</f>
        <v>Melting_Curves/meltCurve_Q969L2_MAL2.pdf</v>
      </c>
    </row>
    <row r="4777" spans="1:28" x14ac:dyDescent="0.25">
      <c r="A4777" t="s">
        <v>4781</v>
      </c>
      <c r="B4777">
        <v>0.99673306730245903</v>
      </c>
      <c r="C4777">
        <v>0.91696615526443603</v>
      </c>
      <c r="D4777">
        <v>0.84164933488289495</v>
      </c>
      <c r="E4777">
        <v>0.69470847526444601</v>
      </c>
      <c r="F4777">
        <v>0.43759290757463898</v>
      </c>
      <c r="G4777">
        <v>0.33009645409278998</v>
      </c>
      <c r="H4777">
        <v>0.24426178760459599</v>
      </c>
      <c r="I4777">
        <v>0.178276600147703</v>
      </c>
      <c r="J4777">
        <v>0.179246842723744</v>
      </c>
      <c r="K4777">
        <v>0.123943708080629</v>
      </c>
      <c r="L4777">
        <v>658.75322787748701</v>
      </c>
      <c r="M4777">
        <v>12.7813643769286</v>
      </c>
      <c r="N4777">
        <v>52.6349174396641</v>
      </c>
      <c r="O4777">
        <v>50.327351917014397</v>
      </c>
      <c r="P4777">
        <v>-5.6090948013214001E-2</v>
      </c>
      <c r="Q4777">
        <v>0.116721448259137</v>
      </c>
      <c r="R4777">
        <v>0.996148276720217</v>
      </c>
      <c r="S4777" t="s">
        <v>11229</v>
      </c>
      <c r="T4777" t="s">
        <v>12902</v>
      </c>
      <c r="U4777" t="s">
        <v>12902</v>
      </c>
      <c r="V4777" t="s">
        <v>12902</v>
      </c>
      <c r="W4777" t="s">
        <v>17631</v>
      </c>
      <c r="X4777">
        <v>2</v>
      </c>
      <c r="Y4777" t="s">
        <v>23933</v>
      </c>
      <c r="Z4777" t="s">
        <v>30352</v>
      </c>
      <c r="AA4777">
        <v>0.48201449424985132</v>
      </c>
      <c r="AB4777" t="str">
        <f>HYPERLINK("Melting_Curves/meltCurve_Q969M3_YIPF5.pdf", "Melting_Curves/meltCurve_Q969M3_YIPF5.pdf")</f>
        <v>Melting_Curves/meltCurve_Q969M3_YIPF5.pdf</v>
      </c>
    </row>
    <row r="4778" spans="1:28" x14ac:dyDescent="0.25">
      <c r="A4778" t="s">
        <v>4782</v>
      </c>
      <c r="B4778">
        <v>0.99673306730245903</v>
      </c>
      <c r="C4778">
        <v>0.81751014879073602</v>
      </c>
      <c r="D4778">
        <v>0.80072076240614798</v>
      </c>
      <c r="E4778">
        <v>0.676679407321503</v>
      </c>
      <c r="F4778">
        <v>0.27985520860040097</v>
      </c>
      <c r="G4778">
        <v>0.18895115184234801</v>
      </c>
      <c r="H4778">
        <v>0.122579998222618</v>
      </c>
      <c r="I4778">
        <v>0.105677028142468</v>
      </c>
      <c r="J4778">
        <v>0.10612255307740499</v>
      </c>
      <c r="K4778">
        <v>8.7583727717847698E-2</v>
      </c>
      <c r="L4778">
        <v>736.66970372944604</v>
      </c>
      <c r="M4778">
        <v>14.667008271908101</v>
      </c>
      <c r="N4778">
        <v>50.689654356486102</v>
      </c>
      <c r="O4778">
        <v>49.320339463450601</v>
      </c>
      <c r="P4778">
        <v>-6.9689263030617593E-2</v>
      </c>
      <c r="Q4778">
        <v>6.2734817215116201E-2</v>
      </c>
      <c r="R4778">
        <v>0.97518203525649405</v>
      </c>
      <c r="S4778" t="s">
        <v>11230</v>
      </c>
      <c r="T4778" t="s">
        <v>12902</v>
      </c>
      <c r="U4778" t="s">
        <v>12902</v>
      </c>
      <c r="V4778" t="s">
        <v>12902</v>
      </c>
      <c r="W4778" t="s">
        <v>17632</v>
      </c>
      <c r="X4778">
        <v>13</v>
      </c>
      <c r="Y4778" t="s">
        <v>23934</v>
      </c>
      <c r="Z4778" t="s">
        <v>30353</v>
      </c>
      <c r="AA4778">
        <v>0.40529772201736419</v>
      </c>
      <c r="AB4778" t="str">
        <f>HYPERLINK("Melting_Curves/meltCurve_Q969N2_4_PIGT.pdf", "Melting_Curves/meltCurve_Q969N2_4_PIGT.pdf")</f>
        <v>Melting_Curves/meltCurve_Q969N2_4_PIGT.pdf</v>
      </c>
    </row>
    <row r="4779" spans="1:28" x14ac:dyDescent="0.25">
      <c r="A4779" t="s">
        <v>4783</v>
      </c>
      <c r="B4779">
        <v>0.99673306730245903</v>
      </c>
      <c r="C4779">
        <v>0.941785945536595</v>
      </c>
      <c r="D4779">
        <v>0.95483206885090399</v>
      </c>
      <c r="E4779">
        <v>0.79176522989715203</v>
      </c>
      <c r="F4779">
        <v>0.73733218947166901</v>
      </c>
      <c r="G4779">
        <v>0.55502645933121797</v>
      </c>
      <c r="H4779">
        <v>0.42872567005580597</v>
      </c>
      <c r="I4779">
        <v>0.22731648979840699</v>
      </c>
      <c r="J4779">
        <v>0.19718329763769599</v>
      </c>
      <c r="K4779">
        <v>0.14777596162620699</v>
      </c>
      <c r="L4779">
        <v>585.62537771826601</v>
      </c>
      <c r="M4779">
        <v>10.107269642060899</v>
      </c>
      <c r="N4779">
        <v>57.941006144448799</v>
      </c>
      <c r="O4779">
        <v>55.810049094793399</v>
      </c>
      <c r="P4779">
        <v>-4.52964529696704E-2</v>
      </c>
      <c r="Q4779">
        <v>0</v>
      </c>
      <c r="R4779">
        <v>0.99027555498986897</v>
      </c>
      <c r="S4779" t="s">
        <v>11231</v>
      </c>
      <c r="T4779" t="s">
        <v>12902</v>
      </c>
      <c r="U4779" t="s">
        <v>12902</v>
      </c>
      <c r="V4779" t="s">
        <v>12902</v>
      </c>
      <c r="W4779" t="s">
        <v>17633</v>
      </c>
      <c r="X4779">
        <v>11</v>
      </c>
      <c r="Y4779" t="s">
        <v>23935</v>
      </c>
      <c r="Z4779" t="s">
        <v>30354</v>
      </c>
      <c r="AA4779">
        <v>0.6085285950981878</v>
      </c>
      <c r="AB4779" t="str">
        <f>HYPERLINK("Melting_Curves/meltCurve_Q969P0_3_IGSF8.pdf", "Melting_Curves/meltCurve_Q969P0_3_IGSF8.pdf")</f>
        <v>Melting_Curves/meltCurve_Q969P0_3_IGSF8.pdf</v>
      </c>
    </row>
    <row r="4780" spans="1:28" x14ac:dyDescent="0.25">
      <c r="A4780" t="s">
        <v>4784</v>
      </c>
      <c r="B4780">
        <v>0.99673306730245903</v>
      </c>
      <c r="C4780">
        <v>0.93755862588377303</v>
      </c>
      <c r="D4780">
        <v>0.95709499143338495</v>
      </c>
      <c r="E4780">
        <v>0.79107994365381296</v>
      </c>
      <c r="F4780">
        <v>0.50982945416194503</v>
      </c>
      <c r="G4780">
        <v>0.31432598070536599</v>
      </c>
      <c r="H4780">
        <v>0.20382992369734601</v>
      </c>
      <c r="I4780">
        <v>0.18711876641690001</v>
      </c>
      <c r="J4780">
        <v>0.227691285426669</v>
      </c>
      <c r="K4780">
        <v>0.20352346785207001</v>
      </c>
      <c r="L4780">
        <v>1101.9560546938201</v>
      </c>
      <c r="M4780">
        <v>21.1650693637873</v>
      </c>
      <c r="N4780">
        <v>53.281513194820498</v>
      </c>
      <c r="O4780">
        <v>51.606740918338701</v>
      </c>
      <c r="P4780">
        <v>-8.2885063446961296E-2</v>
      </c>
      <c r="Q4780">
        <v>0.19162717424042899</v>
      </c>
      <c r="R4780">
        <v>0.99559632593637504</v>
      </c>
      <c r="S4780" t="s">
        <v>11232</v>
      </c>
      <c r="T4780" t="s">
        <v>12902</v>
      </c>
      <c r="U4780" t="s">
        <v>12902</v>
      </c>
      <c r="V4780" t="s">
        <v>12902</v>
      </c>
      <c r="W4780" t="s">
        <v>17634</v>
      </c>
      <c r="X4780">
        <v>6</v>
      </c>
      <c r="Y4780" t="s">
        <v>23936</v>
      </c>
      <c r="Z4780" t="s">
        <v>30355</v>
      </c>
      <c r="AA4780">
        <v>0.52681934041063383</v>
      </c>
      <c r="AB4780" t="str">
        <f>HYPERLINK("Melting_Curves/meltCurve_Q969Q0_RPL36AL.pdf", "Melting_Curves/meltCurve_Q969Q0_RPL36AL.pdf")</f>
        <v>Melting_Curves/meltCurve_Q969Q0_RPL36AL.pdf</v>
      </c>
    </row>
    <row r="4781" spans="1:28" x14ac:dyDescent="0.25">
      <c r="A4781" t="s">
        <v>4785</v>
      </c>
      <c r="B4781">
        <v>0.99673306730245903</v>
      </c>
      <c r="C4781">
        <v>0.91543254786407802</v>
      </c>
      <c r="D4781">
        <v>0.89191746545233297</v>
      </c>
      <c r="E4781">
        <v>0.77057255480176801</v>
      </c>
      <c r="F4781">
        <v>0.49800286008351302</v>
      </c>
      <c r="G4781">
        <v>0.198780949235944</v>
      </c>
      <c r="H4781">
        <v>9.7052971524228898E-2</v>
      </c>
      <c r="I4781">
        <v>8.9913271435519096E-2</v>
      </c>
      <c r="J4781">
        <v>8.55895158893306E-2</v>
      </c>
      <c r="K4781">
        <v>6.9357792440520899E-2</v>
      </c>
      <c r="L4781">
        <v>959.73508298582897</v>
      </c>
      <c r="M4781">
        <v>18.291876517018199</v>
      </c>
      <c r="N4781">
        <v>52.767651494441303</v>
      </c>
      <c r="O4781">
        <v>51.852807178942697</v>
      </c>
      <c r="P4781">
        <v>-8.3842377558622005E-2</v>
      </c>
      <c r="Q4781">
        <v>4.9357000275842097E-2</v>
      </c>
      <c r="R4781">
        <v>0.992669495290603</v>
      </c>
      <c r="S4781" t="s">
        <v>11233</v>
      </c>
      <c r="T4781" t="s">
        <v>12902</v>
      </c>
      <c r="U4781" t="s">
        <v>12902</v>
      </c>
      <c r="V4781" t="s">
        <v>12902</v>
      </c>
      <c r="W4781" t="s">
        <v>17635</v>
      </c>
      <c r="X4781">
        <v>21</v>
      </c>
      <c r="Y4781" t="s">
        <v>23937</v>
      </c>
      <c r="Z4781" t="s">
        <v>30356</v>
      </c>
      <c r="AA4781">
        <v>0.45973413188550383</v>
      </c>
      <c r="AB4781" t="str">
        <f>HYPERLINK("Melting_Curves/meltCurve_Q969S3_ZNF622.pdf", "Melting_Curves/meltCurve_Q969S3_ZNF622.pdf")</f>
        <v>Melting_Curves/meltCurve_Q969S3_ZNF622.pdf</v>
      </c>
    </row>
    <row r="4782" spans="1:28" x14ac:dyDescent="0.25">
      <c r="A4782" t="s">
        <v>4786</v>
      </c>
      <c r="B4782">
        <v>0.99673306730245903</v>
      </c>
      <c r="C4782">
        <v>0.86266468358449799</v>
      </c>
      <c r="D4782">
        <v>0.48458745425198602</v>
      </c>
      <c r="E4782">
        <v>0.303597096184897</v>
      </c>
      <c r="F4782">
        <v>0.289790190511511</v>
      </c>
      <c r="G4782">
        <v>0.18410970214094799</v>
      </c>
      <c r="H4782">
        <v>0.13516381529331101</v>
      </c>
      <c r="I4782">
        <v>9.2276187500297396E-2</v>
      </c>
      <c r="J4782">
        <v>8.0776360081082701E-2</v>
      </c>
      <c r="K4782">
        <v>7.9394962361786101E-2</v>
      </c>
      <c r="L4782">
        <v>820.31608234323403</v>
      </c>
      <c r="M4782">
        <v>17.8163072137916</v>
      </c>
      <c r="N4782">
        <v>46.738072538464799</v>
      </c>
      <c r="O4782">
        <v>45.474676751108198</v>
      </c>
      <c r="P4782">
        <v>-8.6551515262872802E-2</v>
      </c>
      <c r="Q4782">
        <v>0.116382562806483</v>
      </c>
      <c r="R4782">
        <v>0.97294105029501499</v>
      </c>
      <c r="S4782" t="s">
        <v>11234</v>
      </c>
      <c r="T4782" t="s">
        <v>12902</v>
      </c>
      <c r="U4782" t="s">
        <v>12902</v>
      </c>
      <c r="V4782" t="s">
        <v>12902</v>
      </c>
      <c r="W4782" t="s">
        <v>17636</v>
      </c>
      <c r="X4782">
        <v>6</v>
      </c>
      <c r="Y4782" t="s">
        <v>23938</v>
      </c>
      <c r="Z4782" t="s">
        <v>30357</v>
      </c>
      <c r="AA4782">
        <v>0.31206460962515548</v>
      </c>
      <c r="AB4782" t="str">
        <f>HYPERLINK("Melting_Curves/meltCurve_Q969S9_3_GFM2.pdf", "Melting_Curves/meltCurve_Q969S9_3_GFM2.pdf")</f>
        <v>Melting_Curves/meltCurve_Q969S9_3_GFM2.pdf</v>
      </c>
    </row>
    <row r="4783" spans="1:28" x14ac:dyDescent="0.25">
      <c r="A4783" t="s">
        <v>4787</v>
      </c>
      <c r="B4783">
        <v>0.99673306730245903</v>
      </c>
      <c r="C4783">
        <v>0.95558143833393305</v>
      </c>
      <c r="D4783">
        <v>0.82734285422376297</v>
      </c>
      <c r="E4783">
        <v>0.63588261757534403</v>
      </c>
      <c r="F4783">
        <v>0.29624283831377901</v>
      </c>
      <c r="G4783">
        <v>0.18065197344450101</v>
      </c>
      <c r="H4783">
        <v>0.119649567298132</v>
      </c>
      <c r="I4783">
        <v>0.10660094669892201</v>
      </c>
      <c r="J4783">
        <v>7.5106822225551706E-2</v>
      </c>
      <c r="K4783">
        <v>9.2849368855715403E-2</v>
      </c>
      <c r="L4783">
        <v>918.09682007307902</v>
      </c>
      <c r="M4783">
        <v>18.260183989740401</v>
      </c>
      <c r="N4783">
        <v>50.755265043022398</v>
      </c>
      <c r="O4783">
        <v>49.687258679115899</v>
      </c>
      <c r="P4783">
        <v>-8.4640441118525298E-2</v>
      </c>
      <c r="Q4783">
        <v>7.8792558887732206E-2</v>
      </c>
      <c r="R4783">
        <v>0.99714855636732402</v>
      </c>
      <c r="S4783" t="s">
        <v>11235</v>
      </c>
      <c r="T4783" t="s">
        <v>12902</v>
      </c>
      <c r="U4783" t="s">
        <v>12902</v>
      </c>
      <c r="V4783" t="s">
        <v>12902</v>
      </c>
      <c r="W4783" t="s">
        <v>17637</v>
      </c>
      <c r="X4783">
        <v>6</v>
      </c>
      <c r="Y4783" t="s">
        <v>23939</v>
      </c>
      <c r="Z4783" t="s">
        <v>30358</v>
      </c>
      <c r="AA4783">
        <v>0.4096557976123168</v>
      </c>
      <c r="AB4783" t="str">
        <f>HYPERLINK("Melting_Curves/meltCurve_Q969T7_2_NT5C3B.pdf", "Melting_Curves/meltCurve_Q969T7_2_NT5C3B.pdf")</f>
        <v>Melting_Curves/meltCurve_Q969T7_2_NT5C3B.pdf</v>
      </c>
    </row>
    <row r="4784" spans="1:28" x14ac:dyDescent="0.25">
      <c r="A4784" t="s">
        <v>4788</v>
      </c>
      <c r="B4784">
        <v>0.99673306730245903</v>
      </c>
      <c r="C4784">
        <v>0.92668320068070298</v>
      </c>
      <c r="D4784">
        <v>0.87861174224101402</v>
      </c>
      <c r="E4784">
        <v>0.70055744451603597</v>
      </c>
      <c r="F4784">
        <v>0.29521843804224601</v>
      </c>
      <c r="G4784">
        <v>0.16347562819459899</v>
      </c>
      <c r="H4784">
        <v>0.104103362798452</v>
      </c>
      <c r="I4784">
        <v>7.9832762427043499E-2</v>
      </c>
      <c r="J4784">
        <v>7.4773254934788105E-2</v>
      </c>
      <c r="K4784">
        <v>6.5508788922275907E-2</v>
      </c>
      <c r="L4784">
        <v>1077.5461345148599</v>
      </c>
      <c r="M4784">
        <v>21.184392036443501</v>
      </c>
      <c r="N4784">
        <v>51.2105937932971</v>
      </c>
      <c r="O4784">
        <v>50.418353334440603</v>
      </c>
      <c r="P4784">
        <v>-9.8050836505431199E-2</v>
      </c>
      <c r="Q4784">
        <v>6.6589498155734506E-2</v>
      </c>
      <c r="R4784">
        <v>0.99477960418324995</v>
      </c>
      <c r="S4784" t="s">
        <v>11236</v>
      </c>
      <c r="T4784" t="s">
        <v>12902</v>
      </c>
      <c r="U4784" t="s">
        <v>12902</v>
      </c>
      <c r="V4784" t="s">
        <v>12902</v>
      </c>
      <c r="W4784" t="s">
        <v>17638</v>
      </c>
      <c r="X4784">
        <v>19</v>
      </c>
      <c r="Y4784" t="s">
        <v>23940</v>
      </c>
      <c r="Z4784" t="s">
        <v>30359</v>
      </c>
      <c r="AA4784">
        <v>0.41626357970753092</v>
      </c>
      <c r="AB4784" t="str">
        <f>HYPERLINK("Melting_Curves/meltCurve_Q969V3_2_NCLN.pdf", "Melting_Curves/meltCurve_Q969V3_2_NCLN.pdf")</f>
        <v>Melting_Curves/meltCurve_Q969V3_2_NCLN.pdf</v>
      </c>
    </row>
    <row r="4785" spans="1:28" x14ac:dyDescent="0.25">
      <c r="A4785" t="s">
        <v>4789</v>
      </c>
      <c r="B4785">
        <v>0.99673306730245903</v>
      </c>
      <c r="C4785">
        <v>0.94211166442078298</v>
      </c>
      <c r="D4785">
        <v>0.90531730887837103</v>
      </c>
      <c r="E4785">
        <v>0.77706053586677204</v>
      </c>
      <c r="F4785">
        <v>0.56728600139387997</v>
      </c>
      <c r="G4785">
        <v>0.47381561992861798</v>
      </c>
      <c r="H4785">
        <v>0.30147794833069302</v>
      </c>
      <c r="I4785">
        <v>0.20325984457938401</v>
      </c>
      <c r="J4785">
        <v>0.15721345055663899</v>
      </c>
      <c r="K4785">
        <v>0.14610748771145199</v>
      </c>
      <c r="L4785">
        <v>586.10922242625304</v>
      </c>
      <c r="M4785">
        <v>10.675495000961501</v>
      </c>
      <c r="N4785">
        <v>55.421862781797799</v>
      </c>
      <c r="O4785">
        <v>53.080966015422199</v>
      </c>
      <c r="P4785">
        <v>-4.7903262410676099E-2</v>
      </c>
      <c r="Q4785">
        <v>4.7617304929517497E-2</v>
      </c>
      <c r="R4785">
        <v>0.99652665613726199</v>
      </c>
      <c r="S4785" t="s">
        <v>11237</v>
      </c>
      <c r="T4785" t="s">
        <v>12902</v>
      </c>
      <c r="U4785" t="s">
        <v>12902</v>
      </c>
      <c r="V4785" t="s">
        <v>12902</v>
      </c>
      <c r="W4785" t="s">
        <v>17639</v>
      </c>
      <c r="X4785">
        <v>8</v>
      </c>
      <c r="Y4785" t="s">
        <v>23941</v>
      </c>
      <c r="Z4785" t="s">
        <v>30360</v>
      </c>
      <c r="AA4785">
        <v>0.54500367067836086</v>
      </c>
      <c r="AB4785" t="str">
        <f>HYPERLINK("Melting_Curves/meltCurve_Q969X5_2_ERGIC1.pdf", "Melting_Curves/meltCurve_Q969X5_2_ERGIC1.pdf")</f>
        <v>Melting_Curves/meltCurve_Q969X5_2_ERGIC1.pdf</v>
      </c>
    </row>
    <row r="4786" spans="1:28" x14ac:dyDescent="0.25">
      <c r="A4786" t="s">
        <v>4790</v>
      </c>
      <c r="B4786">
        <v>0.99673306730245903</v>
      </c>
      <c r="C4786">
        <v>0.96568051918784803</v>
      </c>
      <c r="D4786">
        <v>1.1501558419376701</v>
      </c>
      <c r="E4786">
        <v>1.6834831347907699</v>
      </c>
      <c r="F4786">
        <v>1.07223814799588</v>
      </c>
      <c r="G4786">
        <v>0.41173131932328</v>
      </c>
      <c r="H4786">
        <v>0.19091866392346701</v>
      </c>
      <c r="I4786">
        <v>0.18013384485289499</v>
      </c>
      <c r="J4786">
        <v>0.21919529602895399</v>
      </c>
      <c r="K4786">
        <v>0.18334131849878099</v>
      </c>
      <c r="L4786">
        <v>14143.702269211501</v>
      </c>
      <c r="M4786">
        <v>250</v>
      </c>
      <c r="N4786">
        <v>56.685698701445403</v>
      </c>
      <c r="O4786">
        <v>56.571188669929398</v>
      </c>
      <c r="P4786">
        <v>-0.89113684896030199</v>
      </c>
      <c r="Q4786">
        <v>0.193397268013311</v>
      </c>
      <c r="R4786">
        <v>0.80715170641819001</v>
      </c>
      <c r="S4786" t="s">
        <v>11238</v>
      </c>
      <c r="T4786" t="s">
        <v>12902</v>
      </c>
      <c r="U4786" t="s">
        <v>12902</v>
      </c>
      <c r="V4786" t="s">
        <v>12902</v>
      </c>
      <c r="W4786" t="s">
        <v>17640</v>
      </c>
      <c r="X4786">
        <v>12</v>
      </c>
      <c r="Y4786" t="s">
        <v>23942</v>
      </c>
      <c r="Z4786" t="s">
        <v>30361</v>
      </c>
      <c r="AA4786">
        <v>0.63912023003037022</v>
      </c>
      <c r="AB4786" t="str">
        <f>HYPERLINK("Melting_Curves/meltCurve_Q969X6_CIRH1A.pdf", "Melting_Curves/meltCurve_Q969X6_CIRH1A.pdf")</f>
        <v>Melting_Curves/meltCurve_Q969X6_CIRH1A.pdf</v>
      </c>
    </row>
    <row r="4787" spans="1:28" x14ac:dyDescent="0.25">
      <c r="A4787" t="s">
        <v>4791</v>
      </c>
      <c r="B4787">
        <v>0.99673306730245903</v>
      </c>
      <c r="C4787">
        <v>1.0190493562932801</v>
      </c>
      <c r="D4787">
        <v>1.02133408923698</v>
      </c>
      <c r="E4787">
        <v>0.97320767658502905</v>
      </c>
      <c r="F4787">
        <v>0.81020601189709895</v>
      </c>
      <c r="G4787">
        <v>0.54056697227628203</v>
      </c>
      <c r="H4787">
        <v>0.138746651685903</v>
      </c>
      <c r="I4787">
        <v>0.104767470308335</v>
      </c>
      <c r="J4787">
        <v>0.121157495650336</v>
      </c>
      <c r="K4787">
        <v>0.106287153074792</v>
      </c>
      <c r="L4787">
        <v>1542.0149188217399</v>
      </c>
      <c r="M4787">
        <v>27.357133960228801</v>
      </c>
      <c r="N4787">
        <v>56.749325415004201</v>
      </c>
      <c r="O4787">
        <v>56.067498459124103</v>
      </c>
      <c r="P4787">
        <v>-0.11169596109175101</v>
      </c>
      <c r="Q4787">
        <v>8.4340594920344306E-2</v>
      </c>
      <c r="R4787">
        <v>0.99457686976823501</v>
      </c>
      <c r="S4787" t="s">
        <v>11239</v>
      </c>
      <c r="T4787" t="s">
        <v>12902</v>
      </c>
      <c r="U4787" t="s">
        <v>12902</v>
      </c>
      <c r="V4787" t="s">
        <v>12902</v>
      </c>
      <c r="W4787" t="s">
        <v>17641</v>
      </c>
      <c r="X4787">
        <v>9</v>
      </c>
      <c r="Y4787" t="s">
        <v>23943</v>
      </c>
      <c r="Z4787" t="s">
        <v>30362</v>
      </c>
      <c r="AA4787">
        <v>0.59105591298724858</v>
      </c>
      <c r="AB4787" t="str">
        <f>HYPERLINK("Melting_Curves/meltCurve_Q969Y2_3_GTPBP3.pdf", "Melting_Curves/meltCurve_Q969Y2_3_GTPBP3.pdf")</f>
        <v>Melting_Curves/meltCurve_Q969Y2_3_GTPBP3.pdf</v>
      </c>
    </row>
    <row r="4788" spans="1:28" x14ac:dyDescent="0.25">
      <c r="A4788" t="s">
        <v>4792</v>
      </c>
      <c r="B4788">
        <v>0.99673306730245903</v>
      </c>
      <c r="C4788">
        <v>0.89576846845347502</v>
      </c>
      <c r="D4788">
        <v>0.56949399658848499</v>
      </c>
      <c r="E4788">
        <v>0.21975101863042301</v>
      </c>
      <c r="F4788">
        <v>0.14083051516818601</v>
      </c>
      <c r="G4788">
        <v>8.9410560145449E-2</v>
      </c>
      <c r="H4788">
        <v>5.98370414155684E-2</v>
      </c>
      <c r="I4788">
        <v>4.7391767562512302E-2</v>
      </c>
      <c r="J4788">
        <v>4.4963013731219803E-2</v>
      </c>
      <c r="K4788">
        <v>3.9669420125477702E-2</v>
      </c>
      <c r="L4788">
        <v>1093.47536825835</v>
      </c>
      <c r="M4788">
        <v>23.553210523995499</v>
      </c>
      <c r="N4788">
        <v>46.669265386471402</v>
      </c>
      <c r="O4788">
        <v>46.094943413861003</v>
      </c>
      <c r="P4788">
        <v>-0.120358377564589</v>
      </c>
      <c r="Q4788">
        <v>5.7823436534366099E-2</v>
      </c>
      <c r="R4788">
        <v>0.99741427796576898</v>
      </c>
      <c r="S4788" t="s">
        <v>11240</v>
      </c>
      <c r="T4788" t="s">
        <v>12902</v>
      </c>
      <c r="U4788" t="s">
        <v>12902</v>
      </c>
      <c r="V4788" t="s">
        <v>12902</v>
      </c>
      <c r="W4788" t="s">
        <v>17642</v>
      </c>
      <c r="X4788">
        <v>19</v>
      </c>
      <c r="Y4788" t="s">
        <v>23944</v>
      </c>
      <c r="Z4788" t="s">
        <v>30363</v>
      </c>
      <c r="AA4788">
        <v>0.26941115468303151</v>
      </c>
      <c r="AB4788" t="str">
        <f>HYPERLINK("Melting_Curves/meltCurve_Q969Z0_TBRG4.pdf", "Melting_Curves/meltCurve_Q969Z0_TBRG4.pdf")</f>
        <v>Melting_Curves/meltCurve_Q969Z0_TBRG4.pdf</v>
      </c>
    </row>
    <row r="4789" spans="1:28" x14ac:dyDescent="0.25">
      <c r="A4789" t="s">
        <v>4793</v>
      </c>
      <c r="B4789">
        <v>0.99673306730245903</v>
      </c>
      <c r="C4789">
        <v>0.91683329529175805</v>
      </c>
      <c r="D4789">
        <v>0.83080868234531902</v>
      </c>
      <c r="E4789">
        <v>0.62924649698266</v>
      </c>
      <c r="F4789">
        <v>0.26833510801341198</v>
      </c>
      <c r="G4789">
        <v>0.18247012827964601</v>
      </c>
      <c r="H4789">
        <v>0.17016035795901699</v>
      </c>
      <c r="I4789">
        <v>0.188992938962743</v>
      </c>
      <c r="J4789">
        <v>0.26591329243047501</v>
      </c>
      <c r="K4789">
        <v>0.29473337576067898</v>
      </c>
      <c r="L4789">
        <v>1191.9190214760199</v>
      </c>
      <c r="M4789">
        <v>24.233842442324001</v>
      </c>
      <c r="N4789">
        <v>50.309762900011997</v>
      </c>
      <c r="O4789">
        <v>48.852838305886301</v>
      </c>
      <c r="P4789">
        <v>-9.8062466924413103E-2</v>
      </c>
      <c r="Q4789">
        <v>0.20927834953838401</v>
      </c>
      <c r="R4789">
        <v>0.97130450803731105</v>
      </c>
      <c r="S4789" t="s">
        <v>11241</v>
      </c>
      <c r="T4789" t="s">
        <v>12902</v>
      </c>
      <c r="U4789" t="s">
        <v>12902</v>
      </c>
      <c r="V4789" t="s">
        <v>12902</v>
      </c>
      <c r="W4789" t="s">
        <v>17643</v>
      </c>
      <c r="X4789">
        <v>2</v>
      </c>
      <c r="Y4789" t="s">
        <v>23945</v>
      </c>
      <c r="Z4789" t="s">
        <v>30364</v>
      </c>
      <c r="AA4789">
        <v>0.45882458529512188</v>
      </c>
      <c r="AB4789" t="str">
        <f>HYPERLINK("Melting_Curves/meltCurve_Q96A22_C11orf52.pdf", "Melting_Curves/meltCurve_Q96A22_C11orf52.pdf")</f>
        <v>Melting_Curves/meltCurve_Q96A22_C11orf52.pdf</v>
      </c>
    </row>
    <row r="4790" spans="1:28" x14ac:dyDescent="0.25">
      <c r="A4790" t="s">
        <v>4794</v>
      </c>
      <c r="B4790">
        <v>0.99673306730245903</v>
      </c>
      <c r="C4790">
        <v>0.84351731345952796</v>
      </c>
      <c r="D4790">
        <v>0.87577111608416003</v>
      </c>
      <c r="E4790">
        <v>0.67600430955180402</v>
      </c>
      <c r="F4790">
        <v>0.629530302724707</v>
      </c>
      <c r="G4790">
        <v>0.440563545783418</v>
      </c>
      <c r="H4790">
        <v>0.41280230700439502</v>
      </c>
      <c r="I4790">
        <v>0.63385110229112696</v>
      </c>
      <c r="J4790">
        <v>0.395531221766242</v>
      </c>
      <c r="K4790">
        <v>0.21298808575243999</v>
      </c>
      <c r="L4790">
        <v>406.61252134531497</v>
      </c>
      <c r="M4790">
        <v>7.7100976311419798</v>
      </c>
      <c r="N4790">
        <v>58.076716207860997</v>
      </c>
      <c r="O4790">
        <v>49.541795498329698</v>
      </c>
      <c r="P4790">
        <v>-2.9066914986625302E-2</v>
      </c>
      <c r="Q4790">
        <v>0.25388190924968501</v>
      </c>
      <c r="R4790">
        <v>0.83571739772944198</v>
      </c>
      <c r="S4790" t="s">
        <v>11242</v>
      </c>
      <c r="T4790" t="s">
        <v>12902</v>
      </c>
      <c r="U4790" t="s">
        <v>12902</v>
      </c>
      <c r="V4790" t="s">
        <v>12902</v>
      </c>
      <c r="W4790" t="s">
        <v>17644</v>
      </c>
      <c r="X4790">
        <v>1</v>
      </c>
      <c r="Y4790" t="s">
        <v>23946</v>
      </c>
      <c r="Z4790" t="s">
        <v>30365</v>
      </c>
      <c r="AA4790">
        <v>0.60315798693981248</v>
      </c>
      <c r="AB4790" t="str">
        <f>HYPERLINK("Melting_Curves/meltCurve_Q96A29_2_SLC35C1.pdf", "Melting_Curves/meltCurve_Q96A29_2_SLC35C1.pdf")</f>
        <v>Melting_Curves/meltCurve_Q96A29_2_SLC35C1.pdf</v>
      </c>
    </row>
    <row r="4791" spans="1:28" x14ac:dyDescent="0.25">
      <c r="A4791" t="s">
        <v>4795</v>
      </c>
      <c r="B4791">
        <v>0.99673306730245903</v>
      </c>
      <c r="C4791">
        <v>1.0572097621049401</v>
      </c>
      <c r="D4791">
        <v>0.512096081181042</v>
      </c>
      <c r="E4791">
        <v>0.700273672202532</v>
      </c>
      <c r="F4791">
        <v>0.392581831283422</v>
      </c>
      <c r="G4791">
        <v>0.13443477396422801</v>
      </c>
      <c r="H4791">
        <v>7.21021288720647E-2</v>
      </c>
      <c r="I4791">
        <v>6.6636710834925797E-2</v>
      </c>
      <c r="J4791">
        <v>6.2566422210937694E-2</v>
      </c>
      <c r="K4791">
        <v>5.0904802329646497E-2</v>
      </c>
      <c r="L4791">
        <v>626.21189109726902</v>
      </c>
      <c r="M4791">
        <v>12.3882039286989</v>
      </c>
      <c r="N4791">
        <v>50.549045843264999</v>
      </c>
      <c r="O4791">
        <v>49.2860528864881</v>
      </c>
      <c r="P4791">
        <v>-6.2851685133437696E-2</v>
      </c>
      <c r="Q4791">
        <v>0</v>
      </c>
      <c r="R4791">
        <v>0.91362666422211003</v>
      </c>
      <c r="S4791" t="s">
        <v>11243</v>
      </c>
      <c r="T4791" t="s">
        <v>12902</v>
      </c>
      <c r="U4791" t="s">
        <v>12902</v>
      </c>
      <c r="V4791" t="s">
        <v>12902</v>
      </c>
      <c r="W4791" t="s">
        <v>17645</v>
      </c>
      <c r="X4791">
        <v>20</v>
      </c>
      <c r="Y4791" t="s">
        <v>23947</v>
      </c>
      <c r="Z4791" t="s">
        <v>30366</v>
      </c>
      <c r="AA4791">
        <v>0.38357488060397632</v>
      </c>
      <c r="AB4791" t="str">
        <f>HYPERLINK("Melting_Curves/meltCurve_Q96A33_CCDC47.pdf", "Melting_Curves/meltCurve_Q96A33_CCDC47.pdf")</f>
        <v>Melting_Curves/meltCurve_Q96A33_CCDC47.pdf</v>
      </c>
    </row>
    <row r="4792" spans="1:28" x14ac:dyDescent="0.25">
      <c r="A4792" t="s">
        <v>4796</v>
      </c>
      <c r="B4792">
        <v>0.99673306730245903</v>
      </c>
      <c r="C4792">
        <v>0.98639021021551199</v>
      </c>
      <c r="D4792">
        <v>0.89335876608979703</v>
      </c>
      <c r="E4792">
        <v>0.92598209405630005</v>
      </c>
      <c r="F4792">
        <v>0.56446635119588895</v>
      </c>
      <c r="G4792">
        <v>0.59961497875311198</v>
      </c>
      <c r="H4792">
        <v>0.169908281198901</v>
      </c>
      <c r="I4792">
        <v>0.16526924386167699</v>
      </c>
      <c r="J4792">
        <v>0.12432431391891199</v>
      </c>
      <c r="K4792">
        <v>0.10649633482965699</v>
      </c>
      <c r="L4792">
        <v>765.35063327459</v>
      </c>
      <c r="M4792">
        <v>13.700346412548299</v>
      </c>
      <c r="N4792">
        <v>56.086656164813</v>
      </c>
      <c r="O4792">
        <v>54.713747156185399</v>
      </c>
      <c r="P4792">
        <v>-6.0949121766029499E-2</v>
      </c>
      <c r="Q4792">
        <v>2.6514001658007501E-2</v>
      </c>
      <c r="R4792">
        <v>0.96172645133547097</v>
      </c>
      <c r="S4792" t="s">
        <v>11244</v>
      </c>
      <c r="T4792" t="s">
        <v>12902</v>
      </c>
      <c r="U4792" t="s">
        <v>12902</v>
      </c>
      <c r="V4792" t="s">
        <v>12902</v>
      </c>
      <c r="W4792" t="s">
        <v>17646</v>
      </c>
      <c r="X4792">
        <v>3</v>
      </c>
      <c r="Y4792" t="s">
        <v>23948</v>
      </c>
      <c r="Z4792" t="s">
        <v>30367</v>
      </c>
      <c r="AA4792">
        <v>0.56008024452754179</v>
      </c>
      <c r="AB4792" t="str">
        <f>HYPERLINK("Melting_Curves/meltCurve_Q96A49_SYAP1.pdf", "Melting_Curves/meltCurve_Q96A49_SYAP1.pdf")</f>
        <v>Melting_Curves/meltCurve_Q96A49_SYAP1.pdf</v>
      </c>
    </row>
    <row r="4793" spans="1:28" x14ac:dyDescent="0.25">
      <c r="A4793" t="s">
        <v>4797</v>
      </c>
      <c r="B4793">
        <v>0.99673306730245903</v>
      </c>
      <c r="C4793">
        <v>0.97873061873621403</v>
      </c>
      <c r="D4793">
        <v>1.10009257054226</v>
      </c>
      <c r="E4793">
        <v>0.86338356008855899</v>
      </c>
      <c r="F4793">
        <v>0.82226596589890399</v>
      </c>
      <c r="G4793">
        <v>0.69246939278572694</v>
      </c>
      <c r="H4793">
        <v>0.61753993486329495</v>
      </c>
      <c r="I4793">
        <v>0.75735049923950104</v>
      </c>
      <c r="J4793">
        <v>0.66984496804919103</v>
      </c>
      <c r="K4793">
        <v>0.50253447748401103</v>
      </c>
      <c r="L4793">
        <v>1026.8097858385299</v>
      </c>
      <c r="M4793">
        <v>19.377670051437399</v>
      </c>
      <c r="O4793">
        <v>52.434681475939598</v>
      </c>
      <c r="P4793">
        <v>-3.4895271201112299E-2</v>
      </c>
      <c r="Q4793">
        <v>0.62231686341355696</v>
      </c>
      <c r="R4793">
        <v>0.83900120362001995</v>
      </c>
      <c r="S4793" t="s">
        <v>11245</v>
      </c>
      <c r="T4793" t="s">
        <v>12902</v>
      </c>
      <c r="U4793" t="s">
        <v>12902</v>
      </c>
      <c r="V4793" t="s">
        <v>12902</v>
      </c>
      <c r="W4793" t="s">
        <v>17647</v>
      </c>
      <c r="X4793">
        <v>2</v>
      </c>
      <c r="Y4793" t="s">
        <v>23949</v>
      </c>
      <c r="Z4793" t="s">
        <v>30368</v>
      </c>
      <c r="AA4793">
        <v>0.79132585259371957</v>
      </c>
      <c r="AB4793" t="str">
        <f>HYPERLINK("Melting_Curves/meltCurve_Q96A59_2_MARVELD3.pdf", "Melting_Curves/meltCurve_Q96A59_2_MARVELD3.pdf")</f>
        <v>Melting_Curves/meltCurve_Q96A59_2_MARVELD3.pdf</v>
      </c>
    </row>
    <row r="4794" spans="1:28" x14ac:dyDescent="0.25">
      <c r="A4794" t="s">
        <v>4798</v>
      </c>
      <c r="B4794">
        <v>0.99673306730245903</v>
      </c>
      <c r="C4794">
        <v>0.86813783548666201</v>
      </c>
      <c r="D4794">
        <v>0.79387730279314905</v>
      </c>
      <c r="E4794">
        <v>0.298869116375507</v>
      </c>
      <c r="F4794">
        <v>0.16866874006212801</v>
      </c>
      <c r="G4794">
        <v>0.110588412464092</v>
      </c>
      <c r="H4794">
        <v>6.8101686830392402E-2</v>
      </c>
      <c r="I4794">
        <v>7.5535777602330406E-2</v>
      </c>
      <c r="J4794">
        <v>8.4385912902053994E-2</v>
      </c>
      <c r="K4794">
        <v>8.0211758002126293E-2</v>
      </c>
      <c r="L4794">
        <v>1209.8261248175399</v>
      </c>
      <c r="M4794">
        <v>25.345460251182701</v>
      </c>
      <c r="N4794">
        <v>48.066000019357901</v>
      </c>
      <c r="O4794">
        <v>47.439270436682598</v>
      </c>
      <c r="P4794">
        <v>-0.122827718108904</v>
      </c>
      <c r="Q4794">
        <v>8.0421818015571106E-2</v>
      </c>
      <c r="R4794">
        <v>0.99083102949258095</v>
      </c>
      <c r="S4794" t="s">
        <v>11246</v>
      </c>
      <c r="T4794" t="s">
        <v>12902</v>
      </c>
      <c r="U4794" t="s">
        <v>12902</v>
      </c>
      <c r="V4794" t="s">
        <v>12902</v>
      </c>
      <c r="W4794" t="s">
        <v>17648</v>
      </c>
      <c r="X4794">
        <v>13</v>
      </c>
      <c r="Y4794" t="s">
        <v>23950</v>
      </c>
      <c r="Z4794" t="s">
        <v>30369</v>
      </c>
      <c r="AA4794">
        <v>0.32537290844121958</v>
      </c>
      <c r="AB4794" t="str">
        <f>HYPERLINK("Melting_Curves/meltCurve_Q96A65_EXOC4.pdf", "Melting_Curves/meltCurve_Q96A65_EXOC4.pdf")</f>
        <v>Melting_Curves/meltCurve_Q96A65_EXOC4.pdf</v>
      </c>
    </row>
    <row r="4795" spans="1:28" x14ac:dyDescent="0.25">
      <c r="A4795" t="s">
        <v>4799</v>
      </c>
      <c r="B4795">
        <v>0.99673306730245903</v>
      </c>
      <c r="C4795">
        <v>0.95328453659412904</v>
      </c>
      <c r="D4795">
        <v>0.82671220480340402</v>
      </c>
      <c r="E4795">
        <v>0.69979716311950602</v>
      </c>
      <c r="F4795">
        <v>0.50341663137171699</v>
      </c>
      <c r="G4795">
        <v>0.32923115947375098</v>
      </c>
      <c r="H4795">
        <v>0.233503081387266</v>
      </c>
      <c r="I4795">
        <v>0.34148190060587602</v>
      </c>
      <c r="J4795">
        <v>0.62582782015749705</v>
      </c>
      <c r="K4795">
        <v>0.73192084817719205</v>
      </c>
      <c r="L4795">
        <v>1150.3059170465399</v>
      </c>
      <c r="M4795">
        <v>23.871225538130499</v>
      </c>
      <c r="N4795">
        <v>53.579102869786901</v>
      </c>
      <c r="O4795">
        <v>47.853619961741899</v>
      </c>
      <c r="P4795">
        <v>-6.8001737662083894E-2</v>
      </c>
      <c r="Q4795">
        <v>0.454728200870607</v>
      </c>
      <c r="R4795">
        <v>0.69527438102747297</v>
      </c>
      <c r="S4795" t="s">
        <v>11247</v>
      </c>
      <c r="T4795" t="s">
        <v>12902</v>
      </c>
      <c r="U4795" t="s">
        <v>12902</v>
      </c>
      <c r="V4795" t="s">
        <v>12902</v>
      </c>
      <c r="W4795" t="s">
        <v>17649</v>
      </c>
      <c r="X4795">
        <v>4</v>
      </c>
      <c r="Y4795" t="s">
        <v>23951</v>
      </c>
      <c r="Z4795" t="s">
        <v>30370</v>
      </c>
      <c r="AA4795">
        <v>0.60886289532289928</v>
      </c>
      <c r="AB4795" t="str">
        <f>HYPERLINK("Melting_Curves/meltCurve_Q96A73_KIAA1191.pdf", "Melting_Curves/meltCurve_Q96A73_KIAA1191.pdf")</f>
        <v>Melting_Curves/meltCurve_Q96A73_KIAA1191.pdf</v>
      </c>
    </row>
    <row r="4796" spans="1:28" x14ac:dyDescent="0.25">
      <c r="A4796" t="s">
        <v>4800</v>
      </c>
      <c r="B4796">
        <v>0.99673306730245903</v>
      </c>
      <c r="C4796">
        <v>1.0336810486080901</v>
      </c>
      <c r="D4796">
        <v>1.0548551299348501</v>
      </c>
      <c r="E4796">
        <v>0.98723897453051601</v>
      </c>
      <c r="F4796">
        <v>0.88999072842225402</v>
      </c>
      <c r="G4796">
        <v>0.73302518864659405</v>
      </c>
      <c r="H4796">
        <v>0.521577817923219</v>
      </c>
      <c r="I4796">
        <v>0.58039978363231204</v>
      </c>
      <c r="J4796">
        <v>0.67378966254676598</v>
      </c>
      <c r="K4796">
        <v>0.36151541738585002</v>
      </c>
      <c r="L4796">
        <v>1380.21585716711</v>
      </c>
      <c r="M4796">
        <v>24.611373694389801</v>
      </c>
      <c r="O4796">
        <v>55.714092296495402</v>
      </c>
      <c r="P4796">
        <v>-5.3817390816831803E-2</v>
      </c>
      <c r="Q4796">
        <v>0.51268965970112701</v>
      </c>
      <c r="R4796">
        <v>0.89387844052467802</v>
      </c>
      <c r="S4796" t="s">
        <v>11248</v>
      </c>
      <c r="T4796" t="s">
        <v>12902</v>
      </c>
      <c r="U4796" t="s">
        <v>12902</v>
      </c>
      <c r="V4796" t="s">
        <v>12902</v>
      </c>
      <c r="W4796" t="s">
        <v>17650</v>
      </c>
      <c r="X4796">
        <v>7</v>
      </c>
      <c r="Y4796" t="s">
        <v>23952</v>
      </c>
      <c r="Z4796" t="s">
        <v>30371</v>
      </c>
      <c r="AA4796">
        <v>0.77847987008943775</v>
      </c>
      <c r="AB4796" t="str">
        <f>HYPERLINK("Melting_Curves/meltCurve_Q96AB3_ISOC2.pdf", "Melting_Curves/meltCurve_Q96AB3_ISOC2.pdf")</f>
        <v>Melting_Curves/meltCurve_Q96AB3_ISOC2.pdf</v>
      </c>
    </row>
    <row r="4797" spans="1:28" x14ac:dyDescent="0.25">
      <c r="A4797" t="s">
        <v>4801</v>
      </c>
      <c r="B4797">
        <v>0.99673306730245903</v>
      </c>
      <c r="C4797">
        <v>0.959229322210849</v>
      </c>
      <c r="D4797">
        <v>0.99361857786369301</v>
      </c>
      <c r="E4797">
        <v>0.81499527180319598</v>
      </c>
      <c r="F4797">
        <v>0.217289779542302</v>
      </c>
      <c r="G4797">
        <v>0.134346280911426</v>
      </c>
      <c r="H4797">
        <v>9.5368943064430306E-2</v>
      </c>
      <c r="I4797">
        <v>7.8975570132437806E-2</v>
      </c>
      <c r="J4797">
        <v>9.7798670206356894E-2</v>
      </c>
      <c r="K4797">
        <v>7.04104167209499E-2</v>
      </c>
      <c r="L4797">
        <v>2297.9951233618899</v>
      </c>
      <c r="M4797">
        <v>44.981489872847497</v>
      </c>
      <c r="N4797">
        <v>51.320573810896597</v>
      </c>
      <c r="O4797">
        <v>50.986907272792699</v>
      </c>
      <c r="P4797">
        <v>-0.20018377779987501</v>
      </c>
      <c r="Q4797">
        <v>9.2361013980508305E-2</v>
      </c>
      <c r="R4797">
        <v>0.99794852765566699</v>
      </c>
      <c r="S4797" t="s">
        <v>11249</v>
      </c>
      <c r="T4797" t="s">
        <v>12902</v>
      </c>
      <c r="U4797" t="s">
        <v>12902</v>
      </c>
      <c r="V4797" t="s">
        <v>12902</v>
      </c>
      <c r="W4797" t="s">
        <v>17651</v>
      </c>
      <c r="X4797">
        <v>2</v>
      </c>
      <c r="Y4797" t="s">
        <v>23953</v>
      </c>
      <c r="Z4797" t="s">
        <v>30372</v>
      </c>
      <c r="AA4797">
        <v>0.43034174598529179</v>
      </c>
      <c r="AB4797" t="str">
        <f>HYPERLINK("Melting_Curves/meltCurve_Q96AB6_NTAN1.pdf", "Melting_Curves/meltCurve_Q96AB6_NTAN1.pdf")</f>
        <v>Melting_Curves/meltCurve_Q96AB6_NTAN1.pdf</v>
      </c>
    </row>
    <row r="4798" spans="1:28" x14ac:dyDescent="0.25">
      <c r="A4798" t="s">
        <v>4802</v>
      </c>
      <c r="B4798">
        <v>0.99673306730245903</v>
      </c>
      <c r="C4798">
        <v>0.97968201944378597</v>
      </c>
      <c r="D4798">
        <v>0.97881218049150898</v>
      </c>
      <c r="E4798">
        <v>0.86887056322869805</v>
      </c>
      <c r="F4798">
        <v>0.82585548575600098</v>
      </c>
      <c r="G4798">
        <v>0.77984509885336795</v>
      </c>
      <c r="H4798">
        <v>0.72282173747591105</v>
      </c>
      <c r="I4798">
        <v>0.86040108679938798</v>
      </c>
      <c r="J4798">
        <v>1.0890563615898201</v>
      </c>
      <c r="K4798">
        <v>1.0024417722854699</v>
      </c>
      <c r="L4798">
        <v>11571.537197882801</v>
      </c>
      <c r="M4798">
        <v>250</v>
      </c>
      <c r="O4798">
        <v>46.2831867956304</v>
      </c>
      <c r="P4798">
        <v>-0.164111565844929</v>
      </c>
      <c r="Q4798">
        <v>0.87847030005312798</v>
      </c>
      <c r="R4798">
        <v>0.19554650812069799</v>
      </c>
      <c r="S4798" t="s">
        <v>11250</v>
      </c>
      <c r="T4798" t="s">
        <v>12902</v>
      </c>
      <c r="U4798" t="s">
        <v>12902</v>
      </c>
      <c r="V4798" t="s">
        <v>12902</v>
      </c>
      <c r="W4798" t="s">
        <v>17652</v>
      </c>
      <c r="X4798">
        <v>45</v>
      </c>
      <c r="Y4798" t="s">
        <v>23954</v>
      </c>
      <c r="Z4798" t="s">
        <v>30373</v>
      </c>
      <c r="AA4798">
        <v>0.90394529797126777</v>
      </c>
      <c r="AB4798" t="str">
        <f>HYPERLINK("Melting_Curves/meltCurve_Q96AE4_FUBP1.pdf", "Melting_Curves/meltCurve_Q96AE4_FUBP1.pdf")</f>
        <v>Melting_Curves/meltCurve_Q96AE4_FUBP1.pdf</v>
      </c>
    </row>
    <row r="4799" spans="1:28" x14ac:dyDescent="0.25">
      <c r="A4799" t="s">
        <v>4803</v>
      </c>
      <c r="B4799">
        <v>0.99673306730245903</v>
      </c>
      <c r="C4799">
        <v>0.96048413928070397</v>
      </c>
      <c r="D4799">
        <v>0.933244963519132</v>
      </c>
      <c r="E4799">
        <v>0.81437885204869098</v>
      </c>
      <c r="F4799">
        <v>0.49963697828787101</v>
      </c>
      <c r="G4799">
        <v>0.43616177154902103</v>
      </c>
      <c r="H4799">
        <v>0.38975373355227799</v>
      </c>
      <c r="I4799">
        <v>0.48900800554125301</v>
      </c>
      <c r="J4799">
        <v>0.562583842232802</v>
      </c>
      <c r="K4799">
        <v>0.56975520340049901</v>
      </c>
      <c r="L4799">
        <v>2639.3161043178302</v>
      </c>
      <c r="M4799">
        <v>52.686460740489103</v>
      </c>
      <c r="N4799">
        <v>53.8661532436305</v>
      </c>
      <c r="O4799">
        <v>50.022747739571699</v>
      </c>
      <c r="P4799">
        <v>-0.13494798989662399</v>
      </c>
      <c r="Q4799">
        <v>0.48749901688296698</v>
      </c>
      <c r="R4799">
        <v>0.93918238308480095</v>
      </c>
      <c r="S4799" t="s">
        <v>11251</v>
      </c>
      <c r="T4799" t="s">
        <v>12902</v>
      </c>
      <c r="U4799" t="s">
        <v>12902</v>
      </c>
      <c r="V4799" t="s">
        <v>12902</v>
      </c>
      <c r="W4799" t="s">
        <v>17653</v>
      </c>
      <c r="X4799">
        <v>45</v>
      </c>
      <c r="Y4799" t="s">
        <v>23954</v>
      </c>
      <c r="Z4799" t="s">
        <v>30374</v>
      </c>
      <c r="AA4799">
        <v>0.66097102527243168</v>
      </c>
      <c r="AB4799" t="str">
        <f>HYPERLINK("Melting_Curves/meltCurve_Q96AE4_2_FUBP1.pdf", "Melting_Curves/meltCurve_Q96AE4_2_FUBP1.pdf")</f>
        <v>Melting_Curves/meltCurve_Q96AE4_2_FUBP1.pdf</v>
      </c>
    </row>
    <row r="4800" spans="1:28" x14ac:dyDescent="0.25">
      <c r="A4800" t="s">
        <v>4804</v>
      </c>
      <c r="B4800">
        <v>0.99673306730245903</v>
      </c>
      <c r="C4800">
        <v>1.0153700688971801</v>
      </c>
      <c r="D4800">
        <v>1.00489045664488</v>
      </c>
      <c r="E4800">
        <v>0.91846938594841498</v>
      </c>
      <c r="F4800">
        <v>0.78225828218057603</v>
      </c>
      <c r="G4800">
        <v>0.53489471097604302</v>
      </c>
      <c r="H4800">
        <v>0.28424493315815202</v>
      </c>
      <c r="I4800">
        <v>0.27171749078815899</v>
      </c>
      <c r="J4800">
        <v>0.19519581970816399</v>
      </c>
      <c r="K4800">
        <v>0.19522223025878099</v>
      </c>
      <c r="L4800">
        <v>1113.49647961548</v>
      </c>
      <c r="M4800">
        <v>19.932997364068601</v>
      </c>
      <c r="N4800">
        <v>57.136173982957303</v>
      </c>
      <c r="O4800">
        <v>55.308844631818801</v>
      </c>
      <c r="P4800">
        <v>-7.3934002089413794E-2</v>
      </c>
      <c r="Q4800">
        <v>0.17943713156622601</v>
      </c>
      <c r="R4800">
        <v>0.99719039769861195</v>
      </c>
      <c r="S4800" t="s">
        <v>11252</v>
      </c>
      <c r="T4800" t="s">
        <v>12902</v>
      </c>
      <c r="U4800" t="s">
        <v>12902</v>
      </c>
      <c r="V4800" t="s">
        <v>12902</v>
      </c>
      <c r="W4800" t="s">
        <v>17654</v>
      </c>
      <c r="X4800">
        <v>19</v>
      </c>
      <c r="Y4800" t="s">
        <v>23955</v>
      </c>
      <c r="Z4800" t="s">
        <v>30375</v>
      </c>
      <c r="AA4800">
        <v>0.6239726757847518</v>
      </c>
      <c r="AB4800" t="str">
        <f>HYPERLINK("Melting_Curves/meltCurve_Q96AG4_LRRC59.pdf", "Melting_Curves/meltCurve_Q96AG4_LRRC59.pdf")</f>
        <v>Melting_Curves/meltCurve_Q96AG4_LRRC59.pdf</v>
      </c>
    </row>
    <row r="4801" spans="1:28" x14ac:dyDescent="0.25">
      <c r="A4801" t="s">
        <v>4805</v>
      </c>
      <c r="B4801">
        <v>0.99673306730245903</v>
      </c>
      <c r="C4801">
        <v>0.88304377424331304</v>
      </c>
      <c r="D4801">
        <v>0.92026447824177704</v>
      </c>
      <c r="E4801">
        <v>0.76550518298551695</v>
      </c>
      <c r="F4801">
        <v>0.643480381716802</v>
      </c>
      <c r="G4801">
        <v>0.46817369746500498</v>
      </c>
      <c r="H4801">
        <v>0.41992777346564902</v>
      </c>
      <c r="I4801">
        <v>0.53171358522451295</v>
      </c>
      <c r="J4801">
        <v>0.571874174186906</v>
      </c>
      <c r="K4801">
        <v>0.73047323191412905</v>
      </c>
      <c r="L4801">
        <v>1099.3805140474999</v>
      </c>
      <c r="M4801">
        <v>22.414287205313499</v>
      </c>
      <c r="O4801">
        <v>48.6628076554519</v>
      </c>
      <c r="P4801">
        <v>-5.2239792407825301E-2</v>
      </c>
      <c r="Q4801">
        <v>0.54634619508330495</v>
      </c>
      <c r="R4801">
        <v>0.79431220750947495</v>
      </c>
      <c r="S4801" t="s">
        <v>11253</v>
      </c>
      <c r="T4801" t="s">
        <v>12902</v>
      </c>
      <c r="U4801" t="s">
        <v>12902</v>
      </c>
      <c r="V4801" t="s">
        <v>12902</v>
      </c>
      <c r="W4801" t="s">
        <v>17655</v>
      </c>
      <c r="X4801">
        <v>6</v>
      </c>
      <c r="Y4801" t="s">
        <v>23956</v>
      </c>
      <c r="Z4801" t="s">
        <v>30376</v>
      </c>
      <c r="AA4801">
        <v>0.68820443580673041</v>
      </c>
      <c r="AB4801" t="str">
        <f>HYPERLINK("Melting_Curves/meltCurve_Q96AJ9_1_VTI1A.pdf", "Melting_Curves/meltCurve_Q96AJ9_1_VTI1A.pdf")</f>
        <v>Melting_Curves/meltCurve_Q96AJ9_1_VTI1A.pdf</v>
      </c>
    </row>
    <row r="4802" spans="1:28" x14ac:dyDescent="0.25">
      <c r="A4802" t="s">
        <v>4806</v>
      </c>
      <c r="B4802">
        <v>0.99673306730245903</v>
      </c>
      <c r="C4802">
        <v>0.99157673457274198</v>
      </c>
      <c r="D4802">
        <v>0.88504850783491296</v>
      </c>
      <c r="E4802">
        <v>0.81865565186452804</v>
      </c>
      <c r="F4802">
        <v>0.75384535437683797</v>
      </c>
      <c r="G4802">
        <v>0.65171365867893405</v>
      </c>
      <c r="H4802">
        <v>0.31523656938043298</v>
      </c>
      <c r="I4802">
        <v>0.211389589200809</v>
      </c>
      <c r="J4802">
        <v>0.12249099596295999</v>
      </c>
      <c r="K4802">
        <v>0.12425152436960001</v>
      </c>
      <c r="L4802">
        <v>705.027085836531</v>
      </c>
      <c r="M4802">
        <v>12.191391144969799</v>
      </c>
      <c r="N4802">
        <v>57.829934043900302</v>
      </c>
      <c r="O4802">
        <v>56.339957537800998</v>
      </c>
      <c r="P4802">
        <v>-5.4109711419368399E-2</v>
      </c>
      <c r="Q4802">
        <v>0</v>
      </c>
      <c r="R4802">
        <v>0.98028383430223898</v>
      </c>
      <c r="S4802" t="s">
        <v>11254</v>
      </c>
      <c r="T4802" t="s">
        <v>12902</v>
      </c>
      <c r="U4802" t="s">
        <v>12902</v>
      </c>
      <c r="V4802" t="s">
        <v>12902</v>
      </c>
      <c r="W4802" t="s">
        <v>17656</v>
      </c>
      <c r="X4802">
        <v>3</v>
      </c>
      <c r="Y4802" t="s">
        <v>23957</v>
      </c>
      <c r="Z4802" t="s">
        <v>30377</v>
      </c>
      <c r="AA4802">
        <v>0.60789922023272291</v>
      </c>
      <c r="AB4802" t="str">
        <f>HYPERLINK("Melting_Curves/meltCurve_Q96AQ8_MCUR1.pdf", "Melting_Curves/meltCurve_Q96AQ8_MCUR1.pdf")</f>
        <v>Melting_Curves/meltCurve_Q96AQ8_MCUR1.pdf</v>
      </c>
    </row>
    <row r="4803" spans="1:28" x14ac:dyDescent="0.25">
      <c r="A4803" t="s">
        <v>4807</v>
      </c>
      <c r="B4803">
        <v>0.99673306730245903</v>
      </c>
      <c r="C4803">
        <v>0.99399622702923796</v>
      </c>
      <c r="D4803">
        <v>1.0119057517768499</v>
      </c>
      <c r="E4803">
        <v>0.91753456540703404</v>
      </c>
      <c r="F4803">
        <v>0.84880341882566201</v>
      </c>
      <c r="G4803">
        <v>0.78559416508991897</v>
      </c>
      <c r="H4803">
        <v>0.71160659835453099</v>
      </c>
      <c r="I4803">
        <v>0.95962448852701498</v>
      </c>
      <c r="J4803">
        <v>1.56769524956152</v>
      </c>
      <c r="K4803">
        <v>1.4528992052263101</v>
      </c>
      <c r="L4803">
        <v>15000</v>
      </c>
      <c r="M4803">
        <v>229.20034733375601</v>
      </c>
      <c r="O4803">
        <v>65.439921358619699</v>
      </c>
      <c r="P4803">
        <v>0.43780665858624601</v>
      </c>
      <c r="Q4803">
        <v>1.5</v>
      </c>
      <c r="R4803">
        <v>0.75379834704843196</v>
      </c>
      <c r="S4803" t="s">
        <v>11255</v>
      </c>
      <c r="T4803" t="s">
        <v>12902</v>
      </c>
      <c r="U4803" t="s">
        <v>12902</v>
      </c>
      <c r="V4803" t="s">
        <v>12902</v>
      </c>
      <c r="W4803" t="s">
        <v>17657</v>
      </c>
      <c r="X4803">
        <v>13</v>
      </c>
      <c r="Y4803" t="s">
        <v>23958</v>
      </c>
      <c r="Z4803" t="s">
        <v>30378</v>
      </c>
      <c r="AA4803">
        <v>1.075849558984781</v>
      </c>
      <c r="AB4803" t="str">
        <f>HYPERLINK("Melting_Curves/meltCurve_Q96AT1_KIAA1143.pdf", "Melting_Curves/meltCurve_Q96AT1_KIAA1143.pdf")</f>
        <v>Melting_Curves/meltCurve_Q96AT1_KIAA1143.pdf</v>
      </c>
    </row>
    <row r="4804" spans="1:28" x14ac:dyDescent="0.25">
      <c r="A4804" t="s">
        <v>4808</v>
      </c>
      <c r="B4804">
        <v>0.99673306730245903</v>
      </c>
      <c r="C4804">
        <v>1.0449685457539499</v>
      </c>
      <c r="D4804">
        <v>1.07015759943213</v>
      </c>
      <c r="E4804">
        <v>1.0063457947446901</v>
      </c>
      <c r="F4804">
        <v>1.1336211656924799</v>
      </c>
      <c r="G4804">
        <v>0.67956297868030402</v>
      </c>
      <c r="H4804">
        <v>0.43644455891322098</v>
      </c>
      <c r="I4804">
        <v>0.30314950571020899</v>
      </c>
      <c r="J4804">
        <v>0.17589842277482801</v>
      </c>
      <c r="K4804">
        <v>0.135121037436672</v>
      </c>
      <c r="L4804">
        <v>1535.83104395809</v>
      </c>
      <c r="M4804">
        <v>26.051982375020099</v>
      </c>
      <c r="N4804">
        <v>59.801114881912902</v>
      </c>
      <c r="O4804">
        <v>58.608494819710799</v>
      </c>
      <c r="P4804">
        <v>-9.3957082478847903E-2</v>
      </c>
      <c r="Q4804">
        <v>0.15451805784834299</v>
      </c>
      <c r="R4804">
        <v>0.96358364621478598</v>
      </c>
      <c r="S4804" t="s">
        <v>11256</v>
      </c>
      <c r="T4804" t="s">
        <v>12902</v>
      </c>
      <c r="U4804" t="s">
        <v>12902</v>
      </c>
      <c r="V4804" t="s">
        <v>12902</v>
      </c>
      <c r="W4804" t="s">
        <v>17658</v>
      </c>
      <c r="X4804">
        <v>9</v>
      </c>
      <c r="Y4804" t="s">
        <v>23959</v>
      </c>
      <c r="Z4804" t="s">
        <v>30379</v>
      </c>
      <c r="AA4804">
        <v>0.69526118239306645</v>
      </c>
      <c r="AB4804" t="str">
        <f>HYPERLINK("Melting_Curves/meltCurve_Q96AT9_RPE.pdf", "Melting_Curves/meltCurve_Q96AT9_RPE.pdf")</f>
        <v>Melting_Curves/meltCurve_Q96AT9_RPE.pdf</v>
      </c>
    </row>
    <row r="4805" spans="1:28" x14ac:dyDescent="0.25">
      <c r="A4805" t="s">
        <v>4809</v>
      </c>
      <c r="B4805">
        <v>0.99673306730245903</v>
      </c>
      <c r="C4805">
        <v>0.98607757828883502</v>
      </c>
      <c r="D4805">
        <v>0.884687580197276</v>
      </c>
      <c r="E4805">
        <v>0.69519249589945298</v>
      </c>
      <c r="F4805">
        <v>0.39652255865952402</v>
      </c>
      <c r="G4805">
        <v>0.262108065244474</v>
      </c>
      <c r="H4805">
        <v>0.19423896583419401</v>
      </c>
      <c r="I4805">
        <v>0.21377855873350701</v>
      </c>
      <c r="J4805">
        <v>0.25189855099304698</v>
      </c>
      <c r="K4805">
        <v>0.196670635635776</v>
      </c>
      <c r="L4805">
        <v>1094.0981878367299</v>
      </c>
      <c r="M4805">
        <v>21.6828909918476</v>
      </c>
      <c r="N4805">
        <v>51.715034741486903</v>
      </c>
      <c r="O4805">
        <v>50.035742785316302</v>
      </c>
      <c r="P4805">
        <v>-8.6162906281429599E-2</v>
      </c>
      <c r="Q4805">
        <v>0.204695920047956</v>
      </c>
      <c r="R4805">
        <v>0.996095156567951</v>
      </c>
      <c r="S4805" t="s">
        <v>11257</v>
      </c>
      <c r="T4805" t="s">
        <v>12902</v>
      </c>
      <c r="U4805" t="s">
        <v>12902</v>
      </c>
      <c r="V4805" t="s">
        <v>12902</v>
      </c>
      <c r="W4805" t="s">
        <v>17659</v>
      </c>
      <c r="X4805">
        <v>26</v>
      </c>
      <c r="Y4805" t="s">
        <v>23960</v>
      </c>
      <c r="Z4805" t="s">
        <v>30380</v>
      </c>
      <c r="AA4805">
        <v>0.49142406041500991</v>
      </c>
      <c r="AB4805" t="str">
        <f>HYPERLINK("Melting_Curves/meltCurve_Q96AY3_FKBP10.pdf", "Melting_Curves/meltCurve_Q96AY3_FKBP10.pdf")</f>
        <v>Melting_Curves/meltCurve_Q96AY3_FKBP10.pdf</v>
      </c>
    </row>
    <row r="4806" spans="1:28" x14ac:dyDescent="0.25">
      <c r="A4806" t="s">
        <v>4810</v>
      </c>
      <c r="B4806">
        <v>0.99673306730245903</v>
      </c>
      <c r="C4806">
        <v>1.04377533073602</v>
      </c>
      <c r="D4806">
        <v>0.90472523945405003</v>
      </c>
      <c r="E4806">
        <v>0.57796454860078705</v>
      </c>
      <c r="F4806">
        <v>0.186296007743777</v>
      </c>
      <c r="G4806">
        <v>0.108267807503049</v>
      </c>
      <c r="H4806">
        <v>6.4539861096669607E-2</v>
      </c>
      <c r="I4806">
        <v>5.4935927908944603E-2</v>
      </c>
      <c r="J4806">
        <v>6.6054488751933094E-2</v>
      </c>
      <c r="K4806">
        <v>5.7620523401994098E-2</v>
      </c>
      <c r="L4806">
        <v>1424.4111878216299</v>
      </c>
      <c r="M4806">
        <v>28.547049718097799</v>
      </c>
      <c r="N4806">
        <v>50.126947777709098</v>
      </c>
      <c r="O4806">
        <v>49.654042423986901</v>
      </c>
      <c r="P4806">
        <v>-0.134908824875457</v>
      </c>
      <c r="Q4806">
        <v>6.1379036460148903E-2</v>
      </c>
      <c r="R4806">
        <v>0.99772457649781399</v>
      </c>
      <c r="S4806" t="s">
        <v>11258</v>
      </c>
      <c r="T4806" t="s">
        <v>12902</v>
      </c>
      <c r="U4806" t="s">
        <v>12902</v>
      </c>
      <c r="V4806" t="s">
        <v>12902</v>
      </c>
      <c r="W4806" t="s">
        <v>17660</v>
      </c>
      <c r="X4806">
        <v>4</v>
      </c>
      <c r="Y4806" t="s">
        <v>23961</v>
      </c>
      <c r="Z4806" t="s">
        <v>30381</v>
      </c>
      <c r="AA4806">
        <v>0.37743807356026238</v>
      </c>
      <c r="AB4806" t="str">
        <f>HYPERLINK("Melting_Curves/meltCurve_Q96AZ6_ISG20.pdf", "Melting_Curves/meltCurve_Q96AZ6_ISG20.pdf")</f>
        <v>Melting_Curves/meltCurve_Q96AZ6_ISG20.pdf</v>
      </c>
    </row>
    <row r="4807" spans="1:28" x14ac:dyDescent="0.25">
      <c r="A4807" t="s">
        <v>4811</v>
      </c>
      <c r="B4807">
        <v>0.99673306730245903</v>
      </c>
      <c r="C4807">
        <v>1.03045536125316</v>
      </c>
      <c r="D4807">
        <v>0.98340430594552397</v>
      </c>
      <c r="E4807">
        <v>0.94050692823503401</v>
      </c>
      <c r="F4807">
        <v>0.81447540676379704</v>
      </c>
      <c r="G4807">
        <v>0.73327966232962905</v>
      </c>
      <c r="H4807">
        <v>0.581094437029128</v>
      </c>
      <c r="I4807">
        <v>0.89909966256365303</v>
      </c>
      <c r="J4807">
        <v>1.36980244171508</v>
      </c>
      <c r="K4807">
        <v>1.38038840486329</v>
      </c>
      <c r="L4807">
        <v>15000</v>
      </c>
      <c r="M4807">
        <v>226.84377913952</v>
      </c>
      <c r="O4807">
        <v>66.1196562018321</v>
      </c>
      <c r="P4807">
        <v>0.32751611452589402</v>
      </c>
      <c r="Q4807">
        <v>1.38185318636935</v>
      </c>
      <c r="R4807">
        <v>0.480749864339376</v>
      </c>
      <c r="S4807" t="s">
        <v>11259</v>
      </c>
      <c r="T4807" t="s">
        <v>12902</v>
      </c>
      <c r="U4807" t="s">
        <v>12902</v>
      </c>
      <c r="V4807" t="s">
        <v>12902</v>
      </c>
      <c r="W4807" t="s">
        <v>17661</v>
      </c>
      <c r="X4807">
        <v>6</v>
      </c>
      <c r="Y4807" t="s">
        <v>23962</v>
      </c>
      <c r="Z4807" t="s">
        <v>30382</v>
      </c>
      <c r="AA4807">
        <v>1.049271412518703</v>
      </c>
      <c r="AB4807" t="str">
        <f>HYPERLINK("Melting_Curves/meltCurve_Q96B01_2_RAD51AP1.pdf", "Melting_Curves/meltCurve_Q96B01_2_RAD51AP1.pdf")</f>
        <v>Melting_Curves/meltCurve_Q96B01_2_RAD51AP1.pdf</v>
      </c>
    </row>
    <row r="4808" spans="1:28" x14ac:dyDescent="0.25">
      <c r="A4808" t="s">
        <v>4812</v>
      </c>
      <c r="B4808">
        <v>0.99673306730245903</v>
      </c>
      <c r="C4808">
        <v>0.86754270851707804</v>
      </c>
      <c r="D4808">
        <v>0.80605198049034799</v>
      </c>
      <c r="E4808">
        <v>0.75965042394651205</v>
      </c>
      <c r="F4808">
        <v>0.53886904231991395</v>
      </c>
      <c r="G4808">
        <v>0.44718082279079402</v>
      </c>
      <c r="H4808">
        <v>0.38829500485755303</v>
      </c>
      <c r="I4808">
        <v>0.47751243044595698</v>
      </c>
      <c r="J4808">
        <v>0.300749148332493</v>
      </c>
      <c r="K4808">
        <v>0.21044541035945899</v>
      </c>
      <c r="L4808">
        <v>428.33794462953699</v>
      </c>
      <c r="M4808">
        <v>8.0475920464669901</v>
      </c>
      <c r="N4808">
        <v>56.2541060931513</v>
      </c>
      <c r="O4808">
        <v>50.241001911759298</v>
      </c>
      <c r="P4808">
        <v>-3.3041508947547898E-2</v>
      </c>
      <c r="Q4808">
        <v>0.175801124303756</v>
      </c>
      <c r="R4808">
        <v>0.94681273472260297</v>
      </c>
      <c r="S4808" t="s">
        <v>11260</v>
      </c>
      <c r="T4808" t="s">
        <v>12902</v>
      </c>
      <c r="U4808" t="s">
        <v>12902</v>
      </c>
      <c r="V4808" t="s">
        <v>12902</v>
      </c>
      <c r="W4808" t="s">
        <v>17662</v>
      </c>
      <c r="X4808">
        <v>2</v>
      </c>
      <c r="Y4808" t="s">
        <v>23963</v>
      </c>
      <c r="Z4808" t="s">
        <v>30383</v>
      </c>
      <c r="AA4808">
        <v>0.57138378037097437</v>
      </c>
      <c r="AB4808" t="str">
        <f>HYPERLINK("Melting_Curves/meltCurve_Q96B21_TMEM45B.pdf", "Melting_Curves/meltCurve_Q96B21_TMEM45B.pdf")</f>
        <v>Melting_Curves/meltCurve_Q96B21_TMEM45B.pdf</v>
      </c>
    </row>
    <row r="4809" spans="1:28" x14ac:dyDescent="0.25">
      <c r="A4809" t="s">
        <v>4813</v>
      </c>
      <c r="B4809">
        <v>0.99673306730245903</v>
      </c>
      <c r="C4809">
        <v>0.91497707094967395</v>
      </c>
      <c r="D4809">
        <v>0.90871327909636002</v>
      </c>
      <c r="E4809">
        <v>1.0264206482268501</v>
      </c>
      <c r="F4809">
        <v>0.95137499178164497</v>
      </c>
      <c r="G4809">
        <v>0.81840941724553895</v>
      </c>
      <c r="H4809">
        <v>0.65359945776110495</v>
      </c>
      <c r="I4809">
        <v>0.86195396429695104</v>
      </c>
      <c r="J4809">
        <v>1.0549758142140699</v>
      </c>
      <c r="K4809">
        <v>1.0274879911339101</v>
      </c>
      <c r="L4809">
        <v>568.47595275201604</v>
      </c>
      <c r="M4809">
        <v>13.2376753964471</v>
      </c>
      <c r="O4809">
        <v>41.999271133892499</v>
      </c>
      <c r="P4809">
        <v>-7.6007266150078696E-3</v>
      </c>
      <c r="Q4809">
        <v>0.90355635060991102</v>
      </c>
      <c r="R4809">
        <v>4.3008041511843599E-2</v>
      </c>
      <c r="S4809" t="s">
        <v>11261</v>
      </c>
      <c r="T4809" t="s">
        <v>12902</v>
      </c>
      <c r="U4809" t="s">
        <v>12902</v>
      </c>
      <c r="V4809" t="s">
        <v>12902</v>
      </c>
      <c r="W4809" t="s">
        <v>17663</v>
      </c>
      <c r="X4809">
        <v>4</v>
      </c>
      <c r="Y4809" t="s">
        <v>23964</v>
      </c>
      <c r="Z4809" t="s">
        <v>30384</v>
      </c>
      <c r="AA4809">
        <v>0.91816677138807379</v>
      </c>
      <c r="AB4809" t="str">
        <f>HYPERLINK("Melting_Curves/meltCurve_Q96B23_2_C18orf25.pdf", "Melting_Curves/meltCurve_Q96B23_2_C18orf25.pdf")</f>
        <v>Melting_Curves/meltCurve_Q96B23_2_C18orf25.pdf</v>
      </c>
    </row>
    <row r="4810" spans="1:28" x14ac:dyDescent="0.25">
      <c r="A4810" t="s">
        <v>4814</v>
      </c>
      <c r="B4810">
        <v>0.99673306730245903</v>
      </c>
      <c r="C4810">
        <v>1.0979334627241399</v>
      </c>
      <c r="D4810">
        <v>1.7148786751851699</v>
      </c>
      <c r="E4810">
        <v>0.86465104505720503</v>
      </c>
      <c r="F4810">
        <v>3.6213658540805</v>
      </c>
      <c r="G4810">
        <v>2.0834345770932701</v>
      </c>
      <c r="H4810">
        <v>0.65940544570139903</v>
      </c>
      <c r="I4810">
        <v>0.16493394179128801</v>
      </c>
      <c r="J4810">
        <v>8.3284500397394698E-2</v>
      </c>
      <c r="K4810">
        <v>6.2612459634737702E-2</v>
      </c>
      <c r="L4810">
        <v>6780.4921036293699</v>
      </c>
      <c r="M4810">
        <v>111.01518783202</v>
      </c>
      <c r="N4810">
        <v>61.202058552533998</v>
      </c>
      <c r="O4810">
        <v>61.057344940858101</v>
      </c>
      <c r="P4810">
        <v>-0.40847764219145799</v>
      </c>
      <c r="Q4810">
        <v>0.101364059930491</v>
      </c>
      <c r="R4810">
        <v>0.214427710443053</v>
      </c>
      <c r="S4810" t="s">
        <v>11262</v>
      </c>
      <c r="T4810" t="s">
        <v>12902</v>
      </c>
      <c r="U4810" t="s">
        <v>12902</v>
      </c>
      <c r="V4810" t="s">
        <v>12902</v>
      </c>
      <c r="W4810" t="s">
        <v>17664</v>
      </c>
      <c r="X4810">
        <v>10</v>
      </c>
      <c r="Y4810" t="s">
        <v>23965</v>
      </c>
      <c r="Z4810" t="s">
        <v>30385</v>
      </c>
      <c r="AA4810">
        <v>0.73320934238909574</v>
      </c>
      <c r="AB4810" t="str">
        <f>HYPERLINK("Melting_Curves/meltCurve_Q96B26_EXOSC8.pdf", "Melting_Curves/meltCurve_Q96B26_EXOSC8.pdf")</f>
        <v>Melting_Curves/meltCurve_Q96B26_EXOSC8.pdf</v>
      </c>
    </row>
    <row r="4811" spans="1:28" x14ac:dyDescent="0.25">
      <c r="A4811" t="s">
        <v>4815</v>
      </c>
      <c r="B4811">
        <v>0.99673306730245903</v>
      </c>
      <c r="C4811">
        <v>1.03689308330455</v>
      </c>
      <c r="D4811">
        <v>0.97461219756192397</v>
      </c>
      <c r="E4811">
        <v>0.83513479115983702</v>
      </c>
      <c r="F4811">
        <v>0.67728009188644001</v>
      </c>
      <c r="G4811">
        <v>0.46847341297627199</v>
      </c>
      <c r="H4811">
        <v>0.30945238519007001</v>
      </c>
      <c r="I4811">
        <v>0.42956483673845902</v>
      </c>
      <c r="J4811">
        <v>0.67100492837202796</v>
      </c>
      <c r="K4811">
        <v>0.84820593903419095</v>
      </c>
      <c r="L4811">
        <v>1679.12017893088</v>
      </c>
      <c r="M4811">
        <v>33.155223854546897</v>
      </c>
      <c r="O4811">
        <v>50.461041748510503</v>
      </c>
      <c r="P4811">
        <v>-7.3832045022848999E-2</v>
      </c>
      <c r="Q4811">
        <v>0.550523275094017</v>
      </c>
      <c r="R4811">
        <v>0.67887212843817801</v>
      </c>
      <c r="S4811" t="s">
        <v>11263</v>
      </c>
      <c r="T4811" t="s">
        <v>12902</v>
      </c>
      <c r="U4811" t="s">
        <v>12902</v>
      </c>
      <c r="V4811" t="s">
        <v>12902</v>
      </c>
      <c r="W4811" t="s">
        <v>17665</v>
      </c>
      <c r="X4811">
        <v>5</v>
      </c>
      <c r="Y4811" t="s">
        <v>23966</v>
      </c>
      <c r="Z4811" t="s">
        <v>30386</v>
      </c>
      <c r="AA4811">
        <v>0.71229805996302464</v>
      </c>
      <c r="AB4811" t="str">
        <f>HYPERLINK("Melting_Curves/meltCurve_Q96B36_AKT1S1.pdf", "Melting_Curves/meltCurve_Q96B36_AKT1S1.pdf")</f>
        <v>Melting_Curves/meltCurve_Q96B36_AKT1S1.pdf</v>
      </c>
    </row>
    <row r="4812" spans="1:28" x14ac:dyDescent="0.25">
      <c r="A4812" t="s">
        <v>4816</v>
      </c>
      <c r="B4812">
        <v>0.99673306730245903</v>
      </c>
      <c r="C4812">
        <v>0.995114451376366</v>
      </c>
      <c r="D4812">
        <v>0.98852209678970304</v>
      </c>
      <c r="E4812">
        <v>0.95030706228670403</v>
      </c>
      <c r="F4812">
        <v>0.77495102976402797</v>
      </c>
      <c r="G4812">
        <v>0.54337324783412799</v>
      </c>
      <c r="H4812">
        <v>0.28937083639549699</v>
      </c>
      <c r="I4812">
        <v>0.33098634610409</v>
      </c>
      <c r="J4812">
        <v>0.47646916997276001</v>
      </c>
      <c r="K4812">
        <v>0.465471777030176</v>
      </c>
      <c r="L4812">
        <v>1745.8869225753101</v>
      </c>
      <c r="M4812">
        <v>32.245202668709297</v>
      </c>
      <c r="N4812">
        <v>56.865594895222401</v>
      </c>
      <c r="O4812">
        <v>53.937112716416799</v>
      </c>
      <c r="P4812">
        <v>-9.0698180121936894E-2</v>
      </c>
      <c r="Q4812">
        <v>0.39315325843155402</v>
      </c>
      <c r="R4812">
        <v>0.95624648591477701</v>
      </c>
      <c r="S4812" t="s">
        <v>11264</v>
      </c>
      <c r="T4812" t="s">
        <v>12902</v>
      </c>
      <c r="U4812" t="s">
        <v>12902</v>
      </c>
      <c r="V4812" t="s">
        <v>12902</v>
      </c>
      <c r="W4812" t="s">
        <v>17666</v>
      </c>
      <c r="X4812">
        <v>5</v>
      </c>
      <c r="Y4812" t="s">
        <v>23967</v>
      </c>
      <c r="Z4812" t="s">
        <v>30387</v>
      </c>
      <c r="AA4812">
        <v>0.68273439547690307</v>
      </c>
      <c r="AB4812" t="str">
        <f>HYPERLINK("Melting_Curves/meltCurve_Q96B45_C10orf32.pdf", "Melting_Curves/meltCurve_Q96B45_C10orf32.pdf")</f>
        <v>Melting_Curves/meltCurve_Q96B45_C10orf32.pdf</v>
      </c>
    </row>
    <row r="4813" spans="1:28" x14ac:dyDescent="0.25">
      <c r="A4813" t="s">
        <v>4817</v>
      </c>
      <c r="B4813">
        <v>0.99673306730245903</v>
      </c>
      <c r="C4813">
        <v>1.0842077138952799</v>
      </c>
      <c r="D4813">
        <v>1.0461282661775</v>
      </c>
      <c r="E4813">
        <v>0.96696335342088202</v>
      </c>
      <c r="F4813">
        <v>0.74484458075913695</v>
      </c>
      <c r="G4813">
        <v>0.55083416300175303</v>
      </c>
      <c r="H4813">
        <v>0.47508547483239899</v>
      </c>
      <c r="I4813">
        <v>0.62678126186580596</v>
      </c>
      <c r="J4813">
        <v>0.82529182923615396</v>
      </c>
      <c r="K4813">
        <v>0.924989547027806</v>
      </c>
      <c r="L4813">
        <v>3075.2091474128201</v>
      </c>
      <c r="M4813">
        <v>59.414014982704501</v>
      </c>
      <c r="O4813">
        <v>51.700446235137697</v>
      </c>
      <c r="P4813">
        <v>-9.1386940944773704E-2</v>
      </c>
      <c r="Q4813">
        <v>0.68191049841962104</v>
      </c>
      <c r="R4813">
        <v>0.63595663833472504</v>
      </c>
      <c r="S4813" t="s">
        <v>11265</v>
      </c>
      <c r="T4813" t="s">
        <v>12902</v>
      </c>
      <c r="U4813" t="s">
        <v>12902</v>
      </c>
      <c r="V4813" t="s">
        <v>12902</v>
      </c>
      <c r="W4813" t="s">
        <v>17667</v>
      </c>
      <c r="X4813">
        <v>3</v>
      </c>
      <c r="Y4813" t="s">
        <v>23968</v>
      </c>
      <c r="Z4813" t="s">
        <v>30388</v>
      </c>
      <c r="AA4813">
        <v>0.80710430778815234</v>
      </c>
      <c r="AB4813" t="str">
        <f>HYPERLINK("Melting_Curves/meltCurve_Q96B49_TOMM6.pdf", "Melting_Curves/meltCurve_Q96B49_TOMM6.pdf")</f>
        <v>Melting_Curves/meltCurve_Q96B49_TOMM6.pdf</v>
      </c>
    </row>
    <row r="4814" spans="1:28" x14ac:dyDescent="0.25">
      <c r="A4814" t="s">
        <v>4818</v>
      </c>
      <c r="B4814">
        <v>0.99673306730245903</v>
      </c>
      <c r="C4814">
        <v>0.75455343456278401</v>
      </c>
      <c r="D4814">
        <v>0.36333466940071202</v>
      </c>
      <c r="E4814">
        <v>0.155201168829878</v>
      </c>
      <c r="F4814">
        <v>7.1311419120904704E-2</v>
      </c>
      <c r="G4814">
        <v>4.7724717096568003E-2</v>
      </c>
      <c r="H4814">
        <v>3.2998388743046302E-2</v>
      </c>
      <c r="I4814">
        <v>3.4524226899244698E-2</v>
      </c>
      <c r="J4814">
        <v>3.9054259696011298E-2</v>
      </c>
      <c r="K4814">
        <v>2.3124732705877098E-2</v>
      </c>
      <c r="L4814">
        <v>1094.5797850363399</v>
      </c>
      <c r="M4814">
        <v>24.404193361711201</v>
      </c>
      <c r="N4814">
        <v>45.0049472234262</v>
      </c>
      <c r="O4814">
        <v>44.554207128091697</v>
      </c>
      <c r="P4814">
        <v>-0.131491795027603</v>
      </c>
      <c r="Q4814">
        <v>3.9767321493311698E-2</v>
      </c>
      <c r="R4814">
        <v>0.99664841821336703</v>
      </c>
      <c r="S4814" t="s">
        <v>11266</v>
      </c>
      <c r="T4814" t="s">
        <v>12902</v>
      </c>
      <c r="U4814" t="s">
        <v>12902</v>
      </c>
      <c r="V4814" t="s">
        <v>12902</v>
      </c>
      <c r="W4814" t="s">
        <v>17668</v>
      </c>
      <c r="X4814">
        <v>2</v>
      </c>
      <c r="Y4814" t="s">
        <v>23969</v>
      </c>
      <c r="Z4814" t="s">
        <v>30389</v>
      </c>
      <c r="AA4814">
        <v>0.2053768654913713</v>
      </c>
      <c r="AB4814" t="str">
        <f>HYPERLINK("Melting_Curves/meltCurve_Q96B70_LENG9.pdf", "Melting_Curves/meltCurve_Q96B70_LENG9.pdf")</f>
        <v>Melting_Curves/meltCurve_Q96B70_LENG9.pdf</v>
      </c>
    </row>
    <row r="4815" spans="1:28" x14ac:dyDescent="0.25">
      <c r="A4815" t="s">
        <v>4819</v>
      </c>
      <c r="B4815">
        <v>0.99673306730245903</v>
      </c>
      <c r="C4815">
        <v>0.86674906253231299</v>
      </c>
      <c r="D4815">
        <v>0.931999250638473</v>
      </c>
      <c r="E4815">
        <v>0.825229810625974</v>
      </c>
      <c r="F4815">
        <v>0.43963320944227702</v>
      </c>
      <c r="G4815">
        <v>0.27427329085114499</v>
      </c>
      <c r="H4815">
        <v>0.21520937692087699</v>
      </c>
      <c r="I4815">
        <v>0.29640956268133101</v>
      </c>
      <c r="J4815">
        <v>0.49013303217673898</v>
      </c>
      <c r="K4815">
        <v>0.57195102568043299</v>
      </c>
      <c r="L4815">
        <v>2309.3807607767999</v>
      </c>
      <c r="M4815">
        <v>45.631871771333699</v>
      </c>
      <c r="N4815">
        <v>52.151031647082398</v>
      </c>
      <c r="O4815">
        <v>50.512012050151299</v>
      </c>
      <c r="P4815">
        <v>-0.142218138298631</v>
      </c>
      <c r="Q4815">
        <v>0.370289380632501</v>
      </c>
      <c r="R4815">
        <v>0.84967444982348295</v>
      </c>
      <c r="S4815" t="s">
        <v>11267</v>
      </c>
      <c r="T4815" t="s">
        <v>12902</v>
      </c>
      <c r="U4815" t="s">
        <v>12902</v>
      </c>
      <c r="V4815" t="s">
        <v>12902</v>
      </c>
      <c r="W4815" t="s">
        <v>17669</v>
      </c>
      <c r="X4815">
        <v>6</v>
      </c>
      <c r="Y4815" t="s">
        <v>23970</v>
      </c>
      <c r="Z4815" t="s">
        <v>30390</v>
      </c>
      <c r="AA4815">
        <v>0.59466444063986701</v>
      </c>
      <c r="AB4815" t="str">
        <f>HYPERLINK("Melting_Curves/meltCurve_Q96B97_SH3KBP1.pdf", "Melting_Curves/meltCurve_Q96B97_SH3KBP1.pdf")</f>
        <v>Melting_Curves/meltCurve_Q96B97_SH3KBP1.pdf</v>
      </c>
    </row>
    <row r="4816" spans="1:28" x14ac:dyDescent="0.25">
      <c r="A4816" t="s">
        <v>4820</v>
      </c>
      <c r="B4816">
        <v>0.99673306730245903</v>
      </c>
      <c r="C4816">
        <v>1.00850998170144</v>
      </c>
      <c r="D4816">
        <v>0.91250528416375998</v>
      </c>
      <c r="E4816">
        <v>0.73279369268612105</v>
      </c>
      <c r="F4816">
        <v>0.35779461550760699</v>
      </c>
      <c r="G4816">
        <v>0.23137704215229499</v>
      </c>
      <c r="H4816">
        <v>0.17219806982101701</v>
      </c>
      <c r="I4816">
        <v>0.172035572363987</v>
      </c>
      <c r="J4816">
        <v>0.161255024541406</v>
      </c>
      <c r="K4816">
        <v>9.6056649841521805E-2</v>
      </c>
      <c r="L4816">
        <v>1193.93735048239</v>
      </c>
      <c r="M4816">
        <v>23.393422005972901</v>
      </c>
      <c r="N4816">
        <v>51.7826598295891</v>
      </c>
      <c r="O4816">
        <v>50.668771783420397</v>
      </c>
      <c r="P4816">
        <v>-9.8925457484277599E-2</v>
      </c>
      <c r="Q4816">
        <v>0.14294858075990999</v>
      </c>
      <c r="R4816">
        <v>0.99586034458390804</v>
      </c>
      <c r="S4816" t="s">
        <v>11268</v>
      </c>
      <c r="T4816" t="s">
        <v>12902</v>
      </c>
      <c r="U4816" t="s">
        <v>12902</v>
      </c>
      <c r="V4816" t="s">
        <v>12902</v>
      </c>
      <c r="W4816" t="s">
        <v>17670</v>
      </c>
      <c r="X4816">
        <v>9</v>
      </c>
      <c r="Y4816" t="s">
        <v>23971</v>
      </c>
      <c r="Z4816" t="s">
        <v>30391</v>
      </c>
      <c r="AA4816">
        <v>0.46708661536829449</v>
      </c>
      <c r="AB4816" t="str">
        <f>HYPERLINK("Melting_Curves/meltCurve_Q96BJ3_AIDA.pdf", "Melting_Curves/meltCurve_Q96BJ3_AIDA.pdf")</f>
        <v>Melting_Curves/meltCurve_Q96BJ3_AIDA.pdf</v>
      </c>
    </row>
    <row r="4817" spans="1:28" x14ac:dyDescent="0.25">
      <c r="A4817" t="s">
        <v>4821</v>
      </c>
      <c r="B4817">
        <v>0.99673306730245903</v>
      </c>
      <c r="C4817">
        <v>0.91443684010996895</v>
      </c>
      <c r="D4817">
        <v>0.88848273741945605</v>
      </c>
      <c r="E4817">
        <v>0.84597642938782203</v>
      </c>
      <c r="F4817">
        <v>0.91914177128220398</v>
      </c>
      <c r="G4817">
        <v>0.83079548727664698</v>
      </c>
      <c r="H4817">
        <v>0.78414617147636101</v>
      </c>
      <c r="I4817">
        <v>1.08365340571915</v>
      </c>
      <c r="J4817">
        <v>1.8138210657846201</v>
      </c>
      <c r="K4817">
        <v>2.0070567805612298</v>
      </c>
      <c r="L4817">
        <v>15000</v>
      </c>
      <c r="M4817">
        <v>232.773317279964</v>
      </c>
      <c r="O4817">
        <v>64.435619537784504</v>
      </c>
      <c r="P4817">
        <v>0.45156180949204799</v>
      </c>
      <c r="Q4817">
        <v>1.5</v>
      </c>
      <c r="R4817">
        <v>0.715654561246303</v>
      </c>
      <c r="S4817" t="s">
        <v>11269</v>
      </c>
      <c r="T4817" t="s">
        <v>12902</v>
      </c>
      <c r="U4817" t="s">
        <v>12902</v>
      </c>
      <c r="V4817" t="s">
        <v>12902</v>
      </c>
      <c r="W4817" t="s">
        <v>17671</v>
      </c>
      <c r="X4817">
        <v>7</v>
      </c>
      <c r="Y4817" t="s">
        <v>23972</v>
      </c>
      <c r="Z4817" t="s">
        <v>30392</v>
      </c>
      <c r="AA4817">
        <v>1.092595179026266</v>
      </c>
      <c r="AB4817" t="str">
        <f>HYPERLINK("Melting_Curves/meltCurve_Q96BK5_PINX1.pdf", "Melting_Curves/meltCurve_Q96BK5_PINX1.pdf")</f>
        <v>Melting_Curves/meltCurve_Q96BK5_PINX1.pdf</v>
      </c>
    </row>
    <row r="4818" spans="1:28" x14ac:dyDescent="0.25">
      <c r="A4818" t="s">
        <v>4822</v>
      </c>
      <c r="B4818">
        <v>0.99673306730245903</v>
      </c>
      <c r="C4818">
        <v>1.0279900836554301</v>
      </c>
      <c r="D4818">
        <v>0.99645015948605198</v>
      </c>
      <c r="E4818">
        <v>0.90981191756866597</v>
      </c>
      <c r="F4818">
        <v>0.86415578252584702</v>
      </c>
      <c r="G4818">
        <v>0.68048849393660105</v>
      </c>
      <c r="H4818">
        <v>0.53559227794057396</v>
      </c>
      <c r="I4818">
        <v>0.58664640333488305</v>
      </c>
      <c r="J4818">
        <v>0.179787698582799</v>
      </c>
      <c r="K4818">
        <v>7.9653618445820404E-2</v>
      </c>
      <c r="L4818">
        <v>760.12596896473497</v>
      </c>
      <c r="M4818">
        <v>12.343420733318201</v>
      </c>
      <c r="N4818">
        <v>61.581468052841601</v>
      </c>
      <c r="O4818">
        <v>60.032090726937099</v>
      </c>
      <c r="P4818">
        <v>-5.14145345559716E-2</v>
      </c>
      <c r="Q4818">
        <v>0</v>
      </c>
      <c r="R4818">
        <v>0.93758216452318299</v>
      </c>
      <c r="S4818" t="s">
        <v>11270</v>
      </c>
      <c r="T4818" t="s">
        <v>12902</v>
      </c>
      <c r="U4818" t="s">
        <v>12902</v>
      </c>
      <c r="V4818" t="s">
        <v>12902</v>
      </c>
      <c r="W4818" t="s">
        <v>17672</v>
      </c>
      <c r="X4818">
        <v>6</v>
      </c>
      <c r="Y4818" t="s">
        <v>23973</v>
      </c>
      <c r="Z4818" t="s">
        <v>30393</v>
      </c>
      <c r="AA4818">
        <v>0.71240418264844985</v>
      </c>
      <c r="AB4818" t="str">
        <f>HYPERLINK("Melting_Curves/meltCurve_Q96BM9_ARL8A.pdf", "Melting_Curves/meltCurve_Q96BM9_ARL8A.pdf")</f>
        <v>Melting_Curves/meltCurve_Q96BM9_ARL8A.pdf</v>
      </c>
    </row>
    <row r="4819" spans="1:28" x14ac:dyDescent="0.25">
      <c r="A4819" t="s">
        <v>4823</v>
      </c>
      <c r="B4819">
        <v>0.99673306730245903</v>
      </c>
      <c r="C4819">
        <v>1.07614092029088</v>
      </c>
      <c r="D4819">
        <v>0.14189057529014901</v>
      </c>
      <c r="E4819">
        <v>0.29392468510839698</v>
      </c>
      <c r="F4819">
        <v>0.13806549714289401</v>
      </c>
      <c r="G4819">
        <v>7.6349196594732299E-2</v>
      </c>
      <c r="H4819">
        <v>5.4863417125088403E-2</v>
      </c>
      <c r="I4819">
        <v>5.2396307446893803E-2</v>
      </c>
      <c r="J4819">
        <v>7.1423410521882794E-2</v>
      </c>
      <c r="K4819">
        <v>5.2140669437803301E-2</v>
      </c>
      <c r="L4819">
        <v>11354.5020104657</v>
      </c>
      <c r="M4819">
        <v>250</v>
      </c>
      <c r="N4819">
        <v>45.461146592307202</v>
      </c>
      <c r="O4819">
        <v>45.415098378706801</v>
      </c>
      <c r="P4819">
        <v>-1.23087550578559</v>
      </c>
      <c r="Q4819">
        <v>0.10559462272795</v>
      </c>
      <c r="R4819">
        <v>0.96305088141591799</v>
      </c>
      <c r="S4819" t="s">
        <v>11271</v>
      </c>
      <c r="T4819" t="s">
        <v>12902</v>
      </c>
      <c r="U4819" t="s">
        <v>12902</v>
      </c>
      <c r="V4819" t="s">
        <v>12902</v>
      </c>
      <c r="W4819" t="s">
        <v>17673</v>
      </c>
      <c r="X4819">
        <v>7</v>
      </c>
      <c r="Y4819" t="s">
        <v>23974</v>
      </c>
      <c r="Z4819" t="s">
        <v>30394</v>
      </c>
      <c r="AA4819">
        <v>0.26719576479137408</v>
      </c>
      <c r="AB4819" t="str">
        <f>HYPERLINK("Melting_Curves/meltCurve_Q96BN8_FAM105B.pdf", "Melting_Curves/meltCurve_Q96BN8_FAM105B.pdf")</f>
        <v>Melting_Curves/meltCurve_Q96BN8_FAM105B.pdf</v>
      </c>
    </row>
    <row r="4820" spans="1:28" x14ac:dyDescent="0.25">
      <c r="A4820" t="s">
        <v>4824</v>
      </c>
      <c r="B4820">
        <v>0.99673306730245903</v>
      </c>
      <c r="C4820">
        <v>1.00523111336894</v>
      </c>
      <c r="D4820">
        <v>0.89107842089107003</v>
      </c>
      <c r="E4820">
        <v>0.73262988194071799</v>
      </c>
      <c r="F4820">
        <v>0.61378089844755801</v>
      </c>
      <c r="G4820">
        <v>0.41097529113889503</v>
      </c>
      <c r="H4820">
        <v>0.296034161061348</v>
      </c>
      <c r="I4820">
        <v>0.36471089634186499</v>
      </c>
      <c r="J4820">
        <v>0.49551320252686798</v>
      </c>
      <c r="K4820">
        <v>0.48833015050650103</v>
      </c>
      <c r="L4820">
        <v>1032.56170059747</v>
      </c>
      <c r="M4820">
        <v>20.550524483278402</v>
      </c>
      <c r="N4820">
        <v>54.661425400136501</v>
      </c>
      <c r="O4820">
        <v>49.776516288175898</v>
      </c>
      <c r="P4820">
        <v>-6.1417447857753701E-2</v>
      </c>
      <c r="Q4820">
        <v>0.40496755011441499</v>
      </c>
      <c r="R4820">
        <v>0.93579869062858001</v>
      </c>
      <c r="S4820" t="s">
        <v>11272</v>
      </c>
      <c r="T4820" t="s">
        <v>12902</v>
      </c>
      <c r="U4820" t="s">
        <v>12902</v>
      </c>
      <c r="V4820" t="s">
        <v>12902</v>
      </c>
      <c r="W4820" t="s">
        <v>17674</v>
      </c>
      <c r="X4820">
        <v>4</v>
      </c>
      <c r="Y4820" t="s">
        <v>23975</v>
      </c>
      <c r="Z4820" t="s">
        <v>30395</v>
      </c>
      <c r="AA4820">
        <v>0.61602415123350984</v>
      </c>
      <c r="AB4820" t="str">
        <f>HYPERLINK("Melting_Curves/meltCurve_Q96BP2_CHCHD1.pdf", "Melting_Curves/meltCurve_Q96BP2_CHCHD1.pdf")</f>
        <v>Melting_Curves/meltCurve_Q96BP2_CHCHD1.pdf</v>
      </c>
    </row>
    <row r="4821" spans="1:28" x14ac:dyDescent="0.25">
      <c r="A4821" t="s">
        <v>4825</v>
      </c>
      <c r="B4821">
        <v>0.99673306730245903</v>
      </c>
      <c r="C4821">
        <v>0.95761211133937096</v>
      </c>
      <c r="D4821">
        <v>0.89926929276742595</v>
      </c>
      <c r="E4821">
        <v>0.68249468066564001</v>
      </c>
      <c r="F4821">
        <v>0.202172214576777</v>
      </c>
      <c r="G4821">
        <v>0.129157655326404</v>
      </c>
      <c r="H4821">
        <v>7.2354443391633994E-2</v>
      </c>
      <c r="I4821">
        <v>5.9610201647299299E-2</v>
      </c>
      <c r="J4821">
        <v>5.9486253593005502E-2</v>
      </c>
      <c r="K4821">
        <v>5.1094520490944199E-2</v>
      </c>
      <c r="L4821">
        <v>1444.31295536376</v>
      </c>
      <c r="M4821">
        <v>28.5916958801423</v>
      </c>
      <c r="N4821">
        <v>50.741924546574097</v>
      </c>
      <c r="O4821">
        <v>50.269946016170401</v>
      </c>
      <c r="P4821">
        <v>-0.13366267861161199</v>
      </c>
      <c r="Q4821">
        <v>5.9984075726205399E-2</v>
      </c>
      <c r="R4821">
        <v>0.995514752012848</v>
      </c>
      <c r="S4821" t="s">
        <v>11273</v>
      </c>
      <c r="T4821" t="s">
        <v>12902</v>
      </c>
      <c r="U4821" t="s">
        <v>12902</v>
      </c>
      <c r="V4821" t="s">
        <v>12902</v>
      </c>
      <c r="W4821" t="s">
        <v>17675</v>
      </c>
      <c r="X4821">
        <v>11</v>
      </c>
      <c r="Y4821" t="s">
        <v>23976</v>
      </c>
      <c r="Z4821" t="s">
        <v>30396</v>
      </c>
      <c r="AA4821">
        <v>0.3959219417714428</v>
      </c>
      <c r="AB4821" t="str">
        <f>HYPERLINK("Melting_Curves/meltCurve_Q96BP3_PPWD1.pdf", "Melting_Curves/meltCurve_Q96BP3_PPWD1.pdf")</f>
        <v>Melting_Curves/meltCurve_Q96BP3_PPWD1.pdf</v>
      </c>
    </row>
    <row r="4822" spans="1:28" x14ac:dyDescent="0.25">
      <c r="A4822" t="s">
        <v>4826</v>
      </c>
      <c r="B4822">
        <v>0.99673306730245903</v>
      </c>
      <c r="C4822">
        <v>0.89273405476503498</v>
      </c>
      <c r="D4822">
        <v>0.89682782718009202</v>
      </c>
      <c r="E4822">
        <v>0.82616587067819602</v>
      </c>
      <c r="F4822">
        <v>0.35261619009266298</v>
      </c>
      <c r="G4822">
        <v>0.24859040195163501</v>
      </c>
      <c r="H4822">
        <v>0.18902527394605001</v>
      </c>
      <c r="I4822">
        <v>0.22178401670901099</v>
      </c>
      <c r="J4822">
        <v>0.30640123676200298</v>
      </c>
      <c r="K4822">
        <v>0.29518502969465299</v>
      </c>
      <c r="L4822">
        <v>2101.5229652194098</v>
      </c>
      <c r="M4822">
        <v>41.2583777125976</v>
      </c>
      <c r="N4822">
        <v>51.801358252420698</v>
      </c>
      <c r="O4822">
        <v>50.816452175359501</v>
      </c>
      <c r="P4822">
        <v>-0.152418602774508</v>
      </c>
      <c r="Q4822">
        <v>0.24908757784073399</v>
      </c>
      <c r="R4822">
        <v>0.96940900912427697</v>
      </c>
      <c r="S4822" t="s">
        <v>11274</v>
      </c>
      <c r="T4822" t="s">
        <v>12902</v>
      </c>
      <c r="U4822" t="s">
        <v>12902</v>
      </c>
      <c r="V4822" t="s">
        <v>12902</v>
      </c>
      <c r="W4822" t="s">
        <v>17676</v>
      </c>
      <c r="X4822">
        <v>12</v>
      </c>
      <c r="Y4822" t="s">
        <v>23977</v>
      </c>
      <c r="Z4822" t="s">
        <v>30397</v>
      </c>
      <c r="AA4822">
        <v>0.52529564301442044</v>
      </c>
      <c r="AB4822" t="str">
        <f>HYPERLINK("Melting_Curves/meltCurve_Q96BR5_SELRC1.pdf", "Melting_Curves/meltCurve_Q96BR5_SELRC1.pdf")</f>
        <v>Melting_Curves/meltCurve_Q96BR5_SELRC1.pdf</v>
      </c>
    </row>
    <row r="4823" spans="1:28" x14ac:dyDescent="0.25">
      <c r="A4823" t="s">
        <v>4827</v>
      </c>
      <c r="B4823">
        <v>0.99673306730245903</v>
      </c>
      <c r="C4823">
        <v>0.94042168489125399</v>
      </c>
      <c r="D4823">
        <v>0.92745795388307095</v>
      </c>
      <c r="E4823">
        <v>0.98725915501010097</v>
      </c>
      <c r="F4823">
        <v>0.76088159612723105</v>
      </c>
      <c r="G4823">
        <v>0.51244982824068896</v>
      </c>
      <c r="H4823">
        <v>0.274300839576819</v>
      </c>
      <c r="I4823">
        <v>0.18845615944248001</v>
      </c>
      <c r="J4823">
        <v>0.13949885792969399</v>
      </c>
      <c r="K4823">
        <v>0.145824841730084</v>
      </c>
      <c r="L4823">
        <v>1125.4374493606899</v>
      </c>
      <c r="M4823">
        <v>20.059998962290098</v>
      </c>
      <c r="N4823">
        <v>56.880180158734703</v>
      </c>
      <c r="O4823">
        <v>55.554946047986597</v>
      </c>
      <c r="P4823">
        <v>-7.9459790884512799E-2</v>
      </c>
      <c r="Q4823">
        <v>0.119792090754335</v>
      </c>
      <c r="R4823">
        <v>0.99207315027429699</v>
      </c>
      <c r="S4823" t="s">
        <v>11275</v>
      </c>
      <c r="T4823" t="s">
        <v>12902</v>
      </c>
      <c r="U4823" t="s">
        <v>12902</v>
      </c>
      <c r="V4823" t="s">
        <v>12902</v>
      </c>
      <c r="W4823" t="s">
        <v>17677</v>
      </c>
      <c r="X4823">
        <v>3</v>
      </c>
      <c r="Y4823" t="s">
        <v>23978</v>
      </c>
      <c r="Z4823" t="s">
        <v>30398</v>
      </c>
      <c r="AA4823">
        <v>0.60351885952140016</v>
      </c>
      <c r="AB4823" t="str">
        <f>HYPERLINK("Melting_Curves/meltCurve_Q96BW1_UPRT.pdf", "Melting_Curves/meltCurve_Q96BW1_UPRT.pdf")</f>
        <v>Melting_Curves/meltCurve_Q96BW1_UPRT.pdf</v>
      </c>
    </row>
    <row r="4824" spans="1:28" x14ac:dyDescent="0.25">
      <c r="A4824" t="s">
        <v>4828</v>
      </c>
      <c r="B4824">
        <v>0.99673306730245903</v>
      </c>
      <c r="C4824">
        <v>1.0153197670535401</v>
      </c>
      <c r="D4824">
        <v>1.0171665873628599</v>
      </c>
      <c r="E4824">
        <v>0.98440295959270896</v>
      </c>
      <c r="F4824">
        <v>1.03059613371621</v>
      </c>
      <c r="G4824">
        <v>0.81715587849917004</v>
      </c>
      <c r="H4824">
        <v>0.51522798935909198</v>
      </c>
      <c r="I4824">
        <v>0.33209154477799901</v>
      </c>
      <c r="J4824">
        <v>0.22850363782494701</v>
      </c>
      <c r="K4824">
        <v>0.18339245180017499</v>
      </c>
      <c r="L4824">
        <v>1502.45887457973</v>
      </c>
      <c r="M4824">
        <v>25.033544984653201</v>
      </c>
      <c r="N4824">
        <v>61.0436284970827</v>
      </c>
      <c r="O4824">
        <v>59.638758471430798</v>
      </c>
      <c r="P4824">
        <v>-8.6921676222538394E-2</v>
      </c>
      <c r="Q4824">
        <v>0.17169829785756599</v>
      </c>
      <c r="R4824">
        <v>0.99522217968186399</v>
      </c>
      <c r="S4824" t="s">
        <v>11276</v>
      </c>
      <c r="T4824" t="s">
        <v>12902</v>
      </c>
      <c r="U4824" t="s">
        <v>12902</v>
      </c>
      <c r="V4824" t="s">
        <v>12902</v>
      </c>
      <c r="W4824" t="s">
        <v>17678</v>
      </c>
      <c r="X4824">
        <v>9</v>
      </c>
      <c r="Y4824" t="s">
        <v>23979</v>
      </c>
      <c r="Z4824" t="s">
        <v>30399</v>
      </c>
      <c r="AA4824">
        <v>0.7305168752767851</v>
      </c>
      <c r="AB4824" t="str">
        <f>HYPERLINK("Melting_Curves/meltCurve_Q96BW5_2_PTER.pdf", "Melting_Curves/meltCurve_Q96BW5_2_PTER.pdf")</f>
        <v>Melting_Curves/meltCurve_Q96BW5_2_PTER.pdf</v>
      </c>
    </row>
    <row r="4825" spans="1:28" x14ac:dyDescent="0.25">
      <c r="A4825" t="s">
        <v>4829</v>
      </c>
      <c r="B4825">
        <v>0.99673306730245903</v>
      </c>
      <c r="C4825">
        <v>0.94950276765901698</v>
      </c>
      <c r="D4825">
        <v>0.92881256148949598</v>
      </c>
      <c r="E4825">
        <v>0.762283649580071</v>
      </c>
      <c r="F4825">
        <v>0.46332974713317898</v>
      </c>
      <c r="G4825">
        <v>0.26812000119089702</v>
      </c>
      <c r="H4825">
        <v>0.18136837757357699</v>
      </c>
      <c r="I4825">
        <v>0.198501357335893</v>
      </c>
      <c r="J4825">
        <v>0.17591951036151199</v>
      </c>
      <c r="K4825">
        <v>0.172220224236488</v>
      </c>
      <c r="L4825">
        <v>1074.81452868218</v>
      </c>
      <c r="M4825">
        <v>20.8078421330708</v>
      </c>
      <c r="N4825">
        <v>52.676992258049403</v>
      </c>
      <c r="O4825">
        <v>51.1843074395806</v>
      </c>
      <c r="P4825">
        <v>-8.4746274546486894E-2</v>
      </c>
      <c r="Q4825">
        <v>0.16616848421135799</v>
      </c>
      <c r="R4825">
        <v>0.99784014543523403</v>
      </c>
      <c r="S4825" t="s">
        <v>11277</v>
      </c>
      <c r="T4825" t="s">
        <v>12902</v>
      </c>
      <c r="U4825" t="s">
        <v>12902</v>
      </c>
      <c r="V4825" t="s">
        <v>12902</v>
      </c>
      <c r="W4825" t="s">
        <v>17679</v>
      </c>
      <c r="X4825">
        <v>5</v>
      </c>
      <c r="Y4825" t="s">
        <v>23980</v>
      </c>
      <c r="Z4825" t="s">
        <v>30400</v>
      </c>
      <c r="AA4825">
        <v>0.50083747963037661</v>
      </c>
      <c r="AB4825" t="str">
        <f>HYPERLINK("Melting_Curves/meltCurve_Q96BY7_ATG2B.pdf", "Melting_Curves/meltCurve_Q96BY7_ATG2B.pdf")</f>
        <v>Melting_Curves/meltCurve_Q96BY7_ATG2B.pdf</v>
      </c>
    </row>
    <row r="4826" spans="1:28" x14ac:dyDescent="0.25">
      <c r="A4826" t="s">
        <v>4830</v>
      </c>
      <c r="B4826">
        <v>0.99673306730245903</v>
      </c>
      <c r="C4826">
        <v>0.97061118608838104</v>
      </c>
      <c r="D4826">
        <v>0.90221314725450397</v>
      </c>
      <c r="E4826">
        <v>0.72753693305876499</v>
      </c>
      <c r="F4826">
        <v>0.74020498989180095</v>
      </c>
      <c r="G4826">
        <v>0.62625532895498404</v>
      </c>
      <c r="H4826">
        <v>0.62524020346776199</v>
      </c>
      <c r="I4826">
        <v>0.75787666788247599</v>
      </c>
      <c r="J4826">
        <v>1.39834091508457</v>
      </c>
      <c r="K4826">
        <v>1.34779286481403</v>
      </c>
      <c r="L4826">
        <v>2528.5629948371102</v>
      </c>
      <c r="M4826">
        <v>57.895857689661099</v>
      </c>
      <c r="O4826">
        <v>43.622318381515598</v>
      </c>
      <c r="P4826">
        <v>-3.6524312618362399E-2</v>
      </c>
      <c r="Q4826">
        <v>0.88992135147991802</v>
      </c>
      <c r="R4826">
        <v>2.06805730721181E-2</v>
      </c>
      <c r="S4826" t="s">
        <v>11278</v>
      </c>
      <c r="T4826" t="s">
        <v>12902</v>
      </c>
      <c r="U4826" t="s">
        <v>12902</v>
      </c>
      <c r="V4826" t="s">
        <v>12902</v>
      </c>
      <c r="W4826" t="s">
        <v>17680</v>
      </c>
      <c r="X4826">
        <v>11</v>
      </c>
      <c r="Y4826" t="s">
        <v>23981</v>
      </c>
      <c r="Z4826" t="s">
        <v>30401</v>
      </c>
      <c r="AA4826">
        <v>0.90357249029212683</v>
      </c>
      <c r="AB4826" t="str">
        <f>HYPERLINK("Melting_Curves/meltCurve_Q96BZ8_LENG1.pdf", "Melting_Curves/meltCurve_Q96BZ8_LENG1.pdf")</f>
        <v>Melting_Curves/meltCurve_Q96BZ8_LENG1.pdf</v>
      </c>
    </row>
    <row r="4827" spans="1:28" x14ac:dyDescent="0.25">
      <c r="A4827" t="s">
        <v>4831</v>
      </c>
      <c r="B4827">
        <v>0.99673306730245903</v>
      </c>
      <c r="C4827">
        <v>0.99908140344030705</v>
      </c>
      <c r="D4827">
        <v>0.93245982249662596</v>
      </c>
      <c r="E4827">
        <v>0.69105655544560696</v>
      </c>
      <c r="F4827">
        <v>0.18245384976267501</v>
      </c>
      <c r="G4827">
        <v>8.1330706881055106E-2</v>
      </c>
      <c r="H4827">
        <v>4.5036507331963203E-2</v>
      </c>
      <c r="I4827">
        <v>4.13336264510362E-2</v>
      </c>
      <c r="J4827">
        <v>4.3395344673941703E-2</v>
      </c>
      <c r="K4827">
        <v>2.9608761910825E-2</v>
      </c>
      <c r="L4827">
        <v>1695.36257726441</v>
      </c>
      <c r="M4827">
        <v>33.495691177073901</v>
      </c>
      <c r="N4827">
        <v>50.741633037224901</v>
      </c>
      <c r="O4827">
        <v>50.434963377988197</v>
      </c>
      <c r="P4827">
        <v>-0.15934501021272399</v>
      </c>
      <c r="Q4827">
        <v>4.0291362528961303E-2</v>
      </c>
      <c r="R4827">
        <v>0.99882363644721806</v>
      </c>
      <c r="S4827" t="s">
        <v>11279</v>
      </c>
      <c r="T4827" t="s">
        <v>12902</v>
      </c>
      <c r="U4827" t="s">
        <v>12902</v>
      </c>
      <c r="V4827" t="s">
        <v>12902</v>
      </c>
      <c r="W4827" t="s">
        <v>17681</v>
      </c>
      <c r="X4827">
        <v>5</v>
      </c>
      <c r="Y4827" t="s">
        <v>23982</v>
      </c>
      <c r="Z4827" t="s">
        <v>30402</v>
      </c>
      <c r="AA4827">
        <v>0.38464990966846352</v>
      </c>
      <c r="AB4827" t="str">
        <f>HYPERLINK("Melting_Curves/meltCurve_Q96BZ9_TBC1D20.pdf", "Melting_Curves/meltCurve_Q96BZ9_TBC1D20.pdf")</f>
        <v>Melting_Curves/meltCurve_Q96BZ9_TBC1D20.pdf</v>
      </c>
    </row>
    <row r="4828" spans="1:28" x14ac:dyDescent="0.25">
      <c r="A4828" t="s">
        <v>4832</v>
      </c>
      <c r="B4828">
        <v>0.99673306730245903</v>
      </c>
      <c r="C4828">
        <v>1.01919439509251</v>
      </c>
      <c r="D4828">
        <v>1.0628667970205099</v>
      </c>
      <c r="E4828">
        <v>0.95020090912888799</v>
      </c>
      <c r="F4828">
        <v>0.65160899360498903</v>
      </c>
      <c r="G4828">
        <v>0.508295568320001</v>
      </c>
      <c r="H4828">
        <v>0.413837086612032</v>
      </c>
      <c r="I4828">
        <v>0.55719409524385199</v>
      </c>
      <c r="J4828">
        <v>0.93017884261827</v>
      </c>
      <c r="K4828">
        <v>0.87409923166103698</v>
      </c>
      <c r="L4828">
        <v>12488.1248815243</v>
      </c>
      <c r="M4828">
        <v>250</v>
      </c>
      <c r="O4828">
        <v>49.949306937440497</v>
      </c>
      <c r="P4828">
        <v>-0.43060040869077998</v>
      </c>
      <c r="Q4828">
        <v>0.65586895650493504</v>
      </c>
      <c r="R4828">
        <v>0.57877256695238</v>
      </c>
      <c r="S4828" t="s">
        <v>11280</v>
      </c>
      <c r="T4828" t="s">
        <v>12902</v>
      </c>
      <c r="U4828" t="s">
        <v>12902</v>
      </c>
      <c r="V4828" t="s">
        <v>12902</v>
      </c>
      <c r="W4828" t="s">
        <v>17682</v>
      </c>
      <c r="X4828">
        <v>22</v>
      </c>
      <c r="Y4828" t="s">
        <v>23983</v>
      </c>
      <c r="Z4828" t="s">
        <v>30403</v>
      </c>
      <c r="AA4828">
        <v>0.77006459329188504</v>
      </c>
      <c r="AB4828" t="str">
        <f>HYPERLINK("Melting_Curves/meltCurve_Q96C01_FAM136A.pdf", "Melting_Curves/meltCurve_Q96C01_FAM136A.pdf")</f>
        <v>Melting_Curves/meltCurve_Q96C01_FAM136A.pdf</v>
      </c>
    </row>
    <row r="4829" spans="1:28" x14ac:dyDescent="0.25">
      <c r="A4829" t="s">
        <v>4833</v>
      </c>
      <c r="B4829">
        <v>0.99673306730245903</v>
      </c>
      <c r="C4829">
        <v>0.83597382688727195</v>
      </c>
      <c r="D4829">
        <v>0.72807874114768401</v>
      </c>
      <c r="E4829">
        <v>0.71812471973804703</v>
      </c>
      <c r="F4829">
        <v>0.28217477032214799</v>
      </c>
      <c r="G4829">
        <v>0.159344503084905</v>
      </c>
      <c r="H4829">
        <v>9.0758735926239703E-2</v>
      </c>
      <c r="I4829">
        <v>7.8656310582099903E-2</v>
      </c>
      <c r="J4829">
        <v>0.13224104933156899</v>
      </c>
      <c r="K4829">
        <v>0.116381330446777</v>
      </c>
      <c r="L4829">
        <v>721.99669307640897</v>
      </c>
      <c r="M4829">
        <v>14.4096227671428</v>
      </c>
      <c r="N4829">
        <v>50.5536606489894</v>
      </c>
      <c r="O4829">
        <v>49.169824187239499</v>
      </c>
      <c r="P4829">
        <v>-6.8876811103813093E-2</v>
      </c>
      <c r="Q4829">
        <v>6.0000344915333001E-2</v>
      </c>
      <c r="R4829">
        <v>0.95902252951379796</v>
      </c>
      <c r="S4829" t="s">
        <v>11281</v>
      </c>
      <c r="T4829" t="s">
        <v>12902</v>
      </c>
      <c r="U4829" t="s">
        <v>12902</v>
      </c>
      <c r="V4829" t="s">
        <v>12902</v>
      </c>
      <c r="W4829" t="s">
        <v>17683</v>
      </c>
      <c r="X4829">
        <v>9</v>
      </c>
      <c r="Y4829" t="s">
        <v>23984</v>
      </c>
      <c r="Z4829" t="s">
        <v>30404</v>
      </c>
      <c r="AA4829">
        <v>0.40058776002242269</v>
      </c>
      <c r="AB4829" t="str">
        <f>HYPERLINK("Melting_Curves/meltCurve_Q96C19_EFHD2.pdf", "Melting_Curves/meltCurve_Q96C19_EFHD2.pdf")</f>
        <v>Melting_Curves/meltCurve_Q96C19_EFHD2.pdf</v>
      </c>
    </row>
    <row r="4830" spans="1:28" x14ac:dyDescent="0.25">
      <c r="A4830" t="s">
        <v>4834</v>
      </c>
      <c r="B4830">
        <v>0.99673306730245903</v>
      </c>
      <c r="C4830">
        <v>1.10284681948451</v>
      </c>
      <c r="D4830">
        <v>0.43853022124658902</v>
      </c>
      <c r="E4830">
        <v>0.65380138726334103</v>
      </c>
      <c r="F4830">
        <v>0.21032759864673001</v>
      </c>
      <c r="G4830">
        <v>6.8996235357390703E-2</v>
      </c>
      <c r="H4830">
        <v>3.9120539436954503E-2</v>
      </c>
      <c r="I4830">
        <v>2.9545890721274799E-2</v>
      </c>
      <c r="J4830">
        <v>2.94150754739438E-2</v>
      </c>
      <c r="K4830">
        <v>2.5909862518493899E-2</v>
      </c>
      <c r="L4830">
        <v>723.45495740250601</v>
      </c>
      <c r="M4830">
        <v>14.7408822800792</v>
      </c>
      <c r="N4830">
        <v>49.078131151497303</v>
      </c>
      <c r="O4830">
        <v>48.201461914889698</v>
      </c>
      <c r="P4830">
        <v>-7.6462809244388294E-2</v>
      </c>
      <c r="Q4830">
        <v>0</v>
      </c>
      <c r="R4830">
        <v>0.89304492595309903</v>
      </c>
      <c r="S4830" t="s">
        <v>11282</v>
      </c>
      <c r="T4830" t="s">
        <v>12902</v>
      </c>
      <c r="U4830" t="s">
        <v>12902</v>
      </c>
      <c r="V4830" t="s">
        <v>12902</v>
      </c>
      <c r="W4830" t="s">
        <v>17684</v>
      </c>
      <c r="X4830">
        <v>6</v>
      </c>
      <c r="Y4830" t="s">
        <v>23985</v>
      </c>
      <c r="Z4830" t="s">
        <v>30405</v>
      </c>
      <c r="AA4830">
        <v>0.32802691963556341</v>
      </c>
      <c r="AB4830" t="str">
        <f>HYPERLINK("Melting_Curves/meltCurve_Q96C23_GALM.pdf", "Melting_Curves/meltCurve_Q96C23_GALM.pdf")</f>
        <v>Melting_Curves/meltCurve_Q96C23_GALM.pdf</v>
      </c>
    </row>
    <row r="4831" spans="1:28" x14ac:dyDescent="0.25">
      <c r="A4831" t="s">
        <v>4835</v>
      </c>
      <c r="B4831">
        <v>0.99673306730245903</v>
      </c>
      <c r="C4831">
        <v>0.71327403895443597</v>
      </c>
      <c r="D4831">
        <v>0.28826537875170799</v>
      </c>
      <c r="E4831">
        <v>0.141889968841442</v>
      </c>
      <c r="F4831">
        <v>9.7504212207484106E-2</v>
      </c>
      <c r="G4831">
        <v>4.9307655667844001E-2</v>
      </c>
      <c r="H4831">
        <v>3.0561490067814299E-2</v>
      </c>
      <c r="I4831">
        <v>3.2199036393768601E-2</v>
      </c>
      <c r="J4831">
        <v>1.4102904744698899E-2</v>
      </c>
      <c r="K4831">
        <v>3.4352467802698398E-2</v>
      </c>
      <c r="L4831">
        <v>1191.1874894514399</v>
      </c>
      <c r="M4831">
        <v>26.880218759156101</v>
      </c>
      <c r="N4831">
        <v>44.472806878199997</v>
      </c>
      <c r="O4831">
        <v>44.071576932931102</v>
      </c>
      <c r="P4831">
        <v>-0.14553085734656901</v>
      </c>
      <c r="Q4831">
        <v>4.5586939312771503E-2</v>
      </c>
      <c r="R4831">
        <v>0.99254936026240803</v>
      </c>
      <c r="S4831" t="s">
        <v>11283</v>
      </c>
      <c r="T4831" t="s">
        <v>12902</v>
      </c>
      <c r="U4831" t="s">
        <v>12902</v>
      </c>
      <c r="V4831" t="s">
        <v>12902</v>
      </c>
      <c r="W4831" t="s">
        <v>17685</v>
      </c>
      <c r="X4831">
        <v>3</v>
      </c>
      <c r="Y4831" t="s">
        <v>23986</v>
      </c>
      <c r="Z4831" t="s">
        <v>30406</v>
      </c>
      <c r="AA4831">
        <v>0.19154021897240051</v>
      </c>
      <c r="AB4831" t="str">
        <f>HYPERLINK("Melting_Curves/meltCurve_Q96C34_2_RUNDC1.pdf", "Melting_Curves/meltCurve_Q96C34_2_RUNDC1.pdf")</f>
        <v>Melting_Curves/meltCurve_Q96C34_2_RUNDC1.pdf</v>
      </c>
    </row>
    <row r="4832" spans="1:28" x14ac:dyDescent="0.25">
      <c r="A4832" t="s">
        <v>4836</v>
      </c>
      <c r="B4832">
        <v>0.99673306730245903</v>
      </c>
      <c r="C4832">
        <v>0.96548436627495404</v>
      </c>
      <c r="D4832">
        <v>1.02691145248031</v>
      </c>
      <c r="E4832">
        <v>1.1303881730993299</v>
      </c>
      <c r="F4832">
        <v>1.0832618782113499</v>
      </c>
      <c r="G4832">
        <v>0.95205493597705604</v>
      </c>
      <c r="H4832">
        <v>0.86100340429547795</v>
      </c>
      <c r="I4832">
        <v>0.67963985494955104</v>
      </c>
      <c r="J4832">
        <v>0.55548413372615801</v>
      </c>
      <c r="K4832">
        <v>0.19156444911693499</v>
      </c>
      <c r="L4832">
        <v>1440.8573464095</v>
      </c>
      <c r="M4832">
        <v>21.618142885110601</v>
      </c>
      <c r="N4832">
        <v>66.650375749279107</v>
      </c>
      <c r="O4832">
        <v>66.087900128181602</v>
      </c>
      <c r="P4832">
        <v>-8.17799219825628E-2</v>
      </c>
      <c r="Q4832">
        <v>0</v>
      </c>
      <c r="R4832">
        <v>0.94404928222129203</v>
      </c>
      <c r="S4832" t="s">
        <v>11284</v>
      </c>
      <c r="T4832" t="s">
        <v>12902</v>
      </c>
      <c r="U4832" t="s">
        <v>12902</v>
      </c>
      <c r="V4832" t="s">
        <v>12902</v>
      </c>
      <c r="W4832" t="s">
        <v>17686</v>
      </c>
      <c r="X4832">
        <v>15</v>
      </c>
      <c r="Y4832" t="s">
        <v>23987</v>
      </c>
      <c r="Z4832" t="s">
        <v>30407</v>
      </c>
      <c r="AA4832">
        <v>0.86570216250244814</v>
      </c>
      <c r="AB4832" t="str">
        <f>HYPERLINK("Melting_Curves/meltCurve_Q96C36_PYCR2.pdf", "Melting_Curves/meltCurve_Q96C36_PYCR2.pdf")</f>
        <v>Melting_Curves/meltCurve_Q96C36_PYCR2.pdf</v>
      </c>
    </row>
    <row r="4833" spans="1:28" x14ac:dyDescent="0.25">
      <c r="A4833" t="s">
        <v>4837</v>
      </c>
      <c r="B4833">
        <v>0.99673306730245903</v>
      </c>
      <c r="C4833">
        <v>0.92036732235950802</v>
      </c>
      <c r="D4833">
        <v>0.88549947840191201</v>
      </c>
      <c r="E4833">
        <v>1.1120363787944001</v>
      </c>
      <c r="F4833">
        <v>1.0716141177788601</v>
      </c>
      <c r="G4833">
        <v>0.93313350460742295</v>
      </c>
      <c r="H4833">
        <v>0.83778092556579897</v>
      </c>
      <c r="I4833">
        <v>1.14791198406226</v>
      </c>
      <c r="J4833">
        <v>1.70931317623801</v>
      </c>
      <c r="K4833">
        <v>1.66630359670659</v>
      </c>
      <c r="L4833">
        <v>15000</v>
      </c>
      <c r="M4833">
        <v>233.50817761464899</v>
      </c>
      <c r="O4833">
        <v>64.232859566159803</v>
      </c>
      <c r="P4833">
        <v>0.45441724087364499</v>
      </c>
      <c r="Q4833">
        <v>1.5</v>
      </c>
      <c r="R4833">
        <v>0.84028833872197095</v>
      </c>
      <c r="S4833" t="s">
        <v>11285</v>
      </c>
      <c r="T4833" t="s">
        <v>12902</v>
      </c>
      <c r="U4833" t="s">
        <v>12902</v>
      </c>
      <c r="V4833" t="s">
        <v>12902</v>
      </c>
      <c r="W4833" t="s">
        <v>17687</v>
      </c>
      <c r="X4833">
        <v>14</v>
      </c>
      <c r="Y4833" t="s">
        <v>23988</v>
      </c>
      <c r="Z4833" t="s">
        <v>30408</v>
      </c>
      <c r="AA4833">
        <v>1.0959757371414089</v>
      </c>
      <c r="AB4833" t="str">
        <f>HYPERLINK("Melting_Curves/meltCurve_Q96C57_C12orf43.pdf", "Melting_Curves/meltCurve_Q96C57_C12orf43.pdf")</f>
        <v>Melting_Curves/meltCurve_Q96C57_C12orf43.pdf</v>
      </c>
    </row>
    <row r="4834" spans="1:28" x14ac:dyDescent="0.25">
      <c r="A4834" t="s">
        <v>4838</v>
      </c>
      <c r="B4834">
        <v>0.99673306730245903</v>
      </c>
      <c r="C4834">
        <v>1.02547246397215</v>
      </c>
      <c r="D4834">
        <v>0.98670201406216396</v>
      </c>
      <c r="E4834">
        <v>0.94711655774196801</v>
      </c>
      <c r="F4834">
        <v>0.89257021222495803</v>
      </c>
      <c r="G4834">
        <v>0.722679091430244</v>
      </c>
      <c r="H4834">
        <v>0.48735886583168597</v>
      </c>
      <c r="I4834">
        <v>0.20954919989951601</v>
      </c>
      <c r="J4834">
        <v>0.14087820967718101</v>
      </c>
      <c r="K4834">
        <v>0.108430592548065</v>
      </c>
      <c r="L4834">
        <v>1038.8112455268999</v>
      </c>
      <c r="M4834">
        <v>17.330630846667098</v>
      </c>
      <c r="N4834">
        <v>60.020115848576403</v>
      </c>
      <c r="O4834">
        <v>59.159763438622299</v>
      </c>
      <c r="P4834">
        <v>-7.2411224938761107E-2</v>
      </c>
      <c r="Q4834">
        <v>1.13260948103733E-2</v>
      </c>
      <c r="R4834">
        <v>0.995222096870373</v>
      </c>
      <c r="S4834" t="s">
        <v>11286</v>
      </c>
      <c r="T4834" t="s">
        <v>12902</v>
      </c>
      <c r="U4834" t="s">
        <v>12902</v>
      </c>
      <c r="V4834" t="s">
        <v>12902</v>
      </c>
      <c r="W4834" t="s">
        <v>17688</v>
      </c>
      <c r="X4834">
        <v>18</v>
      </c>
      <c r="Y4834" t="s">
        <v>23989</v>
      </c>
      <c r="Z4834" t="s">
        <v>30409</v>
      </c>
      <c r="AA4834">
        <v>0.67668542046593905</v>
      </c>
      <c r="AB4834" t="str">
        <f>HYPERLINK("Melting_Curves/meltCurve_Q96C86_DCPS.pdf", "Melting_Curves/meltCurve_Q96C86_DCPS.pdf")</f>
        <v>Melting_Curves/meltCurve_Q96C86_DCPS.pdf</v>
      </c>
    </row>
    <row r="4835" spans="1:28" x14ac:dyDescent="0.25">
      <c r="A4835" t="s">
        <v>4839</v>
      </c>
      <c r="B4835">
        <v>0.99673306730245903</v>
      </c>
      <c r="C4835">
        <v>1.0192191527433101</v>
      </c>
      <c r="D4835">
        <v>1.0468782383383499</v>
      </c>
      <c r="E4835">
        <v>0.91862077964997801</v>
      </c>
      <c r="F4835">
        <v>0.83745113334806498</v>
      </c>
      <c r="G4835">
        <v>0.75420955266422096</v>
      </c>
      <c r="H4835">
        <v>0.62728507740943695</v>
      </c>
      <c r="I4835">
        <v>0.86262724645077304</v>
      </c>
      <c r="J4835">
        <v>1.2770733146258599</v>
      </c>
      <c r="K4835">
        <v>1.1334318092144</v>
      </c>
      <c r="L4835">
        <v>12240.6415807541</v>
      </c>
      <c r="M4835">
        <v>250</v>
      </c>
      <c r="O4835">
        <v>48.959433310168301</v>
      </c>
      <c r="P4835">
        <v>-0.10806610940075401</v>
      </c>
      <c r="Q4835">
        <v>0.91534631293948698</v>
      </c>
      <c r="R4835">
        <v>6.83014712056077E-2</v>
      </c>
      <c r="S4835" t="s">
        <v>11287</v>
      </c>
      <c r="T4835" t="s">
        <v>12902</v>
      </c>
      <c r="U4835" t="s">
        <v>12902</v>
      </c>
      <c r="V4835" t="s">
        <v>12902</v>
      </c>
      <c r="W4835" t="s">
        <v>17689</v>
      </c>
      <c r="X4835">
        <v>7</v>
      </c>
      <c r="Y4835" t="s">
        <v>23990</v>
      </c>
      <c r="Z4835" t="s">
        <v>30410</v>
      </c>
      <c r="AA4835">
        <v>0.94064406326630967</v>
      </c>
      <c r="AB4835" t="str">
        <f>HYPERLINK("Melting_Curves/meltCurve_Q96C90_PPP1R14B.pdf", "Melting_Curves/meltCurve_Q96C90_PPP1R14B.pdf")</f>
        <v>Melting_Curves/meltCurve_Q96C90_PPP1R14B.pdf</v>
      </c>
    </row>
    <row r="4836" spans="1:28" x14ac:dyDescent="0.25">
      <c r="A4836" t="s">
        <v>4840</v>
      </c>
      <c r="B4836">
        <v>0.99673306730245903</v>
      </c>
      <c r="C4836">
        <v>0.88215681268423796</v>
      </c>
      <c r="D4836">
        <v>0.83359945965236804</v>
      </c>
      <c r="E4836">
        <v>0.624546728900367</v>
      </c>
      <c r="F4836">
        <v>0.15887761267191999</v>
      </c>
      <c r="G4836">
        <v>8.6980147357745397E-2</v>
      </c>
      <c r="H4836">
        <v>5.3812592392853603E-2</v>
      </c>
      <c r="I4836">
        <v>4.62989825013271E-2</v>
      </c>
      <c r="J4836">
        <v>5.5043942119318401E-2</v>
      </c>
      <c r="K4836">
        <v>5.24577259360159E-2</v>
      </c>
      <c r="L4836">
        <v>1139.1235450085401</v>
      </c>
      <c r="M4836">
        <v>22.824085684149399</v>
      </c>
      <c r="N4836">
        <v>50.0762766833451</v>
      </c>
      <c r="O4836">
        <v>49.5304467613716</v>
      </c>
      <c r="P4836">
        <v>-0.110972036592976</v>
      </c>
      <c r="Q4836">
        <v>3.6738898441554702E-2</v>
      </c>
      <c r="R4836">
        <v>0.98548127970324395</v>
      </c>
      <c r="S4836" t="s">
        <v>11288</v>
      </c>
      <c r="T4836" t="s">
        <v>12902</v>
      </c>
      <c r="U4836" t="s">
        <v>12902</v>
      </c>
      <c r="V4836" t="s">
        <v>12902</v>
      </c>
      <c r="W4836" t="s">
        <v>17690</v>
      </c>
      <c r="X4836">
        <v>2</v>
      </c>
      <c r="Y4836" t="s">
        <v>23991</v>
      </c>
      <c r="Z4836" t="s">
        <v>30411</v>
      </c>
      <c r="AA4836">
        <v>0.36522579712500969</v>
      </c>
      <c r="AB4836" t="str">
        <f>HYPERLINK("Melting_Curves/meltCurve_Q96CB9_NSUN4.pdf", "Melting_Curves/meltCurve_Q96CB9_NSUN4.pdf")</f>
        <v>Melting_Curves/meltCurve_Q96CB9_NSUN4.pdf</v>
      </c>
    </row>
    <row r="4837" spans="1:28" x14ac:dyDescent="0.25">
      <c r="A4837" t="s">
        <v>4841</v>
      </c>
      <c r="B4837">
        <v>0.99673306730245903</v>
      </c>
      <c r="C4837">
        <v>1.0031518029981199</v>
      </c>
      <c r="D4837">
        <v>0.923318920660812</v>
      </c>
      <c r="E4837">
        <v>0.83041136512105396</v>
      </c>
      <c r="F4837">
        <v>0.40076271331598101</v>
      </c>
      <c r="G4837">
        <v>0.18388334051052799</v>
      </c>
      <c r="H4837">
        <v>9.7254711767294499E-2</v>
      </c>
      <c r="I4837">
        <v>8.6304097662159102E-2</v>
      </c>
      <c r="J4837">
        <v>7.1236061922896499E-2</v>
      </c>
      <c r="K4837">
        <v>5.7995600212395901E-2</v>
      </c>
      <c r="L4837">
        <v>1342.61157729252</v>
      </c>
      <c r="M4837">
        <v>25.7470608252791</v>
      </c>
      <c r="N4837">
        <v>52.455183127045402</v>
      </c>
      <c r="O4837">
        <v>51.834685937015301</v>
      </c>
      <c r="P4837">
        <v>-0.11544311642197901</v>
      </c>
      <c r="Q4837">
        <v>7.0358184380446304E-2</v>
      </c>
      <c r="R4837">
        <v>0.99762338340950496</v>
      </c>
      <c r="S4837" t="s">
        <v>11289</v>
      </c>
      <c r="T4837" t="s">
        <v>12902</v>
      </c>
      <c r="U4837" t="s">
        <v>12902</v>
      </c>
      <c r="V4837" t="s">
        <v>12902</v>
      </c>
      <c r="W4837" t="s">
        <v>17691</v>
      </c>
      <c r="X4837">
        <v>9</v>
      </c>
      <c r="Y4837" t="s">
        <v>23992</v>
      </c>
      <c r="Z4837" t="s">
        <v>30412</v>
      </c>
      <c r="AA4837">
        <v>0.45477598235430933</v>
      </c>
      <c r="AB4837" t="str">
        <f>HYPERLINK("Melting_Curves/meltCurve_Q96CD0_FBXL8.pdf", "Melting_Curves/meltCurve_Q96CD0_FBXL8.pdf")</f>
        <v>Melting_Curves/meltCurve_Q96CD0_FBXL8.pdf</v>
      </c>
    </row>
    <row r="4838" spans="1:28" x14ac:dyDescent="0.25">
      <c r="A4838" t="s">
        <v>4842</v>
      </c>
      <c r="B4838">
        <v>0.99673306730245903</v>
      </c>
      <c r="C4838">
        <v>0.98000372713987405</v>
      </c>
      <c r="D4838">
        <v>1.03026054799747</v>
      </c>
      <c r="E4838">
        <v>0.984654413517009</v>
      </c>
      <c r="F4838">
        <v>0.87426975697376996</v>
      </c>
      <c r="G4838">
        <v>0.67382501179884902</v>
      </c>
      <c r="H4838">
        <v>0.57253942304665395</v>
      </c>
      <c r="I4838">
        <v>0.91858921564728802</v>
      </c>
      <c r="J4838">
        <v>1.25546390377027</v>
      </c>
      <c r="K4838">
        <v>1.16844914922271</v>
      </c>
      <c r="L4838">
        <v>6889.5941605882599</v>
      </c>
      <c r="M4838">
        <v>104.859418070977</v>
      </c>
      <c r="O4838">
        <v>65.679261004783001</v>
      </c>
      <c r="P4838">
        <v>8.7062365659651197E-2</v>
      </c>
      <c r="Q4838">
        <v>1.2181279242344301</v>
      </c>
      <c r="R4838">
        <v>0.147717593766269</v>
      </c>
      <c r="S4838" t="s">
        <v>11290</v>
      </c>
      <c r="T4838" t="s">
        <v>12902</v>
      </c>
      <c r="U4838" t="s">
        <v>12902</v>
      </c>
      <c r="V4838" t="s">
        <v>12902</v>
      </c>
      <c r="W4838" t="s">
        <v>17692</v>
      </c>
      <c r="X4838">
        <v>9</v>
      </c>
      <c r="Y4838" t="s">
        <v>23993</v>
      </c>
      <c r="Z4838" t="s">
        <v>30413</v>
      </c>
      <c r="AA4838">
        <v>1.0311074276118231</v>
      </c>
      <c r="AB4838" t="str">
        <f>HYPERLINK("Melting_Curves/meltCurve_Q96CD2_PPCDC.pdf", "Melting_Curves/meltCurve_Q96CD2_PPCDC.pdf")</f>
        <v>Melting_Curves/meltCurve_Q96CD2_PPCDC.pdf</v>
      </c>
    </row>
    <row r="4839" spans="1:28" x14ac:dyDescent="0.25">
      <c r="A4839" t="s">
        <v>4843</v>
      </c>
      <c r="B4839">
        <v>0.99673306730245903</v>
      </c>
      <c r="C4839">
        <v>1.0184531035441799</v>
      </c>
      <c r="D4839">
        <v>0.98341725676486702</v>
      </c>
      <c r="E4839">
        <v>0.88917679809342398</v>
      </c>
      <c r="F4839">
        <v>0.74308232270494901</v>
      </c>
      <c r="G4839">
        <v>0.58225053345767297</v>
      </c>
      <c r="H4839">
        <v>0.47159505530235102</v>
      </c>
      <c r="I4839">
        <v>0.72081066399961702</v>
      </c>
      <c r="J4839">
        <v>1.1925073898140099</v>
      </c>
      <c r="K4839">
        <v>1.2150211271472</v>
      </c>
      <c r="L4839">
        <v>15000</v>
      </c>
      <c r="M4839">
        <v>225.65352942452299</v>
      </c>
      <c r="O4839">
        <v>66.468368554770095</v>
      </c>
      <c r="P4839">
        <v>0.18281378499349199</v>
      </c>
      <c r="Q4839">
        <v>1.21539807392653</v>
      </c>
      <c r="R4839">
        <v>-0.10418255294945999</v>
      </c>
      <c r="S4839" t="s">
        <v>11291</v>
      </c>
      <c r="T4839" t="s">
        <v>12902</v>
      </c>
      <c r="U4839" t="s">
        <v>12902</v>
      </c>
      <c r="V4839" t="s">
        <v>12902</v>
      </c>
      <c r="W4839" t="s">
        <v>17693</v>
      </c>
      <c r="X4839">
        <v>8</v>
      </c>
      <c r="Y4839" t="s">
        <v>23994</v>
      </c>
      <c r="Z4839" t="s">
        <v>30414</v>
      </c>
      <c r="AA4839">
        <v>1.0252885862480119</v>
      </c>
      <c r="AB4839" t="str">
        <f>HYPERLINK("Melting_Curves/meltCurve_Q96CF2_CHMP4C.pdf", "Melting_Curves/meltCurve_Q96CF2_CHMP4C.pdf")</f>
        <v>Melting_Curves/meltCurve_Q96CF2_CHMP4C.pdf</v>
      </c>
    </row>
    <row r="4840" spans="1:28" x14ac:dyDescent="0.25">
      <c r="A4840" t="s">
        <v>4844</v>
      </c>
      <c r="B4840">
        <v>0.99673306730245903</v>
      </c>
      <c r="C4840">
        <v>1.00237808984401</v>
      </c>
      <c r="D4840">
        <v>0.98875274645712896</v>
      </c>
      <c r="E4840">
        <v>0.93773212647591198</v>
      </c>
      <c r="F4840">
        <v>0.66423405351560805</v>
      </c>
      <c r="G4840">
        <v>0.46626103194934898</v>
      </c>
      <c r="H4840">
        <v>0.32616791526817102</v>
      </c>
      <c r="I4840">
        <v>0.34769535208380098</v>
      </c>
      <c r="J4840">
        <v>0.34930312456072599</v>
      </c>
      <c r="K4840">
        <v>0.246169866450483</v>
      </c>
      <c r="L4840">
        <v>1293.12668778083</v>
      </c>
      <c r="M4840">
        <v>24.111627629764101</v>
      </c>
      <c r="N4840">
        <v>55.801715772711702</v>
      </c>
      <c r="O4840">
        <v>53.266034201448498</v>
      </c>
      <c r="P4840">
        <v>-7.8730864100491196E-2</v>
      </c>
      <c r="Q4840">
        <v>0.30430010463351598</v>
      </c>
      <c r="R4840">
        <v>0.99156803502643898</v>
      </c>
      <c r="S4840" t="s">
        <v>11292</v>
      </c>
      <c r="T4840" t="s">
        <v>12902</v>
      </c>
      <c r="U4840" t="s">
        <v>12902</v>
      </c>
      <c r="V4840" t="s">
        <v>12902</v>
      </c>
      <c r="W4840" t="s">
        <v>17694</v>
      </c>
      <c r="X4840">
        <v>8</v>
      </c>
      <c r="Y4840" t="s">
        <v>23995</v>
      </c>
      <c r="Z4840" t="s">
        <v>30415</v>
      </c>
      <c r="AA4840">
        <v>0.62726840384817184</v>
      </c>
      <c r="AB4840" t="str">
        <f>HYPERLINK("Melting_Curves/meltCurve_Q96CG8_CTHRC1.pdf", "Melting_Curves/meltCurve_Q96CG8_CTHRC1.pdf")</f>
        <v>Melting_Curves/meltCurve_Q96CG8_CTHRC1.pdf</v>
      </c>
    </row>
    <row r="4841" spans="1:28" x14ac:dyDescent="0.25">
      <c r="A4841" t="s">
        <v>4845</v>
      </c>
      <c r="B4841">
        <v>0.99673306730245903</v>
      </c>
      <c r="C4841">
        <v>1.01507252395063</v>
      </c>
      <c r="D4841">
        <v>1.04434549965936</v>
      </c>
      <c r="E4841">
        <v>1.1185456737395401</v>
      </c>
      <c r="F4841">
        <v>1.02428759579351</v>
      </c>
      <c r="G4841">
        <v>0.74478414299229001</v>
      </c>
      <c r="H4841">
        <v>0.12944691802222999</v>
      </c>
      <c r="I4841">
        <v>9.7196693946935905E-2</v>
      </c>
      <c r="J4841">
        <v>7.7492675625360899E-2</v>
      </c>
      <c r="K4841">
        <v>8.0877393100614994E-2</v>
      </c>
      <c r="L4841">
        <v>3485.1196291071901</v>
      </c>
      <c r="M4841">
        <v>60.398634588485201</v>
      </c>
      <c r="N4841">
        <v>57.881481480075202</v>
      </c>
      <c r="O4841">
        <v>57.638805923268102</v>
      </c>
      <c r="P4841">
        <v>-0.239597072568349</v>
      </c>
      <c r="Q4841">
        <v>8.5404245324554096E-2</v>
      </c>
      <c r="R4841">
        <v>0.99133907667327203</v>
      </c>
      <c r="S4841" t="s">
        <v>11293</v>
      </c>
      <c r="T4841" t="s">
        <v>12902</v>
      </c>
      <c r="U4841" t="s">
        <v>12902</v>
      </c>
      <c r="V4841" t="s">
        <v>12902</v>
      </c>
      <c r="W4841" t="s">
        <v>17695</v>
      </c>
      <c r="X4841">
        <v>12</v>
      </c>
      <c r="Y4841" t="s">
        <v>23996</v>
      </c>
      <c r="Z4841" t="s">
        <v>30416</v>
      </c>
      <c r="AA4841">
        <v>0.62666690691595783</v>
      </c>
      <c r="AB4841" t="str">
        <f>HYPERLINK("Melting_Curves/meltCurve_Q96CN7_ISOC1.pdf", "Melting_Curves/meltCurve_Q96CN7_ISOC1.pdf")</f>
        <v>Melting_Curves/meltCurve_Q96CN7_ISOC1.pdf</v>
      </c>
    </row>
    <row r="4842" spans="1:28" x14ac:dyDescent="0.25">
      <c r="A4842" t="s">
        <v>4846</v>
      </c>
      <c r="B4842">
        <v>0.99673306730245903</v>
      </c>
      <c r="C4842">
        <v>0.85801456713087099</v>
      </c>
      <c r="D4842">
        <v>0.48837285423947202</v>
      </c>
      <c r="E4842">
        <v>0.27229808606063099</v>
      </c>
      <c r="F4842">
        <v>0.206607750985984</v>
      </c>
      <c r="G4842">
        <v>0.14393209020525199</v>
      </c>
      <c r="H4842">
        <v>0.11961926672381799</v>
      </c>
      <c r="I4842">
        <v>0.111136358563466</v>
      </c>
      <c r="J4842">
        <v>0.139419479573478</v>
      </c>
      <c r="K4842">
        <v>0.11283574410936401</v>
      </c>
      <c r="L4842">
        <v>1060.35021552889</v>
      </c>
      <c r="M4842">
        <v>23.253454914899098</v>
      </c>
      <c r="N4842">
        <v>46.212450122139998</v>
      </c>
      <c r="O4842">
        <v>45.266461095402498</v>
      </c>
      <c r="P4842">
        <v>-0.111389813197294</v>
      </c>
      <c r="Q4842">
        <v>0.132665252048975</v>
      </c>
      <c r="R4842">
        <v>0.993679435268772</v>
      </c>
      <c r="S4842" t="s">
        <v>11294</v>
      </c>
      <c r="T4842" t="s">
        <v>12902</v>
      </c>
      <c r="U4842" t="s">
        <v>12902</v>
      </c>
      <c r="V4842" t="s">
        <v>12902</v>
      </c>
      <c r="W4842" t="s">
        <v>17696</v>
      </c>
      <c r="X4842">
        <v>4</v>
      </c>
      <c r="Y4842" t="s">
        <v>23997</v>
      </c>
      <c r="Z4842" t="s">
        <v>30417</v>
      </c>
      <c r="AA4842">
        <v>0.30428852873927659</v>
      </c>
      <c r="AB4842" t="str">
        <f>HYPERLINK("Melting_Curves/meltCurve_Q96CN9_GCC1.pdf", "Melting_Curves/meltCurve_Q96CN9_GCC1.pdf")</f>
        <v>Melting_Curves/meltCurve_Q96CN9_GCC1.pdf</v>
      </c>
    </row>
    <row r="4843" spans="1:28" x14ac:dyDescent="0.25">
      <c r="A4843" t="s">
        <v>4847</v>
      </c>
      <c r="B4843">
        <v>0.99673306730245903</v>
      </c>
      <c r="C4843">
        <v>1.0072999022131399</v>
      </c>
      <c r="D4843">
        <v>1.0534478352291701</v>
      </c>
      <c r="E4843">
        <v>0.96462504034846597</v>
      </c>
      <c r="F4843">
        <v>0.78255035079636204</v>
      </c>
      <c r="G4843">
        <v>0.70375854081675004</v>
      </c>
      <c r="H4843">
        <v>0.61270320016449298</v>
      </c>
      <c r="I4843">
        <v>1.01657050045179</v>
      </c>
      <c r="J4843">
        <v>1.44672096660762</v>
      </c>
      <c r="K4843">
        <v>1.5939087850857601</v>
      </c>
      <c r="L4843">
        <v>8037.5055253375203</v>
      </c>
      <c r="M4843">
        <v>121.946362116969</v>
      </c>
      <c r="O4843">
        <v>65.892449935443494</v>
      </c>
      <c r="P4843">
        <v>0.231335997657245</v>
      </c>
      <c r="Q4843">
        <v>1.5</v>
      </c>
      <c r="R4843">
        <v>0.64447787290122405</v>
      </c>
      <c r="S4843" t="s">
        <v>11295</v>
      </c>
      <c r="T4843" t="s">
        <v>12902</v>
      </c>
      <c r="U4843" t="s">
        <v>12902</v>
      </c>
      <c r="V4843" t="s">
        <v>12902</v>
      </c>
      <c r="W4843" t="s">
        <v>17697</v>
      </c>
      <c r="X4843">
        <v>8</v>
      </c>
      <c r="Y4843" t="s">
        <v>23998</v>
      </c>
      <c r="Z4843" t="s">
        <v>30418</v>
      </c>
      <c r="AA4843">
        <v>1.0679288986947879</v>
      </c>
      <c r="AB4843" t="str">
        <f>HYPERLINK("Melting_Curves/meltCurve_Q96CP2_FLYWCH2.pdf", "Melting_Curves/meltCurve_Q96CP2_FLYWCH2.pdf")</f>
        <v>Melting_Curves/meltCurve_Q96CP2_FLYWCH2.pdf</v>
      </c>
    </row>
    <row r="4844" spans="1:28" x14ac:dyDescent="0.25">
      <c r="A4844" t="s">
        <v>4848</v>
      </c>
      <c r="B4844">
        <v>0.99673306730245903</v>
      </c>
      <c r="C4844">
        <v>0.90506748418521599</v>
      </c>
      <c r="D4844">
        <v>0.54129988311347099</v>
      </c>
      <c r="E4844">
        <v>0.34627348294172999</v>
      </c>
      <c r="F4844">
        <v>0.16627098866524501</v>
      </c>
      <c r="G4844">
        <v>0.1136866194355</v>
      </c>
      <c r="H4844">
        <v>9.93618555582437E-2</v>
      </c>
      <c r="I4844">
        <v>9.7672583572155303E-2</v>
      </c>
      <c r="J4844">
        <v>0.149853011105164</v>
      </c>
      <c r="K4844">
        <v>0.163125035456054</v>
      </c>
      <c r="L4844">
        <v>1010.58729228927</v>
      </c>
      <c r="M4844">
        <v>21.825281829779499</v>
      </c>
      <c r="N4844">
        <v>46.917726670565102</v>
      </c>
      <c r="O4844">
        <v>45.920049832119197</v>
      </c>
      <c r="P4844">
        <v>-0.104059194602502</v>
      </c>
      <c r="Q4844">
        <v>0.124264597703823</v>
      </c>
      <c r="R4844">
        <v>0.98836786474424798</v>
      </c>
      <c r="S4844" t="s">
        <v>11296</v>
      </c>
      <c r="T4844" t="s">
        <v>12902</v>
      </c>
      <c r="U4844" t="s">
        <v>12902</v>
      </c>
      <c r="V4844" t="s">
        <v>12902</v>
      </c>
      <c r="W4844" t="s">
        <v>17698</v>
      </c>
      <c r="X4844">
        <v>1</v>
      </c>
      <c r="Y4844" t="s">
        <v>23999</v>
      </c>
      <c r="Z4844" t="s">
        <v>30419</v>
      </c>
      <c r="AA4844">
        <v>0.31914992136857628</v>
      </c>
      <c r="AB4844" t="str">
        <f>HYPERLINK("Melting_Curves/meltCurve_Q96CS2_HAUS1.pdf", "Melting_Curves/meltCurve_Q96CS2_HAUS1.pdf")</f>
        <v>Melting_Curves/meltCurve_Q96CS2_HAUS1.pdf</v>
      </c>
    </row>
    <row r="4845" spans="1:28" x14ac:dyDescent="0.25">
      <c r="A4845" t="s">
        <v>4849</v>
      </c>
      <c r="B4845">
        <v>0.99673306730245903</v>
      </c>
      <c r="C4845">
        <v>0.97549503759851597</v>
      </c>
      <c r="D4845">
        <v>0.78435885133201999</v>
      </c>
      <c r="E4845">
        <v>0.50654162414479098</v>
      </c>
      <c r="F4845">
        <v>0.29322905164430602</v>
      </c>
      <c r="G4845">
        <v>0.209387701473226</v>
      </c>
      <c r="H4845">
        <v>0.13744376798796601</v>
      </c>
      <c r="I4845">
        <v>0.12712787923496899</v>
      </c>
      <c r="J4845">
        <v>0.15027608776618201</v>
      </c>
      <c r="K4845">
        <v>0.12142342668901</v>
      </c>
      <c r="L4845">
        <v>919.49159635103899</v>
      </c>
      <c r="M4845">
        <v>18.782461313805001</v>
      </c>
      <c r="N4845">
        <v>49.743506279010901</v>
      </c>
      <c r="O4845">
        <v>48.409997356171999</v>
      </c>
      <c r="P4845">
        <v>-8.4509394499359999E-2</v>
      </c>
      <c r="Q4845">
        <v>0.128776938192213</v>
      </c>
      <c r="R4845">
        <v>0.99782357887728901</v>
      </c>
      <c r="S4845" t="s">
        <v>11297</v>
      </c>
      <c r="T4845" t="s">
        <v>12902</v>
      </c>
      <c r="U4845" t="s">
        <v>12902</v>
      </c>
      <c r="V4845" t="s">
        <v>12902</v>
      </c>
      <c r="W4845" t="s">
        <v>17699</v>
      </c>
      <c r="X4845">
        <v>10</v>
      </c>
      <c r="Y4845" t="s">
        <v>24000</v>
      </c>
      <c r="Z4845" t="s">
        <v>30420</v>
      </c>
      <c r="AA4845">
        <v>0.40269787825924441</v>
      </c>
      <c r="AB4845" t="str">
        <f>HYPERLINK("Melting_Curves/meltCurve_Q96CS3_FAF2.pdf", "Melting_Curves/meltCurve_Q96CS3_FAF2.pdf")</f>
        <v>Melting_Curves/meltCurve_Q96CS3_FAF2.pdf</v>
      </c>
    </row>
    <row r="4846" spans="1:28" x14ac:dyDescent="0.25">
      <c r="A4846" t="s">
        <v>4850</v>
      </c>
      <c r="B4846">
        <v>0.99673306730245903</v>
      </c>
      <c r="C4846">
        <v>0.98062764052953899</v>
      </c>
      <c r="D4846">
        <v>0.97716872639341701</v>
      </c>
      <c r="E4846">
        <v>0.88982805326594305</v>
      </c>
      <c r="F4846">
        <v>0.84446182204220399</v>
      </c>
      <c r="G4846">
        <v>0.76534852233393202</v>
      </c>
      <c r="H4846">
        <v>0.673267967757045</v>
      </c>
      <c r="I4846">
        <v>0.95790800670851395</v>
      </c>
      <c r="J4846">
        <v>1.3671261415295799</v>
      </c>
      <c r="K4846">
        <v>1.3834405819195199</v>
      </c>
      <c r="L4846">
        <v>15000</v>
      </c>
      <c r="M4846">
        <v>226.61117706929701</v>
      </c>
      <c r="O4846">
        <v>66.187519582198604</v>
      </c>
      <c r="P4846">
        <v>0.32853391943978799</v>
      </c>
      <c r="Q4846">
        <v>1.38382652649816</v>
      </c>
      <c r="R4846">
        <v>0.58153471861030703</v>
      </c>
      <c r="S4846" t="s">
        <v>11298</v>
      </c>
      <c r="T4846" t="s">
        <v>12902</v>
      </c>
      <c r="U4846" t="s">
        <v>12902</v>
      </c>
      <c r="V4846" t="s">
        <v>12902</v>
      </c>
      <c r="W4846" t="s">
        <v>17700</v>
      </c>
      <c r="X4846">
        <v>24</v>
      </c>
      <c r="Y4846" t="s">
        <v>24001</v>
      </c>
      <c r="Z4846" t="s">
        <v>30421</v>
      </c>
      <c r="AA4846">
        <v>1.048657493204612</v>
      </c>
      <c r="AB4846" t="str">
        <f>HYPERLINK("Melting_Curves/meltCurve_Q96CT7_CCDC124.pdf", "Melting_Curves/meltCurve_Q96CT7_CCDC124.pdf")</f>
        <v>Melting_Curves/meltCurve_Q96CT7_CCDC124.pdf</v>
      </c>
    </row>
    <row r="4847" spans="1:28" x14ac:dyDescent="0.25">
      <c r="A4847" t="s">
        <v>4851</v>
      </c>
      <c r="B4847">
        <v>0.99673306730245903</v>
      </c>
      <c r="C4847">
        <v>0.89843750886079099</v>
      </c>
      <c r="D4847">
        <v>0.82554006177863803</v>
      </c>
      <c r="E4847">
        <v>0.75635112632815604</v>
      </c>
      <c r="F4847">
        <v>0.37644200104467501</v>
      </c>
      <c r="G4847">
        <v>0.193012477074328</v>
      </c>
      <c r="H4847">
        <v>8.4404997054153899E-2</v>
      </c>
      <c r="I4847">
        <v>5.7161425396640202E-2</v>
      </c>
      <c r="J4847">
        <v>5.9854697580105802E-2</v>
      </c>
      <c r="K4847">
        <v>4.72612809751169E-2</v>
      </c>
      <c r="L4847">
        <v>838.65203037334504</v>
      </c>
      <c r="M4847">
        <v>16.204569078727602</v>
      </c>
      <c r="N4847">
        <v>51.881873524299799</v>
      </c>
      <c r="O4847">
        <v>50.985104389938797</v>
      </c>
      <c r="P4847">
        <v>-7.7908236318131596E-2</v>
      </c>
      <c r="Q4847">
        <v>1.9569141346934601E-2</v>
      </c>
      <c r="R4847">
        <v>0.98823090454314</v>
      </c>
      <c r="S4847" t="s">
        <v>11299</v>
      </c>
      <c r="T4847" t="s">
        <v>12902</v>
      </c>
      <c r="U4847" t="s">
        <v>12902</v>
      </c>
      <c r="V4847" t="s">
        <v>12902</v>
      </c>
      <c r="W4847" t="s">
        <v>17701</v>
      </c>
      <c r="X4847">
        <v>13</v>
      </c>
      <c r="Y4847" t="s">
        <v>24002</v>
      </c>
      <c r="Z4847" t="s">
        <v>30422</v>
      </c>
      <c r="AA4847">
        <v>0.42324105047925958</v>
      </c>
      <c r="AB4847" t="str">
        <f>HYPERLINK("Melting_Curves/meltCurve_Q96CU9_FOXRED1.pdf", "Melting_Curves/meltCurve_Q96CU9_FOXRED1.pdf")</f>
        <v>Melting_Curves/meltCurve_Q96CU9_FOXRED1.pdf</v>
      </c>
    </row>
    <row r="4848" spans="1:28" x14ac:dyDescent="0.25">
      <c r="A4848" t="s">
        <v>4852</v>
      </c>
      <c r="B4848">
        <v>0.99673306730245903</v>
      </c>
      <c r="C4848">
        <v>0.86934963272745203</v>
      </c>
      <c r="D4848">
        <v>0.65259431037198001</v>
      </c>
      <c r="E4848">
        <v>0.43226127996137098</v>
      </c>
      <c r="F4848">
        <v>0.30710764647158501</v>
      </c>
      <c r="G4848">
        <v>0.218068493015418</v>
      </c>
      <c r="H4848">
        <v>0.17634941408820301</v>
      </c>
      <c r="I4848">
        <v>0.19497111590890701</v>
      </c>
      <c r="J4848">
        <v>0.27904775322856001</v>
      </c>
      <c r="K4848">
        <v>0.31158510587884197</v>
      </c>
      <c r="L4848">
        <v>912.24540094220595</v>
      </c>
      <c r="M4848">
        <v>19.588044767716202</v>
      </c>
      <c r="N4848">
        <v>48.117093658724002</v>
      </c>
      <c r="O4848">
        <v>46.094299701648197</v>
      </c>
      <c r="P4848">
        <v>-8.14365394499664E-2</v>
      </c>
      <c r="Q4848">
        <v>0.23348600793670601</v>
      </c>
      <c r="R4848">
        <v>0.97854632453882695</v>
      </c>
      <c r="S4848" t="s">
        <v>11300</v>
      </c>
      <c r="T4848" t="s">
        <v>12902</v>
      </c>
      <c r="U4848" t="s">
        <v>12902</v>
      </c>
      <c r="V4848" t="s">
        <v>12902</v>
      </c>
      <c r="W4848" t="s">
        <v>17702</v>
      </c>
      <c r="X4848">
        <v>5</v>
      </c>
      <c r="Y4848" t="s">
        <v>24003</v>
      </c>
      <c r="Z4848" t="s">
        <v>30423</v>
      </c>
      <c r="AA4848">
        <v>0.41338323603930233</v>
      </c>
      <c r="AB4848" t="str">
        <f>HYPERLINK("Melting_Curves/meltCurve_Q96CV9_3_OPTN.pdf", "Melting_Curves/meltCurve_Q96CV9_3_OPTN.pdf")</f>
        <v>Melting_Curves/meltCurve_Q96CV9_3_OPTN.pdf</v>
      </c>
    </row>
    <row r="4849" spans="1:28" x14ac:dyDescent="0.25">
      <c r="A4849" t="s">
        <v>4853</v>
      </c>
      <c r="B4849">
        <v>0.99673306730245903</v>
      </c>
      <c r="C4849">
        <v>0.96353584123786395</v>
      </c>
      <c r="D4849">
        <v>0.99700944150180404</v>
      </c>
      <c r="E4849">
        <v>1.03630431593677</v>
      </c>
      <c r="F4849">
        <v>0.57042208280540996</v>
      </c>
      <c r="G4849">
        <v>0.30252530788409598</v>
      </c>
      <c r="H4849">
        <v>0.17574942292894</v>
      </c>
      <c r="I4849">
        <v>0.14115284509088799</v>
      </c>
      <c r="J4849">
        <v>0.133421239382047</v>
      </c>
      <c r="K4849">
        <v>0.13189609007804301</v>
      </c>
      <c r="L4849">
        <v>1866.5525456851401</v>
      </c>
      <c r="M4849">
        <v>34.9019669437372</v>
      </c>
      <c r="N4849">
        <v>54.031994780444997</v>
      </c>
      <c r="O4849">
        <v>53.305212258618702</v>
      </c>
      <c r="P4849">
        <v>-0.139137610990722</v>
      </c>
      <c r="Q4849">
        <v>0.14999251083735901</v>
      </c>
      <c r="R4849">
        <v>0.99018095772926695</v>
      </c>
      <c r="S4849" t="s">
        <v>11301</v>
      </c>
      <c r="T4849" t="s">
        <v>12902</v>
      </c>
      <c r="U4849" t="s">
        <v>12902</v>
      </c>
      <c r="V4849" t="s">
        <v>12902</v>
      </c>
      <c r="W4849" t="s">
        <v>17703</v>
      </c>
      <c r="X4849">
        <v>17</v>
      </c>
      <c r="Y4849" t="s">
        <v>24004</v>
      </c>
      <c r="Z4849" t="s">
        <v>30424</v>
      </c>
      <c r="AA4849">
        <v>0.5360442572128139</v>
      </c>
      <c r="AB4849" t="str">
        <f>HYPERLINK("Melting_Curves/meltCurve_Q96CW1_2_AP2M1.pdf", "Melting_Curves/meltCurve_Q96CW1_2_AP2M1.pdf")</f>
        <v>Melting_Curves/meltCurve_Q96CW1_2_AP2M1.pdf</v>
      </c>
    </row>
    <row r="4850" spans="1:28" x14ac:dyDescent="0.25">
      <c r="A4850" t="s">
        <v>4854</v>
      </c>
      <c r="B4850">
        <v>0.99673306730245903</v>
      </c>
      <c r="C4850">
        <v>0.90691226503687195</v>
      </c>
      <c r="D4850">
        <v>0.93996888422750402</v>
      </c>
      <c r="E4850">
        <v>0.68249616723743101</v>
      </c>
      <c r="F4850">
        <v>0.22446903403113999</v>
      </c>
      <c r="G4850">
        <v>0.149629903033594</v>
      </c>
      <c r="H4850">
        <v>7.8629290018842696E-2</v>
      </c>
      <c r="I4850">
        <v>0.10083093205098401</v>
      </c>
      <c r="J4850">
        <v>0.120943943989857</v>
      </c>
      <c r="K4850">
        <v>0.11911606869869</v>
      </c>
      <c r="L4850">
        <v>1642.1253584744099</v>
      </c>
      <c r="M4850">
        <v>32.577108566419597</v>
      </c>
      <c r="N4850">
        <v>50.7787139004474</v>
      </c>
      <c r="O4850">
        <v>50.218543304915798</v>
      </c>
      <c r="P4850">
        <v>-0.14498659507680101</v>
      </c>
      <c r="Q4850">
        <v>0.106000435647991</v>
      </c>
      <c r="R4850">
        <v>0.99225510745338297</v>
      </c>
      <c r="S4850" t="s">
        <v>11302</v>
      </c>
      <c r="T4850" t="s">
        <v>12902</v>
      </c>
      <c r="U4850" t="s">
        <v>12902</v>
      </c>
      <c r="V4850" t="s">
        <v>12902</v>
      </c>
      <c r="W4850" t="s">
        <v>17704</v>
      </c>
      <c r="X4850">
        <v>6</v>
      </c>
      <c r="Y4850" t="s">
        <v>24005</v>
      </c>
      <c r="Z4850" t="s">
        <v>30425</v>
      </c>
      <c r="AA4850">
        <v>0.42085310801474868</v>
      </c>
      <c r="AB4850" t="str">
        <f>HYPERLINK("Melting_Curves/meltCurve_Q96CW5_TUBGCP3.pdf", "Melting_Curves/meltCurve_Q96CW5_TUBGCP3.pdf")</f>
        <v>Melting_Curves/meltCurve_Q96CW5_TUBGCP3.pdf</v>
      </c>
    </row>
    <row r="4851" spans="1:28" x14ac:dyDescent="0.25">
      <c r="A4851" t="s">
        <v>4855</v>
      </c>
      <c r="B4851">
        <v>0.99673306730245903</v>
      </c>
      <c r="C4851">
        <v>1.0523940355172701</v>
      </c>
      <c r="D4851">
        <v>0.97045673531105803</v>
      </c>
      <c r="E4851">
        <v>0.79185053402623595</v>
      </c>
      <c r="F4851">
        <v>0.59860896765035199</v>
      </c>
      <c r="G4851">
        <v>0.37309534343886003</v>
      </c>
      <c r="H4851">
        <v>0.210123137506909</v>
      </c>
      <c r="I4851">
        <v>0.201085124923786</v>
      </c>
      <c r="J4851">
        <v>0.28822964991669803</v>
      </c>
      <c r="K4851">
        <v>0.28160742676161798</v>
      </c>
      <c r="L4851">
        <v>1120.8446687646001</v>
      </c>
      <c r="M4851">
        <v>21.337550142380699</v>
      </c>
      <c r="N4851">
        <v>54.132810105932897</v>
      </c>
      <c r="O4851">
        <v>52.074374989980598</v>
      </c>
      <c r="P4851">
        <v>-7.8442727276793606E-2</v>
      </c>
      <c r="Q4851">
        <v>0.23426043175644101</v>
      </c>
      <c r="R4851">
        <v>0.98460505231017303</v>
      </c>
      <c r="S4851" t="s">
        <v>11303</v>
      </c>
      <c r="T4851" t="s">
        <v>12902</v>
      </c>
      <c r="U4851" t="s">
        <v>12902</v>
      </c>
      <c r="V4851" t="s">
        <v>12902</v>
      </c>
      <c r="W4851" t="s">
        <v>17705</v>
      </c>
      <c r="X4851">
        <v>5</v>
      </c>
      <c r="Y4851" t="s">
        <v>24006</v>
      </c>
      <c r="Z4851" t="s">
        <v>30426</v>
      </c>
      <c r="AA4851">
        <v>0.56348559668331266</v>
      </c>
      <c r="AB4851" t="str">
        <f>HYPERLINK("Melting_Curves/meltCurve_Q96CW6_SLC7A6OS.pdf", "Melting_Curves/meltCurve_Q96CW6_SLC7A6OS.pdf")</f>
        <v>Melting_Curves/meltCurve_Q96CW6_SLC7A6OS.pdf</v>
      </c>
    </row>
    <row r="4852" spans="1:28" x14ac:dyDescent="0.25">
      <c r="A4852" t="s">
        <v>4856</v>
      </c>
      <c r="B4852">
        <v>0.99673306730245903</v>
      </c>
      <c r="C4852">
        <v>0.98662966480535896</v>
      </c>
      <c r="D4852">
        <v>1.0298115319460099</v>
      </c>
      <c r="E4852">
        <v>1.01240062445765</v>
      </c>
      <c r="F4852">
        <v>0.917613481510549</v>
      </c>
      <c r="G4852">
        <v>0.72282122378343605</v>
      </c>
      <c r="H4852">
        <v>0.482739426943043</v>
      </c>
      <c r="I4852">
        <v>0.36444619777719101</v>
      </c>
      <c r="J4852">
        <v>0.21815661639687001</v>
      </c>
      <c r="K4852">
        <v>0.15266841272019099</v>
      </c>
      <c r="L4852">
        <v>998.79134159061596</v>
      </c>
      <c r="M4852">
        <v>16.632338970569698</v>
      </c>
      <c r="N4852">
        <v>60.749740547800698</v>
      </c>
      <c r="O4852">
        <v>59.203216216560598</v>
      </c>
      <c r="P4852">
        <v>-6.4125228924396205E-2</v>
      </c>
      <c r="Q4852">
        <v>8.7040211360307304E-2</v>
      </c>
      <c r="R4852">
        <v>0.99518177039965705</v>
      </c>
      <c r="S4852" t="s">
        <v>11304</v>
      </c>
      <c r="T4852" t="s">
        <v>12902</v>
      </c>
      <c r="U4852" t="s">
        <v>12902</v>
      </c>
      <c r="V4852" t="s">
        <v>12902</v>
      </c>
      <c r="W4852" t="s">
        <v>17706</v>
      </c>
      <c r="X4852">
        <v>10</v>
      </c>
      <c r="Y4852" t="s">
        <v>24007</v>
      </c>
      <c r="Z4852" t="s">
        <v>30427</v>
      </c>
      <c r="AA4852">
        <v>0.7042814867463878</v>
      </c>
      <c r="AB4852" t="str">
        <f>HYPERLINK("Melting_Curves/meltCurve_Q96CX2_KCTD12.pdf", "Melting_Curves/meltCurve_Q96CX2_KCTD12.pdf")</f>
        <v>Melting_Curves/meltCurve_Q96CX2_KCTD12.pdf</v>
      </c>
    </row>
    <row r="4853" spans="1:28" x14ac:dyDescent="0.25">
      <c r="A4853" t="s">
        <v>4857</v>
      </c>
      <c r="B4853">
        <v>0.99673306730245903</v>
      </c>
      <c r="C4853">
        <v>0.87865901528156798</v>
      </c>
      <c r="D4853">
        <v>0.85453757804473296</v>
      </c>
      <c r="E4853">
        <v>0.71837483445429595</v>
      </c>
      <c r="F4853">
        <v>0.53164967871991797</v>
      </c>
      <c r="G4853">
        <v>0.26534273400791802</v>
      </c>
      <c r="H4853">
        <v>0.31416505943638101</v>
      </c>
      <c r="I4853">
        <v>0.27058557809775902</v>
      </c>
      <c r="J4853">
        <v>0.29422395179909899</v>
      </c>
      <c r="K4853">
        <v>0.261740362127515</v>
      </c>
      <c r="L4853">
        <v>767.37138620987696</v>
      </c>
      <c r="M4853">
        <v>15.148870820754301</v>
      </c>
      <c r="N4853">
        <v>52.991975399605998</v>
      </c>
      <c r="O4853">
        <v>49.797245606145999</v>
      </c>
      <c r="P4853">
        <v>-5.7529876572760499E-2</v>
      </c>
      <c r="Q4853">
        <v>0.243626536390085</v>
      </c>
      <c r="R4853">
        <v>0.97407858996210706</v>
      </c>
      <c r="S4853" t="s">
        <v>11305</v>
      </c>
      <c r="T4853" t="s">
        <v>12902</v>
      </c>
      <c r="U4853" t="s">
        <v>12902</v>
      </c>
      <c r="V4853" t="s">
        <v>12902</v>
      </c>
      <c r="W4853" t="s">
        <v>17707</v>
      </c>
      <c r="X4853">
        <v>1</v>
      </c>
      <c r="Y4853" t="s">
        <v>24008</v>
      </c>
      <c r="Z4853" t="s">
        <v>30428</v>
      </c>
      <c r="AA4853">
        <v>0.52964631249096006</v>
      </c>
      <c r="AB4853" t="str">
        <f>HYPERLINK("Melting_Curves/meltCurve_Q96D31_2_ORAI1.pdf", "Melting_Curves/meltCurve_Q96D31_2_ORAI1.pdf")</f>
        <v>Melting_Curves/meltCurve_Q96D31_2_ORAI1.pdf</v>
      </c>
    </row>
    <row r="4854" spans="1:28" x14ac:dyDescent="0.25">
      <c r="A4854" t="s">
        <v>4858</v>
      </c>
      <c r="B4854">
        <v>0.99673306730245903</v>
      </c>
      <c r="C4854">
        <v>1.0125692880147299</v>
      </c>
      <c r="D4854">
        <v>0.853449980921554</v>
      </c>
      <c r="E4854">
        <v>0.71749070467225196</v>
      </c>
      <c r="F4854">
        <v>0.70822931354278795</v>
      </c>
      <c r="G4854">
        <v>0.397828698341261</v>
      </c>
      <c r="H4854">
        <v>0.271551163415787</v>
      </c>
      <c r="I4854">
        <v>0.195860744003309</v>
      </c>
      <c r="J4854">
        <v>0.100289524420672</v>
      </c>
      <c r="K4854">
        <v>3.6411894533117099E-2</v>
      </c>
      <c r="L4854">
        <v>627.96181378542701</v>
      </c>
      <c r="M4854">
        <v>11.351813483597599</v>
      </c>
      <c r="N4854">
        <v>55.318193402624303</v>
      </c>
      <c r="O4854">
        <v>53.684941916824997</v>
      </c>
      <c r="P4854">
        <v>-5.2878914012812701E-2</v>
      </c>
      <c r="Q4854">
        <v>0</v>
      </c>
      <c r="R4854">
        <v>0.98091713555323301</v>
      </c>
      <c r="S4854" t="s">
        <v>11306</v>
      </c>
      <c r="T4854" t="s">
        <v>12902</v>
      </c>
      <c r="U4854" t="s">
        <v>12902</v>
      </c>
      <c r="V4854" t="s">
        <v>12902</v>
      </c>
      <c r="W4854" t="s">
        <v>17708</v>
      </c>
      <c r="X4854">
        <v>3</v>
      </c>
      <c r="Y4854" t="s">
        <v>24009</v>
      </c>
      <c r="Z4854" t="s">
        <v>30429</v>
      </c>
      <c r="AA4854">
        <v>0.53383237221624091</v>
      </c>
      <c r="AB4854" t="str">
        <f>HYPERLINK("Melting_Curves/meltCurve_Q96D53_2_ADCK4.pdf", "Melting_Curves/meltCurve_Q96D53_2_ADCK4.pdf")</f>
        <v>Melting_Curves/meltCurve_Q96D53_2_ADCK4.pdf</v>
      </c>
    </row>
    <row r="4855" spans="1:28" x14ac:dyDescent="0.25">
      <c r="A4855" t="s">
        <v>4859</v>
      </c>
      <c r="B4855">
        <v>0.99673306730245903</v>
      </c>
      <c r="C4855">
        <v>0.79522397508317</v>
      </c>
      <c r="D4855">
        <v>0.43223165307785499</v>
      </c>
      <c r="E4855">
        <v>0.24517849245805301</v>
      </c>
      <c r="F4855">
        <v>0.18316543307013999</v>
      </c>
      <c r="G4855">
        <v>0.142569233389327</v>
      </c>
      <c r="H4855">
        <v>9.7075798186336701E-2</v>
      </c>
      <c r="I4855">
        <v>0.10600582109559201</v>
      </c>
      <c r="J4855">
        <v>0.136735332181912</v>
      </c>
      <c r="K4855">
        <v>0.134619123569581</v>
      </c>
      <c r="L4855">
        <v>1077.01622336118</v>
      </c>
      <c r="M4855">
        <v>23.9344933514346</v>
      </c>
      <c r="N4855">
        <v>45.575224317261601</v>
      </c>
      <c r="O4855">
        <v>44.687902929049997</v>
      </c>
      <c r="P4855">
        <v>-0.116405475430726</v>
      </c>
      <c r="Q4855">
        <v>0.130654937141229</v>
      </c>
      <c r="R4855">
        <v>0.99367767371669002</v>
      </c>
      <c r="S4855" t="s">
        <v>11307</v>
      </c>
      <c r="T4855" t="s">
        <v>12902</v>
      </c>
      <c r="U4855" t="s">
        <v>12902</v>
      </c>
      <c r="V4855" t="s">
        <v>12902</v>
      </c>
      <c r="W4855" t="s">
        <v>17709</v>
      </c>
      <c r="X4855">
        <v>11</v>
      </c>
      <c r="Y4855" t="s">
        <v>24010</v>
      </c>
      <c r="Z4855" t="s">
        <v>30430</v>
      </c>
      <c r="AA4855">
        <v>0.28511981541746689</v>
      </c>
      <c r="AB4855" t="str">
        <f>HYPERLINK("Melting_Curves/meltCurve_Q96D71_3_REPS1.pdf", "Melting_Curves/meltCurve_Q96D71_3_REPS1.pdf")</f>
        <v>Melting_Curves/meltCurve_Q96D71_3_REPS1.pdf</v>
      </c>
    </row>
    <row r="4856" spans="1:28" x14ac:dyDescent="0.25">
      <c r="A4856" t="s">
        <v>4860</v>
      </c>
      <c r="B4856">
        <v>0.99673306730245903</v>
      </c>
      <c r="C4856">
        <v>0.95522871414474797</v>
      </c>
      <c r="D4856">
        <v>0.918384703248736</v>
      </c>
      <c r="E4856">
        <v>0.80010182095043703</v>
      </c>
      <c r="F4856">
        <v>0.62315801806285798</v>
      </c>
      <c r="G4856">
        <v>0.43658798117284497</v>
      </c>
      <c r="H4856">
        <v>0.23003870416216199</v>
      </c>
      <c r="I4856">
        <v>0.226836503250783</v>
      </c>
      <c r="J4856">
        <v>0.24146762884925299</v>
      </c>
      <c r="K4856">
        <v>0.262674027261452</v>
      </c>
      <c r="L4856">
        <v>854.80718913648695</v>
      </c>
      <c r="M4856">
        <v>16.075566895024899</v>
      </c>
      <c r="N4856">
        <v>54.940910890475998</v>
      </c>
      <c r="O4856">
        <v>52.371876068925502</v>
      </c>
      <c r="P4856">
        <v>-6.1255315250125897E-2</v>
      </c>
      <c r="Q4856">
        <v>0.201817561844956</v>
      </c>
      <c r="R4856">
        <v>0.99010891452426397</v>
      </c>
      <c r="S4856" t="s">
        <v>11308</v>
      </c>
      <c r="T4856" t="s">
        <v>12902</v>
      </c>
      <c r="U4856" t="s">
        <v>12902</v>
      </c>
      <c r="V4856" t="s">
        <v>12902</v>
      </c>
      <c r="W4856" t="s">
        <v>17710</v>
      </c>
      <c r="X4856">
        <v>8</v>
      </c>
      <c r="Y4856" t="s">
        <v>24011</v>
      </c>
      <c r="Z4856" t="s">
        <v>30431</v>
      </c>
      <c r="AA4856">
        <v>0.56779686318015188</v>
      </c>
      <c r="AB4856" t="str">
        <f>HYPERLINK("Melting_Curves/meltCurve_Q96DA6_DNAJC19.pdf", "Melting_Curves/meltCurve_Q96DA6_DNAJC19.pdf")</f>
        <v>Melting_Curves/meltCurve_Q96DA6_DNAJC19.pdf</v>
      </c>
    </row>
    <row r="4857" spans="1:28" x14ac:dyDescent="0.25">
      <c r="A4857" t="s">
        <v>4861</v>
      </c>
      <c r="B4857">
        <v>0.99673306730245903</v>
      </c>
      <c r="C4857">
        <v>0.85812182365882195</v>
      </c>
      <c r="D4857">
        <v>0.80447688755067703</v>
      </c>
      <c r="E4857">
        <v>0.922495383562139</v>
      </c>
      <c r="F4857">
        <v>0.35589705693517598</v>
      </c>
      <c r="G4857">
        <v>0.143117946476775</v>
      </c>
      <c r="H4857">
        <v>7.76358962976747E-2</v>
      </c>
      <c r="I4857">
        <v>6.1725847201471999E-2</v>
      </c>
      <c r="J4857">
        <v>5.61462126830349E-2</v>
      </c>
      <c r="K4857">
        <v>4.7136816168801797E-2</v>
      </c>
      <c r="L4857">
        <v>1939.92979876447</v>
      </c>
      <c r="M4857">
        <v>37.159524082097398</v>
      </c>
      <c r="N4857">
        <v>52.401069465078997</v>
      </c>
      <c r="O4857">
        <v>52.054950868987397</v>
      </c>
      <c r="P4857">
        <v>-0.16690557660689001</v>
      </c>
      <c r="Q4857">
        <v>6.4763334696231703E-2</v>
      </c>
      <c r="R4857">
        <v>0.96090550764030602</v>
      </c>
      <c r="S4857" t="s">
        <v>11309</v>
      </c>
      <c r="T4857" t="s">
        <v>12902</v>
      </c>
      <c r="U4857" t="s">
        <v>12902</v>
      </c>
      <c r="V4857" t="s">
        <v>12902</v>
      </c>
      <c r="W4857" t="s">
        <v>17711</v>
      </c>
      <c r="X4857">
        <v>8</v>
      </c>
      <c r="Y4857" t="s">
        <v>24012</v>
      </c>
      <c r="Z4857" t="s">
        <v>30432</v>
      </c>
      <c r="AA4857">
        <v>0.44917372399940469</v>
      </c>
      <c r="AB4857" t="str">
        <f>HYPERLINK("Melting_Curves/meltCurve_Q96DB5_RMDN1.pdf", "Melting_Curves/meltCurve_Q96DB5_RMDN1.pdf")</f>
        <v>Melting_Curves/meltCurve_Q96DB5_RMDN1.pdf</v>
      </c>
    </row>
    <row r="4858" spans="1:28" x14ac:dyDescent="0.25">
      <c r="A4858" t="s">
        <v>4862</v>
      </c>
      <c r="B4858">
        <v>0.99673306730245903</v>
      </c>
      <c r="C4858">
        <v>0.92429362134047099</v>
      </c>
      <c r="D4858">
        <v>0.80553809792370001</v>
      </c>
      <c r="E4858">
        <v>0.75949929213423295</v>
      </c>
      <c r="F4858">
        <v>0.73885294674053104</v>
      </c>
      <c r="G4858">
        <v>0.81606621032309501</v>
      </c>
      <c r="H4858">
        <v>0.62983696816476997</v>
      </c>
      <c r="I4858">
        <v>0.90283042101994204</v>
      </c>
      <c r="J4858">
        <v>0.88895590199825603</v>
      </c>
      <c r="K4858">
        <v>0.98189970559907203</v>
      </c>
      <c r="L4858">
        <v>10740.5807671047</v>
      </c>
      <c r="M4858">
        <v>250</v>
      </c>
      <c r="O4858">
        <v>42.959573690834397</v>
      </c>
      <c r="P4858">
        <v>-0.26851561012620001</v>
      </c>
      <c r="Q4858">
        <v>0.81543494165326402</v>
      </c>
      <c r="R4858">
        <v>0.30092628248331599</v>
      </c>
      <c r="S4858" t="s">
        <v>11310</v>
      </c>
      <c r="T4858" t="s">
        <v>12902</v>
      </c>
      <c r="U4858" t="s">
        <v>12902</v>
      </c>
      <c r="V4858" t="s">
        <v>12902</v>
      </c>
      <c r="W4858" t="s">
        <v>17712</v>
      </c>
      <c r="X4858">
        <v>1</v>
      </c>
      <c r="Y4858" t="s">
        <v>24013</v>
      </c>
      <c r="Z4858" t="s">
        <v>30433</v>
      </c>
      <c r="AA4858">
        <v>0.83367356853508845</v>
      </c>
      <c r="AB4858" t="str">
        <f>HYPERLINK("Melting_Curves/meltCurve_Q96DD7_SHISA4.pdf", "Melting_Curves/meltCurve_Q96DD7_SHISA4.pdf")</f>
        <v>Melting_Curves/meltCurve_Q96DD7_SHISA4.pdf</v>
      </c>
    </row>
    <row r="4859" spans="1:28" x14ac:dyDescent="0.25">
      <c r="A4859" t="s">
        <v>4863</v>
      </c>
      <c r="B4859">
        <v>0.99673306730245903</v>
      </c>
      <c r="C4859">
        <v>0.99558405562966701</v>
      </c>
      <c r="D4859">
        <v>0.928446398016047</v>
      </c>
      <c r="E4859">
        <v>0.85842669836450802</v>
      </c>
      <c r="F4859">
        <v>0.82368095145131504</v>
      </c>
      <c r="G4859">
        <v>0.74288695036583496</v>
      </c>
      <c r="H4859">
        <v>0.538822490545391</v>
      </c>
      <c r="I4859">
        <v>0.65690633924538799</v>
      </c>
      <c r="J4859">
        <v>0.69460410711324805</v>
      </c>
      <c r="K4859">
        <v>0.61365746165984003</v>
      </c>
      <c r="L4859">
        <v>735.63648842083205</v>
      </c>
      <c r="M4859">
        <v>14.0516251351526</v>
      </c>
      <c r="O4859">
        <v>51.326287932129503</v>
      </c>
      <c r="P4859">
        <v>-2.6525845848755201E-2</v>
      </c>
      <c r="Q4859">
        <v>0.61248721661273697</v>
      </c>
      <c r="R4859">
        <v>0.90045123233096602</v>
      </c>
      <c r="S4859" t="s">
        <v>11311</v>
      </c>
      <c r="T4859" t="s">
        <v>12902</v>
      </c>
      <c r="U4859" t="s">
        <v>12902</v>
      </c>
      <c r="V4859" t="s">
        <v>12902</v>
      </c>
      <c r="W4859" t="s">
        <v>17713</v>
      </c>
      <c r="X4859">
        <v>17</v>
      </c>
      <c r="Y4859" t="s">
        <v>24014</v>
      </c>
      <c r="Z4859" t="s">
        <v>30434</v>
      </c>
      <c r="AA4859">
        <v>0.78144576914852248</v>
      </c>
      <c r="AB4859" t="str">
        <f>HYPERLINK("Melting_Curves/meltCurve_Q96DE0_NUDT16.pdf", "Melting_Curves/meltCurve_Q96DE0_NUDT16.pdf")</f>
        <v>Melting_Curves/meltCurve_Q96DE0_NUDT16.pdf</v>
      </c>
    </row>
    <row r="4860" spans="1:28" x14ac:dyDescent="0.25">
      <c r="A4860" t="s">
        <v>4864</v>
      </c>
      <c r="B4860">
        <v>0.99673306730245903</v>
      </c>
      <c r="C4860">
        <v>0.89823351958351305</v>
      </c>
      <c r="D4860">
        <v>0.74445847942161503</v>
      </c>
      <c r="E4860">
        <v>0.53449309349582197</v>
      </c>
      <c r="F4860">
        <v>0.43014113425955303</v>
      </c>
      <c r="G4860">
        <v>0.31554179432997898</v>
      </c>
      <c r="H4860">
        <v>0.240553192910863</v>
      </c>
      <c r="I4860">
        <v>0.37140271098326999</v>
      </c>
      <c r="J4860">
        <v>0.75510195646286904</v>
      </c>
      <c r="K4860">
        <v>1.04566557010181</v>
      </c>
      <c r="L4860">
        <v>1438.37205474947</v>
      </c>
      <c r="M4860">
        <v>31.669712931315502</v>
      </c>
      <c r="O4860">
        <v>45.237969301164</v>
      </c>
      <c r="P4860">
        <v>-8.3216495925643397E-2</v>
      </c>
      <c r="Q4860">
        <v>0.52452674432544799</v>
      </c>
      <c r="R4860">
        <v>0.37308114481412102</v>
      </c>
      <c r="S4860" t="s">
        <v>11312</v>
      </c>
      <c r="T4860" t="s">
        <v>12902</v>
      </c>
      <c r="U4860" t="s">
        <v>12902</v>
      </c>
      <c r="V4860" t="s">
        <v>12902</v>
      </c>
      <c r="W4860" t="s">
        <v>17714</v>
      </c>
      <c r="X4860">
        <v>13</v>
      </c>
      <c r="Y4860" t="s">
        <v>24015</v>
      </c>
      <c r="Z4860" t="s">
        <v>30435</v>
      </c>
      <c r="AA4860">
        <v>0.61301727290024033</v>
      </c>
      <c r="AB4860" t="str">
        <f>HYPERLINK("Melting_Curves/meltCurve_Q96DF8_DGCR14.pdf", "Melting_Curves/meltCurve_Q96DF8_DGCR14.pdf")</f>
        <v>Melting_Curves/meltCurve_Q96DF8_DGCR14.pdf</v>
      </c>
    </row>
    <row r="4861" spans="1:28" x14ac:dyDescent="0.25">
      <c r="A4861" t="s">
        <v>4865</v>
      </c>
      <c r="B4861">
        <v>0.99673306730245903</v>
      </c>
      <c r="C4861">
        <v>0.96034661761484896</v>
      </c>
      <c r="D4861">
        <v>1.01798243740156</v>
      </c>
      <c r="E4861">
        <v>0.72245516580814395</v>
      </c>
      <c r="F4861">
        <v>0.43561842465533601</v>
      </c>
      <c r="G4861">
        <v>0.264569162045933</v>
      </c>
      <c r="H4861">
        <v>0.17626924348194301</v>
      </c>
      <c r="I4861">
        <v>8.21924561437989E-2</v>
      </c>
      <c r="J4861">
        <v>9.4076162699848295E-2</v>
      </c>
      <c r="K4861">
        <v>8.8016182751698299E-2</v>
      </c>
      <c r="L4861">
        <v>1023.6825205738201</v>
      </c>
      <c r="M4861">
        <v>19.6594005383939</v>
      </c>
      <c r="N4861">
        <v>52.600040665561998</v>
      </c>
      <c r="O4861">
        <v>51.541116157881902</v>
      </c>
      <c r="P4861">
        <v>-8.68053746639431E-2</v>
      </c>
      <c r="Q4861">
        <v>8.9720251090770503E-2</v>
      </c>
      <c r="R4861">
        <v>0.99215290058128502</v>
      </c>
      <c r="S4861" t="s">
        <v>11313</v>
      </c>
      <c r="T4861" t="s">
        <v>12902</v>
      </c>
      <c r="U4861" t="s">
        <v>12902</v>
      </c>
      <c r="V4861" t="s">
        <v>12902</v>
      </c>
      <c r="W4861" t="s">
        <v>17715</v>
      </c>
      <c r="X4861">
        <v>3</v>
      </c>
      <c r="Y4861" t="s">
        <v>24016</v>
      </c>
      <c r="Z4861" t="s">
        <v>30436</v>
      </c>
      <c r="AA4861">
        <v>0.46896740341786741</v>
      </c>
      <c r="AB4861" t="str">
        <f>HYPERLINK("Melting_Curves/meltCurve_Q96DG6_CMBL.pdf", "Melting_Curves/meltCurve_Q96DG6_CMBL.pdf")</f>
        <v>Melting_Curves/meltCurve_Q96DG6_CMBL.pdf</v>
      </c>
    </row>
    <row r="4862" spans="1:28" x14ac:dyDescent="0.25">
      <c r="A4862" t="s">
        <v>4866</v>
      </c>
      <c r="B4862">
        <v>0.99673306730245903</v>
      </c>
      <c r="C4862">
        <v>0.96589292676283001</v>
      </c>
      <c r="D4862">
        <v>1.10556737607972</v>
      </c>
      <c r="E4862">
        <v>1.29916380169276</v>
      </c>
      <c r="F4862">
        <v>0.99428154746798003</v>
      </c>
      <c r="G4862">
        <v>0.37030528089696602</v>
      </c>
      <c r="H4862">
        <v>0.11853101285784599</v>
      </c>
      <c r="I4862">
        <v>0.10842954528349601</v>
      </c>
      <c r="J4862">
        <v>0.111596501407785</v>
      </c>
      <c r="K4862">
        <v>0.102070423110365</v>
      </c>
      <c r="L4862">
        <v>4883.5891625190397</v>
      </c>
      <c r="M4862">
        <v>86.860876265187898</v>
      </c>
      <c r="N4862">
        <v>56.384091425651498</v>
      </c>
      <c r="O4862">
        <v>56.193333477775703</v>
      </c>
      <c r="P4862">
        <v>-0.34400166334181898</v>
      </c>
      <c r="Q4862">
        <v>0.109813310478533</v>
      </c>
      <c r="R4862">
        <v>0.95368053078914605</v>
      </c>
      <c r="S4862" t="s">
        <v>11314</v>
      </c>
      <c r="T4862" t="s">
        <v>12902</v>
      </c>
      <c r="U4862" t="s">
        <v>12902</v>
      </c>
      <c r="V4862" t="s">
        <v>12902</v>
      </c>
      <c r="W4862" t="s">
        <v>17716</v>
      </c>
      <c r="X4862">
        <v>4</v>
      </c>
      <c r="Y4862" t="s">
        <v>24017</v>
      </c>
      <c r="Z4862" t="s">
        <v>30437</v>
      </c>
      <c r="AA4862">
        <v>0.5919288446094717</v>
      </c>
      <c r="AB4862" t="str">
        <f>HYPERLINK("Melting_Curves/meltCurve_Q96DI7_SNRNP40.pdf", "Melting_Curves/meltCurve_Q96DI7_SNRNP40.pdf")</f>
        <v>Melting_Curves/meltCurve_Q96DI7_SNRNP40.pdf</v>
      </c>
    </row>
    <row r="4863" spans="1:28" x14ac:dyDescent="0.25">
      <c r="A4863" t="s">
        <v>4867</v>
      </c>
      <c r="B4863">
        <v>0.99673306730245903</v>
      </c>
      <c r="C4863">
        <v>0.91510971661625096</v>
      </c>
      <c r="D4863">
        <v>0.77287766459823004</v>
      </c>
      <c r="E4863">
        <v>0.35774463200654999</v>
      </c>
      <c r="F4863">
        <v>0.19862775843726599</v>
      </c>
      <c r="G4863">
        <v>8.9212027433935207E-2</v>
      </c>
      <c r="H4863">
        <v>4.1191165192756098E-2</v>
      </c>
      <c r="I4863">
        <v>3.3870838525082998E-2</v>
      </c>
      <c r="J4863">
        <v>2.0102011742423601E-2</v>
      </c>
      <c r="K4863">
        <v>1.31834286592292E-2</v>
      </c>
      <c r="L4863">
        <v>956.76112446348304</v>
      </c>
      <c r="M4863">
        <v>19.7676147592856</v>
      </c>
      <c r="N4863">
        <v>48.527794039270702</v>
      </c>
      <c r="O4863">
        <v>47.913272617232799</v>
      </c>
      <c r="P4863">
        <v>-0.100538820441902</v>
      </c>
      <c r="Q4863">
        <v>2.5278514871994701E-2</v>
      </c>
      <c r="R4863">
        <v>0.99691833350662395</v>
      </c>
      <c r="S4863" t="s">
        <v>11315</v>
      </c>
      <c r="T4863" t="s">
        <v>12902</v>
      </c>
      <c r="U4863" t="s">
        <v>12902</v>
      </c>
      <c r="V4863" t="s">
        <v>12902</v>
      </c>
      <c r="W4863" t="s">
        <v>17717</v>
      </c>
      <c r="X4863">
        <v>3</v>
      </c>
      <c r="Y4863" t="s">
        <v>24018</v>
      </c>
      <c r="Z4863" t="s">
        <v>30438</v>
      </c>
      <c r="AA4863">
        <v>0.31230686262485441</v>
      </c>
      <c r="AB4863" t="str">
        <f>HYPERLINK("Melting_Curves/meltCurve_Q96DR4_STARD4.pdf", "Melting_Curves/meltCurve_Q96DR4_STARD4.pdf")</f>
        <v>Melting_Curves/meltCurve_Q96DR4_STARD4.pdf</v>
      </c>
    </row>
    <row r="4864" spans="1:28" x14ac:dyDescent="0.25">
      <c r="A4864" t="s">
        <v>4868</v>
      </c>
      <c r="B4864">
        <v>0.99673306730245903</v>
      </c>
      <c r="C4864">
        <v>1.08802774265054</v>
      </c>
      <c r="D4864">
        <v>0.577686607566545</v>
      </c>
      <c r="E4864">
        <v>0.495812243682061</v>
      </c>
      <c r="F4864">
        <v>0.30331517520260798</v>
      </c>
      <c r="G4864">
        <v>0.32094198993761802</v>
      </c>
      <c r="H4864">
        <v>0.29043578653375701</v>
      </c>
      <c r="I4864">
        <v>0.19630057779998999</v>
      </c>
      <c r="J4864">
        <v>0.135714254310629</v>
      </c>
      <c r="K4864">
        <v>0.100284450192225</v>
      </c>
      <c r="L4864">
        <v>838.21799841408995</v>
      </c>
      <c r="M4864">
        <v>17.559935305187899</v>
      </c>
      <c r="N4864">
        <v>49.067566173445002</v>
      </c>
      <c r="O4864">
        <v>47.128524494561603</v>
      </c>
      <c r="P4864">
        <v>-7.5484830329665298E-2</v>
      </c>
      <c r="Q4864">
        <v>0.18967920903553101</v>
      </c>
      <c r="R4864">
        <v>0.921985562871382</v>
      </c>
      <c r="S4864" t="s">
        <v>11316</v>
      </c>
      <c r="T4864" t="s">
        <v>12902</v>
      </c>
      <c r="U4864" t="s">
        <v>12902</v>
      </c>
      <c r="V4864" t="s">
        <v>12902</v>
      </c>
      <c r="W4864" t="s">
        <v>17718</v>
      </c>
      <c r="X4864">
        <v>3</v>
      </c>
      <c r="Y4864" t="s">
        <v>24019</v>
      </c>
      <c r="Z4864" t="s">
        <v>30439</v>
      </c>
      <c r="AA4864">
        <v>0.41387625434476472</v>
      </c>
      <c r="AB4864" t="str">
        <f>HYPERLINK("Melting_Curves/meltCurve_Q96DV4_MRPL38.pdf", "Melting_Curves/meltCurve_Q96DV4_MRPL38.pdf")</f>
        <v>Melting_Curves/meltCurve_Q96DV4_MRPL38.pdf</v>
      </c>
    </row>
    <row r="4865" spans="1:28" x14ac:dyDescent="0.25">
      <c r="A4865" t="s">
        <v>4869</v>
      </c>
      <c r="B4865">
        <v>0.99673306730245903</v>
      </c>
      <c r="C4865">
        <v>0.91869318258037003</v>
      </c>
      <c r="D4865">
        <v>0.90310596525652598</v>
      </c>
      <c r="E4865">
        <v>0.77451996799776901</v>
      </c>
      <c r="F4865">
        <v>0.66378378818622796</v>
      </c>
      <c r="G4865">
        <v>0.42161340063222102</v>
      </c>
      <c r="H4865">
        <v>0.25473234578952703</v>
      </c>
      <c r="I4865">
        <v>0.243305808437497</v>
      </c>
      <c r="J4865">
        <v>0.18049839147883701</v>
      </c>
      <c r="K4865">
        <v>0.18735005311228001</v>
      </c>
      <c r="L4865">
        <v>668.9273306476</v>
      </c>
      <c r="M4865">
        <v>12.3301322542228</v>
      </c>
      <c r="N4865">
        <v>55.393017283048401</v>
      </c>
      <c r="O4865">
        <v>52.883655649575601</v>
      </c>
      <c r="P4865">
        <v>-5.1760469422374597E-2</v>
      </c>
      <c r="Q4865">
        <v>0.11219476903247</v>
      </c>
      <c r="R4865">
        <v>0.99145457389230596</v>
      </c>
      <c r="S4865" t="s">
        <v>11317</v>
      </c>
      <c r="T4865" t="s">
        <v>12902</v>
      </c>
      <c r="U4865" t="s">
        <v>12902</v>
      </c>
      <c r="V4865" t="s">
        <v>12902</v>
      </c>
      <c r="W4865" t="s">
        <v>17719</v>
      </c>
      <c r="X4865">
        <v>1</v>
      </c>
      <c r="Y4865" t="s">
        <v>24020</v>
      </c>
      <c r="Z4865" t="s">
        <v>30440</v>
      </c>
      <c r="AA4865">
        <v>0.55602669705081387</v>
      </c>
      <c r="AB4865" t="str">
        <f>HYPERLINK("Melting_Curves/meltCurve_Q96DX4_RSPRY1.pdf", "Melting_Curves/meltCurve_Q96DX4_RSPRY1.pdf")</f>
        <v>Melting_Curves/meltCurve_Q96DX4_RSPRY1.pdf</v>
      </c>
    </row>
    <row r="4866" spans="1:28" x14ac:dyDescent="0.25">
      <c r="A4866" t="s">
        <v>4870</v>
      </c>
      <c r="B4866">
        <v>0.99673306730245903</v>
      </c>
      <c r="C4866">
        <v>1.00062154745806</v>
      </c>
      <c r="D4866">
        <v>0.88067866475747802</v>
      </c>
      <c r="E4866">
        <v>0.88198633076022903</v>
      </c>
      <c r="F4866">
        <v>0.78242165019635701</v>
      </c>
      <c r="G4866">
        <v>0.57104717856559295</v>
      </c>
      <c r="H4866">
        <v>0.28782356259416803</v>
      </c>
      <c r="I4866">
        <v>0.229410895174603</v>
      </c>
      <c r="J4866">
        <v>0.25461723036391598</v>
      </c>
      <c r="K4866">
        <v>0.30131213683997599</v>
      </c>
      <c r="L4866">
        <v>1038.2302971295301</v>
      </c>
      <c r="M4866">
        <v>18.718448974800602</v>
      </c>
      <c r="N4866">
        <v>57.248152969032901</v>
      </c>
      <c r="O4866">
        <v>54.844196291355601</v>
      </c>
      <c r="P4866">
        <v>-6.6484763323121102E-2</v>
      </c>
      <c r="Q4866">
        <v>0.22084365973987999</v>
      </c>
      <c r="R4866">
        <v>0.97337977495297501</v>
      </c>
      <c r="S4866" t="s">
        <v>11318</v>
      </c>
      <c r="T4866" t="s">
        <v>12902</v>
      </c>
      <c r="U4866" t="s">
        <v>12902</v>
      </c>
      <c r="V4866" t="s">
        <v>12902</v>
      </c>
      <c r="W4866" t="s">
        <v>17720</v>
      </c>
      <c r="X4866">
        <v>3</v>
      </c>
      <c r="Y4866" t="s">
        <v>24021</v>
      </c>
      <c r="Z4866" t="s">
        <v>30441</v>
      </c>
      <c r="AA4866">
        <v>0.63373422958869363</v>
      </c>
      <c r="AB4866" t="str">
        <f>HYPERLINK("Melting_Curves/meltCurve_Q96DX5_2_ASB9.pdf", "Melting_Curves/meltCurve_Q96DX5_2_ASB9.pdf")</f>
        <v>Melting_Curves/meltCurve_Q96DX5_2_ASB9.pdf</v>
      </c>
    </row>
    <row r="4867" spans="1:28" x14ac:dyDescent="0.25">
      <c r="A4867" t="s">
        <v>4871</v>
      </c>
      <c r="B4867">
        <v>0.99673306730245903</v>
      </c>
      <c r="C4867">
        <v>1.00884377070249</v>
      </c>
      <c r="D4867">
        <v>1.0144739137160701</v>
      </c>
      <c r="E4867">
        <v>0.97437543546765404</v>
      </c>
      <c r="F4867">
        <v>0.65440343440944704</v>
      </c>
      <c r="G4867">
        <v>0.42938203797422297</v>
      </c>
      <c r="H4867">
        <v>0.32824151569684301</v>
      </c>
      <c r="I4867">
        <v>0.400815388780766</v>
      </c>
      <c r="J4867">
        <v>0.61018691660350699</v>
      </c>
      <c r="K4867">
        <v>0.52297729776853996</v>
      </c>
      <c r="L4867">
        <v>3634.6096469851</v>
      </c>
      <c r="M4867">
        <v>68.900439492780094</v>
      </c>
      <c r="N4867">
        <v>54.714550301959399</v>
      </c>
      <c r="O4867">
        <v>52.707232134481004</v>
      </c>
      <c r="P4867">
        <v>-0.17719944587238801</v>
      </c>
      <c r="Q4867">
        <v>0.45778632549124798</v>
      </c>
      <c r="R4867">
        <v>0.92964369265473801</v>
      </c>
      <c r="S4867" t="s">
        <v>11319</v>
      </c>
      <c r="T4867" t="s">
        <v>12902</v>
      </c>
      <c r="U4867" t="s">
        <v>12902</v>
      </c>
      <c r="V4867" t="s">
        <v>12902</v>
      </c>
      <c r="W4867" t="s">
        <v>17721</v>
      </c>
      <c r="X4867">
        <v>1</v>
      </c>
      <c r="Y4867" t="s">
        <v>24022</v>
      </c>
      <c r="Z4867" t="s">
        <v>30442</v>
      </c>
      <c r="AA4867">
        <v>0.68891903399497301</v>
      </c>
      <c r="AB4867" t="str">
        <f>HYPERLINK("Melting_Curves/meltCurve_Q96DX7_TRIM44.pdf", "Melting_Curves/meltCurve_Q96DX7_TRIM44.pdf")</f>
        <v>Melting_Curves/meltCurve_Q96DX7_TRIM44.pdf</v>
      </c>
    </row>
    <row r="4868" spans="1:28" x14ac:dyDescent="0.25">
      <c r="A4868" t="s">
        <v>4872</v>
      </c>
      <c r="B4868">
        <v>0.99673306730245903</v>
      </c>
      <c r="C4868">
        <v>0.94700649838653905</v>
      </c>
      <c r="D4868">
        <v>0.88296456320801397</v>
      </c>
      <c r="E4868">
        <v>0.71386885303730097</v>
      </c>
      <c r="F4868">
        <v>0.48634496513734199</v>
      </c>
      <c r="G4868">
        <v>0.325220326782935</v>
      </c>
      <c r="H4868">
        <v>0.21961273453602601</v>
      </c>
      <c r="I4868">
        <v>0.20507730239647901</v>
      </c>
      <c r="J4868">
        <v>0.20652531389287199</v>
      </c>
      <c r="K4868">
        <v>0.183230635368168</v>
      </c>
      <c r="L4868">
        <v>803.842714695322</v>
      </c>
      <c r="M4868">
        <v>15.6068341348149</v>
      </c>
      <c r="N4868">
        <v>52.903517812729802</v>
      </c>
      <c r="O4868">
        <v>50.682447101007398</v>
      </c>
      <c r="P4868">
        <v>-6.3982859895898497E-2</v>
      </c>
      <c r="Q4868">
        <v>0.16894716175963201</v>
      </c>
      <c r="R4868">
        <v>0.998902128112515</v>
      </c>
      <c r="S4868" t="s">
        <v>11320</v>
      </c>
      <c r="T4868" t="s">
        <v>12902</v>
      </c>
      <c r="U4868" t="s">
        <v>12902</v>
      </c>
      <c r="V4868" t="s">
        <v>12902</v>
      </c>
      <c r="W4868" t="s">
        <v>17722</v>
      </c>
      <c r="X4868">
        <v>8</v>
      </c>
      <c r="Y4868" t="s">
        <v>24023</v>
      </c>
      <c r="Z4868" t="s">
        <v>30443</v>
      </c>
      <c r="AA4868">
        <v>0.50540166708347911</v>
      </c>
      <c r="AB4868" t="str">
        <f>HYPERLINK("Melting_Curves/meltCurve_Q96DZ1_ERLEC1.pdf", "Melting_Curves/meltCurve_Q96DZ1_ERLEC1.pdf")</f>
        <v>Melting_Curves/meltCurve_Q96DZ1_ERLEC1.pdf</v>
      </c>
    </row>
    <row r="4869" spans="1:28" x14ac:dyDescent="0.25">
      <c r="A4869" t="s">
        <v>4873</v>
      </c>
      <c r="B4869">
        <v>0.99673306730245903</v>
      </c>
      <c r="C4869">
        <v>0.96401919335132602</v>
      </c>
      <c r="D4869">
        <v>0.99596765852060698</v>
      </c>
      <c r="E4869">
        <v>0.86925125352886801</v>
      </c>
      <c r="F4869">
        <v>0.72831408549576404</v>
      </c>
      <c r="G4869">
        <v>0.62793904843895298</v>
      </c>
      <c r="H4869">
        <v>0.50893618739328395</v>
      </c>
      <c r="I4869">
        <v>0.76289632457759304</v>
      </c>
      <c r="J4869">
        <v>1.22232024915532</v>
      </c>
      <c r="K4869">
        <v>1.1546751379490501</v>
      </c>
      <c r="L4869">
        <v>12334.7313135519</v>
      </c>
      <c r="M4869">
        <v>250</v>
      </c>
      <c r="O4869">
        <v>49.335765173743802</v>
      </c>
      <c r="P4869">
        <v>-0.21006542800689701</v>
      </c>
      <c r="Q4869">
        <v>0.83418017301982605</v>
      </c>
      <c r="R4869">
        <v>9.7753163850584704E-2</v>
      </c>
      <c r="S4869" t="s">
        <v>11321</v>
      </c>
      <c r="T4869" t="s">
        <v>12902</v>
      </c>
      <c r="U4869" t="s">
        <v>12902</v>
      </c>
      <c r="V4869" t="s">
        <v>12902</v>
      </c>
      <c r="W4869" t="s">
        <v>17723</v>
      </c>
      <c r="X4869">
        <v>5</v>
      </c>
      <c r="Y4869" t="s">
        <v>24024</v>
      </c>
      <c r="Z4869" t="s">
        <v>30444</v>
      </c>
      <c r="AA4869">
        <v>0.88581383019489124</v>
      </c>
      <c r="AB4869" t="str">
        <f>HYPERLINK("Melting_Curves/meltCurve_Q96E09_FAM122A.pdf", "Melting_Curves/meltCurve_Q96E09_FAM122A.pdf")</f>
        <v>Melting_Curves/meltCurve_Q96E09_FAM122A.pdf</v>
      </c>
    </row>
    <row r="4870" spans="1:28" x14ac:dyDescent="0.25">
      <c r="A4870" t="s">
        <v>4874</v>
      </c>
      <c r="B4870">
        <v>0.99673306730245903</v>
      </c>
      <c r="C4870">
        <v>1.00810423500775</v>
      </c>
      <c r="D4870">
        <v>0.94267249874752301</v>
      </c>
      <c r="E4870">
        <v>0.729393586056577</v>
      </c>
      <c r="F4870">
        <v>0.37127592413411098</v>
      </c>
      <c r="G4870">
        <v>0.26830283139101901</v>
      </c>
      <c r="H4870">
        <v>0.191512561364722</v>
      </c>
      <c r="I4870">
        <v>0.22710919188459899</v>
      </c>
      <c r="J4870">
        <v>0.29636551498938901</v>
      </c>
      <c r="K4870">
        <v>0.29515467545738699</v>
      </c>
      <c r="L4870">
        <v>1595.2378933714599</v>
      </c>
      <c r="M4870">
        <v>31.628257893427399</v>
      </c>
      <c r="N4870">
        <v>51.572053771607699</v>
      </c>
      <c r="O4870">
        <v>50.236764456175699</v>
      </c>
      <c r="P4870">
        <v>-0.117933853556715</v>
      </c>
      <c r="Q4870">
        <v>0.25072269755509702</v>
      </c>
      <c r="R4870">
        <v>0.99129789140588498</v>
      </c>
      <c r="S4870" t="s">
        <v>11322</v>
      </c>
      <c r="T4870" t="s">
        <v>12902</v>
      </c>
      <c r="U4870" t="s">
        <v>12902</v>
      </c>
      <c r="V4870" t="s">
        <v>12902</v>
      </c>
      <c r="W4870" t="s">
        <v>17724</v>
      </c>
      <c r="X4870">
        <v>13</v>
      </c>
      <c r="Y4870" t="s">
        <v>24025</v>
      </c>
      <c r="Z4870" t="s">
        <v>30445</v>
      </c>
      <c r="AA4870">
        <v>0.5155949376914285</v>
      </c>
      <c r="AB4870" t="str">
        <f>HYPERLINK("Melting_Curves/meltCurve_Q96E11_3_MRRF.pdf", "Melting_Curves/meltCurve_Q96E11_3_MRRF.pdf")</f>
        <v>Melting_Curves/meltCurve_Q96E11_3_MRRF.pdf</v>
      </c>
    </row>
    <row r="4871" spans="1:28" x14ac:dyDescent="0.25">
      <c r="A4871" t="s">
        <v>4875</v>
      </c>
      <c r="B4871">
        <v>0.99673306730245903</v>
      </c>
      <c r="C4871">
        <v>0.91668327217374801</v>
      </c>
      <c r="D4871">
        <v>0.65080907428423196</v>
      </c>
      <c r="E4871">
        <v>0.40697695275131901</v>
      </c>
      <c r="F4871">
        <v>0.286484803650359</v>
      </c>
      <c r="G4871">
        <v>0.173131793524892</v>
      </c>
      <c r="H4871">
        <v>0.117053672190051</v>
      </c>
      <c r="I4871">
        <v>0.128110155960241</v>
      </c>
      <c r="J4871">
        <v>0.16053685899961101</v>
      </c>
      <c r="K4871">
        <v>0.18116351989879101</v>
      </c>
      <c r="L4871">
        <v>867.47529636307797</v>
      </c>
      <c r="M4871">
        <v>18.324517958732901</v>
      </c>
      <c r="N4871">
        <v>48.242188563642003</v>
      </c>
      <c r="O4871">
        <v>46.786617651968498</v>
      </c>
      <c r="P4871">
        <v>-8.3709195617318904E-2</v>
      </c>
      <c r="Q4871">
        <v>0.14512560779419401</v>
      </c>
      <c r="R4871">
        <v>0.99204526380306401</v>
      </c>
      <c r="S4871" t="s">
        <v>11323</v>
      </c>
      <c r="T4871" t="s">
        <v>12902</v>
      </c>
      <c r="U4871" t="s">
        <v>12902</v>
      </c>
      <c r="V4871" t="s">
        <v>12902</v>
      </c>
      <c r="W4871" t="s">
        <v>17725</v>
      </c>
      <c r="X4871">
        <v>2</v>
      </c>
      <c r="Y4871" t="s">
        <v>24026</v>
      </c>
      <c r="Z4871" t="s">
        <v>30446</v>
      </c>
      <c r="AA4871">
        <v>0.36921826506654692</v>
      </c>
      <c r="AB4871" t="str">
        <f>HYPERLINK("Melting_Curves/meltCurve_Q96E14_RMI2.pdf", "Melting_Curves/meltCurve_Q96E14_RMI2.pdf")</f>
        <v>Melting_Curves/meltCurve_Q96E14_RMI2.pdf</v>
      </c>
    </row>
    <row r="4872" spans="1:28" x14ac:dyDescent="0.25">
      <c r="A4872" t="s">
        <v>4876</v>
      </c>
      <c r="B4872">
        <v>0.99673306730245903</v>
      </c>
      <c r="C4872">
        <v>1.00020899882001</v>
      </c>
      <c r="D4872">
        <v>0.94422090607638998</v>
      </c>
      <c r="E4872">
        <v>0.85581488129874606</v>
      </c>
      <c r="F4872">
        <v>0.72145959532628101</v>
      </c>
      <c r="G4872">
        <v>0.47345983247253598</v>
      </c>
      <c r="H4872">
        <v>0.169618372642072</v>
      </c>
      <c r="I4872">
        <v>0.10550428051566001</v>
      </c>
      <c r="J4872">
        <v>8.5269879310185606E-2</v>
      </c>
      <c r="K4872">
        <v>7.7792788997081794E-2</v>
      </c>
      <c r="L4872">
        <v>947.36907253675304</v>
      </c>
      <c r="M4872">
        <v>16.978972445661</v>
      </c>
      <c r="N4872">
        <v>55.952052596601</v>
      </c>
      <c r="O4872">
        <v>55.039877349093999</v>
      </c>
      <c r="P4872">
        <v>-7.5349253306690497E-2</v>
      </c>
      <c r="Q4872">
        <v>2.3037465429967801E-2</v>
      </c>
      <c r="R4872">
        <v>0.99505136505000202</v>
      </c>
      <c r="S4872" t="s">
        <v>11324</v>
      </c>
      <c r="T4872" t="s">
        <v>12902</v>
      </c>
      <c r="U4872" t="s">
        <v>12902</v>
      </c>
      <c r="V4872" t="s">
        <v>12902</v>
      </c>
      <c r="W4872" t="s">
        <v>17726</v>
      </c>
      <c r="X4872">
        <v>4</v>
      </c>
      <c r="Y4872" t="s">
        <v>24027</v>
      </c>
      <c r="Z4872" t="s">
        <v>30447</v>
      </c>
      <c r="AA4872">
        <v>0.55304953701979254</v>
      </c>
      <c r="AB4872" t="str">
        <f>HYPERLINK("Melting_Curves/meltCurve_Q96E22_NUS1.pdf", "Melting_Curves/meltCurve_Q96E22_NUS1.pdf")</f>
        <v>Melting_Curves/meltCurve_Q96E22_NUS1.pdf</v>
      </c>
    </row>
    <row r="4873" spans="1:28" x14ac:dyDescent="0.25">
      <c r="A4873" t="s">
        <v>4877</v>
      </c>
      <c r="B4873">
        <v>0.99673306730245903</v>
      </c>
      <c r="C4873">
        <v>0.968533612689641</v>
      </c>
      <c r="D4873">
        <v>0.73705890080065395</v>
      </c>
      <c r="E4873">
        <v>0.80098851263113302</v>
      </c>
      <c r="F4873">
        <v>0.65272747387126795</v>
      </c>
      <c r="G4873">
        <v>0.49008527209463498</v>
      </c>
      <c r="H4873">
        <v>0.40749001224825099</v>
      </c>
      <c r="I4873">
        <v>0.24689610836032999</v>
      </c>
      <c r="J4873">
        <v>0.26961753585133202</v>
      </c>
      <c r="K4873">
        <v>0.20243726356078501</v>
      </c>
      <c r="L4873">
        <v>428.79585717991301</v>
      </c>
      <c r="M4873">
        <v>7.5332528018494997</v>
      </c>
      <c r="N4873">
        <v>56.946523861840902</v>
      </c>
      <c r="O4873">
        <v>53.323946083939497</v>
      </c>
      <c r="P4873">
        <v>-3.5307315227675801E-2</v>
      </c>
      <c r="Q4873">
        <v>1.7241081141920599E-3</v>
      </c>
      <c r="R4873">
        <v>0.96766931912227905</v>
      </c>
      <c r="S4873" t="s">
        <v>11325</v>
      </c>
      <c r="T4873" t="s">
        <v>12902</v>
      </c>
      <c r="U4873" t="s">
        <v>12902</v>
      </c>
      <c r="V4873" t="s">
        <v>12902</v>
      </c>
      <c r="W4873" t="s">
        <v>17727</v>
      </c>
      <c r="X4873">
        <v>2</v>
      </c>
      <c r="Y4873" t="s">
        <v>24028</v>
      </c>
      <c r="Z4873" t="s">
        <v>30448</v>
      </c>
      <c r="AA4873">
        <v>0.57593717059024019</v>
      </c>
      <c r="AB4873" t="str">
        <f>HYPERLINK("Melting_Curves/meltCurve_Q96E52_OMA1.pdf", "Melting_Curves/meltCurve_Q96E52_OMA1.pdf")</f>
        <v>Melting_Curves/meltCurve_Q96E52_OMA1.pdf</v>
      </c>
    </row>
    <row r="4874" spans="1:28" x14ac:dyDescent="0.25">
      <c r="A4874" t="s">
        <v>4878</v>
      </c>
      <c r="B4874">
        <v>0.99673306730245903</v>
      </c>
      <c r="C4874">
        <v>0.95284270999099796</v>
      </c>
      <c r="D4874">
        <v>0.76289112772842804</v>
      </c>
      <c r="E4874">
        <v>0.32899757794911499</v>
      </c>
      <c r="F4874">
        <v>0.21955238463531199</v>
      </c>
      <c r="G4874">
        <v>0.133088622333563</v>
      </c>
      <c r="H4874">
        <v>8.6707441242148894E-2</v>
      </c>
      <c r="I4874">
        <v>8.1088095658100504E-2</v>
      </c>
      <c r="J4874">
        <v>8.2457232117529602E-2</v>
      </c>
      <c r="K4874">
        <v>8.8551523423708103E-2</v>
      </c>
      <c r="L4874">
        <v>1149.1238968601101</v>
      </c>
      <c r="M4874">
        <v>24.022804330210199</v>
      </c>
      <c r="N4874">
        <v>48.252913253378402</v>
      </c>
      <c r="O4874">
        <v>47.506935812999501</v>
      </c>
      <c r="P4874">
        <v>-0.114538599946839</v>
      </c>
      <c r="Q4874">
        <v>9.3978854371475504E-2</v>
      </c>
      <c r="R4874">
        <v>0.99602937359788402</v>
      </c>
      <c r="S4874" t="s">
        <v>11326</v>
      </c>
      <c r="T4874" t="s">
        <v>12902</v>
      </c>
      <c r="U4874" t="s">
        <v>12902</v>
      </c>
      <c r="V4874" t="s">
        <v>12902</v>
      </c>
      <c r="W4874" t="s">
        <v>17728</v>
      </c>
      <c r="X4874">
        <v>4</v>
      </c>
      <c r="Y4874" t="s">
        <v>24029</v>
      </c>
      <c r="Z4874" t="s">
        <v>30449</v>
      </c>
      <c r="AA4874">
        <v>0.33931827573179368</v>
      </c>
      <c r="AB4874" t="str">
        <f>HYPERLINK("Melting_Curves/meltCurve_Q96EA4_SPDL1.pdf", "Melting_Curves/meltCurve_Q96EA4_SPDL1.pdf")</f>
        <v>Melting_Curves/meltCurve_Q96EA4_SPDL1.pdf</v>
      </c>
    </row>
    <row r="4875" spans="1:28" x14ac:dyDescent="0.25">
      <c r="A4875" t="s">
        <v>4879</v>
      </c>
      <c r="B4875">
        <v>0.99673306730245903</v>
      </c>
      <c r="C4875">
        <v>0.93287326897815803</v>
      </c>
      <c r="D4875">
        <v>0.97759365655226105</v>
      </c>
      <c r="E4875">
        <v>1.02297200365959</v>
      </c>
      <c r="F4875">
        <v>0.88872762126113403</v>
      </c>
      <c r="G4875">
        <v>0.79065569107100198</v>
      </c>
      <c r="H4875">
        <v>0.60699665304911998</v>
      </c>
      <c r="I4875">
        <v>0.56269060011250904</v>
      </c>
      <c r="J4875">
        <v>0.52909586263893205</v>
      </c>
      <c r="K4875">
        <v>0.35214728130157202</v>
      </c>
      <c r="L4875">
        <v>707.59314330342704</v>
      </c>
      <c r="M4875">
        <v>11.4868341904173</v>
      </c>
      <c r="N4875">
        <v>65.569525849745403</v>
      </c>
      <c r="O4875">
        <v>59.822122192767999</v>
      </c>
      <c r="P4875">
        <v>-3.59870731164059E-2</v>
      </c>
      <c r="Q4875">
        <v>0.25054768365541702</v>
      </c>
      <c r="R4875">
        <v>0.96417744164746799</v>
      </c>
      <c r="S4875" t="s">
        <v>11327</v>
      </c>
      <c r="T4875" t="s">
        <v>12902</v>
      </c>
      <c r="U4875" t="s">
        <v>12902</v>
      </c>
      <c r="V4875" t="s">
        <v>12902</v>
      </c>
      <c r="W4875" t="s">
        <v>17729</v>
      </c>
      <c r="X4875">
        <v>9</v>
      </c>
      <c r="Y4875" t="s">
        <v>24030</v>
      </c>
      <c r="Z4875" t="s">
        <v>30450</v>
      </c>
      <c r="AA4875">
        <v>0.78247357572998955</v>
      </c>
      <c r="AB4875" t="str">
        <f>HYPERLINK("Melting_Curves/meltCurve_Q96EB1_ELP4.pdf", "Melting_Curves/meltCurve_Q96EB1_ELP4.pdf")</f>
        <v>Melting_Curves/meltCurve_Q96EB1_ELP4.pdf</v>
      </c>
    </row>
    <row r="4876" spans="1:28" x14ac:dyDescent="0.25">
      <c r="A4876" t="s">
        <v>4880</v>
      </c>
      <c r="B4876">
        <v>0.99673306730245903</v>
      </c>
      <c r="C4876">
        <v>0.94950773705556801</v>
      </c>
      <c r="D4876">
        <v>0.88512703135884696</v>
      </c>
      <c r="E4876">
        <v>0.63229848049636195</v>
      </c>
      <c r="F4876">
        <v>0.32163897547187598</v>
      </c>
      <c r="G4876">
        <v>0.216367717964914</v>
      </c>
      <c r="H4876">
        <v>0.12576770011990501</v>
      </c>
      <c r="I4876">
        <v>0.120449731671084</v>
      </c>
      <c r="J4876">
        <v>0.12627189102026201</v>
      </c>
      <c r="K4876">
        <v>0.115386948837839</v>
      </c>
      <c r="L4876">
        <v>1002.13193829677</v>
      </c>
      <c r="M4876">
        <v>19.9032336832536</v>
      </c>
      <c r="N4876">
        <v>50.999276550447803</v>
      </c>
      <c r="O4876">
        <v>49.8501905798378</v>
      </c>
      <c r="P4876">
        <v>-8.8650316705530197E-2</v>
      </c>
      <c r="Q4876">
        <v>0.111885305599222</v>
      </c>
      <c r="R4876">
        <v>0.99868126229355003</v>
      </c>
      <c r="S4876" t="s">
        <v>11328</v>
      </c>
      <c r="T4876" t="s">
        <v>12902</v>
      </c>
      <c r="U4876" t="s">
        <v>12902</v>
      </c>
      <c r="V4876" t="s">
        <v>12902</v>
      </c>
      <c r="W4876" t="s">
        <v>17730</v>
      </c>
      <c r="X4876">
        <v>11</v>
      </c>
      <c r="Y4876" t="s">
        <v>24031</v>
      </c>
      <c r="Z4876" t="s">
        <v>30451</v>
      </c>
      <c r="AA4876">
        <v>0.43075583627804459</v>
      </c>
      <c r="AB4876" t="str">
        <f>HYPERLINK("Melting_Curves/meltCurve_Q96EB6_SIRT1.pdf", "Melting_Curves/meltCurve_Q96EB6_SIRT1.pdf")</f>
        <v>Melting_Curves/meltCurve_Q96EB6_SIRT1.pdf</v>
      </c>
    </row>
    <row r="4877" spans="1:28" x14ac:dyDescent="0.25">
      <c r="A4877" t="s">
        <v>4881</v>
      </c>
      <c r="B4877">
        <v>0.99673306730245903</v>
      </c>
      <c r="C4877">
        <v>0.93197045825458202</v>
      </c>
      <c r="D4877">
        <v>0.83645352049503296</v>
      </c>
      <c r="E4877">
        <v>0.74006319646521901</v>
      </c>
      <c r="F4877">
        <v>0.57858541236041905</v>
      </c>
      <c r="G4877">
        <v>0.45139755515547603</v>
      </c>
      <c r="H4877">
        <v>0.32635058809419398</v>
      </c>
      <c r="I4877">
        <v>0.33015955204653902</v>
      </c>
      <c r="J4877">
        <v>0.26544940813541701</v>
      </c>
      <c r="K4877">
        <v>0.21774227722935499</v>
      </c>
      <c r="L4877">
        <v>539.95347193055102</v>
      </c>
      <c r="M4877">
        <v>10.174688658891601</v>
      </c>
      <c r="N4877">
        <v>55.349118729846403</v>
      </c>
      <c r="O4877">
        <v>51.140794877007799</v>
      </c>
      <c r="P4877">
        <v>-4.1240197292501501E-2</v>
      </c>
      <c r="Q4877">
        <v>0.17123864803945599</v>
      </c>
      <c r="R4877">
        <v>0.995568798109153</v>
      </c>
      <c r="S4877" t="s">
        <v>11329</v>
      </c>
      <c r="T4877" t="s">
        <v>12902</v>
      </c>
      <c r="U4877" t="s">
        <v>12902</v>
      </c>
      <c r="V4877" t="s">
        <v>12902</v>
      </c>
      <c r="W4877" t="s">
        <v>17731</v>
      </c>
      <c r="X4877">
        <v>3</v>
      </c>
      <c r="Y4877" t="s">
        <v>24032</v>
      </c>
      <c r="Z4877" t="s">
        <v>30452</v>
      </c>
      <c r="AA4877">
        <v>0.55995456965109558</v>
      </c>
      <c r="AB4877" t="str">
        <f>HYPERLINK("Melting_Curves/meltCurve_Q96EC8_YIPF6.pdf", "Melting_Curves/meltCurve_Q96EC8_YIPF6.pdf")</f>
        <v>Melting_Curves/meltCurve_Q96EC8_YIPF6.pdf</v>
      </c>
    </row>
    <row r="4878" spans="1:28" x14ac:dyDescent="0.25">
      <c r="A4878" t="s">
        <v>4882</v>
      </c>
      <c r="B4878">
        <v>0.99673306730245903</v>
      </c>
      <c r="C4878">
        <v>0.99374581436153597</v>
      </c>
      <c r="D4878">
        <v>0.98140302235041899</v>
      </c>
      <c r="E4878">
        <v>1.0234089127607799</v>
      </c>
      <c r="F4878">
        <v>0.93031627024649899</v>
      </c>
      <c r="G4878">
        <v>0.61598111059444005</v>
      </c>
      <c r="H4878">
        <v>0.31342967051446202</v>
      </c>
      <c r="I4878">
        <v>0.285961630522232</v>
      </c>
      <c r="J4878">
        <v>0.32094459041023499</v>
      </c>
      <c r="K4878">
        <v>0.26130140947587299</v>
      </c>
      <c r="L4878">
        <v>2201.95622492966</v>
      </c>
      <c r="M4878">
        <v>38.944315875993901</v>
      </c>
      <c r="N4878">
        <v>57.778581853425003</v>
      </c>
      <c r="O4878">
        <v>56.392677400291397</v>
      </c>
      <c r="P4878">
        <v>-0.123813030186412</v>
      </c>
      <c r="Q4878">
        <v>0.28285994818244797</v>
      </c>
      <c r="R4878">
        <v>0.99690387741241704</v>
      </c>
      <c r="S4878" t="s">
        <v>11330</v>
      </c>
      <c r="T4878" t="s">
        <v>12902</v>
      </c>
      <c r="U4878" t="s">
        <v>12902</v>
      </c>
      <c r="V4878" t="s">
        <v>12902</v>
      </c>
      <c r="W4878" t="s">
        <v>17732</v>
      </c>
      <c r="X4878">
        <v>5</v>
      </c>
      <c r="Y4878" t="s">
        <v>24033</v>
      </c>
      <c r="Z4878" t="s">
        <v>30453</v>
      </c>
      <c r="AA4878">
        <v>0.68119777336103193</v>
      </c>
      <c r="AB4878" t="str">
        <f>HYPERLINK("Melting_Curves/meltCurve_Q96EE3_1_SEH1L.pdf", "Melting_Curves/meltCurve_Q96EE3_1_SEH1L.pdf")</f>
        <v>Melting_Curves/meltCurve_Q96EE3_1_SEH1L.pdf</v>
      </c>
    </row>
    <row r="4879" spans="1:28" x14ac:dyDescent="0.25">
      <c r="A4879" t="s">
        <v>4883</v>
      </c>
      <c r="B4879">
        <v>0.99673306730245903</v>
      </c>
      <c r="C4879">
        <v>0.91598215941775796</v>
      </c>
      <c r="D4879">
        <v>0.89161012474390999</v>
      </c>
      <c r="E4879">
        <v>0.89082544042687095</v>
      </c>
      <c r="F4879">
        <v>0.71600762017754205</v>
      </c>
      <c r="G4879">
        <v>0.630941162704169</v>
      </c>
      <c r="H4879">
        <v>0.40325224552573702</v>
      </c>
      <c r="I4879">
        <v>0.28545710146734798</v>
      </c>
      <c r="J4879">
        <v>0.28205884063578102</v>
      </c>
      <c r="K4879">
        <v>0.30701128395402399</v>
      </c>
      <c r="L4879">
        <v>641.54437628235905</v>
      </c>
      <c r="M4879">
        <v>11.3559163757816</v>
      </c>
      <c r="N4879">
        <v>58.685677315989601</v>
      </c>
      <c r="O4879">
        <v>54.8274608441209</v>
      </c>
      <c r="P4879">
        <v>-4.2845284012048498E-2</v>
      </c>
      <c r="Q4879">
        <v>0.172802235813901</v>
      </c>
      <c r="R4879">
        <v>0.97647659256772001</v>
      </c>
      <c r="S4879" t="s">
        <v>11331</v>
      </c>
      <c r="T4879" t="s">
        <v>12902</v>
      </c>
      <c r="U4879" t="s">
        <v>12902</v>
      </c>
      <c r="V4879" t="s">
        <v>12902</v>
      </c>
      <c r="W4879" t="s">
        <v>17733</v>
      </c>
      <c r="X4879">
        <v>1</v>
      </c>
      <c r="Y4879" t="s">
        <v>24034</v>
      </c>
      <c r="Z4879" t="s">
        <v>30454</v>
      </c>
      <c r="AA4879">
        <v>0.64317794436665088</v>
      </c>
      <c r="AB4879" t="str">
        <f>HYPERLINK("Melting_Curves/meltCurve_Q96EF9_ZHX1_C8orf76.pdf", "Melting_Curves/meltCurve_Q96EF9_ZHX1_C8orf76.pdf")</f>
        <v>Melting_Curves/meltCurve_Q96EF9_ZHX1_C8orf76.pdf</v>
      </c>
    </row>
    <row r="4880" spans="1:28" x14ac:dyDescent="0.25">
      <c r="A4880" t="s">
        <v>4884</v>
      </c>
      <c r="B4880">
        <v>0.99673306730245903</v>
      </c>
      <c r="C4880">
        <v>1.08352610413355</v>
      </c>
      <c r="D4880">
        <v>1.0153744757699401</v>
      </c>
      <c r="E4880">
        <v>1.07966391708998</v>
      </c>
      <c r="F4880">
        <v>0.80428446624621397</v>
      </c>
      <c r="G4880">
        <v>0.54700654040250296</v>
      </c>
      <c r="H4880">
        <v>0.26724878405380498</v>
      </c>
      <c r="I4880">
        <v>0.15261430051114799</v>
      </c>
      <c r="J4880">
        <v>0.104494310110519</v>
      </c>
      <c r="K4880">
        <v>7.1323940493381296E-2</v>
      </c>
      <c r="L4880">
        <v>1292.2585164442301</v>
      </c>
      <c r="M4880">
        <v>22.693666880458899</v>
      </c>
      <c r="N4880">
        <v>57.351647087083002</v>
      </c>
      <c r="O4880">
        <v>56.506943086247901</v>
      </c>
      <c r="P4880">
        <v>-9.2918508834863703E-2</v>
      </c>
      <c r="Q4880">
        <v>7.4554712516723395E-2</v>
      </c>
      <c r="R4880">
        <v>0.98691067373347097</v>
      </c>
      <c r="S4880" t="s">
        <v>11332</v>
      </c>
      <c r="T4880" t="s">
        <v>12902</v>
      </c>
      <c r="U4880" t="s">
        <v>12902</v>
      </c>
      <c r="V4880" t="s">
        <v>12902</v>
      </c>
      <c r="W4880" t="s">
        <v>17734</v>
      </c>
      <c r="X4880">
        <v>2</v>
      </c>
      <c r="Y4880" t="s">
        <v>24035</v>
      </c>
      <c r="Z4880" t="s">
        <v>30455</v>
      </c>
      <c r="AA4880">
        <v>0.60687116917188777</v>
      </c>
      <c r="AB4880" t="str">
        <f>HYPERLINK("Melting_Curves/meltCurve_Q96EH3_MALSU1.pdf", "Melting_Curves/meltCurve_Q96EH3_MALSU1.pdf")</f>
        <v>Melting_Curves/meltCurve_Q96EH3_MALSU1.pdf</v>
      </c>
    </row>
    <row r="4881" spans="1:28" x14ac:dyDescent="0.25">
      <c r="A4881" t="s">
        <v>4885</v>
      </c>
      <c r="B4881">
        <v>0.99673306730245903</v>
      </c>
      <c r="C4881">
        <v>0.96510013603229805</v>
      </c>
      <c r="D4881">
        <v>0.932126533296044</v>
      </c>
      <c r="E4881">
        <v>0.84876050868618003</v>
      </c>
      <c r="F4881">
        <v>0.69249250585037403</v>
      </c>
      <c r="G4881">
        <v>0.64160811718695698</v>
      </c>
      <c r="H4881">
        <v>0.56879609758764205</v>
      </c>
      <c r="I4881">
        <v>0.925641731192547</v>
      </c>
      <c r="J4881">
        <v>1.2613114039370901</v>
      </c>
      <c r="K4881">
        <v>1.3034833760870701</v>
      </c>
      <c r="L4881">
        <v>15000</v>
      </c>
      <c r="M4881">
        <v>225.36737078629901</v>
      </c>
      <c r="O4881">
        <v>66.552752430759</v>
      </c>
      <c r="P4881">
        <v>0.25697277310026201</v>
      </c>
      <c r="Q4881">
        <v>1.3035443019250099</v>
      </c>
      <c r="R4881">
        <v>0.162101942755325</v>
      </c>
      <c r="S4881" t="s">
        <v>11333</v>
      </c>
      <c r="T4881" t="s">
        <v>12902</v>
      </c>
      <c r="U4881" t="s">
        <v>12902</v>
      </c>
      <c r="V4881" t="s">
        <v>12902</v>
      </c>
      <c r="W4881" t="s">
        <v>17735</v>
      </c>
      <c r="X4881">
        <v>13</v>
      </c>
      <c r="Y4881" t="s">
        <v>24036</v>
      </c>
      <c r="Z4881" t="s">
        <v>30456</v>
      </c>
      <c r="AA4881">
        <v>1.034783133634039</v>
      </c>
      <c r="AB4881" t="str">
        <f>HYPERLINK("Melting_Curves/meltCurve_Q96EI5_TCEAL4.pdf", "Melting_Curves/meltCurve_Q96EI5_TCEAL4.pdf")</f>
        <v>Melting_Curves/meltCurve_Q96EI5_TCEAL4.pdf</v>
      </c>
    </row>
    <row r="4882" spans="1:28" x14ac:dyDescent="0.25">
      <c r="A4882" t="s">
        <v>4886</v>
      </c>
      <c r="B4882">
        <v>0.99673306730245903</v>
      </c>
      <c r="C4882">
        <v>1.0307378858556999</v>
      </c>
      <c r="D4882">
        <v>0.37944684117334798</v>
      </c>
      <c r="E4882">
        <v>0.26884326327841501</v>
      </c>
      <c r="F4882">
        <v>0.17652006327077899</v>
      </c>
      <c r="G4882">
        <v>0.113273564329296</v>
      </c>
      <c r="H4882">
        <v>7.6060054998251803E-2</v>
      </c>
      <c r="I4882">
        <v>6.3148248280490399E-2</v>
      </c>
      <c r="J4882">
        <v>7.8718372139829004E-2</v>
      </c>
      <c r="K4882">
        <v>7.0637449290391993E-2</v>
      </c>
      <c r="L4882">
        <v>11459.702514131701</v>
      </c>
      <c r="M4882">
        <v>250</v>
      </c>
      <c r="N4882">
        <v>45.889682111708403</v>
      </c>
      <c r="O4882">
        <v>45.8358685750093</v>
      </c>
      <c r="P4882">
        <v>-1.1985306999349099</v>
      </c>
      <c r="Q4882">
        <v>0.12102871491242501</v>
      </c>
      <c r="R4882">
        <v>0.97211191373456995</v>
      </c>
      <c r="S4882" t="s">
        <v>11334</v>
      </c>
      <c r="T4882" t="s">
        <v>12902</v>
      </c>
      <c r="U4882" t="s">
        <v>12902</v>
      </c>
      <c r="V4882" t="s">
        <v>12902</v>
      </c>
      <c r="W4882" t="s">
        <v>17736</v>
      </c>
      <c r="X4882">
        <v>9</v>
      </c>
      <c r="Y4882" t="s">
        <v>24037</v>
      </c>
      <c r="Z4882" t="s">
        <v>30457</v>
      </c>
      <c r="AA4882">
        <v>0.29217097094538708</v>
      </c>
      <c r="AB4882" t="str">
        <f>HYPERLINK("Melting_Curves/meltCurve_Q96EK5_KIAA1279.pdf", "Melting_Curves/meltCurve_Q96EK5_KIAA1279.pdf")</f>
        <v>Melting_Curves/meltCurve_Q96EK5_KIAA1279.pdf</v>
      </c>
    </row>
    <row r="4883" spans="1:28" x14ac:dyDescent="0.25">
      <c r="A4883" t="s">
        <v>4887</v>
      </c>
      <c r="B4883">
        <v>0.99673306730245903</v>
      </c>
      <c r="C4883">
        <v>1.02154083100728</v>
      </c>
      <c r="D4883">
        <v>0.99858229622692196</v>
      </c>
      <c r="E4883">
        <v>1.01645675069137</v>
      </c>
      <c r="F4883">
        <v>0.89795646140763496</v>
      </c>
      <c r="G4883">
        <v>0.88346183538898704</v>
      </c>
      <c r="H4883">
        <v>0.40827181738781898</v>
      </c>
      <c r="I4883">
        <v>0.15445587153690299</v>
      </c>
      <c r="J4883">
        <v>0.15236247533584699</v>
      </c>
      <c r="K4883">
        <v>0.128979147316684</v>
      </c>
      <c r="L4883">
        <v>2196.1104240168902</v>
      </c>
      <c r="M4883">
        <v>36.879083381871403</v>
      </c>
      <c r="N4883">
        <v>59.999278884043399</v>
      </c>
      <c r="O4883">
        <v>59.374661176498599</v>
      </c>
      <c r="P4883">
        <v>-0.13650838664635001</v>
      </c>
      <c r="Q4883">
        <v>0.12089832658477601</v>
      </c>
      <c r="R4883">
        <v>0.99279151212325301</v>
      </c>
      <c r="S4883" t="s">
        <v>11335</v>
      </c>
      <c r="T4883" t="s">
        <v>12902</v>
      </c>
      <c r="U4883" t="s">
        <v>12902</v>
      </c>
      <c r="V4883" t="s">
        <v>12902</v>
      </c>
      <c r="W4883" t="s">
        <v>17737</v>
      </c>
      <c r="X4883">
        <v>12</v>
      </c>
      <c r="Y4883" t="s">
        <v>24038</v>
      </c>
      <c r="Z4883" t="s">
        <v>30458</v>
      </c>
      <c r="AA4883">
        <v>0.69772963796411358</v>
      </c>
      <c r="AB4883" t="str">
        <f>HYPERLINK("Melting_Curves/meltCurve_Q96EK6_GNPNAT1.pdf", "Melting_Curves/meltCurve_Q96EK6_GNPNAT1.pdf")</f>
        <v>Melting_Curves/meltCurve_Q96EK6_GNPNAT1.pdf</v>
      </c>
    </row>
    <row r="4884" spans="1:28" x14ac:dyDescent="0.25">
      <c r="A4884" t="s">
        <v>4888</v>
      </c>
      <c r="B4884">
        <v>0.99673306730245903</v>
      </c>
      <c r="C4884">
        <v>1.0403746429387</v>
      </c>
      <c r="D4884">
        <v>0.36783087719382102</v>
      </c>
      <c r="E4884">
        <v>0.604919771252445</v>
      </c>
      <c r="F4884">
        <v>0.31275339119930601</v>
      </c>
      <c r="G4884">
        <v>0.20543469296832101</v>
      </c>
      <c r="H4884">
        <v>0.11655514426585301</v>
      </c>
      <c r="I4884">
        <v>8.8095494970507907E-2</v>
      </c>
      <c r="J4884">
        <v>8.8606554474451593E-2</v>
      </c>
      <c r="K4884">
        <v>8.2043462050542401E-2</v>
      </c>
      <c r="L4884">
        <v>594.10382189978498</v>
      </c>
      <c r="M4884">
        <v>12.269882236211</v>
      </c>
      <c r="N4884">
        <v>48.945697895340402</v>
      </c>
      <c r="O4884">
        <v>47.187425101895698</v>
      </c>
      <c r="P4884">
        <v>-6.1004290352636201E-2</v>
      </c>
      <c r="Q4884">
        <v>6.1768119454262901E-2</v>
      </c>
      <c r="R4884">
        <v>0.86887479204250295</v>
      </c>
      <c r="S4884" t="s">
        <v>11336</v>
      </c>
      <c r="T4884" t="s">
        <v>12902</v>
      </c>
      <c r="U4884" t="s">
        <v>12902</v>
      </c>
      <c r="V4884" t="s">
        <v>12902</v>
      </c>
      <c r="W4884" t="s">
        <v>17738</v>
      </c>
      <c r="X4884">
        <v>4</v>
      </c>
      <c r="Y4884" t="s">
        <v>24039</v>
      </c>
      <c r="Z4884" t="s">
        <v>30459</v>
      </c>
      <c r="AA4884">
        <v>0.35946177325720269</v>
      </c>
      <c r="AB4884" t="str">
        <f>HYPERLINK("Melting_Curves/meltCurve_Q96EL3_MRPL53.pdf", "Melting_Curves/meltCurve_Q96EL3_MRPL53.pdf")</f>
        <v>Melting_Curves/meltCurve_Q96EL3_MRPL53.pdf</v>
      </c>
    </row>
    <row r="4885" spans="1:28" x14ac:dyDescent="0.25">
      <c r="A4885" t="s">
        <v>4889</v>
      </c>
      <c r="B4885">
        <v>0.99673306730245903</v>
      </c>
      <c r="C4885">
        <v>0.87216863932119304</v>
      </c>
      <c r="D4885">
        <v>0.725088653927069</v>
      </c>
      <c r="E4885">
        <v>0.35796925247169398</v>
      </c>
      <c r="F4885">
        <v>0.242962748841349</v>
      </c>
      <c r="G4885">
        <v>0.16500851636247699</v>
      </c>
      <c r="H4885">
        <v>8.8780959766882606E-2</v>
      </c>
      <c r="I4885">
        <v>7.5717066175346001E-2</v>
      </c>
      <c r="J4885">
        <v>9.2186525161075797E-2</v>
      </c>
      <c r="K4885">
        <v>7.54654903865912E-2</v>
      </c>
      <c r="L4885">
        <v>842.283210898682</v>
      </c>
      <c r="M4885">
        <v>17.6073565825439</v>
      </c>
      <c r="N4885">
        <v>48.3227364446481</v>
      </c>
      <c r="O4885">
        <v>47.232738910443601</v>
      </c>
      <c r="P4885">
        <v>-8.56407375524946E-2</v>
      </c>
      <c r="Q4885">
        <v>8.1104696931300999E-2</v>
      </c>
      <c r="R4885">
        <v>0.99475824557743497</v>
      </c>
      <c r="S4885" t="s">
        <v>11337</v>
      </c>
      <c r="T4885" t="s">
        <v>12902</v>
      </c>
      <c r="U4885" t="s">
        <v>12902</v>
      </c>
      <c r="V4885" t="s">
        <v>12902</v>
      </c>
      <c r="W4885" t="s">
        <v>17739</v>
      </c>
      <c r="X4885">
        <v>3</v>
      </c>
      <c r="Y4885" t="s">
        <v>24040</v>
      </c>
      <c r="Z4885" t="s">
        <v>30460</v>
      </c>
      <c r="AA4885">
        <v>0.3383150309001115</v>
      </c>
      <c r="AB4885" t="str">
        <f>HYPERLINK("Melting_Curves/meltCurve_Q96EP0_RNF31.pdf", "Melting_Curves/meltCurve_Q96EP0_RNF31.pdf")</f>
        <v>Melting_Curves/meltCurve_Q96EP0_RNF31.pdf</v>
      </c>
    </row>
    <row r="4886" spans="1:28" x14ac:dyDescent="0.25">
      <c r="A4886" t="s">
        <v>4890</v>
      </c>
      <c r="B4886">
        <v>0.99673306730245903</v>
      </c>
      <c r="C4886">
        <v>0.95820081234349896</v>
      </c>
      <c r="D4886">
        <v>0.93104602979368301</v>
      </c>
      <c r="E4886">
        <v>0.72885522192268304</v>
      </c>
      <c r="F4886">
        <v>0.497635152821438</v>
      </c>
      <c r="G4886">
        <v>0.30399830247534299</v>
      </c>
      <c r="H4886">
        <v>0.189230536541208</v>
      </c>
      <c r="I4886">
        <v>0.16354306696540499</v>
      </c>
      <c r="J4886">
        <v>0.158260782863795</v>
      </c>
      <c r="K4886">
        <v>0.13793054730144799</v>
      </c>
      <c r="L4886">
        <v>875.423056795859</v>
      </c>
      <c r="M4886">
        <v>16.7970200222511</v>
      </c>
      <c r="N4886">
        <v>53.051211812869198</v>
      </c>
      <c r="O4886">
        <v>51.395866618012498</v>
      </c>
      <c r="P4886">
        <v>-7.1255804787443602E-2</v>
      </c>
      <c r="Q4886">
        <v>0.127936635409444</v>
      </c>
      <c r="R4886">
        <v>0.99915766726334099</v>
      </c>
      <c r="S4886" t="s">
        <v>11338</v>
      </c>
      <c r="T4886" t="s">
        <v>12902</v>
      </c>
      <c r="U4886" t="s">
        <v>12902</v>
      </c>
      <c r="V4886" t="s">
        <v>12902</v>
      </c>
      <c r="W4886" t="s">
        <v>17740</v>
      </c>
      <c r="X4886">
        <v>10</v>
      </c>
      <c r="Y4886" t="s">
        <v>24041</v>
      </c>
      <c r="Z4886" t="s">
        <v>30461</v>
      </c>
      <c r="AA4886">
        <v>0.49643781483168298</v>
      </c>
      <c r="AB4886" t="str">
        <f>HYPERLINK("Melting_Curves/meltCurve_Q96EP5_2_DAZAP1.pdf", "Melting_Curves/meltCurve_Q96EP5_2_DAZAP1.pdf")</f>
        <v>Melting_Curves/meltCurve_Q96EP5_2_DAZAP1.pdf</v>
      </c>
    </row>
    <row r="4887" spans="1:28" x14ac:dyDescent="0.25">
      <c r="A4887" t="s">
        <v>4891</v>
      </c>
      <c r="B4887">
        <v>0.99673306730245903</v>
      </c>
      <c r="C4887">
        <v>1.03100910688896</v>
      </c>
      <c r="D4887">
        <v>0.98547574164311402</v>
      </c>
      <c r="E4887">
        <v>0.82331194495726501</v>
      </c>
      <c r="F4887">
        <v>0.48192706725579298</v>
      </c>
      <c r="G4887">
        <v>0.31123545848065798</v>
      </c>
      <c r="H4887">
        <v>0.178319460341966</v>
      </c>
      <c r="I4887">
        <v>0.16656120148144099</v>
      </c>
      <c r="J4887">
        <v>0.16447070689673601</v>
      </c>
      <c r="K4887">
        <v>0.13912423670431301</v>
      </c>
      <c r="L4887">
        <v>1198.08675913192</v>
      </c>
      <c r="M4887">
        <v>22.856688840460301</v>
      </c>
      <c r="N4887">
        <v>53.265517504954701</v>
      </c>
      <c r="O4887">
        <v>52.021048027690803</v>
      </c>
      <c r="P4887">
        <v>-9.3089614825867306E-2</v>
      </c>
      <c r="Q4887">
        <v>0.15254104610574001</v>
      </c>
      <c r="R4887">
        <v>0.99715052715153696</v>
      </c>
      <c r="S4887" t="s">
        <v>11339</v>
      </c>
      <c r="T4887" t="s">
        <v>12902</v>
      </c>
      <c r="U4887" t="s">
        <v>12902</v>
      </c>
      <c r="V4887" t="s">
        <v>12902</v>
      </c>
      <c r="W4887" t="s">
        <v>17741</v>
      </c>
      <c r="X4887">
        <v>7</v>
      </c>
      <c r="Y4887" t="s">
        <v>24042</v>
      </c>
      <c r="Z4887" t="s">
        <v>30462</v>
      </c>
      <c r="AA4887">
        <v>0.51250706342808627</v>
      </c>
      <c r="AB4887" t="str">
        <f>HYPERLINK("Melting_Curves/meltCurve_Q96EQ0_SGTB.pdf", "Melting_Curves/meltCurve_Q96EQ0_SGTB.pdf")</f>
        <v>Melting_Curves/meltCurve_Q96EQ0_SGTB.pdf</v>
      </c>
    </row>
    <row r="4888" spans="1:28" x14ac:dyDescent="0.25">
      <c r="A4888" t="s">
        <v>4892</v>
      </c>
      <c r="B4888">
        <v>0.99673306730245903</v>
      </c>
      <c r="C4888">
        <v>0.94197078860907302</v>
      </c>
      <c r="D4888">
        <v>0.73112496497914004</v>
      </c>
      <c r="E4888">
        <v>0.56938414929443704</v>
      </c>
      <c r="F4888">
        <v>0.14796062228432899</v>
      </c>
      <c r="G4888">
        <v>9.5875857351593097E-2</v>
      </c>
      <c r="H4888">
        <v>5.8449138577887701E-2</v>
      </c>
      <c r="I4888">
        <v>4.617736949212E-2</v>
      </c>
      <c r="J4888">
        <v>3.7439251677475097E-2</v>
      </c>
      <c r="K4888">
        <v>2.68083494589344E-2</v>
      </c>
      <c r="L4888">
        <v>907.13478930440101</v>
      </c>
      <c r="M4888">
        <v>18.408027342350699</v>
      </c>
      <c r="N4888">
        <v>49.396157156770101</v>
      </c>
      <c r="O4888">
        <v>48.708781495904603</v>
      </c>
      <c r="P4888">
        <v>-9.2471217959764596E-2</v>
      </c>
      <c r="Q4888">
        <v>2.1305904252534501E-2</v>
      </c>
      <c r="R4888">
        <v>0.988025775721871</v>
      </c>
      <c r="S4888" t="s">
        <v>11340</v>
      </c>
      <c r="T4888" t="s">
        <v>12902</v>
      </c>
      <c r="U4888" t="s">
        <v>12902</v>
      </c>
      <c r="V4888" t="s">
        <v>12902</v>
      </c>
      <c r="W4888" t="s">
        <v>13926</v>
      </c>
      <c r="X4888">
        <v>6</v>
      </c>
      <c r="Y4888" t="s">
        <v>20315</v>
      </c>
      <c r="Z4888" t="s">
        <v>30463</v>
      </c>
      <c r="AA4888">
        <v>0.34016423225616182</v>
      </c>
      <c r="AB4888" t="str">
        <f>HYPERLINK("Melting_Curves/meltCurve_Q96ER3_SAAL1.pdf", "Melting_Curves/meltCurve_Q96ER3_SAAL1.pdf")</f>
        <v>Melting_Curves/meltCurve_Q96ER3_SAAL1.pdf</v>
      </c>
    </row>
    <row r="4889" spans="1:28" x14ac:dyDescent="0.25">
      <c r="A4889" t="s">
        <v>4893</v>
      </c>
      <c r="B4889">
        <v>0.99673306730245903</v>
      </c>
      <c r="C4889">
        <v>0.98298123727974296</v>
      </c>
      <c r="D4889">
        <v>0.91147298637107199</v>
      </c>
      <c r="E4889">
        <v>0.81717014998302595</v>
      </c>
      <c r="F4889">
        <v>0.64860934317111796</v>
      </c>
      <c r="G4889">
        <v>0.18460299409899</v>
      </c>
      <c r="H4889">
        <v>0.100237543575335</v>
      </c>
      <c r="I4889">
        <v>7.7323024456853698E-2</v>
      </c>
      <c r="J4889">
        <v>8.5463904079894501E-2</v>
      </c>
      <c r="K4889">
        <v>7.9946307804161801E-2</v>
      </c>
      <c r="L4889">
        <v>1278.48495679231</v>
      </c>
      <c r="M4889">
        <v>23.8607003543787</v>
      </c>
      <c r="N4889">
        <v>53.862396429062798</v>
      </c>
      <c r="O4889">
        <v>53.209100647429501</v>
      </c>
      <c r="P4889">
        <v>-0.10554471348434</v>
      </c>
      <c r="Q4889">
        <v>5.8561012156446102E-2</v>
      </c>
      <c r="R4889">
        <v>0.98674070562935801</v>
      </c>
      <c r="S4889" t="s">
        <v>11341</v>
      </c>
      <c r="T4889" t="s">
        <v>12902</v>
      </c>
      <c r="U4889" t="s">
        <v>12902</v>
      </c>
      <c r="V4889" t="s">
        <v>12902</v>
      </c>
      <c r="W4889" t="s">
        <v>17742</v>
      </c>
      <c r="X4889">
        <v>16</v>
      </c>
      <c r="Y4889" t="s">
        <v>24043</v>
      </c>
      <c r="Z4889" t="s">
        <v>30464</v>
      </c>
      <c r="AA4889">
        <v>0.49422962302975287</v>
      </c>
      <c r="AB4889" t="str">
        <f>HYPERLINK("Melting_Curves/meltCurve_Q96ER9_CCDC51.pdf", "Melting_Curves/meltCurve_Q96ER9_CCDC51.pdf")</f>
        <v>Melting_Curves/meltCurve_Q96ER9_CCDC51.pdf</v>
      </c>
    </row>
    <row r="4890" spans="1:28" x14ac:dyDescent="0.25">
      <c r="A4890" t="s">
        <v>4894</v>
      </c>
      <c r="B4890">
        <v>0.99673306730245903</v>
      </c>
      <c r="C4890">
        <v>0.98814940601845203</v>
      </c>
      <c r="D4890">
        <v>0.88774065397800805</v>
      </c>
      <c r="E4890">
        <v>0.84958430146117803</v>
      </c>
      <c r="F4890">
        <v>0.56787870953275899</v>
      </c>
      <c r="G4890">
        <v>0.29748828487970802</v>
      </c>
      <c r="H4890">
        <v>0.14246658597216899</v>
      </c>
      <c r="I4890">
        <v>7.9380041284150202E-2</v>
      </c>
      <c r="J4890">
        <v>5.7057057165885702E-2</v>
      </c>
      <c r="K4890">
        <v>7.8979187350405405E-2</v>
      </c>
      <c r="L4890">
        <v>962.13938626909703</v>
      </c>
      <c r="M4890">
        <v>17.9066571164579</v>
      </c>
      <c r="N4890">
        <v>53.980606824973798</v>
      </c>
      <c r="O4890">
        <v>53.0741445569668</v>
      </c>
      <c r="P4890">
        <v>-8.0997874201589506E-2</v>
      </c>
      <c r="Q4890">
        <v>3.9758869746542601E-2</v>
      </c>
      <c r="R4890">
        <v>0.99588720219346105</v>
      </c>
      <c r="S4890" t="s">
        <v>11342</v>
      </c>
      <c r="T4890" t="s">
        <v>12902</v>
      </c>
      <c r="U4890" t="s">
        <v>12902</v>
      </c>
      <c r="V4890" t="s">
        <v>12902</v>
      </c>
      <c r="W4890" t="s">
        <v>17743</v>
      </c>
      <c r="X4890">
        <v>3</v>
      </c>
      <c r="Y4890" t="s">
        <v>24044</v>
      </c>
      <c r="Z4890" t="s">
        <v>30465</v>
      </c>
      <c r="AA4890">
        <v>0.49485094733521501</v>
      </c>
      <c r="AB4890" t="str">
        <f>HYPERLINK("Melting_Curves/meltCurve_Q96ES7_CCDC101.pdf", "Melting_Curves/meltCurve_Q96ES7_CCDC101.pdf")</f>
        <v>Melting_Curves/meltCurve_Q96ES7_CCDC101.pdf</v>
      </c>
    </row>
    <row r="4891" spans="1:28" x14ac:dyDescent="0.25">
      <c r="A4891" t="s">
        <v>4895</v>
      </c>
      <c r="B4891">
        <v>0.99673306730245903</v>
      </c>
      <c r="C4891">
        <v>1.03178676463924</v>
      </c>
      <c r="D4891">
        <v>1.45949629371301</v>
      </c>
      <c r="E4891">
        <v>1.26971170483248</v>
      </c>
      <c r="F4891">
        <v>1.12028806365129</v>
      </c>
      <c r="G4891">
        <v>0.61354838738549</v>
      </c>
      <c r="H4891">
        <v>0.45529815889196001</v>
      </c>
      <c r="I4891">
        <v>0.57676267363087597</v>
      </c>
      <c r="J4891">
        <v>0.81820273104633701</v>
      </c>
      <c r="K4891">
        <v>1.0964607999707601</v>
      </c>
      <c r="L4891">
        <v>4757.5809939588999</v>
      </c>
      <c r="M4891">
        <v>86.474387823589097</v>
      </c>
      <c r="O4891">
        <v>54.9878454527759</v>
      </c>
      <c r="P4891">
        <v>-0.113540776484733</v>
      </c>
      <c r="Q4891">
        <v>0.71120422038686504</v>
      </c>
      <c r="R4891">
        <v>0.40143279746541299</v>
      </c>
      <c r="S4891" t="s">
        <v>11343</v>
      </c>
      <c r="T4891" t="s">
        <v>12902</v>
      </c>
      <c r="U4891" t="s">
        <v>12902</v>
      </c>
      <c r="V4891" t="s">
        <v>12902</v>
      </c>
      <c r="W4891" t="s">
        <v>17744</v>
      </c>
      <c r="X4891">
        <v>2</v>
      </c>
      <c r="Y4891" t="s">
        <v>24045</v>
      </c>
      <c r="Z4891" t="s">
        <v>30466</v>
      </c>
      <c r="AA4891">
        <v>0.85600138372554901</v>
      </c>
      <c r="AB4891" t="str">
        <f>HYPERLINK("Melting_Curves/meltCurve_Q96EU6_2_RRP36.pdf", "Melting_Curves/meltCurve_Q96EU6_2_RRP36.pdf")</f>
        <v>Melting_Curves/meltCurve_Q96EU6_2_RRP36.pdf</v>
      </c>
    </row>
    <row r="4892" spans="1:28" x14ac:dyDescent="0.25">
      <c r="A4892" t="s">
        <v>4896</v>
      </c>
      <c r="B4892">
        <v>0.99673306730245903</v>
      </c>
      <c r="C4892">
        <v>0.89931028781055</v>
      </c>
      <c r="D4892">
        <v>0.81727352277623</v>
      </c>
      <c r="E4892">
        <v>0.578727072640292</v>
      </c>
      <c r="F4892">
        <v>0.25025401788116602</v>
      </c>
      <c r="G4892">
        <v>0.14177516711830401</v>
      </c>
      <c r="H4892">
        <v>9.5625012237600795E-2</v>
      </c>
      <c r="I4892">
        <v>7.5513112084957104E-2</v>
      </c>
      <c r="J4892">
        <v>8.4137389613064995E-2</v>
      </c>
      <c r="K4892">
        <v>6.9870033943604706E-2</v>
      </c>
      <c r="L4892">
        <v>896.87086216687203</v>
      </c>
      <c r="M4892">
        <v>18.039286678420499</v>
      </c>
      <c r="N4892">
        <v>50.079015130860803</v>
      </c>
      <c r="O4892">
        <v>49.118749818420497</v>
      </c>
      <c r="P4892">
        <v>-8.6215672071712393E-2</v>
      </c>
      <c r="Q4892">
        <v>6.1027422422627202E-2</v>
      </c>
      <c r="R4892">
        <v>0.99590038473446496</v>
      </c>
      <c r="S4892" t="s">
        <v>11344</v>
      </c>
      <c r="T4892" t="s">
        <v>12902</v>
      </c>
      <c r="U4892" t="s">
        <v>12902</v>
      </c>
      <c r="V4892" t="s">
        <v>12902</v>
      </c>
      <c r="W4892" t="s">
        <v>17745</v>
      </c>
      <c r="X4892">
        <v>1</v>
      </c>
      <c r="Y4892" t="s">
        <v>24046</v>
      </c>
      <c r="Z4892" t="s">
        <v>30467</v>
      </c>
      <c r="AA4892">
        <v>0.38118795786357051</v>
      </c>
      <c r="AB4892" t="str">
        <f>HYPERLINK("Melting_Curves/meltCurve_Q96EU7_C1GALT1C1.pdf", "Melting_Curves/meltCurve_Q96EU7_C1GALT1C1.pdf")</f>
        <v>Melting_Curves/meltCurve_Q96EU7_C1GALT1C1.pdf</v>
      </c>
    </row>
    <row r="4893" spans="1:28" x14ac:dyDescent="0.25">
      <c r="A4893" t="s">
        <v>4897</v>
      </c>
      <c r="B4893">
        <v>0.99673306730245903</v>
      </c>
      <c r="C4893">
        <v>0.91496574999314795</v>
      </c>
      <c r="D4893">
        <v>0.749915204452554</v>
      </c>
      <c r="E4893">
        <v>0.56575147644815305</v>
      </c>
      <c r="F4893">
        <v>0.36724498558886798</v>
      </c>
      <c r="G4893">
        <v>0.220577064621477</v>
      </c>
      <c r="H4893">
        <v>0.14227439564093899</v>
      </c>
      <c r="I4893">
        <v>0.14788213482153001</v>
      </c>
      <c r="J4893">
        <v>0.21355358526370999</v>
      </c>
      <c r="K4893">
        <v>0.236193075708831</v>
      </c>
      <c r="L4893">
        <v>790.20737312953202</v>
      </c>
      <c r="M4893">
        <v>16.156893458940502</v>
      </c>
      <c r="N4893">
        <v>50.183354475614202</v>
      </c>
      <c r="O4893">
        <v>48.177542217635001</v>
      </c>
      <c r="P4893">
        <v>-6.9732195670993397E-2</v>
      </c>
      <c r="Q4893">
        <v>0.16833709302122399</v>
      </c>
      <c r="R4893">
        <v>0.98614698622962904</v>
      </c>
      <c r="S4893" t="s">
        <v>11345</v>
      </c>
      <c r="T4893" t="s">
        <v>12902</v>
      </c>
      <c r="U4893" t="s">
        <v>12902</v>
      </c>
      <c r="V4893" t="s">
        <v>12902</v>
      </c>
      <c r="W4893" t="s">
        <v>17746</v>
      </c>
      <c r="X4893">
        <v>12</v>
      </c>
      <c r="Y4893" t="s">
        <v>24047</v>
      </c>
      <c r="Z4893" t="s">
        <v>30468</v>
      </c>
      <c r="AA4893">
        <v>0.433157559396597</v>
      </c>
      <c r="AB4893" t="str">
        <f>HYPERLINK("Melting_Curves/meltCurve_Q96EV2_RBM33.pdf", "Melting_Curves/meltCurve_Q96EV2_RBM33.pdf")</f>
        <v>Melting_Curves/meltCurve_Q96EV2_RBM33.pdf</v>
      </c>
    </row>
    <row r="4894" spans="1:28" x14ac:dyDescent="0.25">
      <c r="A4894" t="s">
        <v>4898</v>
      </c>
      <c r="B4894">
        <v>0.99673306730245903</v>
      </c>
      <c r="C4894">
        <v>1.0026693417557699</v>
      </c>
      <c r="D4894">
        <v>0.92901851358667498</v>
      </c>
      <c r="E4894">
        <v>0.89359680150154996</v>
      </c>
      <c r="F4894">
        <v>0.74911149829593904</v>
      </c>
      <c r="G4894">
        <v>0.48328229421636698</v>
      </c>
      <c r="H4894">
        <v>0.20879198944369901</v>
      </c>
      <c r="I4894">
        <v>0.14696314272345501</v>
      </c>
      <c r="J4894">
        <v>0.139071188469714</v>
      </c>
      <c r="K4894">
        <v>0.12105751393819</v>
      </c>
      <c r="L4894">
        <v>1047.5369726408501</v>
      </c>
      <c r="M4894">
        <v>18.8028512505437</v>
      </c>
      <c r="N4894">
        <v>56.2879756178721</v>
      </c>
      <c r="O4894">
        <v>55.092919824356798</v>
      </c>
      <c r="P4894">
        <v>-7.7855079298146904E-2</v>
      </c>
      <c r="Q4894">
        <v>8.7567003840342494E-2</v>
      </c>
      <c r="R4894">
        <v>0.99542353696276997</v>
      </c>
      <c r="S4894" t="s">
        <v>11346</v>
      </c>
      <c r="T4894" t="s">
        <v>12902</v>
      </c>
      <c r="U4894" t="s">
        <v>12902</v>
      </c>
      <c r="V4894" t="s">
        <v>12902</v>
      </c>
      <c r="W4894" t="s">
        <v>17747</v>
      </c>
      <c r="X4894">
        <v>9</v>
      </c>
      <c r="Y4894" t="s">
        <v>24048</v>
      </c>
      <c r="Z4894" t="s">
        <v>30469</v>
      </c>
      <c r="AA4894">
        <v>0.57834767565776724</v>
      </c>
      <c r="AB4894" t="str">
        <f>HYPERLINK("Melting_Curves/meltCurve_Q96EV8_DTNBP1.pdf", "Melting_Curves/meltCurve_Q96EV8_DTNBP1.pdf")</f>
        <v>Melting_Curves/meltCurve_Q96EV8_DTNBP1.pdf</v>
      </c>
    </row>
    <row r="4895" spans="1:28" x14ac:dyDescent="0.25">
      <c r="A4895" t="s">
        <v>4899</v>
      </c>
      <c r="B4895">
        <v>0.99673306730245903</v>
      </c>
      <c r="C4895">
        <v>1.0365517481009101</v>
      </c>
      <c r="D4895">
        <v>1.00273222830994</v>
      </c>
      <c r="E4895">
        <v>0.84039281150907497</v>
      </c>
      <c r="F4895">
        <v>0.449154696821359</v>
      </c>
      <c r="G4895">
        <v>0.167474222949416</v>
      </c>
      <c r="H4895">
        <v>0.100413525102531</v>
      </c>
      <c r="I4895">
        <v>8.5158946304716807E-2</v>
      </c>
      <c r="J4895">
        <v>0.10833992619010401</v>
      </c>
      <c r="K4895">
        <v>9.7744851051792203E-2</v>
      </c>
      <c r="L4895">
        <v>1541.7843381684099</v>
      </c>
      <c r="M4895">
        <v>29.450810417676699</v>
      </c>
      <c r="N4895">
        <v>52.715081776627898</v>
      </c>
      <c r="O4895">
        <v>52.111578423962399</v>
      </c>
      <c r="P4895">
        <v>-0.12829189666619301</v>
      </c>
      <c r="Q4895">
        <v>9.1984750143688399E-2</v>
      </c>
      <c r="R4895">
        <v>0.99854088037227695</v>
      </c>
      <c r="S4895" t="s">
        <v>11347</v>
      </c>
      <c r="T4895" t="s">
        <v>12902</v>
      </c>
      <c r="U4895" t="s">
        <v>12902</v>
      </c>
      <c r="V4895" t="s">
        <v>12902</v>
      </c>
      <c r="W4895" t="s">
        <v>17748</v>
      </c>
      <c r="X4895">
        <v>2</v>
      </c>
      <c r="Y4895" t="s">
        <v>24049</v>
      </c>
      <c r="Z4895" t="s">
        <v>30470</v>
      </c>
      <c r="AA4895">
        <v>0.47186924364324678</v>
      </c>
      <c r="AB4895" t="str">
        <f>HYPERLINK("Melting_Curves/meltCurve_Q96EW2_HSPBAP1.pdf", "Melting_Curves/meltCurve_Q96EW2_HSPBAP1.pdf")</f>
        <v>Melting_Curves/meltCurve_Q96EW2_HSPBAP1.pdf</v>
      </c>
    </row>
    <row r="4896" spans="1:28" x14ac:dyDescent="0.25">
      <c r="A4896" t="s">
        <v>4900</v>
      </c>
      <c r="B4896">
        <v>0.99673306730245903</v>
      </c>
      <c r="C4896">
        <v>1.02766417799831</v>
      </c>
      <c r="D4896">
        <v>1.0620040430639099</v>
      </c>
      <c r="E4896">
        <v>0.79029035687346505</v>
      </c>
      <c r="F4896">
        <v>0.80152412746551205</v>
      </c>
      <c r="G4896">
        <v>0.67294241695295798</v>
      </c>
      <c r="H4896">
        <v>0.54271984524244499</v>
      </c>
      <c r="I4896">
        <v>0.65223750960815696</v>
      </c>
      <c r="J4896">
        <v>0.93215383925208295</v>
      </c>
      <c r="K4896">
        <v>0.726086411110764</v>
      </c>
      <c r="L4896">
        <v>10645.734914201499</v>
      </c>
      <c r="M4896">
        <v>215.743179379352</v>
      </c>
      <c r="O4896">
        <v>49.340238333027898</v>
      </c>
      <c r="P4896">
        <v>-0.30468292913863199</v>
      </c>
      <c r="Q4896">
        <v>0.72127733087831802</v>
      </c>
      <c r="R4896">
        <v>0.66499764273344897</v>
      </c>
      <c r="S4896" t="s">
        <v>11348</v>
      </c>
      <c r="T4896" t="s">
        <v>12902</v>
      </c>
      <c r="U4896" t="s">
        <v>12902</v>
      </c>
      <c r="V4896" t="s">
        <v>12902</v>
      </c>
      <c r="W4896" t="s">
        <v>17749</v>
      </c>
      <c r="X4896">
        <v>4</v>
      </c>
      <c r="Y4896" t="s">
        <v>24050</v>
      </c>
      <c r="Z4896" t="s">
        <v>30471</v>
      </c>
      <c r="AA4896">
        <v>0.80812702069838405</v>
      </c>
      <c r="AB4896" t="str">
        <f>HYPERLINK("Melting_Curves/meltCurve_Q96EX1_SMIM12.pdf", "Melting_Curves/meltCurve_Q96EX1_SMIM12.pdf")</f>
        <v>Melting_Curves/meltCurve_Q96EX1_SMIM12.pdf</v>
      </c>
    </row>
    <row r="4897" spans="1:28" x14ac:dyDescent="0.25">
      <c r="A4897" t="s">
        <v>4901</v>
      </c>
      <c r="B4897">
        <v>0.99673306730245903</v>
      </c>
      <c r="C4897">
        <v>0.92182006396367899</v>
      </c>
      <c r="D4897">
        <v>0.82686004099918298</v>
      </c>
      <c r="E4897">
        <v>0.690495814205213</v>
      </c>
      <c r="F4897">
        <v>0.42565658947305002</v>
      </c>
      <c r="G4897">
        <v>0.18986123805272101</v>
      </c>
      <c r="H4897">
        <v>6.9771224223878894E-2</v>
      </c>
      <c r="I4897">
        <v>6.9955151070249605E-2</v>
      </c>
      <c r="J4897">
        <v>9.1605335775349198E-2</v>
      </c>
      <c r="K4897">
        <v>8.2535127773570693E-2</v>
      </c>
      <c r="L4897">
        <v>803.104159798551</v>
      </c>
      <c r="M4897">
        <v>15.6022545051012</v>
      </c>
      <c r="N4897">
        <v>51.733789615870997</v>
      </c>
      <c r="O4897">
        <v>50.650241325854502</v>
      </c>
      <c r="P4897">
        <v>-7.4110181082949797E-2</v>
      </c>
      <c r="Q4897">
        <v>3.7735428653691297E-2</v>
      </c>
      <c r="R4897">
        <v>0.992417456404319</v>
      </c>
      <c r="S4897" t="s">
        <v>11349</v>
      </c>
      <c r="T4897" t="s">
        <v>12902</v>
      </c>
      <c r="U4897" t="s">
        <v>12902</v>
      </c>
      <c r="V4897" t="s">
        <v>12902</v>
      </c>
      <c r="W4897" t="s">
        <v>17750</v>
      </c>
      <c r="X4897">
        <v>2</v>
      </c>
      <c r="Y4897" t="s">
        <v>24051</v>
      </c>
      <c r="Z4897" t="s">
        <v>30472</v>
      </c>
      <c r="AA4897">
        <v>0.42630630038518158</v>
      </c>
      <c r="AB4897" t="str">
        <f>HYPERLINK("Melting_Curves/meltCurve_Q96EX3_WDR34.pdf", "Melting_Curves/meltCurve_Q96EX3_WDR34.pdf")</f>
        <v>Melting_Curves/meltCurve_Q96EX3_WDR34.pdf</v>
      </c>
    </row>
    <row r="4898" spans="1:28" x14ac:dyDescent="0.25">
      <c r="A4898" t="s">
        <v>4902</v>
      </c>
      <c r="B4898">
        <v>0.99673306730245903</v>
      </c>
      <c r="C4898">
        <v>0.82311054225463298</v>
      </c>
      <c r="D4898">
        <v>0.63825038507844301</v>
      </c>
      <c r="E4898">
        <v>0.44725163721820099</v>
      </c>
      <c r="F4898">
        <v>0.27132918758033597</v>
      </c>
      <c r="G4898">
        <v>0.135391376591111</v>
      </c>
      <c r="H4898">
        <v>7.1597412441767996E-2</v>
      </c>
      <c r="I4898">
        <v>6.6025859977633494E-2</v>
      </c>
      <c r="J4898">
        <v>6.1980750368088901E-2</v>
      </c>
      <c r="K4898">
        <v>5.0307995142299403E-2</v>
      </c>
      <c r="L4898">
        <v>631.49930220195495</v>
      </c>
      <c r="M4898">
        <v>13.083427679673299</v>
      </c>
      <c r="N4898">
        <v>48.489523392687801</v>
      </c>
      <c r="O4898">
        <v>47.181267122530301</v>
      </c>
      <c r="P4898">
        <v>-6.7318006038438002E-2</v>
      </c>
      <c r="Q4898">
        <v>2.9122436977033199E-2</v>
      </c>
      <c r="R4898">
        <v>0.99485893921920698</v>
      </c>
      <c r="S4898" t="s">
        <v>11350</v>
      </c>
      <c r="T4898" t="s">
        <v>12902</v>
      </c>
      <c r="U4898" t="s">
        <v>12902</v>
      </c>
      <c r="V4898" t="s">
        <v>12902</v>
      </c>
      <c r="W4898" t="s">
        <v>17751</v>
      </c>
      <c r="X4898">
        <v>8</v>
      </c>
      <c r="Y4898" t="s">
        <v>24052</v>
      </c>
      <c r="Z4898" t="s">
        <v>30473</v>
      </c>
      <c r="AA4898">
        <v>0.32865408638432952</v>
      </c>
      <c r="AB4898" t="str">
        <f>HYPERLINK("Melting_Curves/meltCurve_Q96EY1_DNAJA3.pdf", "Melting_Curves/meltCurve_Q96EY1_DNAJA3.pdf")</f>
        <v>Melting_Curves/meltCurve_Q96EY1_DNAJA3.pdf</v>
      </c>
    </row>
    <row r="4899" spans="1:28" x14ac:dyDescent="0.25">
      <c r="A4899" t="s">
        <v>4903</v>
      </c>
      <c r="B4899">
        <v>0.99673306730245903</v>
      </c>
      <c r="C4899">
        <v>0.94694868867145998</v>
      </c>
      <c r="D4899">
        <v>0.80495385077765103</v>
      </c>
      <c r="E4899">
        <v>0.37156410905290699</v>
      </c>
      <c r="F4899">
        <v>0.18213597516454899</v>
      </c>
      <c r="G4899">
        <v>0.116952337461343</v>
      </c>
      <c r="H4899">
        <v>7.9455884739488697E-2</v>
      </c>
      <c r="I4899">
        <v>6.9605790106880103E-2</v>
      </c>
      <c r="J4899">
        <v>4.20895909863589E-2</v>
      </c>
      <c r="K4899">
        <v>3.2252383205899599E-2</v>
      </c>
      <c r="L4899">
        <v>1130.0589577708399</v>
      </c>
      <c r="M4899">
        <v>23.3590692640675</v>
      </c>
      <c r="N4899">
        <v>48.647104516767001</v>
      </c>
      <c r="O4899">
        <v>48.0273433788551</v>
      </c>
      <c r="P4899">
        <v>-0.114218292247562</v>
      </c>
      <c r="Q4899">
        <v>6.06633925834444E-2</v>
      </c>
      <c r="R4899">
        <v>0.99726709601576702</v>
      </c>
      <c r="S4899" t="s">
        <v>11351</v>
      </c>
      <c r="T4899" t="s">
        <v>12902</v>
      </c>
      <c r="U4899" t="s">
        <v>12902</v>
      </c>
      <c r="V4899" t="s">
        <v>12902</v>
      </c>
      <c r="W4899" t="s">
        <v>17752</v>
      </c>
      <c r="X4899">
        <v>6</v>
      </c>
      <c r="Y4899" t="s">
        <v>24053</v>
      </c>
      <c r="Z4899" t="s">
        <v>30474</v>
      </c>
      <c r="AA4899">
        <v>0.33255458742119193</v>
      </c>
      <c r="AB4899" t="str">
        <f>HYPERLINK("Melting_Curves/meltCurve_Q96EY5_MVB12A.pdf", "Melting_Curves/meltCurve_Q96EY5_MVB12A.pdf")</f>
        <v>Melting_Curves/meltCurve_Q96EY5_MVB12A.pdf</v>
      </c>
    </row>
    <row r="4900" spans="1:28" x14ac:dyDescent="0.25">
      <c r="A4900" t="s">
        <v>4904</v>
      </c>
      <c r="B4900">
        <v>0.99673306730245903</v>
      </c>
      <c r="C4900">
        <v>0.74712152982007896</v>
      </c>
      <c r="D4900">
        <v>0.457096208198777</v>
      </c>
      <c r="E4900">
        <v>0.36832171205977998</v>
      </c>
      <c r="F4900">
        <v>0.23748275316151801</v>
      </c>
      <c r="G4900">
        <v>0.131280901293333</v>
      </c>
      <c r="H4900">
        <v>9.8525773743928999E-2</v>
      </c>
      <c r="I4900">
        <v>8.1811307992723695E-2</v>
      </c>
      <c r="J4900">
        <v>9.5897720551163995E-2</v>
      </c>
      <c r="K4900">
        <v>7.7101811673782203E-2</v>
      </c>
      <c r="L4900">
        <v>670.20594842671596</v>
      </c>
      <c r="M4900">
        <v>14.5955164701</v>
      </c>
      <c r="N4900">
        <v>46.508003643672801</v>
      </c>
      <c r="O4900">
        <v>45.0824501947545</v>
      </c>
      <c r="P4900">
        <v>-7.4112337762261102E-2</v>
      </c>
      <c r="Q4900">
        <v>8.4433667737503895E-2</v>
      </c>
      <c r="R4900">
        <v>0.97816321618008695</v>
      </c>
      <c r="S4900" t="s">
        <v>11352</v>
      </c>
      <c r="T4900" t="s">
        <v>12902</v>
      </c>
      <c r="U4900" t="s">
        <v>12902</v>
      </c>
      <c r="V4900" t="s">
        <v>12902</v>
      </c>
      <c r="W4900" t="s">
        <v>17753</v>
      </c>
      <c r="X4900">
        <v>4</v>
      </c>
      <c r="Y4900" t="s">
        <v>24054</v>
      </c>
      <c r="Z4900" t="s">
        <v>30475</v>
      </c>
      <c r="AA4900">
        <v>0.29357049296734489</v>
      </c>
      <c r="AB4900" t="str">
        <f>HYPERLINK("Melting_Curves/meltCurve_Q96EY7_PTCD3.pdf", "Melting_Curves/meltCurve_Q96EY7_PTCD3.pdf")</f>
        <v>Melting_Curves/meltCurve_Q96EY7_PTCD3.pdf</v>
      </c>
    </row>
    <row r="4901" spans="1:28" x14ac:dyDescent="0.25">
      <c r="A4901" t="s">
        <v>4905</v>
      </c>
      <c r="B4901">
        <v>0.99673306730245903</v>
      </c>
      <c r="C4901">
        <v>1.0144099618764399</v>
      </c>
      <c r="D4901">
        <v>1.0369764677229001</v>
      </c>
      <c r="E4901">
        <v>0.97634880420187298</v>
      </c>
      <c r="F4901">
        <v>0.83702328542758997</v>
      </c>
      <c r="G4901">
        <v>0.60471107032163796</v>
      </c>
      <c r="H4901">
        <v>0.35076673460535601</v>
      </c>
      <c r="I4901">
        <v>0.29536821164128901</v>
      </c>
      <c r="J4901">
        <v>0.30053894633151201</v>
      </c>
      <c r="K4901">
        <v>0.21698224523780901</v>
      </c>
      <c r="L4901">
        <v>1285.5473734156101</v>
      </c>
      <c r="M4901">
        <v>22.773026742378899</v>
      </c>
      <c r="N4901">
        <v>58.137753052557301</v>
      </c>
      <c r="O4901">
        <v>56.020570069547901</v>
      </c>
      <c r="P4901">
        <v>-7.7054252081196706E-2</v>
      </c>
      <c r="Q4901">
        <v>0.241815646716871</v>
      </c>
      <c r="R4901">
        <v>0.99516811841367203</v>
      </c>
      <c r="S4901" t="s">
        <v>11353</v>
      </c>
      <c r="T4901" t="s">
        <v>12902</v>
      </c>
      <c r="U4901" t="s">
        <v>12902</v>
      </c>
      <c r="V4901" t="s">
        <v>12902</v>
      </c>
      <c r="W4901" t="s">
        <v>17754</v>
      </c>
      <c r="X4901">
        <v>10</v>
      </c>
      <c r="Y4901" t="s">
        <v>24055</v>
      </c>
      <c r="Z4901" t="s">
        <v>30476</v>
      </c>
      <c r="AA4901">
        <v>0.66555407241823739</v>
      </c>
      <c r="AB4901" t="str">
        <f>HYPERLINK("Melting_Curves/meltCurve_Q96EY8_MMAB.pdf", "Melting_Curves/meltCurve_Q96EY8_MMAB.pdf")</f>
        <v>Melting_Curves/meltCurve_Q96EY8_MMAB.pdf</v>
      </c>
    </row>
    <row r="4902" spans="1:28" x14ac:dyDescent="0.25">
      <c r="A4902" t="s">
        <v>4906</v>
      </c>
      <c r="B4902">
        <v>0.99673306730245903</v>
      </c>
      <c r="C4902">
        <v>0.99873881902461004</v>
      </c>
      <c r="D4902">
        <v>0.89755359500530996</v>
      </c>
      <c r="E4902">
        <v>0.71484093231739498</v>
      </c>
      <c r="F4902">
        <v>0.49047665863463502</v>
      </c>
      <c r="G4902">
        <v>0.354766970226014</v>
      </c>
      <c r="H4902">
        <v>0.19469197841375799</v>
      </c>
      <c r="I4902">
        <v>9.0536210821513002E-2</v>
      </c>
      <c r="J4902">
        <v>4.6639286614879497E-2</v>
      </c>
      <c r="K4902">
        <v>2.61193004295114E-2</v>
      </c>
      <c r="L4902">
        <v>693.96534993304795</v>
      </c>
      <c r="M4902">
        <v>12.981293350978801</v>
      </c>
      <c r="N4902">
        <v>53.458878181283403</v>
      </c>
      <c r="O4902">
        <v>52.237940133931403</v>
      </c>
      <c r="P4902">
        <v>-6.2136819351719601E-2</v>
      </c>
      <c r="Q4902">
        <v>0</v>
      </c>
      <c r="R4902">
        <v>0.99619693581623103</v>
      </c>
      <c r="S4902" t="s">
        <v>11354</v>
      </c>
      <c r="T4902" t="s">
        <v>12902</v>
      </c>
      <c r="U4902" t="s">
        <v>12902</v>
      </c>
      <c r="V4902" t="s">
        <v>12902</v>
      </c>
      <c r="W4902" t="s">
        <v>17755</v>
      </c>
      <c r="X4902">
        <v>2</v>
      </c>
      <c r="Y4902" t="s">
        <v>24056</v>
      </c>
      <c r="Z4902" t="s">
        <v>30477</v>
      </c>
      <c r="AA4902">
        <v>0.47381488113186981</v>
      </c>
      <c r="AB4902" t="str">
        <f>HYPERLINK("Melting_Curves/meltCurve_Q96EY9_ADAT3.pdf", "Melting_Curves/meltCurve_Q96EY9_ADAT3.pdf")</f>
        <v>Melting_Curves/meltCurve_Q96EY9_ADAT3.pdf</v>
      </c>
    </row>
    <row r="4903" spans="1:28" x14ac:dyDescent="0.25">
      <c r="A4903" t="s">
        <v>4907</v>
      </c>
      <c r="B4903">
        <v>0.99673306730245903</v>
      </c>
      <c r="C4903">
        <v>0.96056563180545496</v>
      </c>
      <c r="D4903">
        <v>0.95759553823479604</v>
      </c>
      <c r="E4903">
        <v>0.82850268922985004</v>
      </c>
      <c r="F4903">
        <v>0.56904752096016198</v>
      </c>
      <c r="G4903">
        <v>0.418341432214488</v>
      </c>
      <c r="H4903">
        <v>0.25825097898645399</v>
      </c>
      <c r="I4903">
        <v>0.28667038514880999</v>
      </c>
      <c r="J4903">
        <v>0.44432945317415901</v>
      </c>
      <c r="K4903">
        <v>0.41541933563854999</v>
      </c>
      <c r="L4903">
        <v>1344.02963523981</v>
      </c>
      <c r="M4903">
        <v>26.040114472224602</v>
      </c>
      <c r="N4903">
        <v>54.137345406121703</v>
      </c>
      <c r="O4903">
        <v>51.312314574160602</v>
      </c>
      <c r="P4903">
        <v>-8.2280403380841305E-2</v>
      </c>
      <c r="Q4903">
        <v>0.35146996945481901</v>
      </c>
      <c r="R4903">
        <v>0.960958962769075</v>
      </c>
      <c r="S4903" t="s">
        <v>11355</v>
      </c>
      <c r="T4903" t="s">
        <v>12902</v>
      </c>
      <c r="U4903" t="s">
        <v>12902</v>
      </c>
      <c r="V4903" t="s">
        <v>12902</v>
      </c>
      <c r="W4903" t="s">
        <v>17756</v>
      </c>
      <c r="X4903">
        <v>2</v>
      </c>
      <c r="Y4903" t="s">
        <v>24057</v>
      </c>
      <c r="Z4903" t="s">
        <v>30478</v>
      </c>
      <c r="AA4903">
        <v>0.60798058343718375</v>
      </c>
      <c r="AB4903" t="str">
        <f>HYPERLINK("Melting_Curves/meltCurve_Q96F24_2_NRBF2.pdf", "Melting_Curves/meltCurve_Q96F24_2_NRBF2.pdf")</f>
        <v>Melting_Curves/meltCurve_Q96F24_2_NRBF2.pdf</v>
      </c>
    </row>
    <row r="4904" spans="1:28" x14ac:dyDescent="0.25">
      <c r="A4904" t="s">
        <v>4908</v>
      </c>
      <c r="B4904">
        <v>0.99673306730245903</v>
      </c>
      <c r="C4904">
        <v>0.93380166611871795</v>
      </c>
      <c r="D4904">
        <v>0.99079251973953997</v>
      </c>
      <c r="E4904">
        <v>0.79332249728838899</v>
      </c>
      <c r="F4904">
        <v>0.56139657360409001</v>
      </c>
      <c r="G4904">
        <v>0.35523037176981997</v>
      </c>
      <c r="H4904">
        <v>0.22002579686808299</v>
      </c>
      <c r="I4904">
        <v>0.22396750045383501</v>
      </c>
      <c r="J4904">
        <v>0.226853518274791</v>
      </c>
      <c r="K4904">
        <v>0.22618921785113899</v>
      </c>
      <c r="L4904">
        <v>1060.8416475633701</v>
      </c>
      <c r="M4904">
        <v>20.213768816429099</v>
      </c>
      <c r="N4904">
        <v>53.904183742986497</v>
      </c>
      <c r="O4904">
        <v>51.975612648125299</v>
      </c>
      <c r="P4904">
        <v>-7.71264418019003E-2</v>
      </c>
      <c r="Q4904">
        <v>0.20676486518449499</v>
      </c>
      <c r="R4904">
        <v>0.99384609880701502</v>
      </c>
      <c r="S4904" t="s">
        <v>11356</v>
      </c>
      <c r="T4904" t="s">
        <v>12902</v>
      </c>
      <c r="U4904" t="s">
        <v>12902</v>
      </c>
      <c r="V4904" t="s">
        <v>12902</v>
      </c>
      <c r="W4904" t="s">
        <v>17757</v>
      </c>
      <c r="X4904">
        <v>1</v>
      </c>
      <c r="Y4904" t="s">
        <v>24058</v>
      </c>
      <c r="Z4904" t="s">
        <v>30479</v>
      </c>
      <c r="AA4904">
        <v>0.54752913558741079</v>
      </c>
      <c r="AB4904" t="str">
        <f>HYPERLINK("Melting_Curves/meltCurve_Q96F25_ALG14.pdf", "Melting_Curves/meltCurve_Q96F25_ALG14.pdf")</f>
        <v>Melting_Curves/meltCurve_Q96F25_ALG14.pdf</v>
      </c>
    </row>
    <row r="4905" spans="1:28" x14ac:dyDescent="0.25">
      <c r="A4905" t="s">
        <v>4909</v>
      </c>
      <c r="B4905">
        <v>0.99673306730245903</v>
      </c>
      <c r="C4905">
        <v>0.89494581808567397</v>
      </c>
      <c r="D4905">
        <v>0.91482461090418199</v>
      </c>
      <c r="E4905">
        <v>0.83015645456642395</v>
      </c>
      <c r="F4905">
        <v>0.80859005686299001</v>
      </c>
      <c r="G4905">
        <v>0.50912198494156502</v>
      </c>
      <c r="H4905">
        <v>0.49162719790044102</v>
      </c>
      <c r="I4905">
        <v>0.271963021044411</v>
      </c>
      <c r="J4905">
        <v>0.39166124012836301</v>
      </c>
      <c r="K4905">
        <v>0.43411179636241698</v>
      </c>
      <c r="L4905">
        <v>757.51556828450305</v>
      </c>
      <c r="M4905">
        <v>13.9668744849024</v>
      </c>
      <c r="N4905">
        <v>58.811418398403397</v>
      </c>
      <c r="O4905">
        <v>53.161014151670599</v>
      </c>
      <c r="P4905">
        <v>-4.39276804989727E-2</v>
      </c>
      <c r="Q4905">
        <v>0.33129523491215801</v>
      </c>
      <c r="R4905">
        <v>0.92313644459712996</v>
      </c>
      <c r="S4905" t="s">
        <v>11357</v>
      </c>
      <c r="T4905" t="s">
        <v>12902</v>
      </c>
      <c r="U4905" t="s">
        <v>12902</v>
      </c>
      <c r="V4905" t="s">
        <v>12902</v>
      </c>
      <c r="W4905" t="s">
        <v>17758</v>
      </c>
      <c r="X4905">
        <v>1</v>
      </c>
      <c r="Y4905" t="s">
        <v>24059</v>
      </c>
      <c r="Z4905" t="s">
        <v>30480</v>
      </c>
      <c r="AA4905">
        <v>0.66332790655585183</v>
      </c>
      <c r="AB4905" t="str">
        <f>HYPERLINK("Melting_Curves/meltCurve_Q96F45_ZNF503.pdf", "Melting_Curves/meltCurve_Q96F45_ZNF503.pdf")</f>
        <v>Melting_Curves/meltCurve_Q96F45_ZNF503.pdf</v>
      </c>
    </row>
    <row r="4906" spans="1:28" x14ac:dyDescent="0.25">
      <c r="A4906" t="s">
        <v>4910</v>
      </c>
      <c r="B4906">
        <v>0.99673306730245903</v>
      </c>
      <c r="C4906">
        <v>0.87597172205974105</v>
      </c>
      <c r="D4906">
        <v>0.71291070151948599</v>
      </c>
      <c r="E4906">
        <v>0.45609183194920799</v>
      </c>
      <c r="F4906">
        <v>0.36176029397495901</v>
      </c>
      <c r="G4906">
        <v>0.26044536909249899</v>
      </c>
      <c r="H4906">
        <v>0.20530467438722</v>
      </c>
      <c r="I4906">
        <v>0.25615876220974998</v>
      </c>
      <c r="J4906">
        <v>0.37637953117319001</v>
      </c>
      <c r="K4906">
        <v>0.313081957425136</v>
      </c>
      <c r="L4906">
        <v>941.46322150361698</v>
      </c>
      <c r="M4906">
        <v>20.1133104607562</v>
      </c>
      <c r="N4906">
        <v>48.8047351684624</v>
      </c>
      <c r="O4906">
        <v>46.3526338761367</v>
      </c>
      <c r="P4906">
        <v>-7.8062172308663094E-2</v>
      </c>
      <c r="Q4906">
        <v>0.28042235956700201</v>
      </c>
      <c r="R4906">
        <v>0.97076587051520802</v>
      </c>
      <c r="S4906" t="s">
        <v>11358</v>
      </c>
      <c r="T4906" t="s">
        <v>12902</v>
      </c>
      <c r="U4906" t="s">
        <v>12902</v>
      </c>
      <c r="V4906" t="s">
        <v>12902</v>
      </c>
      <c r="W4906" t="s">
        <v>17759</v>
      </c>
      <c r="X4906">
        <v>1</v>
      </c>
      <c r="Y4906" t="s">
        <v>24060</v>
      </c>
      <c r="Z4906" t="s">
        <v>30481</v>
      </c>
      <c r="AA4906">
        <v>0.45420585798435809</v>
      </c>
      <c r="AB4906" t="str">
        <f>HYPERLINK("Melting_Curves/meltCurve_Q96F63_CCDC97.pdf", "Melting_Curves/meltCurve_Q96F63_CCDC97.pdf")</f>
        <v>Melting_Curves/meltCurve_Q96F63_CCDC97.pdf</v>
      </c>
    </row>
    <row r="4907" spans="1:28" x14ac:dyDescent="0.25">
      <c r="A4907" t="s">
        <v>4911</v>
      </c>
      <c r="B4907">
        <v>0.99673306730245903</v>
      </c>
      <c r="C4907">
        <v>0.91459365172269702</v>
      </c>
      <c r="D4907">
        <v>0.92848459777686698</v>
      </c>
      <c r="E4907">
        <v>0.67913890622976802</v>
      </c>
      <c r="F4907">
        <v>0.38461970299623899</v>
      </c>
      <c r="G4907">
        <v>0.26552165529135202</v>
      </c>
      <c r="H4907">
        <v>0.179012829982861</v>
      </c>
      <c r="I4907">
        <v>0.19357192359358</v>
      </c>
      <c r="J4907">
        <v>0.192558900527809</v>
      </c>
      <c r="K4907">
        <v>0.20321596666386699</v>
      </c>
      <c r="L4907">
        <v>1084.87195000567</v>
      </c>
      <c r="M4907">
        <v>21.465206192443802</v>
      </c>
      <c r="N4907">
        <v>51.650784504758199</v>
      </c>
      <c r="O4907">
        <v>50.108430429870701</v>
      </c>
      <c r="P4907">
        <v>-8.7310836285464793E-2</v>
      </c>
      <c r="Q4907">
        <v>0.184745541445894</v>
      </c>
      <c r="R4907">
        <v>0.99437420089627204</v>
      </c>
      <c r="S4907" t="s">
        <v>11359</v>
      </c>
      <c r="T4907" t="s">
        <v>12902</v>
      </c>
      <c r="U4907" t="s">
        <v>12902</v>
      </c>
      <c r="V4907" t="s">
        <v>12902</v>
      </c>
      <c r="W4907" t="s">
        <v>17760</v>
      </c>
      <c r="X4907">
        <v>12</v>
      </c>
      <c r="Y4907" t="s">
        <v>24061</v>
      </c>
      <c r="Z4907" t="s">
        <v>30482</v>
      </c>
      <c r="AA4907">
        <v>0.48108621893076209</v>
      </c>
      <c r="AB4907" t="str">
        <f>HYPERLINK("Melting_Curves/meltCurve_Q96F86_EDC3.pdf", "Melting_Curves/meltCurve_Q96F86_EDC3.pdf")</f>
        <v>Melting_Curves/meltCurve_Q96F86_EDC3.pdf</v>
      </c>
    </row>
    <row r="4908" spans="1:28" x14ac:dyDescent="0.25">
      <c r="A4908" t="s">
        <v>4912</v>
      </c>
      <c r="B4908">
        <v>0.99673306730245903</v>
      </c>
      <c r="C4908">
        <v>0.976997870043113</v>
      </c>
      <c r="D4908">
        <v>1.0480624334798301</v>
      </c>
      <c r="E4908">
        <v>0.58242946090414804</v>
      </c>
      <c r="F4908">
        <v>0.36877899076715198</v>
      </c>
      <c r="G4908">
        <v>0.22656583033264599</v>
      </c>
      <c r="H4908">
        <v>0.19836432989824301</v>
      </c>
      <c r="I4908">
        <v>0.19288287015266101</v>
      </c>
      <c r="J4908">
        <v>0.28566139462916001</v>
      </c>
      <c r="K4908">
        <v>0.293613427511349</v>
      </c>
      <c r="L4908">
        <v>2031.96759531461</v>
      </c>
      <c r="M4908">
        <v>41.047884611401201</v>
      </c>
      <c r="N4908">
        <v>50.357228831284701</v>
      </c>
      <c r="O4908">
        <v>49.385314382793197</v>
      </c>
      <c r="P4908">
        <v>-0.15565473447561201</v>
      </c>
      <c r="Q4908">
        <v>0.250919371426786</v>
      </c>
      <c r="R4908">
        <v>0.97944635087541598</v>
      </c>
      <c r="S4908" t="s">
        <v>11360</v>
      </c>
      <c r="T4908" t="s">
        <v>12902</v>
      </c>
      <c r="U4908" t="s">
        <v>12902</v>
      </c>
      <c r="V4908" t="s">
        <v>12902</v>
      </c>
      <c r="W4908" t="s">
        <v>17761</v>
      </c>
      <c r="X4908">
        <v>1</v>
      </c>
      <c r="Y4908" t="s">
        <v>24062</v>
      </c>
      <c r="Z4908" t="s">
        <v>30483</v>
      </c>
      <c r="AA4908">
        <v>0.49062171646150998</v>
      </c>
      <c r="AB4908" t="str">
        <f>HYPERLINK("Melting_Curves/meltCurve_Q96FA3_PELI1.pdf", "Melting_Curves/meltCurve_Q96FA3_PELI1.pdf")</f>
        <v>Melting_Curves/meltCurve_Q96FA3_PELI1.pdf</v>
      </c>
    </row>
    <row r="4909" spans="1:28" x14ac:dyDescent="0.25">
      <c r="A4909" t="s">
        <v>4913</v>
      </c>
      <c r="B4909">
        <v>0.99673306730245903</v>
      </c>
      <c r="C4909">
        <v>0.92586725856886098</v>
      </c>
      <c r="D4909">
        <v>0.85393592660136497</v>
      </c>
      <c r="E4909">
        <v>0.46343549025791198</v>
      </c>
      <c r="F4909">
        <v>0.18174379741084801</v>
      </c>
      <c r="G4909">
        <v>0.12638124343808399</v>
      </c>
      <c r="H4909">
        <v>6.3600968989148299E-2</v>
      </c>
      <c r="I4909">
        <v>5.97452593386247E-2</v>
      </c>
      <c r="J4909">
        <v>6.9793618286207906E-2</v>
      </c>
      <c r="K4909">
        <v>7.0902629148573301E-2</v>
      </c>
      <c r="L4909">
        <v>1152.70729294085</v>
      </c>
      <c r="M4909">
        <v>23.5222625074157</v>
      </c>
      <c r="N4909">
        <v>49.300555077157497</v>
      </c>
      <c r="O4909">
        <v>48.654883491593097</v>
      </c>
      <c r="P4909">
        <v>-0.112915331391192</v>
      </c>
      <c r="Q4909">
        <v>6.5772133322708898E-2</v>
      </c>
      <c r="R4909">
        <v>0.99774061666611802</v>
      </c>
      <c r="S4909" t="s">
        <v>11361</v>
      </c>
      <c r="T4909" t="s">
        <v>12902</v>
      </c>
      <c r="U4909" t="s">
        <v>12902</v>
      </c>
      <c r="V4909" t="s">
        <v>12902</v>
      </c>
      <c r="W4909" t="s">
        <v>17762</v>
      </c>
      <c r="X4909">
        <v>6</v>
      </c>
      <c r="Y4909" t="s">
        <v>24063</v>
      </c>
      <c r="Z4909" t="s">
        <v>30484</v>
      </c>
      <c r="AA4909">
        <v>0.35558051041936189</v>
      </c>
      <c r="AB4909" t="str">
        <f>HYPERLINK("Melting_Curves/meltCurve_Q96FC9_4_DDX11.pdf", "Melting_Curves/meltCurve_Q96FC9_4_DDX11.pdf")</f>
        <v>Melting_Curves/meltCurve_Q96FC9_4_DDX11.pdf</v>
      </c>
    </row>
    <row r="4910" spans="1:28" x14ac:dyDescent="0.25">
      <c r="A4910" t="s">
        <v>4914</v>
      </c>
      <c r="B4910">
        <v>0.99673306730245903</v>
      </c>
      <c r="C4910">
        <v>0.98464691535420101</v>
      </c>
      <c r="D4910">
        <v>0.94317686552735003</v>
      </c>
      <c r="E4910">
        <v>0.79050730353704901</v>
      </c>
      <c r="F4910">
        <v>0.751800372405516</v>
      </c>
      <c r="G4910">
        <v>0.34194972980258098</v>
      </c>
      <c r="H4910">
        <v>0.204848857555601</v>
      </c>
      <c r="I4910">
        <v>0.145404858223178</v>
      </c>
      <c r="J4910">
        <v>0.13419846911968999</v>
      </c>
      <c r="K4910">
        <v>8.3188927332008597E-2</v>
      </c>
      <c r="L4910">
        <v>927.05488009603198</v>
      </c>
      <c r="M4910">
        <v>16.913290155741201</v>
      </c>
      <c r="N4910">
        <v>55.286183402992798</v>
      </c>
      <c r="O4910">
        <v>54.0631638564113</v>
      </c>
      <c r="P4910">
        <v>-7.29371091643706E-2</v>
      </c>
      <c r="Q4910">
        <v>6.7487807126149504E-2</v>
      </c>
      <c r="R4910">
        <v>0.98487925223599604</v>
      </c>
      <c r="S4910" t="s">
        <v>11362</v>
      </c>
      <c r="T4910" t="s">
        <v>12902</v>
      </c>
      <c r="U4910" t="s">
        <v>12902</v>
      </c>
      <c r="V4910" t="s">
        <v>12902</v>
      </c>
      <c r="W4910" t="s">
        <v>17763</v>
      </c>
      <c r="X4910">
        <v>5</v>
      </c>
      <c r="Y4910" t="s">
        <v>24064</v>
      </c>
      <c r="Z4910" t="s">
        <v>30485</v>
      </c>
      <c r="AA4910">
        <v>0.54369431105782728</v>
      </c>
      <c r="AB4910" t="str">
        <f>HYPERLINK("Melting_Curves/meltCurve_Q96FE5_2_LINGO1.pdf", "Melting_Curves/meltCurve_Q96FE5_2_LINGO1.pdf")</f>
        <v>Melting_Curves/meltCurve_Q96FE5_2_LINGO1.pdf</v>
      </c>
    </row>
    <row r="4911" spans="1:28" x14ac:dyDescent="0.25">
      <c r="A4911" t="s">
        <v>4915</v>
      </c>
      <c r="B4911">
        <v>0.99673306730245903</v>
      </c>
      <c r="C4911">
        <v>1.0161460837371299</v>
      </c>
      <c r="D4911">
        <v>0.98641368516439598</v>
      </c>
      <c r="E4911">
        <v>0.80334983650104297</v>
      </c>
      <c r="F4911">
        <v>0.73991188508519801</v>
      </c>
      <c r="G4911">
        <v>0.59332772495457697</v>
      </c>
      <c r="H4911">
        <v>0.467953850508803</v>
      </c>
      <c r="I4911">
        <v>0.68345953616244604</v>
      </c>
      <c r="J4911">
        <v>2.0544691736702201</v>
      </c>
      <c r="K4911">
        <v>2.1672391144134102</v>
      </c>
      <c r="L4911">
        <v>7269.1676017141199</v>
      </c>
      <c r="M4911">
        <v>111.23716618061999</v>
      </c>
      <c r="O4911">
        <v>65.327258560181207</v>
      </c>
      <c r="P4911">
        <v>0.212846012556347</v>
      </c>
      <c r="Q4911">
        <v>1.5</v>
      </c>
      <c r="R4911">
        <v>0.52712638335598105</v>
      </c>
      <c r="S4911" t="s">
        <v>11363</v>
      </c>
      <c r="T4911" t="s">
        <v>12902</v>
      </c>
      <c r="U4911" t="s">
        <v>12902</v>
      </c>
      <c r="V4911" t="s">
        <v>12902</v>
      </c>
      <c r="W4911" t="s">
        <v>17764</v>
      </c>
      <c r="X4911">
        <v>8</v>
      </c>
      <c r="Z4911" t="s">
        <v>30486</v>
      </c>
      <c r="AA4911">
        <v>1.0772443086609911</v>
      </c>
      <c r="AB4911" t="str">
        <f>HYPERLINK("Melting_Curves/meltCurve_Q96FF7_.pdf", "Melting_Curves/meltCurve_Q96FF7_.pdf")</f>
        <v>Melting_Curves/meltCurve_Q96FF7_.pdf</v>
      </c>
    </row>
    <row r="4912" spans="1:28" x14ac:dyDescent="0.25">
      <c r="A4912" t="s">
        <v>4916</v>
      </c>
      <c r="B4912">
        <v>0.99673306730245903</v>
      </c>
      <c r="C4912">
        <v>1.0456579608741301</v>
      </c>
      <c r="D4912">
        <v>0.97839218579347098</v>
      </c>
      <c r="E4912">
        <v>0.90681635763247104</v>
      </c>
      <c r="F4912">
        <v>0.74088128771963402</v>
      </c>
      <c r="G4912">
        <v>0.59663330187111796</v>
      </c>
      <c r="H4912">
        <v>0.287944082497049</v>
      </c>
      <c r="I4912">
        <v>0.23941729390560501</v>
      </c>
      <c r="J4912">
        <v>0.19819532019555999</v>
      </c>
      <c r="K4912">
        <v>0.17222672828664501</v>
      </c>
      <c r="L4912">
        <v>930.25444117616098</v>
      </c>
      <c r="M4912">
        <v>16.481497170293402</v>
      </c>
      <c r="N4912">
        <v>57.497682844808402</v>
      </c>
      <c r="O4912">
        <v>55.6310671772383</v>
      </c>
      <c r="P4912">
        <v>-6.4403463843197298E-2</v>
      </c>
      <c r="Q4912">
        <v>0.130520144226867</v>
      </c>
      <c r="R4912">
        <v>0.99273299045696894</v>
      </c>
      <c r="S4912" t="s">
        <v>11364</v>
      </c>
      <c r="T4912" t="s">
        <v>12902</v>
      </c>
      <c r="U4912" t="s">
        <v>12902</v>
      </c>
      <c r="V4912" t="s">
        <v>12902</v>
      </c>
      <c r="W4912" t="s">
        <v>17765</v>
      </c>
      <c r="X4912">
        <v>3</v>
      </c>
      <c r="Y4912" t="s">
        <v>24065</v>
      </c>
      <c r="Z4912" t="s">
        <v>30487</v>
      </c>
      <c r="AA4912">
        <v>0.62068295589757561</v>
      </c>
      <c r="AB4912" t="str">
        <f>HYPERLINK("Melting_Curves/meltCurve_Q96FH0_MEF2BNB.pdf", "Melting_Curves/meltCurve_Q96FH0_MEF2BNB.pdf")</f>
        <v>Melting_Curves/meltCurve_Q96FH0_MEF2BNB.pdf</v>
      </c>
    </row>
    <row r="4913" spans="1:28" x14ac:dyDescent="0.25">
      <c r="A4913" t="s">
        <v>4917</v>
      </c>
      <c r="B4913">
        <v>0.99673306730245903</v>
      </c>
      <c r="C4913">
        <v>1.16138907848203</v>
      </c>
      <c r="D4913">
        <v>1.33085318878798</v>
      </c>
      <c r="E4913">
        <v>1.51362712811105</v>
      </c>
      <c r="F4913">
        <v>1.17893580060241</v>
      </c>
      <c r="G4913">
        <v>0.83466411634058302</v>
      </c>
      <c r="H4913">
        <v>0.25592244095352901</v>
      </c>
      <c r="I4913">
        <v>0.212567829746518</v>
      </c>
      <c r="J4913">
        <v>0.24289766506699101</v>
      </c>
      <c r="K4913">
        <v>0.21243267958624601</v>
      </c>
      <c r="L4913">
        <v>4425.5152840499104</v>
      </c>
      <c r="M4913">
        <v>76.587741258744302</v>
      </c>
      <c r="N4913">
        <v>58.242210135775103</v>
      </c>
      <c r="O4913">
        <v>57.7442388630921</v>
      </c>
      <c r="P4913">
        <v>-0.25649905925164301</v>
      </c>
      <c r="Q4913">
        <v>0.226438051486229</v>
      </c>
      <c r="R4913">
        <v>0.81987511449682704</v>
      </c>
      <c r="S4913" t="s">
        <v>11365</v>
      </c>
      <c r="T4913" t="s">
        <v>12902</v>
      </c>
      <c r="U4913" t="s">
        <v>12902</v>
      </c>
      <c r="V4913" t="s">
        <v>12902</v>
      </c>
      <c r="W4913" t="s">
        <v>17766</v>
      </c>
      <c r="X4913">
        <v>7</v>
      </c>
      <c r="Y4913" t="s">
        <v>24066</v>
      </c>
      <c r="Z4913" t="s">
        <v>30488</v>
      </c>
      <c r="AA4913">
        <v>0.68583282921096256</v>
      </c>
      <c r="AB4913" t="str">
        <f>HYPERLINK("Melting_Curves/meltCurve_Q96FK6_WDR89.pdf", "Melting_Curves/meltCurve_Q96FK6_WDR89.pdf")</f>
        <v>Melting_Curves/meltCurve_Q96FK6_WDR89.pdf</v>
      </c>
    </row>
    <row r="4914" spans="1:28" x14ac:dyDescent="0.25">
      <c r="A4914" t="s">
        <v>4918</v>
      </c>
      <c r="B4914">
        <v>0.99673306730245903</v>
      </c>
      <c r="C4914">
        <v>0.97479889099839501</v>
      </c>
      <c r="D4914">
        <v>0.99613237441689095</v>
      </c>
      <c r="E4914">
        <v>0.83507788058368004</v>
      </c>
      <c r="F4914">
        <v>0.68412664783272403</v>
      </c>
      <c r="G4914">
        <v>0.53535812541564698</v>
      </c>
      <c r="H4914">
        <v>0.29030718949011802</v>
      </c>
      <c r="I4914">
        <v>0.28480805031260198</v>
      </c>
      <c r="J4914">
        <v>0.31187641735059901</v>
      </c>
      <c r="K4914">
        <v>0.29071234368506599</v>
      </c>
      <c r="L4914">
        <v>924.32869245407198</v>
      </c>
      <c r="M4914">
        <v>17.087034397942901</v>
      </c>
      <c r="N4914">
        <v>56.483436353868797</v>
      </c>
      <c r="O4914">
        <v>53.3706985193676</v>
      </c>
      <c r="P4914">
        <v>-5.9455563148374399E-2</v>
      </c>
      <c r="Q4914">
        <v>0.25721627291757898</v>
      </c>
      <c r="R4914">
        <v>0.987881917261894</v>
      </c>
      <c r="S4914" t="s">
        <v>11366</v>
      </c>
      <c r="T4914" t="s">
        <v>12902</v>
      </c>
      <c r="U4914" t="s">
        <v>12902</v>
      </c>
      <c r="V4914" t="s">
        <v>12902</v>
      </c>
      <c r="W4914" t="s">
        <v>17767</v>
      </c>
      <c r="X4914">
        <v>12</v>
      </c>
      <c r="Y4914" t="s">
        <v>24067</v>
      </c>
      <c r="Z4914" t="s">
        <v>30489</v>
      </c>
      <c r="AA4914">
        <v>0.61898293601041132</v>
      </c>
      <c r="AB4914" t="str">
        <f>HYPERLINK("Melting_Curves/meltCurve_Q96FQ6_S100A16.pdf", "Melting_Curves/meltCurve_Q96FQ6_S100A16.pdf")</f>
        <v>Melting_Curves/meltCurve_Q96FQ6_S100A16.pdf</v>
      </c>
    </row>
    <row r="4915" spans="1:28" x14ac:dyDescent="0.25">
      <c r="A4915" t="s">
        <v>4919</v>
      </c>
      <c r="B4915">
        <v>0.99673306730245903</v>
      </c>
      <c r="C4915">
        <v>1.0051407555160501</v>
      </c>
      <c r="D4915">
        <v>1.01403841861744</v>
      </c>
      <c r="E4915">
        <v>0.92057241787857202</v>
      </c>
      <c r="F4915">
        <v>0.40078024415995001</v>
      </c>
      <c r="G4915">
        <v>0.27121147597526102</v>
      </c>
      <c r="H4915">
        <v>0.160503706724931</v>
      </c>
      <c r="I4915">
        <v>0.165040498561</v>
      </c>
      <c r="J4915">
        <v>0.19794307668619099</v>
      </c>
      <c r="K4915">
        <v>0.200563578441707</v>
      </c>
      <c r="L4915">
        <v>2246.26998724336</v>
      </c>
      <c r="M4915">
        <v>43.2046178522411</v>
      </c>
      <c r="N4915">
        <v>52.584385267661702</v>
      </c>
      <c r="O4915">
        <v>51.8804198964446</v>
      </c>
      <c r="P4915">
        <v>-0.168049077321515</v>
      </c>
      <c r="Q4915">
        <v>0.192823044747788</v>
      </c>
      <c r="R4915">
        <v>0.99574913854061997</v>
      </c>
      <c r="S4915" t="s">
        <v>11367</v>
      </c>
      <c r="T4915" t="s">
        <v>12902</v>
      </c>
      <c r="U4915" t="s">
        <v>12902</v>
      </c>
      <c r="V4915" t="s">
        <v>12902</v>
      </c>
      <c r="W4915" t="s">
        <v>17768</v>
      </c>
      <c r="X4915">
        <v>5</v>
      </c>
      <c r="Y4915" t="s">
        <v>24068</v>
      </c>
      <c r="Z4915" t="s">
        <v>30490</v>
      </c>
      <c r="AA4915">
        <v>0.51794645157141317</v>
      </c>
      <c r="AB4915" t="str">
        <f>HYPERLINK("Melting_Curves/meltCurve_Q96FV9_THOC1.pdf", "Melting_Curves/meltCurve_Q96FV9_THOC1.pdf")</f>
        <v>Melting_Curves/meltCurve_Q96FV9_THOC1.pdf</v>
      </c>
    </row>
    <row r="4916" spans="1:28" x14ac:dyDescent="0.25">
      <c r="A4916" t="s">
        <v>4920</v>
      </c>
      <c r="B4916">
        <v>0.99673306730245903</v>
      </c>
      <c r="C4916">
        <v>1.04356023734188</v>
      </c>
      <c r="D4916">
        <v>1.08464541510024</v>
      </c>
      <c r="E4916">
        <v>1.03278524536128</v>
      </c>
      <c r="F4916">
        <v>1.07434546229827</v>
      </c>
      <c r="G4916">
        <v>1.04343912145393</v>
      </c>
      <c r="H4916">
        <v>0.83855029007265802</v>
      </c>
      <c r="I4916">
        <v>1.7728714870637099</v>
      </c>
      <c r="J4916">
        <v>2.4915688472460702</v>
      </c>
      <c r="K4916">
        <v>2.3765888881786799</v>
      </c>
      <c r="L4916">
        <v>15000</v>
      </c>
      <c r="M4916">
        <v>240.803393347205</v>
      </c>
      <c r="O4916">
        <v>62.287184427996401</v>
      </c>
      <c r="P4916">
        <v>0.48325228462966002</v>
      </c>
      <c r="Q4916">
        <v>1.5</v>
      </c>
      <c r="R4916">
        <v>0.44172735791844903</v>
      </c>
      <c r="S4916" t="s">
        <v>11368</v>
      </c>
      <c r="T4916" t="s">
        <v>12902</v>
      </c>
      <c r="U4916" t="s">
        <v>12902</v>
      </c>
      <c r="V4916" t="s">
        <v>12902</v>
      </c>
      <c r="W4916" t="s">
        <v>17769</v>
      </c>
      <c r="X4916">
        <v>1</v>
      </c>
      <c r="Y4916" t="s">
        <v>24069</v>
      </c>
      <c r="Z4916" t="s">
        <v>30491</v>
      </c>
      <c r="AA4916">
        <v>1.12841640063376</v>
      </c>
      <c r="AB4916" t="str">
        <f>HYPERLINK("Melting_Curves/meltCurve_Q96FX2_DPH3.pdf", "Melting_Curves/meltCurve_Q96FX2_DPH3.pdf")</f>
        <v>Melting_Curves/meltCurve_Q96FX2_DPH3.pdf</v>
      </c>
    </row>
    <row r="4917" spans="1:28" x14ac:dyDescent="0.25">
      <c r="A4917" t="s">
        <v>4921</v>
      </c>
      <c r="B4917">
        <v>0.99673306730245903</v>
      </c>
      <c r="C4917">
        <v>0.91512121045609995</v>
      </c>
      <c r="D4917">
        <v>0.97747059477773901</v>
      </c>
      <c r="E4917">
        <v>1.0307119404732801</v>
      </c>
      <c r="F4917">
        <v>0.94405708119106901</v>
      </c>
      <c r="G4917">
        <v>0.61981949579354101</v>
      </c>
      <c r="H4917">
        <v>0.18284141346604901</v>
      </c>
      <c r="I4917">
        <v>8.3685148377965896E-2</v>
      </c>
      <c r="J4917">
        <v>9.9168317143858306E-2</v>
      </c>
      <c r="K4917">
        <v>7.9966371502013897E-2</v>
      </c>
      <c r="L4917">
        <v>2119.3734018678902</v>
      </c>
      <c r="M4917">
        <v>36.967096842780798</v>
      </c>
      <c r="N4917">
        <v>57.604639806788803</v>
      </c>
      <c r="O4917">
        <v>57.164347100655498</v>
      </c>
      <c r="P4917">
        <v>-0.148667146072823</v>
      </c>
      <c r="Q4917">
        <v>8.0432370432028805E-2</v>
      </c>
      <c r="R4917">
        <v>0.99437500864747097</v>
      </c>
      <c r="S4917" t="s">
        <v>11369</v>
      </c>
      <c r="T4917" t="s">
        <v>12902</v>
      </c>
      <c r="U4917" t="s">
        <v>12902</v>
      </c>
      <c r="V4917" t="s">
        <v>12902</v>
      </c>
      <c r="W4917" t="s">
        <v>17770</v>
      </c>
      <c r="X4917">
        <v>4</v>
      </c>
      <c r="Y4917" t="s">
        <v>24070</v>
      </c>
      <c r="Z4917" t="s">
        <v>30492</v>
      </c>
      <c r="AA4917">
        <v>0.61585707384173283</v>
      </c>
      <c r="AB4917" t="str">
        <f>HYPERLINK("Melting_Curves/meltCurve_Q96FX7_TRMT61A.pdf", "Melting_Curves/meltCurve_Q96FX7_TRMT61A.pdf")</f>
        <v>Melting_Curves/meltCurve_Q96FX7_TRMT61A.pdf</v>
      </c>
    </row>
    <row r="4918" spans="1:28" x14ac:dyDescent="0.25">
      <c r="A4918" t="s">
        <v>4922</v>
      </c>
      <c r="B4918">
        <v>0.99673306730245903</v>
      </c>
      <c r="C4918">
        <v>0.84463336617571605</v>
      </c>
      <c r="D4918">
        <v>0.64913609773754499</v>
      </c>
      <c r="E4918">
        <v>0.31543501068462598</v>
      </c>
      <c r="F4918">
        <v>0.19265872971071599</v>
      </c>
      <c r="G4918">
        <v>0.123358393021425</v>
      </c>
      <c r="H4918">
        <v>6.6125853474819696E-2</v>
      </c>
      <c r="I4918">
        <v>8.48554249806064E-2</v>
      </c>
      <c r="J4918">
        <v>0.113971233793887</v>
      </c>
      <c r="K4918">
        <v>0.113656738378497</v>
      </c>
      <c r="L4918">
        <v>903.91793348921897</v>
      </c>
      <c r="M4918">
        <v>19.264494623581999</v>
      </c>
      <c r="N4918">
        <v>47.421186560118102</v>
      </c>
      <c r="O4918">
        <v>46.424619185824199</v>
      </c>
      <c r="P4918">
        <v>-9.4213888573579901E-2</v>
      </c>
      <c r="Q4918">
        <v>9.1867417058972001E-2</v>
      </c>
      <c r="R4918">
        <v>0.99585321649713399</v>
      </c>
      <c r="S4918" t="s">
        <v>11370</v>
      </c>
      <c r="T4918" t="s">
        <v>12902</v>
      </c>
      <c r="U4918" t="s">
        <v>12902</v>
      </c>
      <c r="V4918" t="s">
        <v>12902</v>
      </c>
      <c r="W4918" t="s">
        <v>17771</v>
      </c>
      <c r="X4918">
        <v>7</v>
      </c>
      <c r="Y4918" t="s">
        <v>24071</v>
      </c>
      <c r="Z4918" t="s">
        <v>30493</v>
      </c>
      <c r="AA4918">
        <v>0.31587780063892668</v>
      </c>
      <c r="AB4918" t="str">
        <f>HYPERLINK("Melting_Curves/meltCurve_Q96FZ2_C3orf37.pdf", "Melting_Curves/meltCurve_Q96FZ2_C3orf37.pdf")</f>
        <v>Melting_Curves/meltCurve_Q96FZ2_C3orf37.pdf</v>
      </c>
    </row>
    <row r="4919" spans="1:28" x14ac:dyDescent="0.25">
      <c r="A4919" t="s">
        <v>4923</v>
      </c>
      <c r="B4919">
        <v>0.99673306730245903</v>
      </c>
      <c r="C4919">
        <v>1.0116815281888001</v>
      </c>
      <c r="D4919">
        <v>0.93670125303820595</v>
      </c>
      <c r="E4919">
        <v>0.82976169050602899</v>
      </c>
      <c r="F4919">
        <v>0.61662092771731403</v>
      </c>
      <c r="G4919">
        <v>0.41858951813874301</v>
      </c>
      <c r="H4919">
        <v>0.192574576430252</v>
      </c>
      <c r="I4919">
        <v>0.10995727508705801</v>
      </c>
      <c r="J4919">
        <v>9.5373669638303502E-2</v>
      </c>
      <c r="K4919">
        <v>8.25585570681861E-2</v>
      </c>
      <c r="L4919">
        <v>827.01830149974398</v>
      </c>
      <c r="M4919">
        <v>15.091232027837499</v>
      </c>
      <c r="N4919">
        <v>55.043889898307498</v>
      </c>
      <c r="O4919">
        <v>53.866001832821198</v>
      </c>
      <c r="P4919">
        <v>-6.7793371103270494E-2</v>
      </c>
      <c r="Q4919">
        <v>3.2180377140991798E-2</v>
      </c>
      <c r="R4919">
        <v>0.99804343632501402</v>
      </c>
      <c r="S4919" t="s">
        <v>11371</v>
      </c>
      <c r="T4919" t="s">
        <v>12902</v>
      </c>
      <c r="U4919" t="s">
        <v>12902</v>
      </c>
      <c r="V4919" t="s">
        <v>12902</v>
      </c>
      <c r="W4919" t="s">
        <v>17772</v>
      </c>
      <c r="X4919">
        <v>5</v>
      </c>
      <c r="Y4919" t="s">
        <v>24072</v>
      </c>
      <c r="Z4919" t="s">
        <v>30494</v>
      </c>
      <c r="AA4919">
        <v>0.52847273956801122</v>
      </c>
      <c r="AB4919" t="str">
        <f>HYPERLINK("Melting_Curves/meltCurve_Q96FZ7_CHMP6.pdf", "Melting_Curves/meltCurve_Q96FZ7_CHMP6.pdf")</f>
        <v>Melting_Curves/meltCurve_Q96FZ7_CHMP6.pdf</v>
      </c>
    </row>
    <row r="4920" spans="1:28" x14ac:dyDescent="0.25">
      <c r="A4920" t="s">
        <v>4924</v>
      </c>
      <c r="B4920">
        <v>0.99673306730245903</v>
      </c>
      <c r="C4920">
        <v>1.0307481215433301</v>
      </c>
      <c r="D4920">
        <v>1.0247649719204901</v>
      </c>
      <c r="E4920">
        <v>1.06173617459526</v>
      </c>
      <c r="F4920">
        <v>0.94830099139280499</v>
      </c>
      <c r="G4920">
        <v>0.88448918700324797</v>
      </c>
      <c r="H4920">
        <v>0.66623974702668298</v>
      </c>
      <c r="I4920">
        <v>0.60698167524163205</v>
      </c>
      <c r="J4920">
        <v>0.564821059968029</v>
      </c>
      <c r="K4920">
        <v>0.344469319758751</v>
      </c>
      <c r="L4920">
        <v>828.13474044410498</v>
      </c>
      <c r="M4920">
        <v>12.9095410588896</v>
      </c>
      <c r="N4920">
        <v>66.604156006200895</v>
      </c>
      <c r="O4920">
        <v>62.668258966018897</v>
      </c>
      <c r="P4920">
        <v>-4.17570141816129E-2</v>
      </c>
      <c r="Q4920">
        <v>0.1893238123081</v>
      </c>
      <c r="R4920">
        <v>0.96000782686471897</v>
      </c>
      <c r="S4920" t="s">
        <v>11372</v>
      </c>
      <c r="T4920" t="s">
        <v>12902</v>
      </c>
      <c r="U4920" t="s">
        <v>12902</v>
      </c>
      <c r="V4920" t="s">
        <v>12902</v>
      </c>
      <c r="W4920" t="s">
        <v>17773</v>
      </c>
      <c r="X4920">
        <v>35</v>
      </c>
      <c r="Y4920" t="s">
        <v>24073</v>
      </c>
      <c r="Z4920" t="s">
        <v>30495</v>
      </c>
      <c r="AA4920">
        <v>0.82073709621517577</v>
      </c>
      <c r="AB4920" t="str">
        <f>HYPERLINK("Melting_Curves/meltCurve_Q96G03_PGM2.pdf", "Melting_Curves/meltCurve_Q96G03_PGM2.pdf")</f>
        <v>Melting_Curves/meltCurve_Q96G03_PGM2.pdf</v>
      </c>
    </row>
    <row r="4921" spans="1:28" x14ac:dyDescent="0.25">
      <c r="A4921" t="s">
        <v>4925</v>
      </c>
      <c r="B4921">
        <v>0.99673306730245903</v>
      </c>
      <c r="C4921">
        <v>1.00889879016406</v>
      </c>
      <c r="D4921">
        <v>0.91343771993740397</v>
      </c>
      <c r="E4921">
        <v>0.61536907144371</v>
      </c>
      <c r="F4921">
        <v>8.8947663366889307E-2</v>
      </c>
      <c r="G4921">
        <v>3.4856914760949501E-2</v>
      </c>
      <c r="H4921">
        <v>8.1291301255796092E-3</v>
      </c>
      <c r="I4921">
        <v>5.7600918668161702E-3</v>
      </c>
      <c r="J4921">
        <v>8.8004382951580307E-3</v>
      </c>
      <c r="K4921">
        <v>7.8863607532737301E-3</v>
      </c>
      <c r="L4921">
        <v>1836.86048364727</v>
      </c>
      <c r="M4921">
        <v>36.6424607506315</v>
      </c>
      <c r="N4921">
        <v>50.147335304211801</v>
      </c>
      <c r="O4921">
        <v>49.9806897311366</v>
      </c>
      <c r="P4921">
        <v>-0.182083736853733</v>
      </c>
      <c r="Q4921">
        <v>6.54675192328758E-3</v>
      </c>
      <c r="R4921">
        <v>0.997962802987861</v>
      </c>
      <c r="S4921" t="s">
        <v>11373</v>
      </c>
      <c r="T4921" t="s">
        <v>12902</v>
      </c>
      <c r="U4921" t="s">
        <v>12902</v>
      </c>
      <c r="V4921" t="s">
        <v>12902</v>
      </c>
      <c r="W4921" t="s">
        <v>17774</v>
      </c>
      <c r="X4921">
        <v>2</v>
      </c>
      <c r="Y4921" t="s">
        <v>24074</v>
      </c>
      <c r="Z4921" t="s">
        <v>30496</v>
      </c>
      <c r="AA4921">
        <v>0.34608927140181972</v>
      </c>
      <c r="AB4921" t="str">
        <f>HYPERLINK("Melting_Curves/meltCurve_Q96G04_FAM86A.pdf", "Melting_Curves/meltCurve_Q96G04_FAM86A.pdf")</f>
        <v>Melting_Curves/meltCurve_Q96G04_FAM86A.pdf</v>
      </c>
    </row>
    <row r="4922" spans="1:28" x14ac:dyDescent="0.25">
      <c r="A4922" t="s">
        <v>4926</v>
      </c>
      <c r="B4922">
        <v>0.99673306730245903</v>
      </c>
      <c r="C4922">
        <v>0.91821571950514702</v>
      </c>
      <c r="D4922">
        <v>0.93504746583102005</v>
      </c>
      <c r="E4922">
        <v>0.85870007910129798</v>
      </c>
      <c r="F4922">
        <v>0.64681232949660705</v>
      </c>
      <c r="G4922">
        <v>0.73198369079862502</v>
      </c>
      <c r="H4922">
        <v>0.49522964517951301</v>
      </c>
      <c r="I4922">
        <v>0.90920454939171802</v>
      </c>
      <c r="J4922">
        <v>1.1443974195948401</v>
      </c>
      <c r="K4922">
        <v>1.30229061258109</v>
      </c>
      <c r="L4922">
        <v>1237.28748973139</v>
      </c>
      <c r="M4922">
        <v>28.852070801700901</v>
      </c>
      <c r="O4922">
        <v>42.679424949703197</v>
      </c>
      <c r="P4922">
        <v>-2.1282114332912501E-2</v>
      </c>
      <c r="Q4922">
        <v>0.87407473708628303</v>
      </c>
      <c r="R4922">
        <v>2.8450491676273601E-2</v>
      </c>
      <c r="S4922" t="s">
        <v>11374</v>
      </c>
      <c r="T4922" t="s">
        <v>12902</v>
      </c>
      <c r="U4922" t="s">
        <v>12902</v>
      </c>
      <c r="V4922" t="s">
        <v>12902</v>
      </c>
      <c r="W4922" t="s">
        <v>17775</v>
      </c>
      <c r="X4922">
        <v>3</v>
      </c>
      <c r="Y4922" t="s">
        <v>24075</v>
      </c>
      <c r="Z4922" t="s">
        <v>30497</v>
      </c>
      <c r="AA4922">
        <v>0.88750317500272169</v>
      </c>
      <c r="AB4922" t="str">
        <f>HYPERLINK("Melting_Curves/meltCurve_Q96G25_MED8.pdf", "Melting_Curves/meltCurve_Q96G25_MED8.pdf")</f>
        <v>Melting_Curves/meltCurve_Q96G25_MED8.pdf</v>
      </c>
    </row>
    <row r="4923" spans="1:28" x14ac:dyDescent="0.25">
      <c r="A4923" t="s">
        <v>4927</v>
      </c>
      <c r="B4923">
        <v>0.99673306730245903</v>
      </c>
      <c r="C4923">
        <v>0.98896513544069697</v>
      </c>
      <c r="D4923">
        <v>0.72332319339954299</v>
      </c>
      <c r="E4923">
        <v>0.46335160269391701</v>
      </c>
      <c r="F4923">
        <v>0.34800207667403399</v>
      </c>
      <c r="G4923">
        <v>0.23721436374385299</v>
      </c>
      <c r="H4923">
        <v>0.19155445872546101</v>
      </c>
      <c r="I4923">
        <v>0.141366989122684</v>
      </c>
      <c r="J4923">
        <v>0.14090662993032599</v>
      </c>
      <c r="K4923">
        <v>0.137718547425495</v>
      </c>
      <c r="L4923">
        <v>817.48479434154603</v>
      </c>
      <c r="M4923">
        <v>16.847761732143301</v>
      </c>
      <c r="N4923">
        <v>49.551062771132003</v>
      </c>
      <c r="O4923">
        <v>47.853726141569403</v>
      </c>
      <c r="P4923">
        <v>-7.5027536351054705E-2</v>
      </c>
      <c r="Q4923">
        <v>0.14763340753800699</v>
      </c>
      <c r="R4923">
        <v>0.98929564336904197</v>
      </c>
      <c r="S4923" t="s">
        <v>11375</v>
      </c>
      <c r="T4923" t="s">
        <v>12902</v>
      </c>
      <c r="U4923" t="s">
        <v>12902</v>
      </c>
      <c r="V4923" t="s">
        <v>12902</v>
      </c>
      <c r="W4923" t="s">
        <v>17776</v>
      </c>
      <c r="X4923">
        <v>3</v>
      </c>
      <c r="Y4923" t="s">
        <v>24076</v>
      </c>
      <c r="Z4923" t="s">
        <v>30498</v>
      </c>
      <c r="AA4923">
        <v>0.40680818000773178</v>
      </c>
      <c r="AB4923" t="str">
        <f>HYPERLINK("Melting_Curves/meltCurve_Q96G28_CCDC104.pdf", "Melting_Curves/meltCurve_Q96G28_CCDC104.pdf")</f>
        <v>Melting_Curves/meltCurve_Q96G28_CCDC104.pdf</v>
      </c>
    </row>
    <row r="4924" spans="1:28" x14ac:dyDescent="0.25">
      <c r="A4924" t="s">
        <v>4928</v>
      </c>
      <c r="B4924">
        <v>0.99673306730245903</v>
      </c>
      <c r="C4924">
        <v>1.0203387438829801</v>
      </c>
      <c r="D4924">
        <v>0.91509156801801295</v>
      </c>
      <c r="E4924">
        <v>0.61080646324975896</v>
      </c>
      <c r="F4924">
        <v>0.25294031388110999</v>
      </c>
      <c r="G4924">
        <v>0.15345412427885599</v>
      </c>
      <c r="H4924">
        <v>7.6907043184826093E-2</v>
      </c>
      <c r="I4924">
        <v>5.8397340670547603E-2</v>
      </c>
      <c r="J4924">
        <v>6.55190270409928E-2</v>
      </c>
      <c r="K4924">
        <v>5.9276746479861898E-2</v>
      </c>
      <c r="L4924">
        <v>1219.5468025754799</v>
      </c>
      <c r="M4924">
        <v>24.236827718888399</v>
      </c>
      <c r="N4924">
        <v>50.608946527751399</v>
      </c>
      <c r="O4924">
        <v>49.979127255379503</v>
      </c>
      <c r="P4924">
        <v>-0.11335037448384699</v>
      </c>
      <c r="Q4924">
        <v>6.5048193316421699E-2</v>
      </c>
      <c r="R4924">
        <v>0.99836165414042599</v>
      </c>
      <c r="S4924" t="s">
        <v>11376</v>
      </c>
      <c r="T4924" t="s">
        <v>12902</v>
      </c>
      <c r="U4924" t="s">
        <v>12902</v>
      </c>
      <c r="V4924" t="s">
        <v>12902</v>
      </c>
      <c r="W4924" t="s">
        <v>17777</v>
      </c>
      <c r="X4924">
        <v>13</v>
      </c>
      <c r="Y4924" t="s">
        <v>24077</v>
      </c>
      <c r="Z4924" t="s">
        <v>30499</v>
      </c>
      <c r="AA4924">
        <v>0.39552541903732957</v>
      </c>
      <c r="AB4924" t="str">
        <f>HYPERLINK("Melting_Curves/meltCurve_Q96G46_DUS3L.pdf", "Melting_Curves/meltCurve_Q96G46_DUS3L.pdf")</f>
        <v>Melting_Curves/meltCurve_Q96G46_DUS3L.pdf</v>
      </c>
    </row>
    <row r="4925" spans="1:28" x14ac:dyDescent="0.25">
      <c r="A4925" t="s">
        <v>4929</v>
      </c>
      <c r="B4925">
        <v>0.99673306730245903</v>
      </c>
      <c r="C4925">
        <v>0.991845584562281</v>
      </c>
      <c r="D4925">
        <v>0.86699100617801494</v>
      </c>
      <c r="E4925">
        <v>0.74276329458323997</v>
      </c>
      <c r="F4925">
        <v>0.53673168932751902</v>
      </c>
      <c r="G4925">
        <v>0.30800723979203998</v>
      </c>
      <c r="H4925">
        <v>0.181192481382702</v>
      </c>
      <c r="I4925">
        <v>0.18937297948661999</v>
      </c>
      <c r="J4925">
        <v>0.26120360378862101</v>
      </c>
      <c r="K4925">
        <v>0.29201708536781201</v>
      </c>
      <c r="L4925">
        <v>955.66205482049497</v>
      </c>
      <c r="M4925">
        <v>18.573538792535999</v>
      </c>
      <c r="N4925">
        <v>53.048966028523999</v>
      </c>
      <c r="O4925">
        <v>50.867561635116502</v>
      </c>
      <c r="P4925">
        <v>-7.1746800395140295E-2</v>
      </c>
      <c r="Q4925">
        <v>0.21405915176955401</v>
      </c>
      <c r="R4925">
        <v>0.98004301819898598</v>
      </c>
      <c r="S4925" t="s">
        <v>11377</v>
      </c>
      <c r="T4925" t="s">
        <v>12902</v>
      </c>
      <c r="U4925" t="s">
        <v>12902</v>
      </c>
      <c r="V4925" t="s">
        <v>12902</v>
      </c>
      <c r="W4925" t="s">
        <v>17778</v>
      </c>
      <c r="X4925">
        <v>6</v>
      </c>
      <c r="Y4925" t="s">
        <v>24078</v>
      </c>
      <c r="Z4925" t="s">
        <v>30500</v>
      </c>
      <c r="AA4925">
        <v>0.52656141899403741</v>
      </c>
      <c r="AB4925" t="str">
        <f>HYPERLINK("Melting_Curves/meltCurve_Q96G74_3_OTUD5.pdf", "Melting_Curves/meltCurve_Q96G74_3_OTUD5.pdf")</f>
        <v>Melting_Curves/meltCurve_Q96G74_3_OTUD5.pdf</v>
      </c>
    </row>
    <row r="4926" spans="1:28" x14ac:dyDescent="0.25">
      <c r="A4926" t="s">
        <v>4930</v>
      </c>
      <c r="B4926">
        <v>0.99673306730245903</v>
      </c>
      <c r="C4926">
        <v>0.98639111244595301</v>
      </c>
      <c r="D4926">
        <v>0.86301174758044497</v>
      </c>
      <c r="E4926">
        <v>0.638691332720705</v>
      </c>
      <c r="F4926">
        <v>0.33220191829342999</v>
      </c>
      <c r="G4926">
        <v>0.248893870590852</v>
      </c>
      <c r="H4926">
        <v>0.19967255591915001</v>
      </c>
      <c r="I4926">
        <v>0.28384231070662602</v>
      </c>
      <c r="J4926">
        <v>0.42313088856570003</v>
      </c>
      <c r="K4926">
        <v>0.47896208782716998</v>
      </c>
      <c r="L4926">
        <v>1469.9007887116099</v>
      </c>
      <c r="M4926">
        <v>30.027663998232001</v>
      </c>
      <c r="N4926">
        <v>50.67903156397</v>
      </c>
      <c r="O4926">
        <v>48.735999214891002</v>
      </c>
      <c r="P4926">
        <v>-0.10469038273655</v>
      </c>
      <c r="Q4926">
        <v>0.32033931911325297</v>
      </c>
      <c r="R4926">
        <v>0.92297624283360702</v>
      </c>
      <c r="S4926" t="s">
        <v>11378</v>
      </c>
      <c r="T4926" t="s">
        <v>12902</v>
      </c>
      <c r="U4926" t="s">
        <v>12902</v>
      </c>
      <c r="V4926" t="s">
        <v>12902</v>
      </c>
      <c r="W4926" t="s">
        <v>17779</v>
      </c>
      <c r="X4926">
        <v>6</v>
      </c>
      <c r="Y4926" t="s">
        <v>24079</v>
      </c>
      <c r="Z4926" t="s">
        <v>30501</v>
      </c>
      <c r="AA4926">
        <v>0.52726885681603075</v>
      </c>
      <c r="AB4926" t="str">
        <f>HYPERLINK("Melting_Curves/meltCurve_Q96GA3_LTV1.pdf", "Melting_Curves/meltCurve_Q96GA3_LTV1.pdf")</f>
        <v>Melting_Curves/meltCurve_Q96GA3_LTV1.pdf</v>
      </c>
    </row>
    <row r="4927" spans="1:28" x14ac:dyDescent="0.25">
      <c r="A4927" t="s">
        <v>4931</v>
      </c>
      <c r="B4927">
        <v>0.99673306730245903</v>
      </c>
      <c r="C4927">
        <v>0.91596343402684299</v>
      </c>
      <c r="D4927">
        <v>0.91016573427687597</v>
      </c>
      <c r="E4927">
        <v>0.83270105268555095</v>
      </c>
      <c r="F4927">
        <v>0.67874456848648201</v>
      </c>
      <c r="G4927">
        <v>0.51990054937720098</v>
      </c>
      <c r="H4927">
        <v>0.385829863260785</v>
      </c>
      <c r="I4927">
        <v>0.37865560185302499</v>
      </c>
      <c r="J4927">
        <v>0.34045142712507698</v>
      </c>
      <c r="K4927">
        <v>0.26019500102816401</v>
      </c>
      <c r="L4927">
        <v>594.10937845234605</v>
      </c>
      <c r="M4927">
        <v>10.850287361790601</v>
      </c>
      <c r="N4927">
        <v>57.805652277812399</v>
      </c>
      <c r="O4927">
        <v>52.9937130718357</v>
      </c>
      <c r="P4927">
        <v>-4.0043918753747597E-2</v>
      </c>
      <c r="Q4927">
        <v>0.217966709311635</v>
      </c>
      <c r="R4927">
        <v>0.99104057028920001</v>
      </c>
      <c r="S4927" t="s">
        <v>11379</v>
      </c>
      <c r="T4927" t="s">
        <v>12902</v>
      </c>
      <c r="U4927" t="s">
        <v>12902</v>
      </c>
      <c r="V4927" t="s">
        <v>12902</v>
      </c>
      <c r="W4927" t="s">
        <v>17780</v>
      </c>
      <c r="X4927">
        <v>5</v>
      </c>
      <c r="Y4927" t="s">
        <v>24080</v>
      </c>
      <c r="Z4927" t="s">
        <v>30502</v>
      </c>
      <c r="AA4927">
        <v>0.62279977284077281</v>
      </c>
      <c r="AB4927" t="str">
        <f>HYPERLINK("Melting_Curves/meltCurve_Q96GA7_SDSL.pdf", "Melting_Curves/meltCurve_Q96GA7_SDSL.pdf")</f>
        <v>Melting_Curves/meltCurve_Q96GA7_SDSL.pdf</v>
      </c>
    </row>
    <row r="4928" spans="1:28" x14ac:dyDescent="0.25">
      <c r="A4928" t="s">
        <v>4932</v>
      </c>
      <c r="B4928">
        <v>0.99673306730245903</v>
      </c>
      <c r="C4928">
        <v>1.0152546892237999</v>
      </c>
      <c r="D4928">
        <v>1.0119522933222</v>
      </c>
      <c r="E4928">
        <v>0.96213955894708902</v>
      </c>
      <c r="F4928">
        <v>0.89657746588193499</v>
      </c>
      <c r="G4928">
        <v>0.78226654322134503</v>
      </c>
      <c r="H4928">
        <v>0.61827464503968299</v>
      </c>
      <c r="I4928">
        <v>0.76834946626948897</v>
      </c>
      <c r="J4928">
        <v>0.95388862637280303</v>
      </c>
      <c r="K4928">
        <v>0.76996852758763101</v>
      </c>
      <c r="L4928">
        <v>2576.29684339708</v>
      </c>
      <c r="M4928">
        <v>48.3845835839941</v>
      </c>
      <c r="O4928">
        <v>53.155510846957</v>
      </c>
      <c r="P4928">
        <v>-5.0774097699415897E-2</v>
      </c>
      <c r="Q4928">
        <v>0.77687763693001899</v>
      </c>
      <c r="R4928">
        <v>0.64576055098139895</v>
      </c>
      <c r="S4928" t="s">
        <v>11380</v>
      </c>
      <c r="T4928" t="s">
        <v>12902</v>
      </c>
      <c r="U4928" t="s">
        <v>12902</v>
      </c>
      <c r="V4928" t="s">
        <v>12902</v>
      </c>
      <c r="W4928" t="s">
        <v>17781</v>
      </c>
      <c r="X4928">
        <v>17</v>
      </c>
      <c r="Y4928" t="s">
        <v>24081</v>
      </c>
      <c r="Z4928" t="s">
        <v>30503</v>
      </c>
      <c r="AA4928">
        <v>0.87595503835865562</v>
      </c>
      <c r="AB4928" t="str">
        <f>HYPERLINK("Melting_Curves/meltCurve_Q96GD0_PDXP.pdf", "Melting_Curves/meltCurve_Q96GD0_PDXP.pdf")</f>
        <v>Melting_Curves/meltCurve_Q96GD0_PDXP.pdf</v>
      </c>
    </row>
    <row r="4929" spans="1:28" x14ac:dyDescent="0.25">
      <c r="A4929" t="s">
        <v>4933</v>
      </c>
      <c r="B4929">
        <v>0.99673306730245903</v>
      </c>
      <c r="C4929">
        <v>0.95623346111961405</v>
      </c>
      <c r="D4929">
        <v>0.831152782787141</v>
      </c>
      <c r="E4929">
        <v>0.65445303376117403</v>
      </c>
      <c r="F4929">
        <v>0.36633633029860402</v>
      </c>
      <c r="G4929">
        <v>0.332862744174166</v>
      </c>
      <c r="H4929">
        <v>0.29137285588285</v>
      </c>
      <c r="I4929">
        <v>0.28188931546611801</v>
      </c>
      <c r="J4929">
        <v>0.20880529443884599</v>
      </c>
      <c r="K4929">
        <v>0.15170087667478699</v>
      </c>
      <c r="L4929">
        <v>804.30270061042404</v>
      </c>
      <c r="M4929">
        <v>16.1062735595311</v>
      </c>
      <c r="N4929">
        <v>51.679219165052103</v>
      </c>
      <c r="O4929">
        <v>49.186453716639399</v>
      </c>
      <c r="P4929">
        <v>-6.4720211771062006E-2</v>
      </c>
      <c r="Q4929">
        <v>0.20947228937055201</v>
      </c>
      <c r="R4929">
        <v>0.98542123694561501</v>
      </c>
      <c r="S4929" t="s">
        <v>11381</v>
      </c>
      <c r="T4929" t="s">
        <v>12902</v>
      </c>
      <c r="U4929" t="s">
        <v>12902</v>
      </c>
      <c r="V4929" t="s">
        <v>12902</v>
      </c>
      <c r="W4929" t="s">
        <v>17782</v>
      </c>
      <c r="X4929">
        <v>1</v>
      </c>
      <c r="Y4929" t="s">
        <v>24082</v>
      </c>
      <c r="Z4929" t="s">
        <v>30504</v>
      </c>
      <c r="AA4929">
        <v>0.48793849425271818</v>
      </c>
      <c r="AB4929" t="str">
        <f>HYPERLINK("Melting_Curves/meltCurve_Q96GF1_RNF185.pdf", "Melting_Curves/meltCurve_Q96GF1_RNF185.pdf")</f>
        <v>Melting_Curves/meltCurve_Q96GF1_RNF185.pdf</v>
      </c>
    </row>
    <row r="4930" spans="1:28" x14ac:dyDescent="0.25">
      <c r="A4930" t="s">
        <v>4934</v>
      </c>
      <c r="B4930">
        <v>0.99673306730245903</v>
      </c>
      <c r="C4930">
        <v>1.01265929295472</v>
      </c>
      <c r="D4930">
        <v>0.62322001332103805</v>
      </c>
      <c r="E4930">
        <v>0.89269671045334997</v>
      </c>
      <c r="F4930">
        <v>0.238515812220288</v>
      </c>
      <c r="G4930">
        <v>0.13900762738862699</v>
      </c>
      <c r="H4930">
        <v>8.2453213621016902E-2</v>
      </c>
      <c r="I4930">
        <v>7.2149747431977496E-2</v>
      </c>
      <c r="J4930">
        <v>7.6799588999162505E-2</v>
      </c>
      <c r="K4930">
        <v>5.7757782803325601E-2</v>
      </c>
      <c r="L4930">
        <v>1035.4110289369601</v>
      </c>
      <c r="M4930">
        <v>20.220313741205398</v>
      </c>
      <c r="N4930">
        <v>51.443696321352498</v>
      </c>
      <c r="O4930">
        <v>50.713525664605299</v>
      </c>
      <c r="P4930">
        <v>-9.5245105221447801E-2</v>
      </c>
      <c r="Q4930">
        <v>4.4512401901125098E-2</v>
      </c>
      <c r="R4930">
        <v>0.90544585381523801</v>
      </c>
      <c r="S4930" t="s">
        <v>11382</v>
      </c>
      <c r="T4930" t="s">
        <v>12902</v>
      </c>
      <c r="U4930" t="s">
        <v>12902</v>
      </c>
      <c r="V4930" t="s">
        <v>12902</v>
      </c>
      <c r="W4930" t="s">
        <v>17783</v>
      </c>
      <c r="X4930">
        <v>9</v>
      </c>
      <c r="Y4930" t="s">
        <v>24083</v>
      </c>
      <c r="Z4930" t="s">
        <v>30505</v>
      </c>
      <c r="AA4930">
        <v>0.41442358637466231</v>
      </c>
      <c r="AB4930" t="str">
        <f>HYPERLINK("Melting_Curves/meltCurve_Q96GG9_DCUN1D1.pdf", "Melting_Curves/meltCurve_Q96GG9_DCUN1D1.pdf")</f>
        <v>Melting_Curves/meltCurve_Q96GG9_DCUN1D1.pdf</v>
      </c>
    </row>
    <row r="4931" spans="1:28" x14ac:dyDescent="0.25">
      <c r="A4931" t="s">
        <v>4935</v>
      </c>
      <c r="B4931">
        <v>0.99673306730245903</v>
      </c>
      <c r="C4931">
        <v>1.0220796094378699</v>
      </c>
      <c r="D4931">
        <v>0.97632491521392595</v>
      </c>
      <c r="E4931">
        <v>0.98039627187803802</v>
      </c>
      <c r="F4931">
        <v>0.85794827916838901</v>
      </c>
      <c r="G4931">
        <v>0.70947471501623505</v>
      </c>
      <c r="H4931">
        <v>0.451018771951117</v>
      </c>
      <c r="I4931">
        <v>0.37443882109658799</v>
      </c>
      <c r="J4931">
        <v>0.347578211649822</v>
      </c>
      <c r="K4931">
        <v>0.282242018039634</v>
      </c>
      <c r="L4931">
        <v>1088.31432246892</v>
      </c>
      <c r="M4931">
        <v>18.877211278548099</v>
      </c>
      <c r="N4931">
        <v>60.193749452114098</v>
      </c>
      <c r="O4931">
        <v>57.016991082221999</v>
      </c>
      <c r="P4931">
        <v>-6.0038337583470498E-2</v>
      </c>
      <c r="Q4931">
        <v>0.27466715298523903</v>
      </c>
      <c r="R4931">
        <v>0.99613651265588898</v>
      </c>
      <c r="S4931" t="s">
        <v>11383</v>
      </c>
      <c r="T4931" t="s">
        <v>12902</v>
      </c>
      <c r="U4931" t="s">
        <v>12902</v>
      </c>
      <c r="V4931" t="s">
        <v>12902</v>
      </c>
      <c r="W4931" t="s">
        <v>17784</v>
      </c>
      <c r="X4931">
        <v>17</v>
      </c>
      <c r="Y4931" t="s">
        <v>24084</v>
      </c>
      <c r="Z4931" t="s">
        <v>30506</v>
      </c>
      <c r="AA4931">
        <v>0.71042806499976641</v>
      </c>
      <c r="AB4931" t="str">
        <f>HYPERLINK("Melting_Curves/meltCurve_Q96GK7_FAHD2A.pdf", "Melting_Curves/meltCurve_Q96GK7_FAHD2A.pdf")</f>
        <v>Melting_Curves/meltCurve_Q96GK7_FAHD2A.pdf</v>
      </c>
    </row>
    <row r="4932" spans="1:28" x14ac:dyDescent="0.25">
      <c r="A4932" t="s">
        <v>4936</v>
      </c>
      <c r="B4932">
        <v>0.99673306730245903</v>
      </c>
      <c r="C4932">
        <v>0.91292457510356295</v>
      </c>
      <c r="D4932">
        <v>0.82148514345511203</v>
      </c>
      <c r="E4932">
        <v>0.69692491656918099</v>
      </c>
      <c r="F4932">
        <v>0.36415392810757602</v>
      </c>
      <c r="G4932">
        <v>0.27154908392648303</v>
      </c>
      <c r="H4932">
        <v>0.111934930488911</v>
      </c>
      <c r="I4932">
        <v>8.2584927198907296E-2</v>
      </c>
      <c r="J4932">
        <v>9.1078730011587103E-2</v>
      </c>
      <c r="K4932">
        <v>8.6553044137070503E-2</v>
      </c>
      <c r="L4932">
        <v>734.65574015501704</v>
      </c>
      <c r="M4932">
        <v>14.3059822323111</v>
      </c>
      <c r="N4932">
        <v>51.711984562358502</v>
      </c>
      <c r="O4932">
        <v>50.380906275951098</v>
      </c>
      <c r="P4932">
        <v>-6.7642100894231394E-2</v>
      </c>
      <c r="Q4932">
        <v>4.7264360981017203E-2</v>
      </c>
      <c r="R4932">
        <v>0.99240424470921795</v>
      </c>
      <c r="S4932" t="s">
        <v>11384</v>
      </c>
      <c r="T4932" t="s">
        <v>12902</v>
      </c>
      <c r="U4932" t="s">
        <v>12902</v>
      </c>
      <c r="V4932" t="s">
        <v>12902</v>
      </c>
      <c r="W4932" t="s">
        <v>17785</v>
      </c>
      <c r="X4932">
        <v>3</v>
      </c>
      <c r="Y4932" t="s">
        <v>24085</v>
      </c>
      <c r="Z4932" t="s">
        <v>30507</v>
      </c>
      <c r="AA4932">
        <v>0.43127863639699282</v>
      </c>
      <c r="AB4932" t="str">
        <f>HYPERLINK("Melting_Curves/meltCurve_Q96GM8_TOE1.pdf", "Melting_Curves/meltCurve_Q96GM8_TOE1.pdf")</f>
        <v>Melting_Curves/meltCurve_Q96GM8_TOE1.pdf</v>
      </c>
    </row>
    <row r="4933" spans="1:28" x14ac:dyDescent="0.25">
      <c r="A4933" t="s">
        <v>4937</v>
      </c>
      <c r="B4933">
        <v>0.99673306730245903</v>
      </c>
      <c r="C4933">
        <v>0.95378831521284602</v>
      </c>
      <c r="D4933">
        <v>1.11425374888101</v>
      </c>
      <c r="E4933">
        <v>1.3039017500049099</v>
      </c>
      <c r="F4933">
        <v>0.23655938043862099</v>
      </c>
      <c r="G4933">
        <v>0.17444431993203899</v>
      </c>
      <c r="H4933">
        <v>0.11488061549966</v>
      </c>
      <c r="I4933">
        <v>0.104996425994209</v>
      </c>
      <c r="J4933">
        <v>0.11222870777666399</v>
      </c>
      <c r="K4933">
        <v>7.0044344811407103E-2</v>
      </c>
      <c r="L4933">
        <v>13202.1090102695</v>
      </c>
      <c r="M4933">
        <v>250</v>
      </c>
      <c r="N4933">
        <v>52.8638785744036</v>
      </c>
      <c r="O4933">
        <v>52.805054689482397</v>
      </c>
      <c r="P4933">
        <v>-1.04710753784463</v>
      </c>
      <c r="Q4933">
        <v>0.115318835321084</v>
      </c>
      <c r="R4933">
        <v>0.95051403536164703</v>
      </c>
      <c r="S4933" t="s">
        <v>11385</v>
      </c>
      <c r="T4933" t="s">
        <v>12902</v>
      </c>
      <c r="U4933" t="s">
        <v>12902</v>
      </c>
      <c r="V4933" t="s">
        <v>12902</v>
      </c>
      <c r="W4933" t="s">
        <v>17786</v>
      </c>
      <c r="X4933">
        <v>7</v>
      </c>
      <c r="Y4933" t="s">
        <v>24086</v>
      </c>
      <c r="Z4933" t="s">
        <v>30508</v>
      </c>
      <c r="AA4933">
        <v>0.49311356293856262</v>
      </c>
      <c r="AB4933" t="str">
        <f>HYPERLINK("Melting_Curves/meltCurve_Q96GQ7_DDX27.pdf", "Melting_Curves/meltCurve_Q96GQ7_DDX27.pdf")</f>
        <v>Melting_Curves/meltCurve_Q96GQ7_DDX27.pdf</v>
      </c>
    </row>
    <row r="4934" spans="1:28" x14ac:dyDescent="0.25">
      <c r="A4934" t="s">
        <v>4938</v>
      </c>
      <c r="B4934">
        <v>0.99673306730245903</v>
      </c>
      <c r="C4934">
        <v>0.98707012035029496</v>
      </c>
      <c r="D4934">
        <v>0.93661766368750199</v>
      </c>
      <c r="E4934">
        <v>0.82960127375747905</v>
      </c>
      <c r="F4934">
        <v>0.665386840574132</v>
      </c>
      <c r="G4934">
        <v>0.473289281530068</v>
      </c>
      <c r="H4934">
        <v>0.18304265394206901</v>
      </c>
      <c r="I4934">
        <v>0.13810711533911099</v>
      </c>
      <c r="J4934">
        <v>0.132614492189497</v>
      </c>
      <c r="K4934">
        <v>0.118618420114912</v>
      </c>
      <c r="L4934">
        <v>839.44201175337605</v>
      </c>
      <c r="M4934">
        <v>15.2264769030193</v>
      </c>
      <c r="N4934">
        <v>55.582215241472397</v>
      </c>
      <c r="O4934">
        <v>54.205737633155799</v>
      </c>
      <c r="P4934">
        <v>-6.61440445741035E-2</v>
      </c>
      <c r="Q4934">
        <v>5.8207623767952098E-2</v>
      </c>
      <c r="R4934">
        <v>0.99374507522467403</v>
      </c>
      <c r="S4934" t="s">
        <v>11386</v>
      </c>
      <c r="T4934" t="s">
        <v>12902</v>
      </c>
      <c r="U4934" t="s">
        <v>12902</v>
      </c>
      <c r="V4934" t="s">
        <v>12902</v>
      </c>
      <c r="W4934" t="s">
        <v>17787</v>
      </c>
      <c r="X4934">
        <v>15</v>
      </c>
      <c r="Y4934" t="s">
        <v>24087</v>
      </c>
      <c r="Z4934" t="s">
        <v>30509</v>
      </c>
      <c r="AA4934">
        <v>0.55090594728040898</v>
      </c>
      <c r="AB4934" t="str">
        <f>HYPERLINK("Melting_Curves/meltCurve_Q96GS4_C17orf59.pdf", "Melting_Curves/meltCurve_Q96GS4_C17orf59.pdf")</f>
        <v>Melting_Curves/meltCurve_Q96GS4_C17orf59.pdf</v>
      </c>
    </row>
    <row r="4935" spans="1:28" x14ac:dyDescent="0.25">
      <c r="A4935" t="s">
        <v>4939</v>
      </c>
      <c r="B4935">
        <v>0.99673306730245903</v>
      </c>
      <c r="C4935">
        <v>0.96807814720615704</v>
      </c>
      <c r="D4935">
        <v>0.76058075200367903</v>
      </c>
      <c r="E4935">
        <v>0.48756073420651602</v>
      </c>
      <c r="F4935">
        <v>0.23459838426323501</v>
      </c>
      <c r="G4935">
        <v>0.14145674472908101</v>
      </c>
      <c r="H4935">
        <v>8.3885235796528707E-2</v>
      </c>
      <c r="I4935">
        <v>7.2655145903568197E-2</v>
      </c>
      <c r="J4935">
        <v>6.0399665249690898E-2</v>
      </c>
      <c r="K4935">
        <v>5.6098468127308398E-2</v>
      </c>
      <c r="L4935">
        <v>897.331380945712</v>
      </c>
      <c r="M4935">
        <v>18.298309428022499</v>
      </c>
      <c r="N4935">
        <v>49.370560752769798</v>
      </c>
      <c r="O4935">
        <v>48.464597757892797</v>
      </c>
      <c r="P4935">
        <v>-8.8937232506020494E-2</v>
      </c>
      <c r="Q4935">
        <v>5.7812947967251699E-2</v>
      </c>
      <c r="R4935">
        <v>0.99854451786128995</v>
      </c>
      <c r="S4935" t="s">
        <v>11387</v>
      </c>
      <c r="T4935" t="s">
        <v>12902</v>
      </c>
      <c r="U4935" t="s">
        <v>12902</v>
      </c>
      <c r="V4935" t="s">
        <v>12902</v>
      </c>
      <c r="W4935" t="s">
        <v>17788</v>
      </c>
      <c r="X4935">
        <v>1</v>
      </c>
      <c r="Y4935" t="s">
        <v>24088</v>
      </c>
      <c r="Z4935" t="s">
        <v>30510</v>
      </c>
      <c r="AA4935">
        <v>0.35747663734553609</v>
      </c>
      <c r="AB4935" t="str">
        <f>HYPERLINK("Melting_Curves/meltCurve_Q96GV9_C5orf30.pdf", "Melting_Curves/meltCurve_Q96GV9_C5orf30.pdf")</f>
        <v>Melting_Curves/meltCurve_Q96GV9_C5orf30.pdf</v>
      </c>
    </row>
    <row r="4936" spans="1:28" x14ac:dyDescent="0.25">
      <c r="A4936" t="s">
        <v>4940</v>
      </c>
      <c r="B4936">
        <v>0.99673306730245903</v>
      </c>
      <c r="C4936">
        <v>0.99713151956785495</v>
      </c>
      <c r="D4936">
        <v>1.0026482628012601</v>
      </c>
      <c r="E4936">
        <v>0.98031756140386495</v>
      </c>
      <c r="F4936">
        <v>0.90085722108615296</v>
      </c>
      <c r="G4936">
        <v>0.72477132770105901</v>
      </c>
      <c r="H4936">
        <v>0.322818555276699</v>
      </c>
      <c r="I4936">
        <v>0.157469503965006</v>
      </c>
      <c r="J4936">
        <v>0.15120892442421799</v>
      </c>
      <c r="K4936">
        <v>0.13154604814908499</v>
      </c>
      <c r="L4936">
        <v>1595.00027172308</v>
      </c>
      <c r="M4936">
        <v>27.389782925406699</v>
      </c>
      <c r="N4936">
        <v>58.789312691981401</v>
      </c>
      <c r="O4936">
        <v>57.925639192705802</v>
      </c>
      <c r="P4936">
        <v>-0.104725591813767</v>
      </c>
      <c r="Q4936">
        <v>0.11408716139806301</v>
      </c>
      <c r="R4936">
        <v>0.99790799994538504</v>
      </c>
      <c r="S4936" t="s">
        <v>11388</v>
      </c>
      <c r="T4936" t="s">
        <v>12902</v>
      </c>
      <c r="U4936" t="s">
        <v>12902</v>
      </c>
      <c r="V4936" t="s">
        <v>12902</v>
      </c>
      <c r="W4936" t="s">
        <v>17789</v>
      </c>
      <c r="X4936">
        <v>18</v>
      </c>
      <c r="Y4936" t="s">
        <v>24089</v>
      </c>
      <c r="Z4936" t="s">
        <v>30511</v>
      </c>
      <c r="AA4936">
        <v>0.65921779585163387</v>
      </c>
      <c r="AB4936" t="str">
        <f>HYPERLINK("Melting_Curves/meltCurve_Q96GW9_MARS2.pdf", "Melting_Curves/meltCurve_Q96GW9_MARS2.pdf")</f>
        <v>Melting_Curves/meltCurve_Q96GW9_MARS2.pdf</v>
      </c>
    </row>
    <row r="4937" spans="1:28" x14ac:dyDescent="0.25">
      <c r="A4937" t="s">
        <v>4941</v>
      </c>
      <c r="B4937">
        <v>0.99673306730245903</v>
      </c>
      <c r="C4937">
        <v>0.947232043823658</v>
      </c>
      <c r="D4937">
        <v>0.94741597734868199</v>
      </c>
      <c r="E4937">
        <v>0.89457670150197</v>
      </c>
      <c r="F4937">
        <v>0.59339033016633502</v>
      </c>
      <c r="G4937">
        <v>0.29907547206122498</v>
      </c>
      <c r="H4937">
        <v>0.191029830301885</v>
      </c>
      <c r="I4937">
        <v>0.12809016260858899</v>
      </c>
      <c r="J4937">
        <v>0.17143431665697201</v>
      </c>
      <c r="K4937">
        <v>0.125291791919664</v>
      </c>
      <c r="L4937">
        <v>1271.5643415054001</v>
      </c>
      <c r="M4937">
        <v>23.785489470602201</v>
      </c>
      <c r="N4937">
        <v>54.173573181356197</v>
      </c>
      <c r="O4937">
        <v>53.086076034166098</v>
      </c>
      <c r="P4937">
        <v>-9.6945176254597906E-2</v>
      </c>
      <c r="Q4937">
        <v>0.13453860167850101</v>
      </c>
      <c r="R4937">
        <v>0.995744906678806</v>
      </c>
      <c r="S4937" t="s">
        <v>11389</v>
      </c>
      <c r="T4937" t="s">
        <v>12902</v>
      </c>
      <c r="U4937" t="s">
        <v>12902</v>
      </c>
      <c r="V4937" t="s">
        <v>12902</v>
      </c>
      <c r="W4937" t="s">
        <v>17790</v>
      </c>
      <c r="X4937">
        <v>2</v>
      </c>
      <c r="Y4937" t="s">
        <v>24090</v>
      </c>
      <c r="Z4937" t="s">
        <v>30512</v>
      </c>
      <c r="AA4937">
        <v>0.53158887716804248</v>
      </c>
      <c r="AB4937" t="str">
        <f>HYPERLINK("Melting_Curves/meltCurve_Q96GX2_ATXN7L3B.pdf", "Melting_Curves/meltCurve_Q96GX2_ATXN7L3B.pdf")</f>
        <v>Melting_Curves/meltCurve_Q96GX2_ATXN7L3B.pdf</v>
      </c>
    </row>
    <row r="4938" spans="1:28" x14ac:dyDescent="0.25">
      <c r="A4938" t="s">
        <v>4942</v>
      </c>
      <c r="B4938">
        <v>0.99673306730245903</v>
      </c>
      <c r="C4938">
        <v>0.80388483226804597</v>
      </c>
      <c r="D4938">
        <v>0.42936759611013597</v>
      </c>
      <c r="E4938">
        <v>0.19607720711087301</v>
      </c>
      <c r="F4938">
        <v>8.3736552648243798E-2</v>
      </c>
      <c r="G4938">
        <v>6.4943247364586995E-2</v>
      </c>
      <c r="H4938">
        <v>4.01753492040633E-2</v>
      </c>
      <c r="I4938">
        <v>4.35324319825586E-2</v>
      </c>
      <c r="J4938">
        <v>1.5419245294813999E-2</v>
      </c>
      <c r="K4938">
        <v>1.98833083046378E-2</v>
      </c>
      <c r="L4938">
        <v>1015.36570743115</v>
      </c>
      <c r="M4938">
        <v>22.3374856513163</v>
      </c>
      <c r="N4938">
        <v>45.616801260587998</v>
      </c>
      <c r="O4938">
        <v>45.0960802964237</v>
      </c>
      <c r="P4938">
        <v>-0.11913751670173101</v>
      </c>
      <c r="Q4938">
        <v>3.7936138165202998E-2</v>
      </c>
      <c r="R4938">
        <v>0.99612785522730896</v>
      </c>
      <c r="S4938" t="s">
        <v>11390</v>
      </c>
      <c r="T4938" t="s">
        <v>12902</v>
      </c>
      <c r="U4938" t="s">
        <v>12902</v>
      </c>
      <c r="V4938" t="s">
        <v>12902</v>
      </c>
      <c r="W4938" t="s">
        <v>17791</v>
      </c>
      <c r="X4938">
        <v>2</v>
      </c>
      <c r="Y4938" t="s">
        <v>24091</v>
      </c>
      <c r="Z4938" t="s">
        <v>30513</v>
      </c>
      <c r="AA4938">
        <v>0.22489565822706831</v>
      </c>
      <c r="AB4938" t="str">
        <f>HYPERLINK("Melting_Curves/meltCurve_Q96GX5_2_MASTL.pdf", "Melting_Curves/meltCurve_Q96GX5_2_MASTL.pdf")</f>
        <v>Melting_Curves/meltCurve_Q96GX5_2_MASTL.pdf</v>
      </c>
    </row>
    <row r="4939" spans="1:28" x14ac:dyDescent="0.25">
      <c r="A4939" t="s">
        <v>4943</v>
      </c>
      <c r="B4939">
        <v>0.99673306730245903</v>
      </c>
      <c r="C4939">
        <v>0.980670500790364</v>
      </c>
      <c r="D4939">
        <v>1.04598345106574</v>
      </c>
      <c r="E4939">
        <v>1.0207533919107501</v>
      </c>
      <c r="F4939">
        <v>0.98724203653951204</v>
      </c>
      <c r="G4939">
        <v>0.88019006411022005</v>
      </c>
      <c r="H4939">
        <v>0.88193191484907796</v>
      </c>
      <c r="I4939">
        <v>1.0393634378296699</v>
      </c>
      <c r="J4939">
        <v>1.27632673955774</v>
      </c>
      <c r="K4939">
        <v>1.0230399420718499</v>
      </c>
      <c r="L4939">
        <v>15000</v>
      </c>
      <c r="M4939">
        <v>233.34570650151599</v>
      </c>
      <c r="O4939">
        <v>64.277577852361304</v>
      </c>
      <c r="P4939">
        <v>0.13584443744657601</v>
      </c>
      <c r="Q4939">
        <v>1.1496792434196399</v>
      </c>
      <c r="R4939">
        <v>0.41275923865566699</v>
      </c>
      <c r="S4939" t="s">
        <v>11391</v>
      </c>
      <c r="T4939" t="s">
        <v>12902</v>
      </c>
      <c r="U4939" t="s">
        <v>12902</v>
      </c>
      <c r="V4939" t="s">
        <v>12902</v>
      </c>
      <c r="W4939" t="s">
        <v>17792</v>
      </c>
      <c r="X4939">
        <v>9</v>
      </c>
      <c r="Y4939" t="s">
        <v>20313</v>
      </c>
      <c r="Z4939" t="s">
        <v>30514</v>
      </c>
      <c r="AA4939">
        <v>1.028507956414072</v>
      </c>
      <c r="AB4939" t="str">
        <f>HYPERLINK("Melting_Curves/meltCurve_Q96GX9_3_APIP.pdf", "Melting_Curves/meltCurve_Q96GX9_3_APIP.pdf")</f>
        <v>Melting_Curves/meltCurve_Q96GX9_3_APIP.pdf</v>
      </c>
    </row>
    <row r="4940" spans="1:28" x14ac:dyDescent="0.25">
      <c r="A4940" t="s">
        <v>4944</v>
      </c>
      <c r="B4940">
        <v>0.99673306730245903</v>
      </c>
      <c r="C4940">
        <v>0.97440481561537995</v>
      </c>
      <c r="D4940">
        <v>0.88712639091317602</v>
      </c>
      <c r="E4940">
        <v>0.80002117395445804</v>
      </c>
      <c r="F4940">
        <v>0.70838055634858899</v>
      </c>
      <c r="G4940">
        <v>0.548207600727321</v>
      </c>
      <c r="H4940">
        <v>0.451370915643375</v>
      </c>
      <c r="I4940">
        <v>0.35779404498937101</v>
      </c>
      <c r="J4940">
        <v>0.40570431947747299</v>
      </c>
      <c r="K4940">
        <v>0.37657481212011501</v>
      </c>
      <c r="L4940">
        <v>628.64715679770495</v>
      </c>
      <c r="M4940">
        <v>11.7316688352524</v>
      </c>
      <c r="N4940">
        <v>58.7117705927689</v>
      </c>
      <c r="O4940">
        <v>52.099592364254697</v>
      </c>
      <c r="P4940">
        <v>-3.8263232759047298E-2</v>
      </c>
      <c r="Q4940">
        <v>0.32048050349843199</v>
      </c>
      <c r="R4940">
        <v>0.99021896532495701</v>
      </c>
      <c r="S4940" t="s">
        <v>11392</v>
      </c>
      <c r="T4940" t="s">
        <v>12902</v>
      </c>
      <c r="U4940" t="s">
        <v>12902</v>
      </c>
      <c r="V4940" t="s">
        <v>12902</v>
      </c>
      <c r="W4940" t="s">
        <v>17793</v>
      </c>
      <c r="X4940">
        <v>3</v>
      </c>
      <c r="Y4940" t="s">
        <v>24092</v>
      </c>
      <c r="Z4940" t="s">
        <v>30515</v>
      </c>
      <c r="AA4940">
        <v>0.6470515411186184</v>
      </c>
      <c r="AB4940" t="str">
        <f>HYPERLINK("Melting_Curves/meltCurve_Q96GY0_ZC2HC1A.pdf", "Melting_Curves/meltCurve_Q96GY0_ZC2HC1A.pdf")</f>
        <v>Melting_Curves/meltCurve_Q96GY0_ZC2HC1A.pdf</v>
      </c>
    </row>
    <row r="4941" spans="1:28" x14ac:dyDescent="0.25">
      <c r="A4941" t="s">
        <v>4945</v>
      </c>
      <c r="B4941">
        <v>0.99673306730245903</v>
      </c>
      <c r="C4941">
        <v>0.85439776087410801</v>
      </c>
      <c r="D4941">
        <v>0.835517876817641</v>
      </c>
      <c r="E4941">
        <v>0.91379546436820103</v>
      </c>
      <c r="F4941">
        <v>0.45566812622703501</v>
      </c>
      <c r="G4941">
        <v>0.158354185686546</v>
      </c>
      <c r="H4941">
        <v>7.2379097192500894E-2</v>
      </c>
      <c r="I4941">
        <v>5.1678923048591299E-2</v>
      </c>
      <c r="J4941">
        <v>5.4985547302002703E-2</v>
      </c>
      <c r="K4941">
        <v>4.9760966109463803E-2</v>
      </c>
      <c r="L4941">
        <v>1516.9096377820499</v>
      </c>
      <c r="M4941">
        <v>28.751165582667401</v>
      </c>
      <c r="N4941">
        <v>52.950123928436</v>
      </c>
      <c r="O4941">
        <v>52.506674335741302</v>
      </c>
      <c r="P4941">
        <v>-0.130178198418544</v>
      </c>
      <c r="Q4941">
        <v>4.9058173359447503E-2</v>
      </c>
      <c r="R4941">
        <v>0.97003831270295604</v>
      </c>
      <c r="S4941" t="s">
        <v>11393</v>
      </c>
      <c r="T4941" t="s">
        <v>12902</v>
      </c>
      <c r="U4941" t="s">
        <v>12902</v>
      </c>
      <c r="V4941" t="s">
        <v>12902</v>
      </c>
      <c r="W4941" t="s">
        <v>17794</v>
      </c>
      <c r="X4941">
        <v>9</v>
      </c>
      <c r="Y4941" t="s">
        <v>24093</v>
      </c>
      <c r="Z4941" t="s">
        <v>30516</v>
      </c>
      <c r="AA4941">
        <v>0.46020295362012048</v>
      </c>
      <c r="AB4941" t="str">
        <f>HYPERLINK("Melting_Curves/meltCurve_Q96H20_SNF8.pdf", "Melting_Curves/meltCurve_Q96H20_SNF8.pdf")</f>
        <v>Melting_Curves/meltCurve_Q96H20_SNF8.pdf</v>
      </c>
    </row>
    <row r="4942" spans="1:28" x14ac:dyDescent="0.25">
      <c r="A4942" t="s">
        <v>4946</v>
      </c>
      <c r="B4942">
        <v>0.99673306730245903</v>
      </c>
      <c r="C4942">
        <v>0.97011481629084795</v>
      </c>
      <c r="D4942">
        <v>0.99589366038282501</v>
      </c>
      <c r="E4942">
        <v>0.66118991412654704</v>
      </c>
      <c r="F4942">
        <v>0.17317603084400601</v>
      </c>
      <c r="G4942">
        <v>0.132070033849117</v>
      </c>
      <c r="H4942">
        <v>9.1850784752892406E-2</v>
      </c>
      <c r="I4942">
        <v>9.0186450026098305E-2</v>
      </c>
      <c r="J4942">
        <v>7.7745235348987404E-2</v>
      </c>
      <c r="K4942">
        <v>7.6086003149964096E-2</v>
      </c>
      <c r="L4942">
        <v>2061.8077734752901</v>
      </c>
      <c r="M4942">
        <v>41.040103966240899</v>
      </c>
      <c r="N4942">
        <v>50.4869550930473</v>
      </c>
      <c r="O4942">
        <v>50.120013515752802</v>
      </c>
      <c r="P4942">
        <v>-0.18601527783510399</v>
      </c>
      <c r="Q4942">
        <v>9.1320963154044602E-2</v>
      </c>
      <c r="R4942">
        <v>0.99838033832836903</v>
      </c>
      <c r="S4942" t="s">
        <v>11394</v>
      </c>
      <c r="T4942" t="s">
        <v>12902</v>
      </c>
      <c r="U4942" t="s">
        <v>12902</v>
      </c>
      <c r="V4942" t="s">
        <v>12902</v>
      </c>
      <c r="W4942" t="s">
        <v>17795</v>
      </c>
      <c r="X4942">
        <v>4</v>
      </c>
      <c r="Y4942" t="s">
        <v>24094</v>
      </c>
      <c r="Z4942" t="s">
        <v>30517</v>
      </c>
      <c r="AA4942">
        <v>0.40444572081866798</v>
      </c>
      <c r="AB4942" t="str">
        <f>HYPERLINK("Melting_Curves/meltCurve_Q96H79_ZC3HAV1L.pdf", "Melting_Curves/meltCurve_Q96H79_ZC3HAV1L.pdf")</f>
        <v>Melting_Curves/meltCurve_Q96H79_ZC3HAV1L.pdf</v>
      </c>
    </row>
    <row r="4943" spans="1:28" x14ac:dyDescent="0.25">
      <c r="A4943" t="s">
        <v>4947</v>
      </c>
      <c r="B4943">
        <v>0.99673306730245903</v>
      </c>
      <c r="C4943">
        <v>0.98558273840799504</v>
      </c>
      <c r="D4943">
        <v>0.93003195984285003</v>
      </c>
      <c r="E4943">
        <v>0.83101628252650395</v>
      </c>
      <c r="F4943">
        <v>0.465480195029919</v>
      </c>
      <c r="G4943">
        <v>0.22363877300179</v>
      </c>
      <c r="H4943">
        <v>0.117657183830755</v>
      </c>
      <c r="I4943">
        <v>0.11314182994114499</v>
      </c>
      <c r="J4943">
        <v>0.131728003741657</v>
      </c>
      <c r="K4943">
        <v>0.120653174465918</v>
      </c>
      <c r="L4943">
        <v>1291.60905347725</v>
      </c>
      <c r="M4943">
        <v>24.6819978795323</v>
      </c>
      <c r="N4943">
        <v>52.865645414249101</v>
      </c>
      <c r="O4943">
        <v>51.990120199457898</v>
      </c>
      <c r="P4943">
        <v>-0.105556735386079</v>
      </c>
      <c r="Q4943">
        <v>0.11063444374956501</v>
      </c>
      <c r="R4943">
        <v>0.99802303521536595</v>
      </c>
      <c r="S4943" t="s">
        <v>11395</v>
      </c>
      <c r="T4943" t="s">
        <v>12902</v>
      </c>
      <c r="U4943" t="s">
        <v>12902</v>
      </c>
      <c r="V4943" t="s">
        <v>12902</v>
      </c>
      <c r="W4943" t="s">
        <v>17796</v>
      </c>
      <c r="X4943">
        <v>20</v>
      </c>
      <c r="Y4943" t="s">
        <v>24095</v>
      </c>
      <c r="Z4943" t="s">
        <v>30518</v>
      </c>
      <c r="AA4943">
        <v>0.48450932137733788</v>
      </c>
      <c r="AB4943" t="str">
        <f>HYPERLINK("Melting_Curves/meltCurve_Q96HC4_PDLIM5.pdf", "Melting_Curves/meltCurve_Q96HC4_PDLIM5.pdf")</f>
        <v>Melting_Curves/meltCurve_Q96HC4_PDLIM5.pdf</v>
      </c>
    </row>
    <row r="4944" spans="1:28" x14ac:dyDescent="0.25">
      <c r="A4944" t="s">
        <v>4948</v>
      </c>
      <c r="B4944">
        <v>0.99673306730245903</v>
      </c>
      <c r="C4944">
        <v>0.97670311084370398</v>
      </c>
      <c r="D4944">
        <v>0.91946238948774195</v>
      </c>
      <c r="E4944">
        <v>0.79647581221867503</v>
      </c>
      <c r="F4944">
        <v>0.53217072081375705</v>
      </c>
      <c r="G4944">
        <v>0.35073822020630802</v>
      </c>
      <c r="H4944">
        <v>0.21128452945653001</v>
      </c>
      <c r="I4944">
        <v>0.21826623142805501</v>
      </c>
      <c r="J4944">
        <v>0.23108214367532701</v>
      </c>
      <c r="K4944">
        <v>0.208406795971563</v>
      </c>
      <c r="L4944">
        <v>987.77284590690897</v>
      </c>
      <c r="M4944">
        <v>18.9025831184201</v>
      </c>
      <c r="N4944">
        <v>53.670344894707497</v>
      </c>
      <c r="O4944">
        <v>51.681659797141101</v>
      </c>
      <c r="P4944">
        <v>-7.3503268883333098E-2</v>
      </c>
      <c r="Q4944">
        <v>0.19616987535656399</v>
      </c>
      <c r="R4944">
        <v>0.99732913640894805</v>
      </c>
      <c r="S4944" t="s">
        <v>11396</v>
      </c>
      <c r="T4944" t="s">
        <v>12902</v>
      </c>
      <c r="U4944" t="s">
        <v>12902</v>
      </c>
      <c r="V4944" t="s">
        <v>12902</v>
      </c>
      <c r="W4944" t="s">
        <v>17797</v>
      </c>
      <c r="X4944">
        <v>7</v>
      </c>
      <c r="Y4944" t="s">
        <v>24096</v>
      </c>
      <c r="Z4944" t="s">
        <v>30519</v>
      </c>
      <c r="AA4944">
        <v>0.53682318047313993</v>
      </c>
      <c r="AB4944" t="str">
        <f>HYPERLINK("Melting_Curves/meltCurve_Q96HD1_CRELD1.pdf", "Melting_Curves/meltCurve_Q96HD1_CRELD1.pdf")</f>
        <v>Melting_Curves/meltCurve_Q96HD1_CRELD1.pdf</v>
      </c>
    </row>
    <row r="4945" spans="1:28" x14ac:dyDescent="0.25">
      <c r="A4945" t="s">
        <v>4949</v>
      </c>
      <c r="B4945">
        <v>0.99673306730245903</v>
      </c>
      <c r="C4945">
        <v>1.03314136059683</v>
      </c>
      <c r="D4945">
        <v>0.81122073259429295</v>
      </c>
      <c r="E4945">
        <v>0.89886812481811496</v>
      </c>
      <c r="F4945">
        <v>0.29891719728348598</v>
      </c>
      <c r="G4945">
        <v>0.16054734571530199</v>
      </c>
      <c r="H4945">
        <v>0.11447705637276701</v>
      </c>
      <c r="I4945">
        <v>9.7879330932469699E-2</v>
      </c>
      <c r="J4945">
        <v>9.6666792109676797E-2</v>
      </c>
      <c r="K4945">
        <v>7.6030404699668194E-2</v>
      </c>
      <c r="L4945">
        <v>2215.20708567562</v>
      </c>
      <c r="M4945">
        <v>42.823651264278197</v>
      </c>
      <c r="N4945">
        <v>52.008770340377701</v>
      </c>
      <c r="O4945">
        <v>51.616155400862397</v>
      </c>
      <c r="P4945">
        <v>-0.186049205899423</v>
      </c>
      <c r="Q4945">
        <v>0.103006704969046</v>
      </c>
      <c r="R4945">
        <v>0.97579162110325501</v>
      </c>
      <c r="S4945" t="s">
        <v>11397</v>
      </c>
      <c r="T4945" t="s">
        <v>12902</v>
      </c>
      <c r="U4945" t="s">
        <v>12902</v>
      </c>
      <c r="V4945" t="s">
        <v>12902</v>
      </c>
      <c r="W4945" t="s">
        <v>17798</v>
      </c>
      <c r="X4945">
        <v>25</v>
      </c>
      <c r="Y4945" t="s">
        <v>24097</v>
      </c>
      <c r="Z4945" t="s">
        <v>30520</v>
      </c>
      <c r="AA4945">
        <v>0.45648393250400732</v>
      </c>
      <c r="AB4945" t="str">
        <f>HYPERLINK("Melting_Curves/meltCurve_Q96HE7_ERO1L.pdf", "Melting_Curves/meltCurve_Q96HE7_ERO1L.pdf")</f>
        <v>Melting_Curves/meltCurve_Q96HE7_ERO1L.pdf</v>
      </c>
    </row>
    <row r="4946" spans="1:28" x14ac:dyDescent="0.25">
      <c r="A4946" t="s">
        <v>4950</v>
      </c>
      <c r="B4946">
        <v>0.99673306730245903</v>
      </c>
      <c r="C4946">
        <v>1.0262255217159699</v>
      </c>
      <c r="D4946">
        <v>1.01044601391911</v>
      </c>
      <c r="E4946">
        <v>1.12952692496744</v>
      </c>
      <c r="F4946">
        <v>1.04190761640644</v>
      </c>
      <c r="G4946">
        <v>0.80304344544203399</v>
      </c>
      <c r="H4946">
        <v>0.38473844676917401</v>
      </c>
      <c r="I4946">
        <v>0.157832096362411</v>
      </c>
      <c r="J4946">
        <v>9.8721071284815207E-2</v>
      </c>
      <c r="K4946">
        <v>8.0123807301760205E-2</v>
      </c>
      <c r="L4946">
        <v>1910.0319407710999</v>
      </c>
      <c r="M4946">
        <v>32.154336638163898</v>
      </c>
      <c r="N4946">
        <v>59.707865646894199</v>
      </c>
      <c r="O4946">
        <v>59.173657576912198</v>
      </c>
      <c r="P4946">
        <v>-0.12553271033218499</v>
      </c>
      <c r="Q4946">
        <v>7.5932720760863104E-2</v>
      </c>
      <c r="R4946">
        <v>0.98690432672614903</v>
      </c>
      <c r="S4946" t="s">
        <v>11398</v>
      </c>
      <c r="T4946" t="s">
        <v>12902</v>
      </c>
      <c r="U4946" t="s">
        <v>12902</v>
      </c>
      <c r="V4946" t="s">
        <v>12902</v>
      </c>
      <c r="W4946" t="s">
        <v>17799</v>
      </c>
      <c r="X4946">
        <v>4</v>
      </c>
      <c r="Y4946" t="s">
        <v>24098</v>
      </c>
      <c r="Z4946" t="s">
        <v>30521</v>
      </c>
      <c r="AA4946">
        <v>0.6788049538570804</v>
      </c>
      <c r="AB4946" t="str">
        <f>HYPERLINK("Melting_Curves/meltCurve_Q96HJ9_C7orf55.pdf", "Melting_Curves/meltCurve_Q96HJ9_C7orf55.pdf")</f>
        <v>Melting_Curves/meltCurve_Q96HJ9_C7orf55.pdf</v>
      </c>
    </row>
    <row r="4947" spans="1:28" x14ac:dyDescent="0.25">
      <c r="A4947" t="s">
        <v>4951</v>
      </c>
      <c r="B4947">
        <v>0.99673306730245903</v>
      </c>
      <c r="C4947">
        <v>0.921874150536234</v>
      </c>
      <c r="D4947">
        <v>0.84701681425406194</v>
      </c>
      <c r="E4947">
        <v>0.70079268484097001</v>
      </c>
      <c r="F4947">
        <v>0.20449913830382299</v>
      </c>
      <c r="G4947">
        <v>0.11916082686138001</v>
      </c>
      <c r="H4947">
        <v>7.1867026528081607E-2</v>
      </c>
      <c r="I4947">
        <v>7.2321671567211795E-2</v>
      </c>
      <c r="J4947">
        <v>9.3036652354473101E-2</v>
      </c>
      <c r="K4947">
        <v>8.8855978663503199E-2</v>
      </c>
      <c r="L4947">
        <v>1363.75946069784</v>
      </c>
      <c r="M4947">
        <v>27.038655839460699</v>
      </c>
      <c r="N4947">
        <v>50.732844825492897</v>
      </c>
      <c r="O4947">
        <v>50.1639322262874</v>
      </c>
      <c r="P4947">
        <v>-0.124936718829219</v>
      </c>
      <c r="Q4947">
        <v>7.2845148575226504E-2</v>
      </c>
      <c r="R4947">
        <v>0.98617848051428803</v>
      </c>
      <c r="S4947" t="s">
        <v>11399</v>
      </c>
      <c r="T4947" t="s">
        <v>12902</v>
      </c>
      <c r="U4947" t="s">
        <v>12902</v>
      </c>
      <c r="V4947" t="s">
        <v>12902</v>
      </c>
      <c r="W4947" t="s">
        <v>17800</v>
      </c>
      <c r="X4947">
        <v>34</v>
      </c>
      <c r="Y4947" t="s">
        <v>24098</v>
      </c>
      <c r="Z4947" t="s">
        <v>30522</v>
      </c>
      <c r="AA4947">
        <v>0.40253220997600431</v>
      </c>
      <c r="AB4947" t="str">
        <f>HYPERLINK("Melting_Curves/meltCurve_Q96HJ9_2_C7orf55.pdf", "Melting_Curves/meltCurve_Q96HJ9_2_C7orf55.pdf")</f>
        <v>Melting_Curves/meltCurve_Q96HJ9_2_C7orf55.pdf</v>
      </c>
    </row>
    <row r="4948" spans="1:28" x14ac:dyDescent="0.25">
      <c r="A4948" t="s">
        <v>4952</v>
      </c>
      <c r="B4948">
        <v>0.99673306730245903</v>
      </c>
      <c r="C4948">
        <v>1.04856144939241</v>
      </c>
      <c r="D4948">
        <v>0.97336637776462698</v>
      </c>
      <c r="E4948">
        <v>0.84842208112942696</v>
      </c>
      <c r="F4948">
        <v>0.51622772973052</v>
      </c>
      <c r="G4948">
        <v>0.31929190047530798</v>
      </c>
      <c r="H4948">
        <v>0.14306853860522001</v>
      </c>
      <c r="I4948">
        <v>0.23621242209721799</v>
      </c>
      <c r="J4948">
        <v>0.192716774606768</v>
      </c>
      <c r="K4948">
        <v>0.15662118787085999</v>
      </c>
      <c r="L4948">
        <v>1293.3168095690501</v>
      </c>
      <c r="M4948">
        <v>24.609756734437202</v>
      </c>
      <c r="N4948">
        <v>53.500187102183197</v>
      </c>
      <c r="O4948">
        <v>52.209692911908803</v>
      </c>
      <c r="P4948">
        <v>-9.7032481302938706E-2</v>
      </c>
      <c r="Q4948">
        <v>0.17659266698013401</v>
      </c>
      <c r="R4948">
        <v>0.99193682326014199</v>
      </c>
      <c r="S4948" t="s">
        <v>11400</v>
      </c>
      <c r="T4948" t="s">
        <v>12902</v>
      </c>
      <c r="U4948" t="s">
        <v>12902</v>
      </c>
      <c r="V4948" t="s">
        <v>12902</v>
      </c>
      <c r="W4948" t="s">
        <v>17801</v>
      </c>
      <c r="X4948">
        <v>4</v>
      </c>
      <c r="Y4948" t="s">
        <v>24099</v>
      </c>
      <c r="Z4948" t="s">
        <v>30523</v>
      </c>
      <c r="AA4948">
        <v>0.52891768425396302</v>
      </c>
      <c r="AB4948" t="str">
        <f>HYPERLINK("Melting_Curves/meltCurve_Q96HL8_2_SH3YL1.pdf", "Melting_Curves/meltCurve_Q96HL8_2_SH3YL1.pdf")</f>
        <v>Melting_Curves/meltCurve_Q96HL8_2_SH3YL1.pdf</v>
      </c>
    </row>
    <row r="4949" spans="1:28" x14ac:dyDescent="0.25">
      <c r="A4949" t="s">
        <v>4953</v>
      </c>
      <c r="B4949">
        <v>0.99673306730245903</v>
      </c>
      <c r="C4949">
        <v>0.93540785894770095</v>
      </c>
      <c r="D4949">
        <v>0.95585308150104797</v>
      </c>
      <c r="E4949">
        <v>0.87700754879922704</v>
      </c>
      <c r="F4949">
        <v>0.82542491184477995</v>
      </c>
      <c r="G4949">
        <v>0.58178806265263106</v>
      </c>
      <c r="H4949">
        <v>0.492960322036962</v>
      </c>
      <c r="I4949">
        <v>0.35133815037527899</v>
      </c>
      <c r="J4949">
        <v>0.24061597583931199</v>
      </c>
      <c r="K4949">
        <v>0.195211350456306</v>
      </c>
      <c r="L4949">
        <v>594.78585180912103</v>
      </c>
      <c r="M4949">
        <v>9.9265320497797198</v>
      </c>
      <c r="N4949">
        <v>59.918780397037402</v>
      </c>
      <c r="O4949">
        <v>57.639136058096703</v>
      </c>
      <c r="P4949">
        <v>-4.3076175268781103E-2</v>
      </c>
      <c r="Q4949">
        <v>0</v>
      </c>
      <c r="R4949">
        <v>0.99057715104644495</v>
      </c>
      <c r="S4949" t="s">
        <v>11401</v>
      </c>
      <c r="T4949" t="s">
        <v>12902</v>
      </c>
      <c r="U4949" t="s">
        <v>12902</v>
      </c>
      <c r="V4949" t="s">
        <v>12902</v>
      </c>
      <c r="W4949" t="s">
        <v>17802</v>
      </c>
      <c r="X4949">
        <v>16</v>
      </c>
      <c r="Y4949" t="s">
        <v>24100</v>
      </c>
      <c r="Z4949" t="s">
        <v>30524</v>
      </c>
      <c r="AA4949">
        <v>0.66028941078844272</v>
      </c>
      <c r="AB4949" t="str">
        <f>HYPERLINK("Melting_Curves/meltCurve_Q96HN2_2_AHCYL2.pdf", "Melting_Curves/meltCurve_Q96HN2_2_AHCYL2.pdf")</f>
        <v>Melting_Curves/meltCurve_Q96HN2_2_AHCYL2.pdf</v>
      </c>
    </row>
    <row r="4950" spans="1:28" x14ac:dyDescent="0.25">
      <c r="A4950" t="s">
        <v>4954</v>
      </c>
      <c r="B4950">
        <v>0.99673306730245903</v>
      </c>
      <c r="C4950">
        <v>0.86038389841260698</v>
      </c>
      <c r="D4950">
        <v>1.0272741572953401</v>
      </c>
      <c r="E4950">
        <v>1.0004172505979301</v>
      </c>
      <c r="F4950">
        <v>1.04949267179517</v>
      </c>
      <c r="G4950">
        <v>1.00645997856373</v>
      </c>
      <c r="H4950">
        <v>0.92237175450381104</v>
      </c>
      <c r="I4950">
        <v>0.65346690706583299</v>
      </c>
      <c r="J4950">
        <v>0.395907886449333</v>
      </c>
      <c r="K4950">
        <v>0.31852948676770099</v>
      </c>
      <c r="L4950">
        <v>2537.7031891934198</v>
      </c>
      <c r="M4950">
        <v>39.620477443648099</v>
      </c>
      <c r="N4950">
        <v>65.529025008871201</v>
      </c>
      <c r="O4950">
        <v>63.887774820622496</v>
      </c>
      <c r="P4950">
        <v>-0.109224270789589</v>
      </c>
      <c r="Q4950">
        <v>0.295507672948705</v>
      </c>
      <c r="R4950">
        <v>0.96566408469601195</v>
      </c>
      <c r="S4950" t="s">
        <v>11402</v>
      </c>
      <c r="T4950" t="s">
        <v>12902</v>
      </c>
      <c r="U4950" t="s">
        <v>12902</v>
      </c>
      <c r="V4950" t="s">
        <v>12902</v>
      </c>
      <c r="W4950" t="s">
        <v>17803</v>
      </c>
      <c r="X4950">
        <v>4</v>
      </c>
      <c r="Y4950" t="s">
        <v>24101</v>
      </c>
      <c r="Z4950" t="s">
        <v>30525</v>
      </c>
      <c r="AA4950">
        <v>0.8618327980186069</v>
      </c>
      <c r="AB4950" t="str">
        <f>HYPERLINK("Melting_Curves/meltCurve_Q96HQ2_2_CDKN2AIPNL.pdf", "Melting_Curves/meltCurve_Q96HQ2_2_CDKN2AIPNL.pdf")</f>
        <v>Melting_Curves/meltCurve_Q96HQ2_2_CDKN2AIPNL.pdf</v>
      </c>
    </row>
    <row r="4951" spans="1:28" x14ac:dyDescent="0.25">
      <c r="A4951" t="s">
        <v>4955</v>
      </c>
      <c r="B4951">
        <v>0.99673306730245903</v>
      </c>
      <c r="C4951">
        <v>0.99900268241962198</v>
      </c>
      <c r="D4951">
        <v>0.95669114260177301</v>
      </c>
      <c r="E4951">
        <v>0.86281728488604303</v>
      </c>
      <c r="F4951">
        <v>0.69413378772795997</v>
      </c>
      <c r="G4951">
        <v>0.441083764372526</v>
      </c>
      <c r="H4951">
        <v>0.27546387671099698</v>
      </c>
      <c r="I4951">
        <v>0.223277274958608</v>
      </c>
      <c r="J4951">
        <v>0.16920140957751401</v>
      </c>
      <c r="K4951">
        <v>0.15031231954683</v>
      </c>
      <c r="L4951">
        <v>890.02092590689199</v>
      </c>
      <c r="M4951">
        <v>16.1921398832718</v>
      </c>
      <c r="N4951">
        <v>55.988710409789299</v>
      </c>
      <c r="O4951">
        <v>54.148363414615098</v>
      </c>
      <c r="P4951">
        <v>-6.5194476258537096E-2</v>
      </c>
      <c r="Q4951">
        <v>0.127994178237893</v>
      </c>
      <c r="R4951">
        <v>0.99928851840068</v>
      </c>
      <c r="S4951" t="s">
        <v>11403</v>
      </c>
      <c r="T4951" t="s">
        <v>12902</v>
      </c>
      <c r="U4951" t="s">
        <v>12902</v>
      </c>
      <c r="V4951" t="s">
        <v>12902</v>
      </c>
      <c r="W4951" t="s">
        <v>17804</v>
      </c>
      <c r="X4951">
        <v>1</v>
      </c>
      <c r="Y4951" t="s">
        <v>24102</v>
      </c>
      <c r="Z4951" t="s">
        <v>30526</v>
      </c>
      <c r="AA4951">
        <v>0.57847373995510887</v>
      </c>
      <c r="AB4951" t="str">
        <f>HYPERLINK("Melting_Curves/meltCurve_Q96HR8_2_NAF1.pdf", "Melting_Curves/meltCurve_Q96HR8_2_NAF1.pdf")</f>
        <v>Melting_Curves/meltCurve_Q96HR8_2_NAF1.pdf</v>
      </c>
    </row>
    <row r="4952" spans="1:28" x14ac:dyDescent="0.25">
      <c r="A4952" t="s">
        <v>4956</v>
      </c>
      <c r="B4952">
        <v>0.99673306730245903</v>
      </c>
      <c r="C4952">
        <v>0.98237954694419505</v>
      </c>
      <c r="D4952">
        <v>1.0220462827863499</v>
      </c>
      <c r="E4952">
        <v>1.14751719441303</v>
      </c>
      <c r="F4952">
        <v>1.2742984055887401</v>
      </c>
      <c r="G4952">
        <v>1.1359258418960201</v>
      </c>
      <c r="H4952">
        <v>0.98381244620174602</v>
      </c>
      <c r="I4952">
        <v>0.39318138338281999</v>
      </c>
      <c r="J4952">
        <v>0.21269988784427599</v>
      </c>
      <c r="K4952">
        <v>0.170367240910823</v>
      </c>
      <c r="L4952">
        <v>5835.8450855218898</v>
      </c>
      <c r="M4952">
        <v>92.268974958117894</v>
      </c>
      <c r="N4952">
        <v>63.575615458711503</v>
      </c>
      <c r="O4952">
        <v>63.218472775597803</v>
      </c>
      <c r="P4952">
        <v>-0.29587751826990699</v>
      </c>
      <c r="Q4952">
        <v>0.18911297132757601</v>
      </c>
      <c r="R4952">
        <v>0.92250760445861302</v>
      </c>
      <c r="S4952" t="s">
        <v>11404</v>
      </c>
      <c r="T4952" t="s">
        <v>12902</v>
      </c>
      <c r="U4952" t="s">
        <v>12902</v>
      </c>
      <c r="V4952" t="s">
        <v>12902</v>
      </c>
      <c r="W4952" t="s">
        <v>17805</v>
      </c>
      <c r="X4952">
        <v>23</v>
      </c>
      <c r="Y4952" t="s">
        <v>24103</v>
      </c>
      <c r="Z4952" t="s">
        <v>30527</v>
      </c>
      <c r="AA4952">
        <v>0.81815985399680069</v>
      </c>
      <c r="AB4952" t="str">
        <f>HYPERLINK("Melting_Curves/meltCurve_Q96HS1_PGAM5.pdf", "Melting_Curves/meltCurve_Q96HS1_PGAM5.pdf")</f>
        <v>Melting_Curves/meltCurve_Q96HS1_PGAM5.pdf</v>
      </c>
    </row>
    <row r="4953" spans="1:28" x14ac:dyDescent="0.25">
      <c r="A4953" t="s">
        <v>4957</v>
      </c>
      <c r="B4953">
        <v>0.99673306730245903</v>
      </c>
      <c r="C4953">
        <v>0.94783102556662502</v>
      </c>
      <c r="D4953">
        <v>0.94992615714617701</v>
      </c>
      <c r="E4953">
        <v>1.1815174315171599</v>
      </c>
      <c r="F4953">
        <v>0.942267263582657</v>
      </c>
      <c r="G4953">
        <v>0.24539754113247</v>
      </c>
      <c r="H4953">
        <v>0.14317330295475</v>
      </c>
      <c r="I4953">
        <v>0.13091319204576399</v>
      </c>
      <c r="J4953">
        <v>0.16018506230643201</v>
      </c>
      <c r="K4953">
        <v>0.153544118666569</v>
      </c>
      <c r="L4953">
        <v>3951.9556183587702</v>
      </c>
      <c r="M4953">
        <v>71.621116905676502</v>
      </c>
      <c r="N4953">
        <v>55.447755957569399</v>
      </c>
      <c r="O4953">
        <v>55.135685593478001</v>
      </c>
      <c r="P4953">
        <v>-0.27707129384144602</v>
      </c>
      <c r="Q4953">
        <v>0.14681548358406399</v>
      </c>
      <c r="R4953">
        <v>0.97846244173395203</v>
      </c>
      <c r="S4953" t="s">
        <v>11405</v>
      </c>
      <c r="T4953" t="s">
        <v>12902</v>
      </c>
      <c r="U4953" t="s">
        <v>12902</v>
      </c>
      <c r="V4953" t="s">
        <v>12902</v>
      </c>
      <c r="W4953" t="s">
        <v>17806</v>
      </c>
      <c r="X4953">
        <v>7</v>
      </c>
      <c r="Y4953" t="s">
        <v>24104</v>
      </c>
      <c r="Z4953" t="s">
        <v>30528</v>
      </c>
      <c r="AA4953">
        <v>0.57949724946797931</v>
      </c>
      <c r="AB4953" t="str">
        <f>HYPERLINK("Melting_Curves/meltCurve_Q96HW7_INTS4.pdf", "Melting_Curves/meltCurve_Q96HW7_INTS4.pdf")</f>
        <v>Melting_Curves/meltCurve_Q96HW7_INTS4.pdf</v>
      </c>
    </row>
    <row r="4954" spans="1:28" x14ac:dyDescent="0.25">
      <c r="A4954" t="s">
        <v>4958</v>
      </c>
      <c r="B4954">
        <v>0.99673306730245903</v>
      </c>
      <c r="C4954">
        <v>0.91651297142251198</v>
      </c>
      <c r="D4954">
        <v>0.84473584861776396</v>
      </c>
      <c r="E4954">
        <v>0.63425609019809703</v>
      </c>
      <c r="F4954">
        <v>0.51495299976330799</v>
      </c>
      <c r="G4954">
        <v>0.37990662292498001</v>
      </c>
      <c r="H4954">
        <v>0.304934724218824</v>
      </c>
      <c r="I4954">
        <v>0.37972627783880297</v>
      </c>
      <c r="J4954">
        <v>0.444639664843338</v>
      </c>
      <c r="K4954">
        <v>0.48541710695173501</v>
      </c>
      <c r="L4954">
        <v>942.40370013911297</v>
      </c>
      <c r="M4954">
        <v>19.4704110103409</v>
      </c>
      <c r="N4954">
        <v>52.6200573840093</v>
      </c>
      <c r="O4954">
        <v>47.899935387124302</v>
      </c>
      <c r="P4954">
        <v>-6.1480628785559897E-2</v>
      </c>
      <c r="Q4954">
        <v>0.39501810020876399</v>
      </c>
      <c r="R4954">
        <v>0.95331144525329703</v>
      </c>
      <c r="S4954" t="s">
        <v>11406</v>
      </c>
      <c r="T4954" t="s">
        <v>12902</v>
      </c>
      <c r="U4954" t="s">
        <v>12902</v>
      </c>
      <c r="V4954" t="s">
        <v>12902</v>
      </c>
      <c r="W4954" t="s">
        <v>17807</v>
      </c>
      <c r="X4954">
        <v>15</v>
      </c>
      <c r="Y4954" t="s">
        <v>24105</v>
      </c>
      <c r="Z4954" t="s">
        <v>30529</v>
      </c>
      <c r="AA4954">
        <v>0.573476562091497</v>
      </c>
      <c r="AB4954" t="str">
        <f>HYPERLINK("Melting_Curves/meltCurve_Q96HY6_DDRGK1.pdf", "Melting_Curves/meltCurve_Q96HY6_DDRGK1.pdf")</f>
        <v>Melting_Curves/meltCurve_Q96HY6_DDRGK1.pdf</v>
      </c>
    </row>
    <row r="4955" spans="1:28" x14ac:dyDescent="0.25">
      <c r="A4955" t="s">
        <v>4959</v>
      </c>
      <c r="B4955">
        <v>0.99673306730245903</v>
      </c>
      <c r="C4955">
        <v>0.85181254013486996</v>
      </c>
      <c r="D4955">
        <v>0.90379763480249498</v>
      </c>
      <c r="E4955">
        <v>0.65353322234890199</v>
      </c>
      <c r="F4955">
        <v>0.25018689508458097</v>
      </c>
      <c r="G4955">
        <v>0.15197580495317001</v>
      </c>
      <c r="H4955">
        <v>0.100763637792606</v>
      </c>
      <c r="I4955">
        <v>0.104496501257097</v>
      </c>
      <c r="J4955">
        <v>0.113320952670363</v>
      </c>
      <c r="K4955">
        <v>0.10677940805931101</v>
      </c>
      <c r="L4955">
        <v>1212.7714900086801</v>
      </c>
      <c r="M4955">
        <v>24.137929689828798</v>
      </c>
      <c r="N4955">
        <v>50.699322922499803</v>
      </c>
      <c r="O4955">
        <v>49.902351939016803</v>
      </c>
      <c r="P4955">
        <v>-0.109129825215965</v>
      </c>
      <c r="Q4955">
        <v>9.7561243054839597E-2</v>
      </c>
      <c r="R4955">
        <v>0.98405114388018</v>
      </c>
      <c r="S4955" t="s">
        <v>11407</v>
      </c>
      <c r="T4955" t="s">
        <v>12902</v>
      </c>
      <c r="U4955" t="s">
        <v>12902</v>
      </c>
      <c r="V4955" t="s">
        <v>12902</v>
      </c>
      <c r="W4955" t="s">
        <v>17808</v>
      </c>
      <c r="X4955">
        <v>10</v>
      </c>
      <c r="Y4955" t="s">
        <v>24106</v>
      </c>
      <c r="Z4955" t="s">
        <v>30530</v>
      </c>
      <c r="AA4955">
        <v>0.41436870571171591</v>
      </c>
      <c r="AB4955" t="str">
        <f>HYPERLINK("Melting_Curves/meltCurve_Q96HY7_DHTKD1.pdf", "Melting_Curves/meltCurve_Q96HY7_DHTKD1.pdf")</f>
        <v>Melting_Curves/meltCurve_Q96HY7_DHTKD1.pdf</v>
      </c>
    </row>
    <row r="4956" spans="1:28" x14ac:dyDescent="0.25">
      <c r="A4956" t="s">
        <v>4960</v>
      </c>
      <c r="B4956">
        <v>0.99673306730245903</v>
      </c>
      <c r="C4956">
        <v>1.02176446264718</v>
      </c>
      <c r="D4956">
        <v>1.03679041839875</v>
      </c>
      <c r="E4956">
        <v>1.0388195108926801</v>
      </c>
      <c r="F4956">
        <v>0.94196707206887498</v>
      </c>
      <c r="G4956">
        <v>0.72392958369112503</v>
      </c>
      <c r="H4956">
        <v>0.34251148459081698</v>
      </c>
      <c r="I4956">
        <v>0.157741253560745</v>
      </c>
      <c r="J4956">
        <v>0.131301964580922</v>
      </c>
      <c r="K4956">
        <v>9.0239686328079993E-2</v>
      </c>
      <c r="L4956">
        <v>1597.78211532113</v>
      </c>
      <c r="M4956">
        <v>27.2705251401784</v>
      </c>
      <c r="N4956">
        <v>59.007758537995997</v>
      </c>
      <c r="O4956">
        <v>58.277757510550003</v>
      </c>
      <c r="P4956">
        <v>-0.106718103779221</v>
      </c>
      <c r="Q4956">
        <v>8.7772570527412899E-2</v>
      </c>
      <c r="R4956">
        <v>0.99713052965480298</v>
      </c>
      <c r="S4956" t="s">
        <v>11408</v>
      </c>
      <c r="T4956" t="s">
        <v>12902</v>
      </c>
      <c r="U4956" t="s">
        <v>12902</v>
      </c>
      <c r="V4956" t="s">
        <v>12902</v>
      </c>
      <c r="W4956" t="s">
        <v>17809</v>
      </c>
      <c r="X4956">
        <v>19</v>
      </c>
      <c r="Y4956" t="s">
        <v>24107</v>
      </c>
      <c r="Z4956" t="s">
        <v>30531</v>
      </c>
      <c r="AA4956">
        <v>0.6598871331829177</v>
      </c>
      <c r="AB4956" t="str">
        <f>HYPERLINK("Melting_Curves/meltCurve_Q96I15_SCLY.pdf", "Melting_Curves/meltCurve_Q96I15_SCLY.pdf")</f>
        <v>Melting_Curves/meltCurve_Q96I15_SCLY.pdf</v>
      </c>
    </row>
    <row r="4957" spans="1:28" x14ac:dyDescent="0.25">
      <c r="A4957" t="s">
        <v>4961</v>
      </c>
      <c r="B4957">
        <v>0.99673306730245903</v>
      </c>
      <c r="C4957">
        <v>0.82872937748319897</v>
      </c>
      <c r="D4957">
        <v>0.658086760257929</v>
      </c>
      <c r="E4957">
        <v>0.35415262285736299</v>
      </c>
      <c r="F4957">
        <v>0.17721502846551099</v>
      </c>
      <c r="G4957">
        <v>0.10528327860199301</v>
      </c>
      <c r="H4957">
        <v>7.0244446546635406E-2</v>
      </c>
      <c r="I4957">
        <v>6.3863861238009606E-2</v>
      </c>
      <c r="J4957">
        <v>6.5025701421026594E-2</v>
      </c>
      <c r="K4957">
        <v>5.80033314934131E-2</v>
      </c>
      <c r="L4957">
        <v>804.00301774073398</v>
      </c>
      <c r="M4957">
        <v>16.970757788745001</v>
      </c>
      <c r="N4957">
        <v>47.689700237582898</v>
      </c>
      <c r="O4957">
        <v>46.732623737070398</v>
      </c>
      <c r="P4957">
        <v>-8.5993944468582106E-2</v>
      </c>
      <c r="Q4957">
        <v>5.2847443533006903E-2</v>
      </c>
      <c r="R4957">
        <v>0.99765637033784804</v>
      </c>
      <c r="S4957" t="s">
        <v>11409</v>
      </c>
      <c r="T4957" t="s">
        <v>12902</v>
      </c>
      <c r="U4957" t="s">
        <v>12902</v>
      </c>
      <c r="V4957" t="s">
        <v>12902</v>
      </c>
      <c r="W4957" t="s">
        <v>17810</v>
      </c>
      <c r="X4957">
        <v>20</v>
      </c>
      <c r="Y4957" t="s">
        <v>24108</v>
      </c>
      <c r="Z4957" t="s">
        <v>30532</v>
      </c>
      <c r="AA4957">
        <v>0.30519205082790041</v>
      </c>
      <c r="AB4957" t="str">
        <f>HYPERLINK("Melting_Curves/meltCurve_Q96I24_FUBP3.pdf", "Melting_Curves/meltCurve_Q96I24_FUBP3.pdf")</f>
        <v>Melting_Curves/meltCurve_Q96I24_FUBP3.pdf</v>
      </c>
    </row>
    <row r="4958" spans="1:28" x14ac:dyDescent="0.25">
      <c r="A4958" t="s">
        <v>4962</v>
      </c>
      <c r="B4958">
        <v>0.99673306730245903</v>
      </c>
      <c r="C4958">
        <v>0.85109808090957895</v>
      </c>
      <c r="D4958">
        <v>0.57972217861447595</v>
      </c>
      <c r="E4958">
        <v>0.337109892505633</v>
      </c>
      <c r="F4958">
        <v>0.220178787390055</v>
      </c>
      <c r="G4958">
        <v>0.131017657375994</v>
      </c>
      <c r="H4958">
        <v>0.111456872023355</v>
      </c>
      <c r="I4958">
        <v>0.15425176806084601</v>
      </c>
      <c r="J4958">
        <v>0.29154201668049101</v>
      </c>
      <c r="K4958">
        <v>0.30714450785157099</v>
      </c>
      <c r="L4958">
        <v>1074.96292230369</v>
      </c>
      <c r="M4958">
        <v>23.461087078220899</v>
      </c>
      <c r="N4958">
        <v>46.830282535867099</v>
      </c>
      <c r="O4958">
        <v>45.489967107842801</v>
      </c>
      <c r="P4958">
        <v>-0.103312305792996</v>
      </c>
      <c r="Q4958">
        <v>0.19874246848072799</v>
      </c>
      <c r="R4958">
        <v>0.95665092163843801</v>
      </c>
      <c r="S4958" t="s">
        <v>11410</v>
      </c>
      <c r="T4958" t="s">
        <v>12902</v>
      </c>
      <c r="U4958" t="s">
        <v>12902</v>
      </c>
      <c r="V4958" t="s">
        <v>12902</v>
      </c>
      <c r="W4958" t="s">
        <v>17811</v>
      </c>
      <c r="X4958">
        <v>9</v>
      </c>
      <c r="Y4958" t="s">
        <v>24109</v>
      </c>
      <c r="Z4958" t="s">
        <v>30533</v>
      </c>
      <c r="AA4958">
        <v>0.36282713118685228</v>
      </c>
      <c r="AB4958" t="str">
        <f>HYPERLINK("Melting_Curves/meltCurve_Q96I25_RBM17.pdf", "Melting_Curves/meltCurve_Q96I25_RBM17.pdf")</f>
        <v>Melting_Curves/meltCurve_Q96I25_RBM17.pdf</v>
      </c>
    </row>
    <row r="4959" spans="1:28" x14ac:dyDescent="0.25">
      <c r="A4959" t="s">
        <v>4963</v>
      </c>
      <c r="B4959">
        <v>0.99673306730245903</v>
      </c>
      <c r="C4959">
        <v>0.94711040781211697</v>
      </c>
      <c r="D4959">
        <v>0.94036736203720905</v>
      </c>
      <c r="E4959">
        <v>0.80675832409596704</v>
      </c>
      <c r="F4959">
        <v>0.79508652006715497</v>
      </c>
      <c r="G4959">
        <v>0.73454474357919597</v>
      </c>
      <c r="H4959">
        <v>0.91046104825274399</v>
      </c>
      <c r="I4959">
        <v>1.14081521197717</v>
      </c>
      <c r="J4959">
        <v>1.49912482337429</v>
      </c>
      <c r="K4959">
        <v>1.67095273554448</v>
      </c>
      <c r="L4959">
        <v>15000</v>
      </c>
      <c r="M4959">
        <v>233.43860188252501</v>
      </c>
      <c r="O4959">
        <v>64.252000320709499</v>
      </c>
      <c r="P4959">
        <v>0.45414650615222502</v>
      </c>
      <c r="Q4959">
        <v>1.5</v>
      </c>
      <c r="R4959">
        <v>0.77609404236046697</v>
      </c>
      <c r="S4959" t="s">
        <v>11411</v>
      </c>
      <c r="T4959" t="s">
        <v>12902</v>
      </c>
      <c r="U4959" t="s">
        <v>12902</v>
      </c>
      <c r="V4959" t="s">
        <v>12902</v>
      </c>
      <c r="W4959" t="s">
        <v>17812</v>
      </c>
      <c r="X4959">
        <v>1</v>
      </c>
      <c r="Y4959" t="s">
        <v>24110</v>
      </c>
      <c r="Z4959" t="s">
        <v>30534</v>
      </c>
      <c r="AA4959">
        <v>1.095656582118919</v>
      </c>
      <c r="AB4959" t="str">
        <f>HYPERLINK("Melting_Curves/meltCurve_Q96I36_COX14.pdf", "Melting_Curves/meltCurve_Q96I36_COX14.pdf")</f>
        <v>Melting_Curves/meltCurve_Q96I36_COX14.pdf</v>
      </c>
    </row>
    <row r="4960" spans="1:28" x14ac:dyDescent="0.25">
      <c r="A4960" t="s">
        <v>4964</v>
      </c>
      <c r="B4960">
        <v>0.99673306730245903</v>
      </c>
      <c r="C4960">
        <v>0.96918992134215798</v>
      </c>
      <c r="D4960">
        <v>0.93105503038084803</v>
      </c>
      <c r="E4960">
        <v>0.90970814881440398</v>
      </c>
      <c r="F4960">
        <v>0.69941196937336803</v>
      </c>
      <c r="G4960">
        <v>0.60952266273261402</v>
      </c>
      <c r="H4960">
        <v>0.43743660317508098</v>
      </c>
      <c r="I4960">
        <v>0.49166973532915798</v>
      </c>
      <c r="J4960">
        <v>0.25316544479939601</v>
      </c>
      <c r="K4960">
        <v>0.10889037611359099</v>
      </c>
      <c r="L4960">
        <v>550.74811295767199</v>
      </c>
      <c r="M4960">
        <v>9.2195696149835396</v>
      </c>
      <c r="N4960">
        <v>59.7368535124373</v>
      </c>
      <c r="O4960">
        <v>57.128058414206201</v>
      </c>
      <c r="P4960">
        <v>-4.0372825296852898E-2</v>
      </c>
      <c r="Q4960">
        <v>0</v>
      </c>
      <c r="R4960">
        <v>0.96080626153345805</v>
      </c>
      <c r="S4960" t="s">
        <v>11412</v>
      </c>
      <c r="T4960" t="s">
        <v>12902</v>
      </c>
      <c r="U4960" t="s">
        <v>12902</v>
      </c>
      <c r="V4960" t="s">
        <v>12902</v>
      </c>
      <c r="W4960" t="s">
        <v>17813</v>
      </c>
      <c r="X4960">
        <v>8</v>
      </c>
      <c r="Y4960" t="s">
        <v>24111</v>
      </c>
      <c r="Z4960" t="s">
        <v>30535</v>
      </c>
      <c r="AA4960">
        <v>0.65248896704986759</v>
      </c>
      <c r="AB4960" t="str">
        <f>HYPERLINK("Melting_Curves/meltCurve_Q96I51_WBSCR16.pdf", "Melting_Curves/meltCurve_Q96I51_WBSCR16.pdf")</f>
        <v>Melting_Curves/meltCurve_Q96I51_WBSCR16.pdf</v>
      </c>
    </row>
    <row r="4961" spans="1:28" x14ac:dyDescent="0.25">
      <c r="A4961" t="s">
        <v>4965</v>
      </c>
      <c r="B4961">
        <v>0.99673306730245903</v>
      </c>
      <c r="C4961">
        <v>0.89279008893884804</v>
      </c>
      <c r="D4961">
        <v>0.928028167919284</v>
      </c>
      <c r="E4961">
        <v>0.69586347426495299</v>
      </c>
      <c r="F4961">
        <v>0.19905529024791199</v>
      </c>
      <c r="G4961">
        <v>0.120607292101504</v>
      </c>
      <c r="H4961">
        <v>7.9144367227798704E-2</v>
      </c>
      <c r="I4961">
        <v>8.4957236355405599E-2</v>
      </c>
      <c r="J4961">
        <v>8.9237253681887299E-2</v>
      </c>
      <c r="K4961">
        <v>8.1550360959549706E-2</v>
      </c>
      <c r="L4961">
        <v>1723.04391805561</v>
      </c>
      <c r="M4961">
        <v>34.124258246921102</v>
      </c>
      <c r="N4961">
        <v>50.7648488374114</v>
      </c>
      <c r="O4961">
        <v>50.320774765785401</v>
      </c>
      <c r="P4961">
        <v>-0.155387882533675</v>
      </c>
      <c r="Q4961">
        <v>8.3443009743698199E-2</v>
      </c>
      <c r="R4961">
        <v>0.99066548862266801</v>
      </c>
      <c r="S4961" t="s">
        <v>11413</v>
      </c>
      <c r="T4961" t="s">
        <v>12902</v>
      </c>
      <c r="U4961" t="s">
        <v>12902</v>
      </c>
      <c r="V4961" t="s">
        <v>12902</v>
      </c>
      <c r="W4961" t="s">
        <v>17814</v>
      </c>
      <c r="X4961">
        <v>17</v>
      </c>
      <c r="Y4961" t="s">
        <v>24112</v>
      </c>
      <c r="Z4961" t="s">
        <v>30536</v>
      </c>
      <c r="AA4961">
        <v>0.40843903813797461</v>
      </c>
      <c r="AB4961" t="str">
        <f>HYPERLINK("Melting_Curves/meltCurve_Q96I59_NARS2.pdf", "Melting_Curves/meltCurve_Q96I59_NARS2.pdf")</f>
        <v>Melting_Curves/meltCurve_Q96I59_NARS2.pdf</v>
      </c>
    </row>
    <row r="4962" spans="1:28" x14ac:dyDescent="0.25">
      <c r="A4962" t="s">
        <v>4966</v>
      </c>
      <c r="B4962">
        <v>0.99673306730245903</v>
      </c>
      <c r="C4962">
        <v>0.99076867809890301</v>
      </c>
      <c r="D4962">
        <v>0.94913639805835404</v>
      </c>
      <c r="E4962">
        <v>0.92764162276721895</v>
      </c>
      <c r="F4962">
        <v>0.26809312425876802</v>
      </c>
      <c r="G4962">
        <v>0.12702156172458501</v>
      </c>
      <c r="H4962">
        <v>7.9685024643713603E-2</v>
      </c>
      <c r="I4962">
        <v>8.0746266879292997E-2</v>
      </c>
      <c r="J4962">
        <v>9.6607928922825395E-2</v>
      </c>
      <c r="K4962">
        <v>8.4209575735717204E-2</v>
      </c>
      <c r="L4962">
        <v>2773.5128274356698</v>
      </c>
      <c r="M4962">
        <v>53.532728536833503</v>
      </c>
      <c r="N4962">
        <v>52.005884170380597</v>
      </c>
      <c r="O4962">
        <v>51.737518989148903</v>
      </c>
      <c r="P4962">
        <v>-0.23502067526921899</v>
      </c>
      <c r="Q4962">
        <v>9.1443376489632203E-2</v>
      </c>
      <c r="R4962">
        <v>0.99787163327066497</v>
      </c>
      <c r="S4962" t="s">
        <v>11414</v>
      </c>
      <c r="T4962" t="s">
        <v>12902</v>
      </c>
      <c r="U4962" t="s">
        <v>12902</v>
      </c>
      <c r="V4962" t="s">
        <v>12902</v>
      </c>
      <c r="W4962" t="s">
        <v>17815</v>
      </c>
      <c r="X4962">
        <v>20</v>
      </c>
      <c r="Y4962" t="s">
        <v>24113</v>
      </c>
      <c r="Z4962" t="s">
        <v>30537</v>
      </c>
      <c r="AA4962">
        <v>0.45091175515820597</v>
      </c>
      <c r="AB4962" t="str">
        <f>HYPERLINK("Melting_Curves/meltCurve_Q96I99_SUCLG2.pdf", "Melting_Curves/meltCurve_Q96I99_SUCLG2.pdf")</f>
        <v>Melting_Curves/meltCurve_Q96I99_SUCLG2.pdf</v>
      </c>
    </row>
    <row r="4963" spans="1:28" x14ac:dyDescent="0.25">
      <c r="A4963" t="s">
        <v>4967</v>
      </c>
      <c r="B4963">
        <v>0.99673306730245903</v>
      </c>
      <c r="C4963">
        <v>0.98082399070279003</v>
      </c>
      <c r="D4963">
        <v>1.0597037363080899</v>
      </c>
      <c r="E4963">
        <v>1.2470034878463501</v>
      </c>
      <c r="F4963">
        <v>1.3229979405080801</v>
      </c>
      <c r="G4963">
        <v>1.0902776024837</v>
      </c>
      <c r="H4963">
        <v>0.601661116951829</v>
      </c>
      <c r="I4963">
        <v>0.19355387624994499</v>
      </c>
      <c r="J4963">
        <v>0.143123721809162</v>
      </c>
      <c r="K4963">
        <v>0.10965740008395</v>
      </c>
      <c r="L4963">
        <v>4195.7256757968398</v>
      </c>
      <c r="M4963">
        <v>68.825144400828094</v>
      </c>
      <c r="N4963">
        <v>61.246090297003597</v>
      </c>
      <c r="O4963">
        <v>60.910698833936799</v>
      </c>
      <c r="P4963">
        <v>-0.24389411950682099</v>
      </c>
      <c r="Q4963">
        <v>0.13660869973294101</v>
      </c>
      <c r="R4963">
        <v>0.91027210617160403</v>
      </c>
      <c r="S4963" t="s">
        <v>11415</v>
      </c>
      <c r="T4963" t="s">
        <v>12902</v>
      </c>
      <c r="U4963" t="s">
        <v>12902</v>
      </c>
      <c r="V4963" t="s">
        <v>12902</v>
      </c>
      <c r="W4963" t="s">
        <v>17816</v>
      </c>
      <c r="X4963">
        <v>10</v>
      </c>
      <c r="Y4963" t="s">
        <v>24114</v>
      </c>
      <c r="Z4963" t="s">
        <v>30538</v>
      </c>
      <c r="AA4963">
        <v>0.74110928265497467</v>
      </c>
      <c r="AB4963" t="str">
        <f>HYPERLINK("Melting_Curves/meltCurve_Q96IJ6_GMPPA.pdf", "Melting_Curves/meltCurve_Q96IJ6_GMPPA.pdf")</f>
        <v>Melting_Curves/meltCurve_Q96IJ6_GMPPA.pdf</v>
      </c>
    </row>
    <row r="4964" spans="1:28" x14ac:dyDescent="0.25">
      <c r="A4964" t="s">
        <v>4968</v>
      </c>
      <c r="B4964">
        <v>0.99673306730245903</v>
      </c>
      <c r="C4964">
        <v>1.02946845543171</v>
      </c>
      <c r="D4964">
        <v>0.99546527172289401</v>
      </c>
      <c r="E4964">
        <v>0.98640613630789997</v>
      </c>
      <c r="F4964">
        <v>0.86171111727474403</v>
      </c>
      <c r="G4964">
        <v>0.86516036241514005</v>
      </c>
      <c r="H4964">
        <v>0.58248966297632998</v>
      </c>
      <c r="I4964">
        <v>0.69059165619015295</v>
      </c>
      <c r="J4964">
        <v>1.0778534640858399</v>
      </c>
      <c r="K4964">
        <v>0.984760930785337</v>
      </c>
      <c r="L4964">
        <v>3031.8900762995299</v>
      </c>
      <c r="M4964">
        <v>58.788597041403499</v>
      </c>
      <c r="O4964">
        <v>51.513194858292003</v>
      </c>
      <c r="P4964">
        <v>-4.5688607980371401E-2</v>
      </c>
      <c r="Q4964">
        <v>0.83986250896690695</v>
      </c>
      <c r="R4964">
        <v>0.26575278187816398</v>
      </c>
      <c r="S4964" t="s">
        <v>11416</v>
      </c>
      <c r="T4964" t="s">
        <v>12902</v>
      </c>
      <c r="U4964" t="s">
        <v>12902</v>
      </c>
      <c r="V4964" t="s">
        <v>12902</v>
      </c>
      <c r="W4964" t="s">
        <v>17817</v>
      </c>
      <c r="X4964">
        <v>8</v>
      </c>
      <c r="Y4964" t="s">
        <v>24115</v>
      </c>
      <c r="Z4964" t="s">
        <v>30539</v>
      </c>
      <c r="AA4964">
        <v>0.90190002806102798</v>
      </c>
      <c r="AB4964" t="str">
        <f>HYPERLINK("Melting_Curves/meltCurve_Q96IK1_BOD1.pdf", "Melting_Curves/meltCurve_Q96IK1_BOD1.pdf")</f>
        <v>Melting_Curves/meltCurve_Q96IK1_BOD1.pdf</v>
      </c>
    </row>
    <row r="4965" spans="1:28" x14ac:dyDescent="0.25">
      <c r="A4965" t="s">
        <v>4969</v>
      </c>
      <c r="B4965">
        <v>0.99673306730245903</v>
      </c>
      <c r="C4965">
        <v>0.904468596806835</v>
      </c>
      <c r="D4965">
        <v>0.74506511783060803</v>
      </c>
      <c r="E4965">
        <v>0.48384282563386899</v>
      </c>
      <c r="F4965">
        <v>0.37625224451044698</v>
      </c>
      <c r="G4965">
        <v>0.20845691434451899</v>
      </c>
      <c r="H4965">
        <v>0.107023910081263</v>
      </c>
      <c r="I4965">
        <v>0.12146575669217601</v>
      </c>
      <c r="J4965">
        <v>0.136568643362458</v>
      </c>
      <c r="K4965">
        <v>0.10887105485260901</v>
      </c>
      <c r="L4965">
        <v>696.27236031286895</v>
      </c>
      <c r="M4965">
        <v>14.1679867926002</v>
      </c>
      <c r="N4965">
        <v>49.873920308040702</v>
      </c>
      <c r="O4965">
        <v>48.196088862176701</v>
      </c>
      <c r="P4965">
        <v>-6.6619015169012599E-2</v>
      </c>
      <c r="Q4965">
        <v>9.3626914100941899E-2</v>
      </c>
      <c r="R4965">
        <v>0.99325068548935103</v>
      </c>
      <c r="S4965" t="s">
        <v>11417</v>
      </c>
      <c r="T4965" t="s">
        <v>12902</v>
      </c>
      <c r="U4965" t="s">
        <v>12902</v>
      </c>
      <c r="V4965" t="s">
        <v>12902</v>
      </c>
      <c r="W4965" t="s">
        <v>17818</v>
      </c>
      <c r="X4965">
        <v>1</v>
      </c>
      <c r="Y4965" t="s">
        <v>24116</v>
      </c>
      <c r="Z4965" t="s">
        <v>30540</v>
      </c>
      <c r="AA4965">
        <v>0.3946100516319449</v>
      </c>
      <c r="AB4965" t="str">
        <f>HYPERLINK("Melting_Curves/meltCurve_Q96IQ9_ZNF414.pdf", "Melting_Curves/meltCurve_Q96IQ9_ZNF414.pdf")</f>
        <v>Melting_Curves/meltCurve_Q96IQ9_ZNF414.pdf</v>
      </c>
    </row>
    <row r="4966" spans="1:28" x14ac:dyDescent="0.25">
      <c r="A4966" t="s">
        <v>4970</v>
      </c>
      <c r="B4966">
        <v>0.99673306730245903</v>
      </c>
      <c r="C4966">
        <v>0.86341460082967203</v>
      </c>
      <c r="D4966">
        <v>0.86534215648827195</v>
      </c>
      <c r="E4966">
        <v>0.59359773955624495</v>
      </c>
      <c r="F4966">
        <v>0.449603535456018</v>
      </c>
      <c r="G4966">
        <v>0.28750217244021598</v>
      </c>
      <c r="H4966">
        <v>0.26738020371433802</v>
      </c>
      <c r="I4966">
        <v>0.194222852060421</v>
      </c>
      <c r="J4966">
        <v>0.39178710254738802</v>
      </c>
      <c r="K4966">
        <v>0.34474263321674098</v>
      </c>
      <c r="L4966">
        <v>895.60249771134897</v>
      </c>
      <c r="M4966">
        <v>18.311034440323201</v>
      </c>
      <c r="N4966">
        <v>51.281553108931497</v>
      </c>
      <c r="O4966">
        <v>48.338385445352003</v>
      </c>
      <c r="P4966">
        <v>-6.7661456936500206E-2</v>
      </c>
      <c r="Q4966">
        <v>0.28556857406499297</v>
      </c>
      <c r="R4966">
        <v>0.95013746325964699</v>
      </c>
      <c r="S4966" t="s">
        <v>11418</v>
      </c>
      <c r="T4966" t="s">
        <v>12902</v>
      </c>
      <c r="U4966" t="s">
        <v>12902</v>
      </c>
      <c r="V4966" t="s">
        <v>12902</v>
      </c>
      <c r="W4966" t="s">
        <v>17819</v>
      </c>
      <c r="X4966">
        <v>2</v>
      </c>
      <c r="Y4966" t="s">
        <v>24117</v>
      </c>
      <c r="Z4966" t="s">
        <v>30541</v>
      </c>
      <c r="AA4966">
        <v>0.50974447591500627</v>
      </c>
      <c r="AB4966" t="str">
        <f>HYPERLINK("Melting_Curves/meltCurve_Q96IR2_ZNF845.pdf", "Melting_Curves/meltCurve_Q96IR2_ZNF845.pdf")</f>
        <v>Melting_Curves/meltCurve_Q96IR2_ZNF845.pdf</v>
      </c>
    </row>
    <row r="4967" spans="1:28" x14ac:dyDescent="0.25">
      <c r="A4967" t="s">
        <v>4971</v>
      </c>
      <c r="B4967">
        <v>0.99673306730245903</v>
      </c>
      <c r="C4967">
        <v>1.0158083831498901</v>
      </c>
      <c r="D4967">
        <v>0.97937384954769502</v>
      </c>
      <c r="E4967">
        <v>0.90970782868335398</v>
      </c>
      <c r="F4967">
        <v>0.75892579563637597</v>
      </c>
      <c r="G4967">
        <v>0.55429930845858499</v>
      </c>
      <c r="H4967">
        <v>0.33549110753438999</v>
      </c>
      <c r="I4967">
        <v>0.35757562724845898</v>
      </c>
      <c r="J4967">
        <v>0.43078092721260902</v>
      </c>
      <c r="K4967">
        <v>0.304650538014206</v>
      </c>
      <c r="L4967">
        <v>1195.4292812424501</v>
      </c>
      <c r="M4967">
        <v>21.948620032111901</v>
      </c>
      <c r="N4967">
        <v>57.406806736699799</v>
      </c>
      <c r="O4967">
        <v>54.018835516655798</v>
      </c>
      <c r="P4967">
        <v>-6.7283138966767297E-2</v>
      </c>
      <c r="Q4967">
        <v>0.337639630243596</v>
      </c>
      <c r="R4967">
        <v>0.98271419235600099</v>
      </c>
      <c r="S4967" t="s">
        <v>11419</v>
      </c>
      <c r="T4967" t="s">
        <v>12902</v>
      </c>
      <c r="U4967" t="s">
        <v>12902</v>
      </c>
      <c r="V4967" t="s">
        <v>12902</v>
      </c>
      <c r="W4967" t="s">
        <v>17820</v>
      </c>
      <c r="X4967">
        <v>12</v>
      </c>
      <c r="Y4967" t="s">
        <v>24118</v>
      </c>
      <c r="Z4967" t="s">
        <v>30542</v>
      </c>
      <c r="AA4967">
        <v>0.66468913545032648</v>
      </c>
      <c r="AB4967" t="str">
        <f>HYPERLINK("Melting_Curves/meltCurve_Q96IR7_HPDL.pdf", "Melting_Curves/meltCurve_Q96IR7_HPDL.pdf")</f>
        <v>Melting_Curves/meltCurve_Q96IR7_HPDL.pdf</v>
      </c>
    </row>
    <row r="4968" spans="1:28" x14ac:dyDescent="0.25">
      <c r="A4968" t="s">
        <v>4972</v>
      </c>
      <c r="B4968">
        <v>0.99673306730245903</v>
      </c>
      <c r="C4968">
        <v>0.98194230187959597</v>
      </c>
      <c r="D4968">
        <v>0.86248249187389603</v>
      </c>
      <c r="E4968">
        <v>0.69541739527997504</v>
      </c>
      <c r="F4968">
        <v>0.40493111130992598</v>
      </c>
      <c r="G4968">
        <v>0.26042594344255399</v>
      </c>
      <c r="H4968">
        <v>0.16696421819488599</v>
      </c>
      <c r="I4968">
        <v>0.124507866800561</v>
      </c>
      <c r="J4968">
        <v>9.7985796011251194E-2</v>
      </c>
      <c r="K4968">
        <v>8.9280512405759099E-2</v>
      </c>
      <c r="L4968">
        <v>821.81038009689701</v>
      </c>
      <c r="M4968">
        <v>15.959654557493501</v>
      </c>
      <c r="N4968">
        <v>52.081059484818297</v>
      </c>
      <c r="O4968">
        <v>50.704895705542</v>
      </c>
      <c r="P4968">
        <v>-7.2206699576504593E-2</v>
      </c>
      <c r="Q4968">
        <v>8.2450646383706902E-2</v>
      </c>
      <c r="R4968">
        <v>0.99858770618312898</v>
      </c>
      <c r="S4968" t="s">
        <v>11420</v>
      </c>
      <c r="T4968" t="s">
        <v>12902</v>
      </c>
      <c r="U4968" t="s">
        <v>12902</v>
      </c>
      <c r="V4968" t="s">
        <v>12902</v>
      </c>
      <c r="W4968" t="s">
        <v>17821</v>
      </c>
      <c r="X4968">
        <v>6</v>
      </c>
      <c r="Y4968" t="s">
        <v>24119</v>
      </c>
      <c r="Z4968" t="s">
        <v>30543</v>
      </c>
      <c r="AA4968">
        <v>0.45283307050638127</v>
      </c>
      <c r="AB4968" t="str">
        <f>HYPERLINK("Melting_Curves/meltCurve_Q96IU4_ABHD14B.pdf", "Melting_Curves/meltCurve_Q96IU4_ABHD14B.pdf")</f>
        <v>Melting_Curves/meltCurve_Q96IU4_ABHD14B.pdf</v>
      </c>
    </row>
    <row r="4969" spans="1:28" x14ac:dyDescent="0.25">
      <c r="A4969" t="s">
        <v>4973</v>
      </c>
      <c r="B4969">
        <v>0.99673306730245903</v>
      </c>
      <c r="C4969">
        <v>0.95394039337535197</v>
      </c>
      <c r="D4969">
        <v>0.84000085990290696</v>
      </c>
      <c r="E4969">
        <v>0.46233755088376</v>
      </c>
      <c r="F4969">
        <v>0.25044373687618698</v>
      </c>
      <c r="G4969">
        <v>0.155778864739613</v>
      </c>
      <c r="H4969">
        <v>8.0787557789026104E-2</v>
      </c>
      <c r="I4969">
        <v>6.1372079853580098E-2</v>
      </c>
      <c r="J4969">
        <v>6.1234465617557202E-2</v>
      </c>
      <c r="K4969">
        <v>5.75023091179492E-2</v>
      </c>
      <c r="L4969">
        <v>982.28364849515003</v>
      </c>
      <c r="M4969">
        <v>19.9591052913553</v>
      </c>
      <c r="N4969">
        <v>49.5517634934386</v>
      </c>
      <c r="O4969">
        <v>48.728757269742701</v>
      </c>
      <c r="P4969">
        <v>-9.5904229362412899E-2</v>
      </c>
      <c r="Q4969">
        <v>6.3456843911979005E-2</v>
      </c>
      <c r="R4969">
        <v>0.99762991611353302</v>
      </c>
      <c r="S4969" t="s">
        <v>11421</v>
      </c>
      <c r="T4969" t="s">
        <v>12902</v>
      </c>
      <c r="U4969" t="s">
        <v>12902</v>
      </c>
      <c r="V4969" t="s">
        <v>12902</v>
      </c>
      <c r="W4969" t="s">
        <v>17822</v>
      </c>
      <c r="X4969">
        <v>11</v>
      </c>
      <c r="Y4969" t="s">
        <v>24120</v>
      </c>
      <c r="Z4969" t="s">
        <v>30544</v>
      </c>
      <c r="AA4969">
        <v>0.36427482215900903</v>
      </c>
      <c r="AB4969" t="str">
        <f>HYPERLINK("Melting_Curves/meltCurve_Q96IV0_2_NGLY1.pdf", "Melting_Curves/meltCurve_Q96IV0_2_NGLY1.pdf")</f>
        <v>Melting_Curves/meltCurve_Q96IV0_2_NGLY1.pdf</v>
      </c>
    </row>
    <row r="4970" spans="1:28" x14ac:dyDescent="0.25">
      <c r="A4970" t="s">
        <v>4974</v>
      </c>
      <c r="B4970">
        <v>0.99673306730245903</v>
      </c>
      <c r="C4970">
        <v>0.83347208480455504</v>
      </c>
      <c r="D4970">
        <v>0.84116662870709602</v>
      </c>
      <c r="E4970">
        <v>0.45571369459836197</v>
      </c>
      <c r="F4970">
        <v>0.71982739947511498</v>
      </c>
      <c r="G4970">
        <v>1.1645759318233899</v>
      </c>
      <c r="H4970">
        <v>0.281826381018908</v>
      </c>
      <c r="I4970">
        <v>0.873366200758389</v>
      </c>
      <c r="J4970">
        <v>0.41309932613271499</v>
      </c>
      <c r="K4970">
        <v>0.36904732466957701</v>
      </c>
      <c r="L4970">
        <v>220.931602304374</v>
      </c>
      <c r="M4970">
        <v>3.19993546800871</v>
      </c>
      <c r="N4970">
        <v>69.042522232179493</v>
      </c>
      <c r="O4970">
        <v>52.255490666678298</v>
      </c>
      <c r="P4970">
        <v>-1.57008302720698E-2</v>
      </c>
      <c r="Q4970">
        <v>0</v>
      </c>
      <c r="R4970">
        <v>0.26030012328003999</v>
      </c>
      <c r="S4970" t="s">
        <v>11422</v>
      </c>
      <c r="T4970" t="s">
        <v>12902</v>
      </c>
      <c r="U4970" t="s">
        <v>12902</v>
      </c>
      <c r="V4970" t="s">
        <v>12902</v>
      </c>
      <c r="W4970" t="s">
        <v>17823</v>
      </c>
      <c r="X4970">
        <v>4</v>
      </c>
      <c r="Y4970" t="s">
        <v>24121</v>
      </c>
      <c r="Z4970" t="s">
        <v>30545</v>
      </c>
      <c r="AA4970">
        <v>0.69667237520129999</v>
      </c>
      <c r="AB4970" t="str">
        <f>HYPERLINK("Melting_Curves/meltCurve_Q96IX5_USMG5.pdf", "Melting_Curves/meltCurve_Q96IX5_USMG5.pdf")</f>
        <v>Melting_Curves/meltCurve_Q96IX5_USMG5.pdf</v>
      </c>
    </row>
    <row r="4971" spans="1:28" x14ac:dyDescent="0.25">
      <c r="A4971" t="s">
        <v>4975</v>
      </c>
      <c r="B4971">
        <v>0.99673306730245903</v>
      </c>
      <c r="C4971">
        <v>0.96923611872152005</v>
      </c>
      <c r="D4971">
        <v>0.93836399388024005</v>
      </c>
      <c r="E4971">
        <v>0.43949979990933902</v>
      </c>
      <c r="F4971">
        <v>0.278647571846243</v>
      </c>
      <c r="G4971">
        <v>0.18699156048519699</v>
      </c>
      <c r="H4971">
        <v>0.12528523401233799</v>
      </c>
      <c r="I4971">
        <v>0.101320300689149</v>
      </c>
      <c r="J4971">
        <v>7.9687640142732996E-2</v>
      </c>
      <c r="K4971">
        <v>5.5258351851073001E-2</v>
      </c>
      <c r="L4971">
        <v>1251.27807775982</v>
      </c>
      <c r="M4971">
        <v>25.4376388306267</v>
      </c>
      <c r="N4971">
        <v>49.655990633628299</v>
      </c>
      <c r="O4971">
        <v>48.8890437519253</v>
      </c>
      <c r="P4971">
        <v>-0.116268875745555</v>
      </c>
      <c r="Q4971">
        <v>0.106174461373905</v>
      </c>
      <c r="R4971">
        <v>0.98656419611979296</v>
      </c>
      <c r="S4971" t="s">
        <v>11423</v>
      </c>
      <c r="T4971" t="s">
        <v>12902</v>
      </c>
      <c r="U4971" t="s">
        <v>12902</v>
      </c>
      <c r="V4971" t="s">
        <v>12902</v>
      </c>
      <c r="W4971" t="s">
        <v>17824</v>
      </c>
      <c r="X4971">
        <v>6</v>
      </c>
      <c r="Y4971" t="s">
        <v>24122</v>
      </c>
      <c r="Z4971" t="s">
        <v>30546</v>
      </c>
      <c r="AA4971">
        <v>0.38763748014458271</v>
      </c>
      <c r="AB4971" t="str">
        <f>HYPERLINK("Melting_Curves/meltCurve_Q96IY1_NSL1.pdf", "Melting_Curves/meltCurve_Q96IY1_NSL1.pdf")</f>
        <v>Melting_Curves/meltCurve_Q96IY1_NSL1.pdf</v>
      </c>
    </row>
    <row r="4972" spans="1:28" x14ac:dyDescent="0.25">
      <c r="A4972" t="s">
        <v>4976</v>
      </c>
      <c r="B4972">
        <v>0.99673306730245903</v>
      </c>
      <c r="C4972">
        <v>1.00385834410999</v>
      </c>
      <c r="D4972">
        <v>1.0203367838811499</v>
      </c>
      <c r="E4972">
        <v>1.0134134465895299</v>
      </c>
      <c r="F4972">
        <v>0.91956157226720303</v>
      </c>
      <c r="G4972">
        <v>0.82418123973070601</v>
      </c>
      <c r="H4972">
        <v>0.73731543578820902</v>
      </c>
      <c r="I4972">
        <v>1.1087887119552</v>
      </c>
      <c r="J4972">
        <v>1.6452203091481801</v>
      </c>
      <c r="K4972">
        <v>1.59279874348268</v>
      </c>
      <c r="L4972">
        <v>15000</v>
      </c>
      <c r="M4972">
        <v>233.09585168248401</v>
      </c>
      <c r="O4972">
        <v>64.346476995547604</v>
      </c>
      <c r="P4972">
        <v>0.45281396641736998</v>
      </c>
      <c r="Q4972">
        <v>1.5</v>
      </c>
      <c r="R4972">
        <v>0.83167592652059397</v>
      </c>
      <c r="S4972" t="s">
        <v>11424</v>
      </c>
      <c r="T4972" t="s">
        <v>12902</v>
      </c>
      <c r="U4972" t="s">
        <v>12902</v>
      </c>
      <c r="V4972" t="s">
        <v>12902</v>
      </c>
      <c r="W4972" t="s">
        <v>17825</v>
      </c>
      <c r="X4972">
        <v>13</v>
      </c>
      <c r="Y4972" t="s">
        <v>24123</v>
      </c>
      <c r="Z4972" t="s">
        <v>30547</v>
      </c>
      <c r="AA4972">
        <v>1.0940815504021011</v>
      </c>
      <c r="AB4972" t="str">
        <f>HYPERLINK("Melting_Curves/meltCurve_Q96IZ0_PAWR.pdf", "Melting_Curves/meltCurve_Q96IZ0_PAWR.pdf")</f>
        <v>Melting_Curves/meltCurve_Q96IZ0_PAWR.pdf</v>
      </c>
    </row>
    <row r="4973" spans="1:28" x14ac:dyDescent="0.25">
      <c r="A4973" t="s">
        <v>4977</v>
      </c>
      <c r="B4973">
        <v>0.99673306730245903</v>
      </c>
      <c r="C4973">
        <v>0.952923255149563</v>
      </c>
      <c r="D4973">
        <v>0.91698131671263305</v>
      </c>
      <c r="E4973">
        <v>0.94982292848204497</v>
      </c>
      <c r="F4973">
        <v>0.80507460359121397</v>
      </c>
      <c r="G4973">
        <v>0.59401482495049795</v>
      </c>
      <c r="H4973">
        <v>0.32651157088189098</v>
      </c>
      <c r="I4973">
        <v>0.52682519935385597</v>
      </c>
      <c r="J4973">
        <v>0.91073526556218398</v>
      </c>
      <c r="K4973">
        <v>0.95268165359686696</v>
      </c>
      <c r="L4973">
        <v>13283.4906614336</v>
      </c>
      <c r="M4973">
        <v>250</v>
      </c>
      <c r="O4973">
        <v>53.130562457593797</v>
      </c>
      <c r="P4973">
        <v>-0.39742462284602997</v>
      </c>
      <c r="Q4973">
        <v>0.66215370066518098</v>
      </c>
      <c r="R4973">
        <v>0.38170379553483103</v>
      </c>
      <c r="S4973" t="s">
        <v>11425</v>
      </c>
      <c r="T4973" t="s">
        <v>12902</v>
      </c>
      <c r="U4973" t="s">
        <v>12902</v>
      </c>
      <c r="V4973" t="s">
        <v>12902</v>
      </c>
      <c r="W4973" t="s">
        <v>17826</v>
      </c>
      <c r="X4973">
        <v>8</v>
      </c>
      <c r="Y4973" t="s">
        <v>24124</v>
      </c>
      <c r="Z4973" t="s">
        <v>30548</v>
      </c>
      <c r="AA4973">
        <v>0.81009389377060259</v>
      </c>
      <c r="AB4973" t="str">
        <f>HYPERLINK("Melting_Curves/meltCurve_Q96IZ7_2_RSRC1.pdf", "Melting_Curves/meltCurve_Q96IZ7_2_RSRC1.pdf")</f>
        <v>Melting_Curves/meltCurve_Q96IZ7_2_RSRC1.pdf</v>
      </c>
    </row>
    <row r="4974" spans="1:28" x14ac:dyDescent="0.25">
      <c r="A4974" t="s">
        <v>4978</v>
      </c>
      <c r="B4974">
        <v>0.99673306730245903</v>
      </c>
      <c r="C4974">
        <v>1.0035313958613199</v>
      </c>
      <c r="D4974">
        <v>0.96171228224960903</v>
      </c>
      <c r="E4974">
        <v>0.90253043197550298</v>
      </c>
      <c r="F4974">
        <v>0.76033021149300295</v>
      </c>
      <c r="G4974">
        <v>0.44404537033146901</v>
      </c>
      <c r="H4974">
        <v>0.16268935126454401</v>
      </c>
      <c r="I4974">
        <v>0.10985173509537</v>
      </c>
      <c r="J4974">
        <v>0.11158058781137099</v>
      </c>
      <c r="K4974">
        <v>9.7300010641895904E-2</v>
      </c>
      <c r="L4974">
        <v>1228.90655084013</v>
      </c>
      <c r="M4974">
        <v>22.117861211601099</v>
      </c>
      <c r="N4974">
        <v>55.971929427790997</v>
      </c>
      <c r="O4974">
        <v>55.113515365293097</v>
      </c>
      <c r="P4974">
        <v>-9.2824223584234797E-2</v>
      </c>
      <c r="Q4974">
        <v>7.4818787973895698E-2</v>
      </c>
      <c r="R4974">
        <v>0.99714484346507803</v>
      </c>
      <c r="S4974" t="s">
        <v>11426</v>
      </c>
      <c r="T4974" t="s">
        <v>12902</v>
      </c>
      <c r="U4974" t="s">
        <v>12902</v>
      </c>
      <c r="V4974" t="s">
        <v>12902</v>
      </c>
      <c r="W4974" t="s">
        <v>17827</v>
      </c>
      <c r="X4974">
        <v>5</v>
      </c>
      <c r="Y4974" t="s">
        <v>24125</v>
      </c>
      <c r="Z4974" t="s">
        <v>30549</v>
      </c>
      <c r="AA4974">
        <v>0.56515576983613369</v>
      </c>
      <c r="AB4974" t="str">
        <f>HYPERLINK("Melting_Curves/meltCurve_Q96J01_THOC3.pdf", "Melting_Curves/meltCurve_Q96J01_THOC3.pdf")</f>
        <v>Melting_Curves/meltCurve_Q96J01_THOC3.pdf</v>
      </c>
    </row>
    <row r="4975" spans="1:28" x14ac:dyDescent="0.25">
      <c r="A4975" t="s">
        <v>4979</v>
      </c>
      <c r="B4975">
        <v>0.99673306730245903</v>
      </c>
      <c r="C4975">
        <v>0.95326439612222702</v>
      </c>
      <c r="D4975">
        <v>0.67804308457211704</v>
      </c>
      <c r="E4975">
        <v>0.35625274999897</v>
      </c>
      <c r="F4975">
        <v>0.18312320457728401</v>
      </c>
      <c r="G4975">
        <v>0.12990343131682999</v>
      </c>
      <c r="H4975">
        <v>9.5011847892668297E-2</v>
      </c>
      <c r="I4975">
        <v>8.4689982008723103E-2</v>
      </c>
      <c r="J4975">
        <v>8.3072038277777996E-2</v>
      </c>
      <c r="K4975">
        <v>7.3371300217385402E-2</v>
      </c>
      <c r="L4975">
        <v>1015.05996419588</v>
      </c>
      <c r="M4975">
        <v>21.3465622142283</v>
      </c>
      <c r="N4975">
        <v>47.976492423081702</v>
      </c>
      <c r="O4975">
        <v>47.140059143839501</v>
      </c>
      <c r="P4975">
        <v>-0.103457364726125</v>
      </c>
      <c r="Q4975">
        <v>8.6155122806700193E-2</v>
      </c>
      <c r="R4975">
        <v>0.99793776831084902</v>
      </c>
      <c r="S4975" t="s">
        <v>11427</v>
      </c>
      <c r="T4975" t="s">
        <v>12902</v>
      </c>
      <c r="U4975" t="s">
        <v>12902</v>
      </c>
      <c r="V4975" t="s">
        <v>12902</v>
      </c>
      <c r="W4975" t="s">
        <v>17828</v>
      </c>
      <c r="X4975">
        <v>5</v>
      </c>
      <c r="Y4975" t="s">
        <v>24126</v>
      </c>
      <c r="Z4975" t="s">
        <v>30550</v>
      </c>
      <c r="AA4975">
        <v>0.32758508640034772</v>
      </c>
      <c r="AB4975" t="str">
        <f>HYPERLINK("Melting_Curves/meltCurve_Q96J02_2_ITCH.pdf", "Melting_Curves/meltCurve_Q96J02_2_ITCH.pdf")</f>
        <v>Melting_Curves/meltCurve_Q96J02_2_ITCH.pdf</v>
      </c>
    </row>
    <row r="4976" spans="1:28" x14ac:dyDescent="0.25">
      <c r="A4976" t="s">
        <v>4980</v>
      </c>
      <c r="B4976">
        <v>0.99673306730245903</v>
      </c>
      <c r="C4976">
        <v>0.85618940252825204</v>
      </c>
      <c r="D4976">
        <v>0.85572501445163296</v>
      </c>
      <c r="E4976">
        <v>0.70052193528540196</v>
      </c>
      <c r="F4976">
        <v>0.60119543824895305</v>
      </c>
      <c r="G4976">
        <v>0.494101414095238</v>
      </c>
      <c r="H4976">
        <v>0.401062622866597</v>
      </c>
      <c r="I4976">
        <v>0.63060795535160397</v>
      </c>
      <c r="J4976">
        <v>0.38673155274646098</v>
      </c>
      <c r="K4976">
        <v>0.36215865497991101</v>
      </c>
      <c r="L4976">
        <v>531.79084689803506</v>
      </c>
      <c r="M4976">
        <v>10.668083029425899</v>
      </c>
      <c r="N4976">
        <v>58.205023920224903</v>
      </c>
      <c r="O4976">
        <v>48.192913388286897</v>
      </c>
      <c r="P4976">
        <v>-3.3665220833028101E-2</v>
      </c>
      <c r="Q4976">
        <v>0.39190222087401999</v>
      </c>
      <c r="R4976">
        <v>0.88675867041442902</v>
      </c>
      <c r="S4976" t="s">
        <v>11428</v>
      </c>
      <c r="T4976" t="s">
        <v>12902</v>
      </c>
      <c r="U4976" t="s">
        <v>12902</v>
      </c>
      <c r="V4976" t="s">
        <v>12902</v>
      </c>
      <c r="W4976" t="s">
        <v>17829</v>
      </c>
      <c r="X4976">
        <v>4</v>
      </c>
      <c r="Y4976" t="s">
        <v>24127</v>
      </c>
      <c r="Z4976" t="s">
        <v>30551</v>
      </c>
      <c r="AA4976">
        <v>0.61692451449239905</v>
      </c>
      <c r="AB4976" t="str">
        <f>HYPERLINK("Melting_Curves/meltCurve_Q96J92_3_WNK4.pdf", "Melting_Curves/meltCurve_Q96J92_3_WNK4.pdf")</f>
        <v>Melting_Curves/meltCurve_Q96J92_3_WNK4.pdf</v>
      </c>
    </row>
    <row r="4977" spans="1:28" x14ac:dyDescent="0.25">
      <c r="A4977" t="s">
        <v>4981</v>
      </c>
      <c r="B4977">
        <v>0.99673306730245903</v>
      </c>
      <c r="C4977">
        <v>0.809201581439422</v>
      </c>
      <c r="D4977">
        <v>0.88208971055630103</v>
      </c>
      <c r="E4977">
        <v>0.67864271489536998</v>
      </c>
      <c r="F4977">
        <v>0.46980695503411701</v>
      </c>
      <c r="G4977">
        <v>0.27135731872039898</v>
      </c>
      <c r="H4977">
        <v>0.19839909074418299</v>
      </c>
      <c r="I4977">
        <v>0.188141041565907</v>
      </c>
      <c r="J4977">
        <v>0.20817475202678801</v>
      </c>
      <c r="K4977">
        <v>0.178036319813276</v>
      </c>
      <c r="L4977">
        <v>694.35562623535304</v>
      </c>
      <c r="M4977">
        <v>13.6182061748747</v>
      </c>
      <c r="N4977">
        <v>52.2820878299787</v>
      </c>
      <c r="O4977">
        <v>49.925556840601402</v>
      </c>
      <c r="P4977">
        <v>-5.8440247755849897E-2</v>
      </c>
      <c r="Q4977">
        <v>0.143137837531954</v>
      </c>
      <c r="R4977">
        <v>0.97486414859489201</v>
      </c>
      <c r="S4977" t="s">
        <v>11429</v>
      </c>
      <c r="T4977" t="s">
        <v>12902</v>
      </c>
      <c r="U4977" t="s">
        <v>12902</v>
      </c>
      <c r="V4977" t="s">
        <v>12902</v>
      </c>
      <c r="W4977" t="s">
        <v>17830</v>
      </c>
      <c r="X4977">
        <v>5</v>
      </c>
      <c r="Y4977" t="s">
        <v>24128</v>
      </c>
      <c r="Z4977" t="s">
        <v>30552</v>
      </c>
      <c r="AA4977">
        <v>0.48009693463909497</v>
      </c>
      <c r="AB4977" t="str">
        <f>HYPERLINK("Melting_Curves/meltCurve_Q96JA1_LRIG1.pdf", "Melting_Curves/meltCurve_Q96JA1_LRIG1.pdf")</f>
        <v>Melting_Curves/meltCurve_Q96JA1_LRIG1.pdf</v>
      </c>
    </row>
    <row r="4978" spans="1:28" x14ac:dyDescent="0.25">
      <c r="A4978" t="s">
        <v>4982</v>
      </c>
      <c r="B4978">
        <v>0.99673306730245903</v>
      </c>
      <c r="C4978">
        <v>0.81195565768112599</v>
      </c>
      <c r="D4978">
        <v>0.48744915352512702</v>
      </c>
      <c r="E4978">
        <v>0.259440597614641</v>
      </c>
      <c r="F4978">
        <v>0.19286384884607699</v>
      </c>
      <c r="G4978">
        <v>0.11136873563174</v>
      </c>
      <c r="H4978">
        <v>7.1873164816052701E-2</v>
      </c>
      <c r="I4978">
        <v>5.5564752539019602E-2</v>
      </c>
      <c r="J4978">
        <v>5.9587398408248601E-2</v>
      </c>
      <c r="K4978">
        <v>5.63978879779422E-2</v>
      </c>
      <c r="L4978">
        <v>858.97729724780697</v>
      </c>
      <c r="M4978">
        <v>18.719200227683</v>
      </c>
      <c r="N4978">
        <v>46.265180739328002</v>
      </c>
      <c r="O4978">
        <v>45.3734356166906</v>
      </c>
      <c r="P4978">
        <v>-9.5835756979684106E-2</v>
      </c>
      <c r="Q4978">
        <v>7.0854820661782295E-2</v>
      </c>
      <c r="R4978">
        <v>0.99191112994764896</v>
      </c>
      <c r="S4978" t="s">
        <v>11430</v>
      </c>
      <c r="T4978" t="s">
        <v>12902</v>
      </c>
      <c r="U4978" t="s">
        <v>12902</v>
      </c>
      <c r="V4978" t="s">
        <v>12902</v>
      </c>
      <c r="W4978" t="s">
        <v>17831</v>
      </c>
      <c r="X4978">
        <v>13</v>
      </c>
      <c r="Y4978" t="s">
        <v>24129</v>
      </c>
      <c r="Z4978" t="s">
        <v>30553</v>
      </c>
      <c r="AA4978">
        <v>0.27004407222044491</v>
      </c>
      <c r="AB4978" t="str">
        <f>HYPERLINK("Melting_Curves/meltCurve_Q96JB2_COG3.pdf", "Melting_Curves/meltCurve_Q96JB2_COG3.pdf")</f>
        <v>Melting_Curves/meltCurve_Q96JB2_COG3.pdf</v>
      </c>
    </row>
    <row r="4979" spans="1:28" x14ac:dyDescent="0.25">
      <c r="A4979" t="s">
        <v>4983</v>
      </c>
      <c r="B4979">
        <v>0.99673306730245903</v>
      </c>
      <c r="C4979">
        <v>0.93809163972639098</v>
      </c>
      <c r="D4979">
        <v>0.98440909643383101</v>
      </c>
      <c r="E4979">
        <v>0.71341556184501798</v>
      </c>
      <c r="F4979">
        <v>0.517282301826955</v>
      </c>
      <c r="G4979">
        <v>0.29116856911669797</v>
      </c>
      <c r="H4979">
        <v>0.19315272216586099</v>
      </c>
      <c r="I4979">
        <v>0.13385725473011001</v>
      </c>
      <c r="J4979">
        <v>0.23806804353631</v>
      </c>
      <c r="K4979">
        <v>0.29689967674978601</v>
      </c>
      <c r="L4979">
        <v>1095.1497952254099</v>
      </c>
      <c r="M4979">
        <v>21.272292025949699</v>
      </c>
      <c r="N4979">
        <v>52.802559579990302</v>
      </c>
      <c r="O4979">
        <v>51.033965938248599</v>
      </c>
      <c r="P4979">
        <v>-8.2717633110028402E-2</v>
      </c>
      <c r="Q4979">
        <v>0.206234848252181</v>
      </c>
      <c r="R4979">
        <v>0.97649002733937995</v>
      </c>
      <c r="S4979" t="s">
        <v>11431</v>
      </c>
      <c r="T4979" t="s">
        <v>12902</v>
      </c>
      <c r="U4979" t="s">
        <v>12902</v>
      </c>
      <c r="V4979" t="s">
        <v>12902</v>
      </c>
      <c r="W4979" t="s">
        <v>17832</v>
      </c>
      <c r="X4979">
        <v>10</v>
      </c>
      <c r="Y4979" t="s">
        <v>24130</v>
      </c>
      <c r="Z4979" t="s">
        <v>30554</v>
      </c>
      <c r="AA4979">
        <v>0.5198633135050641</v>
      </c>
      <c r="AB4979" t="str">
        <f>HYPERLINK("Melting_Curves/meltCurve_Q96JB5_CDK5RAP3.pdf", "Melting_Curves/meltCurve_Q96JB5_CDK5RAP3.pdf")</f>
        <v>Melting_Curves/meltCurve_Q96JB5_CDK5RAP3.pdf</v>
      </c>
    </row>
    <row r="4980" spans="1:28" x14ac:dyDescent="0.25">
      <c r="A4980" t="s">
        <v>4984</v>
      </c>
      <c r="B4980">
        <v>0.99673306730245903</v>
      </c>
      <c r="C4980">
        <v>0.96095688891250297</v>
      </c>
      <c r="D4980">
        <v>0.81928750466994005</v>
      </c>
      <c r="E4980">
        <v>0.50127873297095304</v>
      </c>
      <c r="F4980">
        <v>0.27009852950729202</v>
      </c>
      <c r="G4980">
        <v>0.13630259953978999</v>
      </c>
      <c r="H4980">
        <v>6.5753983536807198E-2</v>
      </c>
      <c r="I4980">
        <v>6.1363126649701498E-2</v>
      </c>
      <c r="J4980">
        <v>3.59867467425306E-2</v>
      </c>
      <c r="K4980">
        <v>3.2186795580492998E-2</v>
      </c>
      <c r="L4980">
        <v>892.55306589885095</v>
      </c>
      <c r="M4980">
        <v>17.981566562905002</v>
      </c>
      <c r="N4980">
        <v>49.840684386521701</v>
      </c>
      <c r="O4980">
        <v>49.035430314882497</v>
      </c>
      <c r="P4980">
        <v>-8.8434895463310501E-2</v>
      </c>
      <c r="Q4980">
        <v>3.5406074804995503E-2</v>
      </c>
      <c r="R4980">
        <v>0.99913815939900297</v>
      </c>
      <c r="S4980" t="s">
        <v>11432</v>
      </c>
      <c r="T4980" t="s">
        <v>12902</v>
      </c>
      <c r="U4980" t="s">
        <v>12902</v>
      </c>
      <c r="V4980" t="s">
        <v>12902</v>
      </c>
      <c r="W4980" t="s">
        <v>17833</v>
      </c>
      <c r="X4980">
        <v>5</v>
      </c>
      <c r="Y4980" t="s">
        <v>24131</v>
      </c>
      <c r="Z4980" t="s">
        <v>30555</v>
      </c>
      <c r="AA4980">
        <v>0.36183449218645758</v>
      </c>
      <c r="AB4980" t="str">
        <f>HYPERLINK("Melting_Curves/meltCurve_Q96JC1_2_VPS39.pdf", "Melting_Curves/meltCurve_Q96JC1_2_VPS39.pdf")</f>
        <v>Melting_Curves/meltCurve_Q96JC1_2_VPS39.pdf</v>
      </c>
    </row>
    <row r="4981" spans="1:28" x14ac:dyDescent="0.25">
      <c r="A4981" t="s">
        <v>4985</v>
      </c>
      <c r="B4981">
        <v>0.99673306730245903</v>
      </c>
      <c r="C4981">
        <v>0.924648429226545</v>
      </c>
      <c r="D4981">
        <v>0.762949327522913</v>
      </c>
      <c r="E4981">
        <v>0.62152624523155797</v>
      </c>
      <c r="F4981">
        <v>0.53698257264677396</v>
      </c>
      <c r="G4981">
        <v>0.52350214764566005</v>
      </c>
      <c r="H4981">
        <v>0.41695198099511299</v>
      </c>
      <c r="I4981">
        <v>0.668648474995581</v>
      </c>
      <c r="J4981">
        <v>0.92696125149720898</v>
      </c>
      <c r="K4981">
        <v>1.0121245764170499</v>
      </c>
      <c r="L4981">
        <v>1700.4171292589399</v>
      </c>
      <c r="M4981">
        <v>38.234584713335401</v>
      </c>
      <c r="O4981">
        <v>44.352140166406997</v>
      </c>
      <c r="P4981">
        <v>-7.0409125376872495E-2</v>
      </c>
      <c r="Q4981">
        <v>0.67330232603185403</v>
      </c>
      <c r="R4981">
        <v>0.31157610479690201</v>
      </c>
      <c r="S4981" t="s">
        <v>11433</v>
      </c>
      <c r="T4981" t="s">
        <v>12902</v>
      </c>
      <c r="U4981" t="s">
        <v>12902</v>
      </c>
      <c r="V4981" t="s">
        <v>12902</v>
      </c>
      <c r="W4981" t="s">
        <v>17834</v>
      </c>
      <c r="X4981">
        <v>4</v>
      </c>
      <c r="Y4981" t="s">
        <v>24132</v>
      </c>
      <c r="Z4981" t="s">
        <v>30556</v>
      </c>
      <c r="AA4981">
        <v>0.72325153906132589</v>
      </c>
      <c r="AB4981" t="str">
        <f>HYPERLINK("Melting_Curves/meltCurve_Q96JC9_EAF1.pdf", "Melting_Curves/meltCurve_Q96JC9_EAF1.pdf")</f>
        <v>Melting_Curves/meltCurve_Q96JC9_EAF1.pdf</v>
      </c>
    </row>
    <row r="4982" spans="1:28" x14ac:dyDescent="0.25">
      <c r="A4982" t="s">
        <v>4986</v>
      </c>
      <c r="B4982">
        <v>0.99673306730245903</v>
      </c>
      <c r="C4982">
        <v>0.84135653712628999</v>
      </c>
      <c r="D4982">
        <v>0.76078576274279697</v>
      </c>
      <c r="E4982">
        <v>0.49776974729492501</v>
      </c>
      <c r="F4982">
        <v>0.14472561963731101</v>
      </c>
      <c r="G4982">
        <v>6.5076811409318702E-2</v>
      </c>
      <c r="H4982">
        <v>4.2046265246422403E-2</v>
      </c>
      <c r="I4982">
        <v>4.2074670016584999E-2</v>
      </c>
      <c r="J4982">
        <v>3.2417264790062399E-2</v>
      </c>
      <c r="K4982">
        <v>3.04099219786578E-2</v>
      </c>
      <c r="L4982">
        <v>862.76852595630396</v>
      </c>
      <c r="M4982">
        <v>17.661451555014199</v>
      </c>
      <c r="N4982">
        <v>48.920069393902502</v>
      </c>
      <c r="O4982">
        <v>48.2370055633777</v>
      </c>
      <c r="P4982">
        <v>-9.0402326493844401E-2</v>
      </c>
      <c r="Q4982">
        <v>1.2424117180902401E-2</v>
      </c>
      <c r="R4982">
        <v>0.98952677165158998</v>
      </c>
      <c r="S4982" t="s">
        <v>11434</v>
      </c>
      <c r="T4982" t="s">
        <v>12902</v>
      </c>
      <c r="U4982" t="s">
        <v>12902</v>
      </c>
      <c r="V4982" t="s">
        <v>12902</v>
      </c>
      <c r="W4982" t="s">
        <v>17835</v>
      </c>
      <c r="X4982">
        <v>4</v>
      </c>
      <c r="Y4982" t="s">
        <v>24133</v>
      </c>
      <c r="Z4982" t="s">
        <v>30557</v>
      </c>
      <c r="AA4982">
        <v>0.3215922289740924</v>
      </c>
      <c r="AB4982" t="str">
        <f>HYPERLINK("Melting_Curves/meltCurve_Q96JG6_3_CCDC132.pdf", "Melting_Curves/meltCurve_Q96JG6_3_CCDC132.pdf")</f>
        <v>Melting_Curves/meltCurve_Q96JG6_3_CCDC132.pdf</v>
      </c>
    </row>
    <row r="4983" spans="1:28" x14ac:dyDescent="0.25">
      <c r="A4983" t="s">
        <v>4987</v>
      </c>
      <c r="B4983">
        <v>0.99673306730245903</v>
      </c>
      <c r="C4983">
        <v>0.65217097896378695</v>
      </c>
      <c r="D4983">
        <v>0.25851368043508</v>
      </c>
      <c r="E4983">
        <v>0.186988700151141</v>
      </c>
      <c r="F4983">
        <v>0.15009325682199601</v>
      </c>
      <c r="G4983">
        <v>0.103726713573027</v>
      </c>
      <c r="H4983">
        <v>7.4986860079507098E-2</v>
      </c>
      <c r="I4983">
        <v>5.0214189819782297E-2</v>
      </c>
      <c r="J4983">
        <v>5.2412771137227802E-2</v>
      </c>
      <c r="K4983">
        <v>5.3173589833344803E-2</v>
      </c>
      <c r="L4983">
        <v>1246.0416901887299</v>
      </c>
      <c r="M4983">
        <v>28.4789080660459</v>
      </c>
      <c r="N4983">
        <v>44.054022637774899</v>
      </c>
      <c r="O4983">
        <v>43.539113023149</v>
      </c>
      <c r="P4983">
        <v>-0.14907379929435099</v>
      </c>
      <c r="Q4983">
        <v>8.8379520888516097E-2</v>
      </c>
      <c r="R4983">
        <v>0.98262963619866395</v>
      </c>
      <c r="S4983" t="s">
        <v>11435</v>
      </c>
      <c r="T4983" t="s">
        <v>12902</v>
      </c>
      <c r="U4983" t="s">
        <v>12902</v>
      </c>
      <c r="V4983" t="s">
        <v>12902</v>
      </c>
      <c r="W4983" t="s">
        <v>17836</v>
      </c>
      <c r="X4983">
        <v>8</v>
      </c>
      <c r="Y4983" t="s">
        <v>24134</v>
      </c>
      <c r="Z4983" t="s">
        <v>30558</v>
      </c>
      <c r="AA4983">
        <v>0.21036494809211859</v>
      </c>
      <c r="AB4983" t="str">
        <f>HYPERLINK("Melting_Curves/meltCurve_Q96JH7_VCPIP1.pdf", "Melting_Curves/meltCurve_Q96JH7_VCPIP1.pdf")</f>
        <v>Melting_Curves/meltCurve_Q96JH7_VCPIP1.pdf</v>
      </c>
    </row>
    <row r="4984" spans="1:28" x14ac:dyDescent="0.25">
      <c r="A4984" t="s">
        <v>4988</v>
      </c>
      <c r="B4984">
        <v>0.99673306730245903</v>
      </c>
      <c r="C4984">
        <v>0.97419013429305501</v>
      </c>
      <c r="D4984">
        <v>0.948797663663285</v>
      </c>
      <c r="E4984">
        <v>0.82078057492107503</v>
      </c>
      <c r="F4984">
        <v>0.47052470353043702</v>
      </c>
      <c r="G4984">
        <v>0.22924256432754</v>
      </c>
      <c r="H4984">
        <v>0.12525861594394899</v>
      </c>
      <c r="I4984">
        <v>0.10464320452656201</v>
      </c>
      <c r="J4984">
        <v>0.106092504604602</v>
      </c>
      <c r="K4984">
        <v>9.0139852530973494E-2</v>
      </c>
      <c r="L4984">
        <v>1202.4000009425399</v>
      </c>
      <c r="M4984">
        <v>22.912282572635601</v>
      </c>
      <c r="N4984">
        <v>52.944943783021699</v>
      </c>
      <c r="O4984">
        <v>52.0835497242564</v>
      </c>
      <c r="P4984">
        <v>-9.9927188337998393E-2</v>
      </c>
      <c r="Q4984">
        <v>9.1410654645026096E-2</v>
      </c>
      <c r="R4984">
        <v>0.99934971282986895</v>
      </c>
      <c r="S4984" t="s">
        <v>11436</v>
      </c>
      <c r="T4984" t="s">
        <v>12902</v>
      </c>
      <c r="U4984" t="s">
        <v>12902</v>
      </c>
      <c r="V4984" t="s">
        <v>12902</v>
      </c>
      <c r="W4984" t="s">
        <v>17837</v>
      </c>
      <c r="X4984">
        <v>11</v>
      </c>
      <c r="Y4984" t="s">
        <v>24135</v>
      </c>
      <c r="Z4984" t="s">
        <v>30559</v>
      </c>
      <c r="AA4984">
        <v>0.47914993055486482</v>
      </c>
      <c r="AB4984" t="str">
        <f>HYPERLINK("Melting_Curves/meltCurve_Q96JJ7_TMX3.pdf", "Melting_Curves/meltCurve_Q96JJ7_TMX3.pdf")</f>
        <v>Melting_Curves/meltCurve_Q96JJ7_TMX3.pdf</v>
      </c>
    </row>
    <row r="4985" spans="1:28" x14ac:dyDescent="0.25">
      <c r="A4985" t="s">
        <v>4989</v>
      </c>
      <c r="B4985">
        <v>0.99673306730245903</v>
      </c>
      <c r="C4985">
        <v>0.941674999210663</v>
      </c>
      <c r="D4985">
        <v>0.94652358889163801</v>
      </c>
      <c r="E4985">
        <v>0.83530927673492805</v>
      </c>
      <c r="F4985">
        <v>0.69003688243494299</v>
      </c>
      <c r="G4985">
        <v>0.53603344185747404</v>
      </c>
      <c r="H4985">
        <v>0.49336559980244998</v>
      </c>
      <c r="I4985">
        <v>0.56612578846806605</v>
      </c>
      <c r="J4985">
        <v>1.0372261506231999</v>
      </c>
      <c r="K4985">
        <v>0.99156258313512102</v>
      </c>
      <c r="L4985">
        <v>1825.1742772807199</v>
      </c>
      <c r="M4985">
        <v>37.506808505937698</v>
      </c>
      <c r="O4985">
        <v>48.524764091292198</v>
      </c>
      <c r="P4985">
        <v>-5.4198579319656597E-2</v>
      </c>
      <c r="Q4985">
        <v>0.71952119483927901</v>
      </c>
      <c r="R4985">
        <v>0.28406663896419299</v>
      </c>
      <c r="S4985" t="s">
        <v>11437</v>
      </c>
      <c r="T4985" t="s">
        <v>12902</v>
      </c>
      <c r="U4985" t="s">
        <v>12902</v>
      </c>
      <c r="V4985" t="s">
        <v>12902</v>
      </c>
      <c r="W4985" t="s">
        <v>17838</v>
      </c>
      <c r="X4985">
        <v>3</v>
      </c>
      <c r="Y4985" t="s">
        <v>24136</v>
      </c>
      <c r="Z4985" t="s">
        <v>30560</v>
      </c>
      <c r="AA4985">
        <v>0.80158595579751857</v>
      </c>
      <c r="AB4985" t="str">
        <f>HYPERLINK("Melting_Curves/meltCurve_Q96JK9_MAML3.pdf", "Melting_Curves/meltCurve_Q96JK9_MAML3.pdf")</f>
        <v>Melting_Curves/meltCurve_Q96JK9_MAML3.pdf</v>
      </c>
    </row>
    <row r="4986" spans="1:28" x14ac:dyDescent="0.25">
      <c r="A4986" t="s">
        <v>4990</v>
      </c>
      <c r="B4986">
        <v>0.99673306730245903</v>
      </c>
      <c r="C4986">
        <v>0.79454419619865402</v>
      </c>
      <c r="D4986">
        <v>0.60774672592999102</v>
      </c>
      <c r="E4986">
        <v>0.37755705433492598</v>
      </c>
      <c r="F4986">
        <v>0.219671487055561</v>
      </c>
      <c r="G4986">
        <v>0.14915243874439299</v>
      </c>
      <c r="H4986">
        <v>0.104586349685028</v>
      </c>
      <c r="I4986">
        <v>0.122924709137208</v>
      </c>
      <c r="J4986">
        <v>0.19588022488502399</v>
      </c>
      <c r="K4986">
        <v>0.27010148419173002</v>
      </c>
      <c r="L4986">
        <v>847.56926340753296</v>
      </c>
      <c r="M4986">
        <v>18.3388152680925</v>
      </c>
      <c r="N4986">
        <v>47.223886843147199</v>
      </c>
      <c r="O4986">
        <v>45.678190342518299</v>
      </c>
      <c r="P4986">
        <v>-8.4135645234991202E-2</v>
      </c>
      <c r="Q4986">
        <v>0.16178056647622499</v>
      </c>
      <c r="R4986">
        <v>0.9712812659069</v>
      </c>
      <c r="S4986" t="s">
        <v>11438</v>
      </c>
      <c r="T4986" t="s">
        <v>12902</v>
      </c>
      <c r="U4986" t="s">
        <v>12902</v>
      </c>
      <c r="V4986" t="s">
        <v>12902</v>
      </c>
      <c r="W4986" t="s">
        <v>17839</v>
      </c>
      <c r="X4986">
        <v>9</v>
      </c>
      <c r="Y4986" t="s">
        <v>24137</v>
      </c>
      <c r="Z4986" t="s">
        <v>30561</v>
      </c>
      <c r="AA4986">
        <v>0.35102908448979192</v>
      </c>
      <c r="AB4986" t="str">
        <f>HYPERLINK("Melting_Curves/meltCurve_Q96JM3_CHAMP1.pdf", "Melting_Curves/meltCurve_Q96JM3_CHAMP1.pdf")</f>
        <v>Melting_Curves/meltCurve_Q96JM3_CHAMP1.pdf</v>
      </c>
    </row>
    <row r="4987" spans="1:28" x14ac:dyDescent="0.25">
      <c r="A4987" t="s">
        <v>4991</v>
      </c>
      <c r="B4987">
        <v>0.99673306730245903</v>
      </c>
      <c r="C4987">
        <v>0.55246811225817904</v>
      </c>
      <c r="D4987">
        <v>0.26581077550788201</v>
      </c>
      <c r="E4987">
        <v>0.17471000956365301</v>
      </c>
      <c r="F4987">
        <v>0.142254997788723</v>
      </c>
      <c r="G4987">
        <v>9.5336114098498695E-2</v>
      </c>
      <c r="H4987">
        <v>3.44955646849592E-2</v>
      </c>
      <c r="I4987">
        <v>3.6931112825047401E-2</v>
      </c>
      <c r="J4987">
        <v>5.4929153390772499E-2</v>
      </c>
      <c r="K4987">
        <v>1.7318132310540298E-2</v>
      </c>
      <c r="L4987">
        <v>1104.51417965271</v>
      </c>
      <c r="M4987">
        <v>25.431633237881101</v>
      </c>
      <c r="N4987">
        <v>43.6954606445507</v>
      </c>
      <c r="O4987">
        <v>43.164858429728199</v>
      </c>
      <c r="P4987">
        <v>-0.13677889154091799</v>
      </c>
      <c r="Q4987">
        <v>7.1397901468129493E-2</v>
      </c>
      <c r="R4987">
        <v>0.97018253296877799</v>
      </c>
      <c r="S4987" t="s">
        <v>11439</v>
      </c>
      <c r="T4987" t="s">
        <v>12902</v>
      </c>
      <c r="U4987" t="s">
        <v>12902</v>
      </c>
      <c r="V4987" t="s">
        <v>12902</v>
      </c>
      <c r="W4987" t="s">
        <v>17840</v>
      </c>
      <c r="X4987">
        <v>2</v>
      </c>
      <c r="Y4987" t="s">
        <v>24138</v>
      </c>
      <c r="Z4987" t="s">
        <v>30562</v>
      </c>
      <c r="AA4987">
        <v>0.1890462952782449</v>
      </c>
      <c r="AB4987" t="str">
        <f>HYPERLINK("Melting_Curves/meltCurve_Q96JM7_2_L3MBTL3.pdf", "Melting_Curves/meltCurve_Q96JM7_2_L3MBTL3.pdf")</f>
        <v>Melting_Curves/meltCurve_Q96JM7_2_L3MBTL3.pdf</v>
      </c>
    </row>
    <row r="4988" spans="1:28" x14ac:dyDescent="0.25">
      <c r="A4988" t="s">
        <v>4992</v>
      </c>
      <c r="B4988">
        <v>0.99673306730245903</v>
      </c>
      <c r="C4988">
        <v>0.97584695699940405</v>
      </c>
      <c r="D4988">
        <v>0.85613045312068403</v>
      </c>
      <c r="E4988">
        <v>0.60394073461665998</v>
      </c>
      <c r="F4988">
        <v>0.40371987368639201</v>
      </c>
      <c r="G4988">
        <v>0.25519633256602597</v>
      </c>
      <c r="H4988">
        <v>0.18276611531232201</v>
      </c>
      <c r="I4988">
        <v>0.18723550790093699</v>
      </c>
      <c r="J4988">
        <v>0.245734437653258</v>
      </c>
      <c r="K4988">
        <v>0.216826668105148</v>
      </c>
      <c r="L4988">
        <v>959.15535431135402</v>
      </c>
      <c r="M4988">
        <v>19.2746326907262</v>
      </c>
      <c r="N4988">
        <v>51.108210135293803</v>
      </c>
      <c r="O4988">
        <v>49.236200451283302</v>
      </c>
      <c r="P4988">
        <v>-7.8395752777153799E-2</v>
      </c>
      <c r="Q4988">
        <v>0.19899602355628401</v>
      </c>
      <c r="R4988">
        <v>0.99506830431845505</v>
      </c>
      <c r="S4988" t="s">
        <v>11440</v>
      </c>
      <c r="T4988" t="s">
        <v>12902</v>
      </c>
      <c r="U4988" t="s">
        <v>12902</v>
      </c>
      <c r="V4988" t="s">
        <v>12902</v>
      </c>
      <c r="W4988" t="s">
        <v>17841</v>
      </c>
      <c r="X4988">
        <v>7</v>
      </c>
      <c r="Y4988" t="s">
        <v>24139</v>
      </c>
      <c r="Z4988" t="s">
        <v>30563</v>
      </c>
      <c r="AA4988">
        <v>0.47165967157178812</v>
      </c>
      <c r="AB4988" t="str">
        <f>HYPERLINK("Melting_Curves/meltCurve_Q96JP5_ZFP91.pdf", "Melting_Curves/meltCurve_Q96JP5_ZFP91.pdf")</f>
        <v>Melting_Curves/meltCurve_Q96JP5_ZFP91.pdf</v>
      </c>
    </row>
    <row r="4989" spans="1:28" x14ac:dyDescent="0.25">
      <c r="A4989" t="s">
        <v>4993</v>
      </c>
      <c r="B4989">
        <v>0.99673306730245903</v>
      </c>
      <c r="C4989">
        <v>1.1488328210982399</v>
      </c>
      <c r="D4989">
        <v>0.97173348094189704</v>
      </c>
      <c r="E4989">
        <v>0.76986975987302497</v>
      </c>
      <c r="F4989">
        <v>0.69127628373880401</v>
      </c>
      <c r="G4989">
        <v>0.48274685462333999</v>
      </c>
      <c r="H4989">
        <v>0.38133689544579302</v>
      </c>
      <c r="I4989">
        <v>0.47321693085623101</v>
      </c>
      <c r="J4989">
        <v>0.74076102940731203</v>
      </c>
      <c r="K4989">
        <v>0.686704568836353</v>
      </c>
      <c r="L4989">
        <v>1534.4162602264601</v>
      </c>
      <c r="M4989">
        <v>30.789735212216399</v>
      </c>
      <c r="O4989">
        <v>49.626511442068001</v>
      </c>
      <c r="P4989">
        <v>-6.7957233498972605E-2</v>
      </c>
      <c r="Q4989">
        <v>0.56187208634932995</v>
      </c>
      <c r="R4989">
        <v>0.77448353667440795</v>
      </c>
      <c r="S4989" t="s">
        <v>11441</v>
      </c>
      <c r="T4989" t="s">
        <v>12902</v>
      </c>
      <c r="U4989" t="s">
        <v>12902</v>
      </c>
      <c r="V4989" t="s">
        <v>12902</v>
      </c>
      <c r="W4989" t="s">
        <v>17842</v>
      </c>
      <c r="X4989">
        <v>4</v>
      </c>
      <c r="Y4989" t="s">
        <v>19841</v>
      </c>
      <c r="Z4989" t="s">
        <v>30564</v>
      </c>
      <c r="AA4989">
        <v>0.70807369614285576</v>
      </c>
      <c r="AB4989" t="str">
        <f>HYPERLINK("Melting_Curves/meltCurve_Q96K17_2_BTF3L4.pdf", "Melting_Curves/meltCurve_Q96K17_2_BTF3L4.pdf")</f>
        <v>Melting_Curves/meltCurve_Q96K17_2_BTF3L4.pdf</v>
      </c>
    </row>
    <row r="4990" spans="1:28" x14ac:dyDescent="0.25">
      <c r="A4990" t="s">
        <v>4994</v>
      </c>
      <c r="B4990">
        <v>0.99673306730245903</v>
      </c>
      <c r="C4990">
        <v>0.97277386694407697</v>
      </c>
      <c r="D4990">
        <v>0.95030972710707995</v>
      </c>
      <c r="E4990">
        <v>0.71066973310135295</v>
      </c>
      <c r="F4990">
        <v>0.54730222338984202</v>
      </c>
      <c r="G4990">
        <v>0.33966655409831698</v>
      </c>
      <c r="H4990">
        <v>0.247717886394624</v>
      </c>
      <c r="I4990">
        <v>0.232021065303089</v>
      </c>
      <c r="J4990">
        <v>0.29177286042026102</v>
      </c>
      <c r="K4990">
        <v>0.216129741340395</v>
      </c>
      <c r="L4990">
        <v>929.10444404398504</v>
      </c>
      <c r="M4990">
        <v>18.0072599881067</v>
      </c>
      <c r="N4990">
        <v>53.380485743675301</v>
      </c>
      <c r="O4990">
        <v>50.972410988497003</v>
      </c>
      <c r="P4990">
        <v>-6.8350875620095203E-2</v>
      </c>
      <c r="Q4990">
        <v>0.226126059653913</v>
      </c>
      <c r="R4990">
        <v>0.99202034218826396</v>
      </c>
      <c r="S4990" t="s">
        <v>11442</v>
      </c>
      <c r="T4990" t="s">
        <v>12902</v>
      </c>
      <c r="U4990" t="s">
        <v>12902</v>
      </c>
      <c r="V4990" t="s">
        <v>12902</v>
      </c>
      <c r="W4990" t="s">
        <v>17843</v>
      </c>
      <c r="X4990">
        <v>4</v>
      </c>
      <c r="Y4990" t="s">
        <v>24140</v>
      </c>
      <c r="Z4990" t="s">
        <v>30565</v>
      </c>
      <c r="AA4990">
        <v>0.53819402531446692</v>
      </c>
      <c r="AB4990" t="str">
        <f>HYPERLINK("Melting_Curves/meltCurve_Q96K19_2_RNF170.pdf", "Melting_Curves/meltCurve_Q96K19_2_RNF170.pdf")</f>
        <v>Melting_Curves/meltCurve_Q96K19_2_RNF170.pdf</v>
      </c>
    </row>
    <row r="4991" spans="1:28" x14ac:dyDescent="0.25">
      <c r="A4991" t="s">
        <v>4995</v>
      </c>
      <c r="B4991">
        <v>0.99673306730245903</v>
      </c>
      <c r="C4991">
        <v>1.0047950089640201</v>
      </c>
      <c r="D4991">
        <v>0.99186328303181703</v>
      </c>
      <c r="E4991">
        <v>0.86402758669550395</v>
      </c>
      <c r="F4991">
        <v>0.83847591258569398</v>
      </c>
      <c r="G4991">
        <v>0.71523079181133697</v>
      </c>
      <c r="H4991">
        <v>0.71762346438542801</v>
      </c>
      <c r="I4991">
        <v>1.20805294479521</v>
      </c>
      <c r="J4991">
        <v>1.71530353187147</v>
      </c>
      <c r="K4991">
        <v>2.02945860781203</v>
      </c>
      <c r="L4991">
        <v>15000</v>
      </c>
      <c r="M4991">
        <v>234.03639320695399</v>
      </c>
      <c r="O4991">
        <v>64.087915982323096</v>
      </c>
      <c r="P4991">
        <v>0.45647527706630803</v>
      </c>
      <c r="Q4991">
        <v>1.5</v>
      </c>
      <c r="R4991">
        <v>0.68754203074784004</v>
      </c>
      <c r="S4991" t="s">
        <v>11443</v>
      </c>
      <c r="T4991" t="s">
        <v>12902</v>
      </c>
      <c r="U4991" t="s">
        <v>12902</v>
      </c>
      <c r="V4991" t="s">
        <v>12902</v>
      </c>
      <c r="W4991" t="s">
        <v>17844</v>
      </c>
      <c r="X4991">
        <v>1</v>
      </c>
      <c r="Y4991" t="s">
        <v>24141</v>
      </c>
      <c r="Z4991" t="s">
        <v>30566</v>
      </c>
      <c r="AA4991">
        <v>1.098392556505428</v>
      </c>
      <c r="AB4991" t="str">
        <f>HYPERLINK("Melting_Curves/meltCurve_Q96K80_ZC3H10.pdf", "Melting_Curves/meltCurve_Q96K80_ZC3H10.pdf")</f>
        <v>Melting_Curves/meltCurve_Q96K80_ZC3H10.pdf</v>
      </c>
    </row>
    <row r="4992" spans="1:28" x14ac:dyDescent="0.25">
      <c r="A4992" t="s">
        <v>4996</v>
      </c>
      <c r="B4992">
        <v>0.99673306730245903</v>
      </c>
      <c r="C4992">
        <v>0.94556499967695196</v>
      </c>
      <c r="D4992">
        <v>0.85427866683138398</v>
      </c>
      <c r="E4992">
        <v>0.68540122215856503</v>
      </c>
      <c r="F4992">
        <v>0.36143091911563902</v>
      </c>
      <c r="G4992">
        <v>0.22368549255318201</v>
      </c>
      <c r="H4992">
        <v>0.12836927150357</v>
      </c>
      <c r="I4992">
        <v>9.9655838956263898E-2</v>
      </c>
      <c r="J4992">
        <v>9.3955641975634205E-2</v>
      </c>
      <c r="K4992">
        <v>8.6367789724116101E-2</v>
      </c>
      <c r="L4992">
        <v>862.64281790918199</v>
      </c>
      <c r="M4992">
        <v>16.887299043338</v>
      </c>
      <c r="N4992">
        <v>51.566946864506697</v>
      </c>
      <c r="O4992">
        <v>50.3821667200367</v>
      </c>
      <c r="P4992">
        <v>-7.7652535796789504E-2</v>
      </c>
      <c r="Q4992">
        <v>7.3373512344783995E-2</v>
      </c>
      <c r="R4992">
        <v>0.99789210747546897</v>
      </c>
      <c r="S4992" t="s">
        <v>11444</v>
      </c>
      <c r="T4992" t="s">
        <v>12902</v>
      </c>
      <c r="U4992" t="s">
        <v>12902</v>
      </c>
      <c r="V4992" t="s">
        <v>12902</v>
      </c>
      <c r="W4992" t="s">
        <v>17845</v>
      </c>
      <c r="X4992">
        <v>13</v>
      </c>
      <c r="Y4992" t="s">
        <v>24142</v>
      </c>
      <c r="Z4992" t="s">
        <v>30567</v>
      </c>
      <c r="AA4992">
        <v>0.43314484468476089</v>
      </c>
      <c r="AB4992" t="str">
        <f>HYPERLINK("Melting_Curves/meltCurve_Q96KA5_2_CLPTM1L.pdf", "Melting_Curves/meltCurve_Q96KA5_2_CLPTM1L.pdf")</f>
        <v>Melting_Curves/meltCurve_Q96KA5_2_CLPTM1L.pdf</v>
      </c>
    </row>
    <row r="4993" spans="1:28" x14ac:dyDescent="0.25">
      <c r="A4993" t="s">
        <v>4997</v>
      </c>
      <c r="B4993">
        <v>0.99673306730245903</v>
      </c>
      <c r="C4993">
        <v>0.93733295560734498</v>
      </c>
      <c r="D4993">
        <v>0.68216706110037595</v>
      </c>
      <c r="E4993">
        <v>0.26837995096653</v>
      </c>
      <c r="F4993">
        <v>0.18850424371635599</v>
      </c>
      <c r="G4993">
        <v>0.110372727976865</v>
      </c>
      <c r="H4993">
        <v>8.3499064131747805E-2</v>
      </c>
      <c r="I4993">
        <v>8.8736787885740798E-2</v>
      </c>
      <c r="J4993">
        <v>8.4516785348499601E-2</v>
      </c>
      <c r="K4993">
        <v>6.4729747013861097E-2</v>
      </c>
      <c r="L4993">
        <v>1176.6935870668699</v>
      </c>
      <c r="M4993">
        <v>24.971243965111402</v>
      </c>
      <c r="N4993">
        <v>47.494147933037503</v>
      </c>
      <c r="O4993">
        <v>46.8228817062434</v>
      </c>
      <c r="P4993">
        <v>-0.121481232464571</v>
      </c>
      <c r="Q4993">
        <v>8.8868433383776604E-2</v>
      </c>
      <c r="R4993">
        <v>0.99682721704240096</v>
      </c>
      <c r="S4993" t="s">
        <v>11445</v>
      </c>
      <c r="T4993" t="s">
        <v>12902</v>
      </c>
      <c r="U4993" t="s">
        <v>12902</v>
      </c>
      <c r="V4993" t="s">
        <v>12902</v>
      </c>
      <c r="W4993" t="s">
        <v>17846</v>
      </c>
      <c r="X4993">
        <v>10</v>
      </c>
      <c r="Y4993" t="s">
        <v>24143</v>
      </c>
      <c r="Z4993" t="s">
        <v>30568</v>
      </c>
      <c r="AA4993">
        <v>0.3133066515286918</v>
      </c>
      <c r="AB4993" t="str">
        <f>HYPERLINK("Melting_Curves/meltCurve_Q96KB5_PBK.pdf", "Melting_Curves/meltCurve_Q96KB5_PBK.pdf")</f>
        <v>Melting_Curves/meltCurve_Q96KB5_PBK.pdf</v>
      </c>
    </row>
    <row r="4994" spans="1:28" x14ac:dyDescent="0.25">
      <c r="A4994" t="s">
        <v>4998</v>
      </c>
      <c r="B4994">
        <v>0.99673306730245903</v>
      </c>
      <c r="C4994">
        <v>0.97411367829950302</v>
      </c>
      <c r="D4994">
        <v>0.96627513271696197</v>
      </c>
      <c r="E4994">
        <v>0.85840313868953</v>
      </c>
      <c r="F4994">
        <v>0.46352397606601797</v>
      </c>
      <c r="G4994">
        <v>0.18637570808052201</v>
      </c>
      <c r="H4994">
        <v>0.113482393305482</v>
      </c>
      <c r="I4994">
        <v>0.11527823162725601</v>
      </c>
      <c r="J4994">
        <v>0.14863237798555601</v>
      </c>
      <c r="K4994">
        <v>0.127979979312763</v>
      </c>
      <c r="L4994">
        <v>1581.5387496378401</v>
      </c>
      <c r="M4994">
        <v>30.2114536809699</v>
      </c>
      <c r="N4994">
        <v>52.831817716106301</v>
      </c>
      <c r="O4994">
        <v>52.1212145512105</v>
      </c>
      <c r="P4994">
        <v>-0.12742929400087799</v>
      </c>
      <c r="Q4994">
        <v>0.12063434548560401</v>
      </c>
      <c r="R4994">
        <v>0.99834230424551895</v>
      </c>
      <c r="S4994" t="s">
        <v>11446</v>
      </c>
      <c r="T4994" t="s">
        <v>12902</v>
      </c>
      <c r="U4994" t="s">
        <v>12902</v>
      </c>
      <c r="V4994" t="s">
        <v>12902</v>
      </c>
      <c r="W4994" t="s">
        <v>17847</v>
      </c>
      <c r="X4994">
        <v>9</v>
      </c>
      <c r="Y4994" t="s">
        <v>24144</v>
      </c>
      <c r="Z4994" t="s">
        <v>30569</v>
      </c>
      <c r="AA4994">
        <v>0.48818087205928251</v>
      </c>
      <c r="AB4994" t="str">
        <f>HYPERLINK("Melting_Curves/meltCurve_Q96KC8_DNAJC1.pdf", "Melting_Curves/meltCurve_Q96KC8_DNAJC1.pdf")</f>
        <v>Melting_Curves/meltCurve_Q96KC8_DNAJC1.pdf</v>
      </c>
    </row>
    <row r="4995" spans="1:28" x14ac:dyDescent="0.25">
      <c r="A4995" t="s">
        <v>4999</v>
      </c>
      <c r="B4995">
        <v>0.99673306730245903</v>
      </c>
      <c r="C4995">
        <v>0.99023253974551395</v>
      </c>
      <c r="D4995">
        <v>0.93774580517318495</v>
      </c>
      <c r="E4995">
        <v>0.73610978256182802</v>
      </c>
      <c r="F4995">
        <v>0.30880491692133</v>
      </c>
      <c r="G4995">
        <v>0.147735850229049</v>
      </c>
      <c r="H4995">
        <v>9.4260261759127398E-2</v>
      </c>
      <c r="I4995">
        <v>8.9324023546239806E-2</v>
      </c>
      <c r="J4995">
        <v>0.10008443135265301</v>
      </c>
      <c r="K4995">
        <v>8.3513515065149604E-2</v>
      </c>
      <c r="L4995">
        <v>1415.7081846820499</v>
      </c>
      <c r="M4995">
        <v>27.701900886625602</v>
      </c>
      <c r="N4995">
        <v>51.465628125215801</v>
      </c>
      <c r="O4995">
        <v>50.841000930139998</v>
      </c>
      <c r="P4995">
        <v>-0.124205406049401</v>
      </c>
      <c r="Q4995">
        <v>8.8196770550663703E-2</v>
      </c>
      <c r="R4995">
        <v>0.99940084562457399</v>
      </c>
      <c r="S4995" t="s">
        <v>11447</v>
      </c>
      <c r="T4995" t="s">
        <v>12902</v>
      </c>
      <c r="U4995" t="s">
        <v>12902</v>
      </c>
      <c r="V4995" t="s">
        <v>12902</v>
      </c>
      <c r="W4995" t="s">
        <v>17848</v>
      </c>
      <c r="X4995">
        <v>22</v>
      </c>
      <c r="Y4995" t="s">
        <v>24145</v>
      </c>
      <c r="Z4995" t="s">
        <v>30570</v>
      </c>
      <c r="AA4995">
        <v>0.43245121414052651</v>
      </c>
      <c r="AB4995" t="str">
        <f>HYPERLINK("Melting_Curves/meltCurve_Q96KN1_FAM84B.pdf", "Melting_Curves/meltCurve_Q96KN1_FAM84B.pdf")</f>
        <v>Melting_Curves/meltCurve_Q96KN1_FAM84B.pdf</v>
      </c>
    </row>
    <row r="4996" spans="1:28" x14ac:dyDescent="0.25">
      <c r="A4996" t="s">
        <v>5000</v>
      </c>
      <c r="B4996">
        <v>0.99673306730245903</v>
      </c>
      <c r="C4996">
        <v>0.88863344793648003</v>
      </c>
      <c r="D4996">
        <v>0.78988231660838304</v>
      </c>
      <c r="E4996">
        <v>0.31691401549903597</v>
      </c>
      <c r="F4996">
        <v>0.160891338117642</v>
      </c>
      <c r="G4996">
        <v>9.5486448285848902E-2</v>
      </c>
      <c r="H4996">
        <v>5.7679468861491799E-2</v>
      </c>
      <c r="I4996">
        <v>5.1646855552558601E-2</v>
      </c>
      <c r="J4996">
        <v>5.5111293286433001E-2</v>
      </c>
      <c r="K4996">
        <v>4.8046003090588998E-2</v>
      </c>
      <c r="L4996">
        <v>1143.46888171469</v>
      </c>
      <c r="M4996">
        <v>23.845575039507199</v>
      </c>
      <c r="N4996">
        <v>48.193707104155301</v>
      </c>
      <c r="O4996">
        <v>47.619652483721403</v>
      </c>
      <c r="P4996">
        <v>-0.11816340104413101</v>
      </c>
      <c r="Q4996">
        <v>5.6125286396417597E-2</v>
      </c>
      <c r="R4996">
        <v>0.99473466222416895</v>
      </c>
      <c r="S4996" t="s">
        <v>11448</v>
      </c>
      <c r="T4996" t="s">
        <v>12902</v>
      </c>
      <c r="U4996" t="s">
        <v>12902</v>
      </c>
      <c r="V4996" t="s">
        <v>12902</v>
      </c>
      <c r="W4996" t="s">
        <v>17849</v>
      </c>
      <c r="X4996">
        <v>7</v>
      </c>
      <c r="Y4996" t="s">
        <v>24146</v>
      </c>
      <c r="Z4996" t="s">
        <v>30571</v>
      </c>
      <c r="AA4996">
        <v>0.31557663987388002</v>
      </c>
      <c r="AB4996" t="str">
        <f>HYPERLINK("Melting_Curves/meltCurve_Q96KP1_EXOC2.pdf", "Melting_Curves/meltCurve_Q96KP1_EXOC2.pdf")</f>
        <v>Melting_Curves/meltCurve_Q96KP1_EXOC2.pdf</v>
      </c>
    </row>
    <row r="4997" spans="1:28" x14ac:dyDescent="0.25">
      <c r="A4997" t="s">
        <v>5001</v>
      </c>
      <c r="B4997">
        <v>0.99673306730245903</v>
      </c>
      <c r="C4997">
        <v>1.00484437767054</v>
      </c>
      <c r="D4997">
        <v>1.03113951014396</v>
      </c>
      <c r="E4997">
        <v>0.90517337894195404</v>
      </c>
      <c r="F4997">
        <v>0.97691025297822098</v>
      </c>
      <c r="G4997">
        <v>0.88644373836175305</v>
      </c>
      <c r="H4997">
        <v>0.70296087513584604</v>
      </c>
      <c r="I4997">
        <v>0.75375807562251795</v>
      </c>
      <c r="J4997">
        <v>0.74234690240497903</v>
      </c>
      <c r="K4997">
        <v>0.553469737186158</v>
      </c>
      <c r="L4997">
        <v>506.55989731675101</v>
      </c>
      <c r="M4997">
        <v>7.26543098356517</v>
      </c>
      <c r="O4997">
        <v>65.021806791711498</v>
      </c>
      <c r="P4997">
        <v>-2.2034095466690301E-2</v>
      </c>
      <c r="Q4997">
        <v>0.21249890974325999</v>
      </c>
      <c r="R4997">
        <v>0.88252880686611901</v>
      </c>
      <c r="S4997" t="s">
        <v>11449</v>
      </c>
      <c r="T4997" t="s">
        <v>12902</v>
      </c>
      <c r="U4997" t="s">
        <v>12902</v>
      </c>
      <c r="V4997" t="s">
        <v>12902</v>
      </c>
      <c r="W4997" t="s">
        <v>17850</v>
      </c>
      <c r="X4997">
        <v>35</v>
      </c>
      <c r="Y4997" t="s">
        <v>24147</v>
      </c>
      <c r="Z4997" t="s">
        <v>30572</v>
      </c>
      <c r="AA4997">
        <v>0.86227003999605722</v>
      </c>
      <c r="AB4997" t="str">
        <f>HYPERLINK("Melting_Curves/meltCurve_Q96KP4_CNDP2.pdf", "Melting_Curves/meltCurve_Q96KP4_CNDP2.pdf")</f>
        <v>Melting_Curves/meltCurve_Q96KP4_CNDP2.pdf</v>
      </c>
    </row>
    <row r="4998" spans="1:28" x14ac:dyDescent="0.25">
      <c r="A4998" t="s">
        <v>5002</v>
      </c>
      <c r="B4998">
        <v>0.99673306730245903</v>
      </c>
      <c r="C4998">
        <v>0.85599034809347196</v>
      </c>
      <c r="D4998">
        <v>0.85820525500991396</v>
      </c>
      <c r="E4998">
        <v>0.836569701943227</v>
      </c>
      <c r="F4998">
        <v>0.73062053318682196</v>
      </c>
      <c r="G4998">
        <v>0.46162278175486399</v>
      </c>
      <c r="H4998">
        <v>0.30577825828829602</v>
      </c>
      <c r="I4998">
        <v>0.39487837757720301</v>
      </c>
      <c r="J4998">
        <v>0.51206611329096696</v>
      </c>
      <c r="K4998">
        <v>0.50793034496317602</v>
      </c>
      <c r="L4998">
        <v>826.43204847656796</v>
      </c>
      <c r="M4998">
        <v>16.012392158687199</v>
      </c>
      <c r="N4998">
        <v>57.853464157446602</v>
      </c>
      <c r="O4998">
        <v>50.827172799524803</v>
      </c>
      <c r="P4998">
        <v>-4.63822011982205E-2</v>
      </c>
      <c r="Q4998">
        <v>0.41113319155736799</v>
      </c>
      <c r="R4998">
        <v>0.85326275834024001</v>
      </c>
      <c r="S4998" t="s">
        <v>11450</v>
      </c>
      <c r="T4998" t="s">
        <v>12902</v>
      </c>
      <c r="U4998" t="s">
        <v>12902</v>
      </c>
      <c r="V4998" t="s">
        <v>12902</v>
      </c>
      <c r="W4998" t="s">
        <v>17851</v>
      </c>
      <c r="X4998">
        <v>10</v>
      </c>
      <c r="Y4998" t="s">
        <v>24148</v>
      </c>
      <c r="Z4998" t="s">
        <v>30573</v>
      </c>
      <c r="AA4998">
        <v>0.65107288317786804</v>
      </c>
      <c r="AB4998" t="str">
        <f>HYPERLINK("Melting_Curves/meltCurve_Q96KR1_ZFR.pdf", "Melting_Curves/meltCurve_Q96KR1_ZFR.pdf")</f>
        <v>Melting_Curves/meltCurve_Q96KR1_ZFR.pdf</v>
      </c>
    </row>
    <row r="4999" spans="1:28" x14ac:dyDescent="0.25">
      <c r="A4999" t="s">
        <v>5003</v>
      </c>
      <c r="B4999">
        <v>0.99673306730245903</v>
      </c>
      <c r="C4999">
        <v>0.98984596433664496</v>
      </c>
      <c r="D4999">
        <v>0.730780894167814</v>
      </c>
      <c r="E4999">
        <v>0.78527901874643302</v>
      </c>
      <c r="F4999">
        <v>0.55202260597629604</v>
      </c>
      <c r="G4999">
        <v>0.22032689582272599</v>
      </c>
      <c r="H4999">
        <v>0.194100403555689</v>
      </c>
      <c r="I4999">
        <v>0.12797762661412099</v>
      </c>
      <c r="J4999">
        <v>8.0659989344901997E-2</v>
      </c>
      <c r="K4999">
        <v>9.8443429652247894E-2</v>
      </c>
      <c r="L4999">
        <v>676.56943998581005</v>
      </c>
      <c r="M4999">
        <v>12.8067200344175</v>
      </c>
      <c r="N4999">
        <v>53.097440771417702</v>
      </c>
      <c r="O4999">
        <v>51.590883002082997</v>
      </c>
      <c r="P4999">
        <v>-6.0126551212412602E-2</v>
      </c>
      <c r="Q4999">
        <v>3.1321079081027201E-2</v>
      </c>
      <c r="R4999">
        <v>0.96758859291647803</v>
      </c>
      <c r="S4999" t="s">
        <v>11451</v>
      </c>
      <c r="T4999" t="s">
        <v>12902</v>
      </c>
      <c r="U4999" t="s">
        <v>12902</v>
      </c>
      <c r="V4999" t="s">
        <v>12902</v>
      </c>
      <c r="W4999" t="s">
        <v>17852</v>
      </c>
      <c r="X4999">
        <v>3</v>
      </c>
      <c r="Y4999" t="s">
        <v>24149</v>
      </c>
      <c r="Z4999" t="s">
        <v>30574</v>
      </c>
      <c r="AA4999">
        <v>0.47143753595312898</v>
      </c>
      <c r="AB4999" t="str">
        <f>HYPERLINK("Melting_Curves/meltCurve_Q96L58_B3GALT6.pdf", "Melting_Curves/meltCurve_Q96L58_B3GALT6.pdf")</f>
        <v>Melting_Curves/meltCurve_Q96L58_B3GALT6.pdf</v>
      </c>
    </row>
    <row r="5000" spans="1:28" x14ac:dyDescent="0.25">
      <c r="A5000" t="s">
        <v>5004</v>
      </c>
      <c r="B5000">
        <v>0.99673306730245903</v>
      </c>
      <c r="C5000">
        <v>0.88198980626040202</v>
      </c>
      <c r="D5000">
        <v>0.68112379564175396</v>
      </c>
      <c r="E5000">
        <v>0.47724257023095301</v>
      </c>
      <c r="F5000">
        <v>0.33775626662885</v>
      </c>
      <c r="G5000">
        <v>0.220864059934096</v>
      </c>
      <c r="H5000">
        <v>0.15186764280057499</v>
      </c>
      <c r="I5000">
        <v>0.13287809869506301</v>
      </c>
      <c r="J5000">
        <v>0.162436286287932</v>
      </c>
      <c r="K5000">
        <v>0.14719252754731499</v>
      </c>
      <c r="L5000">
        <v>692.62193355635202</v>
      </c>
      <c r="M5000">
        <v>14.369134820125</v>
      </c>
      <c r="N5000">
        <v>49.237511051343901</v>
      </c>
      <c r="O5000">
        <v>47.297314811138698</v>
      </c>
      <c r="P5000">
        <v>-6.6055226924278204E-2</v>
      </c>
      <c r="Q5000">
        <v>0.13039682134094299</v>
      </c>
      <c r="R5000">
        <v>0.99529710411719596</v>
      </c>
      <c r="S5000" t="s">
        <v>11452</v>
      </c>
      <c r="T5000" t="s">
        <v>12902</v>
      </c>
      <c r="U5000" t="s">
        <v>12902</v>
      </c>
      <c r="V5000" t="s">
        <v>12902</v>
      </c>
      <c r="W5000" t="s">
        <v>17853</v>
      </c>
      <c r="X5000">
        <v>3</v>
      </c>
      <c r="Y5000" t="s">
        <v>24150</v>
      </c>
      <c r="Z5000" t="s">
        <v>30575</v>
      </c>
      <c r="AA5000">
        <v>0.39225016717594718</v>
      </c>
      <c r="AB5000" t="str">
        <f>HYPERLINK("Melting_Curves/meltCurve_Q96L91_4_EP400.pdf", "Melting_Curves/meltCurve_Q96L91_4_EP400.pdf")</f>
        <v>Melting_Curves/meltCurve_Q96L91_4_EP400.pdf</v>
      </c>
    </row>
    <row r="5001" spans="1:28" x14ac:dyDescent="0.25">
      <c r="A5001" t="s">
        <v>5005</v>
      </c>
      <c r="B5001">
        <v>0.99673306730245903</v>
      </c>
      <c r="C5001">
        <v>0.94037721973272803</v>
      </c>
      <c r="D5001">
        <v>0.79841157195311696</v>
      </c>
      <c r="E5001">
        <v>0.29646318676640698</v>
      </c>
      <c r="F5001">
        <v>0.15156670064585301</v>
      </c>
      <c r="G5001">
        <v>9.84261859070798E-2</v>
      </c>
      <c r="H5001">
        <v>8.0302500417577999E-2</v>
      </c>
      <c r="I5001">
        <v>8.5692849251311404E-2</v>
      </c>
      <c r="J5001">
        <v>0.104071054791177</v>
      </c>
      <c r="K5001">
        <v>0.112855441829283</v>
      </c>
      <c r="L5001">
        <v>1489.23512554484</v>
      </c>
      <c r="M5001">
        <v>31.210970372912598</v>
      </c>
      <c r="N5001">
        <v>48.047659618277102</v>
      </c>
      <c r="O5001">
        <v>47.5205063280331</v>
      </c>
      <c r="P5001">
        <v>-0.148247516461084</v>
      </c>
      <c r="Q5001">
        <v>9.7143155953523602E-2</v>
      </c>
      <c r="R5001">
        <v>0.99805540570252405</v>
      </c>
      <c r="S5001" t="s">
        <v>11453</v>
      </c>
      <c r="T5001" t="s">
        <v>12902</v>
      </c>
      <c r="U5001" t="s">
        <v>12902</v>
      </c>
      <c r="V5001" t="s">
        <v>12902</v>
      </c>
      <c r="W5001" t="s">
        <v>17854</v>
      </c>
      <c r="X5001">
        <v>7</v>
      </c>
      <c r="Y5001" t="s">
        <v>24151</v>
      </c>
      <c r="Z5001" t="s">
        <v>30576</v>
      </c>
      <c r="AA5001">
        <v>0.33432149174815212</v>
      </c>
      <c r="AB5001" t="str">
        <f>HYPERLINK("Melting_Curves/meltCurve_Q96L92_SNX27.pdf", "Melting_Curves/meltCurve_Q96L92_SNX27.pdf")</f>
        <v>Melting_Curves/meltCurve_Q96L92_SNX27.pdf</v>
      </c>
    </row>
    <row r="5002" spans="1:28" x14ac:dyDescent="0.25">
      <c r="A5002" t="s">
        <v>5006</v>
      </c>
      <c r="B5002">
        <v>0.99673306730245903</v>
      </c>
      <c r="C5002">
        <v>0.90676388195468405</v>
      </c>
      <c r="D5002">
        <v>0.96185024929208096</v>
      </c>
      <c r="E5002">
        <v>1.0006498212850601</v>
      </c>
      <c r="F5002">
        <v>1.6669942393502799</v>
      </c>
      <c r="G5002">
        <v>2.3795837801033102</v>
      </c>
      <c r="H5002">
        <v>2.54884555768029</v>
      </c>
      <c r="I5002">
        <v>1.95922939201742</v>
      </c>
      <c r="J5002">
        <v>1.1646418654606101</v>
      </c>
      <c r="K5002">
        <v>2.2679331671721101</v>
      </c>
      <c r="L5002">
        <v>12694.301462884299</v>
      </c>
      <c r="M5002">
        <v>250</v>
      </c>
      <c r="O5002">
        <v>50.773956529417497</v>
      </c>
      <c r="P5002">
        <v>0.61547301457883496</v>
      </c>
      <c r="Q5002">
        <v>1.5</v>
      </c>
      <c r="R5002">
        <v>0.273078189926588</v>
      </c>
      <c r="S5002" t="s">
        <v>11454</v>
      </c>
      <c r="T5002" t="s">
        <v>12902</v>
      </c>
      <c r="U5002" t="s">
        <v>12902</v>
      </c>
      <c r="V5002" t="s">
        <v>12902</v>
      </c>
      <c r="W5002" t="s">
        <v>17855</v>
      </c>
      <c r="X5002">
        <v>2</v>
      </c>
      <c r="Y5002" t="s">
        <v>24152</v>
      </c>
      <c r="Z5002" t="s">
        <v>30577</v>
      </c>
      <c r="AA5002">
        <v>1.32033534587138</v>
      </c>
      <c r="AB5002" t="str">
        <f>HYPERLINK("Melting_Curves/meltCurve_Q96L93_6_KIF16B.pdf", "Melting_Curves/meltCurve_Q96L93_6_KIF16B.pdf")</f>
        <v>Melting_Curves/meltCurve_Q96L93_6_KIF16B.pdf</v>
      </c>
    </row>
    <row r="5003" spans="1:28" x14ac:dyDescent="0.25">
      <c r="A5003" t="s">
        <v>5007</v>
      </c>
      <c r="B5003">
        <v>0.99673306730245903</v>
      </c>
      <c r="C5003">
        <v>0.91602598895784504</v>
      </c>
      <c r="D5003">
        <v>1.10240436191908</v>
      </c>
      <c r="E5003">
        <v>1.30168599361982</v>
      </c>
      <c r="F5003">
        <v>1.3726936797312399</v>
      </c>
      <c r="G5003">
        <v>0.89772582210599605</v>
      </c>
      <c r="H5003">
        <v>0.26212648828777402</v>
      </c>
      <c r="I5003">
        <v>0.330262517671427</v>
      </c>
      <c r="J5003">
        <v>0.44532337304872199</v>
      </c>
      <c r="K5003">
        <v>0.52310907045874</v>
      </c>
      <c r="L5003">
        <v>14290.986607369499</v>
      </c>
      <c r="M5003">
        <v>250</v>
      </c>
      <c r="N5003">
        <v>57.512712826800403</v>
      </c>
      <c r="O5003">
        <v>57.160301738571803</v>
      </c>
      <c r="P5003">
        <v>-0.66675952407402195</v>
      </c>
      <c r="Q5003">
        <v>0.39020533405329799</v>
      </c>
      <c r="R5003">
        <v>0.80031183114709203</v>
      </c>
      <c r="S5003" t="s">
        <v>11455</v>
      </c>
      <c r="T5003" t="s">
        <v>12902</v>
      </c>
      <c r="U5003" t="s">
        <v>12902</v>
      </c>
      <c r="V5003" t="s">
        <v>12902</v>
      </c>
      <c r="W5003" t="s">
        <v>17856</v>
      </c>
      <c r="X5003">
        <v>3</v>
      </c>
      <c r="Y5003" t="s">
        <v>24153</v>
      </c>
      <c r="Z5003" t="s">
        <v>30578</v>
      </c>
      <c r="AA5003">
        <v>0.7391492757503163</v>
      </c>
      <c r="AB5003" t="str">
        <f>HYPERLINK("Melting_Curves/meltCurve_Q96L96_ALPK3.pdf", "Melting_Curves/meltCurve_Q96L96_ALPK3.pdf")</f>
        <v>Melting_Curves/meltCurve_Q96L96_ALPK3.pdf</v>
      </c>
    </row>
    <row r="5004" spans="1:28" x14ac:dyDescent="0.25">
      <c r="A5004" t="s">
        <v>5008</v>
      </c>
      <c r="B5004">
        <v>0.99673306730245903</v>
      </c>
      <c r="C5004">
        <v>0.94980787735417005</v>
      </c>
      <c r="D5004">
        <v>0.92520684361555805</v>
      </c>
      <c r="E5004">
        <v>0.85589796719898004</v>
      </c>
      <c r="F5004">
        <v>0.55078714989233701</v>
      </c>
      <c r="G5004">
        <v>0.26302283086325801</v>
      </c>
      <c r="H5004">
        <v>0.14741033562827099</v>
      </c>
      <c r="I5004">
        <v>0.121981200206471</v>
      </c>
      <c r="J5004">
        <v>0.109100645986905</v>
      </c>
      <c r="K5004">
        <v>7.8245415976208404E-2</v>
      </c>
      <c r="L5004">
        <v>1117.9414290057</v>
      </c>
      <c r="M5004">
        <v>21.0028488092934</v>
      </c>
      <c r="N5004">
        <v>53.708513405501797</v>
      </c>
      <c r="O5004">
        <v>52.752569393102597</v>
      </c>
      <c r="P5004">
        <v>-9.1013029166819803E-2</v>
      </c>
      <c r="Q5004">
        <v>8.5639394960204396E-2</v>
      </c>
      <c r="R5004">
        <v>0.99662581337739797</v>
      </c>
      <c r="S5004" t="s">
        <v>11456</v>
      </c>
      <c r="T5004" t="s">
        <v>12902</v>
      </c>
      <c r="U5004" t="s">
        <v>12902</v>
      </c>
      <c r="V5004" t="s">
        <v>12902</v>
      </c>
      <c r="W5004" t="s">
        <v>17857</v>
      </c>
      <c r="X5004">
        <v>5</v>
      </c>
      <c r="Y5004" t="s">
        <v>24154</v>
      </c>
      <c r="Z5004" t="s">
        <v>30579</v>
      </c>
      <c r="AA5004">
        <v>0.50035681112028929</v>
      </c>
      <c r="AB5004" t="str">
        <f>HYPERLINK("Melting_Curves/meltCurve_Q96LA8_PRMT6.pdf", "Melting_Curves/meltCurve_Q96LA8_PRMT6.pdf")</f>
        <v>Melting_Curves/meltCurve_Q96LA8_PRMT6.pdf</v>
      </c>
    </row>
    <row r="5005" spans="1:28" x14ac:dyDescent="0.25">
      <c r="A5005" t="s">
        <v>5009</v>
      </c>
      <c r="B5005">
        <v>0.99673306730245903</v>
      </c>
      <c r="C5005">
        <v>0.83262829942073502</v>
      </c>
      <c r="D5005">
        <v>0.55474433443221205</v>
      </c>
      <c r="E5005">
        <v>0.36119618679027599</v>
      </c>
      <c r="F5005">
        <v>0.17962692500492</v>
      </c>
      <c r="G5005">
        <v>0.112845327019038</v>
      </c>
      <c r="H5005">
        <v>8.5592524607655193E-2</v>
      </c>
      <c r="I5005">
        <v>8.4694248365515701E-2</v>
      </c>
      <c r="J5005">
        <v>9.1638409395794498E-2</v>
      </c>
      <c r="K5005">
        <v>7.9288061746596403E-2</v>
      </c>
      <c r="L5005">
        <v>791.38969523661001</v>
      </c>
      <c r="M5005">
        <v>16.963427869016002</v>
      </c>
      <c r="N5005">
        <v>47.1235947828348</v>
      </c>
      <c r="O5005">
        <v>46.018834136699901</v>
      </c>
      <c r="P5005">
        <v>-8.4975569891550695E-2</v>
      </c>
      <c r="Q5005">
        <v>7.7961607431411103E-2</v>
      </c>
      <c r="R5005">
        <v>0.99479415718238295</v>
      </c>
      <c r="S5005" t="s">
        <v>11457</v>
      </c>
      <c r="T5005" t="s">
        <v>12902</v>
      </c>
      <c r="U5005" t="s">
        <v>12902</v>
      </c>
      <c r="V5005" t="s">
        <v>12902</v>
      </c>
      <c r="W5005" t="s">
        <v>17858</v>
      </c>
      <c r="X5005">
        <v>4</v>
      </c>
      <c r="Y5005" t="s">
        <v>24155</v>
      </c>
      <c r="Z5005" t="s">
        <v>30580</v>
      </c>
      <c r="AA5005">
        <v>0.30215911796175488</v>
      </c>
      <c r="AB5005" t="str">
        <f>HYPERLINK("Melting_Curves/meltCurve_Q96LB3_IFT74.pdf", "Melting_Curves/meltCurve_Q96LB3_IFT74.pdf")</f>
        <v>Melting_Curves/meltCurve_Q96LB3_IFT74.pdf</v>
      </c>
    </row>
    <row r="5006" spans="1:28" x14ac:dyDescent="0.25">
      <c r="A5006" t="s">
        <v>5010</v>
      </c>
      <c r="B5006">
        <v>0.99673306730245903</v>
      </c>
      <c r="C5006">
        <v>0.72804449422166695</v>
      </c>
      <c r="D5006">
        <v>0.53090716837080199</v>
      </c>
      <c r="E5006">
        <v>0.42265140113966698</v>
      </c>
      <c r="F5006">
        <v>0.35088748861490598</v>
      </c>
      <c r="G5006">
        <v>0.28710852839469497</v>
      </c>
      <c r="H5006">
        <v>0.22703217945906401</v>
      </c>
      <c r="I5006">
        <v>0.24810234570002099</v>
      </c>
      <c r="J5006">
        <v>0.29006972313172702</v>
      </c>
      <c r="K5006">
        <v>0.26508542996781098</v>
      </c>
      <c r="L5006">
        <v>766.57971020530101</v>
      </c>
      <c r="M5006">
        <v>17.092946367939899</v>
      </c>
      <c r="N5006">
        <v>46.931473543469302</v>
      </c>
      <c r="O5006">
        <v>44.247376713348302</v>
      </c>
      <c r="P5006">
        <v>-7.0899365360417105E-2</v>
      </c>
      <c r="Q5006">
        <v>0.26591446195190099</v>
      </c>
      <c r="R5006">
        <v>0.97447246465204196</v>
      </c>
      <c r="S5006" t="s">
        <v>11458</v>
      </c>
      <c r="T5006" t="s">
        <v>12902</v>
      </c>
      <c r="U5006" t="s">
        <v>12902</v>
      </c>
      <c r="V5006" t="s">
        <v>12902</v>
      </c>
      <c r="W5006" t="s">
        <v>17859</v>
      </c>
      <c r="X5006">
        <v>5</v>
      </c>
      <c r="Y5006" t="s">
        <v>24156</v>
      </c>
      <c r="Z5006" t="s">
        <v>30581</v>
      </c>
      <c r="AA5006">
        <v>0.40262644261086677</v>
      </c>
      <c r="AB5006" t="str">
        <f>HYPERLINK("Melting_Curves/meltCurve_Q96LD4_TRIM47.pdf", "Melting_Curves/meltCurve_Q96LD4_TRIM47.pdf")</f>
        <v>Melting_Curves/meltCurve_Q96LD4_TRIM47.pdf</v>
      </c>
    </row>
    <row r="5007" spans="1:28" x14ac:dyDescent="0.25">
      <c r="A5007" t="s">
        <v>5011</v>
      </c>
      <c r="B5007">
        <v>0.99673306730245903</v>
      </c>
      <c r="C5007">
        <v>1.0388433315122501</v>
      </c>
      <c r="D5007">
        <v>0.78281431686174396</v>
      </c>
      <c r="E5007">
        <v>0.42169392696734898</v>
      </c>
      <c r="F5007">
        <v>0.33795443308735701</v>
      </c>
      <c r="G5007">
        <v>0.161250947278713</v>
      </c>
      <c r="H5007">
        <v>0.10643623986940499</v>
      </c>
      <c r="I5007">
        <v>9.9045682450677505E-2</v>
      </c>
      <c r="J5007">
        <v>8.0560703676659504E-2</v>
      </c>
      <c r="K5007">
        <v>5.91948064619622E-2</v>
      </c>
      <c r="L5007">
        <v>913.03440332888601</v>
      </c>
      <c r="M5007">
        <v>18.628068499453502</v>
      </c>
      <c r="N5007">
        <v>49.5107183500538</v>
      </c>
      <c r="O5007">
        <v>48.459534942568503</v>
      </c>
      <c r="P5007">
        <v>-8.7912728289006897E-2</v>
      </c>
      <c r="Q5007">
        <v>8.5245770120082595E-2</v>
      </c>
      <c r="R5007">
        <v>0.98341689695909995</v>
      </c>
      <c r="S5007" t="s">
        <v>11459</v>
      </c>
      <c r="T5007" t="s">
        <v>12902</v>
      </c>
      <c r="U5007" t="s">
        <v>12902</v>
      </c>
      <c r="V5007" t="s">
        <v>12902</v>
      </c>
      <c r="W5007" t="s">
        <v>17860</v>
      </c>
      <c r="X5007">
        <v>2</v>
      </c>
      <c r="Y5007" t="s">
        <v>24157</v>
      </c>
      <c r="Z5007" t="s">
        <v>30582</v>
      </c>
      <c r="AA5007">
        <v>0.37488597456890432</v>
      </c>
      <c r="AB5007" t="str">
        <f>HYPERLINK("Melting_Curves/meltCurve_Q96LD8_SENP8.pdf", "Melting_Curves/meltCurve_Q96LD8_SENP8.pdf")</f>
        <v>Melting_Curves/meltCurve_Q96LD8_SENP8.pdf</v>
      </c>
    </row>
    <row r="5008" spans="1:28" x14ac:dyDescent="0.25">
      <c r="A5008" t="s">
        <v>5012</v>
      </c>
      <c r="B5008">
        <v>0.99673306730245903</v>
      </c>
      <c r="C5008">
        <v>0.95895742624295399</v>
      </c>
      <c r="D5008">
        <v>0.83902758695271995</v>
      </c>
      <c r="E5008">
        <v>0.52711281370777197</v>
      </c>
      <c r="F5008">
        <v>0.28038110901291002</v>
      </c>
      <c r="G5008">
        <v>0.19112340142835099</v>
      </c>
      <c r="H5008">
        <v>0.110514746304954</v>
      </c>
      <c r="I5008">
        <v>9.14805893888367E-2</v>
      </c>
      <c r="J5008">
        <v>8.3148550671967705E-2</v>
      </c>
      <c r="K5008">
        <v>6.10803576910229E-2</v>
      </c>
      <c r="L5008">
        <v>912.21529060233502</v>
      </c>
      <c r="M5008">
        <v>18.371970400579201</v>
      </c>
      <c r="N5008">
        <v>50.1076137574005</v>
      </c>
      <c r="O5008">
        <v>49.075496413642497</v>
      </c>
      <c r="P5008">
        <v>-8.6403229030835194E-2</v>
      </c>
      <c r="Q5008">
        <v>7.6835360105523498E-2</v>
      </c>
      <c r="R5008">
        <v>0.99852714273860499</v>
      </c>
      <c r="S5008" t="s">
        <v>11460</v>
      </c>
      <c r="T5008" t="s">
        <v>12902</v>
      </c>
      <c r="U5008" t="s">
        <v>12902</v>
      </c>
      <c r="V5008" t="s">
        <v>12902</v>
      </c>
      <c r="W5008" t="s">
        <v>17861</v>
      </c>
      <c r="X5008">
        <v>6</v>
      </c>
      <c r="Y5008" t="s">
        <v>24158</v>
      </c>
      <c r="Z5008" t="s">
        <v>30583</v>
      </c>
      <c r="AA5008">
        <v>0.38906943462103338</v>
      </c>
      <c r="AB5008" t="str">
        <f>HYPERLINK("Melting_Curves/meltCurve_Q96LJ7_DHRS1.pdf", "Melting_Curves/meltCurve_Q96LJ7_DHRS1.pdf")</f>
        <v>Melting_Curves/meltCurve_Q96LJ7_DHRS1.pdf</v>
      </c>
    </row>
    <row r="5009" spans="1:28" x14ac:dyDescent="0.25">
      <c r="A5009" t="s">
        <v>5013</v>
      </c>
      <c r="B5009">
        <v>0.99673306730245903</v>
      </c>
      <c r="C5009">
        <v>1.03874095675043</v>
      </c>
      <c r="D5009">
        <v>0.911402341092866</v>
      </c>
      <c r="E5009">
        <v>0.615944470074547</v>
      </c>
      <c r="F5009">
        <v>0.192787684980156</v>
      </c>
      <c r="G5009">
        <v>0.112666949076335</v>
      </c>
      <c r="H5009">
        <v>6.4543275542432998E-2</v>
      </c>
      <c r="I5009">
        <v>3.5880000834891901E-2</v>
      </c>
      <c r="J5009">
        <v>4.0208662522468103E-2</v>
      </c>
      <c r="K5009">
        <v>4.6087876691782902E-2</v>
      </c>
      <c r="L5009">
        <v>1405.03363570088</v>
      </c>
      <c r="M5009">
        <v>27.982090711981201</v>
      </c>
      <c r="N5009">
        <v>50.393325410437299</v>
      </c>
      <c r="O5009">
        <v>49.957542287354499</v>
      </c>
      <c r="P5009">
        <v>-0.13332045585896701</v>
      </c>
      <c r="Q5009">
        <v>4.7918907692553199E-2</v>
      </c>
      <c r="R5009">
        <v>0.99747040760445405</v>
      </c>
      <c r="S5009" t="s">
        <v>11461</v>
      </c>
      <c r="T5009" t="s">
        <v>12902</v>
      </c>
      <c r="U5009" t="s">
        <v>12902</v>
      </c>
      <c r="V5009" t="s">
        <v>12902</v>
      </c>
      <c r="W5009" t="s">
        <v>17862</v>
      </c>
      <c r="X5009">
        <v>4</v>
      </c>
      <c r="Y5009" t="s">
        <v>24159</v>
      </c>
      <c r="Z5009" t="s">
        <v>30584</v>
      </c>
      <c r="AA5009">
        <v>0.37880406321366689</v>
      </c>
      <c r="AB5009" t="str">
        <f>HYPERLINK("Melting_Curves/meltCurve_Q96LR5_UBE2E2.pdf", "Melting_Curves/meltCurve_Q96LR5_UBE2E2.pdf")</f>
        <v>Melting_Curves/meltCurve_Q96LR5_UBE2E2.pdf</v>
      </c>
    </row>
    <row r="5010" spans="1:28" x14ac:dyDescent="0.25">
      <c r="A5010" t="s">
        <v>5014</v>
      </c>
      <c r="B5010">
        <v>0.99673306730245903</v>
      </c>
      <c r="C5010">
        <v>0.94369553916056403</v>
      </c>
      <c r="D5010">
        <v>1.41286973735762</v>
      </c>
      <c r="E5010">
        <v>1.3810256851173</v>
      </c>
      <c r="F5010">
        <v>2.4463487974796201</v>
      </c>
      <c r="G5010">
        <v>1.0832917723891899</v>
      </c>
      <c r="H5010">
        <v>0.761575602965333</v>
      </c>
      <c r="I5010">
        <v>0.62582122967543496</v>
      </c>
      <c r="J5010">
        <v>0.71399125999948698</v>
      </c>
      <c r="K5010">
        <v>1.5972913882323001</v>
      </c>
      <c r="L5010">
        <v>15000</v>
      </c>
      <c r="M5010">
        <v>218.401351389778</v>
      </c>
      <c r="O5010">
        <v>68.675136059997797</v>
      </c>
      <c r="P5010">
        <v>0.39752625147455001</v>
      </c>
      <c r="Q5010">
        <v>1.5</v>
      </c>
      <c r="R5010">
        <v>-1.5441678167566799E-2</v>
      </c>
      <c r="S5010" t="s">
        <v>11462</v>
      </c>
      <c r="T5010" t="s">
        <v>12902</v>
      </c>
      <c r="U5010" t="s">
        <v>12902</v>
      </c>
      <c r="V5010" t="s">
        <v>12902</v>
      </c>
      <c r="W5010" t="s">
        <v>17863</v>
      </c>
      <c r="X5010">
        <v>1</v>
      </c>
      <c r="Y5010" t="s">
        <v>24160</v>
      </c>
      <c r="Z5010" t="s">
        <v>30585</v>
      </c>
      <c r="AA5010">
        <v>1.0219950816683361</v>
      </c>
      <c r="AB5010" t="str">
        <f>HYPERLINK("Melting_Curves/meltCurve_Q96M20_2_CNBD2.pdf", "Melting_Curves/meltCurve_Q96M20_2_CNBD2.pdf")</f>
        <v>Melting_Curves/meltCurve_Q96M20_2_CNBD2.pdf</v>
      </c>
    </row>
    <row r="5011" spans="1:28" x14ac:dyDescent="0.25">
      <c r="A5011" t="s">
        <v>5015</v>
      </c>
      <c r="B5011">
        <v>0.99673306730245903</v>
      </c>
      <c r="C5011">
        <v>1.0335624238814201</v>
      </c>
      <c r="D5011">
        <v>1.04142693833239</v>
      </c>
      <c r="E5011">
        <v>1.0289151100688401</v>
      </c>
      <c r="F5011">
        <v>0.93952107391830098</v>
      </c>
      <c r="G5011">
        <v>0.82048317121540504</v>
      </c>
      <c r="H5011">
        <v>0.63754600531497296</v>
      </c>
      <c r="I5011">
        <v>0.87479170146534901</v>
      </c>
      <c r="J5011">
        <v>0.95202168594585301</v>
      </c>
      <c r="K5011">
        <v>0.65997422335731604</v>
      </c>
      <c r="L5011">
        <v>2786.7172786749302</v>
      </c>
      <c r="M5011">
        <v>51.311948956335698</v>
      </c>
      <c r="O5011">
        <v>54.227027875760001</v>
      </c>
      <c r="P5011">
        <v>-5.1041402650126702E-2</v>
      </c>
      <c r="Q5011">
        <v>0.78423573286649195</v>
      </c>
      <c r="R5011">
        <v>0.61482516586592195</v>
      </c>
      <c r="S5011" t="s">
        <v>11463</v>
      </c>
      <c r="T5011" t="s">
        <v>12902</v>
      </c>
      <c r="U5011" t="s">
        <v>12902</v>
      </c>
      <c r="V5011" t="s">
        <v>12902</v>
      </c>
      <c r="W5011" t="s">
        <v>17864</v>
      </c>
      <c r="X5011">
        <v>8</v>
      </c>
      <c r="Y5011" t="s">
        <v>24161</v>
      </c>
      <c r="Z5011" t="s">
        <v>30586</v>
      </c>
      <c r="AA5011">
        <v>0.88764094748519462</v>
      </c>
      <c r="AB5011" t="str">
        <f>HYPERLINK("Melting_Curves/meltCurve_Q96M27_PRRC1.pdf", "Melting_Curves/meltCurve_Q96M27_PRRC1.pdf")</f>
        <v>Melting_Curves/meltCurve_Q96M27_PRRC1.pdf</v>
      </c>
    </row>
    <row r="5012" spans="1:28" x14ac:dyDescent="0.25">
      <c r="A5012" t="s">
        <v>5016</v>
      </c>
      <c r="B5012">
        <v>0.99673306730245903</v>
      </c>
      <c r="C5012">
        <v>0.99775620409562804</v>
      </c>
      <c r="D5012">
        <v>0.97918993647343799</v>
      </c>
      <c r="E5012">
        <v>0.92706731818382704</v>
      </c>
      <c r="F5012">
        <v>0.57502210020176003</v>
      </c>
      <c r="G5012">
        <v>0.23534974603418299</v>
      </c>
      <c r="H5012">
        <v>0.124665583520495</v>
      </c>
      <c r="I5012">
        <v>0.123136800121492</v>
      </c>
      <c r="J5012">
        <v>9.4070292208540796E-2</v>
      </c>
      <c r="K5012">
        <v>8.8805294047649294E-2</v>
      </c>
      <c r="L5012">
        <v>1582.5894579774499</v>
      </c>
      <c r="M5012">
        <v>29.614213395848399</v>
      </c>
      <c r="N5012">
        <v>53.843067662113597</v>
      </c>
      <c r="O5012">
        <v>53.198298484182899</v>
      </c>
      <c r="P5012">
        <v>-0.125339966199048</v>
      </c>
      <c r="Q5012">
        <v>9.9374788498969996E-2</v>
      </c>
      <c r="R5012">
        <v>0.99950411115660398</v>
      </c>
      <c r="S5012" t="s">
        <v>11464</v>
      </c>
      <c r="T5012" t="s">
        <v>12902</v>
      </c>
      <c r="U5012" t="s">
        <v>12902</v>
      </c>
      <c r="V5012" t="s">
        <v>12902</v>
      </c>
      <c r="W5012" t="s">
        <v>17865</v>
      </c>
      <c r="X5012">
        <v>12</v>
      </c>
      <c r="Y5012" t="s">
        <v>24162</v>
      </c>
      <c r="Z5012" t="s">
        <v>30587</v>
      </c>
      <c r="AA5012">
        <v>0.50888600706951137</v>
      </c>
      <c r="AB5012" t="str">
        <f>HYPERLINK("Melting_Curves/meltCurve_Q96ME1_4_FBXL18.pdf", "Melting_Curves/meltCurve_Q96ME1_4_FBXL18.pdf")</f>
        <v>Melting_Curves/meltCurve_Q96ME1_4_FBXL18.pdf</v>
      </c>
    </row>
    <row r="5013" spans="1:28" x14ac:dyDescent="0.25">
      <c r="A5013" t="s">
        <v>5017</v>
      </c>
      <c r="B5013">
        <v>0.99673306730245903</v>
      </c>
      <c r="C5013">
        <v>0.93243877216036697</v>
      </c>
      <c r="D5013">
        <v>0.96573012863957897</v>
      </c>
      <c r="E5013">
        <v>0.86746638349522598</v>
      </c>
      <c r="F5013">
        <v>0.85790073305942705</v>
      </c>
      <c r="G5013">
        <v>0.78946567025494196</v>
      </c>
      <c r="H5013">
        <v>0.62775094495014505</v>
      </c>
      <c r="I5013">
        <v>0.77344603945287504</v>
      </c>
      <c r="J5013">
        <v>0.88046071978356699</v>
      </c>
      <c r="K5013">
        <v>0.94801542644111103</v>
      </c>
      <c r="L5013">
        <v>1008.6401653988401</v>
      </c>
      <c r="M5013">
        <v>21.0357222005415</v>
      </c>
      <c r="O5013">
        <v>47.521921398171699</v>
      </c>
      <c r="P5013">
        <v>-2.1323039177514699E-2</v>
      </c>
      <c r="Q5013">
        <v>0.80732120364277404</v>
      </c>
      <c r="R5013">
        <v>0.41612040012295498</v>
      </c>
      <c r="S5013" t="s">
        <v>11465</v>
      </c>
      <c r="T5013" t="s">
        <v>12902</v>
      </c>
      <c r="U5013" t="s">
        <v>12902</v>
      </c>
      <c r="V5013" t="s">
        <v>12902</v>
      </c>
      <c r="W5013" t="s">
        <v>17866</v>
      </c>
      <c r="X5013">
        <v>10</v>
      </c>
      <c r="Y5013" t="s">
        <v>24163</v>
      </c>
      <c r="Z5013" t="s">
        <v>30588</v>
      </c>
      <c r="AA5013">
        <v>0.86083592522148988</v>
      </c>
      <c r="AB5013" t="str">
        <f>HYPERLINK("Melting_Curves/meltCurve_Q96MG2_JSRP1.pdf", "Melting_Curves/meltCurve_Q96MG2_JSRP1.pdf")</f>
        <v>Melting_Curves/meltCurve_Q96MG2_JSRP1.pdf</v>
      </c>
    </row>
    <row r="5014" spans="1:28" x14ac:dyDescent="0.25">
      <c r="A5014" t="s">
        <v>5018</v>
      </c>
      <c r="B5014">
        <v>0.99673306730245903</v>
      </c>
      <c r="C5014">
        <v>0.86382240014688805</v>
      </c>
      <c r="D5014">
        <v>0.77548465999965899</v>
      </c>
      <c r="E5014">
        <v>0.56193760543357496</v>
      </c>
      <c r="F5014">
        <v>0.16914145747759099</v>
      </c>
      <c r="G5014">
        <v>0.109607036423971</v>
      </c>
      <c r="H5014">
        <v>5.1393343057738398E-2</v>
      </c>
      <c r="I5014">
        <v>4.2177700772902803E-2</v>
      </c>
      <c r="J5014">
        <v>4.80154700656579E-2</v>
      </c>
      <c r="K5014">
        <v>4.3628995500352999E-2</v>
      </c>
      <c r="L5014">
        <v>865.27511762989002</v>
      </c>
      <c r="M5014">
        <v>17.535024380106901</v>
      </c>
      <c r="N5014">
        <v>49.480547766383097</v>
      </c>
      <c r="O5014">
        <v>48.717171513585498</v>
      </c>
      <c r="P5014">
        <v>-8.7886568662186901E-2</v>
      </c>
      <c r="Q5014">
        <v>2.33601617347097E-2</v>
      </c>
      <c r="R5014">
        <v>0.988512628286766</v>
      </c>
      <c r="S5014" t="s">
        <v>11466</v>
      </c>
      <c r="T5014" t="s">
        <v>12902</v>
      </c>
      <c r="U5014" t="s">
        <v>12902</v>
      </c>
      <c r="V5014" t="s">
        <v>12902</v>
      </c>
      <c r="W5014" t="s">
        <v>17867</v>
      </c>
      <c r="X5014">
        <v>5</v>
      </c>
      <c r="Y5014" t="s">
        <v>24164</v>
      </c>
      <c r="Z5014" t="s">
        <v>30589</v>
      </c>
      <c r="AA5014">
        <v>0.34529731537123132</v>
      </c>
      <c r="AB5014" t="str">
        <f>HYPERLINK("Melting_Curves/meltCurve_Q96MG7_NDNL2.pdf", "Melting_Curves/meltCurve_Q96MG7_NDNL2.pdf")</f>
        <v>Melting_Curves/meltCurve_Q96MG7_NDNL2.pdf</v>
      </c>
    </row>
    <row r="5015" spans="1:28" x14ac:dyDescent="0.25">
      <c r="A5015" t="s">
        <v>5019</v>
      </c>
      <c r="B5015">
        <v>0.99673306730245903</v>
      </c>
      <c r="C5015">
        <v>0.92104850252275405</v>
      </c>
      <c r="D5015">
        <v>0.94287098628154797</v>
      </c>
      <c r="E5015">
        <v>0.95344116381557298</v>
      </c>
      <c r="F5015">
        <v>0.93927047191930801</v>
      </c>
      <c r="G5015">
        <v>0.70400297872777595</v>
      </c>
      <c r="H5015">
        <v>0.57505808112141699</v>
      </c>
      <c r="I5015">
        <v>0.89221076955571499</v>
      </c>
      <c r="J5015">
        <v>1.4429611626219301</v>
      </c>
      <c r="K5015">
        <v>1.3939811786890499</v>
      </c>
      <c r="L5015">
        <v>15000</v>
      </c>
      <c r="M5015">
        <v>228.248884495254</v>
      </c>
      <c r="O5015">
        <v>65.712691195670402</v>
      </c>
      <c r="P5015">
        <v>0.36481754014682299</v>
      </c>
      <c r="Q5015">
        <v>1.4201228385069999</v>
      </c>
      <c r="R5015">
        <v>0.53697711646269597</v>
      </c>
      <c r="S5015" t="s">
        <v>11467</v>
      </c>
      <c r="T5015" t="s">
        <v>12902</v>
      </c>
      <c r="U5015" t="s">
        <v>12902</v>
      </c>
      <c r="V5015" t="s">
        <v>12902</v>
      </c>
      <c r="W5015" t="s">
        <v>17868</v>
      </c>
      <c r="X5015">
        <v>8</v>
      </c>
      <c r="Y5015" t="s">
        <v>24165</v>
      </c>
      <c r="Z5015" t="s">
        <v>30590</v>
      </c>
      <c r="AA5015">
        <v>1.059911098302633</v>
      </c>
      <c r="AB5015" t="str">
        <f>HYPERLINK("Melting_Curves/meltCurve_Q96MH2_HEXIM2.pdf", "Melting_Curves/meltCurve_Q96MH2_HEXIM2.pdf")</f>
        <v>Melting_Curves/meltCurve_Q96MH2_HEXIM2.pdf</v>
      </c>
    </row>
    <row r="5016" spans="1:28" x14ac:dyDescent="0.25">
      <c r="A5016" t="s">
        <v>5020</v>
      </c>
      <c r="B5016">
        <v>0.99673306730245903</v>
      </c>
      <c r="C5016">
        <v>1.01684288037778</v>
      </c>
      <c r="D5016">
        <v>1.0111732744664499</v>
      </c>
      <c r="E5016">
        <v>1.0265773863702501</v>
      </c>
      <c r="F5016">
        <v>0.95956616667948402</v>
      </c>
      <c r="G5016">
        <v>0.81428203891761597</v>
      </c>
      <c r="H5016">
        <v>0.31447981165620698</v>
      </c>
      <c r="I5016">
        <v>0.13167141476456901</v>
      </c>
      <c r="J5016">
        <v>8.8327161705606699E-2</v>
      </c>
      <c r="K5016">
        <v>7.2037434968856603E-2</v>
      </c>
      <c r="L5016">
        <v>2045.97914967117</v>
      </c>
      <c r="M5016">
        <v>34.669475068580198</v>
      </c>
      <c r="N5016">
        <v>59.2767209005167</v>
      </c>
      <c r="O5016">
        <v>58.818519720917898</v>
      </c>
      <c r="P5016">
        <v>-0.13685833826674201</v>
      </c>
      <c r="Q5016">
        <v>7.1254668377678701E-2</v>
      </c>
      <c r="R5016">
        <v>0.99901548738712598</v>
      </c>
      <c r="S5016" t="s">
        <v>11468</v>
      </c>
      <c r="T5016" t="s">
        <v>12902</v>
      </c>
      <c r="U5016" t="s">
        <v>12902</v>
      </c>
      <c r="V5016" t="s">
        <v>12902</v>
      </c>
      <c r="W5016" t="s">
        <v>17869</v>
      </c>
      <c r="X5016">
        <v>5</v>
      </c>
      <c r="Y5016" t="s">
        <v>24166</v>
      </c>
      <c r="Z5016" t="s">
        <v>30591</v>
      </c>
      <c r="AA5016">
        <v>0.6646030638640551</v>
      </c>
      <c r="AB5016" t="str">
        <f>HYPERLINK("Melting_Curves/meltCurve_Q96MH6_TMEM68.pdf", "Melting_Curves/meltCurve_Q96MH6_TMEM68.pdf")</f>
        <v>Melting_Curves/meltCurve_Q96MH6_TMEM68.pdf</v>
      </c>
    </row>
    <row r="5017" spans="1:28" x14ac:dyDescent="0.25">
      <c r="A5017" t="s">
        <v>5021</v>
      </c>
      <c r="B5017">
        <v>0.99673306730245903</v>
      </c>
      <c r="C5017">
        <v>0.90130886981716496</v>
      </c>
      <c r="D5017">
        <v>0.87597435683230096</v>
      </c>
      <c r="E5017">
        <v>0.75000530139610899</v>
      </c>
      <c r="F5017">
        <v>0.48634964579912499</v>
      </c>
      <c r="G5017">
        <v>0.31614792570663802</v>
      </c>
      <c r="H5017">
        <v>0.108261746499919</v>
      </c>
      <c r="I5017">
        <v>9.4960095334287106E-2</v>
      </c>
      <c r="J5017">
        <v>0.104424395692644</v>
      </c>
      <c r="K5017">
        <v>9.9697410043284904E-2</v>
      </c>
      <c r="L5017">
        <v>757.17181309978105</v>
      </c>
      <c r="M5017">
        <v>14.3758571533838</v>
      </c>
      <c r="N5017">
        <v>53.008348356298697</v>
      </c>
      <c r="O5017">
        <v>51.681970488537097</v>
      </c>
      <c r="P5017">
        <v>-6.6496699281204497E-2</v>
      </c>
      <c r="Q5017">
        <v>4.3877408428068997E-2</v>
      </c>
      <c r="R5017">
        <v>0.99159480628061902</v>
      </c>
      <c r="S5017" t="s">
        <v>11469</v>
      </c>
      <c r="T5017" t="s">
        <v>12902</v>
      </c>
      <c r="U5017" t="s">
        <v>12902</v>
      </c>
      <c r="V5017" t="s">
        <v>12902</v>
      </c>
      <c r="W5017" t="s">
        <v>17870</v>
      </c>
      <c r="X5017">
        <v>8</v>
      </c>
      <c r="Y5017" t="s">
        <v>24167</v>
      </c>
      <c r="Z5017" t="s">
        <v>30592</v>
      </c>
      <c r="AA5017">
        <v>0.46981402950928702</v>
      </c>
      <c r="AB5017" t="str">
        <f>HYPERLINK("Melting_Curves/meltCurve_Q96MX6_WDR92.pdf", "Melting_Curves/meltCurve_Q96MX6_WDR92.pdf")</f>
        <v>Melting_Curves/meltCurve_Q96MX6_WDR92.pdf</v>
      </c>
    </row>
    <row r="5018" spans="1:28" x14ac:dyDescent="0.25">
      <c r="A5018" t="s">
        <v>5022</v>
      </c>
      <c r="B5018">
        <v>0.99673306730245903</v>
      </c>
      <c r="C5018">
        <v>0.98556745643035204</v>
      </c>
      <c r="D5018">
        <v>0.93195131245273299</v>
      </c>
      <c r="E5018">
        <v>0.80002429536261899</v>
      </c>
      <c r="F5018">
        <v>0.74106698835251905</v>
      </c>
      <c r="G5018">
        <v>0.44254380038758101</v>
      </c>
      <c r="H5018">
        <v>0.199600817562884</v>
      </c>
      <c r="I5018">
        <v>0.211459932502778</v>
      </c>
      <c r="J5018">
        <v>0.20167979966823099</v>
      </c>
      <c r="K5018">
        <v>7.8737434686572599E-2</v>
      </c>
      <c r="L5018">
        <v>803.21402964529898</v>
      </c>
      <c r="M5018">
        <v>14.515385691450399</v>
      </c>
      <c r="N5018">
        <v>55.941509571683497</v>
      </c>
      <c r="O5018">
        <v>54.316906999257903</v>
      </c>
      <c r="P5018">
        <v>-6.1954346335633501E-2</v>
      </c>
      <c r="Q5018">
        <v>7.2768190130759303E-2</v>
      </c>
      <c r="R5018">
        <v>0.98401405770750605</v>
      </c>
      <c r="S5018" t="s">
        <v>11470</v>
      </c>
      <c r="T5018" t="s">
        <v>12902</v>
      </c>
      <c r="U5018" t="s">
        <v>12902</v>
      </c>
      <c r="V5018" t="s">
        <v>12902</v>
      </c>
      <c r="W5018" t="s">
        <v>17871</v>
      </c>
      <c r="X5018">
        <v>1</v>
      </c>
      <c r="Y5018" t="s">
        <v>24168</v>
      </c>
      <c r="Z5018" t="s">
        <v>30593</v>
      </c>
      <c r="AA5018">
        <v>0.56474745083810873</v>
      </c>
      <c r="AB5018" t="str">
        <f>HYPERLINK("Melting_Curves/meltCurve_Q96N21_2_ENTHD2.pdf", "Melting_Curves/meltCurve_Q96N21_2_ENTHD2.pdf")</f>
        <v>Melting_Curves/meltCurve_Q96N21_2_ENTHD2.pdf</v>
      </c>
    </row>
    <row r="5019" spans="1:28" x14ac:dyDescent="0.25">
      <c r="A5019" t="s">
        <v>5023</v>
      </c>
      <c r="B5019">
        <v>0.99673306730245903</v>
      </c>
      <c r="C5019">
        <v>1.00934088352388</v>
      </c>
      <c r="D5019">
        <v>0.89937446733253301</v>
      </c>
      <c r="E5019">
        <v>0.75043227888366004</v>
      </c>
      <c r="F5019">
        <v>0.73878916730880495</v>
      </c>
      <c r="G5019">
        <v>0.53601144421351499</v>
      </c>
      <c r="H5019">
        <v>0.36402342673764798</v>
      </c>
      <c r="I5019">
        <v>0.295110462604528</v>
      </c>
      <c r="J5019">
        <v>0.231327576529815</v>
      </c>
      <c r="K5019">
        <v>0.16334628817017599</v>
      </c>
      <c r="L5019">
        <v>526.83733713031495</v>
      </c>
      <c r="M5019">
        <v>9.1358902913323607</v>
      </c>
      <c r="N5019">
        <v>57.709581551145099</v>
      </c>
      <c r="O5019">
        <v>55.105368056304599</v>
      </c>
      <c r="P5019">
        <v>-4.1335754915731798E-2</v>
      </c>
      <c r="Q5019">
        <v>3.3767885008873298E-3</v>
      </c>
      <c r="R5019">
        <v>0.98835923648036195</v>
      </c>
      <c r="S5019" t="s">
        <v>11471</v>
      </c>
      <c r="T5019" t="s">
        <v>12902</v>
      </c>
      <c r="U5019" t="s">
        <v>12902</v>
      </c>
      <c r="V5019" t="s">
        <v>12902</v>
      </c>
      <c r="W5019" t="s">
        <v>17872</v>
      </c>
      <c r="X5019">
        <v>2</v>
      </c>
      <c r="Y5019" t="s">
        <v>24169</v>
      </c>
      <c r="Z5019" t="s">
        <v>30594</v>
      </c>
      <c r="AA5019">
        <v>0.60033569652814467</v>
      </c>
      <c r="AB5019" t="str">
        <f>HYPERLINK("Melting_Curves/meltCurve_Q96N66_2_MBOAT7.pdf", "Melting_Curves/meltCurve_Q96N66_2_MBOAT7.pdf")</f>
        <v>Melting_Curves/meltCurve_Q96N66_2_MBOAT7.pdf</v>
      </c>
    </row>
    <row r="5020" spans="1:28" x14ac:dyDescent="0.25">
      <c r="A5020" t="s">
        <v>5024</v>
      </c>
      <c r="B5020">
        <v>0.99673306730245903</v>
      </c>
      <c r="C5020">
        <v>0.90247748366841696</v>
      </c>
      <c r="D5020">
        <v>0.69417115481496205</v>
      </c>
      <c r="E5020">
        <v>0.30956762845193603</v>
      </c>
      <c r="F5020">
        <v>0.17559215843036999</v>
      </c>
      <c r="G5020">
        <v>0.12731957042056999</v>
      </c>
      <c r="H5020">
        <v>6.5649517569198096E-2</v>
      </c>
      <c r="I5020">
        <v>7.4725777519232497E-2</v>
      </c>
      <c r="J5020">
        <v>7.4427290069473698E-2</v>
      </c>
      <c r="K5020">
        <v>4.8550333515142499E-2</v>
      </c>
      <c r="L5020">
        <v>1002.4630230973</v>
      </c>
      <c r="M5020">
        <v>21.140315928309999</v>
      </c>
      <c r="N5020">
        <v>47.762384247471097</v>
      </c>
      <c r="O5020">
        <v>47.001288776744502</v>
      </c>
      <c r="P5020">
        <v>-0.104531321317976</v>
      </c>
      <c r="Q5020">
        <v>7.0405703709155595E-2</v>
      </c>
      <c r="R5020">
        <v>0.99760461116490395</v>
      </c>
      <c r="S5020" t="s">
        <v>11472</v>
      </c>
      <c r="T5020" t="s">
        <v>12902</v>
      </c>
      <c r="U5020" t="s">
        <v>12902</v>
      </c>
      <c r="V5020" t="s">
        <v>12902</v>
      </c>
      <c r="W5020" t="s">
        <v>17873</v>
      </c>
      <c r="X5020">
        <v>3</v>
      </c>
      <c r="Y5020" t="s">
        <v>24170</v>
      </c>
      <c r="Z5020" t="s">
        <v>30595</v>
      </c>
      <c r="AA5020">
        <v>0.31219284190729069</v>
      </c>
      <c r="AB5020" t="str">
        <f>HYPERLINK("Melting_Curves/meltCurve_Q96N67_4_DOCK7.pdf", "Melting_Curves/meltCurve_Q96N67_4_DOCK7.pdf")</f>
        <v>Melting_Curves/meltCurve_Q96N67_4_DOCK7.pdf</v>
      </c>
    </row>
    <row r="5021" spans="1:28" x14ac:dyDescent="0.25">
      <c r="A5021" t="s">
        <v>5025</v>
      </c>
      <c r="B5021">
        <v>0.99673306730245903</v>
      </c>
      <c r="C5021">
        <v>0.995213567341523</v>
      </c>
      <c r="D5021">
        <v>0.90265899748852996</v>
      </c>
      <c r="E5021">
        <v>0.79101873228171005</v>
      </c>
      <c r="F5021">
        <v>0.57029741652809895</v>
      </c>
      <c r="G5021">
        <v>0.26265149114338698</v>
      </c>
      <c r="H5021">
        <v>0.12887071699973199</v>
      </c>
      <c r="I5021">
        <v>0.115327640498877</v>
      </c>
      <c r="J5021">
        <v>0.114523785745515</v>
      </c>
      <c r="K5021">
        <v>8.9231767942470702E-2</v>
      </c>
      <c r="L5021">
        <v>968.23360456555201</v>
      </c>
      <c r="M5021">
        <v>18.230802340987399</v>
      </c>
      <c r="N5021">
        <v>53.570269585865397</v>
      </c>
      <c r="O5021">
        <v>52.483120919258702</v>
      </c>
      <c r="P5021">
        <v>-8.0546934801345602E-2</v>
      </c>
      <c r="Q5021">
        <v>7.2524467381154797E-2</v>
      </c>
      <c r="R5021">
        <v>0.995814557800905</v>
      </c>
      <c r="S5021" t="s">
        <v>11473</v>
      </c>
      <c r="T5021" t="s">
        <v>12902</v>
      </c>
      <c r="U5021" t="s">
        <v>12902</v>
      </c>
      <c r="V5021" t="s">
        <v>12902</v>
      </c>
      <c r="W5021" t="s">
        <v>17874</v>
      </c>
      <c r="X5021">
        <v>5</v>
      </c>
      <c r="Y5021" t="s">
        <v>24171</v>
      </c>
      <c r="Z5021" t="s">
        <v>30596</v>
      </c>
      <c r="AA5021">
        <v>0.49267296029319602</v>
      </c>
      <c r="AB5021" t="str">
        <f>HYPERLINK("Melting_Curves/meltCurve_Q96NB2_SFXN2.pdf", "Melting_Curves/meltCurve_Q96NB2_SFXN2.pdf")</f>
        <v>Melting_Curves/meltCurve_Q96NB2_SFXN2.pdf</v>
      </c>
    </row>
    <row r="5022" spans="1:28" x14ac:dyDescent="0.25">
      <c r="A5022" t="s">
        <v>5026</v>
      </c>
      <c r="B5022">
        <v>0.99673306730245903</v>
      </c>
      <c r="C5022">
        <v>0.999327327076447</v>
      </c>
      <c r="D5022">
        <v>1.0337709300392399</v>
      </c>
      <c r="E5022">
        <v>1.0025732632305999</v>
      </c>
      <c r="F5022">
        <v>0.82364381894649497</v>
      </c>
      <c r="G5022">
        <v>0.68456298365783796</v>
      </c>
      <c r="H5022">
        <v>0.541448023508042</v>
      </c>
      <c r="I5022">
        <v>0.78750341888299102</v>
      </c>
      <c r="J5022">
        <v>1.0218870402817699</v>
      </c>
      <c r="K5022">
        <v>0.91726689364422198</v>
      </c>
      <c r="L5022">
        <v>13211.0141331746</v>
      </c>
      <c r="M5022">
        <v>250</v>
      </c>
      <c r="O5022">
        <v>52.840679024263999</v>
      </c>
      <c r="P5022">
        <v>-0.247756967195364</v>
      </c>
      <c r="Q5022">
        <v>0.79053367464518998</v>
      </c>
      <c r="R5022">
        <v>0.42980827199983102</v>
      </c>
      <c r="S5022" t="s">
        <v>11474</v>
      </c>
      <c r="T5022" t="s">
        <v>12902</v>
      </c>
      <c r="U5022" t="s">
        <v>12902</v>
      </c>
      <c r="V5022" t="s">
        <v>12902</v>
      </c>
      <c r="W5022" t="s">
        <v>17875</v>
      </c>
      <c r="X5022">
        <v>8</v>
      </c>
      <c r="Y5022" t="s">
        <v>24172</v>
      </c>
      <c r="Z5022" t="s">
        <v>30597</v>
      </c>
      <c r="AA5022">
        <v>0.88023301147472022</v>
      </c>
      <c r="AB5022" t="str">
        <f>HYPERLINK("Melting_Curves/meltCurve_Q96NB3_ZNF830.pdf", "Melting_Curves/meltCurve_Q96NB3_ZNF830.pdf")</f>
        <v>Melting_Curves/meltCurve_Q96NB3_ZNF830.pdf</v>
      </c>
    </row>
    <row r="5023" spans="1:28" x14ac:dyDescent="0.25">
      <c r="A5023" t="s">
        <v>5027</v>
      </c>
      <c r="B5023">
        <v>0.99673306730245903</v>
      </c>
      <c r="C5023">
        <v>1.0066197383727</v>
      </c>
      <c r="D5023">
        <v>1.0785816926398</v>
      </c>
      <c r="E5023">
        <v>1.0614571522670999</v>
      </c>
      <c r="F5023">
        <v>0.86939360159596901</v>
      </c>
      <c r="G5023">
        <v>0.799592422219912</v>
      </c>
      <c r="H5023">
        <v>0.68290308739429595</v>
      </c>
      <c r="I5023">
        <v>0.99966127764255797</v>
      </c>
      <c r="J5023">
        <v>1.26946034181765</v>
      </c>
      <c r="K5023">
        <v>1.2825653400807</v>
      </c>
      <c r="L5023">
        <v>14999.9995750405</v>
      </c>
      <c r="M5023">
        <v>226.56960973384099</v>
      </c>
      <c r="O5023">
        <v>66.199658981368302</v>
      </c>
      <c r="P5023">
        <v>0.241775873720906</v>
      </c>
      <c r="Q5023">
        <v>1.28257064807903</v>
      </c>
      <c r="R5023">
        <v>0.475708422866572</v>
      </c>
      <c r="S5023" t="s">
        <v>11475</v>
      </c>
      <c r="T5023" t="s">
        <v>12902</v>
      </c>
      <c r="U5023" t="s">
        <v>12902</v>
      </c>
      <c r="V5023" t="s">
        <v>12902</v>
      </c>
      <c r="W5023" t="s">
        <v>17876</v>
      </c>
      <c r="X5023">
        <v>10</v>
      </c>
      <c r="Y5023" t="s">
        <v>24173</v>
      </c>
      <c r="Z5023" t="s">
        <v>30598</v>
      </c>
      <c r="AA5023">
        <v>1.0357069490852</v>
      </c>
      <c r="AB5023" t="str">
        <f>HYPERLINK("Melting_Curves/meltCurve_Q96NC0_ZMAT2.pdf", "Melting_Curves/meltCurve_Q96NC0_ZMAT2.pdf")</f>
        <v>Melting_Curves/meltCurve_Q96NC0_ZMAT2.pdf</v>
      </c>
    </row>
    <row r="5024" spans="1:28" x14ac:dyDescent="0.25">
      <c r="A5024" t="s">
        <v>5028</v>
      </c>
      <c r="B5024">
        <v>0.99673306730245903</v>
      </c>
      <c r="C5024">
        <v>1.0225127372401299</v>
      </c>
      <c r="D5024">
        <v>0.97048998297325295</v>
      </c>
      <c r="E5024">
        <v>0.85261519732797497</v>
      </c>
      <c r="F5024">
        <v>0.71721118512227</v>
      </c>
      <c r="G5024">
        <v>0.60865532252120702</v>
      </c>
      <c r="H5024">
        <v>0.46867898236324501</v>
      </c>
      <c r="I5024">
        <v>0.83782049888937704</v>
      </c>
      <c r="J5024">
        <v>1.3168716530584099</v>
      </c>
      <c r="K5024">
        <v>1.3838441368301</v>
      </c>
      <c r="L5024">
        <v>15000</v>
      </c>
      <c r="M5024">
        <v>225.098077349108</v>
      </c>
      <c r="O5024">
        <v>66.632359461885997</v>
      </c>
      <c r="P5024">
        <v>0.32424347660317498</v>
      </c>
      <c r="Q5024">
        <v>1.3839234540676</v>
      </c>
      <c r="R5024">
        <v>0.241396880940494</v>
      </c>
      <c r="S5024" t="s">
        <v>11476</v>
      </c>
      <c r="T5024" t="s">
        <v>12902</v>
      </c>
      <c r="U5024" t="s">
        <v>12902</v>
      </c>
      <c r="V5024" t="s">
        <v>12902</v>
      </c>
      <c r="W5024" t="s">
        <v>17877</v>
      </c>
      <c r="X5024">
        <v>4</v>
      </c>
      <c r="Y5024" t="s">
        <v>24174</v>
      </c>
      <c r="Z5024" t="s">
        <v>30599</v>
      </c>
      <c r="AA5024">
        <v>1.042974592310528</v>
      </c>
      <c r="AB5024" t="str">
        <f>HYPERLINK("Melting_Curves/meltCurve_Q96NT1_NAP1L5.pdf", "Melting_Curves/meltCurve_Q96NT1_NAP1L5.pdf")</f>
        <v>Melting_Curves/meltCurve_Q96NT1_NAP1L5.pdf</v>
      </c>
    </row>
    <row r="5025" spans="1:28" x14ac:dyDescent="0.25">
      <c r="A5025" t="s">
        <v>5029</v>
      </c>
      <c r="B5025">
        <v>0.99673306730245903</v>
      </c>
      <c r="C5025">
        <v>0.95525812857432202</v>
      </c>
      <c r="D5025">
        <v>0.92361911100225302</v>
      </c>
      <c r="E5025">
        <v>0.86241387458230601</v>
      </c>
      <c r="F5025">
        <v>0.66470917460420698</v>
      </c>
      <c r="G5025">
        <v>0.38255316737040901</v>
      </c>
      <c r="H5025">
        <v>0.22289048307524101</v>
      </c>
      <c r="I5025">
        <v>0.22416074859243601</v>
      </c>
      <c r="J5025">
        <v>0.222386068689956</v>
      </c>
      <c r="K5025">
        <v>0.196141750465851</v>
      </c>
      <c r="L5025">
        <v>1064.4590043537501</v>
      </c>
      <c r="M5025">
        <v>19.8003511194532</v>
      </c>
      <c r="N5025">
        <v>55.040173111276701</v>
      </c>
      <c r="O5025">
        <v>53.2202585989995</v>
      </c>
      <c r="P5025">
        <v>-7.5846446277724397E-2</v>
      </c>
      <c r="Q5025">
        <v>0.18457390250810499</v>
      </c>
      <c r="R5025">
        <v>0.99365796436933096</v>
      </c>
      <c r="S5025" t="s">
        <v>11477</v>
      </c>
      <c r="T5025" t="s">
        <v>12902</v>
      </c>
      <c r="U5025" t="s">
        <v>12902</v>
      </c>
      <c r="V5025" t="s">
        <v>12902</v>
      </c>
      <c r="W5025" t="s">
        <v>17878</v>
      </c>
      <c r="X5025">
        <v>3</v>
      </c>
      <c r="Y5025" t="s">
        <v>24175</v>
      </c>
      <c r="Z5025" t="s">
        <v>30600</v>
      </c>
      <c r="AA5025">
        <v>0.56987710256385138</v>
      </c>
      <c r="AB5025" t="str">
        <f>HYPERLINK("Melting_Curves/meltCurve_Q96NU7_AMDHD1.pdf", "Melting_Curves/meltCurve_Q96NU7_AMDHD1.pdf")</f>
        <v>Melting_Curves/meltCurve_Q96NU7_AMDHD1.pdf</v>
      </c>
    </row>
    <row r="5026" spans="1:28" x14ac:dyDescent="0.25">
      <c r="A5026" t="s">
        <v>5030</v>
      </c>
      <c r="B5026">
        <v>0.99673306730245903</v>
      </c>
      <c r="C5026">
        <v>1.05142055346814</v>
      </c>
      <c r="D5026">
        <v>1.0331286806356801</v>
      </c>
      <c r="E5026">
        <v>0.76937583378909002</v>
      </c>
      <c r="F5026">
        <v>0.37752965142247502</v>
      </c>
      <c r="G5026">
        <v>0.21711938910878401</v>
      </c>
      <c r="H5026">
        <v>0.15741663581159901</v>
      </c>
      <c r="I5026">
        <v>0.12553470940022901</v>
      </c>
      <c r="J5026">
        <v>0.14701340407164601</v>
      </c>
      <c r="K5026">
        <v>0.13197161264773699</v>
      </c>
      <c r="L5026">
        <v>1513.3537872991501</v>
      </c>
      <c r="M5026">
        <v>29.413627775042698</v>
      </c>
      <c r="N5026">
        <v>52.0429332842211</v>
      </c>
      <c r="O5026">
        <v>51.214708298497797</v>
      </c>
      <c r="P5026">
        <v>-0.123161173315407</v>
      </c>
      <c r="Q5026">
        <v>0.14221813552465501</v>
      </c>
      <c r="R5026">
        <v>0.99491255957265801</v>
      </c>
      <c r="S5026" t="s">
        <v>11478</v>
      </c>
      <c r="T5026" t="s">
        <v>12902</v>
      </c>
      <c r="U5026" t="s">
        <v>12902</v>
      </c>
      <c r="V5026" t="s">
        <v>12902</v>
      </c>
      <c r="W5026" t="s">
        <v>17879</v>
      </c>
      <c r="X5026">
        <v>9</v>
      </c>
      <c r="Y5026" t="s">
        <v>24176</v>
      </c>
      <c r="Z5026" t="s">
        <v>30601</v>
      </c>
      <c r="AA5026">
        <v>0.47527782528594531</v>
      </c>
      <c r="AB5026" t="str">
        <f>HYPERLINK("Melting_Curves/meltCurve_Q96NY7_2_CLIC6.pdf", "Melting_Curves/meltCurve_Q96NY7_2_CLIC6.pdf")</f>
        <v>Melting_Curves/meltCurve_Q96NY7_2_CLIC6.pdf</v>
      </c>
    </row>
    <row r="5027" spans="1:28" x14ac:dyDescent="0.25">
      <c r="A5027" t="s">
        <v>5031</v>
      </c>
      <c r="B5027">
        <v>0.99673306730245903</v>
      </c>
      <c r="C5027">
        <v>0.89768515007221406</v>
      </c>
      <c r="D5027">
        <v>0.55270676895218596</v>
      </c>
      <c r="E5027">
        <v>0.37096941776384301</v>
      </c>
      <c r="F5027">
        <v>0.32330855582636198</v>
      </c>
      <c r="G5027">
        <v>0.20631244106208499</v>
      </c>
      <c r="H5027">
        <v>0.129923661867823</v>
      </c>
      <c r="I5027">
        <v>9.5603540550832297E-2</v>
      </c>
      <c r="J5027">
        <v>5.8687719784355698E-2</v>
      </c>
      <c r="K5027">
        <v>3.36802021546945E-2</v>
      </c>
      <c r="L5027">
        <v>635.68241098871204</v>
      </c>
      <c r="M5027">
        <v>13.3462466376007</v>
      </c>
      <c r="N5027">
        <v>48.1381801295869</v>
      </c>
      <c r="O5027">
        <v>46.5988306683888</v>
      </c>
      <c r="P5027">
        <v>-6.6908059765687006E-2</v>
      </c>
      <c r="Q5027">
        <v>6.5702810311058193E-2</v>
      </c>
      <c r="R5027">
        <v>0.97308744764492205</v>
      </c>
      <c r="S5027" t="s">
        <v>11479</v>
      </c>
      <c r="T5027" t="s">
        <v>12902</v>
      </c>
      <c r="U5027" t="s">
        <v>12902</v>
      </c>
      <c r="V5027" t="s">
        <v>12902</v>
      </c>
      <c r="W5027" t="s">
        <v>17880</v>
      </c>
      <c r="X5027">
        <v>7</v>
      </c>
      <c r="Y5027" t="s">
        <v>24177</v>
      </c>
      <c r="Z5027" t="s">
        <v>30602</v>
      </c>
      <c r="AA5027">
        <v>0.33411741851593257</v>
      </c>
      <c r="AB5027" t="str">
        <f>HYPERLINK("Melting_Curves/meltCurve_Q96P11_2_NSUN5.pdf", "Melting_Curves/meltCurve_Q96P11_2_NSUN5.pdf")</f>
        <v>Melting_Curves/meltCurve_Q96P11_2_NSUN5.pdf</v>
      </c>
    </row>
    <row r="5028" spans="1:28" x14ac:dyDescent="0.25">
      <c r="A5028" t="s">
        <v>5032</v>
      </c>
      <c r="B5028">
        <v>0.99673306730245903</v>
      </c>
      <c r="C5028">
        <v>0.95515508776813696</v>
      </c>
      <c r="D5028">
        <v>0.78506745289205604</v>
      </c>
      <c r="E5028">
        <v>0.32846525336572902</v>
      </c>
      <c r="F5028">
        <v>0.191013367648043</v>
      </c>
      <c r="G5028">
        <v>0.139378373662782</v>
      </c>
      <c r="H5028">
        <v>9.2219539949235596E-2</v>
      </c>
      <c r="I5028">
        <v>0.10389229734106301</v>
      </c>
      <c r="J5028">
        <v>0.113662347210243</v>
      </c>
      <c r="K5028">
        <v>9.1964546567499694E-2</v>
      </c>
      <c r="L5028">
        <v>1314.8433977265699</v>
      </c>
      <c r="M5028">
        <v>27.510385709426501</v>
      </c>
      <c r="N5028">
        <v>48.224148168499099</v>
      </c>
      <c r="O5028">
        <v>47.5440336015116</v>
      </c>
      <c r="P5028">
        <v>-0.128934064793673</v>
      </c>
      <c r="Q5028">
        <v>0.108701823524238</v>
      </c>
      <c r="R5028">
        <v>0.99794915868238698</v>
      </c>
      <c r="S5028" t="s">
        <v>11480</v>
      </c>
      <c r="T5028" t="s">
        <v>12902</v>
      </c>
      <c r="U5028" t="s">
        <v>12902</v>
      </c>
      <c r="V5028" t="s">
        <v>12902</v>
      </c>
      <c r="W5028" t="s">
        <v>17881</v>
      </c>
      <c r="X5028">
        <v>8</v>
      </c>
      <c r="Y5028" t="s">
        <v>24178</v>
      </c>
      <c r="Z5028" t="s">
        <v>30603</v>
      </c>
      <c r="AA5028">
        <v>0.34670405645991181</v>
      </c>
      <c r="AB5028" t="str">
        <f>HYPERLINK("Melting_Curves/meltCurve_Q96P16_RPRD1A.pdf", "Melting_Curves/meltCurve_Q96P16_RPRD1A.pdf")</f>
        <v>Melting_Curves/meltCurve_Q96P16_RPRD1A.pdf</v>
      </c>
    </row>
    <row r="5029" spans="1:28" x14ac:dyDescent="0.25">
      <c r="A5029" t="s">
        <v>5033</v>
      </c>
      <c r="B5029">
        <v>0.99673306730245903</v>
      </c>
      <c r="C5029">
        <v>0.89882566443065004</v>
      </c>
      <c r="D5029">
        <v>0.49780325586754798</v>
      </c>
      <c r="E5029">
        <v>0.28600893171481601</v>
      </c>
      <c r="F5029">
        <v>0.20839543291142801</v>
      </c>
      <c r="G5029">
        <v>0.14980158278427699</v>
      </c>
      <c r="H5029">
        <v>9.1823202934608203E-2</v>
      </c>
      <c r="I5029">
        <v>9.0058516643264599E-2</v>
      </c>
      <c r="J5029">
        <v>6.3332873186776897E-2</v>
      </c>
      <c r="K5029">
        <v>5.6041619827612001E-2</v>
      </c>
      <c r="L5029">
        <v>956.71960656939495</v>
      </c>
      <c r="M5029">
        <v>20.7342224271137</v>
      </c>
      <c r="N5029">
        <v>46.6129526257604</v>
      </c>
      <c r="O5029">
        <v>45.719271567344201</v>
      </c>
      <c r="P5029">
        <v>-0.102667937517677</v>
      </c>
      <c r="Q5029">
        <v>9.4488132404867295E-2</v>
      </c>
      <c r="R5029">
        <v>0.985339302633926</v>
      </c>
      <c r="S5029" t="s">
        <v>11481</v>
      </c>
      <c r="T5029" t="s">
        <v>12902</v>
      </c>
      <c r="U5029" t="s">
        <v>12902</v>
      </c>
      <c r="V5029" t="s">
        <v>12902</v>
      </c>
      <c r="W5029" t="s">
        <v>17882</v>
      </c>
      <c r="X5029">
        <v>14</v>
      </c>
      <c r="Y5029" t="s">
        <v>24179</v>
      </c>
      <c r="Z5029" t="s">
        <v>30604</v>
      </c>
      <c r="AA5029">
        <v>0.2926452579932976</v>
      </c>
      <c r="AB5029" t="str">
        <f>HYPERLINK("Melting_Curves/meltCurve_Q96P48_3_ARAP1.pdf", "Melting_Curves/meltCurve_Q96P48_3_ARAP1.pdf")</f>
        <v>Melting_Curves/meltCurve_Q96P48_3_ARAP1.pdf</v>
      </c>
    </row>
    <row r="5030" spans="1:28" x14ac:dyDescent="0.25">
      <c r="A5030" t="s">
        <v>5034</v>
      </c>
      <c r="B5030">
        <v>0.99673306730245903</v>
      </c>
      <c r="C5030">
        <v>0.88964391926703101</v>
      </c>
      <c r="D5030">
        <v>0.815238524196363</v>
      </c>
      <c r="E5030">
        <v>0.629730518508683</v>
      </c>
      <c r="F5030">
        <v>0.25098855881423199</v>
      </c>
      <c r="G5030">
        <v>0.141673261040837</v>
      </c>
      <c r="H5030">
        <v>8.2479090051290893E-2</v>
      </c>
      <c r="I5030">
        <v>7.6734924771980906E-2</v>
      </c>
      <c r="J5030">
        <v>7.3512888842476296E-2</v>
      </c>
      <c r="K5030">
        <v>6.3881804485647703E-2</v>
      </c>
      <c r="L5030">
        <v>893.99817198251401</v>
      </c>
      <c r="M5030">
        <v>17.8529243978648</v>
      </c>
      <c r="N5030">
        <v>50.374684869498502</v>
      </c>
      <c r="O5030">
        <v>49.460115829766202</v>
      </c>
      <c r="P5030">
        <v>-8.5707424780447405E-2</v>
      </c>
      <c r="Q5030">
        <v>5.0265805328698801E-2</v>
      </c>
      <c r="R5030">
        <v>0.99145387399745</v>
      </c>
      <c r="S5030" t="s">
        <v>11482</v>
      </c>
      <c r="T5030" t="s">
        <v>12902</v>
      </c>
      <c r="U5030" t="s">
        <v>12902</v>
      </c>
      <c r="V5030" t="s">
        <v>12902</v>
      </c>
      <c r="W5030" t="s">
        <v>17883</v>
      </c>
      <c r="X5030">
        <v>17</v>
      </c>
      <c r="Y5030" t="s">
        <v>24180</v>
      </c>
      <c r="Z5030" t="s">
        <v>30605</v>
      </c>
      <c r="AA5030">
        <v>0.38567444945538459</v>
      </c>
      <c r="AB5030" t="str">
        <f>HYPERLINK("Melting_Curves/meltCurve_Q96P70_IPO9.pdf", "Melting_Curves/meltCurve_Q96P70_IPO9.pdf")</f>
        <v>Melting_Curves/meltCurve_Q96P70_IPO9.pdf</v>
      </c>
    </row>
    <row r="5031" spans="1:28" x14ac:dyDescent="0.25">
      <c r="A5031" t="s">
        <v>5035</v>
      </c>
      <c r="B5031">
        <v>0.99673306730245903</v>
      </c>
      <c r="C5031">
        <v>1.0124911428541199</v>
      </c>
      <c r="D5031">
        <v>0.988180013294788</v>
      </c>
      <c r="E5031">
        <v>0.83590947615941702</v>
      </c>
      <c r="F5031">
        <v>0.69019875479312898</v>
      </c>
      <c r="G5031">
        <v>0.57261668831242896</v>
      </c>
      <c r="H5031">
        <v>0.46009033216776501</v>
      </c>
      <c r="I5031">
        <v>0.62130909313715199</v>
      </c>
      <c r="J5031">
        <v>0.716456192177234</v>
      </c>
      <c r="K5031">
        <v>0.71766955189859005</v>
      </c>
      <c r="L5031">
        <v>1758.4519966923201</v>
      </c>
      <c r="M5031">
        <v>35.104101164418999</v>
      </c>
      <c r="O5031">
        <v>49.930771928770199</v>
      </c>
      <c r="P5031">
        <v>-6.6686355749020695E-2</v>
      </c>
      <c r="Q5031">
        <v>0.62059253653327295</v>
      </c>
      <c r="R5031">
        <v>0.85331507682182195</v>
      </c>
      <c r="S5031" t="s">
        <v>11483</v>
      </c>
      <c r="T5031" t="s">
        <v>12902</v>
      </c>
      <c r="U5031" t="s">
        <v>12902</v>
      </c>
      <c r="V5031" t="s">
        <v>12902</v>
      </c>
      <c r="W5031" t="s">
        <v>17884</v>
      </c>
      <c r="X5031">
        <v>1</v>
      </c>
      <c r="Y5031" t="s">
        <v>24181</v>
      </c>
      <c r="Z5031" t="s">
        <v>30606</v>
      </c>
      <c r="AA5031">
        <v>0.74994202131573939</v>
      </c>
      <c r="AB5031" t="str">
        <f>HYPERLINK("Melting_Curves/meltCurve_Q96PD2_DCBLD2.pdf", "Melting_Curves/meltCurve_Q96PD2_DCBLD2.pdf")</f>
        <v>Melting_Curves/meltCurve_Q96PD2_DCBLD2.pdf</v>
      </c>
    </row>
    <row r="5032" spans="1:28" x14ac:dyDescent="0.25">
      <c r="A5032" t="s">
        <v>5036</v>
      </c>
      <c r="B5032">
        <v>0.99673306730245903</v>
      </c>
      <c r="C5032">
        <v>0.93369054326154199</v>
      </c>
      <c r="D5032">
        <v>0.99413251062014796</v>
      </c>
      <c r="E5032">
        <v>0.676131406467256</v>
      </c>
      <c r="F5032">
        <v>0.65694920136615798</v>
      </c>
      <c r="G5032">
        <v>0.416180037545203</v>
      </c>
      <c r="H5032">
        <v>0.41520426435791702</v>
      </c>
      <c r="I5032">
        <v>0.53171613909086701</v>
      </c>
      <c r="J5032">
        <v>0.63720011985359903</v>
      </c>
      <c r="K5032">
        <v>0.62313740903308101</v>
      </c>
      <c r="L5032">
        <v>1858.4059188666399</v>
      </c>
      <c r="M5032">
        <v>38.085160865420796</v>
      </c>
      <c r="O5032">
        <v>48.662113228157502</v>
      </c>
      <c r="P5032">
        <v>-8.9933987486128103E-2</v>
      </c>
      <c r="Q5032">
        <v>0.54035989290111397</v>
      </c>
      <c r="R5032">
        <v>0.85227260500014701</v>
      </c>
      <c r="S5032" t="s">
        <v>11484</v>
      </c>
      <c r="T5032" t="s">
        <v>12902</v>
      </c>
      <c r="U5032" t="s">
        <v>12902</v>
      </c>
      <c r="V5032" t="s">
        <v>12902</v>
      </c>
      <c r="W5032" t="s">
        <v>17885</v>
      </c>
      <c r="X5032">
        <v>1</v>
      </c>
      <c r="Y5032" t="s">
        <v>24182</v>
      </c>
      <c r="Z5032" t="s">
        <v>30607</v>
      </c>
      <c r="AA5032">
        <v>0.67684204413141524</v>
      </c>
      <c r="AB5032" t="str">
        <f>HYPERLINK("Melting_Curves/meltCurve_Q96PE2_ARHGEF17.pdf", "Melting_Curves/meltCurve_Q96PE2_ARHGEF17.pdf")</f>
        <v>Melting_Curves/meltCurve_Q96PE2_ARHGEF17.pdf</v>
      </c>
    </row>
    <row r="5033" spans="1:28" x14ac:dyDescent="0.25">
      <c r="A5033" t="s">
        <v>5037</v>
      </c>
      <c r="B5033">
        <v>0.99673306730245903</v>
      </c>
      <c r="C5033">
        <v>1.04930862633523</v>
      </c>
      <c r="D5033">
        <v>0.99853099634198195</v>
      </c>
      <c r="E5033">
        <v>0.97575695068875701</v>
      </c>
      <c r="F5033">
        <v>0.87527096367813795</v>
      </c>
      <c r="G5033">
        <v>0.78688754388309501</v>
      </c>
      <c r="H5033">
        <v>0.61026108712614902</v>
      </c>
      <c r="I5033">
        <v>0.61689517169624397</v>
      </c>
      <c r="J5033">
        <v>0.36087751353221398</v>
      </c>
      <c r="K5033">
        <v>0.22281377848245201</v>
      </c>
      <c r="L5033">
        <v>718.74889362767897</v>
      </c>
      <c r="M5033">
        <v>11.217558659685499</v>
      </c>
      <c r="N5033">
        <v>64.073571865824405</v>
      </c>
      <c r="O5033">
        <v>62.138535660028197</v>
      </c>
      <c r="P5033">
        <v>-4.51453847920733E-2</v>
      </c>
      <c r="Q5033">
        <v>0</v>
      </c>
      <c r="R5033">
        <v>0.97020229432754801</v>
      </c>
      <c r="S5033" t="s">
        <v>11485</v>
      </c>
      <c r="T5033" t="s">
        <v>12902</v>
      </c>
      <c r="U5033" t="s">
        <v>12902</v>
      </c>
      <c r="V5033" t="s">
        <v>12902</v>
      </c>
      <c r="W5033" t="s">
        <v>17886</v>
      </c>
      <c r="X5033">
        <v>7</v>
      </c>
      <c r="Y5033" t="s">
        <v>24183</v>
      </c>
      <c r="Z5033" t="s">
        <v>30608</v>
      </c>
      <c r="AA5033">
        <v>0.76793862252313405</v>
      </c>
      <c r="AB5033" t="str">
        <f>HYPERLINK("Melting_Curves/meltCurve_Q96PE7_MCEE.pdf", "Melting_Curves/meltCurve_Q96PE7_MCEE.pdf")</f>
        <v>Melting_Curves/meltCurve_Q96PE7_MCEE.pdf</v>
      </c>
    </row>
    <row r="5034" spans="1:28" x14ac:dyDescent="0.25">
      <c r="A5034" t="s">
        <v>5038</v>
      </c>
      <c r="B5034">
        <v>0.99673306730245903</v>
      </c>
      <c r="C5034">
        <v>0.79326762688422903</v>
      </c>
      <c r="D5034">
        <v>0.466721301598372</v>
      </c>
      <c r="E5034">
        <v>0.32933873724290402</v>
      </c>
      <c r="F5034">
        <v>0.26112295313742101</v>
      </c>
      <c r="G5034">
        <v>0.18987887624967201</v>
      </c>
      <c r="H5034">
        <v>0.13974816130838899</v>
      </c>
      <c r="I5034">
        <v>0.16583310545431201</v>
      </c>
      <c r="J5034">
        <v>0.244852562698265</v>
      </c>
      <c r="K5034">
        <v>0.28770114281891601</v>
      </c>
      <c r="L5034">
        <v>1060.9219537366</v>
      </c>
      <c r="M5034">
        <v>23.679797930807101</v>
      </c>
      <c r="N5034">
        <v>45.889431850794402</v>
      </c>
      <c r="O5034">
        <v>44.486976549853999</v>
      </c>
      <c r="P5034">
        <v>-0.10451654254442901</v>
      </c>
      <c r="Q5034">
        <v>0.214596776657724</v>
      </c>
      <c r="R5034">
        <v>0.97281972566491604</v>
      </c>
      <c r="S5034" t="s">
        <v>11486</v>
      </c>
      <c r="T5034" t="s">
        <v>12902</v>
      </c>
      <c r="U5034" t="s">
        <v>12902</v>
      </c>
      <c r="V5034" t="s">
        <v>12902</v>
      </c>
      <c r="W5034" t="s">
        <v>17887</v>
      </c>
      <c r="X5034">
        <v>6</v>
      </c>
      <c r="Y5034" t="s">
        <v>24184</v>
      </c>
      <c r="Z5034" t="s">
        <v>30609</v>
      </c>
      <c r="AA5034">
        <v>0.34945014996043061</v>
      </c>
      <c r="AB5034" t="str">
        <f>HYPERLINK("Melting_Curves/meltCurve_Q96PK6_RBM14.pdf", "Melting_Curves/meltCurve_Q96PK6_RBM14.pdf")</f>
        <v>Melting_Curves/meltCurve_Q96PK6_RBM14.pdf</v>
      </c>
    </row>
    <row r="5035" spans="1:28" x14ac:dyDescent="0.25">
      <c r="A5035" t="s">
        <v>5039</v>
      </c>
      <c r="B5035">
        <v>0.99673306730245903</v>
      </c>
      <c r="C5035">
        <v>0.974370369957823</v>
      </c>
      <c r="D5035">
        <v>0.97627717378048595</v>
      </c>
      <c r="E5035">
        <v>0.75113440222441996</v>
      </c>
      <c r="F5035">
        <v>0.48054644570416499</v>
      </c>
      <c r="G5035">
        <v>0.28057603331214398</v>
      </c>
      <c r="H5035">
        <v>0.20156796726187501</v>
      </c>
      <c r="I5035">
        <v>0.16436479791922301</v>
      </c>
      <c r="J5035">
        <v>0.21157553696207501</v>
      </c>
      <c r="K5035">
        <v>0.224911494270541</v>
      </c>
      <c r="L5035">
        <v>1169.71333414989</v>
      </c>
      <c r="M5035">
        <v>22.661306120499098</v>
      </c>
      <c r="N5035">
        <v>52.7416142350244</v>
      </c>
      <c r="O5035">
        <v>51.220296756709601</v>
      </c>
      <c r="P5035">
        <v>-8.9419447910952299E-2</v>
      </c>
      <c r="Q5035">
        <v>0.19157358198827301</v>
      </c>
      <c r="R5035">
        <v>0.99625944384439502</v>
      </c>
      <c r="S5035" t="s">
        <v>11487</v>
      </c>
      <c r="T5035" t="s">
        <v>12902</v>
      </c>
      <c r="U5035" t="s">
        <v>12902</v>
      </c>
      <c r="V5035" t="s">
        <v>12902</v>
      </c>
      <c r="W5035" t="s">
        <v>17888</v>
      </c>
      <c r="X5035">
        <v>7</v>
      </c>
      <c r="Y5035" t="s">
        <v>24185</v>
      </c>
      <c r="Z5035" t="s">
        <v>30610</v>
      </c>
      <c r="AA5035">
        <v>0.51350677433228176</v>
      </c>
      <c r="AB5035" t="str">
        <f>HYPERLINK("Melting_Curves/meltCurve_Q96PM5_RCHY1.pdf", "Melting_Curves/meltCurve_Q96PM5_RCHY1.pdf")</f>
        <v>Melting_Curves/meltCurve_Q96PM5_RCHY1.pdf</v>
      </c>
    </row>
    <row r="5036" spans="1:28" x14ac:dyDescent="0.25">
      <c r="A5036" t="s">
        <v>5040</v>
      </c>
      <c r="B5036">
        <v>0.99673306730245903</v>
      </c>
      <c r="C5036">
        <v>0.92548679585393701</v>
      </c>
      <c r="D5036">
        <v>0.94491246727047695</v>
      </c>
      <c r="E5036">
        <v>0.45864613031116902</v>
      </c>
      <c r="F5036">
        <v>0.20150337828624501</v>
      </c>
      <c r="G5036">
        <v>0.115206186642233</v>
      </c>
      <c r="H5036">
        <v>7.9234412697558307E-2</v>
      </c>
      <c r="I5036">
        <v>7.5176730029737598E-2</v>
      </c>
      <c r="J5036">
        <v>8.3632629509270195E-2</v>
      </c>
      <c r="K5036">
        <v>7.7143611436749596E-2</v>
      </c>
      <c r="L5036">
        <v>1512.62550798341</v>
      </c>
      <c r="M5036">
        <v>30.757064623710399</v>
      </c>
      <c r="N5036">
        <v>49.485141133153903</v>
      </c>
      <c r="O5036">
        <v>48.973279450685098</v>
      </c>
      <c r="P5036">
        <v>-0.143439547876346</v>
      </c>
      <c r="Q5036">
        <v>8.6432506365809902E-2</v>
      </c>
      <c r="R5036">
        <v>0.994357274309143</v>
      </c>
      <c r="S5036" t="s">
        <v>11488</v>
      </c>
      <c r="T5036" t="s">
        <v>12902</v>
      </c>
      <c r="U5036" t="s">
        <v>12902</v>
      </c>
      <c r="V5036" t="s">
        <v>12902</v>
      </c>
      <c r="W5036" t="s">
        <v>17889</v>
      </c>
      <c r="X5036">
        <v>3</v>
      </c>
      <c r="Y5036" t="s">
        <v>24186</v>
      </c>
      <c r="Z5036" t="s">
        <v>30611</v>
      </c>
      <c r="AA5036">
        <v>0.37127902616315472</v>
      </c>
      <c r="AB5036" t="str">
        <f>HYPERLINK("Melting_Curves/meltCurve_Q96PY5_FMNL2.pdf", "Melting_Curves/meltCurve_Q96PY5_FMNL2.pdf")</f>
        <v>Melting_Curves/meltCurve_Q96PY5_FMNL2.pdf</v>
      </c>
    </row>
    <row r="5037" spans="1:28" x14ac:dyDescent="0.25">
      <c r="A5037" t="s">
        <v>5041</v>
      </c>
      <c r="B5037">
        <v>0.99673306730245903</v>
      </c>
      <c r="C5037">
        <v>0.902050877254717</v>
      </c>
      <c r="D5037">
        <v>0.69801230211745302</v>
      </c>
      <c r="E5037">
        <v>0.64126914892856901</v>
      </c>
      <c r="F5037">
        <v>0.27112112582119602</v>
      </c>
      <c r="G5037">
        <v>0.14302399048258599</v>
      </c>
      <c r="H5037">
        <v>7.6283542928470699E-2</v>
      </c>
      <c r="I5037">
        <v>6.2498599779294603E-2</v>
      </c>
      <c r="J5037">
        <v>6.7399448611689602E-2</v>
      </c>
      <c r="K5037">
        <v>5.9568098728585601E-2</v>
      </c>
      <c r="L5037">
        <v>708.63115210521903</v>
      </c>
      <c r="M5037">
        <v>14.191222552421801</v>
      </c>
      <c r="N5037">
        <v>50.099708616975597</v>
      </c>
      <c r="O5037">
        <v>48.974304171632497</v>
      </c>
      <c r="P5037">
        <v>-7.0794772664552405E-2</v>
      </c>
      <c r="Q5037">
        <v>2.2863702714652601E-2</v>
      </c>
      <c r="R5037">
        <v>0.98304852820796995</v>
      </c>
      <c r="S5037" t="s">
        <v>11489</v>
      </c>
      <c r="T5037" t="s">
        <v>12902</v>
      </c>
      <c r="U5037" t="s">
        <v>12902</v>
      </c>
      <c r="V5037" t="s">
        <v>12902</v>
      </c>
      <c r="W5037" t="s">
        <v>17890</v>
      </c>
      <c r="X5037">
        <v>30</v>
      </c>
      <c r="Y5037" t="s">
        <v>24187</v>
      </c>
      <c r="Z5037" t="s">
        <v>30612</v>
      </c>
      <c r="AA5037">
        <v>0.37217794922910791</v>
      </c>
      <c r="AB5037" t="str">
        <f>HYPERLINK("Melting_Curves/meltCurve_Q96PZ0_PUS7.pdf", "Melting_Curves/meltCurve_Q96PZ0_PUS7.pdf")</f>
        <v>Melting_Curves/meltCurve_Q96PZ0_PUS7.pdf</v>
      </c>
    </row>
    <row r="5038" spans="1:28" x14ac:dyDescent="0.25">
      <c r="A5038" t="s">
        <v>5042</v>
      </c>
      <c r="B5038">
        <v>0.99673306730245903</v>
      </c>
      <c r="C5038">
        <v>0.74760671327344197</v>
      </c>
      <c r="D5038">
        <v>1.1162421955706601</v>
      </c>
      <c r="E5038">
        <v>0.77573510306564097</v>
      </c>
      <c r="F5038">
        <v>0.20229134573777199</v>
      </c>
      <c r="G5038">
        <v>0.15057078850465999</v>
      </c>
      <c r="H5038">
        <v>9.6543975759657494E-2</v>
      </c>
      <c r="I5038">
        <v>7.4063713228460296E-2</v>
      </c>
      <c r="J5038">
        <v>8.2146334753966294E-2</v>
      </c>
      <c r="K5038">
        <v>7.3856644264955099E-2</v>
      </c>
      <c r="L5038">
        <v>2334.2678887093298</v>
      </c>
      <c r="M5038">
        <v>45.898848401999203</v>
      </c>
      <c r="N5038">
        <v>51.088463978565997</v>
      </c>
      <c r="O5038">
        <v>50.760528203429097</v>
      </c>
      <c r="P5038">
        <v>-0.204816138703561</v>
      </c>
      <c r="Q5038">
        <v>9.3958710791469002E-2</v>
      </c>
      <c r="R5038">
        <v>0.94946706949262305</v>
      </c>
      <c r="S5038" t="s">
        <v>11490</v>
      </c>
      <c r="T5038" t="s">
        <v>12902</v>
      </c>
      <c r="U5038" t="s">
        <v>12902</v>
      </c>
      <c r="V5038" t="s">
        <v>12902</v>
      </c>
      <c r="W5038" t="s">
        <v>17891</v>
      </c>
      <c r="X5038">
        <v>22</v>
      </c>
      <c r="Y5038" t="s">
        <v>24188</v>
      </c>
      <c r="Z5038" t="s">
        <v>30613</v>
      </c>
      <c r="AA5038">
        <v>0.42426294563490441</v>
      </c>
      <c r="AB5038" t="str">
        <f>HYPERLINK("Melting_Curves/meltCurve_Q96Q11_2_TRNT1.pdf", "Melting_Curves/meltCurve_Q96Q11_2_TRNT1.pdf")</f>
        <v>Melting_Curves/meltCurve_Q96Q11_2_TRNT1.pdf</v>
      </c>
    </row>
    <row r="5039" spans="1:28" x14ac:dyDescent="0.25">
      <c r="A5039" t="s">
        <v>5043</v>
      </c>
      <c r="B5039">
        <v>0.99673306730245903</v>
      </c>
      <c r="C5039">
        <v>0.98671952427336995</v>
      </c>
      <c r="D5039">
        <v>0.92891138257074202</v>
      </c>
      <c r="E5039">
        <v>0.79431757318580798</v>
      </c>
      <c r="F5039">
        <v>0.57416444821705204</v>
      </c>
      <c r="G5039">
        <v>0.47513418454783701</v>
      </c>
      <c r="H5039">
        <v>0.334372532448172</v>
      </c>
      <c r="I5039">
        <v>0.301545012572697</v>
      </c>
      <c r="J5039">
        <v>0.382606656396555</v>
      </c>
      <c r="K5039">
        <v>0.30723129274081101</v>
      </c>
      <c r="L5039">
        <v>894.20348968551605</v>
      </c>
      <c r="M5039">
        <v>17.207413431161001</v>
      </c>
      <c r="N5039">
        <v>55.099787209256199</v>
      </c>
      <c r="O5039">
        <v>51.2795640631672</v>
      </c>
      <c r="P5039">
        <v>-5.7712924665199297E-2</v>
      </c>
      <c r="Q5039">
        <v>0.31208272168521201</v>
      </c>
      <c r="R5039">
        <v>0.990789202615461</v>
      </c>
      <c r="S5039" t="s">
        <v>11491</v>
      </c>
      <c r="T5039" t="s">
        <v>12902</v>
      </c>
      <c r="U5039" t="s">
        <v>12902</v>
      </c>
      <c r="V5039" t="s">
        <v>12902</v>
      </c>
      <c r="W5039" t="s">
        <v>17892</v>
      </c>
      <c r="X5039">
        <v>1</v>
      </c>
      <c r="Y5039" t="s">
        <v>24189</v>
      </c>
      <c r="Z5039" t="s">
        <v>30614</v>
      </c>
      <c r="AA5039">
        <v>0.5988319667515154</v>
      </c>
      <c r="AB5039" t="str">
        <f>HYPERLINK("Melting_Curves/meltCurve_Q96Q83_ALKBH3.pdf", "Melting_Curves/meltCurve_Q96Q83_ALKBH3.pdf")</f>
        <v>Melting_Curves/meltCurve_Q96Q83_ALKBH3.pdf</v>
      </c>
    </row>
    <row r="5040" spans="1:28" x14ac:dyDescent="0.25">
      <c r="A5040" t="s">
        <v>5044</v>
      </c>
      <c r="B5040">
        <v>0.99673306730245903</v>
      </c>
      <c r="C5040">
        <v>0.85989337360405904</v>
      </c>
      <c r="D5040">
        <v>0.79056017336539497</v>
      </c>
      <c r="E5040">
        <v>0.58937246619498096</v>
      </c>
      <c r="F5040">
        <v>0.37990576199318798</v>
      </c>
      <c r="G5040">
        <v>0.24159140598503201</v>
      </c>
      <c r="H5040">
        <v>0.16794176537660199</v>
      </c>
      <c r="I5040">
        <v>0.17140840700852</v>
      </c>
      <c r="J5040">
        <v>0.19040304113362699</v>
      </c>
      <c r="K5040">
        <v>0.24513941200952999</v>
      </c>
      <c r="L5040">
        <v>742.00887642780003</v>
      </c>
      <c r="M5040">
        <v>15.0749528680329</v>
      </c>
      <c r="N5040">
        <v>50.610594524408597</v>
      </c>
      <c r="O5040">
        <v>48.379526452920501</v>
      </c>
      <c r="P5040">
        <v>-6.4706706111352E-2</v>
      </c>
      <c r="Q5040">
        <v>0.169438267911555</v>
      </c>
      <c r="R5040">
        <v>0.98626743026928299</v>
      </c>
      <c r="S5040" t="s">
        <v>11492</v>
      </c>
      <c r="T5040" t="s">
        <v>12902</v>
      </c>
      <c r="U5040" t="s">
        <v>12902</v>
      </c>
      <c r="V5040" t="s">
        <v>12902</v>
      </c>
      <c r="W5040" t="s">
        <v>17893</v>
      </c>
      <c r="X5040">
        <v>16</v>
      </c>
      <c r="Y5040" t="s">
        <v>24190</v>
      </c>
      <c r="Z5040" t="s">
        <v>30615</v>
      </c>
      <c r="AA5040">
        <v>0.44487993378777552</v>
      </c>
      <c r="AB5040" t="str">
        <f>HYPERLINK("Melting_Curves/meltCurve_Q96QC0_PPP1R10.pdf", "Melting_Curves/meltCurve_Q96QC0_PPP1R10.pdf")</f>
        <v>Melting_Curves/meltCurve_Q96QC0_PPP1R10.pdf</v>
      </c>
    </row>
    <row r="5041" spans="1:28" x14ac:dyDescent="0.25">
      <c r="A5041" t="s">
        <v>5045</v>
      </c>
      <c r="B5041">
        <v>0.99673306730245903</v>
      </c>
      <c r="C5041">
        <v>0.95639342892016099</v>
      </c>
      <c r="D5041">
        <v>0.94625917357005496</v>
      </c>
      <c r="E5041">
        <v>0.83829131104071297</v>
      </c>
      <c r="F5041">
        <v>0.67558919124827499</v>
      </c>
      <c r="G5041">
        <v>0.45199229066144497</v>
      </c>
      <c r="H5041">
        <v>0.44455634653291598</v>
      </c>
      <c r="I5041">
        <v>0.46619640389673001</v>
      </c>
      <c r="J5041">
        <v>0.52820310497975898</v>
      </c>
      <c r="K5041">
        <v>0.48796164778946099</v>
      </c>
      <c r="L5041">
        <v>1258.29785410615</v>
      </c>
      <c r="M5041">
        <v>24.466573428253799</v>
      </c>
      <c r="N5041">
        <v>58.021902559098997</v>
      </c>
      <c r="O5041">
        <v>51.089397122934102</v>
      </c>
      <c r="P5041">
        <v>-6.3576976319926801E-2</v>
      </c>
      <c r="Q5041">
        <v>0.46897980841032599</v>
      </c>
      <c r="R5041">
        <v>0.972389593519421</v>
      </c>
      <c r="S5041" t="s">
        <v>11493</v>
      </c>
      <c r="T5041" t="s">
        <v>12902</v>
      </c>
      <c r="U5041" t="s">
        <v>12902</v>
      </c>
      <c r="V5041" t="s">
        <v>12902</v>
      </c>
      <c r="W5041" t="s">
        <v>17894</v>
      </c>
      <c r="X5041">
        <v>3</v>
      </c>
      <c r="Y5041" t="s">
        <v>24191</v>
      </c>
      <c r="Z5041" t="s">
        <v>30616</v>
      </c>
      <c r="AA5041">
        <v>0.67631147797563973</v>
      </c>
      <c r="AB5041" t="str">
        <f>HYPERLINK("Melting_Curves/meltCurve_Q96QC4_MICA.pdf", "Melting_Curves/meltCurve_Q96QC4_MICA.pdf")</f>
        <v>Melting_Curves/meltCurve_Q96QC4_MICA.pdf</v>
      </c>
    </row>
    <row r="5042" spans="1:28" x14ac:dyDescent="0.25">
      <c r="A5042" t="s">
        <v>5046</v>
      </c>
      <c r="B5042">
        <v>0.99673306730245903</v>
      </c>
      <c r="C5042">
        <v>0.95667609328472203</v>
      </c>
      <c r="D5042">
        <v>0.86107669636954498</v>
      </c>
      <c r="E5042">
        <v>0.76472431502093197</v>
      </c>
      <c r="F5042">
        <v>0.567266117919066</v>
      </c>
      <c r="G5042">
        <v>0.487925590036836</v>
      </c>
      <c r="H5042">
        <v>0.42987598609910999</v>
      </c>
      <c r="I5042">
        <v>0.54890877266689997</v>
      </c>
      <c r="J5042">
        <v>0.51659820207691498</v>
      </c>
      <c r="K5042">
        <v>0.46810611756541598</v>
      </c>
      <c r="L5042">
        <v>930.820405705805</v>
      </c>
      <c r="M5042">
        <v>18.901250638284498</v>
      </c>
      <c r="N5042">
        <v>59.1296942513194</v>
      </c>
      <c r="O5042">
        <v>48.705187112868401</v>
      </c>
      <c r="P5042">
        <v>-5.0571008021820803E-2</v>
      </c>
      <c r="Q5042">
        <v>0.47877095946195802</v>
      </c>
      <c r="R5042">
        <v>0.96767847939134699</v>
      </c>
      <c r="S5042" t="s">
        <v>11494</v>
      </c>
      <c r="T5042" t="s">
        <v>12902</v>
      </c>
      <c r="U5042" t="s">
        <v>12902</v>
      </c>
      <c r="V5042" t="s">
        <v>12902</v>
      </c>
      <c r="W5042" t="s">
        <v>17895</v>
      </c>
      <c r="X5042">
        <v>3</v>
      </c>
      <c r="Y5042" t="s">
        <v>24192</v>
      </c>
      <c r="Z5042" t="s">
        <v>30617</v>
      </c>
      <c r="AA5042">
        <v>0.64758141171383743</v>
      </c>
      <c r="AB5042" t="str">
        <f>HYPERLINK("Melting_Curves/meltCurve_Q96QD8_SLC38A2.pdf", "Melting_Curves/meltCurve_Q96QD8_SLC38A2.pdf")</f>
        <v>Melting_Curves/meltCurve_Q96QD8_SLC38A2.pdf</v>
      </c>
    </row>
    <row r="5043" spans="1:28" x14ac:dyDescent="0.25">
      <c r="A5043" t="s">
        <v>5047</v>
      </c>
      <c r="B5043">
        <v>0.99673306730245903</v>
      </c>
      <c r="C5043">
        <v>0.97822873919864595</v>
      </c>
      <c r="D5043">
        <v>0.93741924928377396</v>
      </c>
      <c r="E5043">
        <v>0.93748651337730005</v>
      </c>
      <c r="F5043">
        <v>0.874551560643411</v>
      </c>
      <c r="G5043">
        <v>0.78672946675017297</v>
      </c>
      <c r="H5043">
        <v>0.62428906734963596</v>
      </c>
      <c r="I5043">
        <v>0.61644900623228305</v>
      </c>
      <c r="J5043">
        <v>0.68604538685500605</v>
      </c>
      <c r="K5043">
        <v>0.60993255081208797</v>
      </c>
      <c r="L5043">
        <v>902.52865470696497</v>
      </c>
      <c r="M5043">
        <v>16.369845106031399</v>
      </c>
      <c r="O5043">
        <v>54.330538639364001</v>
      </c>
      <c r="P5043">
        <v>-2.9619652846297601E-2</v>
      </c>
      <c r="Q5043">
        <v>0.60680475354768204</v>
      </c>
      <c r="R5043">
        <v>0.95219963754623804</v>
      </c>
      <c r="S5043" t="s">
        <v>11495</v>
      </c>
      <c r="T5043" t="s">
        <v>12902</v>
      </c>
      <c r="U5043" t="s">
        <v>12902</v>
      </c>
      <c r="V5043" t="s">
        <v>12902</v>
      </c>
      <c r="W5043" t="s">
        <v>17896</v>
      </c>
      <c r="X5043">
        <v>1</v>
      </c>
      <c r="Y5043" t="s">
        <v>24193</v>
      </c>
      <c r="Z5043" t="s">
        <v>30618</v>
      </c>
      <c r="AA5043">
        <v>0.81196838532198379</v>
      </c>
      <c r="AB5043" t="str">
        <f>HYPERLINK("Melting_Curves/meltCurve_Q96QE2_SLC2A13.pdf", "Melting_Curves/meltCurve_Q96QE2_SLC2A13.pdf")</f>
        <v>Melting_Curves/meltCurve_Q96QE2_SLC2A13.pdf</v>
      </c>
    </row>
    <row r="5044" spans="1:28" x14ac:dyDescent="0.25">
      <c r="A5044" t="s">
        <v>5048</v>
      </c>
      <c r="B5044">
        <v>0.99673306730245903</v>
      </c>
      <c r="C5044">
        <v>0.968688997865222</v>
      </c>
      <c r="D5044">
        <v>1.75339240842484</v>
      </c>
      <c r="E5044">
        <v>1.30698652980237</v>
      </c>
      <c r="F5044">
        <v>0.77732660922652996</v>
      </c>
      <c r="G5044">
        <v>0.20366431688042999</v>
      </c>
      <c r="H5044">
        <v>0.101847712324207</v>
      </c>
      <c r="I5044">
        <v>3.1382774059514597E-2</v>
      </c>
      <c r="J5044">
        <v>3.8461731826684699E-2</v>
      </c>
      <c r="K5044">
        <v>2.6724843342157599E-2</v>
      </c>
      <c r="L5044">
        <v>2637.1794776716401</v>
      </c>
      <c r="M5044">
        <v>48.211484577696098</v>
      </c>
      <c r="N5044">
        <v>54.820277446634002</v>
      </c>
      <c r="O5044">
        <v>54.606373085946203</v>
      </c>
      <c r="P5044">
        <v>-0.209666123468182</v>
      </c>
      <c r="Q5044">
        <v>5.00940220177035E-2</v>
      </c>
      <c r="R5044">
        <v>0.80948428751179202</v>
      </c>
      <c r="S5044" t="s">
        <v>11496</v>
      </c>
      <c r="T5044" t="s">
        <v>12902</v>
      </c>
      <c r="U5044" t="s">
        <v>12902</v>
      </c>
      <c r="V5044" t="s">
        <v>12902</v>
      </c>
      <c r="W5044" t="s">
        <v>17897</v>
      </c>
      <c r="X5044">
        <v>1</v>
      </c>
      <c r="Y5044" t="s">
        <v>24194</v>
      </c>
      <c r="Z5044" t="s">
        <v>30619</v>
      </c>
      <c r="AA5044">
        <v>0.51801994423092423</v>
      </c>
      <c r="AB5044" t="str">
        <f>HYPERLINK("Melting_Curves/meltCurve_Q96QE5_TEFM.pdf", "Melting_Curves/meltCurve_Q96QE5_TEFM.pdf")</f>
        <v>Melting_Curves/meltCurve_Q96QE5_TEFM.pdf</v>
      </c>
    </row>
    <row r="5045" spans="1:28" x14ac:dyDescent="0.25">
      <c r="A5045" t="s">
        <v>5049</v>
      </c>
      <c r="B5045">
        <v>0.99673306730245903</v>
      </c>
      <c r="C5045">
        <v>0.99176459642596604</v>
      </c>
      <c r="D5045">
        <v>0.96069566755950897</v>
      </c>
      <c r="E5045">
        <v>0.97718733982023898</v>
      </c>
      <c r="F5045">
        <v>0.35349271105418301</v>
      </c>
      <c r="G5045">
        <v>0.18975308288093701</v>
      </c>
      <c r="H5045">
        <v>8.7207489428498597E-2</v>
      </c>
      <c r="I5045">
        <v>7.3640954833105898E-2</v>
      </c>
      <c r="J5045">
        <v>8.5092913092921399E-2</v>
      </c>
      <c r="K5045">
        <v>7.7309797343272299E-2</v>
      </c>
      <c r="L5045">
        <v>2813.2320517704602</v>
      </c>
      <c r="M5045">
        <v>53.7562373035055</v>
      </c>
      <c r="N5045">
        <v>52.547501114155999</v>
      </c>
      <c r="O5045">
        <v>52.2608552323208</v>
      </c>
      <c r="P5045">
        <v>-0.23183396951330401</v>
      </c>
      <c r="Q5045">
        <v>9.8461180824853001E-2</v>
      </c>
      <c r="R5045">
        <v>0.99446268193384901</v>
      </c>
      <c r="S5045" t="s">
        <v>11497</v>
      </c>
      <c r="T5045" t="s">
        <v>12902</v>
      </c>
      <c r="U5045" t="s">
        <v>12902</v>
      </c>
      <c r="V5045" t="s">
        <v>12902</v>
      </c>
      <c r="W5045" t="s">
        <v>17898</v>
      </c>
      <c r="X5045">
        <v>6</v>
      </c>
      <c r="Y5045" t="s">
        <v>24195</v>
      </c>
      <c r="Z5045" t="s">
        <v>30620</v>
      </c>
      <c r="AA5045">
        <v>0.47088666767828941</v>
      </c>
      <c r="AB5045" t="str">
        <f>HYPERLINK("Melting_Curves/meltCurve_Q96QF0_2_RAB3IP.pdf", "Melting_Curves/meltCurve_Q96QF0_2_RAB3IP.pdf")</f>
        <v>Melting_Curves/meltCurve_Q96QF0_2_RAB3IP.pdf</v>
      </c>
    </row>
    <row r="5046" spans="1:28" x14ac:dyDescent="0.25">
      <c r="A5046" t="s">
        <v>5050</v>
      </c>
      <c r="B5046">
        <v>0.99673306730245903</v>
      </c>
      <c r="C5046">
        <v>0.97824168204347905</v>
      </c>
      <c r="D5046">
        <v>1.00485993083047</v>
      </c>
      <c r="E5046">
        <v>1.0574061008545601</v>
      </c>
      <c r="F5046">
        <v>0.59056730016001602</v>
      </c>
      <c r="G5046">
        <v>0.155245393948825</v>
      </c>
      <c r="H5046">
        <v>8.4163760319522593E-2</v>
      </c>
      <c r="I5046">
        <v>7.76148977208857E-2</v>
      </c>
      <c r="J5046">
        <v>8.4534646032805E-2</v>
      </c>
      <c r="K5046">
        <v>7.7298353073172801E-2</v>
      </c>
      <c r="L5046">
        <v>2896.0114795740801</v>
      </c>
      <c r="M5046">
        <v>54.1901739663315</v>
      </c>
      <c r="N5046">
        <v>53.632101982070097</v>
      </c>
      <c r="O5046">
        <v>53.369006955907501</v>
      </c>
      <c r="P5046">
        <v>-0.23162713231936499</v>
      </c>
      <c r="Q5046">
        <v>8.7531849135612197E-2</v>
      </c>
      <c r="R5046">
        <v>0.99631510783191302</v>
      </c>
      <c r="S5046" t="s">
        <v>11498</v>
      </c>
      <c r="T5046" t="s">
        <v>12902</v>
      </c>
      <c r="U5046" t="s">
        <v>12902</v>
      </c>
      <c r="V5046" t="s">
        <v>12902</v>
      </c>
      <c r="W5046" t="s">
        <v>17899</v>
      </c>
      <c r="X5046">
        <v>31</v>
      </c>
      <c r="Y5046" t="s">
        <v>24196</v>
      </c>
      <c r="Z5046" t="s">
        <v>30621</v>
      </c>
      <c r="AA5046">
        <v>0.49819683013755622</v>
      </c>
      <c r="AB5046" t="str">
        <f>HYPERLINK("Melting_Curves/meltCurve_Q96QK1_VPS35.pdf", "Melting_Curves/meltCurve_Q96QK1_VPS35.pdf")</f>
        <v>Melting_Curves/meltCurve_Q96QK1_VPS35.pdf</v>
      </c>
    </row>
    <row r="5047" spans="1:28" x14ac:dyDescent="0.25">
      <c r="A5047" t="s">
        <v>5051</v>
      </c>
      <c r="B5047">
        <v>0.99673306730245903</v>
      </c>
      <c r="C5047">
        <v>0.93731369852618196</v>
      </c>
      <c r="D5047">
        <v>0.89490273319037095</v>
      </c>
      <c r="E5047">
        <v>0.94805781630272301</v>
      </c>
      <c r="F5047">
        <v>0.72158833394536404</v>
      </c>
      <c r="G5047">
        <v>0.56758647354139102</v>
      </c>
      <c r="H5047">
        <v>0.43648235862321799</v>
      </c>
      <c r="I5047">
        <v>0.32591770343961701</v>
      </c>
      <c r="J5047">
        <v>0.257923275526732</v>
      </c>
      <c r="K5047">
        <v>0.185194841371664</v>
      </c>
      <c r="L5047">
        <v>600.260382774596</v>
      </c>
      <c r="M5047">
        <v>10.296475677624899</v>
      </c>
      <c r="N5047">
        <v>58.926432578941103</v>
      </c>
      <c r="O5047">
        <v>56.227115356833302</v>
      </c>
      <c r="P5047">
        <v>-4.3417900482269199E-2</v>
      </c>
      <c r="Q5047">
        <v>5.2024344700090798E-2</v>
      </c>
      <c r="R5047">
        <v>0.98644392938124204</v>
      </c>
      <c r="S5047" t="s">
        <v>11499</v>
      </c>
      <c r="T5047" t="s">
        <v>12902</v>
      </c>
      <c r="U5047" t="s">
        <v>12902</v>
      </c>
      <c r="V5047" t="s">
        <v>12902</v>
      </c>
      <c r="W5047" t="s">
        <v>17900</v>
      </c>
      <c r="X5047">
        <v>5</v>
      </c>
      <c r="Y5047" t="s">
        <v>24197</v>
      </c>
      <c r="Z5047" t="s">
        <v>30622</v>
      </c>
      <c r="AA5047">
        <v>0.63847441979641872</v>
      </c>
      <c r="AB5047" t="str">
        <f>HYPERLINK("Melting_Curves/meltCurve_Q96QR8_PURB.pdf", "Melting_Curves/meltCurve_Q96QR8_PURB.pdf")</f>
        <v>Melting_Curves/meltCurve_Q96QR8_PURB.pdf</v>
      </c>
    </row>
    <row r="5048" spans="1:28" x14ac:dyDescent="0.25">
      <c r="A5048" t="s">
        <v>5052</v>
      </c>
      <c r="B5048">
        <v>0.99673306730245903</v>
      </c>
      <c r="C5048">
        <v>0.94144557846788901</v>
      </c>
      <c r="D5048">
        <v>0.90572222834478999</v>
      </c>
      <c r="E5048">
        <v>0.52279645792780105</v>
      </c>
      <c r="F5048">
        <v>0.22113411774215</v>
      </c>
      <c r="G5048">
        <v>0.146594341120273</v>
      </c>
      <c r="H5048">
        <v>9.0099897135254695E-2</v>
      </c>
      <c r="I5048">
        <v>8.0383775930942203E-2</v>
      </c>
      <c r="J5048">
        <v>8.5725643384054695E-2</v>
      </c>
      <c r="K5048">
        <v>8.2957605606207005E-2</v>
      </c>
      <c r="L5048">
        <v>1238.36904939293</v>
      </c>
      <c r="M5048">
        <v>25.0130910553661</v>
      </c>
      <c r="N5048">
        <v>49.886405695237599</v>
      </c>
      <c r="O5048">
        <v>49.195643963418703</v>
      </c>
      <c r="P5048">
        <v>-0.11615046522906999</v>
      </c>
      <c r="Q5048">
        <v>8.6235244654980198E-2</v>
      </c>
      <c r="R5048">
        <v>0.99789233987077997</v>
      </c>
      <c r="S5048" t="s">
        <v>11500</v>
      </c>
      <c r="T5048" t="s">
        <v>12902</v>
      </c>
      <c r="U5048" t="s">
        <v>12902</v>
      </c>
      <c r="V5048" t="s">
        <v>12902</v>
      </c>
      <c r="W5048" t="s">
        <v>17901</v>
      </c>
      <c r="X5048">
        <v>8</v>
      </c>
      <c r="Y5048" t="s">
        <v>24198</v>
      </c>
      <c r="Z5048" t="s">
        <v>30623</v>
      </c>
      <c r="AA5048">
        <v>0.38398353319663342</v>
      </c>
      <c r="AB5048" t="str">
        <f>HYPERLINK("Melting_Curves/meltCurve_Q96QU8_XPO6.pdf", "Melting_Curves/meltCurve_Q96QU8_XPO6.pdf")</f>
        <v>Melting_Curves/meltCurve_Q96QU8_XPO6.pdf</v>
      </c>
    </row>
    <row r="5049" spans="1:28" x14ac:dyDescent="0.25">
      <c r="A5049" t="s">
        <v>5053</v>
      </c>
      <c r="B5049">
        <v>0.99673306730245903</v>
      </c>
      <c r="C5049">
        <v>0.94791883415408895</v>
      </c>
      <c r="D5049">
        <v>0.928202604088606</v>
      </c>
      <c r="E5049">
        <v>0.76899746512197598</v>
      </c>
      <c r="F5049">
        <v>0.283916074788652</v>
      </c>
      <c r="G5049">
        <v>0.192417802908427</v>
      </c>
      <c r="H5049">
        <v>0.124789291192894</v>
      </c>
      <c r="I5049">
        <v>0.130826865436734</v>
      </c>
      <c r="J5049">
        <v>0.13486791665925199</v>
      </c>
      <c r="K5049">
        <v>0.12041405352498399</v>
      </c>
      <c r="L5049">
        <v>1671.8795103499299</v>
      </c>
      <c r="M5049">
        <v>32.802206915345003</v>
      </c>
      <c r="N5049">
        <v>51.444059189881898</v>
      </c>
      <c r="O5049">
        <v>50.780198819535698</v>
      </c>
      <c r="P5049">
        <v>-0.140371133375715</v>
      </c>
      <c r="Q5049">
        <v>0.130785178699106</v>
      </c>
      <c r="R5049">
        <v>0.99498694648481301</v>
      </c>
      <c r="S5049" t="s">
        <v>11501</v>
      </c>
      <c r="T5049" t="s">
        <v>12902</v>
      </c>
      <c r="U5049" t="s">
        <v>12902</v>
      </c>
      <c r="V5049" t="s">
        <v>12902</v>
      </c>
      <c r="W5049" t="s">
        <v>17902</v>
      </c>
      <c r="X5049">
        <v>18</v>
      </c>
      <c r="Y5049" t="s">
        <v>24199</v>
      </c>
      <c r="Z5049" t="s">
        <v>30624</v>
      </c>
      <c r="AA5049">
        <v>0.45315061646048221</v>
      </c>
      <c r="AB5049" t="str">
        <f>HYPERLINK("Melting_Curves/meltCurve_Q96QZ7_6_MAGI1.pdf", "Melting_Curves/meltCurve_Q96QZ7_6_MAGI1.pdf")</f>
        <v>Melting_Curves/meltCurve_Q96QZ7_6_MAGI1.pdf</v>
      </c>
    </row>
    <row r="5050" spans="1:28" x14ac:dyDescent="0.25">
      <c r="A5050" t="s">
        <v>5054</v>
      </c>
      <c r="B5050">
        <v>0.99673306730245903</v>
      </c>
      <c r="C5050">
        <v>0.77390226321515598</v>
      </c>
      <c r="D5050">
        <v>0.61452919960911401</v>
      </c>
      <c r="E5050">
        <v>0.400579931287115</v>
      </c>
      <c r="F5050">
        <v>0.26791936597555399</v>
      </c>
      <c r="G5050">
        <v>0.177315680201549</v>
      </c>
      <c r="H5050">
        <v>0.12668382256238001</v>
      </c>
      <c r="I5050">
        <v>0.13481422696884199</v>
      </c>
      <c r="J5050">
        <v>0.171116407854735</v>
      </c>
      <c r="K5050">
        <v>0.163985871189819</v>
      </c>
      <c r="L5050">
        <v>706.92393547268796</v>
      </c>
      <c r="M5050">
        <v>15.1577095943156</v>
      </c>
      <c r="N5050">
        <v>47.6507098695511</v>
      </c>
      <c r="O5050">
        <v>45.848777794605702</v>
      </c>
      <c r="P5050">
        <v>-7.1275456228352296E-2</v>
      </c>
      <c r="Q5050">
        <v>0.13771293672868001</v>
      </c>
      <c r="R5050">
        <v>0.98956728963861895</v>
      </c>
      <c r="S5050" t="s">
        <v>11502</v>
      </c>
      <c r="T5050" t="s">
        <v>12902</v>
      </c>
      <c r="U5050" t="s">
        <v>12902</v>
      </c>
      <c r="V5050" t="s">
        <v>12902</v>
      </c>
      <c r="W5050" t="s">
        <v>17903</v>
      </c>
      <c r="X5050">
        <v>2</v>
      </c>
      <c r="Y5050" t="s">
        <v>24200</v>
      </c>
      <c r="Z5050" t="s">
        <v>30625</v>
      </c>
      <c r="AA5050">
        <v>0.35198107643816789</v>
      </c>
      <c r="AB5050" t="str">
        <f>HYPERLINK("Melting_Curves/meltCurve_Q96R06_SPAG5.pdf", "Melting_Curves/meltCurve_Q96R06_SPAG5.pdf")</f>
        <v>Melting_Curves/meltCurve_Q96R06_SPAG5.pdf</v>
      </c>
    </row>
    <row r="5051" spans="1:28" x14ac:dyDescent="0.25">
      <c r="A5051" t="s">
        <v>5055</v>
      </c>
      <c r="B5051">
        <v>0.99673306730245903</v>
      </c>
      <c r="C5051">
        <v>0.900685262748113</v>
      </c>
      <c r="D5051">
        <v>0.94108213429210996</v>
      </c>
      <c r="E5051">
        <v>0.79132245694261105</v>
      </c>
      <c r="F5051">
        <v>0.74386904314765301</v>
      </c>
      <c r="G5051">
        <v>0.70900227978302499</v>
      </c>
      <c r="H5051">
        <v>0.54288644087476601</v>
      </c>
      <c r="I5051">
        <v>0.73457755085645304</v>
      </c>
      <c r="J5051">
        <v>0.89963261326801203</v>
      </c>
      <c r="K5051">
        <v>0.78079263681502398</v>
      </c>
      <c r="L5051">
        <v>1044.1043882153599</v>
      </c>
      <c r="M5051">
        <v>22.181293445703599</v>
      </c>
      <c r="O5051">
        <v>46.693812362294601</v>
      </c>
      <c r="P5051">
        <v>-3.1899216116106799E-2</v>
      </c>
      <c r="Q5051">
        <v>0.73140180842236402</v>
      </c>
      <c r="R5051">
        <v>0.53642924141703696</v>
      </c>
      <c r="S5051" t="s">
        <v>11503</v>
      </c>
      <c r="T5051" t="s">
        <v>12902</v>
      </c>
      <c r="U5051" t="s">
        <v>12902</v>
      </c>
      <c r="V5051" t="s">
        <v>12902</v>
      </c>
      <c r="W5051" t="s">
        <v>17904</v>
      </c>
      <c r="X5051">
        <v>3</v>
      </c>
      <c r="Y5051" t="s">
        <v>24201</v>
      </c>
      <c r="Z5051" t="s">
        <v>30626</v>
      </c>
      <c r="AA5051">
        <v>0.79783294572473218</v>
      </c>
      <c r="AB5051" t="str">
        <f>HYPERLINK("Melting_Curves/meltCurve_Q96RD7_2_PANX1.pdf", "Melting_Curves/meltCurve_Q96RD7_2_PANX1.pdf")</f>
        <v>Melting_Curves/meltCurve_Q96RD7_2_PANX1.pdf</v>
      </c>
    </row>
    <row r="5052" spans="1:28" x14ac:dyDescent="0.25">
      <c r="A5052" t="s">
        <v>5056</v>
      </c>
      <c r="B5052">
        <v>0.99673306730245903</v>
      </c>
      <c r="C5052">
        <v>0.89909514345706298</v>
      </c>
      <c r="D5052">
        <v>0.65872475686300003</v>
      </c>
      <c r="E5052">
        <v>0.28270066787251102</v>
      </c>
      <c r="F5052">
        <v>0.16475559114632499</v>
      </c>
      <c r="G5052">
        <v>0.10549315889436101</v>
      </c>
      <c r="H5052">
        <v>6.9653323683408402E-2</v>
      </c>
      <c r="I5052">
        <v>7.9289303023748606E-2</v>
      </c>
      <c r="J5052">
        <v>8.8276670725588993E-2</v>
      </c>
      <c r="K5052">
        <v>8.2593977245738207E-2</v>
      </c>
      <c r="L5052">
        <v>1065.04906726065</v>
      </c>
      <c r="M5052">
        <v>22.658644403357599</v>
      </c>
      <c r="N5052">
        <v>47.378200022390502</v>
      </c>
      <c r="O5052">
        <v>46.642572173195397</v>
      </c>
      <c r="P5052">
        <v>-0.111502452780466</v>
      </c>
      <c r="Q5052">
        <v>8.1911912538024795E-2</v>
      </c>
      <c r="R5052">
        <v>0.99889375881158304</v>
      </c>
      <c r="S5052" t="s">
        <v>11504</v>
      </c>
      <c r="T5052" t="s">
        <v>12902</v>
      </c>
      <c r="U5052" t="s">
        <v>12902</v>
      </c>
      <c r="V5052" t="s">
        <v>12902</v>
      </c>
      <c r="W5052" t="s">
        <v>17905</v>
      </c>
      <c r="X5052">
        <v>7</v>
      </c>
      <c r="Y5052" t="s">
        <v>24202</v>
      </c>
      <c r="Z5052" t="s">
        <v>30627</v>
      </c>
      <c r="AA5052">
        <v>0.30644725507349591</v>
      </c>
      <c r="AB5052" t="str">
        <f>HYPERLINK("Melting_Curves/meltCurve_Q96RE7_NACC1.pdf", "Melting_Curves/meltCurve_Q96RE7_NACC1.pdf")</f>
        <v>Melting_Curves/meltCurve_Q96RE7_NACC1.pdf</v>
      </c>
    </row>
    <row r="5053" spans="1:28" x14ac:dyDescent="0.25">
      <c r="A5053" t="s">
        <v>5057</v>
      </c>
      <c r="B5053">
        <v>0.99673306730245903</v>
      </c>
      <c r="C5053">
        <v>0.93324021399378099</v>
      </c>
      <c r="D5053">
        <v>0.91215134968751499</v>
      </c>
      <c r="E5053">
        <v>0.780670257344522</v>
      </c>
      <c r="F5053">
        <v>0.60324398220201603</v>
      </c>
      <c r="G5053">
        <v>0.40951941952465398</v>
      </c>
      <c r="H5053">
        <v>0.218494347732896</v>
      </c>
      <c r="I5053">
        <v>0.200063566713861</v>
      </c>
      <c r="J5053">
        <v>0.18194803376780599</v>
      </c>
      <c r="K5053">
        <v>9.7284860579778906E-2</v>
      </c>
      <c r="L5053">
        <v>680.08586397705096</v>
      </c>
      <c r="M5053">
        <v>12.539540902221701</v>
      </c>
      <c r="N5053">
        <v>54.868680757461497</v>
      </c>
      <c r="O5053">
        <v>52.911407789063801</v>
      </c>
      <c r="P5053">
        <v>-5.5266888342659401E-2</v>
      </c>
      <c r="Q5053">
        <v>6.7380670907656301E-2</v>
      </c>
      <c r="R5053">
        <v>0.99548027371658698</v>
      </c>
      <c r="S5053" t="s">
        <v>11505</v>
      </c>
      <c r="T5053" t="s">
        <v>12902</v>
      </c>
      <c r="U5053" t="s">
        <v>12902</v>
      </c>
      <c r="V5053" t="s">
        <v>12902</v>
      </c>
      <c r="W5053" t="s">
        <v>17906</v>
      </c>
      <c r="X5053">
        <v>15</v>
      </c>
      <c r="Y5053" t="s">
        <v>24203</v>
      </c>
      <c r="Z5053" t="s">
        <v>30628</v>
      </c>
      <c r="AA5053">
        <v>0.53279140044830486</v>
      </c>
      <c r="AB5053" t="str">
        <f>HYPERLINK("Melting_Curves/meltCurve_Q96RL7_4_VPS13A.pdf", "Melting_Curves/meltCurve_Q96RL7_4_VPS13A.pdf")</f>
        <v>Melting_Curves/meltCurve_Q96RL7_4_VPS13A.pdf</v>
      </c>
    </row>
    <row r="5054" spans="1:28" x14ac:dyDescent="0.25">
      <c r="A5054" t="s">
        <v>5058</v>
      </c>
      <c r="B5054">
        <v>0.99673306730245903</v>
      </c>
      <c r="C5054">
        <v>0.97612989664614602</v>
      </c>
      <c r="D5054">
        <v>0.85932838308463999</v>
      </c>
      <c r="E5054">
        <v>0.77177728488313402</v>
      </c>
      <c r="F5054">
        <v>0.53437665602092499</v>
      </c>
      <c r="G5054">
        <v>0.317421326298578</v>
      </c>
      <c r="H5054">
        <v>0.167842356374313</v>
      </c>
      <c r="I5054">
        <v>0.142001096703705</v>
      </c>
      <c r="J5054">
        <v>0.13329875403516001</v>
      </c>
      <c r="K5054">
        <v>9.7603167064884297E-2</v>
      </c>
      <c r="L5054">
        <v>771.01495046443995</v>
      </c>
      <c r="M5054">
        <v>14.553462908077501</v>
      </c>
      <c r="N5054">
        <v>53.543262562822399</v>
      </c>
      <c r="O5054">
        <v>52.007986768187997</v>
      </c>
      <c r="P5054">
        <v>-6.4984357129126702E-2</v>
      </c>
      <c r="Q5054">
        <v>7.1198021036780898E-2</v>
      </c>
      <c r="R5054">
        <v>0.99651342974533597</v>
      </c>
      <c r="S5054" t="s">
        <v>11506</v>
      </c>
      <c r="T5054" t="s">
        <v>12902</v>
      </c>
      <c r="U5054" t="s">
        <v>12902</v>
      </c>
      <c r="V5054" t="s">
        <v>12902</v>
      </c>
      <c r="W5054" t="s">
        <v>17907</v>
      </c>
      <c r="X5054">
        <v>6</v>
      </c>
      <c r="Y5054" t="s">
        <v>24204</v>
      </c>
      <c r="Z5054" t="s">
        <v>30629</v>
      </c>
      <c r="AA5054">
        <v>0.49385606501723678</v>
      </c>
      <c r="AB5054" t="str">
        <f>HYPERLINK("Melting_Curves/meltCurve_Q96RN5_3_MED15.pdf", "Melting_Curves/meltCurve_Q96RN5_3_MED15.pdf")</f>
        <v>Melting_Curves/meltCurve_Q96RN5_3_MED15.pdf</v>
      </c>
    </row>
    <row r="5055" spans="1:28" x14ac:dyDescent="0.25">
      <c r="A5055" t="s">
        <v>5059</v>
      </c>
      <c r="B5055">
        <v>0.99673306730245903</v>
      </c>
      <c r="C5055">
        <v>0.97284916008712596</v>
      </c>
      <c r="D5055">
        <v>0.76405652647183797</v>
      </c>
      <c r="E5055">
        <v>0.66632533157787099</v>
      </c>
      <c r="F5055">
        <v>0.13756624115351501</v>
      </c>
      <c r="G5055">
        <v>9.0193988428917501E-2</v>
      </c>
      <c r="H5055">
        <v>5.1987402120111499E-2</v>
      </c>
      <c r="I5055">
        <v>4.5227436540467902E-2</v>
      </c>
      <c r="J5055">
        <v>5.1578514060334299E-2</v>
      </c>
      <c r="K5055">
        <v>4.5221813229491203E-2</v>
      </c>
      <c r="L5055">
        <v>1115.82193352537</v>
      </c>
      <c r="M5055">
        <v>22.331519205159001</v>
      </c>
      <c r="N5055">
        <v>50.110804325901597</v>
      </c>
      <c r="O5055">
        <v>49.570736987618901</v>
      </c>
      <c r="P5055">
        <v>-0.109113209731588</v>
      </c>
      <c r="Q5055">
        <v>3.1197410807229899E-2</v>
      </c>
      <c r="R5055">
        <v>0.97800215709093496</v>
      </c>
      <c r="S5055" t="s">
        <v>11507</v>
      </c>
      <c r="T5055" t="s">
        <v>12902</v>
      </c>
      <c r="U5055" t="s">
        <v>12902</v>
      </c>
      <c r="V5055" t="s">
        <v>12902</v>
      </c>
      <c r="W5055" t="s">
        <v>17908</v>
      </c>
      <c r="X5055">
        <v>31</v>
      </c>
      <c r="Y5055" t="s">
        <v>24205</v>
      </c>
      <c r="Z5055" t="s">
        <v>30630</v>
      </c>
      <c r="AA5055">
        <v>0.36389247101299671</v>
      </c>
      <c r="AB5055" t="str">
        <f>HYPERLINK("Melting_Curves/meltCurve_Q96RP9_GFM1.pdf", "Melting_Curves/meltCurve_Q96RP9_GFM1.pdf")</f>
        <v>Melting_Curves/meltCurve_Q96RP9_GFM1.pdf</v>
      </c>
    </row>
    <row r="5056" spans="1:28" x14ac:dyDescent="0.25">
      <c r="A5056" t="s">
        <v>5060</v>
      </c>
      <c r="B5056">
        <v>0.99673306730245903</v>
      </c>
      <c r="C5056">
        <v>0.87971847518583202</v>
      </c>
      <c r="D5056">
        <v>1.19450267075966</v>
      </c>
      <c r="E5056">
        <v>0.80887241621221395</v>
      </c>
      <c r="F5056">
        <v>1.2427078773156399</v>
      </c>
      <c r="G5056">
        <v>1.4464307402826999</v>
      </c>
      <c r="H5056">
        <v>2.2440165341210498</v>
      </c>
      <c r="I5056">
        <v>2.7364009466740402</v>
      </c>
      <c r="J5056">
        <v>5.3338709246929401</v>
      </c>
      <c r="K5056">
        <v>5.1931082225428797</v>
      </c>
      <c r="L5056">
        <v>7523.4368154391595</v>
      </c>
      <c r="M5056">
        <v>141.35918234813599</v>
      </c>
      <c r="O5056">
        <v>53.211475967581698</v>
      </c>
      <c r="P5056">
        <v>0.33206928324472001</v>
      </c>
      <c r="Q5056">
        <v>1.5</v>
      </c>
      <c r="R5056">
        <v>-0.14316414796973101</v>
      </c>
      <c r="S5056" t="s">
        <v>11508</v>
      </c>
      <c r="T5056" t="s">
        <v>12902</v>
      </c>
      <c r="U5056" t="s">
        <v>12902</v>
      </c>
      <c r="V5056" t="s">
        <v>12902</v>
      </c>
      <c r="W5056" t="s">
        <v>17909</v>
      </c>
      <c r="X5056">
        <v>31</v>
      </c>
      <c r="Y5056" t="s">
        <v>24205</v>
      </c>
      <c r="Z5056" t="s">
        <v>30631</v>
      </c>
      <c r="AA5056">
        <v>1.279485021429891</v>
      </c>
      <c r="AB5056" t="str">
        <f>HYPERLINK("Melting_Curves/meltCurve_Q96RP9_2_GFM1.pdf", "Melting_Curves/meltCurve_Q96RP9_2_GFM1.pdf")</f>
        <v>Melting_Curves/meltCurve_Q96RP9_2_GFM1.pdf</v>
      </c>
    </row>
    <row r="5057" spans="1:28" x14ac:dyDescent="0.25">
      <c r="A5057" t="s">
        <v>5061</v>
      </c>
      <c r="B5057">
        <v>0.99673306730245903</v>
      </c>
      <c r="C5057">
        <v>0.87443249005326595</v>
      </c>
      <c r="D5057">
        <v>0.920819448826386</v>
      </c>
      <c r="E5057">
        <v>0.85138317101753302</v>
      </c>
      <c r="F5057">
        <v>0.54631590255439699</v>
      </c>
      <c r="G5057">
        <v>0.25885126834059002</v>
      </c>
      <c r="H5057">
        <v>6.4259215387858906E-2</v>
      </c>
      <c r="I5057">
        <v>4.8147333002259297E-2</v>
      </c>
      <c r="J5057">
        <v>2.9450961596252899E-2</v>
      </c>
      <c r="K5057">
        <v>3.3400410826405699E-2</v>
      </c>
      <c r="L5057">
        <v>1041.7250239582299</v>
      </c>
      <c r="M5057">
        <v>19.425027427829601</v>
      </c>
      <c r="N5057">
        <v>53.656617082776201</v>
      </c>
      <c r="O5057">
        <v>53.069343153616401</v>
      </c>
      <c r="P5057">
        <v>-9.1039257423948694E-2</v>
      </c>
      <c r="Q5057">
        <v>5.1564418714773004E-3</v>
      </c>
      <c r="R5057">
        <v>0.98885291031920397</v>
      </c>
      <c r="S5057" t="s">
        <v>11509</v>
      </c>
      <c r="T5057" t="s">
        <v>12902</v>
      </c>
      <c r="U5057" t="s">
        <v>12902</v>
      </c>
      <c r="V5057" t="s">
        <v>12902</v>
      </c>
      <c r="W5057" t="s">
        <v>17910</v>
      </c>
      <c r="X5057">
        <v>2</v>
      </c>
      <c r="Y5057" t="s">
        <v>24206</v>
      </c>
      <c r="Z5057" t="s">
        <v>30632</v>
      </c>
      <c r="AA5057">
        <v>0.47133561294519699</v>
      </c>
      <c r="AB5057" t="str">
        <f>HYPERLINK("Melting_Curves/meltCurve_Q96RQ1_ERGIC2.pdf", "Melting_Curves/meltCurve_Q96RQ1_ERGIC2.pdf")</f>
        <v>Melting_Curves/meltCurve_Q96RQ1_ERGIC2.pdf</v>
      </c>
    </row>
    <row r="5058" spans="1:28" x14ac:dyDescent="0.25">
      <c r="A5058" t="s">
        <v>5062</v>
      </c>
      <c r="B5058">
        <v>0.99673306730245903</v>
      </c>
      <c r="C5058">
        <v>0.879314191489868</v>
      </c>
      <c r="D5058">
        <v>1.1743302859362701</v>
      </c>
      <c r="E5058">
        <v>0.77435577213233897</v>
      </c>
      <c r="F5058">
        <v>0.65659777021989796</v>
      </c>
      <c r="G5058">
        <v>0.56193075836233797</v>
      </c>
      <c r="H5058">
        <v>0.51297218854437898</v>
      </c>
      <c r="I5058">
        <v>0.75839526037498395</v>
      </c>
      <c r="J5058">
        <v>1.19145403746615</v>
      </c>
      <c r="K5058">
        <v>1.1554963184334499</v>
      </c>
      <c r="L5058">
        <v>11978.688461859399</v>
      </c>
      <c r="M5058">
        <v>250</v>
      </c>
      <c r="O5058">
        <v>47.9116874626243</v>
      </c>
      <c r="P5058">
        <v>-0.25881465188123698</v>
      </c>
      <c r="Q5058">
        <v>0.80159605218976004</v>
      </c>
      <c r="R5058">
        <v>0.165350895773028</v>
      </c>
      <c r="S5058" t="s">
        <v>11510</v>
      </c>
      <c r="T5058" t="s">
        <v>12902</v>
      </c>
      <c r="U5058" t="s">
        <v>12902</v>
      </c>
      <c r="V5058" t="s">
        <v>12902</v>
      </c>
      <c r="W5058" t="s">
        <v>17911</v>
      </c>
      <c r="X5058">
        <v>1</v>
      </c>
      <c r="Y5058" t="s">
        <v>24207</v>
      </c>
      <c r="Z5058" t="s">
        <v>30633</v>
      </c>
      <c r="AA5058">
        <v>0.85395668288368221</v>
      </c>
      <c r="AB5058" t="str">
        <f>HYPERLINK("Melting_Curves/meltCurve_Q96RR1_PEO1.pdf", "Melting_Curves/meltCurve_Q96RR1_PEO1.pdf")</f>
        <v>Melting_Curves/meltCurve_Q96RR1_PEO1.pdf</v>
      </c>
    </row>
    <row r="5059" spans="1:28" x14ac:dyDescent="0.25">
      <c r="A5059" t="s">
        <v>5063</v>
      </c>
      <c r="B5059">
        <v>0.99673306730245903</v>
      </c>
      <c r="C5059">
        <v>0.90850434450699302</v>
      </c>
      <c r="D5059">
        <v>0.87737739424030403</v>
      </c>
      <c r="E5059">
        <v>0.564498998756638</v>
      </c>
      <c r="F5059">
        <v>0.36599772480978898</v>
      </c>
      <c r="G5059">
        <v>0.26176946907885101</v>
      </c>
      <c r="H5059">
        <v>0.15784747072875199</v>
      </c>
      <c r="I5059">
        <v>0.101298540418519</v>
      </c>
      <c r="J5059">
        <v>9.6074428552120297E-2</v>
      </c>
      <c r="K5059">
        <v>8.6546440721533502E-2</v>
      </c>
      <c r="L5059">
        <v>747.89534272777496</v>
      </c>
      <c r="M5059">
        <v>14.8034355238843</v>
      </c>
      <c r="N5059">
        <v>51.102628319546703</v>
      </c>
      <c r="O5059">
        <v>49.626673096425201</v>
      </c>
      <c r="P5059">
        <v>-6.8806458708407306E-2</v>
      </c>
      <c r="Q5059">
        <v>7.7437829455774196E-2</v>
      </c>
      <c r="R5059">
        <v>0.99437970615829097</v>
      </c>
      <c r="S5059" t="s">
        <v>11511</v>
      </c>
      <c r="T5059" t="s">
        <v>12902</v>
      </c>
      <c r="U5059" t="s">
        <v>12902</v>
      </c>
      <c r="V5059" t="s">
        <v>12902</v>
      </c>
      <c r="W5059" t="s">
        <v>17912</v>
      </c>
      <c r="X5059">
        <v>6</v>
      </c>
      <c r="Y5059" t="s">
        <v>24208</v>
      </c>
      <c r="Z5059" t="s">
        <v>30634</v>
      </c>
      <c r="AA5059">
        <v>0.42313374812227822</v>
      </c>
      <c r="AB5059" t="str">
        <f>HYPERLINK("Melting_Curves/meltCurve_Q96RR4_2_CAMKK2.pdf", "Melting_Curves/meltCurve_Q96RR4_2_CAMKK2.pdf")</f>
        <v>Melting_Curves/meltCurve_Q96RR4_2_CAMKK2.pdf</v>
      </c>
    </row>
    <row r="5060" spans="1:28" x14ac:dyDescent="0.25">
      <c r="A5060" t="s">
        <v>5064</v>
      </c>
      <c r="B5060">
        <v>0.99673306730245903</v>
      </c>
      <c r="C5060">
        <v>0.771092547681551</v>
      </c>
      <c r="D5060">
        <v>0.49514451603371001</v>
      </c>
      <c r="E5060">
        <v>0.34656931776183098</v>
      </c>
      <c r="F5060">
        <v>0.27899172806161698</v>
      </c>
      <c r="G5060">
        <v>0.20222130656784501</v>
      </c>
      <c r="H5060">
        <v>0.128895995756105</v>
      </c>
      <c r="I5060">
        <v>9.2147627351250996E-2</v>
      </c>
      <c r="J5060">
        <v>8.2736893097598699E-2</v>
      </c>
      <c r="K5060">
        <v>7.9335410802112302E-2</v>
      </c>
      <c r="L5060">
        <v>648.56287097916595</v>
      </c>
      <c r="M5060">
        <v>14.034610883377701</v>
      </c>
      <c r="N5060">
        <v>46.927545898342899</v>
      </c>
      <c r="O5060">
        <v>45.3038107185915</v>
      </c>
      <c r="P5060">
        <v>-6.9993230238149698E-2</v>
      </c>
      <c r="Q5060">
        <v>9.6364348297509297E-2</v>
      </c>
      <c r="R5060">
        <v>0.97830435488533996</v>
      </c>
      <c r="S5060" t="s">
        <v>11512</v>
      </c>
      <c r="T5060" t="s">
        <v>12902</v>
      </c>
      <c r="U5060" t="s">
        <v>12902</v>
      </c>
      <c r="V5060" t="s">
        <v>12902</v>
      </c>
      <c r="W5060" t="s">
        <v>17913</v>
      </c>
      <c r="X5060">
        <v>2</v>
      </c>
      <c r="Y5060" t="s">
        <v>24209</v>
      </c>
      <c r="Z5060" t="s">
        <v>30635</v>
      </c>
      <c r="AA5060">
        <v>0.31323385755716099</v>
      </c>
      <c r="AB5060" t="str">
        <f>HYPERLINK("Melting_Curves/meltCurve_Q96RS0_TGS1.pdf", "Melting_Curves/meltCurve_Q96RS0_TGS1.pdf")</f>
        <v>Melting_Curves/meltCurve_Q96RS0_TGS1.pdf</v>
      </c>
    </row>
    <row r="5061" spans="1:28" x14ac:dyDescent="0.25">
      <c r="A5061" t="s">
        <v>5065</v>
      </c>
      <c r="B5061">
        <v>0.99673306730245903</v>
      </c>
      <c r="C5061">
        <v>0.91483772570297694</v>
      </c>
      <c r="D5061">
        <v>0.88496897145015396</v>
      </c>
      <c r="E5061">
        <v>0.83139796363474905</v>
      </c>
      <c r="F5061">
        <v>0.36629618590352098</v>
      </c>
      <c r="G5061">
        <v>0.211117775947504</v>
      </c>
      <c r="H5061">
        <v>0.113370555784227</v>
      </c>
      <c r="I5061">
        <v>8.8461453571478998E-2</v>
      </c>
      <c r="J5061">
        <v>8.1144304270673401E-2</v>
      </c>
      <c r="K5061">
        <v>6.1927130022004E-2</v>
      </c>
      <c r="L5061">
        <v>1217.62499811726</v>
      </c>
      <c r="M5061">
        <v>23.443977864798502</v>
      </c>
      <c r="N5061">
        <v>52.3034368146782</v>
      </c>
      <c r="O5061">
        <v>51.5641767453086</v>
      </c>
      <c r="P5061">
        <v>-0.105071717403595</v>
      </c>
      <c r="Q5061">
        <v>7.56103453577055E-2</v>
      </c>
      <c r="R5061">
        <v>0.98732230105961005</v>
      </c>
      <c r="S5061" t="s">
        <v>11513</v>
      </c>
      <c r="T5061" t="s">
        <v>12902</v>
      </c>
      <c r="U5061" t="s">
        <v>12902</v>
      </c>
      <c r="V5061" t="s">
        <v>12902</v>
      </c>
      <c r="W5061" t="s">
        <v>17914</v>
      </c>
      <c r="X5061">
        <v>7</v>
      </c>
      <c r="Y5061" t="s">
        <v>24210</v>
      </c>
      <c r="Z5061" t="s">
        <v>30636</v>
      </c>
      <c r="AA5061">
        <v>0.45298156059640587</v>
      </c>
      <c r="AB5061" t="str">
        <f>HYPERLINK("Melting_Curves/meltCurve_Q96RS6_NUDCD1.pdf", "Melting_Curves/meltCurve_Q96RS6_NUDCD1.pdf")</f>
        <v>Melting_Curves/meltCurve_Q96RS6_NUDCD1.pdf</v>
      </c>
    </row>
    <row r="5062" spans="1:28" x14ac:dyDescent="0.25">
      <c r="A5062" t="s">
        <v>5066</v>
      </c>
      <c r="B5062">
        <v>0.99673306730245903</v>
      </c>
      <c r="C5062">
        <v>0.89743888972755903</v>
      </c>
      <c r="D5062">
        <v>0.74456190166380598</v>
      </c>
      <c r="E5062">
        <v>0.64699255714414305</v>
      </c>
      <c r="F5062">
        <v>0.369438374080651</v>
      </c>
      <c r="G5062">
        <v>0.33167982222827003</v>
      </c>
      <c r="H5062">
        <v>0.17057763493136399</v>
      </c>
      <c r="I5062">
        <v>0.20244402450169199</v>
      </c>
      <c r="J5062">
        <v>0.25120217672585798</v>
      </c>
      <c r="K5062">
        <v>0.23919978660314101</v>
      </c>
      <c r="L5062">
        <v>699.40655289796098</v>
      </c>
      <c r="M5062">
        <v>14.1809249754962</v>
      </c>
      <c r="N5062">
        <v>51.091580003897498</v>
      </c>
      <c r="O5062">
        <v>48.370547546591503</v>
      </c>
      <c r="P5062">
        <v>-5.9067654615360801E-2</v>
      </c>
      <c r="Q5062">
        <v>0.19419212218293999</v>
      </c>
      <c r="R5062">
        <v>0.97898993556306002</v>
      </c>
      <c r="S5062" t="s">
        <v>11514</v>
      </c>
      <c r="T5062" t="s">
        <v>12902</v>
      </c>
      <c r="U5062" t="s">
        <v>12902</v>
      </c>
      <c r="V5062" t="s">
        <v>12902</v>
      </c>
      <c r="W5062" t="s">
        <v>17915</v>
      </c>
      <c r="X5062">
        <v>2</v>
      </c>
      <c r="Y5062" t="s">
        <v>24211</v>
      </c>
      <c r="Z5062" t="s">
        <v>30637</v>
      </c>
      <c r="AA5062">
        <v>0.46631498168183749</v>
      </c>
      <c r="AB5062" t="str">
        <f>HYPERLINK("Melting_Curves/meltCurve_Q96RT1_4_ERBB2IP.pdf", "Melting_Curves/meltCurve_Q96RT1_4_ERBB2IP.pdf")</f>
        <v>Melting_Curves/meltCurve_Q96RT1_4_ERBB2IP.pdf</v>
      </c>
    </row>
    <row r="5063" spans="1:28" x14ac:dyDescent="0.25">
      <c r="A5063" t="s">
        <v>5067</v>
      </c>
      <c r="B5063">
        <v>0.99673306730245903</v>
      </c>
      <c r="C5063">
        <v>0.98469027439064305</v>
      </c>
      <c r="D5063">
        <v>0.89629856618638504</v>
      </c>
      <c r="E5063">
        <v>0.64304051815880803</v>
      </c>
      <c r="F5063">
        <v>0.422994128147891</v>
      </c>
      <c r="G5063">
        <v>0.287991725788311</v>
      </c>
      <c r="H5063">
        <v>0.162970755844115</v>
      </c>
      <c r="I5063">
        <v>0.131057556777363</v>
      </c>
      <c r="J5063">
        <v>0.111193052657608</v>
      </c>
      <c r="K5063">
        <v>9.5034804641777798E-2</v>
      </c>
      <c r="L5063">
        <v>802.17839091438202</v>
      </c>
      <c r="M5063">
        <v>15.6059643991819</v>
      </c>
      <c r="N5063">
        <v>52.070175804921803</v>
      </c>
      <c r="O5063">
        <v>50.580216638795598</v>
      </c>
      <c r="P5063">
        <v>-7.0141947178358297E-2</v>
      </c>
      <c r="Q5063">
        <v>9.0735328027904599E-2</v>
      </c>
      <c r="R5063">
        <v>0.99773899629463603</v>
      </c>
      <c r="S5063" t="s">
        <v>11515</v>
      </c>
      <c r="T5063" t="s">
        <v>12902</v>
      </c>
      <c r="U5063" t="s">
        <v>12902</v>
      </c>
      <c r="V5063" t="s">
        <v>12902</v>
      </c>
      <c r="W5063" t="s">
        <v>17916</v>
      </c>
      <c r="X5063">
        <v>3</v>
      </c>
      <c r="Y5063" t="s">
        <v>24212</v>
      </c>
      <c r="Z5063" t="s">
        <v>30638</v>
      </c>
      <c r="AA5063">
        <v>0.45576654060317001</v>
      </c>
      <c r="AB5063" t="str">
        <f>HYPERLINK("Melting_Curves/meltCurve_Q96S16_JMJD8.pdf", "Melting_Curves/meltCurve_Q96S16_JMJD8.pdf")</f>
        <v>Melting_Curves/meltCurve_Q96S16_JMJD8.pdf</v>
      </c>
    </row>
    <row r="5064" spans="1:28" x14ac:dyDescent="0.25">
      <c r="A5064" t="s">
        <v>5068</v>
      </c>
      <c r="B5064">
        <v>0.99673306730245903</v>
      </c>
      <c r="C5064">
        <v>1.00152895341337</v>
      </c>
      <c r="D5064">
        <v>0.93918951003256201</v>
      </c>
      <c r="E5064">
        <v>0.53637440681211801</v>
      </c>
      <c r="F5064">
        <v>0.177158873451571</v>
      </c>
      <c r="G5064">
        <v>0.111490515348888</v>
      </c>
      <c r="H5064">
        <v>6.51177978451246E-2</v>
      </c>
      <c r="I5064">
        <v>6.8830395166308095E-2</v>
      </c>
      <c r="J5064">
        <v>9.9287958354912095E-2</v>
      </c>
      <c r="K5064">
        <v>0.13366190290816601</v>
      </c>
      <c r="L5064">
        <v>1673.2583630005399</v>
      </c>
      <c r="M5064">
        <v>33.773157081869599</v>
      </c>
      <c r="N5064">
        <v>49.848516006839503</v>
      </c>
      <c r="O5064">
        <v>49.371297740272297</v>
      </c>
      <c r="P5064">
        <v>-0.15507762488219301</v>
      </c>
      <c r="Q5064">
        <v>9.3202647024527296E-2</v>
      </c>
      <c r="R5064">
        <v>0.99787426228987897</v>
      </c>
      <c r="S5064" t="s">
        <v>11516</v>
      </c>
      <c r="T5064" t="s">
        <v>12902</v>
      </c>
      <c r="U5064" t="s">
        <v>12902</v>
      </c>
      <c r="V5064" t="s">
        <v>12902</v>
      </c>
      <c r="W5064" t="s">
        <v>17917</v>
      </c>
      <c r="X5064">
        <v>8</v>
      </c>
      <c r="Y5064" t="s">
        <v>24213</v>
      </c>
      <c r="Z5064" t="s">
        <v>30639</v>
      </c>
      <c r="AA5064">
        <v>0.38606293904755951</v>
      </c>
      <c r="AB5064" t="str">
        <f>HYPERLINK("Melting_Curves/meltCurve_Q96S19_C16orf13.pdf", "Melting_Curves/meltCurve_Q96S19_C16orf13.pdf")</f>
        <v>Melting_Curves/meltCurve_Q96S19_C16orf13.pdf</v>
      </c>
    </row>
    <row r="5065" spans="1:28" x14ac:dyDescent="0.25">
      <c r="A5065" t="s">
        <v>5069</v>
      </c>
      <c r="B5065">
        <v>0.99673306730245903</v>
      </c>
      <c r="C5065">
        <v>1.04204367759437</v>
      </c>
      <c r="D5065">
        <v>1.0246937772184299</v>
      </c>
      <c r="E5065">
        <v>1.08467966093333</v>
      </c>
      <c r="F5065">
        <v>0.91776338855692496</v>
      </c>
      <c r="G5065">
        <v>0.56251942965207502</v>
      </c>
      <c r="H5065">
        <v>0.15063868579867501</v>
      </c>
      <c r="I5065">
        <v>6.5061736519942404E-2</v>
      </c>
      <c r="J5065">
        <v>6.1533387147114801E-2</v>
      </c>
      <c r="K5065">
        <v>5.2065525850176902E-2</v>
      </c>
      <c r="L5065">
        <v>2013.08271300005</v>
      </c>
      <c r="M5065">
        <v>35.292046985775897</v>
      </c>
      <c r="N5065">
        <v>57.2177795717054</v>
      </c>
      <c r="O5065">
        <v>56.858492736190797</v>
      </c>
      <c r="P5065">
        <v>-0.147147206100566</v>
      </c>
      <c r="Q5065">
        <v>5.1736750236736698E-2</v>
      </c>
      <c r="R5065">
        <v>0.99453208197455201</v>
      </c>
      <c r="S5065" t="s">
        <v>11517</v>
      </c>
      <c r="T5065" t="s">
        <v>12902</v>
      </c>
      <c r="U5065" t="s">
        <v>12902</v>
      </c>
      <c r="V5065" t="s">
        <v>12902</v>
      </c>
      <c r="W5065" t="s">
        <v>17918</v>
      </c>
      <c r="X5065">
        <v>5</v>
      </c>
      <c r="Y5065" t="s">
        <v>24214</v>
      </c>
      <c r="Z5065" t="s">
        <v>30640</v>
      </c>
      <c r="AA5065">
        <v>0.59506814145444609</v>
      </c>
      <c r="AB5065" t="str">
        <f>HYPERLINK("Melting_Curves/meltCurve_Q96S44_TP53RK.pdf", "Melting_Curves/meltCurve_Q96S44_TP53RK.pdf")</f>
        <v>Melting_Curves/meltCurve_Q96S44_TP53RK.pdf</v>
      </c>
    </row>
    <row r="5066" spans="1:28" x14ac:dyDescent="0.25">
      <c r="A5066" t="s">
        <v>5070</v>
      </c>
      <c r="B5066">
        <v>0.99673306730245903</v>
      </c>
      <c r="C5066">
        <v>0.949456061123229</v>
      </c>
      <c r="D5066">
        <v>0.90842599725959905</v>
      </c>
      <c r="E5066">
        <v>0.78421295326837603</v>
      </c>
      <c r="F5066">
        <v>0.42273046697501898</v>
      </c>
      <c r="G5066">
        <v>0.22833324292087201</v>
      </c>
      <c r="H5066">
        <v>0.118283097922204</v>
      </c>
      <c r="I5066">
        <v>0.102691651580146</v>
      </c>
      <c r="J5066">
        <v>0.109561849540967</v>
      </c>
      <c r="K5066">
        <v>8.9981958662629105E-2</v>
      </c>
      <c r="L5066">
        <v>1075.04476769644</v>
      </c>
      <c r="M5066">
        <v>20.675253417923201</v>
      </c>
      <c r="N5066">
        <v>52.480225896964399</v>
      </c>
      <c r="O5066">
        <v>51.517591436026997</v>
      </c>
      <c r="P5066">
        <v>-9.1632561682449307E-2</v>
      </c>
      <c r="Q5066">
        <v>8.6723872810716293E-2</v>
      </c>
      <c r="R5066">
        <v>0.99696032148541203</v>
      </c>
      <c r="S5066" t="s">
        <v>11518</v>
      </c>
      <c r="T5066" t="s">
        <v>12902</v>
      </c>
      <c r="U5066" t="s">
        <v>12902</v>
      </c>
      <c r="V5066" t="s">
        <v>12902</v>
      </c>
      <c r="W5066" t="s">
        <v>17919</v>
      </c>
      <c r="X5066">
        <v>8</v>
      </c>
      <c r="Y5066" t="s">
        <v>24215</v>
      </c>
      <c r="Z5066" t="s">
        <v>30641</v>
      </c>
      <c r="AA5066">
        <v>0.46383727657491641</v>
      </c>
      <c r="AB5066" t="str">
        <f>HYPERLINK("Melting_Curves/meltCurve_Q96S52_PIGS.pdf", "Melting_Curves/meltCurve_Q96S52_PIGS.pdf")</f>
        <v>Melting_Curves/meltCurve_Q96S52_PIGS.pdf</v>
      </c>
    </row>
    <row r="5067" spans="1:28" x14ac:dyDescent="0.25">
      <c r="A5067" t="s">
        <v>5071</v>
      </c>
      <c r="B5067">
        <v>0.99673306730245903</v>
      </c>
      <c r="C5067">
        <v>0.84734233597124398</v>
      </c>
      <c r="D5067">
        <v>0.63057638955486395</v>
      </c>
      <c r="E5067">
        <v>0.205678637274855</v>
      </c>
      <c r="F5067">
        <v>0.104518252036396</v>
      </c>
      <c r="G5067">
        <v>6.7923489155840303E-2</v>
      </c>
      <c r="H5067">
        <v>4.5778162650862701E-2</v>
      </c>
      <c r="I5067">
        <v>4.3366380363285599E-2</v>
      </c>
      <c r="J5067">
        <v>5.8122845682881501E-2</v>
      </c>
      <c r="K5067">
        <v>5.1138717824655899E-2</v>
      </c>
      <c r="L5067">
        <v>1093.8952845884501</v>
      </c>
      <c r="M5067">
        <v>23.468358502508099</v>
      </c>
      <c r="N5067">
        <v>46.812044143851999</v>
      </c>
      <c r="O5067">
        <v>46.277030359326702</v>
      </c>
      <c r="P5067">
        <v>-0.12072054775806799</v>
      </c>
      <c r="Q5067">
        <v>4.7826039970524099E-2</v>
      </c>
      <c r="R5067">
        <v>0.99663415091610597</v>
      </c>
      <c r="S5067" t="s">
        <v>11519</v>
      </c>
      <c r="T5067" t="s">
        <v>12902</v>
      </c>
      <c r="U5067" t="s">
        <v>12902</v>
      </c>
      <c r="V5067" t="s">
        <v>12902</v>
      </c>
      <c r="W5067" t="s">
        <v>17920</v>
      </c>
      <c r="X5067">
        <v>8</v>
      </c>
      <c r="Y5067" t="s">
        <v>24216</v>
      </c>
      <c r="Z5067" t="s">
        <v>30642</v>
      </c>
      <c r="AA5067">
        <v>0.26756371904746212</v>
      </c>
      <c r="AB5067" t="str">
        <f>HYPERLINK("Melting_Curves/meltCurve_Q96S55_2_WRNIP1.pdf", "Melting_Curves/meltCurve_Q96S55_2_WRNIP1.pdf")</f>
        <v>Melting_Curves/meltCurve_Q96S55_2_WRNIP1.pdf</v>
      </c>
    </row>
    <row r="5068" spans="1:28" x14ac:dyDescent="0.25">
      <c r="A5068" t="s">
        <v>5072</v>
      </c>
      <c r="B5068">
        <v>0.99673306730245903</v>
      </c>
      <c r="C5068">
        <v>0.97856616960354503</v>
      </c>
      <c r="D5068">
        <v>1.01877667565929</v>
      </c>
      <c r="E5068">
        <v>1.05764633377053</v>
      </c>
      <c r="F5068">
        <v>0.42610472414282102</v>
      </c>
      <c r="G5068">
        <v>0.22456505482532699</v>
      </c>
      <c r="H5068">
        <v>0.121281362897837</v>
      </c>
      <c r="I5068">
        <v>9.7408038598058799E-2</v>
      </c>
      <c r="J5068">
        <v>0.119683936941285</v>
      </c>
      <c r="K5068">
        <v>0.12133733543884299</v>
      </c>
      <c r="L5068">
        <v>6308.0817409476804</v>
      </c>
      <c r="M5068">
        <v>119.256812975836</v>
      </c>
      <c r="N5068">
        <v>53.0370706966483</v>
      </c>
      <c r="O5068">
        <v>52.880086231171298</v>
      </c>
      <c r="P5068">
        <v>-0.486690222618757</v>
      </c>
      <c r="Q5068">
        <v>0.136780166394149</v>
      </c>
      <c r="R5068">
        <v>0.99180157482339604</v>
      </c>
      <c r="S5068" t="s">
        <v>11520</v>
      </c>
      <c r="T5068" t="s">
        <v>12902</v>
      </c>
      <c r="U5068" t="s">
        <v>12902</v>
      </c>
      <c r="V5068" t="s">
        <v>12902</v>
      </c>
      <c r="W5068" t="s">
        <v>17921</v>
      </c>
      <c r="X5068">
        <v>4</v>
      </c>
      <c r="Y5068" t="s">
        <v>24217</v>
      </c>
      <c r="Z5068" t="s">
        <v>30643</v>
      </c>
      <c r="AA5068">
        <v>0.50817145455082335</v>
      </c>
      <c r="AB5068" t="str">
        <f>HYPERLINK("Melting_Curves/meltCurve_Q96S59_RANBP9.pdf", "Melting_Curves/meltCurve_Q96S59_RANBP9.pdf")</f>
        <v>Melting_Curves/meltCurve_Q96S59_RANBP9.pdf</v>
      </c>
    </row>
    <row r="5069" spans="1:28" x14ac:dyDescent="0.25">
      <c r="A5069" t="s">
        <v>5073</v>
      </c>
      <c r="B5069">
        <v>0.99673306730245903</v>
      </c>
      <c r="C5069">
        <v>0.95982981153644698</v>
      </c>
      <c r="D5069">
        <v>0.97329623578216296</v>
      </c>
      <c r="E5069">
        <v>0.82980976579535703</v>
      </c>
      <c r="F5069">
        <v>0.49296841545752301</v>
      </c>
      <c r="G5069">
        <v>0.37479192280430301</v>
      </c>
      <c r="H5069">
        <v>0.29528760000866699</v>
      </c>
      <c r="I5069">
        <v>0.34666437339537098</v>
      </c>
      <c r="J5069">
        <v>0.37920167092721502</v>
      </c>
      <c r="K5069">
        <v>0.35462851835318998</v>
      </c>
      <c r="L5069">
        <v>1651.06248087071</v>
      </c>
      <c r="M5069">
        <v>32.257374879588603</v>
      </c>
      <c r="N5069">
        <v>53.100202799671301</v>
      </c>
      <c r="O5069">
        <v>50.988523356386601</v>
      </c>
      <c r="P5069">
        <v>-0.103771056092266</v>
      </c>
      <c r="Q5069">
        <v>0.34388870184152798</v>
      </c>
      <c r="R5069">
        <v>0.99287218354654905</v>
      </c>
      <c r="S5069" t="s">
        <v>11521</v>
      </c>
      <c r="T5069" t="s">
        <v>12902</v>
      </c>
      <c r="U5069" t="s">
        <v>12902</v>
      </c>
      <c r="V5069" t="s">
        <v>12902</v>
      </c>
      <c r="W5069" t="s">
        <v>17922</v>
      </c>
      <c r="X5069">
        <v>7</v>
      </c>
      <c r="Y5069" t="s">
        <v>24218</v>
      </c>
      <c r="Z5069" t="s">
        <v>30644</v>
      </c>
      <c r="AA5069">
        <v>0.59206564451413779</v>
      </c>
      <c r="AB5069" t="str">
        <f>HYPERLINK("Melting_Curves/meltCurve_Q96S66_CLCC1.pdf", "Melting_Curves/meltCurve_Q96S66_CLCC1.pdf")</f>
        <v>Melting_Curves/meltCurve_Q96S66_CLCC1.pdf</v>
      </c>
    </row>
    <row r="5070" spans="1:28" x14ac:dyDescent="0.25">
      <c r="A5070" t="s">
        <v>5074</v>
      </c>
      <c r="B5070">
        <v>0.99673306730245903</v>
      </c>
      <c r="C5070">
        <v>1.0126626378803001</v>
      </c>
      <c r="D5070">
        <v>0.93972631255791195</v>
      </c>
      <c r="E5070">
        <v>0.74263195467842602</v>
      </c>
      <c r="F5070">
        <v>0.371971082521588</v>
      </c>
      <c r="G5070">
        <v>0.24659249578004999</v>
      </c>
      <c r="H5070">
        <v>0.116262983037231</v>
      </c>
      <c r="I5070">
        <v>0.107712575936216</v>
      </c>
      <c r="J5070">
        <v>0.11645057843003701</v>
      </c>
      <c r="K5070">
        <v>9.0387611774932597E-2</v>
      </c>
      <c r="L5070">
        <v>1139.6382856195401</v>
      </c>
      <c r="M5070">
        <v>22.1194309610989</v>
      </c>
      <c r="N5070">
        <v>52.054422480700097</v>
      </c>
      <c r="O5070">
        <v>51.106482247672403</v>
      </c>
      <c r="P5070">
        <v>-9.7251448252189204E-2</v>
      </c>
      <c r="Q5070">
        <v>0.101229969700145</v>
      </c>
      <c r="R5070">
        <v>0.99736128761422504</v>
      </c>
      <c r="S5070" t="s">
        <v>11522</v>
      </c>
      <c r="T5070" t="s">
        <v>12902</v>
      </c>
      <c r="U5070" t="s">
        <v>12902</v>
      </c>
      <c r="V5070" t="s">
        <v>12902</v>
      </c>
      <c r="W5070" t="s">
        <v>17923</v>
      </c>
      <c r="X5070">
        <v>4</v>
      </c>
      <c r="Y5070" t="s">
        <v>24219</v>
      </c>
      <c r="Z5070" t="s">
        <v>30645</v>
      </c>
      <c r="AA5070">
        <v>0.45674731114809469</v>
      </c>
      <c r="AB5070" t="str">
        <f>HYPERLINK("Melting_Curves/meltCurve_Q96S82_UBL7.pdf", "Melting_Curves/meltCurve_Q96S82_UBL7.pdf")</f>
        <v>Melting_Curves/meltCurve_Q96S82_UBL7.pdf</v>
      </c>
    </row>
    <row r="5071" spans="1:28" x14ac:dyDescent="0.25">
      <c r="A5071" t="s">
        <v>5075</v>
      </c>
      <c r="B5071">
        <v>0.99673306730245903</v>
      </c>
      <c r="C5071">
        <v>0.93738106034629798</v>
      </c>
      <c r="D5071">
        <v>0.73965673826752398</v>
      </c>
      <c r="E5071">
        <v>0.55463316416284003</v>
      </c>
      <c r="F5071">
        <v>0.310745891519837</v>
      </c>
      <c r="G5071">
        <v>0.177318626985463</v>
      </c>
      <c r="H5071">
        <v>0.10356700870235901</v>
      </c>
      <c r="I5071">
        <v>0.12325671321388</v>
      </c>
      <c r="J5071">
        <v>0.140900921821347</v>
      </c>
      <c r="K5071">
        <v>0.15668180413935401</v>
      </c>
      <c r="L5071">
        <v>814.81788679363001</v>
      </c>
      <c r="M5071">
        <v>16.5964899256366</v>
      </c>
      <c r="N5071">
        <v>49.8656977026818</v>
      </c>
      <c r="O5071">
        <v>48.399612856716999</v>
      </c>
      <c r="P5071">
        <v>-7.6042520439418601E-2</v>
      </c>
      <c r="Q5071">
        <v>0.113022402409684</v>
      </c>
      <c r="R5071">
        <v>0.99327767262870104</v>
      </c>
      <c r="S5071" t="s">
        <v>11523</v>
      </c>
      <c r="T5071" t="s">
        <v>12902</v>
      </c>
      <c r="U5071" t="s">
        <v>12902</v>
      </c>
      <c r="V5071" t="s">
        <v>12902</v>
      </c>
      <c r="W5071" t="s">
        <v>17924</v>
      </c>
      <c r="X5071">
        <v>2</v>
      </c>
      <c r="Y5071" t="s">
        <v>24220</v>
      </c>
      <c r="Z5071" t="s">
        <v>30646</v>
      </c>
      <c r="AA5071">
        <v>0.39993466473699152</v>
      </c>
      <c r="AB5071" t="str">
        <f>HYPERLINK("Melting_Curves/meltCurve_Q96S90_LYSMD1.pdf", "Melting_Curves/meltCurve_Q96S90_LYSMD1.pdf")</f>
        <v>Melting_Curves/meltCurve_Q96S90_LYSMD1.pdf</v>
      </c>
    </row>
    <row r="5072" spans="1:28" x14ac:dyDescent="0.25">
      <c r="A5072" t="s">
        <v>5076</v>
      </c>
      <c r="B5072">
        <v>0.99673306730245903</v>
      </c>
      <c r="C5072">
        <v>0.95115621474437395</v>
      </c>
      <c r="D5072">
        <v>0.85066892575417496</v>
      </c>
      <c r="E5072">
        <v>0.26772758439426497</v>
      </c>
      <c r="F5072">
        <v>0.155785997795027</v>
      </c>
      <c r="G5072">
        <v>9.61396646190186E-2</v>
      </c>
      <c r="H5072">
        <v>6.5822387756927697E-2</v>
      </c>
      <c r="I5072">
        <v>7.4470985046183394E-2</v>
      </c>
      <c r="J5072">
        <v>7.5439519903334001E-2</v>
      </c>
      <c r="K5072">
        <v>6.5167452778402302E-2</v>
      </c>
      <c r="L5072">
        <v>1773.1848413098601</v>
      </c>
      <c r="M5072">
        <v>37.017354675369802</v>
      </c>
      <c r="N5072">
        <v>48.136010861794098</v>
      </c>
      <c r="O5072">
        <v>47.762294135926602</v>
      </c>
      <c r="P5072">
        <v>-0.17776884328537601</v>
      </c>
      <c r="Q5072">
        <v>8.2525060934473801E-2</v>
      </c>
      <c r="R5072">
        <v>0.99639649239319295</v>
      </c>
      <c r="S5072" t="s">
        <v>11524</v>
      </c>
      <c r="T5072" t="s">
        <v>12902</v>
      </c>
      <c r="U5072" t="s">
        <v>12902</v>
      </c>
      <c r="V5072" t="s">
        <v>12902</v>
      </c>
      <c r="W5072" t="s">
        <v>17925</v>
      </c>
      <c r="X5072">
        <v>4</v>
      </c>
      <c r="Y5072" t="s">
        <v>24221</v>
      </c>
      <c r="Z5072" t="s">
        <v>30647</v>
      </c>
      <c r="AA5072">
        <v>0.32774133933344191</v>
      </c>
      <c r="AB5072" t="str">
        <f>HYPERLINK("Melting_Curves/meltCurve_Q96S94_CCNL2.pdf", "Melting_Curves/meltCurve_Q96S94_CCNL2.pdf")</f>
        <v>Melting_Curves/meltCurve_Q96S94_CCNL2.pdf</v>
      </c>
    </row>
    <row r="5073" spans="1:28" x14ac:dyDescent="0.25">
      <c r="A5073" t="s">
        <v>5077</v>
      </c>
      <c r="B5073">
        <v>0.99673306730245903</v>
      </c>
      <c r="C5073">
        <v>0.93827607961461001</v>
      </c>
      <c r="D5073">
        <v>0.50074846004785001</v>
      </c>
      <c r="E5073">
        <v>0.138155307030665</v>
      </c>
      <c r="F5073">
        <v>0.10151218343197101</v>
      </c>
      <c r="G5073">
        <v>6.0609295848197499E-2</v>
      </c>
      <c r="H5073">
        <v>3.4355323753283498E-2</v>
      </c>
      <c r="I5073">
        <v>2.2548461228258699E-2</v>
      </c>
      <c r="J5073">
        <v>3.96236379600532E-2</v>
      </c>
      <c r="K5073">
        <v>2.5780657460918802E-2</v>
      </c>
      <c r="L5073">
        <v>1501.5392173231901</v>
      </c>
      <c r="M5073">
        <v>32.678346970346801</v>
      </c>
      <c r="N5073">
        <v>46.086023846882</v>
      </c>
      <c r="O5073">
        <v>45.778011053171902</v>
      </c>
      <c r="P5073">
        <v>-0.170204403537002</v>
      </c>
      <c r="Q5073">
        <v>4.6269668419857898E-2</v>
      </c>
      <c r="R5073">
        <v>0.99686132816212503</v>
      </c>
      <c r="S5073" t="s">
        <v>11525</v>
      </c>
      <c r="T5073" t="s">
        <v>12902</v>
      </c>
      <c r="U5073" t="s">
        <v>12902</v>
      </c>
      <c r="V5073" t="s">
        <v>12902</v>
      </c>
      <c r="W5073" t="s">
        <v>17926</v>
      </c>
      <c r="X5073">
        <v>3</v>
      </c>
      <c r="Y5073" t="s">
        <v>24222</v>
      </c>
      <c r="Z5073" t="s">
        <v>30648</v>
      </c>
      <c r="AA5073">
        <v>0.24020353058135591</v>
      </c>
      <c r="AB5073" t="str">
        <f>HYPERLINK("Melting_Curves/meltCurve_Q96S99_PLEKHF1.pdf", "Melting_Curves/meltCurve_Q96S99_PLEKHF1.pdf")</f>
        <v>Melting_Curves/meltCurve_Q96S99_PLEKHF1.pdf</v>
      </c>
    </row>
    <row r="5074" spans="1:28" x14ac:dyDescent="0.25">
      <c r="A5074" t="s">
        <v>5078</v>
      </c>
      <c r="B5074">
        <v>0.99673306730245903</v>
      </c>
      <c r="C5074">
        <v>0.86409268188007904</v>
      </c>
      <c r="D5074">
        <v>0.78823405313291295</v>
      </c>
      <c r="E5074">
        <v>0.72479193250226503</v>
      </c>
      <c r="F5074">
        <v>0.23219843207375199</v>
      </c>
      <c r="G5074">
        <v>0.12362338941579</v>
      </c>
      <c r="H5074">
        <v>7.5451025580257805E-2</v>
      </c>
      <c r="I5074">
        <v>5.7623352625495602E-2</v>
      </c>
      <c r="J5074">
        <v>6.6981964427886898E-2</v>
      </c>
      <c r="K5074">
        <v>6.2044068805410899E-2</v>
      </c>
      <c r="L5074">
        <v>936.47381163765499</v>
      </c>
      <c r="M5074">
        <v>18.539382098318999</v>
      </c>
      <c r="N5074">
        <v>50.725352237695802</v>
      </c>
      <c r="O5074">
        <v>49.935977800307597</v>
      </c>
      <c r="P5074">
        <v>-8.9349424065152394E-2</v>
      </c>
      <c r="Q5074">
        <v>3.73886942689877E-2</v>
      </c>
      <c r="R5074">
        <v>0.97175422776444698</v>
      </c>
      <c r="S5074" t="s">
        <v>11526</v>
      </c>
      <c r="T5074" t="s">
        <v>12902</v>
      </c>
      <c r="U5074" t="s">
        <v>12902</v>
      </c>
      <c r="V5074" t="s">
        <v>12902</v>
      </c>
      <c r="W5074" t="s">
        <v>17927</v>
      </c>
      <c r="X5074">
        <v>7</v>
      </c>
      <c r="Y5074" t="s">
        <v>24223</v>
      </c>
      <c r="Z5074" t="s">
        <v>30649</v>
      </c>
      <c r="AA5074">
        <v>0.39015008410152108</v>
      </c>
      <c r="AB5074" t="str">
        <f>HYPERLINK("Melting_Curves/meltCurve_Q96SB4_SRPK1.pdf", "Melting_Curves/meltCurve_Q96SB4_SRPK1.pdf")</f>
        <v>Melting_Curves/meltCurve_Q96SB4_SRPK1.pdf</v>
      </c>
    </row>
    <row r="5075" spans="1:28" x14ac:dyDescent="0.25">
      <c r="A5075" t="s">
        <v>5079</v>
      </c>
      <c r="B5075">
        <v>0.99673306730245903</v>
      </c>
      <c r="C5075">
        <v>0.92495586799976204</v>
      </c>
      <c r="D5075">
        <v>0.97747164503667205</v>
      </c>
      <c r="E5075">
        <v>0.91720924679850802</v>
      </c>
      <c r="F5075">
        <v>0.29190548206712102</v>
      </c>
      <c r="G5075">
        <v>0.21638506234378099</v>
      </c>
      <c r="H5075">
        <v>0.152942896487961</v>
      </c>
      <c r="I5075">
        <v>0.140839713336811</v>
      </c>
      <c r="J5075">
        <v>0.15138885289916501</v>
      </c>
      <c r="K5075">
        <v>0.12936652464817999</v>
      </c>
      <c r="L5075">
        <v>2756.3292611899201</v>
      </c>
      <c r="M5075">
        <v>53.411950682689401</v>
      </c>
      <c r="N5075">
        <v>51.968750694409998</v>
      </c>
      <c r="O5075">
        <v>51.5329187047723</v>
      </c>
      <c r="P5075">
        <v>-0.21871350034272699</v>
      </c>
      <c r="Q5075">
        <v>0.15592394626893</v>
      </c>
      <c r="R5075">
        <v>0.99312554586428203</v>
      </c>
      <c r="S5075" t="s">
        <v>11527</v>
      </c>
      <c r="T5075" t="s">
        <v>12902</v>
      </c>
      <c r="U5075" t="s">
        <v>12902</v>
      </c>
      <c r="V5075" t="s">
        <v>12902</v>
      </c>
      <c r="W5075" t="s">
        <v>17928</v>
      </c>
      <c r="X5075">
        <v>8</v>
      </c>
      <c r="Y5075" t="s">
        <v>24224</v>
      </c>
      <c r="Z5075" t="s">
        <v>30650</v>
      </c>
      <c r="AA5075">
        <v>0.48412616438187472</v>
      </c>
      <c r="AB5075" t="str">
        <f>HYPERLINK("Melting_Curves/meltCurve_Q96SB8_SMC6.pdf", "Melting_Curves/meltCurve_Q96SB8_SMC6.pdf")</f>
        <v>Melting_Curves/meltCurve_Q96SB8_SMC6.pdf</v>
      </c>
    </row>
    <row r="5076" spans="1:28" x14ac:dyDescent="0.25">
      <c r="A5076" t="s">
        <v>5080</v>
      </c>
      <c r="B5076">
        <v>0.99673306730245903</v>
      </c>
      <c r="C5076">
        <v>0.97971508104249805</v>
      </c>
      <c r="D5076">
        <v>1.0552882599436599</v>
      </c>
      <c r="E5076">
        <v>0.70110275336485794</v>
      </c>
      <c r="F5076">
        <v>0.67371591376773698</v>
      </c>
      <c r="G5076">
        <v>0.52608756563342796</v>
      </c>
      <c r="H5076">
        <v>0.21023710342489199</v>
      </c>
      <c r="I5076">
        <v>0</v>
      </c>
      <c r="J5076">
        <v>0</v>
      </c>
      <c r="K5076">
        <v>0.110894921430575</v>
      </c>
      <c r="L5076">
        <v>834.22476124723596</v>
      </c>
      <c r="M5076">
        <v>15.0253068927209</v>
      </c>
      <c r="N5076">
        <v>55.5213126051176</v>
      </c>
      <c r="O5076">
        <v>54.565697967951202</v>
      </c>
      <c r="P5076">
        <v>-6.8847366806842003E-2</v>
      </c>
      <c r="Q5076">
        <v>0</v>
      </c>
      <c r="R5076">
        <v>0.955631378084417</v>
      </c>
      <c r="S5076" t="s">
        <v>11528</v>
      </c>
      <c r="T5076" t="s">
        <v>12902</v>
      </c>
      <c r="U5076" t="s">
        <v>12902</v>
      </c>
      <c r="V5076" t="s">
        <v>12902</v>
      </c>
      <c r="W5076" t="s">
        <v>17929</v>
      </c>
      <c r="X5076">
        <v>3</v>
      </c>
      <c r="Y5076" t="s">
        <v>24225</v>
      </c>
      <c r="Z5076" t="s">
        <v>30651</v>
      </c>
      <c r="AA5076">
        <v>0.53586954547735033</v>
      </c>
      <c r="AB5076" t="str">
        <f>HYPERLINK("Melting_Curves/meltCurve_Q96SH1_TFAP2A.pdf", "Melting_Curves/meltCurve_Q96SH1_TFAP2A.pdf")</f>
        <v>Melting_Curves/meltCurve_Q96SH1_TFAP2A.pdf</v>
      </c>
    </row>
    <row r="5077" spans="1:28" x14ac:dyDescent="0.25">
      <c r="A5077" t="s">
        <v>5081</v>
      </c>
      <c r="B5077">
        <v>0.99673306730245903</v>
      </c>
      <c r="C5077">
        <v>0.954592794900604</v>
      </c>
      <c r="D5077">
        <v>0.94630085137219799</v>
      </c>
      <c r="E5077">
        <v>0.85096837515454304</v>
      </c>
      <c r="F5077">
        <v>0.61561530328716796</v>
      </c>
      <c r="G5077">
        <v>0.48869215074560002</v>
      </c>
      <c r="H5077">
        <v>0.24160785207883201</v>
      </c>
      <c r="I5077">
        <v>0.100997473684903</v>
      </c>
      <c r="J5077">
        <v>6.0239947896987202E-2</v>
      </c>
      <c r="K5077">
        <v>3.7025836794317098E-2</v>
      </c>
      <c r="L5077">
        <v>785.30813108033794</v>
      </c>
      <c r="M5077">
        <v>14.111937855429</v>
      </c>
      <c r="N5077">
        <v>55.648496952765903</v>
      </c>
      <c r="O5077">
        <v>54.566790322687098</v>
      </c>
      <c r="P5077">
        <v>-6.4662718895988097E-2</v>
      </c>
      <c r="Q5077">
        <v>0</v>
      </c>
      <c r="R5077">
        <v>0.99410121990673495</v>
      </c>
      <c r="S5077" t="s">
        <v>11529</v>
      </c>
      <c r="T5077" t="s">
        <v>12902</v>
      </c>
      <c r="U5077" t="s">
        <v>12902</v>
      </c>
      <c r="V5077" t="s">
        <v>12902</v>
      </c>
      <c r="W5077" t="s">
        <v>17930</v>
      </c>
      <c r="X5077">
        <v>2</v>
      </c>
      <c r="Y5077" t="s">
        <v>24226</v>
      </c>
      <c r="Z5077" t="s">
        <v>30652</v>
      </c>
      <c r="AA5077">
        <v>0.54094215451279526</v>
      </c>
      <c r="AB5077" t="str">
        <f>HYPERLINK("Melting_Curves/meltCurve_Q96SI1_KCTD15.pdf", "Melting_Curves/meltCurve_Q96SI1_KCTD15.pdf")</f>
        <v>Melting_Curves/meltCurve_Q96SI1_KCTD15.pdf</v>
      </c>
    </row>
    <row r="5078" spans="1:28" x14ac:dyDescent="0.25">
      <c r="A5078" t="s">
        <v>5082</v>
      </c>
      <c r="B5078">
        <v>0.99673306730245903</v>
      </c>
      <c r="C5078">
        <v>0.85091600005509305</v>
      </c>
      <c r="D5078">
        <v>1.0132397283338499</v>
      </c>
      <c r="E5078">
        <v>1.04657105757831</v>
      </c>
      <c r="F5078">
        <v>0.30764328645755401</v>
      </c>
      <c r="G5078">
        <v>0.10300889234682099</v>
      </c>
      <c r="H5078">
        <v>5.1031649691459499E-2</v>
      </c>
      <c r="I5078">
        <v>4.9640237948864102E-2</v>
      </c>
      <c r="J5078">
        <v>7.2144619314657404E-2</v>
      </c>
      <c r="K5078">
        <v>4.8318812060791902E-2</v>
      </c>
      <c r="L5078">
        <v>13244.2568484312</v>
      </c>
      <c r="M5078">
        <v>250</v>
      </c>
      <c r="N5078">
        <v>53.006472718152999</v>
      </c>
      <c r="O5078">
        <v>52.973649819417297</v>
      </c>
      <c r="P5078">
        <v>-1.10334500628625</v>
      </c>
      <c r="Q5078">
        <v>6.4828830887982594E-2</v>
      </c>
      <c r="R5078">
        <v>0.98587910681344704</v>
      </c>
      <c r="S5078" t="s">
        <v>11530</v>
      </c>
      <c r="T5078" t="s">
        <v>12902</v>
      </c>
      <c r="U5078" t="s">
        <v>12902</v>
      </c>
      <c r="V5078" t="s">
        <v>12902</v>
      </c>
      <c r="W5078" t="s">
        <v>17931</v>
      </c>
      <c r="X5078">
        <v>1</v>
      </c>
      <c r="Y5078" t="s">
        <v>24227</v>
      </c>
      <c r="Z5078" t="s">
        <v>30653</v>
      </c>
      <c r="AA5078">
        <v>0.46944050667294329</v>
      </c>
      <c r="AB5078" t="str">
        <f>HYPERLINK("Melting_Curves/meltCurve_Q96SK2_2_TMEM209.pdf", "Melting_Curves/meltCurve_Q96SK2_2_TMEM209.pdf")</f>
        <v>Melting_Curves/meltCurve_Q96SK2_2_TMEM209.pdf</v>
      </c>
    </row>
    <row r="5079" spans="1:28" x14ac:dyDescent="0.25">
      <c r="A5079" t="s">
        <v>5083</v>
      </c>
      <c r="B5079">
        <v>0.99673306730245903</v>
      </c>
      <c r="C5079">
        <v>0.80062288803283199</v>
      </c>
      <c r="D5079">
        <v>0.72268956059876099</v>
      </c>
      <c r="E5079">
        <v>0.494420362037849</v>
      </c>
      <c r="F5079">
        <v>0.30745652864091999</v>
      </c>
      <c r="G5079">
        <v>0.23615336309763399</v>
      </c>
      <c r="H5079">
        <v>0.19302160088339801</v>
      </c>
      <c r="I5079">
        <v>0.17744473149847501</v>
      </c>
      <c r="J5079">
        <v>0.217992654581527</v>
      </c>
      <c r="K5079">
        <v>0.21200741862473099</v>
      </c>
      <c r="L5079">
        <v>704.45299347506898</v>
      </c>
      <c r="M5079">
        <v>14.7842585049271</v>
      </c>
      <c r="N5079">
        <v>49.1332546421553</v>
      </c>
      <c r="O5079">
        <v>46.802558214272501</v>
      </c>
      <c r="P5079">
        <v>-6.4754118663165605E-2</v>
      </c>
      <c r="Q5079">
        <v>0.18011868715830101</v>
      </c>
      <c r="R5079">
        <v>0.987875753998402</v>
      </c>
      <c r="S5079" t="s">
        <v>11531</v>
      </c>
      <c r="T5079" t="s">
        <v>12902</v>
      </c>
      <c r="U5079" t="s">
        <v>12902</v>
      </c>
      <c r="V5079" t="s">
        <v>12902</v>
      </c>
      <c r="W5079" t="s">
        <v>17932</v>
      </c>
      <c r="X5079">
        <v>8</v>
      </c>
      <c r="Y5079" t="s">
        <v>24228</v>
      </c>
      <c r="Z5079" t="s">
        <v>30654</v>
      </c>
      <c r="AA5079">
        <v>0.41125737700506382</v>
      </c>
      <c r="AB5079" t="str">
        <f>HYPERLINK("Melting_Curves/meltCurve_Q96ST2_IWS1.pdf", "Melting_Curves/meltCurve_Q96ST2_IWS1.pdf")</f>
        <v>Melting_Curves/meltCurve_Q96ST2_IWS1.pdf</v>
      </c>
    </row>
    <row r="5080" spans="1:28" x14ac:dyDescent="0.25">
      <c r="A5080" t="s">
        <v>5084</v>
      </c>
      <c r="B5080">
        <v>0.99673306730245903</v>
      </c>
      <c r="C5080">
        <v>0.79926362508081295</v>
      </c>
      <c r="D5080">
        <v>0.66665434953966596</v>
      </c>
      <c r="E5080">
        <v>0.42397436923995802</v>
      </c>
      <c r="F5080">
        <v>0.24097958440654499</v>
      </c>
      <c r="G5080">
        <v>0.16145146246958</v>
      </c>
      <c r="H5080">
        <v>0.116274140743663</v>
      </c>
      <c r="I5080">
        <v>0.113657097072229</v>
      </c>
      <c r="J5080">
        <v>0.12588738320092099</v>
      </c>
      <c r="K5080">
        <v>0.13356892519657099</v>
      </c>
      <c r="L5080">
        <v>718.83927837023498</v>
      </c>
      <c r="M5080">
        <v>15.164090555394599</v>
      </c>
      <c r="N5080">
        <v>48.150297783715203</v>
      </c>
      <c r="O5080">
        <v>46.6026003666083</v>
      </c>
      <c r="P5080">
        <v>-7.2836057711221203E-2</v>
      </c>
      <c r="Q5080">
        <v>0.10472178218567001</v>
      </c>
      <c r="R5080">
        <v>0.99346819538280795</v>
      </c>
      <c r="S5080" t="s">
        <v>11532</v>
      </c>
      <c r="T5080" t="s">
        <v>12902</v>
      </c>
      <c r="U5080" t="s">
        <v>12902</v>
      </c>
      <c r="V5080" t="s">
        <v>12902</v>
      </c>
      <c r="W5080" t="s">
        <v>17933</v>
      </c>
      <c r="X5080">
        <v>17</v>
      </c>
      <c r="Y5080" t="s">
        <v>24229</v>
      </c>
      <c r="Z5080" t="s">
        <v>30655</v>
      </c>
      <c r="AA5080">
        <v>0.3489104499821713</v>
      </c>
      <c r="AB5080" t="str">
        <f>HYPERLINK("Melting_Curves/meltCurve_Q96ST3_SIN3A.pdf", "Melting_Curves/meltCurve_Q96ST3_SIN3A.pdf")</f>
        <v>Melting_Curves/meltCurve_Q96ST3_SIN3A.pdf</v>
      </c>
    </row>
    <row r="5081" spans="1:28" x14ac:dyDescent="0.25">
      <c r="A5081" t="s">
        <v>5085</v>
      </c>
      <c r="B5081">
        <v>0.99673306730245903</v>
      </c>
      <c r="C5081">
        <v>0.98165739808806796</v>
      </c>
      <c r="D5081">
        <v>0.93278345628090797</v>
      </c>
      <c r="E5081">
        <v>0.83297560732007103</v>
      </c>
      <c r="F5081">
        <v>0.712686544940626</v>
      </c>
      <c r="G5081">
        <v>0.52200348748400005</v>
      </c>
      <c r="H5081">
        <v>0.32483773625469498</v>
      </c>
      <c r="I5081">
        <v>0.19864601362061499</v>
      </c>
      <c r="J5081">
        <v>0.115445406980183</v>
      </c>
      <c r="K5081">
        <v>9.1874082379543795E-2</v>
      </c>
      <c r="L5081">
        <v>692.42988370789601</v>
      </c>
      <c r="M5081">
        <v>12.160844616058201</v>
      </c>
      <c r="N5081">
        <v>56.939290437566598</v>
      </c>
      <c r="O5081">
        <v>55.4652047467861</v>
      </c>
      <c r="P5081">
        <v>-5.4825479968706597E-2</v>
      </c>
      <c r="Q5081">
        <v>0</v>
      </c>
      <c r="R5081">
        <v>0.99850887557641499</v>
      </c>
      <c r="S5081" t="s">
        <v>11533</v>
      </c>
      <c r="T5081" t="s">
        <v>12902</v>
      </c>
      <c r="U5081" t="s">
        <v>12902</v>
      </c>
      <c r="V5081" t="s">
        <v>12902</v>
      </c>
      <c r="W5081" t="s">
        <v>17934</v>
      </c>
      <c r="X5081">
        <v>13</v>
      </c>
      <c r="Y5081" t="s">
        <v>24230</v>
      </c>
      <c r="Z5081" t="s">
        <v>30656</v>
      </c>
      <c r="AA5081">
        <v>0.58170207350504199</v>
      </c>
      <c r="AB5081" t="str">
        <f>HYPERLINK("Melting_Curves/meltCurve_Q96SZ5_ADO.pdf", "Melting_Curves/meltCurve_Q96SZ5_ADO.pdf")</f>
        <v>Melting_Curves/meltCurve_Q96SZ5_ADO.pdf</v>
      </c>
    </row>
    <row r="5082" spans="1:28" x14ac:dyDescent="0.25">
      <c r="A5082" t="s">
        <v>5086</v>
      </c>
      <c r="B5082">
        <v>0.99673306730245903</v>
      </c>
      <c r="C5082">
        <v>0.84308829729314105</v>
      </c>
      <c r="D5082">
        <v>0.64027475110441601</v>
      </c>
      <c r="E5082">
        <v>0.46868356798748201</v>
      </c>
      <c r="F5082">
        <v>0.27023577086503903</v>
      </c>
      <c r="G5082">
        <v>0.18717871137848399</v>
      </c>
      <c r="H5082">
        <v>0.119064446197974</v>
      </c>
      <c r="I5082">
        <v>8.5681545236415496E-2</v>
      </c>
      <c r="J5082">
        <v>6.7140294042136103E-2</v>
      </c>
      <c r="K5082">
        <v>5.4938936992336103E-2</v>
      </c>
      <c r="L5082">
        <v>618.77392506989497</v>
      </c>
      <c r="M5082">
        <v>12.7817435110281</v>
      </c>
      <c r="N5082">
        <v>48.7837485047217</v>
      </c>
      <c r="O5082">
        <v>47.271694066192701</v>
      </c>
      <c r="P5082">
        <v>-6.4462827760816896E-2</v>
      </c>
      <c r="Q5082">
        <v>4.6549069548121401E-2</v>
      </c>
      <c r="R5082">
        <v>0.99495531005413895</v>
      </c>
      <c r="S5082" t="s">
        <v>11534</v>
      </c>
      <c r="T5082" t="s">
        <v>12902</v>
      </c>
      <c r="U5082" t="s">
        <v>12902</v>
      </c>
      <c r="V5082" t="s">
        <v>12902</v>
      </c>
      <c r="W5082" t="s">
        <v>17935</v>
      </c>
      <c r="X5082">
        <v>13</v>
      </c>
      <c r="Y5082" t="s">
        <v>24231</v>
      </c>
      <c r="Z5082" t="s">
        <v>30657</v>
      </c>
      <c r="AA5082">
        <v>0.34636024424794593</v>
      </c>
      <c r="AB5082" t="str">
        <f>HYPERLINK("Melting_Curves/meltCurve_Q96SZ6_3_CDK5RAP1.pdf", "Melting_Curves/meltCurve_Q96SZ6_3_CDK5RAP1.pdf")</f>
        <v>Melting_Curves/meltCurve_Q96SZ6_3_CDK5RAP1.pdf</v>
      </c>
    </row>
    <row r="5083" spans="1:28" x14ac:dyDescent="0.25">
      <c r="A5083" t="s">
        <v>5087</v>
      </c>
      <c r="B5083">
        <v>0.99673306730245903</v>
      </c>
      <c r="C5083">
        <v>0.85447799778782196</v>
      </c>
      <c r="D5083">
        <v>0.86283375235755599</v>
      </c>
      <c r="E5083">
        <v>0.70996893548707596</v>
      </c>
      <c r="F5083">
        <v>0.61919583168961301</v>
      </c>
      <c r="G5083">
        <v>0.558413432498442</v>
      </c>
      <c r="H5083">
        <v>0.49309444630154198</v>
      </c>
      <c r="I5083">
        <v>0.76163636224707998</v>
      </c>
      <c r="J5083">
        <v>1.24990424764363</v>
      </c>
      <c r="K5083">
        <v>1.2675239122447499</v>
      </c>
      <c r="L5083">
        <v>15000</v>
      </c>
      <c r="M5083">
        <v>226.10328684257101</v>
      </c>
      <c r="O5083">
        <v>66.336173935446993</v>
      </c>
      <c r="P5083">
        <v>0.228631077101388</v>
      </c>
      <c r="Q5083">
        <v>1.2683111885051901</v>
      </c>
      <c r="R5083">
        <v>-0.20151167869026701</v>
      </c>
      <c r="S5083" t="s">
        <v>11535</v>
      </c>
      <c r="T5083" t="s">
        <v>12902</v>
      </c>
      <c r="U5083" t="s">
        <v>12902</v>
      </c>
      <c r="V5083" t="s">
        <v>12902</v>
      </c>
      <c r="W5083" t="s">
        <v>17936</v>
      </c>
      <c r="X5083">
        <v>3</v>
      </c>
      <c r="Y5083" t="s">
        <v>24232</v>
      </c>
      <c r="Z5083" t="s">
        <v>30658</v>
      </c>
      <c r="AA5083">
        <v>1.032683612461013</v>
      </c>
      <c r="AB5083" t="str">
        <f>HYPERLINK("Melting_Curves/meltCurve_Q96T17_MAP7D2.pdf", "Melting_Curves/meltCurve_Q96T17_MAP7D2.pdf")</f>
        <v>Melting_Curves/meltCurve_Q96T17_MAP7D2.pdf</v>
      </c>
    </row>
    <row r="5084" spans="1:28" x14ac:dyDescent="0.25">
      <c r="A5084" t="s">
        <v>5088</v>
      </c>
      <c r="B5084">
        <v>0.99673306730245903</v>
      </c>
      <c r="C5084">
        <v>0.75476571960491501</v>
      </c>
      <c r="D5084">
        <v>0.87247570882636105</v>
      </c>
      <c r="E5084">
        <v>0.45598955211449799</v>
      </c>
      <c r="F5084">
        <v>0.32846333309349801</v>
      </c>
      <c r="G5084">
        <v>0.23822229685891</v>
      </c>
      <c r="H5084">
        <v>0.180221575591719</v>
      </c>
      <c r="I5084">
        <v>0.23976898818140499</v>
      </c>
      <c r="J5084">
        <v>0.34592215879524801</v>
      </c>
      <c r="K5084">
        <v>0.32425436740966901</v>
      </c>
      <c r="L5084">
        <v>976.12284786610599</v>
      </c>
      <c r="M5084">
        <v>20.473687673516</v>
      </c>
      <c r="N5084">
        <v>49.408241878448003</v>
      </c>
      <c r="O5084">
        <v>47.229086092228997</v>
      </c>
      <c r="P5084">
        <v>-8.0633673561705393E-2</v>
      </c>
      <c r="Q5084">
        <v>0.25599300544760101</v>
      </c>
      <c r="R5084">
        <v>0.91340307552828504</v>
      </c>
      <c r="S5084" t="s">
        <v>11536</v>
      </c>
      <c r="T5084" t="s">
        <v>12902</v>
      </c>
      <c r="U5084" t="s">
        <v>12902</v>
      </c>
      <c r="V5084" t="s">
        <v>12902</v>
      </c>
      <c r="W5084" t="s">
        <v>17937</v>
      </c>
      <c r="X5084">
        <v>1</v>
      </c>
      <c r="Y5084" t="s">
        <v>24233</v>
      </c>
      <c r="Z5084" t="s">
        <v>30659</v>
      </c>
      <c r="AA5084">
        <v>0.45651279588316812</v>
      </c>
      <c r="AB5084" t="str">
        <f>HYPERLINK("Melting_Curves/meltCurve_Q96T21_2_SECISBP2.pdf", "Melting_Curves/meltCurve_Q96T21_2_SECISBP2.pdf")</f>
        <v>Melting_Curves/meltCurve_Q96T21_2_SECISBP2.pdf</v>
      </c>
    </row>
    <row r="5085" spans="1:28" x14ac:dyDescent="0.25">
      <c r="A5085" t="s">
        <v>5089</v>
      </c>
      <c r="B5085">
        <v>0.99673306730245903</v>
      </c>
      <c r="C5085">
        <v>0.96150308499645398</v>
      </c>
      <c r="D5085">
        <v>0.91656051463876898</v>
      </c>
      <c r="E5085">
        <v>0.79595084881147304</v>
      </c>
      <c r="F5085">
        <v>0.69090451500639205</v>
      </c>
      <c r="G5085">
        <v>0.556447193833702</v>
      </c>
      <c r="H5085">
        <v>0.43729145140287701</v>
      </c>
      <c r="I5085">
        <v>0.57209139022636102</v>
      </c>
      <c r="J5085">
        <v>0.75792514383086695</v>
      </c>
      <c r="K5085">
        <v>0.67532323576272502</v>
      </c>
      <c r="L5085">
        <v>1158.6602933276899</v>
      </c>
      <c r="M5085">
        <v>23.555178369507299</v>
      </c>
      <c r="O5085">
        <v>48.8387654397132</v>
      </c>
      <c r="P5085">
        <v>-4.79793841028575E-2</v>
      </c>
      <c r="Q5085">
        <v>0.60208921453029396</v>
      </c>
      <c r="R5085">
        <v>0.78992257118252196</v>
      </c>
      <c r="S5085" t="s">
        <v>11537</v>
      </c>
      <c r="T5085" t="s">
        <v>12902</v>
      </c>
      <c r="U5085" t="s">
        <v>12902</v>
      </c>
      <c r="V5085" t="s">
        <v>12902</v>
      </c>
      <c r="W5085" t="s">
        <v>17938</v>
      </c>
      <c r="X5085">
        <v>8</v>
      </c>
      <c r="Y5085" t="s">
        <v>24234</v>
      </c>
      <c r="Z5085" t="s">
        <v>30660</v>
      </c>
      <c r="AA5085">
        <v>0.72796062358037139</v>
      </c>
      <c r="AB5085" t="str">
        <f>HYPERLINK("Melting_Curves/meltCurve_Q96T23_2_RSF1.pdf", "Melting_Curves/meltCurve_Q96T23_2_RSF1.pdf")</f>
        <v>Melting_Curves/meltCurve_Q96T23_2_RSF1.pdf</v>
      </c>
    </row>
    <row r="5086" spans="1:28" x14ac:dyDescent="0.25">
      <c r="A5086" t="s">
        <v>5090</v>
      </c>
      <c r="B5086">
        <v>0.99673306730245903</v>
      </c>
      <c r="C5086">
        <v>0.88432617629613997</v>
      </c>
      <c r="D5086">
        <v>0.83828296652807399</v>
      </c>
      <c r="E5086">
        <v>0.51850437269009597</v>
      </c>
      <c r="F5086">
        <v>0.28316925466654103</v>
      </c>
      <c r="G5086">
        <v>0.17924601981754201</v>
      </c>
      <c r="H5086">
        <v>0.12966850515015699</v>
      </c>
      <c r="I5086">
        <v>0.120639675732355</v>
      </c>
      <c r="J5086">
        <v>0.14179245145671501</v>
      </c>
      <c r="K5086">
        <v>0.164571291812693</v>
      </c>
      <c r="L5086">
        <v>948.25076774961997</v>
      </c>
      <c r="M5086">
        <v>19.331639450604499</v>
      </c>
      <c r="N5086">
        <v>49.815906913343902</v>
      </c>
      <c r="O5086">
        <v>48.535908547084603</v>
      </c>
      <c r="P5086">
        <v>-8.6801147866415795E-2</v>
      </c>
      <c r="Q5086">
        <v>0.12830660428832499</v>
      </c>
      <c r="R5086">
        <v>0.99388860662953804</v>
      </c>
      <c r="S5086" t="s">
        <v>11538</v>
      </c>
      <c r="T5086" t="s">
        <v>12902</v>
      </c>
      <c r="U5086" t="s">
        <v>12902</v>
      </c>
      <c r="V5086" t="s">
        <v>12902</v>
      </c>
      <c r="W5086" t="s">
        <v>17939</v>
      </c>
      <c r="X5086">
        <v>3</v>
      </c>
      <c r="Y5086" t="s">
        <v>24235</v>
      </c>
      <c r="Z5086" t="s">
        <v>30661</v>
      </c>
      <c r="AA5086">
        <v>0.40439184324774208</v>
      </c>
      <c r="AB5086" t="str">
        <f>HYPERLINK("Melting_Curves/meltCurve_Q96T25_ZIC5.pdf", "Melting_Curves/meltCurve_Q96T25_ZIC5.pdf")</f>
        <v>Melting_Curves/meltCurve_Q96T25_ZIC5.pdf</v>
      </c>
    </row>
    <row r="5087" spans="1:28" x14ac:dyDescent="0.25">
      <c r="A5087" t="s">
        <v>5091</v>
      </c>
      <c r="B5087">
        <v>0.99673306730245903</v>
      </c>
      <c r="C5087">
        <v>0.79990028918799105</v>
      </c>
      <c r="D5087">
        <v>0.53737508678622503</v>
      </c>
      <c r="E5087">
        <v>0.29996758012815899</v>
      </c>
      <c r="F5087">
        <v>0.18091549255304901</v>
      </c>
      <c r="G5087">
        <v>0.109725659099428</v>
      </c>
      <c r="H5087">
        <v>7.1733044553332806E-2</v>
      </c>
      <c r="I5087">
        <v>6.9264802504206593E-2</v>
      </c>
      <c r="J5087">
        <v>7.9078584058801402E-2</v>
      </c>
      <c r="K5087">
        <v>7.9591767287509496E-2</v>
      </c>
      <c r="L5087">
        <v>811.212206619889</v>
      </c>
      <c r="M5087">
        <v>17.549212918068601</v>
      </c>
      <c r="N5087">
        <v>46.649941912253702</v>
      </c>
      <c r="O5087">
        <v>45.637297928372597</v>
      </c>
      <c r="P5087">
        <v>-8.9037644659551898E-2</v>
      </c>
      <c r="Q5087">
        <v>7.3869359837942503E-2</v>
      </c>
      <c r="R5087">
        <v>0.99578998581862799</v>
      </c>
      <c r="S5087" t="s">
        <v>11539</v>
      </c>
      <c r="T5087" t="s">
        <v>12902</v>
      </c>
      <c r="U5087" t="s">
        <v>12902</v>
      </c>
      <c r="V5087" t="s">
        <v>12902</v>
      </c>
      <c r="W5087" t="s">
        <v>17940</v>
      </c>
      <c r="X5087">
        <v>12</v>
      </c>
      <c r="Y5087" t="s">
        <v>24236</v>
      </c>
      <c r="Z5087" t="s">
        <v>30662</v>
      </c>
      <c r="AA5087">
        <v>0.28496423879486521</v>
      </c>
      <c r="AB5087" t="str">
        <f>HYPERLINK("Melting_Curves/meltCurve_Q96T37_2_RBM15.pdf", "Melting_Curves/meltCurve_Q96T37_2_RBM15.pdf")</f>
        <v>Melting_Curves/meltCurve_Q96T37_2_RBM15.pdf</v>
      </c>
    </row>
    <row r="5088" spans="1:28" x14ac:dyDescent="0.25">
      <c r="A5088" t="s">
        <v>5092</v>
      </c>
      <c r="B5088">
        <v>0.99673306730245903</v>
      </c>
      <c r="C5088">
        <v>0.87399008470005302</v>
      </c>
      <c r="D5088">
        <v>0.44628720323136101</v>
      </c>
      <c r="E5088">
        <v>0.21336485899617399</v>
      </c>
      <c r="F5088">
        <v>0.15701343460494799</v>
      </c>
      <c r="G5088">
        <v>0.104315081874025</v>
      </c>
      <c r="H5088">
        <v>8.0563026619424397E-2</v>
      </c>
      <c r="I5088">
        <v>6.9706344414844301E-2</v>
      </c>
      <c r="J5088">
        <v>0.10943857335193501</v>
      </c>
      <c r="K5088">
        <v>0.128355235395022</v>
      </c>
      <c r="L5088">
        <v>1287.9643616994099</v>
      </c>
      <c r="M5088">
        <v>28.380798927182401</v>
      </c>
      <c r="N5088">
        <v>45.775265064319697</v>
      </c>
      <c r="O5088">
        <v>45.158021334020198</v>
      </c>
      <c r="P5088">
        <v>-0.14010455266778099</v>
      </c>
      <c r="Q5088">
        <v>0.108299532651527</v>
      </c>
      <c r="R5088">
        <v>0.99420285177349799</v>
      </c>
      <c r="S5088" t="s">
        <v>11540</v>
      </c>
      <c r="T5088" t="s">
        <v>12902</v>
      </c>
      <c r="U5088" t="s">
        <v>12902</v>
      </c>
      <c r="V5088" t="s">
        <v>12902</v>
      </c>
      <c r="W5088" t="s">
        <v>17941</v>
      </c>
      <c r="X5088">
        <v>9</v>
      </c>
      <c r="Y5088" t="s">
        <v>24237</v>
      </c>
      <c r="Z5088" t="s">
        <v>30663</v>
      </c>
      <c r="AA5088">
        <v>0.2746152295449677</v>
      </c>
      <c r="AB5088" t="str">
        <f>HYPERLINK("Melting_Curves/meltCurve_Q96T51_RUFY1.pdf", "Melting_Curves/meltCurve_Q96T51_RUFY1.pdf")</f>
        <v>Melting_Curves/meltCurve_Q96T51_RUFY1.pdf</v>
      </c>
    </row>
    <row r="5089" spans="1:28" x14ac:dyDescent="0.25">
      <c r="A5089" t="s">
        <v>5093</v>
      </c>
      <c r="B5089">
        <v>0.99673306730245903</v>
      </c>
      <c r="C5089">
        <v>0.84457925337256701</v>
      </c>
      <c r="D5089">
        <v>0.73804447504334703</v>
      </c>
      <c r="E5089">
        <v>0.56657101333655602</v>
      </c>
      <c r="F5089">
        <v>0.34978599587753401</v>
      </c>
      <c r="G5089">
        <v>0.24730370690459</v>
      </c>
      <c r="H5089">
        <v>0.17010525875670701</v>
      </c>
      <c r="I5089">
        <v>0.20389402780819901</v>
      </c>
      <c r="J5089">
        <v>0.269089262485806</v>
      </c>
      <c r="K5089">
        <v>0.27215560800349697</v>
      </c>
      <c r="L5089">
        <v>743.26610551099998</v>
      </c>
      <c r="M5089">
        <v>15.4337665918454</v>
      </c>
      <c r="N5089">
        <v>49.920887241551398</v>
      </c>
      <c r="O5089">
        <v>47.371672011182199</v>
      </c>
      <c r="P5089">
        <v>-6.43478769072484E-2</v>
      </c>
      <c r="Q5089">
        <v>0.21004618693882701</v>
      </c>
      <c r="R5089">
        <v>0.97752390380294096</v>
      </c>
      <c r="S5089" t="s">
        <v>11541</v>
      </c>
      <c r="T5089" t="s">
        <v>12902</v>
      </c>
      <c r="U5089" t="s">
        <v>12902</v>
      </c>
      <c r="V5089" t="s">
        <v>12902</v>
      </c>
      <c r="W5089" t="s">
        <v>17942</v>
      </c>
      <c r="X5089">
        <v>7</v>
      </c>
      <c r="Y5089" t="s">
        <v>24238</v>
      </c>
      <c r="Z5089" t="s">
        <v>30664</v>
      </c>
      <c r="AA5089">
        <v>0.44394753066598358</v>
      </c>
      <c r="AB5089" t="str">
        <f>HYPERLINK("Melting_Curves/meltCurve_Q96T58_SPEN.pdf", "Melting_Curves/meltCurve_Q96T58_SPEN.pdf")</f>
        <v>Melting_Curves/meltCurve_Q96T58_SPEN.pdf</v>
      </c>
    </row>
    <row r="5090" spans="1:28" x14ac:dyDescent="0.25">
      <c r="A5090" t="s">
        <v>5094</v>
      </c>
      <c r="B5090">
        <v>0.99673306730245903</v>
      </c>
      <c r="C5090">
        <v>0.937553970908791</v>
      </c>
      <c r="D5090">
        <v>0.87215656923262297</v>
      </c>
      <c r="E5090">
        <v>0.41607363155035998</v>
      </c>
      <c r="F5090">
        <v>0.230476297863008</v>
      </c>
      <c r="G5090">
        <v>0.11408795095811999</v>
      </c>
      <c r="H5090">
        <v>8.6445772638022403E-2</v>
      </c>
      <c r="I5090">
        <v>6.1151618108755801E-2</v>
      </c>
      <c r="J5090">
        <v>6.2172663301234797E-2</v>
      </c>
      <c r="K5090">
        <v>5.4085629738789998E-2</v>
      </c>
      <c r="L5090">
        <v>1151.7735851746299</v>
      </c>
      <c r="M5090">
        <v>23.5484802117181</v>
      </c>
      <c r="N5090">
        <v>49.221348331979002</v>
      </c>
      <c r="O5090">
        <v>48.562119337549703</v>
      </c>
      <c r="P5090">
        <v>-0.11286052647262899</v>
      </c>
      <c r="Q5090">
        <v>6.90435373492152E-2</v>
      </c>
      <c r="R5090">
        <v>0.99519309828723002</v>
      </c>
      <c r="S5090" t="s">
        <v>11542</v>
      </c>
      <c r="T5090" t="s">
        <v>12902</v>
      </c>
      <c r="U5090" t="s">
        <v>12902</v>
      </c>
      <c r="V5090" t="s">
        <v>12902</v>
      </c>
      <c r="W5090" t="s">
        <v>17943</v>
      </c>
      <c r="X5090">
        <v>13</v>
      </c>
      <c r="Y5090" t="s">
        <v>24239</v>
      </c>
      <c r="Z5090" t="s">
        <v>30665</v>
      </c>
      <c r="AA5090">
        <v>0.35488989073565791</v>
      </c>
      <c r="AB5090" t="str">
        <f>HYPERLINK("Melting_Curves/meltCurve_Q96T60_PNKP.pdf", "Melting_Curves/meltCurve_Q96T60_PNKP.pdf")</f>
        <v>Melting_Curves/meltCurve_Q96T60_PNKP.pdf</v>
      </c>
    </row>
    <row r="5091" spans="1:28" x14ac:dyDescent="0.25">
      <c r="A5091" t="s">
        <v>5095</v>
      </c>
      <c r="B5091">
        <v>0.99673306730245903</v>
      </c>
      <c r="C5091">
        <v>0.99349465349300803</v>
      </c>
      <c r="D5091">
        <v>0.66835557303259197</v>
      </c>
      <c r="E5091">
        <v>0.93687532064913903</v>
      </c>
      <c r="F5091">
        <v>0.33975985586125201</v>
      </c>
      <c r="G5091">
        <v>0.12475641716819701</v>
      </c>
      <c r="H5091">
        <v>7.1730166952684499E-2</v>
      </c>
      <c r="I5091">
        <v>6.1769636031270697E-2</v>
      </c>
      <c r="J5091">
        <v>6.24357190233292E-2</v>
      </c>
      <c r="K5091">
        <v>5.4390961445498001E-2</v>
      </c>
      <c r="L5091">
        <v>2128.6889161725899</v>
      </c>
      <c r="M5091">
        <v>40.816456958484402</v>
      </c>
      <c r="N5091">
        <v>52.334856491797098</v>
      </c>
      <c r="O5091">
        <v>52.027982832730103</v>
      </c>
      <c r="P5091">
        <v>-0.18314156004958701</v>
      </c>
      <c r="Q5091">
        <v>6.6212968324172297E-2</v>
      </c>
      <c r="R5091">
        <v>0.93095357619265195</v>
      </c>
      <c r="S5091" t="s">
        <v>11543</v>
      </c>
      <c r="T5091" t="s">
        <v>12902</v>
      </c>
      <c r="U5091" t="s">
        <v>12902</v>
      </c>
      <c r="V5091" t="s">
        <v>12902</v>
      </c>
      <c r="W5091" t="s">
        <v>17944</v>
      </c>
      <c r="X5091">
        <v>16</v>
      </c>
      <c r="Y5091" t="s">
        <v>24240</v>
      </c>
      <c r="Z5091" t="s">
        <v>30666</v>
      </c>
      <c r="AA5091">
        <v>0.44771161024479877</v>
      </c>
      <c r="AB5091" t="str">
        <f>HYPERLINK("Melting_Curves/meltCurve_Q96T66_NMNAT3.pdf", "Melting_Curves/meltCurve_Q96T66_NMNAT3.pdf")</f>
        <v>Melting_Curves/meltCurve_Q96T66_NMNAT3.pdf</v>
      </c>
    </row>
    <row r="5092" spans="1:28" x14ac:dyDescent="0.25">
      <c r="A5092" t="s">
        <v>5096</v>
      </c>
      <c r="B5092">
        <v>0.99673306730245903</v>
      </c>
      <c r="C5092">
        <v>0.90347592697276702</v>
      </c>
      <c r="D5092">
        <v>0.73016199686475103</v>
      </c>
      <c r="E5092">
        <v>0.28640536267972799</v>
      </c>
      <c r="F5092">
        <v>0.167429191775471</v>
      </c>
      <c r="G5092">
        <v>9.64217927902071E-2</v>
      </c>
      <c r="H5092">
        <v>7.2664229282567702E-2</v>
      </c>
      <c r="I5092">
        <v>6.4002525578666494E-2</v>
      </c>
      <c r="J5092">
        <v>5.8589468282443699E-2</v>
      </c>
      <c r="K5092">
        <v>6.1150979210570097E-2</v>
      </c>
      <c r="L5092">
        <v>1122.70268384869</v>
      </c>
      <c r="M5092">
        <v>23.639436036729499</v>
      </c>
      <c r="N5092">
        <v>47.7860255541312</v>
      </c>
      <c r="O5092">
        <v>47.156841427823601</v>
      </c>
      <c r="P5092">
        <v>-0.116864032523259</v>
      </c>
      <c r="Q5092">
        <v>6.7516545584496601E-2</v>
      </c>
      <c r="R5092">
        <v>0.99712315674676599</v>
      </c>
      <c r="S5092" t="s">
        <v>11544</v>
      </c>
      <c r="T5092" t="s">
        <v>12902</v>
      </c>
      <c r="U5092" t="s">
        <v>12902</v>
      </c>
      <c r="V5092" t="s">
        <v>12902</v>
      </c>
      <c r="W5092" t="s">
        <v>17945</v>
      </c>
      <c r="X5092">
        <v>11</v>
      </c>
      <c r="Y5092" t="s">
        <v>24241</v>
      </c>
      <c r="Z5092" t="s">
        <v>30667</v>
      </c>
      <c r="AA5092">
        <v>0.30974533683880862</v>
      </c>
      <c r="AB5092" t="str">
        <f>HYPERLINK("Melting_Curves/meltCurve_Q96T76_MMS19.pdf", "Melting_Curves/meltCurve_Q96T76_MMS19.pdf")</f>
        <v>Melting_Curves/meltCurve_Q96T76_MMS19.pdf</v>
      </c>
    </row>
    <row r="5093" spans="1:28" x14ac:dyDescent="0.25">
      <c r="A5093" t="s">
        <v>5097</v>
      </c>
      <c r="B5093">
        <v>0.99673306730245903</v>
      </c>
      <c r="C5093">
        <v>0.60966276691823496</v>
      </c>
      <c r="D5093">
        <v>0.241649115479106</v>
      </c>
      <c r="E5093">
        <v>0.13038890445474299</v>
      </c>
      <c r="F5093">
        <v>0.111904787463842</v>
      </c>
      <c r="G5093">
        <v>6.2449822227914897E-2</v>
      </c>
      <c r="H5093">
        <v>5.2521777318109301E-2</v>
      </c>
      <c r="I5093">
        <v>5.1832967577407199E-2</v>
      </c>
      <c r="J5093">
        <v>7.0408164587587405E-2</v>
      </c>
      <c r="K5093">
        <v>5.1028071702693502E-2</v>
      </c>
      <c r="L5093">
        <v>1297.33050048164</v>
      </c>
      <c r="M5093">
        <v>29.7984587250007</v>
      </c>
      <c r="N5093">
        <v>43.7655430357201</v>
      </c>
      <c r="O5093">
        <v>43.3421771164926</v>
      </c>
      <c r="P5093">
        <v>-0.15948850838754899</v>
      </c>
      <c r="Q5093">
        <v>7.2095417089680397E-2</v>
      </c>
      <c r="R5093">
        <v>0.99091290679080302</v>
      </c>
      <c r="S5093" t="s">
        <v>11545</v>
      </c>
      <c r="T5093" t="s">
        <v>12902</v>
      </c>
      <c r="U5093" t="s">
        <v>12902</v>
      </c>
      <c r="V5093" t="s">
        <v>12902</v>
      </c>
      <c r="W5093" t="s">
        <v>17946</v>
      </c>
      <c r="X5093">
        <v>1</v>
      </c>
      <c r="Y5093" t="s">
        <v>24242</v>
      </c>
      <c r="Z5093" t="s">
        <v>30668</v>
      </c>
      <c r="AA5093">
        <v>0.1890488940654417</v>
      </c>
      <c r="AB5093" t="str">
        <f>HYPERLINK("Melting_Curves/meltCurve_Q96T88_UHRF1.pdf", "Melting_Curves/meltCurve_Q96T88_UHRF1.pdf")</f>
        <v>Melting_Curves/meltCurve_Q96T88_UHRF1.pdf</v>
      </c>
    </row>
    <row r="5094" spans="1:28" x14ac:dyDescent="0.25">
      <c r="A5094" t="s">
        <v>5098</v>
      </c>
      <c r="B5094">
        <v>0.99673306730245903</v>
      </c>
      <c r="C5094">
        <v>0.99942240174628005</v>
      </c>
      <c r="D5094">
        <v>1.0039918808530599</v>
      </c>
      <c r="E5094">
        <v>0.98489985674297198</v>
      </c>
      <c r="F5094">
        <v>0.478689318110113</v>
      </c>
      <c r="G5094">
        <v>0.158831096501035</v>
      </c>
      <c r="H5094">
        <v>9.0037280408666598E-2</v>
      </c>
      <c r="I5094">
        <v>8.0954692027155606E-2</v>
      </c>
      <c r="J5094">
        <v>9.4341880478702497E-2</v>
      </c>
      <c r="K5094">
        <v>8.2392689755027601E-2</v>
      </c>
      <c r="L5094">
        <v>2471.1783932192998</v>
      </c>
      <c r="M5094">
        <v>46.712839893575001</v>
      </c>
      <c r="N5094">
        <v>53.134893560004102</v>
      </c>
      <c r="O5094">
        <v>52.804802675464501</v>
      </c>
      <c r="P5094">
        <v>-0.20064396447305499</v>
      </c>
      <c r="Q5094">
        <v>9.2758822400358001E-2</v>
      </c>
      <c r="R5094">
        <v>0.99893971849199603</v>
      </c>
      <c r="S5094" t="s">
        <v>11546</v>
      </c>
      <c r="T5094" t="s">
        <v>12902</v>
      </c>
      <c r="U5094" t="s">
        <v>12902</v>
      </c>
      <c r="V5094" t="s">
        <v>12902</v>
      </c>
      <c r="W5094" t="s">
        <v>17947</v>
      </c>
      <c r="X5094">
        <v>22</v>
      </c>
      <c r="Y5094" t="s">
        <v>24243</v>
      </c>
      <c r="Z5094" t="s">
        <v>30669</v>
      </c>
      <c r="AA5094">
        <v>0.48534409012736079</v>
      </c>
      <c r="AB5094" t="str">
        <f>HYPERLINK("Melting_Curves/meltCurve_Q96TA1_2_FAM129B.pdf", "Melting_Curves/meltCurve_Q96TA1_2_FAM129B.pdf")</f>
        <v>Melting_Curves/meltCurve_Q96TA1_2_FAM129B.pdf</v>
      </c>
    </row>
    <row r="5095" spans="1:28" x14ac:dyDescent="0.25">
      <c r="A5095" t="s">
        <v>5099</v>
      </c>
      <c r="B5095">
        <v>0.99673306730245903</v>
      </c>
      <c r="C5095">
        <v>0.98620191042656602</v>
      </c>
      <c r="D5095">
        <v>0.80067031547679102</v>
      </c>
      <c r="E5095">
        <v>0.65432407365279199</v>
      </c>
      <c r="F5095">
        <v>0.37638165815887997</v>
      </c>
      <c r="G5095">
        <v>0.21059106689656301</v>
      </c>
      <c r="H5095">
        <v>0.12890426434604399</v>
      </c>
      <c r="I5095">
        <v>0.117984537215544</v>
      </c>
      <c r="J5095">
        <v>0.133320702494476</v>
      </c>
      <c r="K5095">
        <v>0.116760927412961</v>
      </c>
      <c r="L5095">
        <v>837.00627641544202</v>
      </c>
      <c r="M5095">
        <v>16.5480953682458</v>
      </c>
      <c r="N5095">
        <v>51.252199251726303</v>
      </c>
      <c r="O5095">
        <v>49.858887839063001</v>
      </c>
      <c r="P5095">
        <v>-7.4887999797352806E-2</v>
      </c>
      <c r="Q5095">
        <v>9.7521358309320003E-2</v>
      </c>
      <c r="R5095">
        <v>0.99503737791852198</v>
      </c>
      <c r="S5095" t="s">
        <v>11547</v>
      </c>
      <c r="T5095" t="s">
        <v>12902</v>
      </c>
      <c r="U5095" t="s">
        <v>12902</v>
      </c>
      <c r="V5095" t="s">
        <v>12902</v>
      </c>
      <c r="W5095" t="s">
        <v>17948</v>
      </c>
      <c r="X5095">
        <v>9</v>
      </c>
      <c r="Y5095" t="s">
        <v>24244</v>
      </c>
      <c r="Z5095" t="s">
        <v>30670</v>
      </c>
      <c r="AA5095">
        <v>0.43360254734639508</v>
      </c>
      <c r="AB5095" t="str">
        <f>HYPERLINK("Melting_Curves/meltCurve_Q96TA2_3_YME1L1.pdf", "Melting_Curves/meltCurve_Q96TA2_3_YME1L1.pdf")</f>
        <v>Melting_Curves/meltCurve_Q96TA2_3_YME1L1.pdf</v>
      </c>
    </row>
    <row r="5096" spans="1:28" x14ac:dyDescent="0.25">
      <c r="A5096" t="s">
        <v>5100</v>
      </c>
      <c r="B5096">
        <v>0.99673306730245903</v>
      </c>
      <c r="C5096">
        <v>1.11041468757452</v>
      </c>
      <c r="D5096">
        <v>0.92326143789458104</v>
      </c>
      <c r="E5096">
        <v>0.74048944297499897</v>
      </c>
      <c r="F5096">
        <v>0.45747775113422101</v>
      </c>
      <c r="G5096">
        <v>0.34726825067863099</v>
      </c>
      <c r="H5096">
        <v>0.23669155251409901</v>
      </c>
      <c r="I5096">
        <v>0.26690256904863202</v>
      </c>
      <c r="J5096">
        <v>0.325779806807657</v>
      </c>
      <c r="K5096">
        <v>0.25217063105745802</v>
      </c>
      <c r="L5096">
        <v>1233.7324882631599</v>
      </c>
      <c r="M5096">
        <v>24.2626219620314</v>
      </c>
      <c r="N5096">
        <v>52.535196902863397</v>
      </c>
      <c r="O5096">
        <v>50.507441731065697</v>
      </c>
      <c r="P5096">
        <v>-8.7610160293446898E-2</v>
      </c>
      <c r="Q5096">
        <v>0.27049953494546403</v>
      </c>
      <c r="R5096">
        <v>0.98034700966466803</v>
      </c>
      <c r="S5096" t="s">
        <v>11548</v>
      </c>
      <c r="T5096" t="s">
        <v>12902</v>
      </c>
      <c r="U5096" t="s">
        <v>12902</v>
      </c>
      <c r="V5096" t="s">
        <v>12902</v>
      </c>
      <c r="W5096" t="s">
        <v>17949</v>
      </c>
      <c r="X5096">
        <v>2</v>
      </c>
      <c r="Y5096" t="s">
        <v>24245</v>
      </c>
      <c r="Z5096" t="s">
        <v>30671</v>
      </c>
      <c r="AA5096">
        <v>0.54129274428496488</v>
      </c>
      <c r="AB5096" t="str">
        <f>HYPERLINK("Melting_Curves/meltCurve_Q96TC7_RMDN3.pdf", "Melting_Curves/meltCurve_Q96TC7_RMDN3.pdf")</f>
        <v>Melting_Curves/meltCurve_Q96TC7_RMDN3.pdf</v>
      </c>
    </row>
    <row r="5097" spans="1:28" x14ac:dyDescent="0.25">
      <c r="A5097" t="s">
        <v>5101</v>
      </c>
      <c r="B5097">
        <v>0.99673306730245903</v>
      </c>
      <c r="C5097">
        <v>0.84889156142004896</v>
      </c>
      <c r="D5097">
        <v>0.62540986312372904</v>
      </c>
      <c r="E5097">
        <v>0.34696290216685199</v>
      </c>
      <c r="F5097">
        <v>0.24137789154594499</v>
      </c>
      <c r="G5097">
        <v>0.163940689148451</v>
      </c>
      <c r="H5097">
        <v>0.10985174764200301</v>
      </c>
      <c r="I5097">
        <v>9.4828925685641899E-2</v>
      </c>
      <c r="J5097">
        <v>0.107086671026832</v>
      </c>
      <c r="K5097">
        <v>0.13277460087308099</v>
      </c>
      <c r="L5097">
        <v>817.27174360701304</v>
      </c>
      <c r="M5097">
        <v>17.419641613775401</v>
      </c>
      <c r="N5097">
        <v>47.597220470986699</v>
      </c>
      <c r="O5097">
        <v>46.311460592939497</v>
      </c>
      <c r="P5097">
        <v>-8.3673940288300996E-2</v>
      </c>
      <c r="Q5097">
        <v>0.11023516214486399</v>
      </c>
      <c r="R5097">
        <v>0.99597385369066904</v>
      </c>
      <c r="S5097" t="s">
        <v>11549</v>
      </c>
      <c r="T5097" t="s">
        <v>12902</v>
      </c>
      <c r="U5097" t="s">
        <v>12902</v>
      </c>
      <c r="V5097" t="s">
        <v>12902</v>
      </c>
      <c r="W5097" t="s">
        <v>17950</v>
      </c>
      <c r="X5097">
        <v>6</v>
      </c>
      <c r="Y5097" t="s">
        <v>24246</v>
      </c>
      <c r="Z5097" t="s">
        <v>30672</v>
      </c>
      <c r="AA5097">
        <v>0.33307810406546329</v>
      </c>
      <c r="AB5097" t="str">
        <f>HYPERLINK("Melting_Curves/meltCurve_Q99081_TCF12.pdf", "Melting_Curves/meltCurve_Q99081_TCF12.pdf")</f>
        <v>Melting_Curves/meltCurve_Q99081_TCF12.pdf</v>
      </c>
    </row>
    <row r="5098" spans="1:28" x14ac:dyDescent="0.25">
      <c r="A5098" t="s">
        <v>5102</v>
      </c>
      <c r="B5098">
        <v>0.99673306730245903</v>
      </c>
      <c r="C5098">
        <v>1.0058531169640199</v>
      </c>
      <c r="D5098">
        <v>0.98665176134731203</v>
      </c>
      <c r="E5098">
        <v>0.85722069746187002</v>
      </c>
      <c r="F5098">
        <v>0.79467632170602398</v>
      </c>
      <c r="G5098">
        <v>0.68364890577148996</v>
      </c>
      <c r="H5098">
        <v>0.55427883140749201</v>
      </c>
      <c r="I5098">
        <v>0.77801944503347198</v>
      </c>
      <c r="J5098">
        <v>0.97013496009940703</v>
      </c>
      <c r="K5098">
        <v>0.93728540138541405</v>
      </c>
      <c r="L5098">
        <v>2381.08290763991</v>
      </c>
      <c r="M5098">
        <v>48.715144839520697</v>
      </c>
      <c r="O5098">
        <v>48.795519975922602</v>
      </c>
      <c r="P5098">
        <v>-5.3485779812943501E-2</v>
      </c>
      <c r="Q5098">
        <v>0.78570410008440705</v>
      </c>
      <c r="R5098">
        <v>0.42177364408709</v>
      </c>
      <c r="S5098" t="s">
        <v>11550</v>
      </c>
      <c r="T5098" t="s">
        <v>12902</v>
      </c>
      <c r="U5098" t="s">
        <v>12902</v>
      </c>
      <c r="V5098" t="s">
        <v>12902</v>
      </c>
      <c r="W5098" t="s">
        <v>17951</v>
      </c>
      <c r="X5098">
        <v>6</v>
      </c>
      <c r="Y5098" t="s">
        <v>24247</v>
      </c>
      <c r="Z5098" t="s">
        <v>30673</v>
      </c>
      <c r="AA5098">
        <v>0.8496060149564667</v>
      </c>
      <c r="AB5098" t="str">
        <f>HYPERLINK("Melting_Curves/meltCurve_Q99417_MYCBP.pdf", "Melting_Curves/meltCurve_Q99417_MYCBP.pdf")</f>
        <v>Melting_Curves/meltCurve_Q99417_MYCBP.pdf</v>
      </c>
    </row>
    <row r="5099" spans="1:28" x14ac:dyDescent="0.25">
      <c r="A5099" t="s">
        <v>5103</v>
      </c>
      <c r="B5099">
        <v>0.99673306730245903</v>
      </c>
      <c r="C5099">
        <v>0.88861912261446696</v>
      </c>
      <c r="D5099">
        <v>0.81046245408123796</v>
      </c>
      <c r="E5099">
        <v>0.46493172111515202</v>
      </c>
      <c r="F5099">
        <v>0.187530513217987</v>
      </c>
      <c r="G5099">
        <v>0.11457960370699</v>
      </c>
      <c r="H5099">
        <v>7.3591244452318599E-2</v>
      </c>
      <c r="I5099">
        <v>7.5540768864376898E-2</v>
      </c>
      <c r="J5099">
        <v>8.4295356565587107E-2</v>
      </c>
      <c r="K5099">
        <v>8.13981827788057E-2</v>
      </c>
      <c r="L5099">
        <v>1009.5671285616301</v>
      </c>
      <c r="M5099">
        <v>20.704804452280602</v>
      </c>
      <c r="N5099">
        <v>49.111924580577103</v>
      </c>
      <c r="O5099">
        <v>48.3120292642405</v>
      </c>
      <c r="P5099">
        <v>-9.9758167361147093E-2</v>
      </c>
      <c r="Q5099">
        <v>6.8934524803413194E-2</v>
      </c>
      <c r="R5099">
        <v>0.99622500084922505</v>
      </c>
      <c r="S5099" t="s">
        <v>11551</v>
      </c>
      <c r="T5099" t="s">
        <v>12902</v>
      </c>
      <c r="U5099" t="s">
        <v>12902</v>
      </c>
      <c r="V5099" t="s">
        <v>12902</v>
      </c>
      <c r="W5099" t="s">
        <v>17952</v>
      </c>
      <c r="X5099">
        <v>16</v>
      </c>
      <c r="Y5099" t="s">
        <v>24248</v>
      </c>
      <c r="Z5099" t="s">
        <v>30674</v>
      </c>
      <c r="AA5099">
        <v>0.3529822707010955</v>
      </c>
      <c r="AB5099" t="str">
        <f>HYPERLINK("Melting_Curves/meltCurve_Q99426_TBCB.pdf", "Melting_Curves/meltCurve_Q99426_TBCB.pdf")</f>
        <v>Melting_Curves/meltCurve_Q99426_TBCB.pdf</v>
      </c>
    </row>
    <row r="5100" spans="1:28" x14ac:dyDescent="0.25">
      <c r="A5100" t="s">
        <v>5104</v>
      </c>
      <c r="B5100">
        <v>0.99673306730245903</v>
      </c>
      <c r="C5100">
        <v>0.90434479093551201</v>
      </c>
      <c r="D5100">
        <v>1.06135164842978</v>
      </c>
      <c r="E5100">
        <v>1.18232928874149</v>
      </c>
      <c r="F5100">
        <v>0.92116090536401496</v>
      </c>
      <c r="G5100">
        <v>0.94564254145263504</v>
      </c>
      <c r="H5100">
        <v>1.2770828402586001</v>
      </c>
      <c r="I5100">
        <v>1.2994718196620201</v>
      </c>
      <c r="J5100">
        <v>1.1315340069664399</v>
      </c>
      <c r="K5100">
        <v>0.54704166739959104</v>
      </c>
      <c r="L5100">
        <v>15000</v>
      </c>
      <c r="M5100">
        <v>214.09682081112999</v>
      </c>
      <c r="Q5100">
        <v>0</v>
      </c>
      <c r="R5100">
        <v>0.453013416917458</v>
      </c>
      <c r="S5100" t="s">
        <v>11552</v>
      </c>
      <c r="T5100" t="s">
        <v>12902</v>
      </c>
      <c r="U5100" t="s">
        <v>12902</v>
      </c>
      <c r="V5100" t="s">
        <v>12902</v>
      </c>
      <c r="W5100" t="s">
        <v>17953</v>
      </c>
      <c r="X5100">
        <v>7</v>
      </c>
      <c r="Y5100" t="s">
        <v>24249</v>
      </c>
      <c r="Z5100" t="s">
        <v>30675</v>
      </c>
      <c r="AA5100">
        <v>0.99350242457762405</v>
      </c>
      <c r="AB5100" t="str">
        <f>HYPERLINK("Melting_Curves/meltCurve_Q99436_PSMB7.pdf", "Melting_Curves/meltCurve_Q99436_PSMB7.pdf")</f>
        <v>Melting_Curves/meltCurve_Q99436_PSMB7.pdf</v>
      </c>
    </row>
    <row r="5101" spans="1:28" x14ac:dyDescent="0.25">
      <c r="A5101" t="s">
        <v>5105</v>
      </c>
      <c r="B5101">
        <v>0.99673306730245903</v>
      </c>
      <c r="C5101">
        <v>0.98663874357045001</v>
      </c>
      <c r="D5101">
        <v>0.96588336681685705</v>
      </c>
      <c r="E5101">
        <v>0.96906458246607496</v>
      </c>
      <c r="F5101">
        <v>0.77033893877057402</v>
      </c>
      <c r="G5101">
        <v>0.48056779800225002</v>
      </c>
      <c r="H5101">
        <v>0.15288288450558099</v>
      </c>
      <c r="I5101">
        <v>0.12807182158052</v>
      </c>
      <c r="J5101">
        <v>0.13718221093192201</v>
      </c>
      <c r="K5101">
        <v>0.115716370022139</v>
      </c>
      <c r="L5101">
        <v>1409.80605888779</v>
      </c>
      <c r="M5101">
        <v>25.296818584276298</v>
      </c>
      <c r="N5101">
        <v>56.237250163676698</v>
      </c>
      <c r="O5101">
        <v>55.385815632262002</v>
      </c>
      <c r="P5101">
        <v>-0.102549923563132</v>
      </c>
      <c r="Q5101">
        <v>0.101904998414919</v>
      </c>
      <c r="R5101">
        <v>0.99622540934197201</v>
      </c>
      <c r="S5101" t="s">
        <v>11553</v>
      </c>
      <c r="T5101" t="s">
        <v>12902</v>
      </c>
      <c r="U5101" t="s">
        <v>12902</v>
      </c>
      <c r="V5101" t="s">
        <v>12902</v>
      </c>
      <c r="W5101" t="s">
        <v>17954</v>
      </c>
      <c r="X5101">
        <v>24</v>
      </c>
      <c r="Y5101" t="s">
        <v>24250</v>
      </c>
      <c r="Z5101" t="s">
        <v>30676</v>
      </c>
      <c r="AA5101">
        <v>0.58092861317364963</v>
      </c>
      <c r="AB5101" t="str">
        <f>HYPERLINK("Melting_Curves/meltCurve_Q99447_PCYT2.pdf", "Melting_Curves/meltCurve_Q99447_PCYT2.pdf")</f>
        <v>Melting_Curves/meltCurve_Q99447_PCYT2.pdf</v>
      </c>
    </row>
    <row r="5102" spans="1:28" x14ac:dyDescent="0.25">
      <c r="A5102" t="s">
        <v>5106</v>
      </c>
      <c r="B5102">
        <v>0.99673306730245903</v>
      </c>
      <c r="C5102">
        <v>0.80832192833945005</v>
      </c>
      <c r="D5102">
        <v>0.63268526866598995</v>
      </c>
      <c r="E5102">
        <v>0.29245356840343401</v>
      </c>
      <c r="F5102">
        <v>0.180073847272996</v>
      </c>
      <c r="G5102">
        <v>0.11009434167243901</v>
      </c>
      <c r="H5102">
        <v>7.8726278675609301E-2</v>
      </c>
      <c r="I5102">
        <v>7.9929304447636698E-2</v>
      </c>
      <c r="J5102">
        <v>9.5178442633491303E-2</v>
      </c>
      <c r="K5102">
        <v>9.7269359087107002E-2</v>
      </c>
      <c r="L5102">
        <v>867.80551824392205</v>
      </c>
      <c r="M5102">
        <v>18.592038388931702</v>
      </c>
      <c r="N5102">
        <v>47.1309226602474</v>
      </c>
      <c r="O5102">
        <v>46.1462251404066</v>
      </c>
      <c r="P5102">
        <v>-9.2457429849255604E-2</v>
      </c>
      <c r="Q5102">
        <v>8.2106422020807604E-2</v>
      </c>
      <c r="R5102">
        <v>0.99525434436042004</v>
      </c>
      <c r="S5102" t="s">
        <v>11554</v>
      </c>
      <c r="T5102" t="s">
        <v>12902</v>
      </c>
      <c r="U5102" t="s">
        <v>12902</v>
      </c>
      <c r="V5102" t="s">
        <v>12902</v>
      </c>
      <c r="W5102" t="s">
        <v>17955</v>
      </c>
      <c r="X5102">
        <v>21</v>
      </c>
      <c r="Y5102" t="s">
        <v>24251</v>
      </c>
      <c r="Z5102" t="s">
        <v>30677</v>
      </c>
      <c r="AA5102">
        <v>0.30241388588245488</v>
      </c>
      <c r="AB5102" t="str">
        <f>HYPERLINK("Melting_Curves/meltCurve_Q99459_CDC5L.pdf", "Melting_Curves/meltCurve_Q99459_CDC5L.pdf")</f>
        <v>Melting_Curves/meltCurve_Q99459_CDC5L.pdf</v>
      </c>
    </row>
    <row r="5103" spans="1:28" x14ac:dyDescent="0.25">
      <c r="A5103" t="s">
        <v>5107</v>
      </c>
      <c r="B5103">
        <v>0.99673306730245903</v>
      </c>
      <c r="C5103">
        <v>0.93036110108744496</v>
      </c>
      <c r="D5103">
        <v>1.0593180682097101</v>
      </c>
      <c r="E5103">
        <v>1.1628232948263499</v>
      </c>
      <c r="F5103">
        <v>0.916166194825492</v>
      </c>
      <c r="G5103">
        <v>0.39268214403684099</v>
      </c>
      <c r="H5103">
        <v>0.17874783040561501</v>
      </c>
      <c r="I5103">
        <v>0.15228991346120399</v>
      </c>
      <c r="J5103">
        <v>0.140967036664437</v>
      </c>
      <c r="K5103">
        <v>0.123007658439044</v>
      </c>
      <c r="L5103">
        <v>2686.0527647205099</v>
      </c>
      <c r="M5103">
        <v>48.1768751005607</v>
      </c>
      <c r="N5103">
        <v>56.150113327129397</v>
      </c>
      <c r="O5103">
        <v>55.658174278841898</v>
      </c>
      <c r="P5103">
        <v>-0.18521985627780799</v>
      </c>
      <c r="Q5103">
        <v>0.144071602736769</v>
      </c>
      <c r="R5103">
        <v>0.97916791064604702</v>
      </c>
      <c r="S5103" t="s">
        <v>11555</v>
      </c>
      <c r="T5103" t="s">
        <v>12902</v>
      </c>
      <c r="U5103" t="s">
        <v>12902</v>
      </c>
      <c r="V5103" t="s">
        <v>12902</v>
      </c>
      <c r="W5103" t="s">
        <v>17956</v>
      </c>
      <c r="X5103">
        <v>33</v>
      </c>
      <c r="Y5103" t="s">
        <v>24252</v>
      </c>
      <c r="Z5103" t="s">
        <v>30678</v>
      </c>
      <c r="AA5103">
        <v>0.59581299939588106</v>
      </c>
      <c r="AB5103" t="str">
        <f>HYPERLINK("Melting_Curves/meltCurve_Q99460_PSMD1.pdf", "Melting_Curves/meltCurve_Q99460_PSMD1.pdf")</f>
        <v>Melting_Curves/meltCurve_Q99460_PSMD1.pdf</v>
      </c>
    </row>
    <row r="5104" spans="1:28" x14ac:dyDescent="0.25">
      <c r="A5104" t="s">
        <v>5108</v>
      </c>
      <c r="B5104">
        <v>0.99673306730245903</v>
      </c>
      <c r="C5104">
        <v>0.925734556788814</v>
      </c>
      <c r="D5104">
        <v>0.95815609134759405</v>
      </c>
      <c r="E5104">
        <v>0.96877913500336998</v>
      </c>
      <c r="F5104">
        <v>0.66167394930396595</v>
      </c>
      <c r="G5104">
        <v>0.41498791602344598</v>
      </c>
      <c r="H5104">
        <v>0.21434336428356501</v>
      </c>
      <c r="I5104">
        <v>0.19170054264085001</v>
      </c>
      <c r="J5104">
        <v>0.16264797088417801</v>
      </c>
      <c r="K5104">
        <v>0.14870286935976801</v>
      </c>
      <c r="L5104">
        <v>1240.1342952095699</v>
      </c>
      <c r="M5104">
        <v>22.7439629661759</v>
      </c>
      <c r="N5104">
        <v>55.404295058765001</v>
      </c>
      <c r="O5104">
        <v>54.109570069524501</v>
      </c>
      <c r="P5104">
        <v>-8.9178122720389802E-2</v>
      </c>
      <c r="Q5104">
        <v>0.15137085670160899</v>
      </c>
      <c r="R5104">
        <v>0.99188557348119499</v>
      </c>
      <c r="S5104" t="s">
        <v>11556</v>
      </c>
      <c r="T5104" t="s">
        <v>12902</v>
      </c>
      <c r="U5104" t="s">
        <v>12902</v>
      </c>
      <c r="V5104" t="s">
        <v>12902</v>
      </c>
      <c r="W5104" t="s">
        <v>17957</v>
      </c>
      <c r="X5104">
        <v>4</v>
      </c>
      <c r="Y5104" t="s">
        <v>24253</v>
      </c>
      <c r="Z5104" t="s">
        <v>30679</v>
      </c>
      <c r="AA5104">
        <v>0.57154043881614647</v>
      </c>
      <c r="AB5104" t="str">
        <f>HYPERLINK("Melting_Curves/meltCurve_Q99470_SDF2.pdf", "Melting_Curves/meltCurve_Q99470_SDF2.pdf")</f>
        <v>Melting_Curves/meltCurve_Q99470_SDF2.pdf</v>
      </c>
    </row>
    <row r="5105" spans="1:28" x14ac:dyDescent="0.25">
      <c r="A5105" t="s">
        <v>5109</v>
      </c>
      <c r="B5105">
        <v>0.99673306730245903</v>
      </c>
      <c r="C5105">
        <v>1.00149127635187</v>
      </c>
      <c r="D5105">
        <v>1.05373908105168</v>
      </c>
      <c r="E5105">
        <v>1.06001096700613</v>
      </c>
      <c r="F5105">
        <v>1.0518896791694099</v>
      </c>
      <c r="G5105">
        <v>0.88128875677895702</v>
      </c>
      <c r="H5105">
        <v>0.71729640533607097</v>
      </c>
      <c r="I5105">
        <v>0.40040603922601598</v>
      </c>
      <c r="J5105">
        <v>0.180147221452473</v>
      </c>
      <c r="K5105">
        <v>0.15271103992585799</v>
      </c>
      <c r="L5105">
        <v>1648.33351854692</v>
      </c>
      <c r="M5105">
        <v>26.405514507460801</v>
      </c>
      <c r="N5105">
        <v>62.855499526345298</v>
      </c>
      <c r="O5105">
        <v>62.069115159630698</v>
      </c>
      <c r="P5105">
        <v>-9.7536875834939293E-2</v>
      </c>
      <c r="Q5105">
        <v>8.2924667878186697E-2</v>
      </c>
      <c r="R5105">
        <v>0.98762213696220102</v>
      </c>
      <c r="S5105" t="s">
        <v>11557</v>
      </c>
      <c r="T5105" t="s">
        <v>12902</v>
      </c>
      <c r="U5105" t="s">
        <v>12902</v>
      </c>
      <c r="V5105" t="s">
        <v>12902</v>
      </c>
      <c r="W5105" t="s">
        <v>17958</v>
      </c>
      <c r="X5105">
        <v>11</v>
      </c>
      <c r="Y5105" t="s">
        <v>24254</v>
      </c>
      <c r="Z5105" t="s">
        <v>30680</v>
      </c>
      <c r="AA5105">
        <v>0.77201771220644799</v>
      </c>
      <c r="AB5105" t="str">
        <f>HYPERLINK("Melting_Curves/meltCurve_Q99471_PFDN5.pdf", "Melting_Curves/meltCurve_Q99471_PFDN5.pdf")</f>
        <v>Melting_Curves/meltCurve_Q99471_PFDN5.pdf</v>
      </c>
    </row>
    <row r="5106" spans="1:28" x14ac:dyDescent="0.25">
      <c r="A5106" t="s">
        <v>5110</v>
      </c>
      <c r="B5106">
        <v>0.99673306730245903</v>
      </c>
      <c r="C5106">
        <v>1.0147116563798499</v>
      </c>
      <c r="D5106">
        <v>1.0095119333834199</v>
      </c>
      <c r="E5106">
        <v>0.86225153967356105</v>
      </c>
      <c r="F5106">
        <v>0.53982813372996397</v>
      </c>
      <c r="G5106">
        <v>0.34172757797439801</v>
      </c>
      <c r="H5106">
        <v>0.14260541206244801</v>
      </c>
      <c r="I5106">
        <v>7.0984111480185103E-2</v>
      </c>
      <c r="J5106">
        <v>6.1000032401423203E-2</v>
      </c>
      <c r="K5106">
        <v>5.9404290325879003E-2</v>
      </c>
      <c r="L5106">
        <v>1042.7025501343701</v>
      </c>
      <c r="M5106">
        <v>19.347317125424301</v>
      </c>
      <c r="N5106">
        <v>54.153938194293403</v>
      </c>
      <c r="O5106">
        <v>53.328042742491</v>
      </c>
      <c r="P5106">
        <v>-8.6679630855958895E-2</v>
      </c>
      <c r="Q5106">
        <v>4.4356644324722298E-2</v>
      </c>
      <c r="R5106">
        <v>0.99628355454538298</v>
      </c>
      <c r="S5106" t="s">
        <v>11558</v>
      </c>
      <c r="T5106" t="s">
        <v>12902</v>
      </c>
      <c r="U5106" t="s">
        <v>12902</v>
      </c>
      <c r="V5106" t="s">
        <v>12902</v>
      </c>
      <c r="W5106" t="s">
        <v>17959</v>
      </c>
      <c r="X5106">
        <v>3</v>
      </c>
      <c r="Y5106" t="s">
        <v>24255</v>
      </c>
      <c r="Z5106" t="s">
        <v>30681</v>
      </c>
      <c r="AA5106">
        <v>0.50066402598601722</v>
      </c>
      <c r="AB5106" t="str">
        <f>HYPERLINK("Melting_Curves/meltCurve_Q99487_PAFAH2.pdf", "Melting_Curves/meltCurve_Q99487_PAFAH2.pdf")</f>
        <v>Melting_Curves/meltCurve_Q99487_PAFAH2.pdf</v>
      </c>
    </row>
    <row r="5107" spans="1:28" x14ac:dyDescent="0.25">
      <c r="A5107" t="s">
        <v>5111</v>
      </c>
      <c r="B5107">
        <v>0.99673306730245903</v>
      </c>
      <c r="C5107">
        <v>0.94462782305250104</v>
      </c>
      <c r="D5107">
        <v>0.89526733339885001</v>
      </c>
      <c r="E5107">
        <v>0.80357153903117196</v>
      </c>
      <c r="F5107">
        <v>0.65206301069529804</v>
      </c>
      <c r="G5107">
        <v>0.62563101485595296</v>
      </c>
      <c r="H5107">
        <v>0.29113873831277798</v>
      </c>
      <c r="I5107">
        <v>0.271501306487889</v>
      </c>
      <c r="J5107">
        <v>0.141469529989905</v>
      </c>
      <c r="K5107">
        <v>0.115250314376111</v>
      </c>
      <c r="L5107">
        <v>587.10554270042996</v>
      </c>
      <c r="M5107">
        <v>10.280256744065101</v>
      </c>
      <c r="N5107">
        <v>57.110017728005097</v>
      </c>
      <c r="O5107">
        <v>55.075620568019602</v>
      </c>
      <c r="P5107">
        <v>-4.6684699247048003E-2</v>
      </c>
      <c r="Q5107">
        <v>0</v>
      </c>
      <c r="R5107">
        <v>0.98039776373174103</v>
      </c>
      <c r="S5107" t="s">
        <v>11559</v>
      </c>
      <c r="T5107" t="s">
        <v>12902</v>
      </c>
      <c r="U5107" t="s">
        <v>12902</v>
      </c>
      <c r="V5107" t="s">
        <v>12902</v>
      </c>
      <c r="W5107" t="s">
        <v>17960</v>
      </c>
      <c r="X5107">
        <v>1</v>
      </c>
      <c r="Y5107" t="s">
        <v>24256</v>
      </c>
      <c r="Z5107" t="s">
        <v>30682</v>
      </c>
      <c r="AA5107">
        <v>0.58583025469843164</v>
      </c>
      <c r="AB5107" t="str">
        <f>HYPERLINK("Melting_Curves/meltCurve_Q99489_2_DDO.pdf", "Melting_Curves/meltCurve_Q99489_2_DDO.pdf")</f>
        <v>Melting_Curves/meltCurve_Q99489_2_DDO.pdf</v>
      </c>
    </row>
    <row r="5108" spans="1:28" x14ac:dyDescent="0.25">
      <c r="A5108" t="s">
        <v>5112</v>
      </c>
      <c r="B5108">
        <v>0.99673306730245903</v>
      </c>
      <c r="C5108">
        <v>0.91898278599363203</v>
      </c>
      <c r="D5108">
        <v>1.01116940727303</v>
      </c>
      <c r="E5108">
        <v>0.95973331536207496</v>
      </c>
      <c r="F5108">
        <v>1.24190988296186</v>
      </c>
      <c r="G5108">
        <v>1.0696369622142201</v>
      </c>
      <c r="H5108">
        <v>1.3572783134870801</v>
      </c>
      <c r="I5108">
        <v>1.0866595322606001</v>
      </c>
      <c r="J5108">
        <v>0.93933217940993596</v>
      </c>
      <c r="K5108">
        <v>0.84378545024306895</v>
      </c>
      <c r="L5108">
        <v>15000</v>
      </c>
      <c r="M5108">
        <v>223.09236701322601</v>
      </c>
      <c r="O5108">
        <v>67.231345613098995</v>
      </c>
      <c r="P5108">
        <v>-0.129610893908161</v>
      </c>
      <c r="Q5108">
        <v>0.84376136623874198</v>
      </c>
      <c r="R5108">
        <v>4.6123749856787702E-2</v>
      </c>
      <c r="S5108" t="s">
        <v>11560</v>
      </c>
      <c r="T5108" t="s">
        <v>12902</v>
      </c>
      <c r="U5108" t="s">
        <v>12902</v>
      </c>
      <c r="V5108" t="s">
        <v>12902</v>
      </c>
      <c r="W5108" t="s">
        <v>17961</v>
      </c>
      <c r="X5108">
        <v>7</v>
      </c>
      <c r="Y5108" t="s">
        <v>24257</v>
      </c>
      <c r="Z5108" t="s">
        <v>30683</v>
      </c>
      <c r="AA5108">
        <v>0.98563188226338161</v>
      </c>
      <c r="AB5108" t="str">
        <f>HYPERLINK("Melting_Curves/meltCurve_Q99496_RNF2.pdf", "Melting_Curves/meltCurve_Q99496_RNF2.pdf")</f>
        <v>Melting_Curves/meltCurve_Q99496_RNF2.pdf</v>
      </c>
    </row>
    <row r="5109" spans="1:28" x14ac:dyDescent="0.25">
      <c r="A5109" t="s">
        <v>5113</v>
      </c>
      <c r="B5109">
        <v>0.99673306730245903</v>
      </c>
      <c r="C5109">
        <v>1.0108990029260201</v>
      </c>
      <c r="D5109">
        <v>0.99179994088377299</v>
      </c>
      <c r="E5109">
        <v>0.96967227179796101</v>
      </c>
      <c r="F5109">
        <v>0.78362608595225702</v>
      </c>
      <c r="G5109">
        <v>0.531061511386417</v>
      </c>
      <c r="H5109">
        <v>0.25478383909867403</v>
      </c>
      <c r="I5109">
        <v>0.194191274199915</v>
      </c>
      <c r="J5109">
        <v>0.15678961874910299</v>
      </c>
      <c r="K5109">
        <v>0.135217780011745</v>
      </c>
      <c r="L5109">
        <v>1208.2802944085499</v>
      </c>
      <c r="M5109">
        <v>21.491950839690102</v>
      </c>
      <c r="N5109">
        <v>56.9936120324599</v>
      </c>
      <c r="O5109">
        <v>55.7401875722041</v>
      </c>
      <c r="P5109">
        <v>-8.4202263315647202E-2</v>
      </c>
      <c r="Q5109">
        <v>0.12649436939068701</v>
      </c>
      <c r="R5109">
        <v>0.99901685594278999</v>
      </c>
      <c r="S5109" t="s">
        <v>11561</v>
      </c>
      <c r="T5109" t="s">
        <v>12902</v>
      </c>
      <c r="U5109" t="s">
        <v>12902</v>
      </c>
      <c r="V5109" t="s">
        <v>12902</v>
      </c>
      <c r="W5109" t="s">
        <v>17962</v>
      </c>
      <c r="X5109">
        <v>25</v>
      </c>
      <c r="Y5109" t="s">
        <v>24258</v>
      </c>
      <c r="Z5109" t="s">
        <v>30684</v>
      </c>
      <c r="AA5109">
        <v>0.60886549643407939</v>
      </c>
      <c r="AB5109" t="str">
        <f>HYPERLINK("Melting_Curves/meltCurve_Q99497_PARK7.pdf", "Melting_Curves/meltCurve_Q99497_PARK7.pdf")</f>
        <v>Melting_Curves/meltCurve_Q99497_PARK7.pdf</v>
      </c>
    </row>
    <row r="5110" spans="1:28" x14ac:dyDescent="0.25">
      <c r="A5110" t="s">
        <v>5114</v>
      </c>
      <c r="B5110">
        <v>0.99673306730245903</v>
      </c>
      <c r="C5110">
        <v>0.97195228948262302</v>
      </c>
      <c r="D5110">
        <v>0.94285945236148705</v>
      </c>
      <c r="E5110">
        <v>0.92195128214550104</v>
      </c>
      <c r="F5110">
        <v>0.72935575697545596</v>
      </c>
      <c r="G5110">
        <v>0.60031760446974103</v>
      </c>
      <c r="H5110">
        <v>0.24011757528351599</v>
      </c>
      <c r="I5110">
        <v>0.127655337088944</v>
      </c>
      <c r="J5110">
        <v>0.113838844653244</v>
      </c>
      <c r="K5110">
        <v>8.7014862918755195E-2</v>
      </c>
      <c r="L5110">
        <v>925.08581424434203</v>
      </c>
      <c r="M5110">
        <v>16.214937345155299</v>
      </c>
      <c r="N5110">
        <v>57.184685328846697</v>
      </c>
      <c r="O5110">
        <v>56.204891294378697</v>
      </c>
      <c r="P5110">
        <v>-7.0792585914003003E-2</v>
      </c>
      <c r="Q5110">
        <v>1.8536243447980199E-2</v>
      </c>
      <c r="R5110">
        <v>0.99084778604179502</v>
      </c>
      <c r="S5110" t="s">
        <v>11562</v>
      </c>
      <c r="T5110" t="s">
        <v>12902</v>
      </c>
      <c r="U5110" t="s">
        <v>12902</v>
      </c>
      <c r="V5110" t="s">
        <v>12902</v>
      </c>
      <c r="W5110" t="s">
        <v>17963</v>
      </c>
      <c r="X5110">
        <v>7</v>
      </c>
      <c r="Y5110" t="s">
        <v>24259</v>
      </c>
      <c r="Z5110" t="s">
        <v>30685</v>
      </c>
      <c r="AA5110">
        <v>0.59104268012865713</v>
      </c>
      <c r="AB5110" t="str">
        <f>HYPERLINK("Melting_Curves/meltCurve_Q99519_NEU1.pdf", "Melting_Curves/meltCurve_Q99519_NEU1.pdf")</f>
        <v>Melting_Curves/meltCurve_Q99519_NEU1.pdf</v>
      </c>
    </row>
    <row r="5111" spans="1:28" x14ac:dyDescent="0.25">
      <c r="A5111" t="s">
        <v>5115</v>
      </c>
      <c r="B5111">
        <v>0.99673306730245903</v>
      </c>
      <c r="C5111">
        <v>0.92466548212843003</v>
      </c>
      <c r="D5111">
        <v>0.94685388107137702</v>
      </c>
      <c r="E5111">
        <v>0.843316344468659</v>
      </c>
      <c r="F5111">
        <v>0.72905730909750999</v>
      </c>
      <c r="G5111">
        <v>0.55532260909216402</v>
      </c>
      <c r="H5111">
        <v>0.32112146627601101</v>
      </c>
      <c r="I5111">
        <v>0.177211161691751</v>
      </c>
      <c r="J5111">
        <v>0.12529170892191399</v>
      </c>
      <c r="K5111">
        <v>9.0741292639378204E-2</v>
      </c>
      <c r="L5111">
        <v>720.13995688744399</v>
      </c>
      <c r="M5111">
        <v>12.5940150898167</v>
      </c>
      <c r="N5111">
        <v>57.181115055517502</v>
      </c>
      <c r="O5111">
        <v>55.796884459973299</v>
      </c>
      <c r="P5111">
        <v>-5.6439227334849802E-2</v>
      </c>
      <c r="Q5111">
        <v>0</v>
      </c>
      <c r="R5111">
        <v>0.99427557713029402</v>
      </c>
      <c r="S5111" t="s">
        <v>11563</v>
      </c>
      <c r="T5111" t="s">
        <v>12902</v>
      </c>
      <c r="U5111" t="s">
        <v>12902</v>
      </c>
      <c r="V5111" t="s">
        <v>12902</v>
      </c>
      <c r="W5111" t="s">
        <v>17964</v>
      </c>
      <c r="X5111">
        <v>14</v>
      </c>
      <c r="Y5111" t="s">
        <v>24260</v>
      </c>
      <c r="Z5111" t="s">
        <v>30686</v>
      </c>
      <c r="AA5111">
        <v>0.58887888132812594</v>
      </c>
      <c r="AB5111" t="str">
        <f>HYPERLINK("Melting_Curves/meltCurve_Q99523_SORT1.pdf", "Melting_Curves/meltCurve_Q99523_SORT1.pdf")</f>
        <v>Melting_Curves/meltCurve_Q99523_SORT1.pdf</v>
      </c>
    </row>
    <row r="5112" spans="1:28" x14ac:dyDescent="0.25">
      <c r="A5112" t="s">
        <v>5116</v>
      </c>
      <c r="B5112">
        <v>0.99673306730245903</v>
      </c>
      <c r="C5112">
        <v>1.0012860933079999</v>
      </c>
      <c r="D5112">
        <v>1.00777114262304</v>
      </c>
      <c r="E5112">
        <v>0.97422074398732394</v>
      </c>
      <c r="F5112">
        <v>0.81572857611232497</v>
      </c>
      <c r="G5112">
        <v>0.72044888085746295</v>
      </c>
      <c r="H5112">
        <v>0.35290589295165697</v>
      </c>
      <c r="I5112">
        <v>0.17853848538527001</v>
      </c>
      <c r="J5112">
        <v>0.14558083233521599</v>
      </c>
      <c r="K5112">
        <v>0.11418605345244701</v>
      </c>
      <c r="L5112">
        <v>1132.69613258821</v>
      </c>
      <c r="M5112">
        <v>19.361723429805799</v>
      </c>
      <c r="N5112">
        <v>58.904322572872601</v>
      </c>
      <c r="O5112">
        <v>57.888469343415899</v>
      </c>
      <c r="P5112">
        <v>-7.8438518877775601E-2</v>
      </c>
      <c r="Q5112">
        <v>6.1959871599418098E-2</v>
      </c>
      <c r="R5112">
        <v>0.99313335156149196</v>
      </c>
      <c r="S5112" t="s">
        <v>11564</v>
      </c>
      <c r="T5112" t="s">
        <v>12902</v>
      </c>
      <c r="U5112" t="s">
        <v>12902</v>
      </c>
      <c r="V5112" t="s">
        <v>12902</v>
      </c>
      <c r="W5112" t="s">
        <v>17965</v>
      </c>
      <c r="X5112">
        <v>15</v>
      </c>
      <c r="Y5112" t="s">
        <v>24261</v>
      </c>
      <c r="Z5112" t="s">
        <v>30687</v>
      </c>
      <c r="AA5112">
        <v>0.65081056490225886</v>
      </c>
      <c r="AB5112" t="str">
        <f>HYPERLINK("Melting_Curves/meltCurve_Q99536_VAT1.pdf", "Melting_Curves/meltCurve_Q99536_VAT1.pdf")</f>
        <v>Melting_Curves/meltCurve_Q99536_VAT1.pdf</v>
      </c>
    </row>
    <row r="5113" spans="1:28" x14ac:dyDescent="0.25">
      <c r="A5113" t="s">
        <v>5117</v>
      </c>
      <c r="B5113">
        <v>0.99673306730245903</v>
      </c>
      <c r="C5113">
        <v>0.99073974005509002</v>
      </c>
      <c r="D5113">
        <v>0.964040593329618</v>
      </c>
      <c r="E5113">
        <v>0.83231112009472297</v>
      </c>
      <c r="F5113">
        <v>0.51115494853143695</v>
      </c>
      <c r="G5113">
        <v>0.238047621309943</v>
      </c>
      <c r="H5113">
        <v>0.120274565254802</v>
      </c>
      <c r="I5113">
        <v>0.14331938184513601</v>
      </c>
      <c r="J5113">
        <v>0.25416725621840403</v>
      </c>
      <c r="K5113">
        <v>0.29840254153399898</v>
      </c>
      <c r="L5113">
        <v>1537.5028864332401</v>
      </c>
      <c r="M5113">
        <v>29.5041432907027</v>
      </c>
      <c r="N5113">
        <v>53.019123928347398</v>
      </c>
      <c r="O5113">
        <v>51.873784068770398</v>
      </c>
      <c r="P5113">
        <v>-0.11399852098041099</v>
      </c>
      <c r="Q5113">
        <v>0.19828297574147299</v>
      </c>
      <c r="R5113">
        <v>0.97844852482000899</v>
      </c>
      <c r="S5113" t="s">
        <v>11565</v>
      </c>
      <c r="T5113" t="s">
        <v>12902</v>
      </c>
      <c r="U5113" t="s">
        <v>12902</v>
      </c>
      <c r="V5113" t="s">
        <v>12902</v>
      </c>
      <c r="W5113" t="s">
        <v>17966</v>
      </c>
      <c r="X5113">
        <v>9</v>
      </c>
      <c r="Y5113" t="s">
        <v>24262</v>
      </c>
      <c r="Z5113" t="s">
        <v>30688</v>
      </c>
      <c r="AA5113">
        <v>0.52725075611776717</v>
      </c>
      <c r="AB5113" t="str">
        <f>HYPERLINK("Melting_Curves/meltCurve_Q99538_LGMN.pdf", "Melting_Curves/meltCurve_Q99538_LGMN.pdf")</f>
        <v>Melting_Curves/meltCurve_Q99538_LGMN.pdf</v>
      </c>
    </row>
    <row r="5114" spans="1:28" x14ac:dyDescent="0.25">
      <c r="A5114" t="s">
        <v>5118</v>
      </c>
      <c r="B5114">
        <v>0.99673306730245903</v>
      </c>
      <c r="C5114">
        <v>0.97728185856722805</v>
      </c>
      <c r="D5114">
        <v>0.83664501340664799</v>
      </c>
      <c r="E5114">
        <v>0.63265765031666299</v>
      </c>
      <c r="F5114">
        <v>0.41307136775317399</v>
      </c>
      <c r="G5114">
        <v>0.28730398068657698</v>
      </c>
      <c r="H5114">
        <v>0.18300623319902601</v>
      </c>
      <c r="I5114">
        <v>0.17974243538831999</v>
      </c>
      <c r="J5114">
        <v>0.19889010084332701</v>
      </c>
      <c r="K5114">
        <v>0.15344704208947099</v>
      </c>
      <c r="L5114">
        <v>814.67641366196199</v>
      </c>
      <c r="M5114">
        <v>16.1609435800484</v>
      </c>
      <c r="N5114">
        <v>51.612306834724002</v>
      </c>
      <c r="O5114">
        <v>49.657295999017002</v>
      </c>
      <c r="P5114">
        <v>-6.8606931338909397E-2</v>
      </c>
      <c r="Q5114">
        <v>0.15683688780945501</v>
      </c>
      <c r="R5114">
        <v>0.99759687049456103</v>
      </c>
      <c r="S5114" t="s">
        <v>11566</v>
      </c>
      <c r="T5114" t="s">
        <v>12902</v>
      </c>
      <c r="U5114" t="s">
        <v>12902</v>
      </c>
      <c r="V5114" t="s">
        <v>12902</v>
      </c>
      <c r="W5114" t="s">
        <v>17967</v>
      </c>
      <c r="X5114">
        <v>11</v>
      </c>
      <c r="Y5114" t="s">
        <v>24263</v>
      </c>
      <c r="Z5114" t="s">
        <v>30689</v>
      </c>
      <c r="AA5114">
        <v>0.46683227726520171</v>
      </c>
      <c r="AB5114" t="str">
        <f>HYPERLINK("Melting_Curves/meltCurve_Q99541_PLIN2.pdf", "Melting_Curves/meltCurve_Q99541_PLIN2.pdf")</f>
        <v>Melting_Curves/meltCurve_Q99541_PLIN2.pdf</v>
      </c>
    </row>
    <row r="5115" spans="1:28" x14ac:dyDescent="0.25">
      <c r="A5115" t="s">
        <v>5119</v>
      </c>
      <c r="B5115">
        <v>0.99673306730245903</v>
      </c>
      <c r="C5115">
        <v>0.85916418615750001</v>
      </c>
      <c r="D5115">
        <v>0.489013320969514</v>
      </c>
      <c r="E5115">
        <v>0.25328806599616499</v>
      </c>
      <c r="F5115">
        <v>0.15937680860842099</v>
      </c>
      <c r="G5115">
        <v>9.9906783531563695E-2</v>
      </c>
      <c r="H5115">
        <v>5.9885483394053099E-2</v>
      </c>
      <c r="I5115">
        <v>4.9765795290281703E-2</v>
      </c>
      <c r="J5115">
        <v>6.0904697785212902E-2</v>
      </c>
      <c r="K5115">
        <v>5.2578409193683701E-2</v>
      </c>
      <c r="L5115">
        <v>965.03193104550098</v>
      </c>
      <c r="M5115">
        <v>20.985842884591101</v>
      </c>
      <c r="N5115">
        <v>46.3034836940462</v>
      </c>
      <c r="O5115">
        <v>45.573455097423398</v>
      </c>
      <c r="P5115">
        <v>-0.107385120133885</v>
      </c>
      <c r="Q5115">
        <v>6.7222707259867995E-2</v>
      </c>
      <c r="R5115">
        <v>0.99375704151217603</v>
      </c>
      <c r="S5115" t="s">
        <v>11567</v>
      </c>
      <c r="T5115" t="s">
        <v>12902</v>
      </c>
      <c r="U5115" t="s">
        <v>12902</v>
      </c>
      <c r="V5115" t="s">
        <v>12902</v>
      </c>
      <c r="W5115" t="s">
        <v>17968</v>
      </c>
      <c r="X5115">
        <v>19</v>
      </c>
      <c r="Y5115" t="s">
        <v>24264</v>
      </c>
      <c r="Z5115" t="s">
        <v>30690</v>
      </c>
      <c r="AA5115">
        <v>0.26623282072001148</v>
      </c>
      <c r="AB5115" t="str">
        <f>HYPERLINK("Melting_Curves/meltCurve_Q99543_DNAJC2.pdf", "Melting_Curves/meltCurve_Q99543_DNAJC2.pdf")</f>
        <v>Melting_Curves/meltCurve_Q99543_DNAJC2.pdf</v>
      </c>
    </row>
    <row r="5116" spans="1:28" x14ac:dyDescent="0.25">
      <c r="A5116" t="s">
        <v>5120</v>
      </c>
      <c r="B5116">
        <v>0.99673306730245903</v>
      </c>
      <c r="C5116">
        <v>0.85167621788528103</v>
      </c>
      <c r="D5116">
        <v>0.76650661495405703</v>
      </c>
      <c r="E5116">
        <v>0.61788777328118105</v>
      </c>
      <c r="F5116">
        <v>0.42960031974339002</v>
      </c>
      <c r="G5116">
        <v>0.329291076087874</v>
      </c>
      <c r="H5116">
        <v>0.20742605906167999</v>
      </c>
      <c r="I5116">
        <v>0.25225119801986101</v>
      </c>
      <c r="J5116">
        <v>0.32452514995957799</v>
      </c>
      <c r="K5116">
        <v>0.30094390012607303</v>
      </c>
      <c r="L5116">
        <v>684.38924034851095</v>
      </c>
      <c r="M5116">
        <v>14.0529818600547</v>
      </c>
      <c r="N5116">
        <v>51.243104700011997</v>
      </c>
      <c r="O5116">
        <v>47.746271351483799</v>
      </c>
      <c r="P5116">
        <v>-5.5118079008711698E-2</v>
      </c>
      <c r="Q5116">
        <v>0.25102286677365099</v>
      </c>
      <c r="R5116">
        <v>0.974130577051466</v>
      </c>
      <c r="S5116" t="s">
        <v>11568</v>
      </c>
      <c r="T5116" t="s">
        <v>12902</v>
      </c>
      <c r="U5116" t="s">
        <v>12902</v>
      </c>
      <c r="V5116" t="s">
        <v>12902</v>
      </c>
      <c r="W5116" t="s">
        <v>17969</v>
      </c>
      <c r="X5116">
        <v>6</v>
      </c>
      <c r="Y5116" t="s">
        <v>24265</v>
      </c>
      <c r="Z5116" t="s">
        <v>30691</v>
      </c>
      <c r="AA5116">
        <v>0.4893880682783765</v>
      </c>
      <c r="AB5116" t="str">
        <f>HYPERLINK("Melting_Curves/meltCurve_Q99549_MPHOSPH8.pdf", "Melting_Curves/meltCurve_Q99549_MPHOSPH8.pdf")</f>
        <v>Melting_Curves/meltCurve_Q99549_MPHOSPH8.pdf</v>
      </c>
    </row>
    <row r="5117" spans="1:28" x14ac:dyDescent="0.25">
      <c r="A5117" t="s">
        <v>5121</v>
      </c>
      <c r="B5117">
        <v>0.99673306730245903</v>
      </c>
      <c r="C5117">
        <v>0.89310907483337398</v>
      </c>
      <c r="D5117">
        <v>0.73978638625277304</v>
      </c>
      <c r="E5117">
        <v>0.68467210803016798</v>
      </c>
      <c r="F5117">
        <v>0.29465103788390501</v>
      </c>
      <c r="G5117">
        <v>0.17754368977663901</v>
      </c>
      <c r="H5117">
        <v>0.104551069831714</v>
      </c>
      <c r="I5117">
        <v>0.109499301112569</v>
      </c>
      <c r="J5117">
        <v>0.13862103235394199</v>
      </c>
      <c r="K5117">
        <v>0.139998757803105</v>
      </c>
      <c r="L5117">
        <v>781.336004816794</v>
      </c>
      <c r="M5117">
        <v>15.646924591828901</v>
      </c>
      <c r="N5117">
        <v>50.580540356922</v>
      </c>
      <c r="O5117">
        <v>49.141126787458099</v>
      </c>
      <c r="P5117">
        <v>-7.2407805999636102E-2</v>
      </c>
      <c r="Q5117">
        <v>9.0454730155201404E-2</v>
      </c>
      <c r="R5117">
        <v>0.97595143570165799</v>
      </c>
      <c r="S5117" t="s">
        <v>11569</v>
      </c>
      <c r="T5117" t="s">
        <v>12902</v>
      </c>
      <c r="U5117" t="s">
        <v>12902</v>
      </c>
      <c r="V5117" t="s">
        <v>12902</v>
      </c>
      <c r="W5117" t="s">
        <v>17970</v>
      </c>
      <c r="X5117">
        <v>11</v>
      </c>
      <c r="Y5117" t="s">
        <v>24266</v>
      </c>
      <c r="Z5117" t="s">
        <v>30692</v>
      </c>
      <c r="AA5117">
        <v>0.41182682719623531</v>
      </c>
      <c r="AB5117" t="str">
        <f>HYPERLINK("Melting_Curves/meltCurve_Q99567_NUP88.pdf", "Melting_Curves/meltCurve_Q99567_NUP88.pdf")</f>
        <v>Melting_Curves/meltCurve_Q99567_NUP88.pdf</v>
      </c>
    </row>
    <row r="5118" spans="1:28" x14ac:dyDescent="0.25">
      <c r="A5118" t="s">
        <v>5122</v>
      </c>
      <c r="B5118">
        <v>0.99673306730245903</v>
      </c>
      <c r="C5118">
        <v>0.91885244671163502</v>
      </c>
      <c r="D5118">
        <v>0.87329324938686204</v>
      </c>
      <c r="E5118">
        <v>0.76451882347996902</v>
      </c>
      <c r="F5118">
        <v>0.333897784028027</v>
      </c>
      <c r="G5118">
        <v>0.16451291256508699</v>
      </c>
      <c r="H5118">
        <v>9.9747008975614407E-2</v>
      </c>
      <c r="I5118">
        <v>9.2634039305272295E-2</v>
      </c>
      <c r="J5118">
        <v>9.3284285468031705E-2</v>
      </c>
      <c r="K5118">
        <v>8.1784375255109606E-2</v>
      </c>
      <c r="L5118">
        <v>1179.29856315642</v>
      </c>
      <c r="M5118">
        <v>22.983070698329499</v>
      </c>
      <c r="N5118">
        <v>51.6970184657877</v>
      </c>
      <c r="O5118">
        <v>50.927872354867901</v>
      </c>
      <c r="P5118">
        <v>-0.103940659012417</v>
      </c>
      <c r="Q5118">
        <v>7.8734207693906905E-2</v>
      </c>
      <c r="R5118">
        <v>0.99074821977529404</v>
      </c>
      <c r="S5118" t="s">
        <v>11570</v>
      </c>
      <c r="T5118" t="s">
        <v>12902</v>
      </c>
      <c r="U5118" t="s">
        <v>12902</v>
      </c>
      <c r="V5118" t="s">
        <v>12902</v>
      </c>
      <c r="W5118" t="s">
        <v>17971</v>
      </c>
      <c r="X5118">
        <v>13</v>
      </c>
      <c r="Y5118" t="s">
        <v>24267</v>
      </c>
      <c r="Z5118" t="s">
        <v>30693</v>
      </c>
      <c r="AA5118">
        <v>0.43593125459504273</v>
      </c>
      <c r="AB5118" t="str">
        <f>HYPERLINK("Melting_Curves/meltCurve_Q99570_PIK3R4.pdf", "Melting_Curves/meltCurve_Q99570_PIK3R4.pdf")</f>
        <v>Melting_Curves/meltCurve_Q99570_PIK3R4.pdf</v>
      </c>
    </row>
    <row r="5119" spans="1:28" x14ac:dyDescent="0.25">
      <c r="A5119" t="s">
        <v>5123</v>
      </c>
      <c r="B5119">
        <v>0.99673306730245903</v>
      </c>
      <c r="C5119">
        <v>1.0001488247639501</v>
      </c>
      <c r="D5119">
        <v>0.91445468447084899</v>
      </c>
      <c r="E5119">
        <v>0.85510959030771005</v>
      </c>
      <c r="F5119">
        <v>0.73005256839341004</v>
      </c>
      <c r="G5119">
        <v>0.50960362708120699</v>
      </c>
      <c r="H5119">
        <v>0.25308065276833702</v>
      </c>
      <c r="I5119">
        <v>0.170178876393765</v>
      </c>
      <c r="J5119">
        <v>0.16163849518922499</v>
      </c>
      <c r="K5119">
        <v>0.14273807941401401</v>
      </c>
      <c r="L5119">
        <v>838.07251704471798</v>
      </c>
      <c r="M5119">
        <v>15.0004776435149</v>
      </c>
      <c r="N5119">
        <v>56.512295772642098</v>
      </c>
      <c r="O5119">
        <v>54.9050023936367</v>
      </c>
      <c r="P5119">
        <v>-6.2952986137632394E-2</v>
      </c>
      <c r="Q5119">
        <v>7.8406750535266606E-2</v>
      </c>
      <c r="R5119">
        <v>0.99395998833741095</v>
      </c>
      <c r="S5119" t="s">
        <v>11571</v>
      </c>
      <c r="T5119" t="s">
        <v>12902</v>
      </c>
      <c r="U5119" t="s">
        <v>12902</v>
      </c>
      <c r="V5119" t="s">
        <v>12902</v>
      </c>
      <c r="W5119" t="s">
        <v>17972</v>
      </c>
      <c r="X5119">
        <v>10</v>
      </c>
      <c r="Y5119" t="s">
        <v>24268</v>
      </c>
      <c r="Z5119" t="s">
        <v>30694</v>
      </c>
      <c r="AA5119">
        <v>0.58247496532685505</v>
      </c>
      <c r="AB5119" t="str">
        <f>HYPERLINK("Melting_Curves/meltCurve_Q99574_SERPINI1.pdf", "Melting_Curves/meltCurve_Q99574_SERPINI1.pdf")</f>
        <v>Melting_Curves/meltCurve_Q99574_SERPINI1.pdf</v>
      </c>
    </row>
    <row r="5120" spans="1:28" x14ac:dyDescent="0.25">
      <c r="A5120" t="s">
        <v>5124</v>
      </c>
      <c r="B5120">
        <v>0.99673306730245903</v>
      </c>
      <c r="C5120">
        <v>0.92898201365579902</v>
      </c>
      <c r="D5120">
        <v>1.08255092111518</v>
      </c>
      <c r="E5120">
        <v>1.4924285407724001</v>
      </c>
      <c r="F5120">
        <v>1.21112249665201</v>
      </c>
      <c r="G5120">
        <v>0.56290588405365805</v>
      </c>
      <c r="H5120">
        <v>0.19108251896530501</v>
      </c>
      <c r="I5120">
        <v>0.175825730624841</v>
      </c>
      <c r="J5120">
        <v>0.213563414854192</v>
      </c>
      <c r="K5120">
        <v>0.167160246765377</v>
      </c>
      <c r="L5120">
        <v>14191.4479260028</v>
      </c>
      <c r="M5120">
        <v>250</v>
      </c>
      <c r="N5120">
        <v>56.872281688961003</v>
      </c>
      <c r="O5120">
        <v>56.762159088074597</v>
      </c>
      <c r="P5120">
        <v>-0.89528399246145396</v>
      </c>
      <c r="Q5120">
        <v>0.18690796266829099</v>
      </c>
      <c r="R5120">
        <v>0.866535968638521</v>
      </c>
      <c r="S5120" t="s">
        <v>11572</v>
      </c>
      <c r="T5120" t="s">
        <v>12902</v>
      </c>
      <c r="U5120" t="s">
        <v>12902</v>
      </c>
      <c r="V5120" t="s">
        <v>12902</v>
      </c>
      <c r="W5120" t="s">
        <v>17973</v>
      </c>
      <c r="X5120">
        <v>7</v>
      </c>
      <c r="Y5120" t="s">
        <v>24269</v>
      </c>
      <c r="Z5120" t="s">
        <v>30695</v>
      </c>
      <c r="AA5120">
        <v>0.64139335653861296</v>
      </c>
      <c r="AB5120" t="str">
        <f>HYPERLINK("Melting_Curves/meltCurve_Q99575_POP1.pdf", "Melting_Curves/meltCurve_Q99575_POP1.pdf")</f>
        <v>Melting_Curves/meltCurve_Q99575_POP1.pdf</v>
      </c>
    </row>
    <row r="5121" spans="1:28" x14ac:dyDescent="0.25">
      <c r="A5121" t="s">
        <v>5125</v>
      </c>
      <c r="B5121">
        <v>0.99673306730245903</v>
      </c>
      <c r="C5121">
        <v>0.91463149599844795</v>
      </c>
      <c r="D5121">
        <v>0.78452321688191995</v>
      </c>
      <c r="E5121">
        <v>0.66178180858767499</v>
      </c>
      <c r="F5121">
        <v>0.52210491846024998</v>
      </c>
      <c r="G5121">
        <v>0.38697667855301898</v>
      </c>
      <c r="H5121">
        <v>0.28483723510345699</v>
      </c>
      <c r="I5121">
        <v>0.380318635055377</v>
      </c>
      <c r="J5121">
        <v>0.46578752455091599</v>
      </c>
      <c r="K5121">
        <v>0.56655796348495502</v>
      </c>
      <c r="L5121">
        <v>857.09776482417101</v>
      </c>
      <c r="M5121">
        <v>17.907725702436601</v>
      </c>
      <c r="N5121">
        <v>53.098992537289</v>
      </c>
      <c r="O5121">
        <v>47.277024948098799</v>
      </c>
      <c r="P5121">
        <v>-5.54460987751361E-2</v>
      </c>
      <c r="Q5121">
        <v>0.41451085388610598</v>
      </c>
      <c r="R5121">
        <v>0.89454853398365197</v>
      </c>
      <c r="S5121" t="s">
        <v>11573</v>
      </c>
      <c r="T5121" t="s">
        <v>12902</v>
      </c>
      <c r="U5121" t="s">
        <v>12902</v>
      </c>
      <c r="V5121" t="s">
        <v>12902</v>
      </c>
      <c r="W5121" t="s">
        <v>17974</v>
      </c>
      <c r="X5121">
        <v>6</v>
      </c>
      <c r="Y5121" t="s">
        <v>24270</v>
      </c>
      <c r="Z5121" t="s">
        <v>30696</v>
      </c>
      <c r="AA5121">
        <v>0.57849250444240929</v>
      </c>
      <c r="AB5121" t="str">
        <f>HYPERLINK("Melting_Curves/meltCurve_Q99583_MNT.pdf", "Melting_Curves/meltCurve_Q99583_MNT.pdf")</f>
        <v>Melting_Curves/meltCurve_Q99583_MNT.pdf</v>
      </c>
    </row>
    <row r="5122" spans="1:28" x14ac:dyDescent="0.25">
      <c r="A5122" t="s">
        <v>5126</v>
      </c>
      <c r="B5122">
        <v>0.99673306730245903</v>
      </c>
      <c r="C5122">
        <v>1.0115201441184001</v>
      </c>
      <c r="D5122">
        <v>0.99783293538831097</v>
      </c>
      <c r="E5122">
        <v>1.01834322137651</v>
      </c>
      <c r="F5122">
        <v>0.82733036532870396</v>
      </c>
      <c r="G5122">
        <v>0.67776493932964299</v>
      </c>
      <c r="H5122">
        <v>0.38469858466618201</v>
      </c>
      <c r="I5122">
        <v>0.44401290307227298</v>
      </c>
      <c r="J5122">
        <v>0.51410762508982899</v>
      </c>
      <c r="K5122">
        <v>0.472274619704948</v>
      </c>
      <c r="L5122">
        <v>1655.8952997705201</v>
      </c>
      <c r="M5122">
        <v>29.9629492942715</v>
      </c>
      <c r="N5122">
        <v>59.926795096743703</v>
      </c>
      <c r="O5122">
        <v>55.020330977335902</v>
      </c>
      <c r="P5122">
        <v>-7.4689580771322706E-2</v>
      </c>
      <c r="Q5122">
        <v>0.451399830766405</v>
      </c>
      <c r="R5122">
        <v>0.96702998833102005</v>
      </c>
      <c r="S5122" t="s">
        <v>11574</v>
      </c>
      <c r="T5122" t="s">
        <v>12902</v>
      </c>
      <c r="U5122" t="s">
        <v>12902</v>
      </c>
      <c r="V5122" t="s">
        <v>12902</v>
      </c>
      <c r="W5122" t="s">
        <v>17975</v>
      </c>
      <c r="X5122">
        <v>9</v>
      </c>
      <c r="Y5122" t="s">
        <v>24271</v>
      </c>
      <c r="Z5122" t="s">
        <v>30697</v>
      </c>
      <c r="AA5122">
        <v>0.73419600691563358</v>
      </c>
      <c r="AB5122" t="str">
        <f>HYPERLINK("Melting_Curves/meltCurve_Q99584_S100A13.pdf", "Melting_Curves/meltCurve_Q99584_S100A13.pdf")</f>
        <v>Melting_Curves/meltCurve_Q99584_S100A13.pdf</v>
      </c>
    </row>
    <row r="5123" spans="1:28" x14ac:dyDescent="0.25">
      <c r="A5123" t="s">
        <v>5127</v>
      </c>
      <c r="B5123">
        <v>0.99673306730245903</v>
      </c>
      <c r="C5123">
        <v>0.89211103600124397</v>
      </c>
      <c r="D5123">
        <v>0.87526118810035802</v>
      </c>
      <c r="E5123">
        <v>0.73259826529107697</v>
      </c>
      <c r="F5123">
        <v>0.68800268167018397</v>
      </c>
      <c r="G5123">
        <v>0.49004632885963201</v>
      </c>
      <c r="H5123">
        <v>0.47705667828260201</v>
      </c>
      <c r="I5123">
        <v>0.64091329804756403</v>
      </c>
      <c r="J5123">
        <v>0.792188644373089</v>
      </c>
      <c r="K5123">
        <v>0.73414789118865298</v>
      </c>
      <c r="L5123">
        <v>964.85637160138901</v>
      </c>
      <c r="M5123">
        <v>20.637718868752199</v>
      </c>
      <c r="O5123">
        <v>46.319761262150799</v>
      </c>
      <c r="P5123">
        <v>-4.0899260837037703E-2</v>
      </c>
      <c r="Q5123">
        <v>0.63282966473161195</v>
      </c>
      <c r="R5123">
        <v>0.64934747870753895</v>
      </c>
      <c r="S5123" t="s">
        <v>11575</v>
      </c>
      <c r="T5123" t="s">
        <v>12902</v>
      </c>
      <c r="U5123" t="s">
        <v>12902</v>
      </c>
      <c r="V5123" t="s">
        <v>12902</v>
      </c>
      <c r="W5123" t="s">
        <v>17976</v>
      </c>
      <c r="X5123">
        <v>1</v>
      </c>
      <c r="Y5123" t="s">
        <v>24272</v>
      </c>
      <c r="Z5123" t="s">
        <v>30698</v>
      </c>
      <c r="AA5123">
        <v>0.72053372011840389</v>
      </c>
      <c r="AB5123" t="str">
        <f>HYPERLINK("Melting_Curves/meltCurve_Q99592_ZBTB18.pdf", "Melting_Curves/meltCurve_Q99592_ZBTB18.pdf")</f>
        <v>Melting_Curves/meltCurve_Q99592_ZBTB18.pdf</v>
      </c>
    </row>
    <row r="5124" spans="1:28" x14ac:dyDescent="0.25">
      <c r="A5124" t="s">
        <v>5128</v>
      </c>
      <c r="B5124">
        <v>0.99673306730245903</v>
      </c>
      <c r="C5124">
        <v>0.91988992847413698</v>
      </c>
      <c r="D5124">
        <v>0.92995083234620102</v>
      </c>
      <c r="E5124">
        <v>0.78350670185063398</v>
      </c>
      <c r="F5124">
        <v>0.76316994873232902</v>
      </c>
      <c r="G5124">
        <v>0.60136678325216197</v>
      </c>
      <c r="H5124">
        <v>0.40043025409906302</v>
      </c>
      <c r="I5124">
        <v>0.35480399557724002</v>
      </c>
      <c r="J5124">
        <v>0.17142350705784001</v>
      </c>
      <c r="K5124">
        <v>6.1637801124415199E-2</v>
      </c>
      <c r="L5124">
        <v>602.70206964384704</v>
      </c>
      <c r="M5124">
        <v>10.328495002511</v>
      </c>
      <c r="N5124">
        <v>58.353325569035398</v>
      </c>
      <c r="O5124">
        <v>56.292896410267197</v>
      </c>
      <c r="P5124">
        <v>-4.5889150592299997E-2</v>
      </c>
      <c r="Q5124">
        <v>0</v>
      </c>
      <c r="R5124">
        <v>0.97467872433358804</v>
      </c>
      <c r="S5124" t="s">
        <v>11576</v>
      </c>
      <c r="T5124" t="s">
        <v>12902</v>
      </c>
      <c r="U5124" t="s">
        <v>12902</v>
      </c>
      <c r="V5124" t="s">
        <v>12902</v>
      </c>
      <c r="W5124" t="s">
        <v>17977</v>
      </c>
      <c r="X5124">
        <v>1</v>
      </c>
      <c r="Y5124" t="s">
        <v>24273</v>
      </c>
      <c r="Z5124" t="s">
        <v>30699</v>
      </c>
      <c r="AA5124">
        <v>0.62021854058579651</v>
      </c>
      <c r="AB5124" t="str">
        <f>HYPERLINK("Melting_Curves/meltCurve_Q99595_TIMM17A.pdf", "Melting_Curves/meltCurve_Q99595_TIMM17A.pdf")</f>
        <v>Melting_Curves/meltCurve_Q99595_TIMM17A.pdf</v>
      </c>
    </row>
    <row r="5125" spans="1:28" x14ac:dyDescent="0.25">
      <c r="A5125" t="s">
        <v>5129</v>
      </c>
      <c r="B5125">
        <v>0.99673306730245903</v>
      </c>
      <c r="C5125">
        <v>0.99146462884108</v>
      </c>
      <c r="D5125">
        <v>1.04865629903466</v>
      </c>
      <c r="E5125">
        <v>1.13423250274384</v>
      </c>
      <c r="F5125">
        <v>0.99395119579289604</v>
      </c>
      <c r="G5125">
        <v>0.89492087331627002</v>
      </c>
      <c r="H5125">
        <v>0.62690160399330797</v>
      </c>
      <c r="I5125">
        <v>0.33000352272790001</v>
      </c>
      <c r="J5125">
        <v>0.1331018742183</v>
      </c>
      <c r="K5125">
        <v>0.104060399955128</v>
      </c>
      <c r="L5125">
        <v>1619.08143712523</v>
      </c>
      <c r="M5125">
        <v>26.210322334367799</v>
      </c>
      <c r="N5125">
        <v>62.016829280337298</v>
      </c>
      <c r="O5125">
        <v>61.416440128172503</v>
      </c>
      <c r="P5125">
        <v>-0.10146178165080701</v>
      </c>
      <c r="Q5125">
        <v>4.9023223966040398E-2</v>
      </c>
      <c r="R5125">
        <v>0.98450443669730603</v>
      </c>
      <c r="S5125" t="s">
        <v>11577</v>
      </c>
      <c r="T5125" t="s">
        <v>12902</v>
      </c>
      <c r="U5125" t="s">
        <v>12902</v>
      </c>
      <c r="V5125" t="s">
        <v>12902</v>
      </c>
      <c r="W5125" t="s">
        <v>17978</v>
      </c>
      <c r="X5125">
        <v>18</v>
      </c>
      <c r="Y5125" t="s">
        <v>24274</v>
      </c>
      <c r="Z5125" t="s">
        <v>30700</v>
      </c>
      <c r="AA5125">
        <v>0.74402991279802855</v>
      </c>
      <c r="AB5125" t="str">
        <f>HYPERLINK("Melting_Curves/meltCurve_Q99598_TSNAX.pdf", "Melting_Curves/meltCurve_Q99598_TSNAX.pdf")</f>
        <v>Melting_Curves/meltCurve_Q99598_TSNAX.pdf</v>
      </c>
    </row>
    <row r="5126" spans="1:28" x14ac:dyDescent="0.25">
      <c r="A5126" t="s">
        <v>5130</v>
      </c>
      <c r="B5126">
        <v>0.99673306730245903</v>
      </c>
      <c r="C5126">
        <v>0.99870090596397398</v>
      </c>
      <c r="D5126">
        <v>0.98099812434720501</v>
      </c>
      <c r="E5126">
        <v>1.00432904847675</v>
      </c>
      <c r="F5126">
        <v>0.87546414848035803</v>
      </c>
      <c r="G5126">
        <v>0.79472100046962102</v>
      </c>
      <c r="H5126">
        <v>0.67886042878156305</v>
      </c>
      <c r="I5126">
        <v>0.77565254364541403</v>
      </c>
      <c r="J5126">
        <v>0.62649172146659005</v>
      </c>
      <c r="K5126">
        <v>0.25375940683480502</v>
      </c>
      <c r="L5126">
        <v>647.89093287211006</v>
      </c>
      <c r="M5126">
        <v>9.59525403648143</v>
      </c>
      <c r="N5126">
        <v>67.522019397443003</v>
      </c>
      <c r="O5126">
        <v>64.784620899833101</v>
      </c>
      <c r="P5126">
        <v>-3.7048600011591201E-2</v>
      </c>
      <c r="Q5126">
        <v>0</v>
      </c>
      <c r="R5126">
        <v>0.85520242653922196</v>
      </c>
      <c r="S5126" t="s">
        <v>11578</v>
      </c>
      <c r="T5126" t="s">
        <v>12902</v>
      </c>
      <c r="U5126" t="s">
        <v>12902</v>
      </c>
      <c r="V5126" t="s">
        <v>12902</v>
      </c>
      <c r="W5126" t="s">
        <v>17979</v>
      </c>
      <c r="X5126">
        <v>9</v>
      </c>
      <c r="Y5126" t="s">
        <v>24275</v>
      </c>
      <c r="Z5126" t="s">
        <v>30701</v>
      </c>
      <c r="AA5126">
        <v>0.82312407555031097</v>
      </c>
      <c r="AB5126" t="str">
        <f>HYPERLINK("Melting_Curves/meltCurve_Q99611_SEPHS2.pdf", "Melting_Curves/meltCurve_Q99611_SEPHS2.pdf")</f>
        <v>Melting_Curves/meltCurve_Q99611_SEPHS2.pdf</v>
      </c>
    </row>
    <row r="5127" spans="1:28" x14ac:dyDescent="0.25">
      <c r="A5127" t="s">
        <v>5131</v>
      </c>
      <c r="B5127">
        <v>0.99673306730245903</v>
      </c>
      <c r="C5127">
        <v>0.986595385065973</v>
      </c>
      <c r="D5127">
        <v>1.01716050369136</v>
      </c>
      <c r="E5127">
        <v>0.925066871931987</v>
      </c>
      <c r="F5127">
        <v>0.79630172083334705</v>
      </c>
      <c r="G5127">
        <v>0.69989230164414595</v>
      </c>
      <c r="H5127">
        <v>0.51770905183951399</v>
      </c>
      <c r="I5127">
        <v>0.73277920785653505</v>
      </c>
      <c r="J5127">
        <v>1.0199407676782699</v>
      </c>
      <c r="K5127">
        <v>1.2035831885259101</v>
      </c>
      <c r="L5127">
        <v>12412.648423168899</v>
      </c>
      <c r="M5127">
        <v>250</v>
      </c>
      <c r="O5127">
        <v>49.647435198053302</v>
      </c>
      <c r="P5127">
        <v>-0.216063980227924</v>
      </c>
      <c r="Q5127">
        <v>0.82836770554502803</v>
      </c>
      <c r="R5127">
        <v>0.16711914129275801</v>
      </c>
      <c r="S5127" t="s">
        <v>11579</v>
      </c>
      <c r="T5127" t="s">
        <v>12902</v>
      </c>
      <c r="U5127" t="s">
        <v>12902</v>
      </c>
      <c r="V5127" t="s">
        <v>12902</v>
      </c>
      <c r="W5127" t="s">
        <v>17980</v>
      </c>
      <c r="X5127">
        <v>12</v>
      </c>
      <c r="Y5127" t="s">
        <v>24276</v>
      </c>
      <c r="Z5127" t="s">
        <v>30702</v>
      </c>
      <c r="AA5127">
        <v>0.88359444551081923</v>
      </c>
      <c r="AB5127" t="str">
        <f>HYPERLINK("Melting_Curves/meltCurve_Q99614_TTC1.pdf", "Melting_Curves/meltCurve_Q99614_TTC1.pdf")</f>
        <v>Melting_Curves/meltCurve_Q99614_TTC1.pdf</v>
      </c>
    </row>
    <row r="5128" spans="1:28" x14ac:dyDescent="0.25">
      <c r="A5128" t="s">
        <v>5132</v>
      </c>
      <c r="B5128">
        <v>0.99673306730245903</v>
      </c>
      <c r="C5128">
        <v>1.0492867995513799</v>
      </c>
      <c r="D5128">
        <v>0.74798215748823205</v>
      </c>
      <c r="E5128">
        <v>0.42657442955340602</v>
      </c>
      <c r="F5128">
        <v>0.161741615054943</v>
      </c>
      <c r="G5128">
        <v>0.106523614286142</v>
      </c>
      <c r="H5128">
        <v>6.6133965037125098E-2</v>
      </c>
      <c r="I5128">
        <v>6.3255918888936502E-2</v>
      </c>
      <c r="J5128">
        <v>6.8075469218869894E-2</v>
      </c>
      <c r="K5128">
        <v>5.8626684367468797E-2</v>
      </c>
      <c r="L5128">
        <v>1140.96164076893</v>
      </c>
      <c r="M5128">
        <v>23.541275068498098</v>
      </c>
      <c r="N5128">
        <v>48.751194649870797</v>
      </c>
      <c r="O5128">
        <v>48.1207517864704</v>
      </c>
      <c r="P5128">
        <v>-0.114448793200147</v>
      </c>
      <c r="Q5128">
        <v>6.4235954139877899E-2</v>
      </c>
      <c r="R5128">
        <v>0.99256739086394197</v>
      </c>
      <c r="S5128" t="s">
        <v>11580</v>
      </c>
      <c r="T5128" t="s">
        <v>12902</v>
      </c>
      <c r="U5128" t="s">
        <v>12902</v>
      </c>
      <c r="V5128" t="s">
        <v>12902</v>
      </c>
      <c r="W5128" t="s">
        <v>17981</v>
      </c>
      <c r="X5128">
        <v>36</v>
      </c>
      <c r="Y5128" t="s">
        <v>24277</v>
      </c>
      <c r="Z5128" t="s">
        <v>30703</v>
      </c>
      <c r="AA5128">
        <v>0.33770356830081988</v>
      </c>
      <c r="AB5128" t="str">
        <f>HYPERLINK("Melting_Curves/meltCurve_Q99615_DNAJC7.pdf", "Melting_Curves/meltCurve_Q99615_DNAJC7.pdf")</f>
        <v>Melting_Curves/meltCurve_Q99615_DNAJC7.pdf</v>
      </c>
    </row>
    <row r="5129" spans="1:28" x14ac:dyDescent="0.25">
      <c r="A5129" t="s">
        <v>5133</v>
      </c>
      <c r="B5129">
        <v>0.99673306730245903</v>
      </c>
      <c r="C5129">
        <v>0.89295446077065899</v>
      </c>
      <c r="D5129">
        <v>1.01335040908731</v>
      </c>
      <c r="E5129">
        <v>0.85013459741431696</v>
      </c>
      <c r="F5129">
        <v>0.73293381001778901</v>
      </c>
      <c r="G5129">
        <v>0.54845136467363997</v>
      </c>
      <c r="H5129">
        <v>0.43986240425782902</v>
      </c>
      <c r="I5129">
        <v>0.61153272860684504</v>
      </c>
      <c r="J5129">
        <v>0.84875354978121398</v>
      </c>
      <c r="K5129">
        <v>0.95012601591691404</v>
      </c>
      <c r="L5129">
        <v>2244.7895969822698</v>
      </c>
      <c r="M5129">
        <v>45.090970958028798</v>
      </c>
      <c r="O5129">
        <v>49.6859503956506</v>
      </c>
      <c r="P5129">
        <v>-7.1440445766259006E-2</v>
      </c>
      <c r="Q5129">
        <v>0.68511816814856596</v>
      </c>
      <c r="R5129">
        <v>0.44740543360122498</v>
      </c>
      <c r="S5129" t="s">
        <v>11581</v>
      </c>
      <c r="T5129" t="s">
        <v>12902</v>
      </c>
      <c r="U5129" t="s">
        <v>12902</v>
      </c>
      <c r="V5129" t="s">
        <v>12902</v>
      </c>
      <c r="W5129" t="s">
        <v>17982</v>
      </c>
      <c r="X5129">
        <v>7</v>
      </c>
      <c r="Y5129" t="s">
        <v>24278</v>
      </c>
      <c r="Z5129" t="s">
        <v>30704</v>
      </c>
      <c r="AA5129">
        <v>0.78865853294885235</v>
      </c>
      <c r="AB5129" t="str">
        <f>HYPERLINK("Melting_Curves/meltCurve_Q99618_CDCA3.pdf", "Melting_Curves/meltCurve_Q99618_CDCA3.pdf")</f>
        <v>Melting_Curves/meltCurve_Q99618_CDCA3.pdf</v>
      </c>
    </row>
    <row r="5130" spans="1:28" x14ac:dyDescent="0.25">
      <c r="A5130" t="s">
        <v>5134</v>
      </c>
      <c r="B5130">
        <v>0.99673306730245903</v>
      </c>
      <c r="C5130">
        <v>0.95051793780078997</v>
      </c>
      <c r="D5130">
        <v>0.62766134092774595</v>
      </c>
      <c r="E5130">
        <v>0.32706491089337503</v>
      </c>
      <c r="F5130">
        <v>0.16757715471781401</v>
      </c>
      <c r="G5130">
        <v>0.117251165974737</v>
      </c>
      <c r="H5130">
        <v>7.9328836344016301E-2</v>
      </c>
      <c r="I5130">
        <v>0.10406106229751599</v>
      </c>
      <c r="J5130">
        <v>0.14046856685093201</v>
      </c>
      <c r="K5130">
        <v>0.122949217924853</v>
      </c>
      <c r="L5130">
        <v>1115.0744057982799</v>
      </c>
      <c r="M5130">
        <v>23.768404839595</v>
      </c>
      <c r="N5130">
        <v>47.418900197867799</v>
      </c>
      <c r="O5130">
        <v>46.585843779651697</v>
      </c>
      <c r="P5130">
        <v>-0.113297420678938</v>
      </c>
      <c r="Q5130">
        <v>0.111767260425105</v>
      </c>
      <c r="R5130">
        <v>0.99536980405623399</v>
      </c>
      <c r="S5130" t="s">
        <v>11582</v>
      </c>
      <c r="T5130" t="s">
        <v>12902</v>
      </c>
      <c r="U5130" t="s">
        <v>12902</v>
      </c>
      <c r="V5130" t="s">
        <v>12902</v>
      </c>
      <c r="W5130" t="s">
        <v>17983</v>
      </c>
      <c r="X5130">
        <v>3</v>
      </c>
      <c r="Y5130" t="s">
        <v>24279</v>
      </c>
      <c r="Z5130" t="s">
        <v>30705</v>
      </c>
      <c r="AA5130">
        <v>0.3253664974671876</v>
      </c>
      <c r="AB5130" t="str">
        <f>HYPERLINK("Melting_Curves/meltCurve_Q99622_C12orf57.pdf", "Melting_Curves/meltCurve_Q99622_C12orf57.pdf")</f>
        <v>Melting_Curves/meltCurve_Q99622_C12orf57.pdf</v>
      </c>
    </row>
    <row r="5131" spans="1:28" x14ac:dyDescent="0.25">
      <c r="A5131" t="s">
        <v>5135</v>
      </c>
      <c r="B5131">
        <v>0.99673306730245903</v>
      </c>
      <c r="C5131">
        <v>1.0250903441013799</v>
      </c>
      <c r="D5131">
        <v>0.99722964132607705</v>
      </c>
      <c r="E5131">
        <v>0.89368721005104601</v>
      </c>
      <c r="F5131">
        <v>0.65539579561403305</v>
      </c>
      <c r="G5131">
        <v>0.519742662462782</v>
      </c>
      <c r="H5131">
        <v>0.44015277280979997</v>
      </c>
      <c r="I5131">
        <v>0.34812262218224499</v>
      </c>
      <c r="J5131">
        <v>0.22091575182547399</v>
      </c>
      <c r="K5131">
        <v>0.116446898849224</v>
      </c>
      <c r="L5131">
        <v>604.89294008821105</v>
      </c>
      <c r="M5131">
        <v>10.4372391272291</v>
      </c>
      <c r="N5131">
        <v>58.266219754986999</v>
      </c>
      <c r="O5131">
        <v>55.948908267156497</v>
      </c>
      <c r="P5131">
        <v>-4.5392721453699998E-2</v>
      </c>
      <c r="Q5131">
        <v>2.7089430354943999E-2</v>
      </c>
      <c r="R5131">
        <v>0.97949881338046796</v>
      </c>
      <c r="S5131" t="s">
        <v>11583</v>
      </c>
      <c r="T5131" t="s">
        <v>12902</v>
      </c>
      <c r="U5131" t="s">
        <v>12902</v>
      </c>
      <c r="V5131" t="s">
        <v>12902</v>
      </c>
      <c r="W5131" t="s">
        <v>17984</v>
      </c>
      <c r="X5131">
        <v>25</v>
      </c>
      <c r="Y5131" t="s">
        <v>24280</v>
      </c>
      <c r="Z5131" t="s">
        <v>30706</v>
      </c>
      <c r="AA5131">
        <v>0.62010536937030836</v>
      </c>
      <c r="AB5131" t="str">
        <f>HYPERLINK("Melting_Curves/meltCurve_Q99623_PHB2.pdf", "Melting_Curves/meltCurve_Q99623_PHB2.pdf")</f>
        <v>Melting_Curves/meltCurve_Q99623_PHB2.pdf</v>
      </c>
    </row>
    <row r="5132" spans="1:28" x14ac:dyDescent="0.25">
      <c r="A5132" t="s">
        <v>5136</v>
      </c>
      <c r="B5132">
        <v>0.99673306730245903</v>
      </c>
      <c r="C5132">
        <v>0.93672277518133196</v>
      </c>
      <c r="D5132">
        <v>1.0605514897911601</v>
      </c>
      <c r="E5132">
        <v>1.1922607725265899</v>
      </c>
      <c r="F5132">
        <v>0.954629146865139</v>
      </c>
      <c r="G5132">
        <v>0.40423144558125601</v>
      </c>
      <c r="H5132">
        <v>0.53938348759219001</v>
      </c>
      <c r="I5132">
        <v>0.22410628484216599</v>
      </c>
      <c r="J5132">
        <v>0.112558523506237</v>
      </c>
      <c r="K5132">
        <v>0.10316125129026001</v>
      </c>
      <c r="L5132">
        <v>1153.34600664247</v>
      </c>
      <c r="M5132">
        <v>19.9617068183613</v>
      </c>
      <c r="N5132">
        <v>58.480229576152503</v>
      </c>
      <c r="O5132">
        <v>57.207448216960401</v>
      </c>
      <c r="P5132">
        <v>-7.7939192781184205E-2</v>
      </c>
      <c r="Q5132">
        <v>0.10657818906533099</v>
      </c>
      <c r="R5132">
        <v>0.90181867264461602</v>
      </c>
      <c r="S5132" t="s">
        <v>11584</v>
      </c>
      <c r="T5132" t="s">
        <v>12902</v>
      </c>
      <c r="U5132" t="s">
        <v>12902</v>
      </c>
      <c r="V5132" t="s">
        <v>12902</v>
      </c>
      <c r="W5132" t="s">
        <v>17985</v>
      </c>
      <c r="X5132">
        <v>8</v>
      </c>
      <c r="Y5132" t="s">
        <v>24281</v>
      </c>
      <c r="Z5132" t="s">
        <v>30707</v>
      </c>
      <c r="AA5132">
        <v>0.64636526233728608</v>
      </c>
      <c r="AB5132" t="str">
        <f>HYPERLINK("Melting_Curves/meltCurve_Q99627_COPS8.pdf", "Melting_Curves/meltCurve_Q99627_COPS8.pdf")</f>
        <v>Melting_Curves/meltCurve_Q99627_COPS8.pdf</v>
      </c>
    </row>
    <row r="5133" spans="1:28" x14ac:dyDescent="0.25">
      <c r="A5133" t="s">
        <v>5137</v>
      </c>
      <c r="B5133">
        <v>0.99673306730245903</v>
      </c>
      <c r="C5133">
        <v>0.92445999547737201</v>
      </c>
      <c r="D5133">
        <v>0.80470135919280505</v>
      </c>
      <c r="E5133">
        <v>0.43726634032144301</v>
      </c>
      <c r="F5133">
        <v>0.20649385952390301</v>
      </c>
      <c r="G5133">
        <v>0.14192601854265099</v>
      </c>
      <c r="H5133">
        <v>0.102170367605791</v>
      </c>
      <c r="I5133">
        <v>0.124074751812874</v>
      </c>
      <c r="J5133">
        <v>0.18029739576027901</v>
      </c>
      <c r="K5133">
        <v>0.15928714980154901</v>
      </c>
      <c r="L5133">
        <v>1170.3248747305299</v>
      </c>
      <c r="M5133">
        <v>24.255014159055399</v>
      </c>
      <c r="N5133">
        <v>48.882905992033201</v>
      </c>
      <c r="O5133">
        <v>47.926461663092802</v>
      </c>
      <c r="P5133">
        <v>-0.109493613200319</v>
      </c>
      <c r="Q5133">
        <v>0.13460199972360501</v>
      </c>
      <c r="R5133">
        <v>0.99496121516779201</v>
      </c>
      <c r="S5133" t="s">
        <v>11585</v>
      </c>
      <c r="T5133" t="s">
        <v>12902</v>
      </c>
      <c r="U5133" t="s">
        <v>12902</v>
      </c>
      <c r="V5133" t="s">
        <v>12902</v>
      </c>
      <c r="W5133" t="s">
        <v>17986</v>
      </c>
      <c r="X5133">
        <v>6</v>
      </c>
      <c r="Y5133" t="s">
        <v>24282</v>
      </c>
      <c r="Z5133" t="s">
        <v>30708</v>
      </c>
      <c r="AA5133">
        <v>0.3807614740504584</v>
      </c>
      <c r="AB5133" t="str">
        <f>HYPERLINK("Melting_Curves/meltCurve_Q99633_PRPF18.pdf", "Melting_Curves/meltCurve_Q99633_PRPF18.pdf")</f>
        <v>Melting_Curves/meltCurve_Q99633_PRPF18.pdf</v>
      </c>
    </row>
    <row r="5134" spans="1:28" x14ac:dyDescent="0.25">
      <c r="A5134" t="s">
        <v>5138</v>
      </c>
      <c r="B5134">
        <v>0.99673306730245903</v>
      </c>
      <c r="C5134">
        <v>1.1978560837897401</v>
      </c>
      <c r="D5134">
        <v>1.31979716736141</v>
      </c>
      <c r="E5134">
        <v>0.99456766303566801</v>
      </c>
      <c r="F5134">
        <v>0.83081446800571801</v>
      </c>
      <c r="G5134">
        <v>0.60687761607388002</v>
      </c>
      <c r="H5134">
        <v>0.171261080279828</v>
      </c>
      <c r="I5134">
        <v>0.24316787358869199</v>
      </c>
      <c r="J5134">
        <v>0.37048992348362902</v>
      </c>
      <c r="K5134">
        <v>0.340229577269959</v>
      </c>
      <c r="L5134">
        <v>1978.0556430434699</v>
      </c>
      <c r="M5134">
        <v>35.397849633116003</v>
      </c>
      <c r="N5134">
        <v>57.203559494825903</v>
      </c>
      <c r="O5134">
        <v>55.703227641477497</v>
      </c>
      <c r="P5134">
        <v>-0.114468194129575</v>
      </c>
      <c r="Q5134">
        <v>0.27947868395470499</v>
      </c>
      <c r="R5134">
        <v>0.88084131583208203</v>
      </c>
      <c r="S5134" t="s">
        <v>11586</v>
      </c>
      <c r="T5134" t="s">
        <v>12902</v>
      </c>
      <c r="U5134" t="s">
        <v>12902</v>
      </c>
      <c r="V5134" t="s">
        <v>12902</v>
      </c>
      <c r="W5134" t="s">
        <v>17987</v>
      </c>
      <c r="X5134">
        <v>2</v>
      </c>
      <c r="Y5134" t="s">
        <v>24283</v>
      </c>
      <c r="Z5134" t="s">
        <v>30709</v>
      </c>
      <c r="AA5134">
        <v>0.66440357582862819</v>
      </c>
      <c r="AB5134" t="str">
        <f>HYPERLINK("Melting_Curves/meltCurve_Q99638_RAD9A.pdf", "Melting_Curves/meltCurve_Q99638_RAD9A.pdf")</f>
        <v>Melting_Curves/meltCurve_Q99638_RAD9A.pdf</v>
      </c>
    </row>
    <row r="5135" spans="1:28" x14ac:dyDescent="0.25">
      <c r="A5135" t="s">
        <v>5139</v>
      </c>
      <c r="B5135">
        <v>0.99673306730245903</v>
      </c>
      <c r="C5135">
        <v>0.89086807081393704</v>
      </c>
      <c r="D5135">
        <v>0.97176509684307499</v>
      </c>
      <c r="E5135">
        <v>0.87491900818757995</v>
      </c>
      <c r="F5135">
        <v>0.578569969614112</v>
      </c>
      <c r="G5135">
        <v>0.33126964577250001</v>
      </c>
      <c r="H5135">
        <v>0.212973085606699</v>
      </c>
      <c r="I5135">
        <v>0.21482449345364901</v>
      </c>
      <c r="J5135">
        <v>0.20556318543558</v>
      </c>
      <c r="K5135">
        <v>0.17775869817585699</v>
      </c>
      <c r="L5135">
        <v>1233.03053373947</v>
      </c>
      <c r="M5135">
        <v>23.242788831572</v>
      </c>
      <c r="N5135">
        <v>54.140680242718801</v>
      </c>
      <c r="O5135">
        <v>52.662007062439201</v>
      </c>
      <c r="P5135">
        <v>-8.9713901109530605E-2</v>
      </c>
      <c r="Q5135">
        <v>0.18694279301394201</v>
      </c>
      <c r="R5135">
        <v>0.98939195779657196</v>
      </c>
      <c r="S5135" t="s">
        <v>11587</v>
      </c>
      <c r="T5135" t="s">
        <v>12902</v>
      </c>
      <c r="U5135" t="s">
        <v>12902</v>
      </c>
      <c r="V5135" t="s">
        <v>12902</v>
      </c>
      <c r="W5135" t="s">
        <v>17988</v>
      </c>
      <c r="X5135">
        <v>10</v>
      </c>
      <c r="Y5135" t="s">
        <v>24284</v>
      </c>
      <c r="Z5135" t="s">
        <v>30710</v>
      </c>
      <c r="AA5135">
        <v>0.54919394396081989</v>
      </c>
      <c r="AB5135" t="str">
        <f>HYPERLINK("Melting_Curves/meltCurve_Q99653_CHP1.pdf", "Melting_Curves/meltCurve_Q99653_CHP1.pdf")</f>
        <v>Melting_Curves/meltCurve_Q99653_CHP1.pdf</v>
      </c>
    </row>
    <row r="5136" spans="1:28" x14ac:dyDescent="0.25">
      <c r="A5136" t="s">
        <v>5140</v>
      </c>
      <c r="B5136">
        <v>0.99673306730245903</v>
      </c>
      <c r="C5136">
        <v>0.90664566177733596</v>
      </c>
      <c r="D5136">
        <v>0.72478692270635903</v>
      </c>
      <c r="E5136">
        <v>0.43936335709058799</v>
      </c>
      <c r="F5136">
        <v>0.17714972593799799</v>
      </c>
      <c r="G5136">
        <v>0.12231724318947899</v>
      </c>
      <c r="H5136">
        <v>7.0245773852229798E-2</v>
      </c>
      <c r="I5136">
        <v>7.6027985463974296E-2</v>
      </c>
      <c r="J5136">
        <v>7.96362736513887E-2</v>
      </c>
      <c r="K5136">
        <v>7.4970584513647201E-2</v>
      </c>
      <c r="L5136">
        <v>908.305020436066</v>
      </c>
      <c r="M5136">
        <v>18.825238905605001</v>
      </c>
      <c r="N5136">
        <v>48.609537885435898</v>
      </c>
      <c r="O5136">
        <v>47.714759437221701</v>
      </c>
      <c r="P5136">
        <v>-9.2216601856233704E-2</v>
      </c>
      <c r="Q5136">
        <v>6.5103804987915806E-2</v>
      </c>
      <c r="R5136">
        <v>0.99833716789912796</v>
      </c>
      <c r="S5136" t="s">
        <v>11588</v>
      </c>
      <c r="T5136" t="s">
        <v>12902</v>
      </c>
      <c r="U5136" t="s">
        <v>12902</v>
      </c>
      <c r="V5136" t="s">
        <v>12902</v>
      </c>
      <c r="W5136" t="s">
        <v>17989</v>
      </c>
      <c r="X5136">
        <v>14</v>
      </c>
      <c r="Y5136" t="s">
        <v>24285</v>
      </c>
      <c r="Z5136" t="s">
        <v>30711</v>
      </c>
      <c r="AA5136">
        <v>0.337186819031223</v>
      </c>
      <c r="AB5136" t="str">
        <f>HYPERLINK("Melting_Curves/meltCurve_Q99661_KIF2C.pdf", "Melting_Curves/meltCurve_Q99661_KIF2C.pdf")</f>
        <v>Melting_Curves/meltCurve_Q99661_KIF2C.pdf</v>
      </c>
    </row>
    <row r="5137" spans="1:28" x14ac:dyDescent="0.25">
      <c r="A5137" t="s">
        <v>5141</v>
      </c>
      <c r="B5137">
        <v>0.99673306730245903</v>
      </c>
      <c r="C5137">
        <v>0.99262592607098799</v>
      </c>
      <c r="D5137">
        <v>0.97924698958104295</v>
      </c>
      <c r="E5137">
        <v>0.82583613205338002</v>
      </c>
      <c r="F5137">
        <v>0.63374210963130295</v>
      </c>
      <c r="G5137">
        <v>0.47573078624465198</v>
      </c>
      <c r="H5137">
        <v>0.41184212696741501</v>
      </c>
      <c r="I5137">
        <v>0.59601594853782602</v>
      </c>
      <c r="J5137">
        <v>0.75825981140810494</v>
      </c>
      <c r="K5137">
        <v>0.74595501493396499</v>
      </c>
      <c r="L5137">
        <v>2310.7785597706902</v>
      </c>
      <c r="M5137">
        <v>46.331342318239201</v>
      </c>
      <c r="O5137">
        <v>49.782413551441401</v>
      </c>
      <c r="P5137">
        <v>-9.3115224291066098E-2</v>
      </c>
      <c r="Q5137">
        <v>0.59979617939244101</v>
      </c>
      <c r="R5137">
        <v>0.75759368515389103</v>
      </c>
      <c r="S5137" t="s">
        <v>11589</v>
      </c>
      <c r="T5137" t="s">
        <v>12902</v>
      </c>
      <c r="U5137" t="s">
        <v>12902</v>
      </c>
      <c r="V5137" t="s">
        <v>12902</v>
      </c>
      <c r="W5137" t="s">
        <v>17990</v>
      </c>
      <c r="X5137">
        <v>12</v>
      </c>
      <c r="Y5137" t="s">
        <v>24286</v>
      </c>
      <c r="Z5137" t="s">
        <v>30712</v>
      </c>
      <c r="AA5137">
        <v>0.7325571688757575</v>
      </c>
      <c r="AB5137" t="str">
        <f>HYPERLINK("Melting_Curves/meltCurve_Q99674_CGREF1.pdf", "Melting_Curves/meltCurve_Q99674_CGREF1.pdf")</f>
        <v>Melting_Curves/meltCurve_Q99674_CGREF1.pdf</v>
      </c>
    </row>
    <row r="5138" spans="1:28" x14ac:dyDescent="0.25">
      <c r="A5138" t="s">
        <v>5142</v>
      </c>
      <c r="B5138">
        <v>0.99673306730245903</v>
      </c>
      <c r="C5138">
        <v>0.91147465139457395</v>
      </c>
      <c r="D5138">
        <v>0.88083876913562698</v>
      </c>
      <c r="E5138">
        <v>0.77201668030388704</v>
      </c>
      <c r="F5138">
        <v>0.33643738866655698</v>
      </c>
      <c r="G5138">
        <v>0.137312565808657</v>
      </c>
      <c r="H5138">
        <v>9.2729091390637494E-2</v>
      </c>
      <c r="I5138">
        <v>8.2609969531530505E-2</v>
      </c>
      <c r="J5138">
        <v>8.2995251453762506E-2</v>
      </c>
      <c r="K5138">
        <v>7.7880817361669394E-2</v>
      </c>
      <c r="L5138">
        <v>1265.01856916356</v>
      </c>
      <c r="M5138">
        <v>24.613953756801799</v>
      </c>
      <c r="N5138">
        <v>51.7196336480024</v>
      </c>
      <c r="O5138">
        <v>51.058707898289803</v>
      </c>
      <c r="P5138">
        <v>-0.11187714542762001</v>
      </c>
      <c r="Q5138">
        <v>7.1709734046940907E-2</v>
      </c>
      <c r="R5138">
        <v>0.99034885074476497</v>
      </c>
      <c r="S5138" t="s">
        <v>11590</v>
      </c>
      <c r="T5138" t="s">
        <v>12902</v>
      </c>
      <c r="U5138" t="s">
        <v>12902</v>
      </c>
      <c r="V5138" t="s">
        <v>12902</v>
      </c>
      <c r="W5138" t="s">
        <v>17991</v>
      </c>
      <c r="X5138">
        <v>16</v>
      </c>
      <c r="Y5138" t="s">
        <v>24287</v>
      </c>
      <c r="Z5138" t="s">
        <v>30713</v>
      </c>
      <c r="AA5138">
        <v>0.43296690214899369</v>
      </c>
      <c r="AB5138" t="str">
        <f>HYPERLINK("Melting_Curves/meltCurve_Q99700_4_ATXN2.pdf", "Melting_Curves/meltCurve_Q99700_4_ATXN2.pdf")</f>
        <v>Melting_Curves/meltCurve_Q99700_4_ATXN2.pdf</v>
      </c>
    </row>
    <row r="5139" spans="1:28" x14ac:dyDescent="0.25">
      <c r="A5139" t="s">
        <v>5143</v>
      </c>
      <c r="B5139">
        <v>0.99673306730245903</v>
      </c>
      <c r="C5139">
        <v>0.93907999314792701</v>
      </c>
      <c r="D5139">
        <v>0.75554719462297804</v>
      </c>
      <c r="E5139">
        <v>0.45574551175536299</v>
      </c>
      <c r="F5139">
        <v>0.19575803253820101</v>
      </c>
      <c r="G5139">
        <v>0.12918154457974601</v>
      </c>
      <c r="H5139">
        <v>8.9016912603590403E-2</v>
      </c>
      <c r="I5139">
        <v>8.5734705899089103E-2</v>
      </c>
      <c r="J5139">
        <v>0.13486316662492301</v>
      </c>
      <c r="K5139">
        <v>0.143020255726826</v>
      </c>
      <c r="L5139">
        <v>1030.8762957172501</v>
      </c>
      <c r="M5139">
        <v>21.342605211875401</v>
      </c>
      <c r="N5139">
        <v>48.838961026117197</v>
      </c>
      <c r="O5139">
        <v>47.8832859516734</v>
      </c>
      <c r="P5139">
        <v>-9.9766998168431098E-2</v>
      </c>
      <c r="Q5139">
        <v>0.104692008344028</v>
      </c>
      <c r="R5139">
        <v>0.99602991798612295</v>
      </c>
      <c r="S5139" t="s">
        <v>11591</v>
      </c>
      <c r="T5139" t="s">
        <v>12902</v>
      </c>
      <c r="U5139" t="s">
        <v>12902</v>
      </c>
      <c r="V5139" t="s">
        <v>12902</v>
      </c>
      <c r="W5139" t="s">
        <v>17992</v>
      </c>
      <c r="X5139">
        <v>2</v>
      </c>
      <c r="Y5139" t="s">
        <v>24288</v>
      </c>
      <c r="Z5139" t="s">
        <v>30714</v>
      </c>
      <c r="AA5139">
        <v>0.36347306708033039</v>
      </c>
      <c r="AB5139" t="str">
        <f>HYPERLINK("Melting_Curves/meltCurve_Q99704_DOK1.pdf", "Melting_Curves/meltCurve_Q99704_DOK1.pdf")</f>
        <v>Melting_Curves/meltCurve_Q99704_DOK1.pdf</v>
      </c>
    </row>
    <row r="5140" spans="1:28" x14ac:dyDescent="0.25">
      <c r="A5140" t="s">
        <v>5144</v>
      </c>
      <c r="B5140">
        <v>0.99673306730245903</v>
      </c>
      <c r="C5140">
        <v>0.91729866695868401</v>
      </c>
      <c r="D5140">
        <v>0.73562806215472498</v>
      </c>
      <c r="E5140">
        <v>0.47032630207846898</v>
      </c>
      <c r="F5140">
        <v>0.34648872610868497</v>
      </c>
      <c r="G5140">
        <v>0.25929322255419901</v>
      </c>
      <c r="H5140">
        <v>0.12980589640960899</v>
      </c>
      <c r="I5140">
        <v>7.9003653228672893E-2</v>
      </c>
      <c r="J5140">
        <v>6.51680393843454E-2</v>
      </c>
      <c r="K5140">
        <v>5.7298303654346197E-2</v>
      </c>
      <c r="L5140">
        <v>625.60014978298705</v>
      </c>
      <c r="M5140">
        <v>12.597851558749801</v>
      </c>
      <c r="N5140">
        <v>50.004231155892001</v>
      </c>
      <c r="O5140">
        <v>48.457816150365304</v>
      </c>
      <c r="P5140">
        <v>-6.2301355401166901E-2</v>
      </c>
      <c r="Q5140">
        <v>4.1618947742630398E-2</v>
      </c>
      <c r="R5140">
        <v>0.99197500839470099</v>
      </c>
      <c r="S5140" t="s">
        <v>11592</v>
      </c>
      <c r="T5140" t="s">
        <v>12902</v>
      </c>
      <c r="U5140" t="s">
        <v>12902</v>
      </c>
      <c r="V5140" t="s">
        <v>12902</v>
      </c>
      <c r="W5140" t="s">
        <v>17993</v>
      </c>
      <c r="X5140">
        <v>24</v>
      </c>
      <c r="Y5140" t="s">
        <v>24289</v>
      </c>
      <c r="Z5140" t="s">
        <v>30715</v>
      </c>
      <c r="AA5140">
        <v>0.3814692028040359</v>
      </c>
      <c r="AB5140" t="str">
        <f>HYPERLINK("Melting_Curves/meltCurve_Q99707_MTR.pdf", "Melting_Curves/meltCurve_Q99707_MTR.pdf")</f>
        <v>Melting_Curves/meltCurve_Q99707_MTR.pdf</v>
      </c>
    </row>
    <row r="5141" spans="1:28" x14ac:dyDescent="0.25">
      <c r="A5141" t="s">
        <v>5145</v>
      </c>
      <c r="B5141">
        <v>0.99673306730245903</v>
      </c>
      <c r="C5141">
        <v>0.98934818188837803</v>
      </c>
      <c r="D5141">
        <v>1.0810554254907301</v>
      </c>
      <c r="E5141">
        <v>1.1324237150862799</v>
      </c>
      <c r="F5141">
        <v>1.12614303524628</v>
      </c>
      <c r="G5141">
        <v>0.52730829585328398</v>
      </c>
      <c r="H5141">
        <v>9.4809360749581198E-2</v>
      </c>
      <c r="I5141">
        <v>5.78356778968643E-2</v>
      </c>
      <c r="J5141">
        <v>4.8896414447840798E-2</v>
      </c>
      <c r="K5141">
        <v>4.07935330959922E-2</v>
      </c>
      <c r="L5141">
        <v>14199.2784159452</v>
      </c>
      <c r="M5141">
        <v>250</v>
      </c>
      <c r="N5141">
        <v>56.826470002072099</v>
      </c>
      <c r="O5141">
        <v>56.793460519822702</v>
      </c>
      <c r="P5141">
        <v>-1.0338073695988601</v>
      </c>
      <c r="Q5141">
        <v>6.0583724957573297E-2</v>
      </c>
      <c r="R5141">
        <v>0.98156954584156497</v>
      </c>
      <c r="S5141" t="s">
        <v>11593</v>
      </c>
      <c r="T5141" t="s">
        <v>12902</v>
      </c>
      <c r="U5141" t="s">
        <v>12902</v>
      </c>
      <c r="V5141" t="s">
        <v>12902</v>
      </c>
      <c r="W5141" t="s">
        <v>17994</v>
      </c>
      <c r="X5141">
        <v>16</v>
      </c>
      <c r="Y5141" t="s">
        <v>24290</v>
      </c>
      <c r="Z5141" t="s">
        <v>30716</v>
      </c>
      <c r="AA5141">
        <v>0.58666009579027145</v>
      </c>
      <c r="AB5141" t="str">
        <f>HYPERLINK("Melting_Curves/meltCurve_Q99714_HSD17B10.pdf", "Melting_Curves/meltCurve_Q99714_HSD17B10.pdf")</f>
        <v>Melting_Curves/meltCurve_Q99714_HSD17B10.pdf</v>
      </c>
    </row>
    <row r="5142" spans="1:28" x14ac:dyDescent="0.25">
      <c r="A5142" t="s">
        <v>5146</v>
      </c>
      <c r="B5142">
        <v>0.99673306730245903</v>
      </c>
      <c r="C5142">
        <v>1.0040447574540901</v>
      </c>
      <c r="D5142">
        <v>0.96489283910272305</v>
      </c>
      <c r="E5142">
        <v>0.92828382693629397</v>
      </c>
      <c r="F5142">
        <v>0.88906511191645499</v>
      </c>
      <c r="G5142">
        <v>0.72044392407500502</v>
      </c>
      <c r="H5142">
        <v>0.60198346588587504</v>
      </c>
      <c r="I5142">
        <v>0.59551940408870896</v>
      </c>
      <c r="J5142">
        <v>1.5638495077407899</v>
      </c>
      <c r="K5142">
        <v>0.68543754254176403</v>
      </c>
      <c r="L5142">
        <v>1715.72013623813</v>
      </c>
      <c r="M5142">
        <v>34.425044383693397</v>
      </c>
      <c r="O5142">
        <v>49.672019123443903</v>
      </c>
      <c r="P5142">
        <v>-2.7852063200110699E-2</v>
      </c>
      <c r="Q5142">
        <v>0.83924924184801897</v>
      </c>
      <c r="R5142">
        <v>6.1287751722356003E-2</v>
      </c>
      <c r="S5142" t="s">
        <v>11594</v>
      </c>
      <c r="T5142" t="s">
        <v>12902</v>
      </c>
      <c r="U5142" t="s">
        <v>12902</v>
      </c>
      <c r="V5142" t="s">
        <v>12902</v>
      </c>
      <c r="W5142" t="s">
        <v>17995</v>
      </c>
      <c r="X5142">
        <v>4</v>
      </c>
      <c r="Y5142" t="s">
        <v>24291</v>
      </c>
      <c r="Z5142" t="s">
        <v>30717</v>
      </c>
      <c r="AA5142">
        <v>0.89272216989160058</v>
      </c>
      <c r="AB5142" t="str">
        <f>HYPERLINK("Melting_Curves/meltCurve_Q99720_SIGMAR1.pdf", "Melting_Curves/meltCurve_Q99720_SIGMAR1.pdf")</f>
        <v>Melting_Curves/meltCurve_Q99720_SIGMAR1.pdf</v>
      </c>
    </row>
    <row r="5143" spans="1:28" x14ac:dyDescent="0.25">
      <c r="A5143" t="s">
        <v>5147</v>
      </c>
      <c r="B5143">
        <v>0.99673306730245903</v>
      </c>
      <c r="C5143">
        <v>0.95540113031838203</v>
      </c>
      <c r="D5143">
        <v>1.0153356935953901</v>
      </c>
      <c r="E5143">
        <v>1.0360285909670599</v>
      </c>
      <c r="F5143">
        <v>0.94878236820648298</v>
      </c>
      <c r="G5143">
        <v>0.75710027156159598</v>
      </c>
      <c r="H5143">
        <v>0.56634305746799896</v>
      </c>
      <c r="I5143">
        <v>0.67955116211229305</v>
      </c>
      <c r="J5143">
        <v>1.10383475731228</v>
      </c>
      <c r="K5143">
        <v>1.4981617303608701</v>
      </c>
      <c r="L5143">
        <v>15000</v>
      </c>
      <c r="M5143">
        <v>222.211984542636</v>
      </c>
      <c r="O5143">
        <v>67.497642361957801</v>
      </c>
      <c r="P5143">
        <v>0.41015351533961902</v>
      </c>
      <c r="Q5143">
        <v>1.49834207226011</v>
      </c>
      <c r="R5143">
        <v>0.402091528127069</v>
      </c>
      <c r="S5143" t="s">
        <v>11595</v>
      </c>
      <c r="T5143" t="s">
        <v>12902</v>
      </c>
      <c r="U5143" t="s">
        <v>12902</v>
      </c>
      <c r="V5143" t="s">
        <v>12902</v>
      </c>
      <c r="W5143" t="s">
        <v>17996</v>
      </c>
      <c r="X5143">
        <v>14</v>
      </c>
      <c r="Y5143" t="s">
        <v>24292</v>
      </c>
      <c r="Z5143" t="s">
        <v>30718</v>
      </c>
      <c r="AA5143">
        <v>1.041404095038631</v>
      </c>
      <c r="AB5143" t="str">
        <f>HYPERLINK("Melting_Curves/meltCurve_Q99729_3_HNRNPAB.pdf", "Melting_Curves/meltCurve_Q99729_3_HNRNPAB.pdf")</f>
        <v>Melting_Curves/meltCurve_Q99729_3_HNRNPAB.pdf</v>
      </c>
    </row>
    <row r="5144" spans="1:28" x14ac:dyDescent="0.25">
      <c r="A5144" t="s">
        <v>5148</v>
      </c>
      <c r="B5144">
        <v>0.99673306730245903</v>
      </c>
      <c r="C5144">
        <v>0.95228968923475399</v>
      </c>
      <c r="D5144">
        <v>0.95425005221961501</v>
      </c>
      <c r="E5144">
        <v>0.92680105539290702</v>
      </c>
      <c r="F5144">
        <v>0.60789209901491603</v>
      </c>
      <c r="G5144">
        <v>0.202215734896528</v>
      </c>
      <c r="H5144">
        <v>8.5156627245074806E-2</v>
      </c>
      <c r="I5144">
        <v>7.6577738481769006E-2</v>
      </c>
      <c r="J5144">
        <v>9.4445218698128997E-2</v>
      </c>
      <c r="K5144">
        <v>7.0651446993063693E-2</v>
      </c>
      <c r="L5144">
        <v>1710.3806706589901</v>
      </c>
      <c r="M5144">
        <v>31.875358452585601</v>
      </c>
      <c r="N5144">
        <v>53.9280504556952</v>
      </c>
      <c r="O5144">
        <v>53.448517926288901</v>
      </c>
      <c r="P5144">
        <v>-0.13811126389390399</v>
      </c>
      <c r="Q5144">
        <v>7.3666135074275094E-2</v>
      </c>
      <c r="R5144">
        <v>0.99716880057518498</v>
      </c>
      <c r="S5144" t="s">
        <v>11596</v>
      </c>
      <c r="T5144" t="s">
        <v>12902</v>
      </c>
      <c r="U5144" t="s">
        <v>12902</v>
      </c>
      <c r="V5144" t="s">
        <v>12902</v>
      </c>
      <c r="W5144" t="s">
        <v>17997</v>
      </c>
      <c r="X5144">
        <v>16</v>
      </c>
      <c r="Y5144" t="s">
        <v>19642</v>
      </c>
      <c r="Z5144" t="s">
        <v>30719</v>
      </c>
      <c r="AA5144">
        <v>0.50079125308734584</v>
      </c>
      <c r="AB5144" t="str">
        <f>HYPERLINK("Melting_Curves/meltCurve_Q99733_NAP1L4.pdf", "Melting_Curves/meltCurve_Q99733_NAP1L4.pdf")</f>
        <v>Melting_Curves/meltCurve_Q99733_NAP1L4.pdf</v>
      </c>
    </row>
    <row r="5145" spans="1:28" x14ac:dyDescent="0.25">
      <c r="A5145" t="s">
        <v>5149</v>
      </c>
      <c r="B5145">
        <v>0.99673306730245903</v>
      </c>
      <c r="C5145">
        <v>0.98966779378227399</v>
      </c>
      <c r="D5145">
        <v>1.0277137550516799</v>
      </c>
      <c r="E5145">
        <v>0.89327342249028296</v>
      </c>
      <c r="F5145">
        <v>0.57011982837545205</v>
      </c>
      <c r="G5145">
        <v>0.50021924916040905</v>
      </c>
      <c r="H5145">
        <v>0.41332506669692098</v>
      </c>
      <c r="I5145">
        <v>0.34940771960748301</v>
      </c>
      <c r="J5145">
        <v>0.35307605154480398</v>
      </c>
      <c r="K5145">
        <v>0.403703895287778</v>
      </c>
      <c r="L5145">
        <v>1463.08585506745</v>
      </c>
      <c r="M5145">
        <v>28.0853436126703</v>
      </c>
      <c r="N5145">
        <v>54.970864116670498</v>
      </c>
      <c r="O5145">
        <v>51.832321286688199</v>
      </c>
      <c r="P5145">
        <v>-8.3310034455340104E-2</v>
      </c>
      <c r="Q5145">
        <v>0.38500081766968502</v>
      </c>
      <c r="R5145">
        <v>0.98660241007322302</v>
      </c>
      <c r="S5145" t="s">
        <v>11597</v>
      </c>
      <c r="T5145" t="s">
        <v>12902</v>
      </c>
      <c r="U5145" t="s">
        <v>12902</v>
      </c>
      <c r="V5145" t="s">
        <v>12902</v>
      </c>
      <c r="W5145" t="s">
        <v>17998</v>
      </c>
      <c r="X5145">
        <v>1</v>
      </c>
      <c r="Y5145" t="s">
        <v>24293</v>
      </c>
      <c r="Z5145" t="s">
        <v>30720</v>
      </c>
      <c r="AA5145">
        <v>0.63741521679726965</v>
      </c>
      <c r="AB5145" t="str">
        <f>HYPERLINK("Melting_Curves/meltCurve_Q99735_2_MGST2.pdf", "Melting_Curves/meltCurve_Q99735_2_MGST2.pdf")</f>
        <v>Melting_Curves/meltCurve_Q99735_2_MGST2.pdf</v>
      </c>
    </row>
    <row r="5146" spans="1:28" x14ac:dyDescent="0.25">
      <c r="A5146" t="s">
        <v>5150</v>
      </c>
      <c r="B5146">
        <v>0.99673306730245903</v>
      </c>
      <c r="C5146">
        <v>1.0081310352859501</v>
      </c>
      <c r="D5146">
        <v>0.60919083624878301</v>
      </c>
      <c r="E5146">
        <v>0.339801172360163</v>
      </c>
      <c r="F5146">
        <v>0.176686058171486</v>
      </c>
      <c r="G5146">
        <v>0.11784903847870699</v>
      </c>
      <c r="H5146">
        <v>8.5683955046301205E-2</v>
      </c>
      <c r="I5146">
        <v>8.9497415325957203E-2</v>
      </c>
      <c r="J5146">
        <v>0.112851488363064</v>
      </c>
      <c r="K5146">
        <v>0.11262114987996</v>
      </c>
      <c r="L5146">
        <v>1132.0974305427101</v>
      </c>
      <c r="M5146">
        <v>24.071359161335199</v>
      </c>
      <c r="N5146">
        <v>47.499833506881998</v>
      </c>
      <c r="O5146">
        <v>46.7099156768667</v>
      </c>
      <c r="P5146">
        <v>-0.115210790785233</v>
      </c>
      <c r="Q5146">
        <v>0.105758655516437</v>
      </c>
      <c r="R5146">
        <v>0.98865224181655897</v>
      </c>
      <c r="S5146" t="s">
        <v>11598</v>
      </c>
      <c r="T5146" t="s">
        <v>12902</v>
      </c>
      <c r="U5146" t="s">
        <v>12902</v>
      </c>
      <c r="V5146" t="s">
        <v>12902</v>
      </c>
      <c r="W5146" t="s">
        <v>17999</v>
      </c>
      <c r="X5146">
        <v>19</v>
      </c>
      <c r="Y5146" t="s">
        <v>24294</v>
      </c>
      <c r="Z5146" t="s">
        <v>30721</v>
      </c>
      <c r="AA5146">
        <v>0.32401018742387849</v>
      </c>
      <c r="AB5146" t="str">
        <f>HYPERLINK("Melting_Curves/meltCurve_Q99747_NAPG.pdf", "Melting_Curves/meltCurve_Q99747_NAPG.pdf")</f>
        <v>Melting_Curves/meltCurve_Q99747_NAPG.pdf</v>
      </c>
    </row>
    <row r="5147" spans="1:28" x14ac:dyDescent="0.25">
      <c r="A5147" t="s">
        <v>5151</v>
      </c>
      <c r="B5147">
        <v>0.99673306730245903</v>
      </c>
      <c r="C5147">
        <v>1.06762161459157</v>
      </c>
      <c r="D5147">
        <v>1.0602735593741499</v>
      </c>
      <c r="E5147">
        <v>0.919319460568228</v>
      </c>
      <c r="F5147">
        <v>0.81261631609020102</v>
      </c>
      <c r="G5147">
        <v>0.60378625259191598</v>
      </c>
      <c r="H5147">
        <v>0.44214157823570199</v>
      </c>
      <c r="I5147">
        <v>0.56312630877403802</v>
      </c>
      <c r="J5147">
        <v>0.78878112916644805</v>
      </c>
      <c r="K5147">
        <v>0.56477520565273198</v>
      </c>
      <c r="L5147">
        <v>2077.9966643686198</v>
      </c>
      <c r="M5147">
        <v>39.071891304091103</v>
      </c>
      <c r="O5147">
        <v>53.045184281846602</v>
      </c>
      <c r="P5147">
        <v>-7.5997954520093003E-2</v>
      </c>
      <c r="Q5147">
        <v>0.58729244480343301</v>
      </c>
      <c r="R5147">
        <v>0.83754837751509303</v>
      </c>
      <c r="S5147" t="s">
        <v>11599</v>
      </c>
      <c r="T5147" t="s">
        <v>12902</v>
      </c>
      <c r="U5147" t="s">
        <v>12902</v>
      </c>
      <c r="V5147" t="s">
        <v>12902</v>
      </c>
      <c r="W5147" t="s">
        <v>18000</v>
      </c>
      <c r="X5147">
        <v>4</v>
      </c>
      <c r="Y5147" t="s">
        <v>24295</v>
      </c>
      <c r="Z5147" t="s">
        <v>30722</v>
      </c>
      <c r="AA5147">
        <v>0.77025105412271111</v>
      </c>
      <c r="AB5147" t="str">
        <f>HYPERLINK("Melting_Curves/meltCurve_Q99757_TXN2.pdf", "Melting_Curves/meltCurve_Q99757_TXN2.pdf")</f>
        <v>Melting_Curves/meltCurve_Q99757_TXN2.pdf</v>
      </c>
    </row>
    <row r="5148" spans="1:28" x14ac:dyDescent="0.25">
      <c r="A5148" t="s">
        <v>5152</v>
      </c>
      <c r="B5148">
        <v>0.99673306730245903</v>
      </c>
      <c r="C5148">
        <v>1.03254699494184</v>
      </c>
      <c r="D5148">
        <v>0.96013680542454405</v>
      </c>
      <c r="E5148">
        <v>0.86494151176557299</v>
      </c>
      <c r="F5148">
        <v>0.45747639414369101</v>
      </c>
      <c r="G5148">
        <v>0.235770746063002</v>
      </c>
      <c r="H5148">
        <v>0.155405001498336</v>
      </c>
      <c r="I5148">
        <v>0.13552876093069599</v>
      </c>
      <c r="J5148">
        <v>8.7381661462824903E-2</v>
      </c>
      <c r="K5148">
        <v>6.7357239528956295E-2</v>
      </c>
      <c r="L5148">
        <v>1340.3366924971101</v>
      </c>
      <c r="M5148">
        <v>25.498251222266699</v>
      </c>
      <c r="N5148">
        <v>53.039313564105697</v>
      </c>
      <c r="O5148">
        <v>52.245703417250802</v>
      </c>
      <c r="P5148">
        <v>-0.109593432273213</v>
      </c>
      <c r="Q5148">
        <v>0.101787061324214</v>
      </c>
      <c r="R5148">
        <v>0.99611287452352604</v>
      </c>
      <c r="S5148" t="s">
        <v>11600</v>
      </c>
      <c r="T5148" t="s">
        <v>12902</v>
      </c>
      <c r="U5148" t="s">
        <v>12902</v>
      </c>
      <c r="V5148" t="s">
        <v>12902</v>
      </c>
      <c r="W5148" t="s">
        <v>18001</v>
      </c>
      <c r="X5148">
        <v>7</v>
      </c>
      <c r="Y5148" t="s">
        <v>24296</v>
      </c>
      <c r="Z5148" t="s">
        <v>30723</v>
      </c>
      <c r="AA5148">
        <v>0.48595167873792489</v>
      </c>
      <c r="AB5148" t="str">
        <f>HYPERLINK("Melting_Curves/meltCurve_Q99766_ATP5S.pdf", "Melting_Curves/meltCurve_Q99766_ATP5S.pdf")</f>
        <v>Melting_Curves/meltCurve_Q99766_ATP5S.pdf</v>
      </c>
    </row>
    <row r="5149" spans="1:28" x14ac:dyDescent="0.25">
      <c r="A5149" t="s">
        <v>5153</v>
      </c>
      <c r="B5149">
        <v>0.99673306730245903</v>
      </c>
      <c r="C5149">
        <v>0.92338036651644495</v>
      </c>
      <c r="D5149">
        <v>0.87785898598002199</v>
      </c>
      <c r="E5149">
        <v>0.79610142759261604</v>
      </c>
      <c r="F5149">
        <v>0.25291762797327499</v>
      </c>
      <c r="G5149">
        <v>0.148852427846979</v>
      </c>
      <c r="H5149">
        <v>8.6486129847210505E-2</v>
      </c>
      <c r="I5149">
        <v>7.7807918110609595E-2</v>
      </c>
      <c r="J5149">
        <v>7.8910169165786803E-2</v>
      </c>
      <c r="K5149">
        <v>7.1051976372082506E-2</v>
      </c>
      <c r="L5149">
        <v>1703.05725756519</v>
      </c>
      <c r="M5149">
        <v>33.2795879495214</v>
      </c>
      <c r="N5149">
        <v>51.447725204892699</v>
      </c>
      <c r="O5149">
        <v>50.990514579832102</v>
      </c>
      <c r="P5149">
        <v>-0.14993770445062801</v>
      </c>
      <c r="Q5149">
        <v>8.1074290481226594E-2</v>
      </c>
      <c r="R5149">
        <v>0.98723736852223398</v>
      </c>
      <c r="S5149" t="s">
        <v>11601</v>
      </c>
      <c r="T5149" t="s">
        <v>12902</v>
      </c>
      <c r="U5149" t="s">
        <v>12902</v>
      </c>
      <c r="V5149" t="s">
        <v>12902</v>
      </c>
      <c r="W5149" t="s">
        <v>18002</v>
      </c>
      <c r="X5149">
        <v>26</v>
      </c>
      <c r="Y5149" t="s">
        <v>24297</v>
      </c>
      <c r="Z5149" t="s">
        <v>30724</v>
      </c>
      <c r="AA5149">
        <v>0.42805655085107408</v>
      </c>
      <c r="AB5149" t="str">
        <f>HYPERLINK("Melting_Curves/meltCurve_Q99797_MIPEP.pdf", "Melting_Curves/meltCurve_Q99797_MIPEP.pdf")</f>
        <v>Melting_Curves/meltCurve_Q99797_MIPEP.pdf</v>
      </c>
    </row>
    <row r="5150" spans="1:28" x14ac:dyDescent="0.25">
      <c r="A5150" t="s">
        <v>5154</v>
      </c>
      <c r="B5150">
        <v>0.99673306730245903</v>
      </c>
      <c r="C5150">
        <v>0.90590008787001897</v>
      </c>
      <c r="D5150">
        <v>0.92731647030740305</v>
      </c>
      <c r="E5150">
        <v>0.73974834189969496</v>
      </c>
      <c r="F5150">
        <v>0.48597478746735501</v>
      </c>
      <c r="G5150">
        <v>0.28441600549127199</v>
      </c>
      <c r="H5150">
        <v>0.177079233992469</v>
      </c>
      <c r="I5150">
        <v>0.13360064925842999</v>
      </c>
      <c r="J5150">
        <v>0.114101137974124</v>
      </c>
      <c r="K5150">
        <v>9.5919952671665906E-2</v>
      </c>
      <c r="L5150">
        <v>818.78495534644605</v>
      </c>
      <c r="M5150">
        <v>15.619618061395499</v>
      </c>
      <c r="N5150">
        <v>53.0148474080084</v>
      </c>
      <c r="O5150">
        <v>51.583616499443302</v>
      </c>
      <c r="P5150">
        <v>-6.9624433211952899E-2</v>
      </c>
      <c r="Q5150">
        <v>8.0343583023280901E-2</v>
      </c>
      <c r="R5150">
        <v>0.99599642980835401</v>
      </c>
      <c r="S5150" t="s">
        <v>11602</v>
      </c>
      <c r="T5150" t="s">
        <v>12902</v>
      </c>
      <c r="U5150" t="s">
        <v>12902</v>
      </c>
      <c r="V5150" t="s">
        <v>12902</v>
      </c>
      <c r="W5150" t="s">
        <v>18003</v>
      </c>
      <c r="X5150">
        <v>11</v>
      </c>
      <c r="Y5150" t="s">
        <v>24298</v>
      </c>
      <c r="Z5150" t="s">
        <v>30725</v>
      </c>
      <c r="AA5150">
        <v>0.48015200578459039</v>
      </c>
      <c r="AB5150" t="str">
        <f>HYPERLINK("Melting_Curves/meltCurve_Q99805_TM9SF2.pdf", "Melting_Curves/meltCurve_Q99805_TM9SF2.pdf")</f>
        <v>Melting_Curves/meltCurve_Q99805_TM9SF2.pdf</v>
      </c>
    </row>
    <row r="5151" spans="1:28" x14ac:dyDescent="0.25">
      <c r="A5151" t="s">
        <v>5155</v>
      </c>
      <c r="B5151">
        <v>0.99673306730245903</v>
      </c>
      <c r="C5151">
        <v>0.93392092443429198</v>
      </c>
      <c r="D5151">
        <v>1.0908401451646701</v>
      </c>
      <c r="E5151">
        <v>0.86090959543015599</v>
      </c>
      <c r="F5151">
        <v>0.660899718222835</v>
      </c>
      <c r="G5151">
        <v>0.56945978480780202</v>
      </c>
      <c r="H5151">
        <v>0.475673591463951</v>
      </c>
      <c r="I5151">
        <v>0.633240982514786</v>
      </c>
      <c r="J5151">
        <v>0.74581013588004796</v>
      </c>
      <c r="K5151">
        <v>0.568742228315405</v>
      </c>
      <c r="L5151">
        <v>2267.2338163292102</v>
      </c>
      <c r="M5151">
        <v>44.940702437459002</v>
      </c>
      <c r="O5151">
        <v>50.349864388884399</v>
      </c>
      <c r="P5151">
        <v>-8.8857648754780194E-2</v>
      </c>
      <c r="Q5151">
        <v>0.60178951440831496</v>
      </c>
      <c r="R5151">
        <v>0.85913758869517298</v>
      </c>
      <c r="S5151" t="s">
        <v>11603</v>
      </c>
      <c r="T5151" t="s">
        <v>12902</v>
      </c>
      <c r="U5151" t="s">
        <v>12902</v>
      </c>
      <c r="V5151" t="s">
        <v>12902</v>
      </c>
      <c r="W5151" t="s">
        <v>18004</v>
      </c>
      <c r="X5151">
        <v>3</v>
      </c>
      <c r="Y5151" t="s">
        <v>24299</v>
      </c>
      <c r="Z5151" t="s">
        <v>30726</v>
      </c>
      <c r="AA5151">
        <v>0.74159057693861807</v>
      </c>
      <c r="AB5151" t="str">
        <f>HYPERLINK("Melting_Curves/meltCurve_Q99808_SLC29A1.pdf", "Melting_Curves/meltCurve_Q99808_SLC29A1.pdf")</f>
        <v>Melting_Curves/meltCurve_Q99808_SLC29A1.pdf</v>
      </c>
    </row>
    <row r="5152" spans="1:28" x14ac:dyDescent="0.25">
      <c r="A5152" t="s">
        <v>5156</v>
      </c>
      <c r="B5152">
        <v>0.99673306730245903</v>
      </c>
      <c r="C5152">
        <v>1.0316815725220301</v>
      </c>
      <c r="D5152">
        <v>0.63562923938593896</v>
      </c>
      <c r="E5152">
        <v>0.58442580283845202</v>
      </c>
      <c r="F5152">
        <v>0.20020899842510201</v>
      </c>
      <c r="G5152">
        <v>0.115043863878053</v>
      </c>
      <c r="H5152">
        <v>6.4205072897604798E-2</v>
      </c>
      <c r="I5152">
        <v>5.6417174805549003E-2</v>
      </c>
      <c r="J5152">
        <v>4.7947671487427901E-2</v>
      </c>
      <c r="K5152">
        <v>4.3997868958467697E-2</v>
      </c>
      <c r="L5152">
        <v>824.02280629782797</v>
      </c>
      <c r="M5152">
        <v>16.742236319931301</v>
      </c>
      <c r="N5152">
        <v>49.405002235072203</v>
      </c>
      <c r="O5152">
        <v>48.5321111426695</v>
      </c>
      <c r="P5152">
        <v>-8.3603521166523601E-2</v>
      </c>
      <c r="Q5152">
        <v>3.06698353873932E-2</v>
      </c>
      <c r="R5152">
        <v>0.970557760174105</v>
      </c>
      <c r="S5152" t="s">
        <v>11604</v>
      </c>
      <c r="T5152" t="s">
        <v>12902</v>
      </c>
      <c r="U5152" t="s">
        <v>12902</v>
      </c>
      <c r="V5152" t="s">
        <v>12902</v>
      </c>
      <c r="W5152" t="s">
        <v>18005</v>
      </c>
      <c r="X5152">
        <v>8</v>
      </c>
      <c r="Y5152" t="s">
        <v>24300</v>
      </c>
      <c r="Z5152" t="s">
        <v>30727</v>
      </c>
      <c r="AA5152">
        <v>0.34778631332546889</v>
      </c>
      <c r="AB5152" t="str">
        <f>HYPERLINK("Melting_Curves/meltCurve_Q99816_TSG101.pdf", "Melting_Curves/meltCurve_Q99816_TSG101.pdf")</f>
        <v>Melting_Curves/meltCurve_Q99816_TSG101.pdf</v>
      </c>
    </row>
    <row r="5153" spans="1:28" x14ac:dyDescent="0.25">
      <c r="A5153" t="s">
        <v>5157</v>
      </c>
      <c r="B5153">
        <v>0.99673306730245903</v>
      </c>
      <c r="C5153">
        <v>0.98364055115371296</v>
      </c>
      <c r="D5153">
        <v>0.88269064207042802</v>
      </c>
      <c r="E5153">
        <v>0.693834607245844</v>
      </c>
      <c r="F5153">
        <v>0.54089551808798897</v>
      </c>
      <c r="G5153">
        <v>0.43828859016396499</v>
      </c>
      <c r="H5153">
        <v>0.250249265982467</v>
      </c>
      <c r="I5153">
        <v>0.31089666476078698</v>
      </c>
      <c r="J5153">
        <v>0.22412947135786199</v>
      </c>
      <c r="K5153">
        <v>0.136640697337883</v>
      </c>
      <c r="L5153">
        <v>614.94545062372697</v>
      </c>
      <c r="M5153">
        <v>11.641313737972601</v>
      </c>
      <c r="N5153">
        <v>54.387236262072797</v>
      </c>
      <c r="O5153">
        <v>51.337844799450799</v>
      </c>
      <c r="P5153">
        <v>-4.8644021546568599E-2</v>
      </c>
      <c r="Q5153">
        <v>0.142157864444763</v>
      </c>
      <c r="R5153">
        <v>0.985399953161886</v>
      </c>
      <c r="S5153" t="s">
        <v>11605</v>
      </c>
      <c r="T5153" t="s">
        <v>12902</v>
      </c>
      <c r="U5153" t="s">
        <v>12902</v>
      </c>
      <c r="V5153" t="s">
        <v>12902</v>
      </c>
      <c r="W5153" t="s">
        <v>18006</v>
      </c>
      <c r="X5153">
        <v>1</v>
      </c>
      <c r="Y5153" t="s">
        <v>24301</v>
      </c>
      <c r="Z5153" t="s">
        <v>30728</v>
      </c>
      <c r="AA5153">
        <v>0.53448775132657844</v>
      </c>
      <c r="AB5153" t="str">
        <f>HYPERLINK("Melting_Curves/meltCurve_Q99828_CIB1.pdf", "Melting_Curves/meltCurve_Q99828_CIB1.pdf")</f>
        <v>Melting_Curves/meltCurve_Q99828_CIB1.pdf</v>
      </c>
    </row>
    <row r="5154" spans="1:28" x14ac:dyDescent="0.25">
      <c r="A5154" t="s">
        <v>5158</v>
      </c>
      <c r="B5154">
        <v>0.99673306730245903</v>
      </c>
      <c r="C5154">
        <v>1.0418026391630799</v>
      </c>
      <c r="D5154">
        <v>0.69150260955653198</v>
      </c>
      <c r="E5154">
        <v>0.81572972896176899</v>
      </c>
      <c r="F5154">
        <v>0.27005999928748697</v>
      </c>
      <c r="G5154">
        <v>0.117674811671502</v>
      </c>
      <c r="H5154">
        <v>6.4434548116008794E-2</v>
      </c>
      <c r="I5154">
        <v>5.5616738770960197E-2</v>
      </c>
      <c r="J5154">
        <v>4.6560319092252E-2</v>
      </c>
      <c r="K5154">
        <v>4.0081973065935902E-2</v>
      </c>
      <c r="L5154">
        <v>1022.03430718146</v>
      </c>
      <c r="M5154">
        <v>19.964586053051899</v>
      </c>
      <c r="N5154">
        <v>51.324393668042902</v>
      </c>
      <c r="O5154">
        <v>50.687049396252299</v>
      </c>
      <c r="P5154">
        <v>-9.6008200321220497E-2</v>
      </c>
      <c r="Q5154">
        <v>2.5031024250101699E-2</v>
      </c>
      <c r="R5154">
        <v>0.95068087990967898</v>
      </c>
      <c r="S5154" t="s">
        <v>11606</v>
      </c>
      <c r="T5154" t="s">
        <v>12902</v>
      </c>
      <c r="U5154" t="s">
        <v>12902</v>
      </c>
      <c r="V5154" t="s">
        <v>12902</v>
      </c>
      <c r="W5154" t="s">
        <v>18007</v>
      </c>
      <c r="X5154">
        <v>21</v>
      </c>
      <c r="Y5154" t="s">
        <v>24302</v>
      </c>
      <c r="Z5154" t="s">
        <v>30729</v>
      </c>
      <c r="AA5154">
        <v>0.40234333106532588</v>
      </c>
      <c r="AB5154" t="str">
        <f>HYPERLINK("Melting_Curves/meltCurve_Q99829_CPNE1.pdf", "Melting_Curves/meltCurve_Q99829_CPNE1.pdf")</f>
        <v>Melting_Curves/meltCurve_Q99829_CPNE1.pdf</v>
      </c>
    </row>
    <row r="5155" spans="1:28" x14ac:dyDescent="0.25">
      <c r="A5155" t="s">
        <v>5159</v>
      </c>
      <c r="B5155">
        <v>0.99673306730245903</v>
      </c>
      <c r="C5155">
        <v>1.05745053938697</v>
      </c>
      <c r="D5155">
        <v>1.12805435041197</v>
      </c>
      <c r="E5155">
        <v>1.32388664687684</v>
      </c>
      <c r="F5155">
        <v>1.38840692062421</v>
      </c>
      <c r="G5155">
        <v>1.43190416911676</v>
      </c>
      <c r="H5155">
        <v>0.97744633585137797</v>
      </c>
      <c r="I5155">
        <v>0.37226636517940598</v>
      </c>
      <c r="J5155">
        <v>0.12769889881745999</v>
      </c>
      <c r="K5155">
        <v>0.106475106267703</v>
      </c>
      <c r="L5155">
        <v>5506.3588713880599</v>
      </c>
      <c r="M5155">
        <v>86.920730445425093</v>
      </c>
      <c r="N5155">
        <v>63.5372445068624</v>
      </c>
      <c r="O5155">
        <v>63.315690452446297</v>
      </c>
      <c r="P5155">
        <v>-0.30428019581655802</v>
      </c>
      <c r="Q5155">
        <v>0.113412453119836</v>
      </c>
      <c r="R5155">
        <v>0.79881216986199799</v>
      </c>
      <c r="S5155" t="s">
        <v>11607</v>
      </c>
      <c r="T5155" t="s">
        <v>12902</v>
      </c>
      <c r="U5155" t="s">
        <v>12902</v>
      </c>
      <c r="V5155" t="s">
        <v>12902</v>
      </c>
      <c r="W5155" t="s">
        <v>18008</v>
      </c>
      <c r="X5155">
        <v>42</v>
      </c>
      <c r="Y5155" t="s">
        <v>24303</v>
      </c>
      <c r="Z5155" t="s">
        <v>30730</v>
      </c>
      <c r="AA5155">
        <v>0.80425921917539511</v>
      </c>
      <c r="AB5155" t="str">
        <f>HYPERLINK("Melting_Curves/meltCurve_Q99832_CCT7.pdf", "Melting_Curves/meltCurve_Q99832_CCT7.pdf")</f>
        <v>Melting_Curves/meltCurve_Q99832_CCT7.pdf</v>
      </c>
    </row>
    <row r="5156" spans="1:28" x14ac:dyDescent="0.25">
      <c r="A5156" t="s">
        <v>5160</v>
      </c>
      <c r="B5156">
        <v>0.99673306730245903</v>
      </c>
      <c r="C5156">
        <v>0.95898309554689398</v>
      </c>
      <c r="D5156">
        <v>0.90383628328156496</v>
      </c>
      <c r="E5156">
        <v>0.90868401201913096</v>
      </c>
      <c r="F5156">
        <v>0.90299270228566697</v>
      </c>
      <c r="G5156">
        <v>0.95321688310524899</v>
      </c>
      <c r="H5156">
        <v>1.1084886014589601</v>
      </c>
      <c r="I5156">
        <v>1.80923256027208</v>
      </c>
      <c r="J5156">
        <v>2.2932035797555601</v>
      </c>
      <c r="K5156">
        <v>2.5134134992481298</v>
      </c>
      <c r="L5156">
        <v>15000</v>
      </c>
      <c r="M5156">
        <v>245.42749623831301</v>
      </c>
      <c r="O5156">
        <v>61.113788137205297</v>
      </c>
      <c r="P5156">
        <v>0.50198879851059597</v>
      </c>
      <c r="Q5156">
        <v>1.5</v>
      </c>
      <c r="R5156">
        <v>0.496254756445139</v>
      </c>
      <c r="S5156" t="s">
        <v>11608</v>
      </c>
      <c r="T5156" t="s">
        <v>12902</v>
      </c>
      <c r="U5156" t="s">
        <v>12902</v>
      </c>
      <c r="V5156" t="s">
        <v>12902</v>
      </c>
      <c r="W5156" t="s">
        <v>18009</v>
      </c>
      <c r="X5156">
        <v>5</v>
      </c>
      <c r="Y5156" t="s">
        <v>24304</v>
      </c>
      <c r="Z5156" t="s">
        <v>30731</v>
      </c>
      <c r="AA5156">
        <v>1.1479802466511271</v>
      </c>
      <c r="AB5156" t="str">
        <f>HYPERLINK("Melting_Curves/meltCurve_Q99878_HIST1H2AJ.pdf", "Melting_Curves/meltCurve_Q99878_HIST1H2AJ.pdf")</f>
        <v>Melting_Curves/meltCurve_Q99878_HIST1H2AJ.pdf</v>
      </c>
    </row>
    <row r="5157" spans="1:28" x14ac:dyDescent="0.25">
      <c r="A5157" t="s">
        <v>5161</v>
      </c>
      <c r="B5157">
        <v>0.99673306730245903</v>
      </c>
      <c r="C5157">
        <v>0.85316072835744305</v>
      </c>
      <c r="D5157">
        <v>0.72171881511976199</v>
      </c>
      <c r="E5157">
        <v>0.395509155933019</v>
      </c>
      <c r="F5157">
        <v>0.23531109548879101</v>
      </c>
      <c r="G5157">
        <v>0.174949842677871</v>
      </c>
      <c r="H5157">
        <v>0.14756500897522801</v>
      </c>
      <c r="I5157">
        <v>0.167198638528123</v>
      </c>
      <c r="J5157">
        <v>0.23736120200597999</v>
      </c>
      <c r="K5157">
        <v>0.25879487108488902</v>
      </c>
      <c r="L5157">
        <v>1006.20246920191</v>
      </c>
      <c r="M5157">
        <v>21.3849269707354</v>
      </c>
      <c r="N5157">
        <v>48.124212718074702</v>
      </c>
      <c r="O5157">
        <v>46.646298827326703</v>
      </c>
      <c r="P5157">
        <v>-9.2893679269047E-2</v>
      </c>
      <c r="Q5157">
        <v>0.18951547275344899</v>
      </c>
      <c r="R5157">
        <v>0.98274242290317004</v>
      </c>
      <c r="S5157" t="s">
        <v>11609</v>
      </c>
      <c r="T5157" t="s">
        <v>12902</v>
      </c>
      <c r="U5157" t="s">
        <v>12902</v>
      </c>
      <c r="V5157" t="s">
        <v>12902</v>
      </c>
      <c r="W5157" t="s">
        <v>18010</v>
      </c>
      <c r="X5157">
        <v>6</v>
      </c>
      <c r="Y5157" t="s">
        <v>24305</v>
      </c>
      <c r="Z5157" t="s">
        <v>30732</v>
      </c>
      <c r="AA5157">
        <v>0.39024329138267172</v>
      </c>
      <c r="AB5157" t="str">
        <f>HYPERLINK("Melting_Curves/meltCurve_Q99959_2_PKP2.pdf", "Melting_Curves/meltCurve_Q99959_2_PKP2.pdf")</f>
        <v>Melting_Curves/meltCurve_Q99959_2_PKP2.pdf</v>
      </c>
    </row>
    <row r="5158" spans="1:28" x14ac:dyDescent="0.25">
      <c r="A5158" t="s">
        <v>5162</v>
      </c>
      <c r="B5158">
        <v>0.99673306730245903</v>
      </c>
      <c r="C5158">
        <v>0.93734863322666195</v>
      </c>
      <c r="D5158">
        <v>0.66541831725724598</v>
      </c>
      <c r="E5158">
        <v>0.32103706173112401</v>
      </c>
      <c r="F5158">
        <v>0.16609285207465499</v>
      </c>
      <c r="G5158">
        <v>0.109672707316715</v>
      </c>
      <c r="H5158">
        <v>7.0011808049673704E-2</v>
      </c>
      <c r="I5158">
        <v>6.8292111271596997E-2</v>
      </c>
      <c r="J5158">
        <v>7.9643891622313001E-2</v>
      </c>
      <c r="K5158">
        <v>9.4202638134492506E-2</v>
      </c>
      <c r="L5158">
        <v>1059.66882655413</v>
      </c>
      <c r="M5158">
        <v>22.4078108915588</v>
      </c>
      <c r="N5158">
        <v>47.662912517112403</v>
      </c>
      <c r="O5158">
        <v>46.918349188323397</v>
      </c>
      <c r="P5158">
        <v>-0.109803209630552</v>
      </c>
      <c r="Q5158">
        <v>8.0378101260717497E-2</v>
      </c>
      <c r="R5158">
        <v>0.99856038762787103</v>
      </c>
      <c r="S5158" t="s">
        <v>11610</v>
      </c>
      <c r="T5158" t="s">
        <v>12902</v>
      </c>
      <c r="U5158" t="s">
        <v>12902</v>
      </c>
      <c r="V5158" t="s">
        <v>12902</v>
      </c>
      <c r="W5158" t="s">
        <v>18011</v>
      </c>
      <c r="X5158">
        <v>17</v>
      </c>
      <c r="Y5158" t="s">
        <v>24306</v>
      </c>
      <c r="Z5158" t="s">
        <v>30733</v>
      </c>
      <c r="AA5158">
        <v>0.31423383834013568</v>
      </c>
      <c r="AB5158" t="str">
        <f>HYPERLINK("Melting_Curves/meltCurve_Q99961_SH3GL1.pdf", "Melting_Curves/meltCurve_Q99961_SH3GL1.pdf")</f>
        <v>Melting_Curves/meltCurve_Q99961_SH3GL1.pdf</v>
      </c>
    </row>
    <row r="5159" spans="1:28" x14ac:dyDescent="0.25">
      <c r="A5159" t="s">
        <v>5163</v>
      </c>
      <c r="B5159">
        <v>0.99673306730245903</v>
      </c>
      <c r="C5159">
        <v>1.04229902802023</v>
      </c>
      <c r="D5159">
        <v>0.39535209928695397</v>
      </c>
      <c r="E5159">
        <v>0.39358868449936502</v>
      </c>
      <c r="F5159">
        <v>0.128445830036933</v>
      </c>
      <c r="G5159">
        <v>8.0383340483382304E-2</v>
      </c>
      <c r="H5159">
        <v>5.8024856975984397E-2</v>
      </c>
      <c r="I5159">
        <v>4.9551375239297001E-2</v>
      </c>
      <c r="J5159">
        <v>4.2973003651884702E-2</v>
      </c>
      <c r="K5159">
        <v>3.3734978209453099E-2</v>
      </c>
      <c r="L5159">
        <v>990.702415124455</v>
      </c>
      <c r="M5159">
        <v>21.313851692736101</v>
      </c>
      <c r="N5159">
        <v>46.759126403297401</v>
      </c>
      <c r="O5159">
        <v>46.078256350341498</v>
      </c>
      <c r="P5159">
        <v>-0.108772116844915</v>
      </c>
      <c r="Q5159">
        <v>5.9409388853695601E-2</v>
      </c>
      <c r="R5159">
        <v>0.93659505766238704</v>
      </c>
      <c r="S5159" t="s">
        <v>11611</v>
      </c>
      <c r="T5159" t="s">
        <v>12902</v>
      </c>
      <c r="U5159" t="s">
        <v>12902</v>
      </c>
      <c r="V5159" t="s">
        <v>12902</v>
      </c>
      <c r="W5159" t="s">
        <v>18012</v>
      </c>
      <c r="X5159">
        <v>12</v>
      </c>
      <c r="Y5159" t="s">
        <v>24307</v>
      </c>
      <c r="Z5159" t="s">
        <v>30734</v>
      </c>
      <c r="AA5159">
        <v>0.2748476538682893</v>
      </c>
      <c r="AB5159" t="str">
        <f>HYPERLINK("Melting_Curves/meltCurve_Q99986_VRK1.pdf", "Melting_Curves/meltCurve_Q99986_VRK1.pdf")</f>
        <v>Melting_Curves/meltCurve_Q99986_VRK1.pdf</v>
      </c>
    </row>
    <row r="5160" spans="1:28" x14ac:dyDescent="0.25">
      <c r="A5160" t="s">
        <v>5164</v>
      </c>
      <c r="B5160">
        <v>0.99673306730245903</v>
      </c>
      <c r="C5160">
        <v>0.98863318489674201</v>
      </c>
      <c r="D5160">
        <v>0.97640915712064802</v>
      </c>
      <c r="E5160">
        <v>0.85520598089206901</v>
      </c>
      <c r="F5160">
        <v>0.90534922819834496</v>
      </c>
      <c r="G5160">
        <v>0.46165399945763702</v>
      </c>
      <c r="H5160">
        <v>0.34897023235885599</v>
      </c>
      <c r="I5160">
        <v>0.36321467198450502</v>
      </c>
      <c r="J5160">
        <v>0.47312592348801702</v>
      </c>
      <c r="K5160">
        <v>0.44147103887121403</v>
      </c>
      <c r="L5160">
        <v>3241.66820855988</v>
      </c>
      <c r="M5160">
        <v>59.322985646554201</v>
      </c>
      <c r="N5160">
        <v>56.230437184702502</v>
      </c>
      <c r="O5160">
        <v>54.582395144624101</v>
      </c>
      <c r="P5160">
        <v>-0.16134725574429101</v>
      </c>
      <c r="Q5160">
        <v>0.40618525662570998</v>
      </c>
      <c r="R5160">
        <v>0.95528450869035397</v>
      </c>
      <c r="S5160" t="s">
        <v>11612</v>
      </c>
      <c r="T5160" t="s">
        <v>12902</v>
      </c>
      <c r="U5160" t="s">
        <v>12902</v>
      </c>
      <c r="V5160" t="s">
        <v>12902</v>
      </c>
      <c r="W5160" t="s">
        <v>18013</v>
      </c>
      <c r="X5160">
        <v>6</v>
      </c>
      <c r="Y5160" t="s">
        <v>24308</v>
      </c>
      <c r="Z5160" t="s">
        <v>30735</v>
      </c>
      <c r="AA5160">
        <v>0.69706876233282888</v>
      </c>
      <c r="AB5160" t="str">
        <f>HYPERLINK("Melting_Curves/meltCurve_Q99988_GDF15.pdf", "Melting_Curves/meltCurve_Q99988_GDF15.pdf")</f>
        <v>Melting_Curves/meltCurve_Q99988_GDF15.pdf</v>
      </c>
    </row>
    <row r="5161" spans="1:28" x14ac:dyDescent="0.25">
      <c r="A5161" t="s">
        <v>5165</v>
      </c>
      <c r="B5161">
        <v>0.99673306730245903</v>
      </c>
      <c r="C5161">
        <v>0.74383231279885398</v>
      </c>
      <c r="D5161">
        <v>0.69374410973249101</v>
      </c>
      <c r="E5161">
        <v>0.45710695837585502</v>
      </c>
      <c r="F5161">
        <v>0.35568792618678202</v>
      </c>
      <c r="G5161">
        <v>0.29682838006606399</v>
      </c>
      <c r="H5161">
        <v>0.26949798183955898</v>
      </c>
      <c r="I5161">
        <v>0.344515785701758</v>
      </c>
      <c r="J5161">
        <v>0.47274755817249903</v>
      </c>
      <c r="K5161">
        <v>0.46317729110750999</v>
      </c>
      <c r="L5161">
        <v>859.76252838884204</v>
      </c>
      <c r="M5161">
        <v>19.055752600706501</v>
      </c>
      <c r="N5161">
        <v>48.390643475998601</v>
      </c>
      <c r="O5161">
        <v>44.630202986248499</v>
      </c>
      <c r="P5161">
        <v>-6.8085502146217197E-2</v>
      </c>
      <c r="Q5161">
        <v>0.36217691437968502</v>
      </c>
      <c r="R5161">
        <v>0.88973355459852799</v>
      </c>
      <c r="S5161" t="s">
        <v>11613</v>
      </c>
      <c r="T5161" t="s">
        <v>12902</v>
      </c>
      <c r="U5161" t="s">
        <v>12902</v>
      </c>
      <c r="V5161" t="s">
        <v>12902</v>
      </c>
      <c r="W5161" t="s">
        <v>18014</v>
      </c>
      <c r="X5161">
        <v>3</v>
      </c>
      <c r="Y5161" t="s">
        <v>24309</v>
      </c>
      <c r="Z5161" t="s">
        <v>30736</v>
      </c>
      <c r="AA5161">
        <v>0.48291618178393497</v>
      </c>
      <c r="AB5161" t="str">
        <f>HYPERLINK("Melting_Curves/meltCurve_Q99996_5_AKAP9.pdf", "Melting_Curves/meltCurve_Q99996_5_AKAP9.pdf")</f>
        <v>Melting_Curves/meltCurve_Q99996_5_AKAP9.pdf</v>
      </c>
    </row>
    <row r="5162" spans="1:28" x14ac:dyDescent="0.25">
      <c r="A5162" t="s">
        <v>5166</v>
      </c>
      <c r="B5162">
        <v>0.99673306730245903</v>
      </c>
      <c r="C5162">
        <v>0.97644856678564096</v>
      </c>
      <c r="D5162">
        <v>1.02002513150223</v>
      </c>
      <c r="E5162">
        <v>1.05327726970597</v>
      </c>
      <c r="F5162">
        <v>0.84449087882742802</v>
      </c>
      <c r="G5162">
        <v>0.64415811997487804</v>
      </c>
      <c r="H5162">
        <v>0.15533613988578601</v>
      </c>
      <c r="I5162">
        <v>0.116328622381579</v>
      </c>
      <c r="J5162">
        <v>0.11643998410461399</v>
      </c>
      <c r="K5162">
        <v>9.3418658433958607E-2</v>
      </c>
      <c r="L5162">
        <v>1833.1746362818899</v>
      </c>
      <c r="M5162">
        <v>32.0277251911264</v>
      </c>
      <c r="N5162">
        <v>57.571545156984001</v>
      </c>
      <c r="O5162">
        <v>57.015360585113001</v>
      </c>
      <c r="P5162">
        <v>-0.12851416816369499</v>
      </c>
      <c r="Q5162">
        <v>8.4887257710506397E-2</v>
      </c>
      <c r="R5162">
        <v>0.99010752237784805</v>
      </c>
      <c r="S5162" t="s">
        <v>11614</v>
      </c>
      <c r="T5162" t="s">
        <v>12902</v>
      </c>
      <c r="U5162" t="s">
        <v>12902</v>
      </c>
      <c r="V5162" t="s">
        <v>12902</v>
      </c>
      <c r="W5162" t="s">
        <v>18015</v>
      </c>
      <c r="X5162">
        <v>21</v>
      </c>
      <c r="Y5162" t="s">
        <v>24310</v>
      </c>
      <c r="Z5162" t="s">
        <v>30737</v>
      </c>
      <c r="AA5162">
        <v>0.61610405788325429</v>
      </c>
      <c r="AB5162" t="str">
        <f>HYPERLINK("Melting_Curves/meltCurve_Q9BPW8_NIPSNAP1.pdf", "Melting_Curves/meltCurve_Q9BPW8_NIPSNAP1.pdf")</f>
        <v>Melting_Curves/meltCurve_Q9BPW8_NIPSNAP1.pdf</v>
      </c>
    </row>
    <row r="5163" spans="1:28" x14ac:dyDescent="0.25">
      <c r="A5163" t="s">
        <v>5167</v>
      </c>
      <c r="B5163">
        <v>0.99673306730245903</v>
      </c>
      <c r="C5163">
        <v>0.92206211056351794</v>
      </c>
      <c r="D5163">
        <v>0.78755092068247901</v>
      </c>
      <c r="E5163">
        <v>0.26992092124516398</v>
      </c>
      <c r="F5163">
        <v>0.18393420033427699</v>
      </c>
      <c r="G5163">
        <v>0.12077925943489801</v>
      </c>
      <c r="H5163">
        <v>7.6448982706076696E-2</v>
      </c>
      <c r="I5163">
        <v>6.9493927514132595E-2</v>
      </c>
      <c r="J5163">
        <v>6.5498640815239206E-2</v>
      </c>
      <c r="K5163">
        <v>5.3903556076955302E-2</v>
      </c>
      <c r="L5163">
        <v>1351.2085587445299</v>
      </c>
      <c r="M5163">
        <v>28.349979490998098</v>
      </c>
      <c r="N5163">
        <v>47.960474989650997</v>
      </c>
      <c r="O5163">
        <v>47.426468914057899</v>
      </c>
      <c r="P5163">
        <v>-0.137346494504716</v>
      </c>
      <c r="Q5163">
        <v>8.0944053412804695E-2</v>
      </c>
      <c r="R5163">
        <v>0.99298036304010295</v>
      </c>
      <c r="S5163" t="s">
        <v>11615</v>
      </c>
      <c r="T5163" t="s">
        <v>12902</v>
      </c>
      <c r="U5163" t="s">
        <v>12902</v>
      </c>
      <c r="V5163" t="s">
        <v>12902</v>
      </c>
      <c r="W5163" t="s">
        <v>18016</v>
      </c>
      <c r="X5163">
        <v>12</v>
      </c>
      <c r="Y5163" t="s">
        <v>24311</v>
      </c>
      <c r="Z5163" t="s">
        <v>30738</v>
      </c>
      <c r="AA5163">
        <v>0.32188116501469621</v>
      </c>
      <c r="AB5163" t="str">
        <f>HYPERLINK("Melting_Curves/meltCurve_Q9BPX3_NCAPG.pdf", "Melting_Curves/meltCurve_Q9BPX3_NCAPG.pdf")</f>
        <v>Melting_Curves/meltCurve_Q9BPX3_NCAPG.pdf</v>
      </c>
    </row>
    <row r="5164" spans="1:28" x14ac:dyDescent="0.25">
      <c r="A5164" t="s">
        <v>5168</v>
      </c>
      <c r="B5164">
        <v>0.99673306730245903</v>
      </c>
      <c r="C5164">
        <v>0.97818203764035405</v>
      </c>
      <c r="D5164">
        <v>1.0163067066298399</v>
      </c>
      <c r="E5164">
        <v>1.08972323446896</v>
      </c>
      <c r="F5164">
        <v>0.98905092855679599</v>
      </c>
      <c r="G5164">
        <v>0.95767705663311198</v>
      </c>
      <c r="H5164">
        <v>0.650904001816203</v>
      </c>
      <c r="I5164">
        <v>0.42603467327939398</v>
      </c>
      <c r="J5164">
        <v>0.24306780108041301</v>
      </c>
      <c r="K5164">
        <v>0.21278580266733699</v>
      </c>
      <c r="L5164">
        <v>1740.4450629811399</v>
      </c>
      <c r="M5164">
        <v>28.210921077296799</v>
      </c>
      <c r="N5164">
        <v>62.703120026865498</v>
      </c>
      <c r="O5164">
        <v>61.386520441480897</v>
      </c>
      <c r="P5164">
        <v>-9.3928053780770807E-2</v>
      </c>
      <c r="Q5164">
        <v>0.18246301818292401</v>
      </c>
      <c r="R5164">
        <v>0.98957476102473496</v>
      </c>
      <c r="S5164" t="s">
        <v>11616</v>
      </c>
      <c r="T5164" t="s">
        <v>12902</v>
      </c>
      <c r="U5164" t="s">
        <v>12902</v>
      </c>
      <c r="V5164" t="s">
        <v>12902</v>
      </c>
      <c r="W5164" t="s">
        <v>18017</v>
      </c>
      <c r="X5164">
        <v>5</v>
      </c>
      <c r="Y5164" t="s">
        <v>24312</v>
      </c>
      <c r="Z5164" t="s">
        <v>30739</v>
      </c>
      <c r="AA5164">
        <v>0.77782838589400216</v>
      </c>
      <c r="AB5164" t="str">
        <f>HYPERLINK("Melting_Curves/meltCurve_Q9BPX5_ARPC5L.pdf", "Melting_Curves/meltCurve_Q9BPX5_ARPC5L.pdf")</f>
        <v>Melting_Curves/meltCurve_Q9BPX5_ARPC5L.pdf</v>
      </c>
    </row>
    <row r="5165" spans="1:28" x14ac:dyDescent="0.25">
      <c r="A5165" t="s">
        <v>5169</v>
      </c>
      <c r="B5165">
        <v>0.99673306730245903</v>
      </c>
      <c r="C5165">
        <v>0.96052199306045305</v>
      </c>
      <c r="D5165">
        <v>0.91970147559672499</v>
      </c>
      <c r="E5165">
        <v>0.91260825385532196</v>
      </c>
      <c r="F5165">
        <v>0.87416906699041896</v>
      </c>
      <c r="G5165">
        <v>0.76330094061820797</v>
      </c>
      <c r="H5165">
        <v>0.61856524032706095</v>
      </c>
      <c r="I5165">
        <v>0.653722923059746</v>
      </c>
      <c r="J5165">
        <v>0.78762978058581801</v>
      </c>
      <c r="K5165">
        <v>0.61216559519328395</v>
      </c>
      <c r="L5165">
        <v>688.64584958630803</v>
      </c>
      <c r="M5165">
        <v>12.8509264916291</v>
      </c>
      <c r="O5165">
        <v>52.339393717773099</v>
      </c>
      <c r="P5165">
        <v>-2.2100836161937198E-2</v>
      </c>
      <c r="Q5165">
        <v>0.64001641386949704</v>
      </c>
      <c r="R5165">
        <v>0.84183923906036295</v>
      </c>
      <c r="S5165" t="s">
        <v>11617</v>
      </c>
      <c r="T5165" t="s">
        <v>12902</v>
      </c>
      <c r="U5165" t="s">
        <v>12902</v>
      </c>
      <c r="V5165" t="s">
        <v>12902</v>
      </c>
      <c r="W5165" t="s">
        <v>18018</v>
      </c>
      <c r="X5165">
        <v>10</v>
      </c>
      <c r="Y5165" t="s">
        <v>24313</v>
      </c>
      <c r="Z5165" t="s">
        <v>30740</v>
      </c>
      <c r="AA5165">
        <v>0.81214011751924065</v>
      </c>
      <c r="AB5165" t="str">
        <f>HYPERLINK("Melting_Curves/meltCurve_Q9BQ13_KCTD14.pdf", "Melting_Curves/meltCurve_Q9BQ13_KCTD14.pdf")</f>
        <v>Melting_Curves/meltCurve_Q9BQ13_KCTD14.pdf</v>
      </c>
    </row>
    <row r="5166" spans="1:28" x14ac:dyDescent="0.25">
      <c r="A5166" t="s">
        <v>5170</v>
      </c>
      <c r="B5166">
        <v>0.99673306730245903</v>
      </c>
      <c r="C5166">
        <v>0.95026438123454804</v>
      </c>
      <c r="D5166">
        <v>0.91294165587627296</v>
      </c>
      <c r="E5166">
        <v>0.47124327540066002</v>
      </c>
      <c r="F5166">
        <v>0.23387441989176699</v>
      </c>
      <c r="G5166">
        <v>0.184349096319568</v>
      </c>
      <c r="H5166">
        <v>0.109022676596291</v>
      </c>
      <c r="I5166">
        <v>0.10420760826716299</v>
      </c>
      <c r="J5166">
        <v>2.17556357644559E-2</v>
      </c>
      <c r="K5166">
        <v>2.48504895039935E-2</v>
      </c>
      <c r="L5166">
        <v>1121.6717900769199</v>
      </c>
      <c r="M5166">
        <v>22.698386205139599</v>
      </c>
      <c r="N5166">
        <v>49.760783061254898</v>
      </c>
      <c r="O5166">
        <v>49.037627239256601</v>
      </c>
      <c r="P5166">
        <v>-0.107309461048054</v>
      </c>
      <c r="Q5166">
        <v>7.2692657715116002E-2</v>
      </c>
      <c r="R5166">
        <v>0.98853322130766297</v>
      </c>
      <c r="S5166" t="s">
        <v>11618</v>
      </c>
      <c r="T5166" t="s">
        <v>12902</v>
      </c>
      <c r="U5166" t="s">
        <v>12902</v>
      </c>
      <c r="V5166" t="s">
        <v>12902</v>
      </c>
      <c r="W5166" t="s">
        <v>18019</v>
      </c>
      <c r="X5166">
        <v>2</v>
      </c>
      <c r="Y5166" t="s">
        <v>24314</v>
      </c>
      <c r="Z5166" t="s">
        <v>30741</v>
      </c>
      <c r="AA5166">
        <v>0.3737874553516336</v>
      </c>
      <c r="AB5166" t="str">
        <f>HYPERLINK("Melting_Curves/meltCurve_Q9BQ24_ZFYVE21.pdf", "Melting_Curves/meltCurve_Q9BQ24_ZFYVE21.pdf")</f>
        <v>Melting_Curves/meltCurve_Q9BQ24_ZFYVE21.pdf</v>
      </c>
    </row>
    <row r="5167" spans="1:28" x14ac:dyDescent="0.25">
      <c r="A5167" t="s">
        <v>5171</v>
      </c>
      <c r="B5167">
        <v>0.99673306730245903</v>
      </c>
      <c r="C5167">
        <v>0.78552587660875905</v>
      </c>
      <c r="D5167">
        <v>0.58147513116816596</v>
      </c>
      <c r="E5167">
        <v>0.270314694765728</v>
      </c>
      <c r="F5167">
        <v>0.25964066298490202</v>
      </c>
      <c r="G5167">
        <v>0.13225429169002401</v>
      </c>
      <c r="H5167">
        <v>8.8036319013391498E-2</v>
      </c>
      <c r="I5167">
        <v>6.7122780615681901E-2</v>
      </c>
      <c r="J5167">
        <v>8.1354763585106599E-2</v>
      </c>
      <c r="K5167">
        <v>5.81011294619799E-2</v>
      </c>
      <c r="L5167">
        <v>745.36755265639397</v>
      </c>
      <c r="M5167">
        <v>16.038099761797501</v>
      </c>
      <c r="N5167">
        <v>46.944130536387803</v>
      </c>
      <c r="O5167">
        <v>45.7702641364694</v>
      </c>
      <c r="P5167">
        <v>-8.1118448213077704E-2</v>
      </c>
      <c r="Q5167">
        <v>7.4073619464238002E-2</v>
      </c>
      <c r="R5167">
        <v>0.98657582875918604</v>
      </c>
      <c r="S5167" t="s">
        <v>11619</v>
      </c>
      <c r="T5167" t="s">
        <v>12902</v>
      </c>
      <c r="U5167" t="s">
        <v>12902</v>
      </c>
      <c r="V5167" t="s">
        <v>12902</v>
      </c>
      <c r="W5167" t="s">
        <v>18020</v>
      </c>
      <c r="X5167">
        <v>5</v>
      </c>
      <c r="Y5167" t="s">
        <v>24315</v>
      </c>
      <c r="Z5167" t="s">
        <v>30742</v>
      </c>
      <c r="AA5167">
        <v>0.29653642288780419</v>
      </c>
      <c r="AB5167" t="str">
        <f>HYPERLINK("Melting_Curves/meltCurve_Q9BQ39_DDX50.pdf", "Melting_Curves/meltCurve_Q9BQ39_DDX50.pdf")</f>
        <v>Melting_Curves/meltCurve_Q9BQ39_DDX50.pdf</v>
      </c>
    </row>
    <row r="5168" spans="1:28" x14ac:dyDescent="0.25">
      <c r="A5168" t="s">
        <v>5172</v>
      </c>
      <c r="B5168">
        <v>0.99673306730245903</v>
      </c>
      <c r="C5168">
        <v>0.97070461000525199</v>
      </c>
      <c r="D5168">
        <v>0.96699993920174598</v>
      </c>
      <c r="E5168">
        <v>1.0166123720651801</v>
      </c>
      <c r="F5168">
        <v>0.96297690607398001</v>
      </c>
      <c r="G5168">
        <v>0.84785732436425199</v>
      </c>
      <c r="H5168">
        <v>0.64393893924133505</v>
      </c>
      <c r="I5168">
        <v>0.57548576655146899</v>
      </c>
      <c r="J5168">
        <v>0.28617024378248901</v>
      </c>
      <c r="K5168">
        <v>0.100888659876316</v>
      </c>
      <c r="L5168">
        <v>1084.81647981838</v>
      </c>
      <c r="M5168">
        <v>17.0513832904556</v>
      </c>
      <c r="N5168">
        <v>63.620440077350601</v>
      </c>
      <c r="O5168">
        <v>62.764730775132101</v>
      </c>
      <c r="P5168">
        <v>-6.7922001303424503E-2</v>
      </c>
      <c r="Q5168">
        <v>0</v>
      </c>
      <c r="R5168">
        <v>0.97764041765750198</v>
      </c>
      <c r="S5168" t="s">
        <v>11620</v>
      </c>
      <c r="T5168" t="s">
        <v>12902</v>
      </c>
      <c r="U5168" t="s">
        <v>12902</v>
      </c>
      <c r="V5168" t="s">
        <v>12902</v>
      </c>
      <c r="W5168" t="s">
        <v>18021</v>
      </c>
      <c r="X5168">
        <v>41</v>
      </c>
      <c r="Y5168" t="s">
        <v>20383</v>
      </c>
      <c r="Z5168" t="s">
        <v>30743</v>
      </c>
      <c r="AA5168">
        <v>0.77876544882743959</v>
      </c>
      <c r="AB5168" t="str">
        <f>HYPERLINK("Melting_Curves/meltCurve_Q9BQ52_ELAC2.pdf", "Melting_Curves/meltCurve_Q9BQ52_ELAC2.pdf")</f>
        <v>Melting_Curves/meltCurve_Q9BQ52_ELAC2.pdf</v>
      </c>
    </row>
    <row r="5169" spans="1:28" x14ac:dyDescent="0.25">
      <c r="A5169" t="s">
        <v>5173</v>
      </c>
      <c r="B5169">
        <v>0.99673306730245903</v>
      </c>
      <c r="C5169">
        <v>1.02037328258113</v>
      </c>
      <c r="D5169">
        <v>1.0950483398512501</v>
      </c>
      <c r="E5169">
        <v>1.09403915218625</v>
      </c>
      <c r="F5169">
        <v>1.0522903350853601</v>
      </c>
      <c r="G5169">
        <v>1.01241228403817</v>
      </c>
      <c r="H5169">
        <v>0.86524460536884196</v>
      </c>
      <c r="I5169">
        <v>0.98942587397093396</v>
      </c>
      <c r="J5169">
        <v>2.2053107335525399</v>
      </c>
      <c r="K5169">
        <v>2.1047797136063502</v>
      </c>
      <c r="L5169">
        <v>15000</v>
      </c>
      <c r="M5169">
        <v>230.698788745635</v>
      </c>
      <c r="O5169">
        <v>65.014961144281997</v>
      </c>
      <c r="P5169">
        <v>0.443549425237523</v>
      </c>
      <c r="Q5169">
        <v>1.5</v>
      </c>
      <c r="R5169">
        <v>0.57365583248204599</v>
      </c>
      <c r="S5169" t="s">
        <v>11621</v>
      </c>
      <c r="T5169" t="s">
        <v>12902</v>
      </c>
      <c r="U5169" t="s">
        <v>12902</v>
      </c>
      <c r="V5169" t="s">
        <v>12902</v>
      </c>
      <c r="W5169" t="s">
        <v>18022</v>
      </c>
      <c r="X5169">
        <v>13</v>
      </c>
      <c r="Y5169" t="s">
        <v>24316</v>
      </c>
      <c r="Z5169" t="s">
        <v>30744</v>
      </c>
      <c r="AA5169">
        <v>1.082935543432449</v>
      </c>
      <c r="AB5169" t="str">
        <f>HYPERLINK("Melting_Curves/meltCurve_Q9BQ61_C19orf43.pdf", "Melting_Curves/meltCurve_Q9BQ61_C19orf43.pdf")</f>
        <v>Melting_Curves/meltCurve_Q9BQ61_C19orf43.pdf</v>
      </c>
    </row>
    <row r="5170" spans="1:28" x14ac:dyDescent="0.25">
      <c r="A5170" t="s">
        <v>5174</v>
      </c>
      <c r="B5170">
        <v>0.99673306730245903</v>
      </c>
      <c r="C5170">
        <v>0.89436923808715596</v>
      </c>
      <c r="D5170">
        <v>0.68324707851173605</v>
      </c>
      <c r="E5170">
        <v>0.63546148667032198</v>
      </c>
      <c r="F5170">
        <v>0.45129456823055197</v>
      </c>
      <c r="G5170">
        <v>0.23213089361804801</v>
      </c>
      <c r="H5170">
        <v>0.126775956967456</v>
      </c>
      <c r="I5170">
        <v>0.112800592615343</v>
      </c>
      <c r="J5170">
        <v>0.104695398783653</v>
      </c>
      <c r="K5170">
        <v>9.2156364570712301E-2</v>
      </c>
      <c r="L5170">
        <v>548.86031655080296</v>
      </c>
      <c r="M5170">
        <v>10.7512950697676</v>
      </c>
      <c r="N5170">
        <v>51.240950728553102</v>
      </c>
      <c r="O5170">
        <v>49.379593197775797</v>
      </c>
      <c r="P5170">
        <v>-5.33861131040759E-2</v>
      </c>
      <c r="Q5170">
        <v>1.9573645119403901E-2</v>
      </c>
      <c r="R5170">
        <v>0.98382129722282596</v>
      </c>
      <c r="S5170" t="s">
        <v>11622</v>
      </c>
      <c r="T5170" t="s">
        <v>12902</v>
      </c>
      <c r="U5170" t="s">
        <v>12902</v>
      </c>
      <c r="V5170" t="s">
        <v>12902</v>
      </c>
      <c r="W5170" t="s">
        <v>18023</v>
      </c>
      <c r="X5170">
        <v>5</v>
      </c>
      <c r="Y5170" t="s">
        <v>24317</v>
      </c>
      <c r="Z5170" t="s">
        <v>30745</v>
      </c>
      <c r="AA5170">
        <v>0.4177547911743949</v>
      </c>
      <c r="AB5170" t="str">
        <f>HYPERLINK("Melting_Curves/meltCurve_Q9BQ67_GRWD1.pdf", "Melting_Curves/meltCurve_Q9BQ67_GRWD1.pdf")</f>
        <v>Melting_Curves/meltCurve_Q9BQ67_GRWD1.pdf</v>
      </c>
    </row>
    <row r="5171" spans="1:28" x14ac:dyDescent="0.25">
      <c r="A5171" t="s">
        <v>5175</v>
      </c>
      <c r="B5171">
        <v>0.99673306730245903</v>
      </c>
      <c r="C5171">
        <v>1.041500604556</v>
      </c>
      <c r="D5171">
        <v>0.49448206000359302</v>
      </c>
      <c r="E5171">
        <v>0.36390016031115102</v>
      </c>
      <c r="F5171">
        <v>0.133972335162063</v>
      </c>
      <c r="G5171">
        <v>8.1788117890218406E-2</v>
      </c>
      <c r="H5171">
        <v>5.48347262526723E-2</v>
      </c>
      <c r="I5171">
        <v>7.0400450870882397E-2</v>
      </c>
      <c r="J5171">
        <v>7.7985596860574297E-2</v>
      </c>
      <c r="K5171">
        <v>8.1338767526025896E-2</v>
      </c>
      <c r="L5171">
        <v>1079.9128701233301</v>
      </c>
      <c r="M5171">
        <v>23.114586178939899</v>
      </c>
      <c r="N5171">
        <v>47.064179394398799</v>
      </c>
      <c r="O5171">
        <v>46.374506084644203</v>
      </c>
      <c r="P5171">
        <v>-0.11492009322510199</v>
      </c>
      <c r="Q5171">
        <v>7.7766034124164704E-2</v>
      </c>
      <c r="R5171">
        <v>0.96461047240285902</v>
      </c>
      <c r="S5171" t="s">
        <v>11623</v>
      </c>
      <c r="T5171" t="s">
        <v>12902</v>
      </c>
      <c r="U5171" t="s">
        <v>12902</v>
      </c>
      <c r="V5171" t="s">
        <v>12902</v>
      </c>
      <c r="W5171" t="s">
        <v>18024</v>
      </c>
      <c r="X5171">
        <v>15</v>
      </c>
      <c r="Y5171" t="s">
        <v>24318</v>
      </c>
      <c r="Z5171" t="s">
        <v>30746</v>
      </c>
      <c r="AA5171">
        <v>0.29422418153102492</v>
      </c>
      <c r="AB5171" t="str">
        <f>HYPERLINK("Melting_Curves/meltCurve_Q9BQ69_MACROD1.pdf", "Melting_Curves/meltCurve_Q9BQ69_MACROD1.pdf")</f>
        <v>Melting_Curves/meltCurve_Q9BQ69_MACROD1.pdf</v>
      </c>
    </row>
    <row r="5172" spans="1:28" x14ac:dyDescent="0.25">
      <c r="A5172" t="s">
        <v>5176</v>
      </c>
      <c r="B5172">
        <v>0.99673306730245903</v>
      </c>
      <c r="C5172">
        <v>0.91880096945756295</v>
      </c>
      <c r="D5172">
        <v>0.79653858817410494</v>
      </c>
      <c r="E5172">
        <v>0.37691135644889301</v>
      </c>
      <c r="F5172">
        <v>0.18427144239879101</v>
      </c>
      <c r="G5172">
        <v>0.14828263905192099</v>
      </c>
      <c r="H5172">
        <v>8.8282509227911393E-2</v>
      </c>
      <c r="I5172">
        <v>8.6930571667304099E-2</v>
      </c>
      <c r="J5172">
        <v>0.11455180395964</v>
      </c>
      <c r="K5172">
        <v>0.107730547820754</v>
      </c>
      <c r="L5172">
        <v>1166.1836840173401</v>
      </c>
      <c r="M5172">
        <v>24.258627561891299</v>
      </c>
      <c r="N5172">
        <v>48.531337252659</v>
      </c>
      <c r="O5172">
        <v>47.749841827613203</v>
      </c>
      <c r="P5172">
        <v>-0.114006125014396</v>
      </c>
      <c r="Q5172">
        <v>0.10239080969252499</v>
      </c>
      <c r="R5172">
        <v>0.99727050513240001</v>
      </c>
      <c r="S5172" t="s">
        <v>11624</v>
      </c>
      <c r="T5172" t="s">
        <v>12902</v>
      </c>
      <c r="U5172" t="s">
        <v>12902</v>
      </c>
      <c r="V5172" t="s">
        <v>12902</v>
      </c>
      <c r="W5172" t="s">
        <v>18025</v>
      </c>
      <c r="X5172">
        <v>5</v>
      </c>
      <c r="Y5172" t="s">
        <v>24319</v>
      </c>
      <c r="Z5172" t="s">
        <v>30747</v>
      </c>
      <c r="AA5172">
        <v>0.35239113778858078</v>
      </c>
      <c r="AB5172" t="str">
        <f>HYPERLINK("Melting_Curves/meltCurve_Q9BQ70_TCF25.pdf", "Melting_Curves/meltCurve_Q9BQ70_TCF25.pdf")</f>
        <v>Melting_Curves/meltCurve_Q9BQ70_TCF25.pdf</v>
      </c>
    </row>
    <row r="5173" spans="1:28" x14ac:dyDescent="0.25">
      <c r="A5173" t="s">
        <v>5177</v>
      </c>
      <c r="B5173">
        <v>0.99673306730245903</v>
      </c>
      <c r="C5173">
        <v>1.0115059197903999</v>
      </c>
      <c r="D5173">
        <v>0.94715746353154495</v>
      </c>
      <c r="E5173">
        <v>0.835285964396275</v>
      </c>
      <c r="F5173">
        <v>0.53970484710240596</v>
      </c>
      <c r="G5173">
        <v>0.24787376929910099</v>
      </c>
      <c r="H5173">
        <v>0.16867099999983701</v>
      </c>
      <c r="I5173">
        <v>0.158975838661577</v>
      </c>
      <c r="J5173">
        <v>0.19041048733221799</v>
      </c>
      <c r="K5173">
        <v>0.19037696554741901</v>
      </c>
      <c r="L5173">
        <v>1338.1032417595</v>
      </c>
      <c r="M5173">
        <v>25.477725265525699</v>
      </c>
      <c r="N5173">
        <v>53.360469719960903</v>
      </c>
      <c r="O5173">
        <v>52.200155649866403</v>
      </c>
      <c r="P5173">
        <v>-0.101864121306955</v>
      </c>
      <c r="Q5173">
        <v>0.165191302092183</v>
      </c>
      <c r="R5173">
        <v>0.99673169582924903</v>
      </c>
      <c r="S5173" t="s">
        <v>11625</v>
      </c>
      <c r="T5173" t="s">
        <v>12902</v>
      </c>
      <c r="U5173" t="s">
        <v>12902</v>
      </c>
      <c r="V5173" t="s">
        <v>12902</v>
      </c>
      <c r="W5173" t="s">
        <v>18026</v>
      </c>
      <c r="X5173">
        <v>3</v>
      </c>
      <c r="Y5173" t="s">
        <v>24320</v>
      </c>
      <c r="Z5173" t="s">
        <v>30748</v>
      </c>
      <c r="AA5173">
        <v>0.52098528297104207</v>
      </c>
      <c r="AB5173" t="str">
        <f>HYPERLINK("Melting_Curves/meltCurve_Q9BQ90_KLHDC3.pdf", "Melting_Curves/meltCurve_Q9BQ90_KLHDC3.pdf")</f>
        <v>Melting_Curves/meltCurve_Q9BQ90_KLHDC3.pdf</v>
      </c>
    </row>
    <row r="5174" spans="1:28" x14ac:dyDescent="0.25">
      <c r="A5174" t="s">
        <v>5178</v>
      </c>
      <c r="B5174">
        <v>0.99673306730245903</v>
      </c>
      <c r="C5174">
        <v>0.94268666262474998</v>
      </c>
      <c r="D5174">
        <v>0.85749213541179603</v>
      </c>
      <c r="E5174">
        <v>0.77581606652076396</v>
      </c>
      <c r="F5174">
        <v>0.74992543645817</v>
      </c>
      <c r="G5174">
        <v>0.55762803069796696</v>
      </c>
      <c r="H5174">
        <v>0.41674025832627398</v>
      </c>
      <c r="I5174">
        <v>0.19929421883486401</v>
      </c>
      <c r="J5174">
        <v>0.206581960268262</v>
      </c>
      <c r="K5174">
        <v>0.118914200604769</v>
      </c>
      <c r="L5174">
        <v>562.78642547649997</v>
      </c>
      <c r="M5174">
        <v>9.7793737981901998</v>
      </c>
      <c r="N5174">
        <v>57.548309029869898</v>
      </c>
      <c r="O5174">
        <v>55.296715894719902</v>
      </c>
      <c r="P5174">
        <v>-4.4236594254611301E-2</v>
      </c>
      <c r="Q5174">
        <v>0</v>
      </c>
      <c r="R5174">
        <v>0.97966116199214903</v>
      </c>
      <c r="S5174" t="s">
        <v>11626</v>
      </c>
      <c r="T5174" t="s">
        <v>12902</v>
      </c>
      <c r="U5174" t="s">
        <v>12902</v>
      </c>
      <c r="V5174" t="s">
        <v>12902</v>
      </c>
      <c r="W5174" t="s">
        <v>18027</v>
      </c>
      <c r="X5174">
        <v>9</v>
      </c>
      <c r="Y5174" t="s">
        <v>24321</v>
      </c>
      <c r="Z5174" t="s">
        <v>30749</v>
      </c>
      <c r="AA5174">
        <v>0.59721489660858418</v>
      </c>
      <c r="AB5174" t="str">
        <f>HYPERLINK("Melting_Curves/meltCurve_Q9BQ95_ECSIT.pdf", "Melting_Curves/meltCurve_Q9BQ95_ECSIT.pdf")</f>
        <v>Melting_Curves/meltCurve_Q9BQ95_ECSIT.pdf</v>
      </c>
    </row>
    <row r="5175" spans="1:28" x14ac:dyDescent="0.25">
      <c r="A5175" t="s">
        <v>5179</v>
      </c>
      <c r="B5175">
        <v>0.99673306730245903</v>
      </c>
      <c r="C5175">
        <v>0.95075348771176005</v>
      </c>
      <c r="D5175">
        <v>1.0409757397841399</v>
      </c>
      <c r="E5175">
        <v>1.2617449326742201</v>
      </c>
      <c r="F5175">
        <v>1.06803676161772</v>
      </c>
      <c r="G5175">
        <v>0.41623976925765199</v>
      </c>
      <c r="H5175">
        <v>0.121532043342072</v>
      </c>
      <c r="I5175">
        <v>9.3615335195388005E-2</v>
      </c>
      <c r="J5175">
        <v>8.6105734011114904E-2</v>
      </c>
      <c r="K5175">
        <v>7.56811890005855E-2</v>
      </c>
      <c r="L5175">
        <v>14166.2085803188</v>
      </c>
      <c r="M5175">
        <v>250</v>
      </c>
      <c r="N5175">
        <v>56.712207343480898</v>
      </c>
      <c r="O5175">
        <v>56.661207726832103</v>
      </c>
      <c r="P5175">
        <v>-0.99910334228959197</v>
      </c>
      <c r="Q5175">
        <v>9.42335620438748E-2</v>
      </c>
      <c r="R5175">
        <v>0.96417550516125705</v>
      </c>
      <c r="S5175" t="s">
        <v>11627</v>
      </c>
      <c r="T5175" t="s">
        <v>12902</v>
      </c>
      <c r="U5175" t="s">
        <v>12902</v>
      </c>
      <c r="V5175" t="s">
        <v>12902</v>
      </c>
      <c r="W5175" t="s">
        <v>18028</v>
      </c>
      <c r="X5175">
        <v>8</v>
      </c>
      <c r="Y5175" t="s">
        <v>24322</v>
      </c>
      <c r="Z5175" t="s">
        <v>30750</v>
      </c>
      <c r="AA5175">
        <v>0.59747189088161556</v>
      </c>
      <c r="AB5175" t="str">
        <f>HYPERLINK("Melting_Curves/meltCurve_Q9BQA1_WDR77.pdf", "Melting_Curves/meltCurve_Q9BQA1_WDR77.pdf")</f>
        <v>Melting_Curves/meltCurve_Q9BQA1_WDR77.pdf</v>
      </c>
    </row>
    <row r="5176" spans="1:28" x14ac:dyDescent="0.25">
      <c r="A5176" t="s">
        <v>5180</v>
      </c>
      <c r="B5176">
        <v>0.99673306730245903</v>
      </c>
      <c r="C5176">
        <v>0.98357898710153002</v>
      </c>
      <c r="D5176">
        <v>0.999333834934374</v>
      </c>
      <c r="E5176">
        <v>1.0010558382305199</v>
      </c>
      <c r="F5176">
        <v>0.77857214753128701</v>
      </c>
      <c r="G5176">
        <v>0.44565991898526103</v>
      </c>
      <c r="H5176">
        <v>0.1565719179657</v>
      </c>
      <c r="I5176">
        <v>0.106331539353906</v>
      </c>
      <c r="J5176">
        <v>6.6770490095369006E-2</v>
      </c>
      <c r="K5176">
        <v>7.13527834438384E-2</v>
      </c>
      <c r="L5176">
        <v>1438.076989291</v>
      </c>
      <c r="M5176">
        <v>25.7381518112938</v>
      </c>
      <c r="N5176">
        <v>56.164977264178702</v>
      </c>
      <c r="O5176">
        <v>55.539342582156799</v>
      </c>
      <c r="P5176">
        <v>-0.10861049817228199</v>
      </c>
      <c r="Q5176">
        <v>6.2545995748145095E-2</v>
      </c>
      <c r="R5176">
        <v>0.99859902319886995</v>
      </c>
      <c r="S5176" t="s">
        <v>11628</v>
      </c>
      <c r="T5176" t="s">
        <v>12902</v>
      </c>
      <c r="U5176" t="s">
        <v>12902</v>
      </c>
      <c r="V5176" t="s">
        <v>12902</v>
      </c>
      <c r="W5176" t="s">
        <v>18029</v>
      </c>
      <c r="X5176">
        <v>8</v>
      </c>
      <c r="Y5176" t="s">
        <v>24323</v>
      </c>
      <c r="Z5176" t="s">
        <v>30751</v>
      </c>
      <c r="AA5176">
        <v>0.56676912231894827</v>
      </c>
      <c r="AB5176" t="str">
        <f>HYPERLINK("Melting_Curves/meltCurve_Q9BQC3_DPH2.pdf", "Melting_Curves/meltCurve_Q9BQC3_DPH2.pdf")</f>
        <v>Melting_Curves/meltCurve_Q9BQC3_DPH2.pdf</v>
      </c>
    </row>
    <row r="5177" spans="1:28" x14ac:dyDescent="0.25">
      <c r="A5177" t="s">
        <v>5181</v>
      </c>
      <c r="B5177">
        <v>0.99673306730245903</v>
      </c>
      <c r="C5177">
        <v>0.93106009947853297</v>
      </c>
      <c r="D5177">
        <v>0.78771890456300597</v>
      </c>
      <c r="E5177">
        <v>0.544389347324444</v>
      </c>
      <c r="F5177">
        <v>0.35179113292932801</v>
      </c>
      <c r="G5177">
        <v>0.24365381764569</v>
      </c>
      <c r="H5177">
        <v>0.290508303093378</v>
      </c>
      <c r="I5177">
        <v>0.27305458979012598</v>
      </c>
      <c r="J5177">
        <v>0.25704607838176102</v>
      </c>
      <c r="K5177">
        <v>0.27331184356353699</v>
      </c>
      <c r="L5177">
        <v>971.05282296817404</v>
      </c>
      <c r="M5177">
        <v>20.148429800226801</v>
      </c>
      <c r="N5177">
        <v>49.9990847452842</v>
      </c>
      <c r="O5177">
        <v>47.727741443959701</v>
      </c>
      <c r="P5177">
        <v>-7.8277544189681803E-2</v>
      </c>
      <c r="Q5177">
        <v>0.25832586761280701</v>
      </c>
      <c r="R5177">
        <v>0.99548292132181604</v>
      </c>
      <c r="S5177" t="s">
        <v>11629</v>
      </c>
      <c r="T5177" t="s">
        <v>12902</v>
      </c>
      <c r="U5177" t="s">
        <v>12902</v>
      </c>
      <c r="V5177" t="s">
        <v>12902</v>
      </c>
      <c r="W5177" t="s">
        <v>18030</v>
      </c>
      <c r="X5177">
        <v>4</v>
      </c>
      <c r="Y5177" t="s">
        <v>24324</v>
      </c>
      <c r="Z5177" t="s">
        <v>30752</v>
      </c>
      <c r="AA5177">
        <v>0.4712641907476382</v>
      </c>
      <c r="AB5177" t="str">
        <f>HYPERLINK("Melting_Curves/meltCurve_Q9BQG0_MYBBP1A.pdf", "Melting_Curves/meltCurve_Q9BQG0_MYBBP1A.pdf")</f>
        <v>Melting_Curves/meltCurve_Q9BQG0_MYBBP1A.pdf</v>
      </c>
    </row>
    <row r="5178" spans="1:28" x14ac:dyDescent="0.25">
      <c r="A5178" t="s">
        <v>5182</v>
      </c>
      <c r="B5178">
        <v>0.99673306730245903</v>
      </c>
      <c r="C5178">
        <v>0.97174859572836503</v>
      </c>
      <c r="D5178">
        <v>1.05898758364943</v>
      </c>
      <c r="E5178">
        <v>1.1120264775445801</v>
      </c>
      <c r="F5178">
        <v>0.386224870271975</v>
      </c>
      <c r="G5178">
        <v>0.22757283779926901</v>
      </c>
      <c r="H5178">
        <v>0.14796415381634001</v>
      </c>
      <c r="I5178">
        <v>0.12404282396074599</v>
      </c>
      <c r="J5178">
        <v>9.7651494844051598E-2</v>
      </c>
      <c r="K5178">
        <v>6.8926051145489303E-2</v>
      </c>
      <c r="L5178">
        <v>12033.702571648701</v>
      </c>
      <c r="M5178">
        <v>227.08368045165699</v>
      </c>
      <c r="N5178">
        <v>53.064805491495399</v>
      </c>
      <c r="O5178">
        <v>52.988260666375801</v>
      </c>
      <c r="P5178">
        <v>-0.92864438930978099</v>
      </c>
      <c r="Q5178">
        <v>0.13323140157883301</v>
      </c>
      <c r="R5178">
        <v>0.98303041501418897</v>
      </c>
      <c r="S5178" t="s">
        <v>11630</v>
      </c>
      <c r="T5178" t="s">
        <v>12902</v>
      </c>
      <c r="U5178" t="s">
        <v>12902</v>
      </c>
      <c r="V5178" t="s">
        <v>12902</v>
      </c>
      <c r="W5178" t="s">
        <v>18031</v>
      </c>
      <c r="X5178">
        <v>4</v>
      </c>
      <c r="Y5178" t="s">
        <v>24325</v>
      </c>
      <c r="Z5178" t="s">
        <v>30753</v>
      </c>
      <c r="AA5178">
        <v>0.50870840463377254</v>
      </c>
      <c r="AB5178" t="str">
        <f>HYPERLINK("Melting_Curves/meltCurve_Q9BQG2_NUDT12.pdf", "Melting_Curves/meltCurve_Q9BQG2_NUDT12.pdf")</f>
        <v>Melting_Curves/meltCurve_Q9BQG2_NUDT12.pdf</v>
      </c>
    </row>
    <row r="5179" spans="1:28" x14ac:dyDescent="0.25">
      <c r="A5179" t="s">
        <v>5183</v>
      </c>
      <c r="B5179">
        <v>0.99673306730245903</v>
      </c>
      <c r="C5179">
        <v>0.99628330319883895</v>
      </c>
      <c r="D5179">
        <v>0.79450203193803304</v>
      </c>
      <c r="E5179">
        <v>0.57383428832164196</v>
      </c>
      <c r="F5179">
        <v>0.478694672446</v>
      </c>
      <c r="G5179">
        <v>0.388397306567351</v>
      </c>
      <c r="H5179">
        <v>0.28811255581449202</v>
      </c>
      <c r="I5179">
        <v>0.2380829829484</v>
      </c>
      <c r="J5179">
        <v>0.24648405911279</v>
      </c>
      <c r="K5179">
        <v>0.85271294826947697</v>
      </c>
      <c r="L5179">
        <v>1179.06464036069</v>
      </c>
      <c r="M5179">
        <v>24.8106449322275</v>
      </c>
      <c r="N5179">
        <v>50.977159591834599</v>
      </c>
      <c r="O5179">
        <v>47.217050168167297</v>
      </c>
      <c r="P5179">
        <v>-7.7908267772935705E-2</v>
      </c>
      <c r="Q5179">
        <v>0.40694068597065097</v>
      </c>
      <c r="R5179">
        <v>0.671469669205779</v>
      </c>
      <c r="S5179" t="s">
        <v>11631</v>
      </c>
      <c r="T5179" t="s">
        <v>12902</v>
      </c>
      <c r="U5179" t="s">
        <v>12902</v>
      </c>
      <c r="V5179" t="s">
        <v>12902</v>
      </c>
      <c r="W5179" t="s">
        <v>18032</v>
      </c>
      <c r="X5179">
        <v>2</v>
      </c>
      <c r="Y5179" t="s">
        <v>24326</v>
      </c>
      <c r="Z5179" t="s">
        <v>30754</v>
      </c>
      <c r="AA5179">
        <v>0.56099385833201254</v>
      </c>
      <c r="AB5179" t="str">
        <f>HYPERLINK("Melting_Curves/meltCurve_Q9BQI7_PSD2.pdf", "Melting_Curves/meltCurve_Q9BQI7_PSD2.pdf")</f>
        <v>Melting_Curves/meltCurve_Q9BQI7_PSD2.pdf</v>
      </c>
    </row>
    <row r="5180" spans="1:28" x14ac:dyDescent="0.25">
      <c r="A5180" t="s">
        <v>5184</v>
      </c>
      <c r="B5180">
        <v>0.99673306730245903</v>
      </c>
      <c r="C5180">
        <v>0.99182688849955702</v>
      </c>
      <c r="D5180">
        <v>0.88040785028953294</v>
      </c>
      <c r="E5180">
        <v>0.53455800763029704</v>
      </c>
      <c r="F5180">
        <v>0.20265293879479901</v>
      </c>
      <c r="G5180">
        <v>0.12755315605610301</v>
      </c>
      <c r="H5180">
        <v>7.6223021880843803E-2</v>
      </c>
      <c r="I5180">
        <v>7.1158223061848103E-2</v>
      </c>
      <c r="J5180">
        <v>7.6360314300259705E-2</v>
      </c>
      <c r="K5180">
        <v>6.7167258675858807E-2</v>
      </c>
      <c r="L5180">
        <v>1249.33860907198</v>
      </c>
      <c r="M5180">
        <v>25.209622781105001</v>
      </c>
      <c r="N5180">
        <v>49.866786906267897</v>
      </c>
      <c r="O5180">
        <v>49.249320050808898</v>
      </c>
      <c r="P5180">
        <v>-0.118723467600147</v>
      </c>
      <c r="Q5180">
        <v>7.2263164222465995E-2</v>
      </c>
      <c r="R5180">
        <v>0.99954304202683997</v>
      </c>
      <c r="S5180" t="s">
        <v>11632</v>
      </c>
      <c r="T5180" t="s">
        <v>12902</v>
      </c>
      <c r="U5180" t="s">
        <v>12902</v>
      </c>
      <c r="V5180" t="s">
        <v>12902</v>
      </c>
      <c r="W5180" t="s">
        <v>18033</v>
      </c>
      <c r="X5180">
        <v>17</v>
      </c>
      <c r="Y5180" t="s">
        <v>24327</v>
      </c>
      <c r="Z5180" t="s">
        <v>30755</v>
      </c>
      <c r="AA5180">
        <v>0.37595818680677001</v>
      </c>
      <c r="AB5180" t="str">
        <f>HYPERLINK("Melting_Curves/meltCurve_Q9BQL6_FERMT1.pdf", "Melting_Curves/meltCurve_Q9BQL6_FERMT1.pdf")</f>
        <v>Melting_Curves/meltCurve_Q9BQL6_FERMT1.pdf</v>
      </c>
    </row>
    <row r="5181" spans="1:28" x14ac:dyDescent="0.25">
      <c r="A5181" t="s">
        <v>5185</v>
      </c>
      <c r="B5181">
        <v>0.99673306730245903</v>
      </c>
      <c r="C5181">
        <v>0.95009158175544495</v>
      </c>
      <c r="D5181">
        <v>0.89076299738554598</v>
      </c>
      <c r="E5181">
        <v>0.86711599740532797</v>
      </c>
      <c r="F5181">
        <v>0.60961511762480203</v>
      </c>
      <c r="G5181">
        <v>0.24880807193517401</v>
      </c>
      <c r="H5181">
        <v>9.7826876539524502E-2</v>
      </c>
      <c r="I5181">
        <v>7.3921411209816199E-2</v>
      </c>
      <c r="J5181">
        <v>7.3486486972900306E-2</v>
      </c>
      <c r="K5181">
        <v>5.78249012053405E-2</v>
      </c>
      <c r="L5181">
        <v>1170.8363932529001</v>
      </c>
      <c r="M5181">
        <v>21.772772661326002</v>
      </c>
      <c r="N5181">
        <v>54.007359684852801</v>
      </c>
      <c r="O5181">
        <v>53.327785821852601</v>
      </c>
      <c r="P5181">
        <v>-9.7513929373037198E-2</v>
      </c>
      <c r="Q5181">
        <v>4.4663523249918603E-2</v>
      </c>
      <c r="R5181">
        <v>0.99236393749099405</v>
      </c>
      <c r="S5181" t="s">
        <v>11633</v>
      </c>
      <c r="T5181" t="s">
        <v>12902</v>
      </c>
      <c r="U5181" t="s">
        <v>12902</v>
      </c>
      <c r="V5181" t="s">
        <v>12902</v>
      </c>
      <c r="W5181" t="s">
        <v>18034</v>
      </c>
      <c r="X5181">
        <v>10</v>
      </c>
      <c r="Y5181" t="s">
        <v>24328</v>
      </c>
      <c r="Z5181" t="s">
        <v>30756</v>
      </c>
      <c r="AA5181">
        <v>0.49462806982501678</v>
      </c>
      <c r="AB5181" t="str">
        <f>HYPERLINK("Melting_Curves/meltCurve_Q9BQP7_MGME1.pdf", "Melting_Curves/meltCurve_Q9BQP7_MGME1.pdf")</f>
        <v>Melting_Curves/meltCurve_Q9BQP7_MGME1.pdf</v>
      </c>
    </row>
    <row r="5182" spans="1:28" x14ac:dyDescent="0.25">
      <c r="A5182" t="s">
        <v>5186</v>
      </c>
      <c r="B5182">
        <v>0.99673306730245903</v>
      </c>
      <c r="C5182">
        <v>0.829470255350509</v>
      </c>
      <c r="D5182">
        <v>0.65373385085875801</v>
      </c>
      <c r="E5182">
        <v>0.431529592304014</v>
      </c>
      <c r="F5182">
        <v>0.35363509849678199</v>
      </c>
      <c r="G5182">
        <v>0.25444191498729701</v>
      </c>
      <c r="H5182">
        <v>0.197753543955244</v>
      </c>
      <c r="I5182">
        <v>0.240244593778146</v>
      </c>
      <c r="J5182">
        <v>0.30304008498585</v>
      </c>
      <c r="K5182">
        <v>0.25891156478285998</v>
      </c>
      <c r="L5182">
        <v>805.75198224120402</v>
      </c>
      <c r="M5182">
        <v>17.3593132871375</v>
      </c>
      <c r="N5182">
        <v>48.299181104922702</v>
      </c>
      <c r="O5182">
        <v>45.813273365847401</v>
      </c>
      <c r="P5182">
        <v>-7.14409432669008E-2</v>
      </c>
      <c r="Q5182">
        <v>0.24587829034011399</v>
      </c>
      <c r="R5182">
        <v>0.98482003760187997</v>
      </c>
      <c r="S5182" t="s">
        <v>11634</v>
      </c>
      <c r="T5182" t="s">
        <v>12902</v>
      </c>
      <c r="U5182" t="s">
        <v>12902</v>
      </c>
      <c r="V5182" t="s">
        <v>12902</v>
      </c>
      <c r="W5182" t="s">
        <v>18035</v>
      </c>
      <c r="X5182">
        <v>1</v>
      </c>
      <c r="Y5182" t="s">
        <v>24329</v>
      </c>
      <c r="Z5182" t="s">
        <v>30757</v>
      </c>
      <c r="AA5182">
        <v>0.42274010162613701</v>
      </c>
      <c r="AB5182" t="str">
        <f>HYPERLINK("Melting_Curves/meltCurve_Q9BQQ3_GORASP1.pdf", "Melting_Curves/meltCurve_Q9BQQ3_GORASP1.pdf")</f>
        <v>Melting_Curves/meltCurve_Q9BQQ3_GORASP1.pdf</v>
      </c>
    </row>
    <row r="5183" spans="1:28" x14ac:dyDescent="0.25">
      <c r="A5183" t="s">
        <v>5187</v>
      </c>
      <c r="B5183">
        <v>0.99673306730245903</v>
      </c>
      <c r="C5183">
        <v>0.91036652586153499</v>
      </c>
      <c r="D5183">
        <v>0.68948055098942895</v>
      </c>
      <c r="E5183">
        <v>0.34961073088602101</v>
      </c>
      <c r="F5183">
        <v>0.215763944687523</v>
      </c>
      <c r="G5183">
        <v>0.11953187739728199</v>
      </c>
      <c r="H5183">
        <v>9.1784210818509598E-2</v>
      </c>
      <c r="I5183">
        <v>8.4153769037591197E-2</v>
      </c>
      <c r="J5183">
        <v>8.3670085763685897E-2</v>
      </c>
      <c r="K5183">
        <v>8.3018489176894403E-2</v>
      </c>
      <c r="L5183">
        <v>936.64097758518506</v>
      </c>
      <c r="M5183">
        <v>19.689085785640302</v>
      </c>
      <c r="N5183">
        <v>48.019414862352399</v>
      </c>
      <c r="O5183">
        <v>47.0890203759648</v>
      </c>
      <c r="P5183">
        <v>-9.5767213440137597E-2</v>
      </c>
      <c r="Q5183">
        <v>8.3872886969992802E-2</v>
      </c>
      <c r="R5183">
        <v>0.998606316271195</v>
      </c>
      <c r="S5183" t="s">
        <v>11635</v>
      </c>
      <c r="T5183" t="s">
        <v>12902</v>
      </c>
      <c r="U5183" t="s">
        <v>12902</v>
      </c>
      <c r="V5183" t="s">
        <v>12902</v>
      </c>
      <c r="W5183" t="s">
        <v>18036</v>
      </c>
      <c r="X5183">
        <v>13</v>
      </c>
      <c r="Y5183" t="s">
        <v>24330</v>
      </c>
      <c r="Z5183" t="s">
        <v>30758</v>
      </c>
      <c r="AA5183">
        <v>0.32869781645046869</v>
      </c>
      <c r="AB5183" t="str">
        <f>HYPERLINK("Melting_Curves/meltCurve_Q9BQS8_FYCO1.pdf", "Melting_Curves/meltCurve_Q9BQS8_FYCO1.pdf")</f>
        <v>Melting_Curves/meltCurve_Q9BQS8_FYCO1.pdf</v>
      </c>
    </row>
    <row r="5184" spans="1:28" x14ac:dyDescent="0.25">
      <c r="A5184" t="s">
        <v>5188</v>
      </c>
      <c r="B5184">
        <v>0.99673306730245903</v>
      </c>
      <c r="C5184">
        <v>0.96499724656932195</v>
      </c>
      <c r="D5184">
        <v>0.905076331254974</v>
      </c>
      <c r="E5184">
        <v>0.72214145202899105</v>
      </c>
      <c r="F5184">
        <v>0.55550170625913298</v>
      </c>
      <c r="G5184">
        <v>0.52131821584173199</v>
      </c>
      <c r="H5184">
        <v>0.45381109346802301</v>
      </c>
      <c r="I5184">
        <v>0.40428012259010798</v>
      </c>
      <c r="J5184">
        <v>0.53141425552358301</v>
      </c>
      <c r="K5184">
        <v>0.59307278364637805</v>
      </c>
      <c r="L5184">
        <v>1154.5604450774899</v>
      </c>
      <c r="M5184">
        <v>23.565768812114101</v>
      </c>
      <c r="N5184">
        <v>60.903914013157603</v>
      </c>
      <c r="O5184">
        <v>48.644410256994099</v>
      </c>
      <c r="P5184">
        <v>-6.1160685571550799E-2</v>
      </c>
      <c r="Q5184">
        <v>0.49501754825046901</v>
      </c>
      <c r="R5184">
        <v>0.94847870575745996</v>
      </c>
      <c r="S5184" t="s">
        <v>11636</v>
      </c>
      <c r="T5184" t="s">
        <v>12902</v>
      </c>
      <c r="U5184" t="s">
        <v>12902</v>
      </c>
      <c r="V5184" t="s">
        <v>12902</v>
      </c>
      <c r="W5184" t="s">
        <v>18037</v>
      </c>
      <c r="X5184">
        <v>2</v>
      </c>
      <c r="Y5184" t="s">
        <v>24331</v>
      </c>
      <c r="Z5184" t="s">
        <v>30759</v>
      </c>
      <c r="AA5184">
        <v>0.65145036062080242</v>
      </c>
      <c r="AB5184" t="str">
        <f>HYPERLINK("Melting_Curves/meltCurve_Q9BQT8_2_SLC25A21.pdf", "Melting_Curves/meltCurve_Q9BQT8_2_SLC25A21.pdf")</f>
        <v>Melting_Curves/meltCurve_Q9BQT8_2_SLC25A21.pdf</v>
      </c>
    </row>
    <row r="5185" spans="1:28" x14ac:dyDescent="0.25">
      <c r="A5185" t="s">
        <v>5189</v>
      </c>
      <c r="B5185">
        <v>0.99673306730245903</v>
      </c>
      <c r="C5185">
        <v>0.99037387281155898</v>
      </c>
      <c r="D5185">
        <v>0.85846782666445298</v>
      </c>
      <c r="E5185">
        <v>0.72558564441289797</v>
      </c>
      <c r="F5185">
        <v>0.709098106957745</v>
      </c>
      <c r="G5185">
        <v>0.51620556823517105</v>
      </c>
      <c r="H5185">
        <v>0.35175547678170699</v>
      </c>
      <c r="I5185">
        <v>0.16284406222039499</v>
      </c>
      <c r="J5185">
        <v>0.16055076535352</v>
      </c>
      <c r="K5185">
        <v>0.18797187120081901</v>
      </c>
      <c r="L5185">
        <v>541.47344644594205</v>
      </c>
      <c r="M5185">
        <v>9.5814830767382606</v>
      </c>
      <c r="N5185">
        <v>56.512503746716298</v>
      </c>
      <c r="O5185">
        <v>54.215271431432903</v>
      </c>
      <c r="P5185">
        <v>-4.4207881224085699E-2</v>
      </c>
      <c r="Q5185">
        <v>0</v>
      </c>
      <c r="R5185">
        <v>0.97766441763017098</v>
      </c>
      <c r="S5185" t="s">
        <v>11637</v>
      </c>
      <c r="T5185" t="s">
        <v>12902</v>
      </c>
      <c r="U5185" t="s">
        <v>12902</v>
      </c>
      <c r="V5185" t="s">
        <v>12902</v>
      </c>
      <c r="W5185" t="s">
        <v>18038</v>
      </c>
      <c r="X5185">
        <v>2</v>
      </c>
      <c r="Y5185" t="s">
        <v>24332</v>
      </c>
      <c r="Z5185" t="s">
        <v>30760</v>
      </c>
      <c r="AA5185">
        <v>0.56858121329637434</v>
      </c>
      <c r="AB5185" t="str">
        <f>HYPERLINK("Melting_Curves/meltCurve_Q9BQT9_CLSTN3.pdf", "Melting_Curves/meltCurve_Q9BQT9_CLSTN3.pdf")</f>
        <v>Melting_Curves/meltCurve_Q9BQT9_CLSTN3.pdf</v>
      </c>
    </row>
    <row r="5186" spans="1:28" x14ac:dyDescent="0.25">
      <c r="A5186" t="s">
        <v>5190</v>
      </c>
      <c r="B5186">
        <v>0.99673306730245903</v>
      </c>
      <c r="C5186">
        <v>0.92394112531842398</v>
      </c>
      <c r="D5186">
        <v>0.55518270375200796</v>
      </c>
      <c r="E5186">
        <v>0.28310319835539299</v>
      </c>
      <c r="F5186">
        <v>0.221500857433124</v>
      </c>
      <c r="G5186">
        <v>0.16339320273928601</v>
      </c>
      <c r="H5186">
        <v>0.11957014001969</v>
      </c>
      <c r="I5186">
        <v>0.12023059481272499</v>
      </c>
      <c r="J5186">
        <v>0.14077885210483801</v>
      </c>
      <c r="K5186">
        <v>0.141343196037545</v>
      </c>
      <c r="L5186">
        <v>1165.3656863097499</v>
      </c>
      <c r="M5186">
        <v>25.270202904164002</v>
      </c>
      <c r="N5186">
        <v>46.7485233309812</v>
      </c>
      <c r="O5186">
        <v>45.8303124954708</v>
      </c>
      <c r="P5186">
        <v>-0.117893780161901</v>
      </c>
      <c r="Q5186">
        <v>0.14475729771778301</v>
      </c>
      <c r="R5186">
        <v>0.99373301739403597</v>
      </c>
      <c r="S5186" t="s">
        <v>11638</v>
      </c>
      <c r="T5186" t="s">
        <v>12902</v>
      </c>
      <c r="U5186" t="s">
        <v>12902</v>
      </c>
      <c r="V5186" t="s">
        <v>12902</v>
      </c>
      <c r="W5186" t="s">
        <v>18039</v>
      </c>
      <c r="X5186">
        <v>5</v>
      </c>
      <c r="Y5186" t="s">
        <v>24333</v>
      </c>
      <c r="Z5186" t="s">
        <v>30761</v>
      </c>
      <c r="AA5186">
        <v>0.32678299509783543</v>
      </c>
      <c r="AB5186" t="str">
        <f>HYPERLINK("Melting_Curves/meltCurve_Q9BR61_ACBD6.pdf", "Melting_Curves/meltCurve_Q9BR61_ACBD6.pdf")</f>
        <v>Melting_Curves/meltCurve_Q9BR61_ACBD6.pdf</v>
      </c>
    </row>
    <row r="5187" spans="1:28" x14ac:dyDescent="0.25">
      <c r="A5187" t="s">
        <v>5191</v>
      </c>
      <c r="B5187">
        <v>0.99673306730245903</v>
      </c>
      <c r="C5187">
        <v>0.949361515538937</v>
      </c>
      <c r="D5187">
        <v>0.97455331483983598</v>
      </c>
      <c r="E5187">
        <v>0.84726295752262104</v>
      </c>
      <c r="F5187">
        <v>0.18625053152238899</v>
      </c>
      <c r="G5187">
        <v>0.110874791702212</v>
      </c>
      <c r="H5187">
        <v>7.0605922692514103E-2</v>
      </c>
      <c r="I5187">
        <v>6.9228970401110299E-2</v>
      </c>
      <c r="J5187">
        <v>7.9849136712479299E-2</v>
      </c>
      <c r="K5187">
        <v>7.2780347103533594E-2</v>
      </c>
      <c r="L5187">
        <v>2630.0906713955001</v>
      </c>
      <c r="M5187">
        <v>51.426898971726999</v>
      </c>
      <c r="N5187">
        <v>51.3137141396397</v>
      </c>
      <c r="O5187">
        <v>51.065159354243399</v>
      </c>
      <c r="P5187">
        <v>-0.23190092759397901</v>
      </c>
      <c r="Q5187">
        <v>7.8921799863868297E-2</v>
      </c>
      <c r="R5187">
        <v>0.99768891678082205</v>
      </c>
      <c r="S5187" t="s">
        <v>11639</v>
      </c>
      <c r="T5187" t="s">
        <v>12902</v>
      </c>
      <c r="U5187" t="s">
        <v>12902</v>
      </c>
      <c r="V5187" t="s">
        <v>12902</v>
      </c>
      <c r="W5187" t="s">
        <v>18040</v>
      </c>
      <c r="X5187">
        <v>21</v>
      </c>
      <c r="Y5187" t="s">
        <v>24334</v>
      </c>
      <c r="Z5187" t="s">
        <v>30762</v>
      </c>
      <c r="AA5187">
        <v>0.42298342831883379</v>
      </c>
      <c r="AB5187" t="str">
        <f>HYPERLINK("Melting_Curves/meltCurve_Q9BR76_CORO1B.pdf", "Melting_Curves/meltCurve_Q9BR76_CORO1B.pdf")</f>
        <v>Melting_Curves/meltCurve_Q9BR76_CORO1B.pdf</v>
      </c>
    </row>
    <row r="5188" spans="1:28" x14ac:dyDescent="0.25">
      <c r="A5188" t="s">
        <v>5192</v>
      </c>
      <c r="B5188">
        <v>0.99673306730245903</v>
      </c>
      <c r="C5188">
        <v>0.93917708344533402</v>
      </c>
      <c r="D5188">
        <v>0.90705693137842303</v>
      </c>
      <c r="E5188">
        <v>0.86704527672419496</v>
      </c>
      <c r="F5188">
        <v>0.68306437161786904</v>
      </c>
      <c r="G5188">
        <v>0.433763280780466</v>
      </c>
      <c r="H5188">
        <v>0.230320398975003</v>
      </c>
      <c r="I5188">
        <v>0.193811073721223</v>
      </c>
      <c r="J5188">
        <v>0.23003645766724301</v>
      </c>
      <c r="K5188">
        <v>0.24929687474735701</v>
      </c>
      <c r="L5188">
        <v>1023.92518767969</v>
      </c>
      <c r="M5188">
        <v>18.9489360947805</v>
      </c>
      <c r="N5188">
        <v>55.453823915056702</v>
      </c>
      <c r="O5188">
        <v>53.444999648947899</v>
      </c>
      <c r="P5188">
        <v>-7.1623231284481906E-2</v>
      </c>
      <c r="Q5188">
        <v>0.191986433595945</v>
      </c>
      <c r="R5188">
        <v>0.98583853634802299</v>
      </c>
      <c r="S5188" t="s">
        <v>11640</v>
      </c>
      <c r="T5188" t="s">
        <v>12902</v>
      </c>
      <c r="U5188" t="s">
        <v>12902</v>
      </c>
      <c r="V5188" t="s">
        <v>12902</v>
      </c>
      <c r="W5188" t="s">
        <v>18041</v>
      </c>
      <c r="X5188">
        <v>3</v>
      </c>
      <c r="Y5188" t="s">
        <v>24335</v>
      </c>
      <c r="Z5188" t="s">
        <v>30763</v>
      </c>
      <c r="AA5188">
        <v>0.58197970216244554</v>
      </c>
      <c r="AB5188" t="str">
        <f>HYPERLINK("Melting_Curves/meltCurve_Q9BRA0_2_LSMD1.pdf", "Melting_Curves/meltCurve_Q9BRA0_2_LSMD1.pdf")</f>
        <v>Melting_Curves/meltCurve_Q9BRA0_2_LSMD1.pdf</v>
      </c>
    </row>
    <row r="5189" spans="1:28" x14ac:dyDescent="0.25">
      <c r="A5189" t="s">
        <v>5193</v>
      </c>
      <c r="B5189">
        <v>0.99673306730245903</v>
      </c>
      <c r="C5189">
        <v>1.0547150210324101</v>
      </c>
      <c r="D5189">
        <v>0.98653161121847399</v>
      </c>
      <c r="E5189">
        <v>0.74451639148271298</v>
      </c>
      <c r="F5189">
        <v>0.28766165032053398</v>
      </c>
      <c r="G5189">
        <v>0.18142769369167799</v>
      </c>
      <c r="H5189">
        <v>9.9369729673394899E-2</v>
      </c>
      <c r="I5189">
        <v>9.5466434859149102E-2</v>
      </c>
      <c r="J5189">
        <v>9.1521143704464097E-2</v>
      </c>
      <c r="K5189">
        <v>6.4750801521283305E-2</v>
      </c>
      <c r="L5189">
        <v>1564.96352614222</v>
      </c>
      <c r="M5189">
        <v>30.619793098047602</v>
      </c>
      <c r="N5189">
        <v>51.4591303492995</v>
      </c>
      <c r="O5189">
        <v>50.893027621928297</v>
      </c>
      <c r="P5189">
        <v>-0.136289045200223</v>
      </c>
      <c r="Q5189">
        <v>9.3903692663693902E-2</v>
      </c>
      <c r="R5189">
        <v>0.99585748033607602</v>
      </c>
      <c r="S5189" t="s">
        <v>11641</v>
      </c>
      <c r="T5189" t="s">
        <v>12902</v>
      </c>
      <c r="U5189" t="s">
        <v>12902</v>
      </c>
      <c r="V5189" t="s">
        <v>12902</v>
      </c>
      <c r="W5189" t="s">
        <v>18042</v>
      </c>
      <c r="X5189">
        <v>7</v>
      </c>
      <c r="Y5189" t="s">
        <v>24336</v>
      </c>
      <c r="Z5189" t="s">
        <v>30764</v>
      </c>
      <c r="AA5189">
        <v>0.43492577907308488</v>
      </c>
      <c r="AB5189" t="str">
        <f>HYPERLINK("Melting_Curves/meltCurve_Q9BRA2_TXNDC17.pdf", "Melting_Curves/meltCurve_Q9BRA2_TXNDC17.pdf")</f>
        <v>Melting_Curves/meltCurve_Q9BRA2_TXNDC17.pdf</v>
      </c>
    </row>
    <row r="5190" spans="1:28" x14ac:dyDescent="0.25">
      <c r="A5190" t="s">
        <v>5194</v>
      </c>
      <c r="B5190">
        <v>0.99673306730245903</v>
      </c>
      <c r="C5190">
        <v>0.889815247547451</v>
      </c>
      <c r="D5190">
        <v>0.91761827850394695</v>
      </c>
      <c r="E5190">
        <v>0.74609664769061101</v>
      </c>
      <c r="F5190">
        <v>0.51249923825526</v>
      </c>
      <c r="G5190">
        <v>0.33998495772005999</v>
      </c>
      <c r="H5190">
        <v>0.20698357430480699</v>
      </c>
      <c r="I5190">
        <v>0.278906091929357</v>
      </c>
      <c r="J5190">
        <v>0.48554753870635098</v>
      </c>
      <c r="K5190">
        <v>0.56794988800648505</v>
      </c>
      <c r="L5190">
        <v>1325.8356962469099</v>
      </c>
      <c r="M5190">
        <v>26.450757213177599</v>
      </c>
      <c r="N5190">
        <v>52.889145246713497</v>
      </c>
      <c r="O5190">
        <v>49.840803898868998</v>
      </c>
      <c r="P5190">
        <v>-8.2985684777407406E-2</v>
      </c>
      <c r="Q5190">
        <v>0.37453148103855899</v>
      </c>
      <c r="R5190">
        <v>0.85184931217615201</v>
      </c>
      <c r="S5190" t="s">
        <v>11642</v>
      </c>
      <c r="T5190" t="s">
        <v>12902</v>
      </c>
      <c r="U5190" t="s">
        <v>12902</v>
      </c>
      <c r="V5190" t="s">
        <v>12902</v>
      </c>
      <c r="W5190" t="s">
        <v>18043</v>
      </c>
      <c r="X5190">
        <v>7</v>
      </c>
      <c r="Y5190" t="s">
        <v>24337</v>
      </c>
      <c r="Z5190" t="s">
        <v>30765</v>
      </c>
      <c r="AA5190">
        <v>0.59061805641835341</v>
      </c>
      <c r="AB5190" t="str">
        <f>HYPERLINK("Melting_Curves/meltCurve_Q9BRD0_BUD13.pdf", "Melting_Curves/meltCurve_Q9BRD0_BUD13.pdf")</f>
        <v>Melting_Curves/meltCurve_Q9BRD0_BUD13.pdf</v>
      </c>
    </row>
    <row r="5191" spans="1:28" x14ac:dyDescent="0.25">
      <c r="A5191" t="s">
        <v>5195</v>
      </c>
      <c r="B5191">
        <v>0.99673306730245903</v>
      </c>
      <c r="C5191">
        <v>0.97620566311977897</v>
      </c>
      <c r="D5191">
        <v>1.15203225690853</v>
      </c>
      <c r="E5191">
        <v>0.92143596986273502</v>
      </c>
      <c r="F5191">
        <v>0.79331289867258703</v>
      </c>
      <c r="G5191">
        <v>0.54676963643652798</v>
      </c>
      <c r="H5191">
        <v>0.37067743211383403</v>
      </c>
      <c r="I5191">
        <v>0.46916752599414802</v>
      </c>
      <c r="J5191">
        <v>0.81284112004313802</v>
      </c>
      <c r="K5191">
        <v>0.38139966577624901</v>
      </c>
      <c r="L5191">
        <v>2190.5619683756199</v>
      </c>
      <c r="M5191">
        <v>40.961027793854299</v>
      </c>
      <c r="O5191">
        <v>53.3521896242625</v>
      </c>
      <c r="P5191">
        <v>-9.4420381898660796E-2</v>
      </c>
      <c r="Q5191">
        <v>0.50806665620247704</v>
      </c>
      <c r="R5191">
        <v>0.77709073235179404</v>
      </c>
      <c r="S5191" t="s">
        <v>11643</v>
      </c>
      <c r="T5191" t="s">
        <v>12902</v>
      </c>
      <c r="U5191" t="s">
        <v>12902</v>
      </c>
      <c r="V5191" t="s">
        <v>12902</v>
      </c>
      <c r="W5191" t="s">
        <v>18044</v>
      </c>
      <c r="X5191">
        <v>6</v>
      </c>
      <c r="Y5191" t="s">
        <v>24338</v>
      </c>
      <c r="Z5191" t="s">
        <v>30766</v>
      </c>
      <c r="AA5191">
        <v>0.73082665041061268</v>
      </c>
      <c r="AB5191" t="str">
        <f>HYPERLINK("Melting_Curves/meltCurve_Q9BRF8_CPPED1.pdf", "Melting_Curves/meltCurve_Q9BRF8_CPPED1.pdf")</f>
        <v>Melting_Curves/meltCurve_Q9BRF8_CPPED1.pdf</v>
      </c>
    </row>
    <row r="5192" spans="1:28" x14ac:dyDescent="0.25">
      <c r="A5192" t="s">
        <v>5196</v>
      </c>
      <c r="B5192">
        <v>0.99673306730245903</v>
      </c>
      <c r="C5192">
        <v>0.98515594859295896</v>
      </c>
      <c r="D5192">
        <v>0.94322136186984895</v>
      </c>
      <c r="E5192">
        <v>0.84037171108962205</v>
      </c>
      <c r="F5192">
        <v>0.42365020091698102</v>
      </c>
      <c r="G5192">
        <v>0.21276435646188899</v>
      </c>
      <c r="H5192">
        <v>0.114026666254815</v>
      </c>
      <c r="I5192">
        <v>0.10727300211961099</v>
      </c>
      <c r="J5192">
        <v>0.100347926868187</v>
      </c>
      <c r="K5192">
        <v>8.9266918641733903E-2</v>
      </c>
      <c r="L5192">
        <v>1368.9910359364801</v>
      </c>
      <c r="M5192">
        <v>26.215651812359202</v>
      </c>
      <c r="N5192">
        <v>52.652447062778798</v>
      </c>
      <c r="O5192">
        <v>51.919352562072902</v>
      </c>
      <c r="P5192">
        <v>-0.114017315275353</v>
      </c>
      <c r="Q5192">
        <v>9.6777869830315402E-2</v>
      </c>
      <c r="R5192">
        <v>0.99843894687433699</v>
      </c>
      <c r="S5192" t="s">
        <v>11644</v>
      </c>
      <c r="T5192" t="s">
        <v>12902</v>
      </c>
      <c r="U5192" t="s">
        <v>12902</v>
      </c>
      <c r="V5192" t="s">
        <v>12902</v>
      </c>
      <c r="W5192" t="s">
        <v>18045</v>
      </c>
      <c r="X5192">
        <v>6</v>
      </c>
      <c r="Y5192" t="s">
        <v>24339</v>
      </c>
      <c r="Z5192" t="s">
        <v>30767</v>
      </c>
      <c r="AA5192">
        <v>0.47224243382728309</v>
      </c>
      <c r="AB5192" t="str">
        <f>HYPERLINK("Melting_Curves/meltCurve_Q9BRG1_VPS25.pdf", "Melting_Curves/meltCurve_Q9BRG1_VPS25.pdf")</f>
        <v>Melting_Curves/meltCurve_Q9BRG1_VPS25.pdf</v>
      </c>
    </row>
    <row r="5193" spans="1:28" x14ac:dyDescent="0.25">
      <c r="A5193" t="s">
        <v>5197</v>
      </c>
      <c r="B5193">
        <v>0.99673306730245903</v>
      </c>
      <c r="C5193">
        <v>0.80837565989458204</v>
      </c>
      <c r="D5193">
        <v>0.45640750386078699</v>
      </c>
      <c r="E5193">
        <v>0.31980168294294697</v>
      </c>
      <c r="F5193">
        <v>0.19577662632916501</v>
      </c>
      <c r="G5193">
        <v>0.13354987452832301</v>
      </c>
      <c r="H5193">
        <v>0.112082751719217</v>
      </c>
      <c r="I5193">
        <v>0.104606615779508</v>
      </c>
      <c r="J5193">
        <v>0.12757872284760099</v>
      </c>
      <c r="K5193">
        <v>0.13973745235899601</v>
      </c>
      <c r="L5193">
        <v>909.57484078852599</v>
      </c>
      <c r="M5193">
        <v>20.018010568952</v>
      </c>
      <c r="N5193">
        <v>46.115267670715802</v>
      </c>
      <c r="O5193">
        <v>44.991667763342299</v>
      </c>
      <c r="P5193">
        <v>-9.7065381475777798E-2</v>
      </c>
      <c r="Q5193">
        <v>0.12738747653933</v>
      </c>
      <c r="R5193">
        <v>0.98850010480838302</v>
      </c>
      <c r="S5193" t="s">
        <v>11645</v>
      </c>
      <c r="T5193" t="s">
        <v>12902</v>
      </c>
      <c r="U5193" t="s">
        <v>12902</v>
      </c>
      <c r="V5193" t="s">
        <v>12902</v>
      </c>
      <c r="W5193" t="s">
        <v>18046</v>
      </c>
      <c r="X5193">
        <v>4</v>
      </c>
      <c r="Y5193" t="s">
        <v>24340</v>
      </c>
      <c r="Z5193" t="s">
        <v>30768</v>
      </c>
      <c r="AA5193">
        <v>0.29965049450714498</v>
      </c>
      <c r="AB5193" t="str">
        <f>HYPERLINK("Melting_Curves/meltCurve_Q9BRJ2_MRPL45.pdf", "Melting_Curves/meltCurve_Q9BRJ2_MRPL45.pdf")</f>
        <v>Melting_Curves/meltCurve_Q9BRJ2_MRPL45.pdf</v>
      </c>
    </row>
    <row r="5194" spans="1:28" x14ac:dyDescent="0.25">
      <c r="A5194" t="s">
        <v>5198</v>
      </c>
      <c r="B5194">
        <v>0.99673306730245903</v>
      </c>
      <c r="C5194">
        <v>0.94309077326826196</v>
      </c>
      <c r="D5194">
        <v>0.80440205459692105</v>
      </c>
      <c r="E5194">
        <v>0.60025547104867905</v>
      </c>
      <c r="F5194">
        <v>0.39394182783684001</v>
      </c>
      <c r="G5194">
        <v>0.289661343783289</v>
      </c>
      <c r="H5194">
        <v>0.227511167639143</v>
      </c>
      <c r="I5194">
        <v>0.31572186885734099</v>
      </c>
      <c r="J5194">
        <v>0.41421680714221798</v>
      </c>
      <c r="K5194">
        <v>0.39672858404008698</v>
      </c>
      <c r="L5194">
        <v>1055.8657742932</v>
      </c>
      <c r="M5194">
        <v>21.895244844654702</v>
      </c>
      <c r="N5194">
        <v>50.643083351081799</v>
      </c>
      <c r="O5194">
        <v>47.826663377865103</v>
      </c>
      <c r="P5194">
        <v>-7.7331231959745006E-2</v>
      </c>
      <c r="Q5194">
        <v>0.32434450449722602</v>
      </c>
      <c r="R5194">
        <v>0.95857404464783902</v>
      </c>
      <c r="S5194" t="s">
        <v>11646</v>
      </c>
      <c r="T5194" t="s">
        <v>12902</v>
      </c>
      <c r="U5194" t="s">
        <v>12902</v>
      </c>
      <c r="V5194" t="s">
        <v>12902</v>
      </c>
      <c r="W5194" t="s">
        <v>18047</v>
      </c>
      <c r="X5194">
        <v>11</v>
      </c>
      <c r="Y5194" t="s">
        <v>24341</v>
      </c>
      <c r="Z5194" t="s">
        <v>30769</v>
      </c>
      <c r="AA5194">
        <v>0.51745362818558549</v>
      </c>
      <c r="AB5194" t="str">
        <f>HYPERLINK("Melting_Curves/meltCurve_Q9BRK5_SDF4.pdf", "Melting_Curves/meltCurve_Q9BRK5_SDF4.pdf")</f>
        <v>Melting_Curves/meltCurve_Q9BRK5_SDF4.pdf</v>
      </c>
    </row>
    <row r="5195" spans="1:28" x14ac:dyDescent="0.25">
      <c r="A5195" t="s">
        <v>5199</v>
      </c>
      <c r="B5195">
        <v>0.99673306730245903</v>
      </c>
      <c r="C5195">
        <v>0.92039019860951998</v>
      </c>
      <c r="D5195">
        <v>0.77693339232936998</v>
      </c>
      <c r="E5195">
        <v>0.64943835848749298</v>
      </c>
      <c r="F5195">
        <v>0.42346224005926902</v>
      </c>
      <c r="G5195">
        <v>0.279180296871963</v>
      </c>
      <c r="H5195">
        <v>0.22035249133559601</v>
      </c>
      <c r="I5195">
        <v>0.292942759683047</v>
      </c>
      <c r="J5195">
        <v>0.49147716029921801</v>
      </c>
      <c r="K5195">
        <v>0.80512295556217495</v>
      </c>
      <c r="L5195">
        <v>1080.84708267473</v>
      </c>
      <c r="M5195">
        <v>22.822723232836999</v>
      </c>
      <c r="N5195">
        <v>51.411585974793503</v>
      </c>
      <c r="O5195">
        <v>46.999271715230499</v>
      </c>
      <c r="P5195">
        <v>-7.0741556568138894E-2</v>
      </c>
      <c r="Q5195">
        <v>0.41729336680727602</v>
      </c>
      <c r="R5195">
        <v>0.66060484530827901</v>
      </c>
      <c r="S5195" t="s">
        <v>11647</v>
      </c>
      <c r="T5195" t="s">
        <v>12902</v>
      </c>
      <c r="U5195" t="s">
        <v>12902</v>
      </c>
      <c r="V5195" t="s">
        <v>12902</v>
      </c>
      <c r="W5195" t="s">
        <v>18048</v>
      </c>
      <c r="X5195">
        <v>5</v>
      </c>
      <c r="Y5195" t="s">
        <v>24342</v>
      </c>
      <c r="Z5195" t="s">
        <v>30770</v>
      </c>
      <c r="AA5195">
        <v>0.56652973196869771</v>
      </c>
      <c r="AB5195" t="str">
        <f>HYPERLINK("Melting_Curves/meltCurve_Q9BRL6_2_SRSF8.pdf", "Melting_Curves/meltCurve_Q9BRL6_2_SRSF8.pdf")</f>
        <v>Melting_Curves/meltCurve_Q9BRL6_2_SRSF8.pdf</v>
      </c>
    </row>
    <row r="5196" spans="1:28" x14ac:dyDescent="0.25">
      <c r="A5196" t="s">
        <v>5200</v>
      </c>
      <c r="B5196">
        <v>0.99673306730245903</v>
      </c>
      <c r="C5196">
        <v>1.1108648715629099</v>
      </c>
      <c r="D5196">
        <v>0.40316332405143401</v>
      </c>
      <c r="E5196">
        <v>0.60953803888454305</v>
      </c>
      <c r="F5196">
        <v>0.10990143041040699</v>
      </c>
      <c r="G5196">
        <v>7.5969046539831095E-2</v>
      </c>
      <c r="H5196">
        <v>4.4429225078640701E-2</v>
      </c>
      <c r="I5196">
        <v>4.7030226713060501E-2</v>
      </c>
      <c r="J5196">
        <v>6.3655701624655198E-2</v>
      </c>
      <c r="K5196">
        <v>5.38724926368244E-2</v>
      </c>
      <c r="L5196">
        <v>807.09950323758403</v>
      </c>
      <c r="M5196">
        <v>16.805386618094399</v>
      </c>
      <c r="N5196">
        <v>48.228187207783101</v>
      </c>
      <c r="O5196">
        <v>47.3616632970786</v>
      </c>
      <c r="P5196">
        <v>-8.5699194790704994E-2</v>
      </c>
      <c r="Q5196">
        <v>3.3977848861302E-2</v>
      </c>
      <c r="R5196">
        <v>0.87866693277081098</v>
      </c>
      <c r="S5196" t="s">
        <v>11648</v>
      </c>
      <c r="T5196" t="s">
        <v>12902</v>
      </c>
      <c r="U5196" t="s">
        <v>12902</v>
      </c>
      <c r="V5196" t="s">
        <v>12902</v>
      </c>
      <c r="W5196" t="s">
        <v>18049</v>
      </c>
      <c r="X5196">
        <v>8</v>
      </c>
      <c r="Y5196" t="s">
        <v>24343</v>
      </c>
      <c r="Z5196" t="s">
        <v>30771</v>
      </c>
      <c r="AA5196">
        <v>0.31217110941960169</v>
      </c>
      <c r="AB5196" t="str">
        <f>HYPERLINK("Melting_Curves/meltCurve_Q9BRP1_PDCD2L.pdf", "Melting_Curves/meltCurve_Q9BRP1_PDCD2L.pdf")</f>
        <v>Melting_Curves/meltCurve_Q9BRP1_PDCD2L.pdf</v>
      </c>
    </row>
    <row r="5197" spans="1:28" x14ac:dyDescent="0.25">
      <c r="A5197" t="s">
        <v>5201</v>
      </c>
      <c r="B5197">
        <v>0.99673306730245903</v>
      </c>
      <c r="C5197">
        <v>0.99155907599236004</v>
      </c>
      <c r="D5197">
        <v>0.98411719393084296</v>
      </c>
      <c r="E5197">
        <v>1.0316817068308699</v>
      </c>
      <c r="F5197">
        <v>0.89361764536787403</v>
      </c>
      <c r="G5197">
        <v>0.70575264634079504</v>
      </c>
      <c r="H5197">
        <v>0.45266708015928098</v>
      </c>
      <c r="I5197">
        <v>0.149708997171281</v>
      </c>
      <c r="J5197">
        <v>0.11676175228067701</v>
      </c>
      <c r="K5197">
        <v>9.2142538958214698E-2</v>
      </c>
      <c r="L5197">
        <v>1209.9630504122899</v>
      </c>
      <c r="M5197">
        <v>20.384717341767399</v>
      </c>
      <c r="N5197">
        <v>59.535392233173198</v>
      </c>
      <c r="O5197">
        <v>58.794004682946998</v>
      </c>
      <c r="P5197">
        <v>-8.4104509407010003E-2</v>
      </c>
      <c r="Q5197">
        <v>2.9725634399778701E-2</v>
      </c>
      <c r="R5197">
        <v>0.99284877799722404</v>
      </c>
      <c r="S5197" t="s">
        <v>11649</v>
      </c>
      <c r="T5197" t="s">
        <v>12902</v>
      </c>
      <c r="U5197" t="s">
        <v>12902</v>
      </c>
      <c r="V5197" t="s">
        <v>12902</v>
      </c>
      <c r="W5197" t="s">
        <v>18050</v>
      </c>
      <c r="X5197">
        <v>10</v>
      </c>
      <c r="Y5197" t="s">
        <v>24344</v>
      </c>
      <c r="Z5197" t="s">
        <v>30772</v>
      </c>
      <c r="AA5197">
        <v>0.66490239091375336</v>
      </c>
      <c r="AB5197" t="str">
        <f>HYPERLINK("Melting_Curves/meltCurve_Q9BRP4_PAAF1.pdf", "Melting_Curves/meltCurve_Q9BRP4_PAAF1.pdf")</f>
        <v>Melting_Curves/meltCurve_Q9BRP4_PAAF1.pdf</v>
      </c>
    </row>
    <row r="5198" spans="1:28" x14ac:dyDescent="0.25">
      <c r="A5198" t="s">
        <v>5202</v>
      </c>
      <c r="B5198">
        <v>0.99673306730245903</v>
      </c>
      <c r="C5198">
        <v>0.97807032269602801</v>
      </c>
      <c r="D5198">
        <v>0.98612052173820897</v>
      </c>
      <c r="E5198">
        <v>0.91915301649761005</v>
      </c>
      <c r="F5198">
        <v>0.85567776378384797</v>
      </c>
      <c r="G5198">
        <v>0.79327038333381505</v>
      </c>
      <c r="H5198">
        <v>0.68345416820096905</v>
      </c>
      <c r="I5198">
        <v>1.05764856935134</v>
      </c>
      <c r="J5198">
        <v>1.6135898289284301</v>
      </c>
      <c r="K5198">
        <v>1.71348048415641</v>
      </c>
      <c r="L5198">
        <v>15000</v>
      </c>
      <c r="M5198">
        <v>232.34052763019301</v>
      </c>
      <c r="O5198">
        <v>64.555627959068403</v>
      </c>
      <c r="P5198">
        <v>0.449884339005727</v>
      </c>
      <c r="Q5198">
        <v>1.5</v>
      </c>
      <c r="R5198">
        <v>0.77593902757089905</v>
      </c>
      <c r="S5198" t="s">
        <v>11650</v>
      </c>
      <c r="T5198" t="s">
        <v>12902</v>
      </c>
      <c r="U5198" t="s">
        <v>12902</v>
      </c>
      <c r="V5198" t="s">
        <v>12902</v>
      </c>
      <c r="W5198" t="s">
        <v>18051</v>
      </c>
      <c r="X5198">
        <v>14</v>
      </c>
      <c r="Y5198" t="s">
        <v>24345</v>
      </c>
      <c r="Z5198" t="s">
        <v>30773</v>
      </c>
      <c r="AA5198">
        <v>1.090594220979648</v>
      </c>
      <c r="AB5198" t="str">
        <f>HYPERLINK("Melting_Curves/meltCurve_Q9BRP8_2_WIBG.pdf", "Melting_Curves/meltCurve_Q9BRP8_2_WIBG.pdf")</f>
        <v>Melting_Curves/meltCurve_Q9BRP8_2_WIBG.pdf</v>
      </c>
    </row>
    <row r="5199" spans="1:28" x14ac:dyDescent="0.25">
      <c r="A5199" t="s">
        <v>5203</v>
      </c>
      <c r="B5199">
        <v>0.99673306730245903</v>
      </c>
      <c r="C5199">
        <v>0.93190723582233004</v>
      </c>
      <c r="D5199">
        <v>0.81229800175644695</v>
      </c>
      <c r="E5199">
        <v>0.64346144338913702</v>
      </c>
      <c r="F5199">
        <v>0.388698978475019</v>
      </c>
      <c r="G5199">
        <v>0.25721961858341602</v>
      </c>
      <c r="H5199">
        <v>0.13709234626143499</v>
      </c>
      <c r="I5199">
        <v>0.122630421099872</v>
      </c>
      <c r="J5199">
        <v>0.122726721490528</v>
      </c>
      <c r="K5199">
        <v>0.11013891107498899</v>
      </c>
      <c r="L5199">
        <v>731.18993578592097</v>
      </c>
      <c r="M5199">
        <v>14.395089403616</v>
      </c>
      <c r="N5199">
        <v>51.448503535817899</v>
      </c>
      <c r="O5199">
        <v>49.844321739349503</v>
      </c>
      <c r="P5199">
        <v>-6.6170547341183494E-2</v>
      </c>
      <c r="Q5199">
        <v>8.3622329881251706E-2</v>
      </c>
      <c r="R5199">
        <v>0.99803158521326996</v>
      </c>
      <c r="S5199" t="s">
        <v>11651</v>
      </c>
      <c r="T5199" t="s">
        <v>12902</v>
      </c>
      <c r="U5199" t="s">
        <v>12902</v>
      </c>
      <c r="V5199" t="s">
        <v>12902</v>
      </c>
      <c r="W5199" t="s">
        <v>18052</v>
      </c>
      <c r="X5199">
        <v>2</v>
      </c>
      <c r="Y5199" t="s">
        <v>24346</v>
      </c>
      <c r="Z5199" t="s">
        <v>30774</v>
      </c>
      <c r="AA5199">
        <v>0.43616427065412011</v>
      </c>
      <c r="AB5199" t="str">
        <f>HYPERLINK("Melting_Curves/meltCurve_Q9BRQ8_AIFM2.pdf", "Melting_Curves/meltCurve_Q9BRQ8_AIFM2.pdf")</f>
        <v>Melting_Curves/meltCurve_Q9BRQ8_AIFM2.pdf</v>
      </c>
    </row>
    <row r="5200" spans="1:28" x14ac:dyDescent="0.25">
      <c r="A5200" t="s">
        <v>5204</v>
      </c>
      <c r="B5200">
        <v>0.99673306730245903</v>
      </c>
      <c r="C5200">
        <v>0.72598807521501896</v>
      </c>
      <c r="D5200">
        <v>0.61351897611883499</v>
      </c>
      <c r="E5200">
        <v>0.417155022954874</v>
      </c>
      <c r="F5200">
        <v>0.50749828528737495</v>
      </c>
      <c r="G5200">
        <v>0.25856627996906301</v>
      </c>
      <c r="H5200">
        <v>0.25338993521927</v>
      </c>
      <c r="I5200">
        <v>0.24748467293770701</v>
      </c>
      <c r="J5200">
        <v>0.297472005323071</v>
      </c>
      <c r="K5200">
        <v>0.26547869531718399</v>
      </c>
      <c r="L5200">
        <v>597.33264571708798</v>
      </c>
      <c r="M5200">
        <v>13.0246304226027</v>
      </c>
      <c r="N5200">
        <v>48.562028693368099</v>
      </c>
      <c r="O5200">
        <v>44.8210596749296</v>
      </c>
      <c r="P5200">
        <v>-5.3939667898839701E-2</v>
      </c>
      <c r="Q5200">
        <v>0.257649974383242</v>
      </c>
      <c r="R5200">
        <v>0.93005568719748799</v>
      </c>
      <c r="S5200" t="s">
        <v>11652</v>
      </c>
      <c r="T5200" t="s">
        <v>12902</v>
      </c>
      <c r="U5200" t="s">
        <v>12902</v>
      </c>
      <c r="V5200" t="s">
        <v>12902</v>
      </c>
      <c r="W5200" t="s">
        <v>18053</v>
      </c>
      <c r="X5200">
        <v>2</v>
      </c>
      <c r="Y5200" t="s">
        <v>24347</v>
      </c>
      <c r="Z5200" t="s">
        <v>30775</v>
      </c>
      <c r="AA5200">
        <v>0.43193521755517589</v>
      </c>
      <c r="AB5200" t="str">
        <f>HYPERLINK("Melting_Curves/meltCurve_Q9BRR0_2_ZKSCAN3.pdf", "Melting_Curves/meltCurve_Q9BRR0_2_ZKSCAN3.pdf")</f>
        <v>Melting_Curves/meltCurve_Q9BRR0_2_ZKSCAN3.pdf</v>
      </c>
    </row>
    <row r="5201" spans="1:28" x14ac:dyDescent="0.25">
      <c r="A5201" t="s">
        <v>5205</v>
      </c>
      <c r="B5201">
        <v>0.99673306730245903</v>
      </c>
      <c r="C5201">
        <v>0.97453248298692796</v>
      </c>
      <c r="D5201">
        <v>0.91978042577277497</v>
      </c>
      <c r="E5201">
        <v>0.78786897338512096</v>
      </c>
      <c r="F5201">
        <v>0.66789243715128299</v>
      </c>
      <c r="G5201">
        <v>0.43688101644027</v>
      </c>
      <c r="H5201">
        <v>0.23457666525025</v>
      </c>
      <c r="I5201">
        <v>9.5293756457142706E-2</v>
      </c>
      <c r="J5201">
        <v>0.111787062951258</v>
      </c>
      <c r="K5201">
        <v>0.107372088038574</v>
      </c>
      <c r="L5201">
        <v>729.72636039087001</v>
      </c>
      <c r="M5201">
        <v>13.197921396790401</v>
      </c>
      <c r="N5201">
        <v>55.410848121341701</v>
      </c>
      <c r="O5201">
        <v>54.067850109753302</v>
      </c>
      <c r="P5201">
        <v>-6.01761948505481E-2</v>
      </c>
      <c r="Q5201">
        <v>1.40703256928258E-2</v>
      </c>
      <c r="R5201">
        <v>0.99388599445765202</v>
      </c>
      <c r="S5201" t="s">
        <v>11653</v>
      </c>
      <c r="T5201" t="s">
        <v>12902</v>
      </c>
      <c r="U5201" t="s">
        <v>12902</v>
      </c>
      <c r="V5201" t="s">
        <v>12902</v>
      </c>
      <c r="W5201" t="s">
        <v>18054</v>
      </c>
      <c r="X5201">
        <v>7</v>
      </c>
      <c r="Y5201" t="s">
        <v>24348</v>
      </c>
      <c r="Z5201" t="s">
        <v>30776</v>
      </c>
      <c r="AA5201">
        <v>0.53745673220842372</v>
      </c>
      <c r="AB5201" t="str">
        <f>HYPERLINK("Melting_Curves/meltCurve_Q9BRR6_2_ADPGK.pdf", "Melting_Curves/meltCurve_Q9BRR6_2_ADPGK.pdf")</f>
        <v>Melting_Curves/meltCurve_Q9BRR6_2_ADPGK.pdf</v>
      </c>
    </row>
    <row r="5202" spans="1:28" x14ac:dyDescent="0.25">
      <c r="A5202" t="s">
        <v>5206</v>
      </c>
      <c r="B5202">
        <v>0.99673306730245903</v>
      </c>
      <c r="C5202">
        <v>0.90948142449803704</v>
      </c>
      <c r="D5202">
        <v>0.94135025869973699</v>
      </c>
      <c r="E5202">
        <v>0.85403351881299405</v>
      </c>
      <c r="F5202">
        <v>0.77905419346327398</v>
      </c>
      <c r="G5202">
        <v>0.66692366368968603</v>
      </c>
      <c r="H5202">
        <v>0.60507825337867704</v>
      </c>
      <c r="I5202">
        <v>0.264652029570211</v>
      </c>
      <c r="J5202">
        <v>0.16875607395437001</v>
      </c>
      <c r="K5202">
        <v>0.144455190372338</v>
      </c>
      <c r="L5202">
        <v>678.73004402648803</v>
      </c>
      <c r="M5202">
        <v>11.3185651232805</v>
      </c>
      <c r="N5202">
        <v>59.966085534448801</v>
      </c>
      <c r="O5202">
        <v>58.185696771980901</v>
      </c>
      <c r="P5202">
        <v>-4.8645914805251399E-2</v>
      </c>
      <c r="Q5202">
        <v>0</v>
      </c>
      <c r="R5202">
        <v>0.95771405473361404</v>
      </c>
      <c r="S5202" t="s">
        <v>11654</v>
      </c>
      <c r="T5202" t="s">
        <v>12902</v>
      </c>
      <c r="U5202" t="s">
        <v>12902</v>
      </c>
      <c r="V5202" t="s">
        <v>12902</v>
      </c>
      <c r="W5202" t="s">
        <v>18055</v>
      </c>
      <c r="X5202">
        <v>11</v>
      </c>
      <c r="Y5202" t="s">
        <v>24349</v>
      </c>
      <c r="Z5202" t="s">
        <v>30777</v>
      </c>
      <c r="AA5202">
        <v>0.66635992179469539</v>
      </c>
      <c r="AB5202" t="str">
        <f>HYPERLINK("Melting_Curves/meltCurve_Q9BRS2_RIOK1.pdf", "Melting_Curves/meltCurve_Q9BRS2_RIOK1.pdf")</f>
        <v>Melting_Curves/meltCurve_Q9BRS2_RIOK1.pdf</v>
      </c>
    </row>
    <row r="5203" spans="1:28" x14ac:dyDescent="0.25">
      <c r="A5203" t="s">
        <v>5207</v>
      </c>
      <c r="B5203">
        <v>0.99673306730245903</v>
      </c>
      <c r="C5203">
        <v>0.99464430772184598</v>
      </c>
      <c r="D5203">
        <v>0.97227936767074297</v>
      </c>
      <c r="E5203">
        <v>0.89054684904760495</v>
      </c>
      <c r="F5203">
        <v>0.66347334833553995</v>
      </c>
      <c r="G5203">
        <v>0.43893091231444997</v>
      </c>
      <c r="H5203">
        <v>0.197643051266921</v>
      </c>
      <c r="I5203">
        <v>0.18681504327295401</v>
      </c>
      <c r="J5203">
        <v>0.20252715480201899</v>
      </c>
      <c r="K5203">
        <v>0.19692687110901899</v>
      </c>
      <c r="L5203">
        <v>1131.3716110022999</v>
      </c>
      <c r="M5203">
        <v>20.846368412259999</v>
      </c>
      <c r="N5203">
        <v>55.362594744694903</v>
      </c>
      <c r="O5203">
        <v>53.7798726038436</v>
      </c>
      <c r="P5203">
        <v>-8.0588583430576302E-2</v>
      </c>
      <c r="Q5203">
        <v>0.168407000631181</v>
      </c>
      <c r="R5203">
        <v>0.99586331803432404</v>
      </c>
      <c r="S5203" t="s">
        <v>11655</v>
      </c>
      <c r="T5203" t="s">
        <v>12902</v>
      </c>
      <c r="U5203" t="s">
        <v>12902</v>
      </c>
      <c r="V5203" t="s">
        <v>12902</v>
      </c>
      <c r="W5203" t="s">
        <v>18056</v>
      </c>
      <c r="X5203">
        <v>7</v>
      </c>
      <c r="Y5203" t="s">
        <v>24350</v>
      </c>
      <c r="Z5203" t="s">
        <v>30778</v>
      </c>
      <c r="AA5203">
        <v>0.57454661363644766</v>
      </c>
      <c r="AB5203" t="str">
        <f>HYPERLINK("Melting_Curves/meltCurve_Q9BRT2_MNF1.pdf", "Melting_Curves/meltCurve_Q9BRT2_MNF1.pdf")</f>
        <v>Melting_Curves/meltCurve_Q9BRT2_MNF1.pdf</v>
      </c>
    </row>
    <row r="5204" spans="1:28" x14ac:dyDescent="0.25">
      <c r="A5204" t="s">
        <v>5208</v>
      </c>
      <c r="B5204">
        <v>0.99673306730245903</v>
      </c>
      <c r="C5204">
        <v>1.04267153705829</v>
      </c>
      <c r="D5204">
        <v>0.86655875060100096</v>
      </c>
      <c r="E5204">
        <v>0.84153966624269105</v>
      </c>
      <c r="F5204">
        <v>0.49486525794831099</v>
      </c>
      <c r="G5204">
        <v>0.33572424179516402</v>
      </c>
      <c r="H5204">
        <v>0.22865293828293501</v>
      </c>
      <c r="I5204">
        <v>0.31298215114749001</v>
      </c>
      <c r="J5204">
        <v>0.32117844666834899</v>
      </c>
      <c r="K5204">
        <v>0.31236283048659902</v>
      </c>
      <c r="L5204">
        <v>1377.87461201411</v>
      </c>
      <c r="M5204">
        <v>26.766736725669102</v>
      </c>
      <c r="N5204">
        <v>53.187414075542101</v>
      </c>
      <c r="O5204">
        <v>51.192361045485903</v>
      </c>
      <c r="P5204">
        <v>-9.2996748384828798E-2</v>
      </c>
      <c r="Q5204">
        <v>0.28856844334570098</v>
      </c>
      <c r="R5204">
        <v>0.97733150215322795</v>
      </c>
      <c r="S5204" t="s">
        <v>11656</v>
      </c>
      <c r="T5204" t="s">
        <v>12902</v>
      </c>
      <c r="U5204" t="s">
        <v>12902</v>
      </c>
      <c r="V5204" t="s">
        <v>12902</v>
      </c>
      <c r="W5204" t="s">
        <v>18057</v>
      </c>
      <c r="X5204">
        <v>2</v>
      </c>
      <c r="Y5204" t="s">
        <v>24351</v>
      </c>
      <c r="Z5204" t="s">
        <v>30779</v>
      </c>
      <c r="AA5204">
        <v>0.56639279302409096</v>
      </c>
      <c r="AB5204" t="str">
        <f>HYPERLINK("Melting_Curves/meltCurve_Q9BRT3_MIEN1.pdf", "Melting_Curves/meltCurve_Q9BRT3_MIEN1.pdf")</f>
        <v>Melting_Curves/meltCurve_Q9BRT3_MIEN1.pdf</v>
      </c>
    </row>
    <row r="5205" spans="1:28" x14ac:dyDescent="0.25">
      <c r="A5205" t="s">
        <v>5209</v>
      </c>
      <c r="B5205">
        <v>0.99673306730245903</v>
      </c>
      <c r="C5205">
        <v>0.913310438361287</v>
      </c>
      <c r="D5205">
        <v>0.66874268814576199</v>
      </c>
      <c r="E5205">
        <v>0.392416816380807</v>
      </c>
      <c r="F5205">
        <v>0.21914697934417199</v>
      </c>
      <c r="G5205">
        <v>0.134526734807732</v>
      </c>
      <c r="H5205">
        <v>8.6210297628733099E-2</v>
      </c>
      <c r="I5205">
        <v>7.3122598811004497E-2</v>
      </c>
      <c r="J5205">
        <v>8.0901940458603994E-2</v>
      </c>
      <c r="K5205">
        <v>7.1945481777644399E-2</v>
      </c>
      <c r="L5205">
        <v>846.63369055632995</v>
      </c>
      <c r="M5205">
        <v>17.709980697465799</v>
      </c>
      <c r="N5205">
        <v>48.231264863445297</v>
      </c>
      <c r="O5205">
        <v>47.208428589198803</v>
      </c>
      <c r="P5205">
        <v>-8.7003246079708899E-2</v>
      </c>
      <c r="Q5205">
        <v>7.2371599403015005E-2</v>
      </c>
      <c r="R5205">
        <v>0.99828028300175697</v>
      </c>
      <c r="S5205" t="s">
        <v>11657</v>
      </c>
      <c r="T5205" t="s">
        <v>12902</v>
      </c>
      <c r="U5205" t="s">
        <v>12902</v>
      </c>
      <c r="V5205" t="s">
        <v>12902</v>
      </c>
      <c r="W5205" t="s">
        <v>18058</v>
      </c>
      <c r="X5205">
        <v>9</v>
      </c>
      <c r="Y5205" t="s">
        <v>24352</v>
      </c>
      <c r="Z5205" t="s">
        <v>30780</v>
      </c>
      <c r="AA5205">
        <v>0.33085987684687729</v>
      </c>
      <c r="AB5205" t="str">
        <f>HYPERLINK("Melting_Curves/meltCurve_Q9BRT8_3_CBWD1.pdf", "Melting_Curves/meltCurve_Q9BRT8_3_CBWD1.pdf")</f>
        <v>Melting_Curves/meltCurve_Q9BRT8_3_CBWD1.pdf</v>
      </c>
    </row>
    <row r="5206" spans="1:28" x14ac:dyDescent="0.25">
      <c r="A5206" t="s">
        <v>5210</v>
      </c>
      <c r="B5206">
        <v>0.99673306730245903</v>
      </c>
      <c r="C5206">
        <v>0.95436176002680895</v>
      </c>
      <c r="D5206">
        <v>0.88581294566913105</v>
      </c>
      <c r="E5206">
        <v>0.72262393435618</v>
      </c>
      <c r="F5206">
        <v>0.248963501660067</v>
      </c>
      <c r="G5206">
        <v>0.16266921909965501</v>
      </c>
      <c r="H5206">
        <v>8.06252061421667E-2</v>
      </c>
      <c r="I5206">
        <v>8.9609949284991997E-2</v>
      </c>
      <c r="J5206">
        <v>9.9573761729600405E-2</v>
      </c>
      <c r="K5206">
        <v>9.3998048728063902E-2</v>
      </c>
      <c r="L5206">
        <v>1401.2863159810199</v>
      </c>
      <c r="M5206">
        <v>27.622440200709701</v>
      </c>
      <c r="N5206">
        <v>51.093774666833703</v>
      </c>
      <c r="O5206">
        <v>50.466353486555199</v>
      </c>
      <c r="P5206">
        <v>-0.124622051106483</v>
      </c>
      <c r="Q5206">
        <v>8.9267598474645604E-2</v>
      </c>
      <c r="R5206">
        <v>0.99319448570578095</v>
      </c>
      <c r="S5206" t="s">
        <v>11658</v>
      </c>
      <c r="T5206" t="s">
        <v>12902</v>
      </c>
      <c r="U5206" t="s">
        <v>12902</v>
      </c>
      <c r="V5206" t="s">
        <v>12902</v>
      </c>
      <c r="W5206" t="s">
        <v>18059</v>
      </c>
      <c r="X5206">
        <v>9</v>
      </c>
      <c r="Y5206" t="s">
        <v>24353</v>
      </c>
      <c r="Z5206" t="s">
        <v>30781</v>
      </c>
      <c r="AA5206">
        <v>0.42173272504260262</v>
      </c>
      <c r="AB5206" t="str">
        <f>HYPERLINK("Melting_Curves/meltCurve_Q9BRT9_GINS4.pdf", "Melting_Curves/meltCurve_Q9BRT9_GINS4.pdf")</f>
        <v>Melting_Curves/meltCurve_Q9BRT9_GINS4.pdf</v>
      </c>
    </row>
    <row r="5207" spans="1:28" x14ac:dyDescent="0.25">
      <c r="A5207" t="s">
        <v>5211</v>
      </c>
      <c r="B5207">
        <v>0.99673306730245903</v>
      </c>
      <c r="C5207">
        <v>0.95767945388828102</v>
      </c>
      <c r="D5207">
        <v>0.82539941092848501</v>
      </c>
      <c r="E5207">
        <v>0.71120329305223495</v>
      </c>
      <c r="F5207">
        <v>0.61059946565003098</v>
      </c>
      <c r="G5207">
        <v>0.48158524990190299</v>
      </c>
      <c r="H5207">
        <v>0.361102426834507</v>
      </c>
      <c r="I5207">
        <v>0.44186745389617399</v>
      </c>
      <c r="J5207">
        <v>0.57130953599167</v>
      </c>
      <c r="K5207">
        <v>0.51598344078729996</v>
      </c>
      <c r="L5207">
        <v>832.94188676508702</v>
      </c>
      <c r="M5207">
        <v>17.1041370200182</v>
      </c>
      <c r="N5207">
        <v>57.9684023188411</v>
      </c>
      <c r="O5207">
        <v>48.047204495618502</v>
      </c>
      <c r="P5207">
        <v>-4.7388083935070303E-2</v>
      </c>
      <c r="Q5207">
        <v>0.46756084861457498</v>
      </c>
      <c r="R5207">
        <v>0.92482111475642104</v>
      </c>
      <c r="S5207" t="s">
        <v>11659</v>
      </c>
      <c r="T5207" t="s">
        <v>12902</v>
      </c>
      <c r="U5207" t="s">
        <v>12902</v>
      </c>
      <c r="V5207" t="s">
        <v>12902</v>
      </c>
      <c r="W5207" t="s">
        <v>18060</v>
      </c>
      <c r="X5207">
        <v>3</v>
      </c>
      <c r="Y5207" t="s">
        <v>24354</v>
      </c>
      <c r="Z5207" t="s">
        <v>30782</v>
      </c>
      <c r="AA5207">
        <v>0.63221919495423362</v>
      </c>
      <c r="AB5207" t="str">
        <f>HYPERLINK("Melting_Curves/meltCurve_Q9BRV8_SIKE1.pdf", "Melting_Curves/meltCurve_Q9BRV8_SIKE1.pdf")</f>
        <v>Melting_Curves/meltCurve_Q9BRV8_SIKE1.pdf</v>
      </c>
    </row>
    <row r="5208" spans="1:28" x14ac:dyDescent="0.25">
      <c r="A5208" t="s">
        <v>5212</v>
      </c>
      <c r="B5208">
        <v>0.99673306730245903</v>
      </c>
      <c r="C5208">
        <v>0.84915540384779098</v>
      </c>
      <c r="D5208">
        <v>0.36551432747062201</v>
      </c>
      <c r="E5208">
        <v>0.173733517097449</v>
      </c>
      <c r="F5208">
        <v>0.10268734534160499</v>
      </c>
      <c r="G5208">
        <v>6.3345073510596095E-2</v>
      </c>
      <c r="H5208">
        <v>4.0691617814485499E-2</v>
      </c>
      <c r="I5208">
        <v>3.6990175934391002E-2</v>
      </c>
      <c r="J5208">
        <v>4.05643046282224E-2</v>
      </c>
      <c r="K5208">
        <v>4.0378222140969498E-2</v>
      </c>
      <c r="L5208">
        <v>1319.9043182794701</v>
      </c>
      <c r="M5208">
        <v>29.2673513030945</v>
      </c>
      <c r="N5208">
        <v>45.287387931553397</v>
      </c>
      <c r="O5208">
        <v>44.889211069892198</v>
      </c>
      <c r="P5208">
        <v>-0.153618425292849</v>
      </c>
      <c r="Q5208">
        <v>5.7549151615851897E-2</v>
      </c>
      <c r="R5208">
        <v>0.993762091757739</v>
      </c>
      <c r="S5208" t="s">
        <v>11660</v>
      </c>
      <c r="T5208" t="s">
        <v>12902</v>
      </c>
      <c r="U5208" t="s">
        <v>12902</v>
      </c>
      <c r="V5208" t="s">
        <v>12902</v>
      </c>
      <c r="W5208" t="s">
        <v>18061</v>
      </c>
      <c r="X5208">
        <v>16</v>
      </c>
      <c r="Y5208" t="s">
        <v>24355</v>
      </c>
      <c r="Z5208" t="s">
        <v>30783</v>
      </c>
      <c r="AA5208">
        <v>0.22408940679215381</v>
      </c>
      <c r="AB5208" t="str">
        <f>HYPERLINK("Melting_Curves/meltCurve_Q9BRX2_PELO.pdf", "Melting_Curves/meltCurve_Q9BRX2_PELO.pdf")</f>
        <v>Melting_Curves/meltCurve_Q9BRX2_PELO.pdf</v>
      </c>
    </row>
    <row r="5209" spans="1:28" x14ac:dyDescent="0.25">
      <c r="A5209" t="s">
        <v>5213</v>
      </c>
      <c r="B5209">
        <v>0.99673306730245903</v>
      </c>
      <c r="C5209">
        <v>1.0087466414394799</v>
      </c>
      <c r="D5209">
        <v>0.99941491573037</v>
      </c>
      <c r="E5209">
        <v>0.87644945486784698</v>
      </c>
      <c r="F5209">
        <v>0.240314291724878</v>
      </c>
      <c r="G5209">
        <v>0.14788392744332199</v>
      </c>
      <c r="H5209">
        <v>8.1993006810825803E-2</v>
      </c>
      <c r="I5209">
        <v>8.3197089827498905E-2</v>
      </c>
      <c r="J5209">
        <v>9.8136103328180596E-2</v>
      </c>
      <c r="K5209">
        <v>0.14965348345071999</v>
      </c>
      <c r="L5209">
        <v>2599.5959663590702</v>
      </c>
      <c r="M5209">
        <v>50.599922805182501</v>
      </c>
      <c r="N5209">
        <v>51.629342139730703</v>
      </c>
      <c r="O5209">
        <v>51.295445724292598</v>
      </c>
      <c r="P5209">
        <v>-0.21944990743037601</v>
      </c>
      <c r="Q5209">
        <v>0.110135402747</v>
      </c>
      <c r="R5209">
        <v>0.99749089166221205</v>
      </c>
      <c r="S5209" t="s">
        <v>11661</v>
      </c>
      <c r="T5209" t="s">
        <v>12902</v>
      </c>
      <c r="U5209" t="s">
        <v>12902</v>
      </c>
      <c r="V5209" t="s">
        <v>12902</v>
      </c>
      <c r="W5209" t="s">
        <v>18062</v>
      </c>
      <c r="X5209">
        <v>6</v>
      </c>
      <c r="Y5209" t="s">
        <v>24356</v>
      </c>
      <c r="Z5209" t="s">
        <v>30784</v>
      </c>
      <c r="AA5209">
        <v>0.44952574795735672</v>
      </c>
      <c r="AB5209" t="str">
        <f>HYPERLINK("Melting_Curves/meltCurve_Q9BRX5_GINS3.pdf", "Melting_Curves/meltCurve_Q9BRX5_GINS3.pdf")</f>
        <v>Melting_Curves/meltCurve_Q9BRX5_GINS3.pdf</v>
      </c>
    </row>
    <row r="5210" spans="1:28" x14ac:dyDescent="0.25">
      <c r="A5210" t="s">
        <v>5214</v>
      </c>
      <c r="B5210">
        <v>0.99673306730245903</v>
      </c>
      <c r="C5210">
        <v>1.00485059617227</v>
      </c>
      <c r="D5210">
        <v>0.70658034753559595</v>
      </c>
      <c r="E5210">
        <v>0.84100183500111902</v>
      </c>
      <c r="F5210">
        <v>0.65037280824908605</v>
      </c>
      <c r="G5210">
        <v>0.53293353214523198</v>
      </c>
      <c r="H5210">
        <v>0.16929307367115401</v>
      </c>
      <c r="I5210">
        <v>8.3868848475524602E-2</v>
      </c>
      <c r="J5210">
        <v>7.7981438842008005E-2</v>
      </c>
      <c r="K5210">
        <v>6.2734475247669702E-2</v>
      </c>
      <c r="L5210">
        <v>702.58512292359296</v>
      </c>
      <c r="M5210">
        <v>12.696026915272901</v>
      </c>
      <c r="N5210">
        <v>55.338971257041102</v>
      </c>
      <c r="O5210">
        <v>54.019923732697897</v>
      </c>
      <c r="P5210">
        <v>-5.8767598589347797E-2</v>
      </c>
      <c r="Q5210">
        <v>0</v>
      </c>
      <c r="R5210">
        <v>0.94357092767679396</v>
      </c>
      <c r="S5210" t="s">
        <v>11662</v>
      </c>
      <c r="T5210" t="s">
        <v>12902</v>
      </c>
      <c r="U5210" t="s">
        <v>12902</v>
      </c>
      <c r="V5210" t="s">
        <v>12902</v>
      </c>
      <c r="W5210" t="s">
        <v>18063</v>
      </c>
      <c r="X5210">
        <v>14</v>
      </c>
      <c r="Y5210" t="s">
        <v>24357</v>
      </c>
      <c r="Z5210" t="s">
        <v>30785</v>
      </c>
      <c r="AA5210">
        <v>0.53295385115011551</v>
      </c>
      <c r="AB5210" t="str">
        <f>HYPERLINK("Melting_Curves/meltCurve_Q9BRX8_2_FAM213A.pdf", "Melting_Curves/meltCurve_Q9BRX8_2_FAM213A.pdf")</f>
        <v>Melting_Curves/meltCurve_Q9BRX8_2_FAM213A.pdf</v>
      </c>
    </row>
    <row r="5211" spans="1:28" x14ac:dyDescent="0.25">
      <c r="A5211" t="s">
        <v>5215</v>
      </c>
      <c r="B5211">
        <v>0.99673306730245903</v>
      </c>
      <c r="C5211">
        <v>0.74969824567418597</v>
      </c>
      <c r="D5211">
        <v>0.83099697421594898</v>
      </c>
      <c r="E5211">
        <v>0.50061500367725897</v>
      </c>
      <c r="F5211">
        <v>0.32808718275396198</v>
      </c>
      <c r="G5211">
        <v>0.38741692377304898</v>
      </c>
      <c r="H5211">
        <v>0.247336273621765</v>
      </c>
      <c r="I5211">
        <v>6.3307482007607302E-2</v>
      </c>
      <c r="J5211">
        <v>9.2999231446780697E-2</v>
      </c>
      <c r="K5211">
        <v>0.114306236115905</v>
      </c>
      <c r="L5211">
        <v>476.70246566682101</v>
      </c>
      <c r="M5211">
        <v>9.42139730973925</v>
      </c>
      <c r="N5211">
        <v>50.886470950033498</v>
      </c>
      <c r="O5211">
        <v>48.4753997056158</v>
      </c>
      <c r="P5211">
        <v>-4.7353315280393098E-2</v>
      </c>
      <c r="Q5211">
        <v>2.6016930512538599E-2</v>
      </c>
      <c r="R5211">
        <v>0.94279536461665003</v>
      </c>
      <c r="S5211" t="s">
        <v>11663</v>
      </c>
      <c r="T5211" t="s">
        <v>12902</v>
      </c>
      <c r="U5211" t="s">
        <v>12902</v>
      </c>
      <c r="V5211" t="s">
        <v>12902</v>
      </c>
      <c r="W5211" t="s">
        <v>18064</v>
      </c>
      <c r="X5211">
        <v>1</v>
      </c>
      <c r="Y5211" t="s">
        <v>24358</v>
      </c>
      <c r="Z5211" t="s">
        <v>30786</v>
      </c>
      <c r="AA5211">
        <v>0.41527149509510469</v>
      </c>
      <c r="AB5211" t="str">
        <f>HYPERLINK("Melting_Curves/meltCurve_Q9BRZ2_TRIM56.pdf", "Melting_Curves/meltCurve_Q9BRZ2_TRIM56.pdf")</f>
        <v>Melting_Curves/meltCurve_Q9BRZ2_TRIM56.pdf</v>
      </c>
    </row>
    <row r="5212" spans="1:28" x14ac:dyDescent="0.25">
      <c r="A5212" t="s">
        <v>5216</v>
      </c>
      <c r="B5212">
        <v>0.99673306730245903</v>
      </c>
      <c r="C5212">
        <v>0.949546558454334</v>
      </c>
      <c r="D5212">
        <v>0.90892051880870905</v>
      </c>
      <c r="E5212">
        <v>0.777585503005087</v>
      </c>
      <c r="F5212">
        <v>0.84995509262681102</v>
      </c>
      <c r="G5212">
        <v>0.55991651188983405</v>
      </c>
      <c r="H5212">
        <v>0.39583069801423698</v>
      </c>
      <c r="I5212">
        <v>0.48617963673796</v>
      </c>
      <c r="J5212">
        <v>0.37072890629238597</v>
      </c>
      <c r="K5212">
        <v>0.34859309618855799</v>
      </c>
      <c r="L5212">
        <v>573.69831500046098</v>
      </c>
      <c r="M5212">
        <v>10.2902548832033</v>
      </c>
      <c r="N5212">
        <v>60.185859014033198</v>
      </c>
      <c r="O5212">
        <v>53.769247442837099</v>
      </c>
      <c r="P5212">
        <v>-3.5146006725940801E-2</v>
      </c>
      <c r="Q5212">
        <v>0.26573213111084998</v>
      </c>
      <c r="R5212">
        <v>0.94186944216865898</v>
      </c>
      <c r="S5212" t="s">
        <v>11664</v>
      </c>
      <c r="T5212" t="s">
        <v>12902</v>
      </c>
      <c r="U5212" t="s">
        <v>12902</v>
      </c>
      <c r="V5212" t="s">
        <v>12902</v>
      </c>
      <c r="W5212" t="s">
        <v>18065</v>
      </c>
      <c r="X5212">
        <v>2</v>
      </c>
      <c r="Y5212" t="s">
        <v>24359</v>
      </c>
      <c r="Z5212" t="s">
        <v>30787</v>
      </c>
      <c r="AA5212">
        <v>0.66759692988556174</v>
      </c>
      <c r="AB5212" t="str">
        <f>HYPERLINK("Melting_Curves/meltCurve_Q9BS18_ANAPC13.pdf", "Melting_Curves/meltCurve_Q9BS18_ANAPC13.pdf")</f>
        <v>Melting_Curves/meltCurve_Q9BS18_ANAPC13.pdf</v>
      </c>
    </row>
    <row r="5213" spans="1:28" x14ac:dyDescent="0.25">
      <c r="A5213" t="s">
        <v>5217</v>
      </c>
      <c r="B5213">
        <v>0.99673306730245903</v>
      </c>
      <c r="C5213">
        <v>0.90290115167693397</v>
      </c>
      <c r="D5213">
        <v>1.0451896971341399</v>
      </c>
      <c r="E5213">
        <v>0.91131082316673595</v>
      </c>
      <c r="F5213">
        <v>0.44169913049173898</v>
      </c>
      <c r="G5213">
        <v>0.20434086629210799</v>
      </c>
      <c r="H5213">
        <v>0.127805087255105</v>
      </c>
      <c r="I5213">
        <v>0.102996060948419</v>
      </c>
      <c r="J5213">
        <v>9.3923588537333597E-2</v>
      </c>
      <c r="K5213">
        <v>6.9813046549621005E-2</v>
      </c>
      <c r="L5213">
        <v>1778.5132168985001</v>
      </c>
      <c r="M5213">
        <v>33.834914084982003</v>
      </c>
      <c r="N5213">
        <v>52.919654933848499</v>
      </c>
      <c r="O5213">
        <v>52.381841762293199</v>
      </c>
      <c r="P5213">
        <v>-0.145079342205785</v>
      </c>
      <c r="Q5213">
        <v>0.10157990015228199</v>
      </c>
      <c r="R5213">
        <v>0.99042932674314499</v>
      </c>
      <c r="S5213" t="s">
        <v>11665</v>
      </c>
      <c r="T5213" t="s">
        <v>12902</v>
      </c>
      <c r="U5213" t="s">
        <v>12902</v>
      </c>
      <c r="V5213" t="s">
        <v>12902</v>
      </c>
      <c r="W5213" t="s">
        <v>18066</v>
      </c>
      <c r="X5213">
        <v>28</v>
      </c>
      <c r="Y5213" t="s">
        <v>24360</v>
      </c>
      <c r="Z5213" t="s">
        <v>30788</v>
      </c>
      <c r="AA5213">
        <v>0.48241220734191392</v>
      </c>
      <c r="AB5213" t="str">
        <f>HYPERLINK("Melting_Curves/meltCurve_Q9BS26_ERP44.pdf", "Melting_Curves/meltCurve_Q9BS26_ERP44.pdf")</f>
        <v>Melting_Curves/meltCurve_Q9BS26_ERP44.pdf</v>
      </c>
    </row>
    <row r="5214" spans="1:28" x14ac:dyDescent="0.25">
      <c r="A5214" t="s">
        <v>5218</v>
      </c>
      <c r="B5214">
        <v>0.99673306730245903</v>
      </c>
      <c r="C5214">
        <v>0.85910368675591298</v>
      </c>
      <c r="D5214">
        <v>0.62920064097015505</v>
      </c>
      <c r="E5214">
        <v>0.51709222923684905</v>
      </c>
      <c r="F5214">
        <v>0.41613680387843299</v>
      </c>
      <c r="G5214">
        <v>0.30934533925110302</v>
      </c>
      <c r="H5214">
        <v>0.18475078977235501</v>
      </c>
      <c r="I5214">
        <v>0.18750417356214</v>
      </c>
      <c r="J5214">
        <v>0.21271265053701199</v>
      </c>
      <c r="K5214">
        <v>0.137798839620981</v>
      </c>
      <c r="L5214">
        <v>542.54698028422297</v>
      </c>
      <c r="M5214">
        <v>11.170122991782099</v>
      </c>
      <c r="N5214">
        <v>50.040318928694802</v>
      </c>
      <c r="O5214">
        <v>47.092534910882101</v>
      </c>
      <c r="P5214">
        <v>-5.1025530823338099E-2</v>
      </c>
      <c r="Q5214">
        <v>0.13979193085737901</v>
      </c>
      <c r="R5214">
        <v>0.98040745695849796</v>
      </c>
      <c r="S5214" t="s">
        <v>11666</v>
      </c>
      <c r="T5214" t="s">
        <v>12902</v>
      </c>
      <c r="U5214" t="s">
        <v>12902</v>
      </c>
      <c r="V5214" t="s">
        <v>12902</v>
      </c>
      <c r="W5214" t="s">
        <v>18067</v>
      </c>
      <c r="X5214">
        <v>8</v>
      </c>
      <c r="Y5214" t="s">
        <v>24361</v>
      </c>
      <c r="Z5214" t="s">
        <v>30789</v>
      </c>
      <c r="AA5214">
        <v>0.42215248466375849</v>
      </c>
      <c r="AB5214" t="str">
        <f>HYPERLINK("Melting_Curves/meltCurve_Q9BSB4_ATG101.pdf", "Melting_Curves/meltCurve_Q9BSB4_ATG101.pdf")</f>
        <v>Melting_Curves/meltCurve_Q9BSB4_ATG101.pdf</v>
      </c>
    </row>
    <row r="5215" spans="1:28" x14ac:dyDescent="0.25">
      <c r="A5215" t="s">
        <v>5219</v>
      </c>
      <c r="B5215">
        <v>0.99673306730245903</v>
      </c>
      <c r="C5215">
        <v>0.981907458830239</v>
      </c>
      <c r="D5215">
        <v>0.89832082453619899</v>
      </c>
      <c r="E5215">
        <v>0.72685796205464503</v>
      </c>
      <c r="F5215">
        <v>0.249738866642637</v>
      </c>
      <c r="G5215">
        <v>0.114095917977506</v>
      </c>
      <c r="H5215">
        <v>6.21031077678878E-2</v>
      </c>
      <c r="I5215">
        <v>6.4397364273875005E-2</v>
      </c>
      <c r="J5215">
        <v>7.6171687999074103E-2</v>
      </c>
      <c r="K5215">
        <v>7.4967166699938401E-2</v>
      </c>
      <c r="L5215">
        <v>1487.2184169182201</v>
      </c>
      <c r="M5215">
        <v>29.233291239679701</v>
      </c>
      <c r="N5215">
        <v>51.120494477755997</v>
      </c>
      <c r="O5215">
        <v>50.6378548064257</v>
      </c>
      <c r="P5215">
        <v>-0.134843777892311</v>
      </c>
      <c r="Q5215">
        <v>6.570217049773E-2</v>
      </c>
      <c r="R5215">
        <v>0.99659512776266901</v>
      </c>
      <c r="S5215" t="s">
        <v>11667</v>
      </c>
      <c r="T5215" t="s">
        <v>12902</v>
      </c>
      <c r="U5215" t="s">
        <v>12902</v>
      </c>
      <c r="V5215" t="s">
        <v>12902</v>
      </c>
      <c r="W5215" t="s">
        <v>18068</v>
      </c>
      <c r="X5215">
        <v>9</v>
      </c>
      <c r="Y5215" t="s">
        <v>24362</v>
      </c>
      <c r="Z5215" t="s">
        <v>30790</v>
      </c>
      <c r="AA5215">
        <v>0.41053259613009302</v>
      </c>
      <c r="AB5215" t="str">
        <f>HYPERLINK("Melting_Curves/meltCurve_Q9BSD7_NTPCR.pdf", "Melting_Curves/meltCurve_Q9BSD7_NTPCR.pdf")</f>
        <v>Melting_Curves/meltCurve_Q9BSD7_NTPCR.pdf</v>
      </c>
    </row>
    <row r="5216" spans="1:28" x14ac:dyDescent="0.25">
      <c r="A5216" t="s">
        <v>5220</v>
      </c>
      <c r="B5216">
        <v>0.99673306730245903</v>
      </c>
      <c r="C5216">
        <v>1.05910493273489</v>
      </c>
      <c r="D5216">
        <v>0.66532536282911003</v>
      </c>
      <c r="E5216">
        <v>0.85080083983962895</v>
      </c>
      <c r="F5216">
        <v>0.74484413090664303</v>
      </c>
      <c r="G5216">
        <v>0.59993395092147905</v>
      </c>
      <c r="H5216">
        <v>0.28405087406563101</v>
      </c>
      <c r="I5216">
        <v>0.25027121233601002</v>
      </c>
      <c r="J5216">
        <v>7.7613832281557799E-2</v>
      </c>
      <c r="K5216">
        <v>0</v>
      </c>
      <c r="L5216">
        <v>693.30521001483305</v>
      </c>
      <c r="M5216">
        <v>12.158298092920599</v>
      </c>
      <c r="N5216">
        <v>57.023209507805703</v>
      </c>
      <c r="O5216">
        <v>55.546360535849303</v>
      </c>
      <c r="P5216">
        <v>-5.4733924265808698E-2</v>
      </c>
      <c r="Q5216">
        <v>0</v>
      </c>
      <c r="R5216">
        <v>0.913756756066884</v>
      </c>
      <c r="S5216" t="s">
        <v>11668</v>
      </c>
      <c r="T5216" t="s">
        <v>12902</v>
      </c>
      <c r="U5216" t="s">
        <v>12902</v>
      </c>
      <c r="V5216" t="s">
        <v>12902</v>
      </c>
      <c r="W5216" t="s">
        <v>18069</v>
      </c>
      <c r="X5216">
        <v>3</v>
      </c>
      <c r="Y5216" t="s">
        <v>24363</v>
      </c>
      <c r="Z5216" t="s">
        <v>30791</v>
      </c>
      <c r="AA5216">
        <v>0.58418887120111718</v>
      </c>
      <c r="AB5216" t="str">
        <f>HYPERLINK("Melting_Curves/meltCurve_Q9BSE5_AGMAT.pdf", "Melting_Curves/meltCurve_Q9BSE5_AGMAT.pdf")</f>
        <v>Melting_Curves/meltCurve_Q9BSE5_AGMAT.pdf</v>
      </c>
    </row>
    <row r="5217" spans="1:28" x14ac:dyDescent="0.25">
      <c r="A5217" t="s">
        <v>5221</v>
      </c>
      <c r="B5217">
        <v>0.99673306730245903</v>
      </c>
      <c r="C5217">
        <v>0.97317468970745202</v>
      </c>
      <c r="D5217">
        <v>0.92713419304474198</v>
      </c>
      <c r="E5217">
        <v>0.72861424891984805</v>
      </c>
      <c r="F5217">
        <v>0.63592822749410005</v>
      </c>
      <c r="G5217">
        <v>0.47967886661741099</v>
      </c>
      <c r="H5217">
        <v>0.29440944081318399</v>
      </c>
      <c r="I5217">
        <v>0.339712117314313</v>
      </c>
      <c r="J5217">
        <v>0.39375778555420199</v>
      </c>
      <c r="K5217">
        <v>0.37485415407012201</v>
      </c>
      <c r="L5217">
        <v>826.01789325758705</v>
      </c>
      <c r="M5217">
        <v>16.0137422957247</v>
      </c>
      <c r="N5217">
        <v>55.395546934573403</v>
      </c>
      <c r="O5217">
        <v>50.797543870187098</v>
      </c>
      <c r="P5217">
        <v>-5.2494491655671702E-2</v>
      </c>
      <c r="Q5217">
        <v>0.33397636923507401</v>
      </c>
      <c r="R5217">
        <v>0.97558511475197696</v>
      </c>
      <c r="S5217" t="s">
        <v>11669</v>
      </c>
      <c r="T5217" t="s">
        <v>12902</v>
      </c>
      <c r="U5217" t="s">
        <v>12902</v>
      </c>
      <c r="V5217" t="s">
        <v>12902</v>
      </c>
      <c r="W5217" t="s">
        <v>18070</v>
      </c>
      <c r="X5217">
        <v>9</v>
      </c>
      <c r="Y5217" t="s">
        <v>24364</v>
      </c>
      <c r="Z5217" t="s">
        <v>30792</v>
      </c>
      <c r="AA5217">
        <v>0.60469204749758176</v>
      </c>
      <c r="AB5217" t="str">
        <f>HYPERLINK("Melting_Curves/meltCurve_Q9BSF4_C19orf52.pdf", "Melting_Curves/meltCurve_Q9BSF4_C19orf52.pdf")</f>
        <v>Melting_Curves/meltCurve_Q9BSF4_C19orf52.pdf</v>
      </c>
    </row>
    <row r="5218" spans="1:28" x14ac:dyDescent="0.25">
      <c r="A5218" t="s">
        <v>5222</v>
      </c>
      <c r="B5218">
        <v>0.99673306730245903</v>
      </c>
      <c r="C5218">
        <v>1.00345584535916</v>
      </c>
      <c r="D5218">
        <v>0.775265370576255</v>
      </c>
      <c r="E5218">
        <v>0.37187799107264402</v>
      </c>
      <c r="F5218">
        <v>0.26511729762277397</v>
      </c>
      <c r="G5218">
        <v>0.147373001884025</v>
      </c>
      <c r="H5218">
        <v>0.116699839384503</v>
      </c>
      <c r="I5218">
        <v>8.6773696332217501E-2</v>
      </c>
      <c r="J5218">
        <v>8.77970213380624E-2</v>
      </c>
      <c r="K5218">
        <v>6.5618618630691294E-2</v>
      </c>
      <c r="L5218">
        <v>1074.46788811032</v>
      </c>
      <c r="M5218">
        <v>22.261831070798198</v>
      </c>
      <c r="N5218">
        <v>48.742374992765598</v>
      </c>
      <c r="O5218">
        <v>47.8806332148189</v>
      </c>
      <c r="P5218">
        <v>-0.104853726005536</v>
      </c>
      <c r="Q5218">
        <v>9.7943809351995703E-2</v>
      </c>
      <c r="R5218">
        <v>0.99136497355701503</v>
      </c>
      <c r="S5218" t="s">
        <v>11670</v>
      </c>
      <c r="T5218" t="s">
        <v>12902</v>
      </c>
      <c r="U5218" t="s">
        <v>12902</v>
      </c>
      <c r="V5218" t="s">
        <v>12902</v>
      </c>
      <c r="W5218" t="s">
        <v>18071</v>
      </c>
      <c r="X5218">
        <v>8</v>
      </c>
      <c r="Y5218" t="s">
        <v>24365</v>
      </c>
      <c r="Z5218" t="s">
        <v>30793</v>
      </c>
      <c r="AA5218">
        <v>0.35664155870458197</v>
      </c>
      <c r="AB5218" t="str">
        <f>HYPERLINK("Melting_Curves/meltCurve_Q9BSH4_TACO1.pdf", "Melting_Curves/meltCurve_Q9BSH4_TACO1.pdf")</f>
        <v>Melting_Curves/meltCurve_Q9BSH4_TACO1.pdf</v>
      </c>
    </row>
    <row r="5219" spans="1:28" x14ac:dyDescent="0.25">
      <c r="A5219" t="s">
        <v>5223</v>
      </c>
      <c r="B5219">
        <v>0.99673306730245903</v>
      </c>
      <c r="C5219">
        <v>1.00789643628756</v>
      </c>
      <c r="D5219">
        <v>0.959245131149424</v>
      </c>
      <c r="E5219">
        <v>0.86080729258628297</v>
      </c>
      <c r="F5219">
        <v>0.68765391794945196</v>
      </c>
      <c r="G5219">
        <v>0.52834772063725799</v>
      </c>
      <c r="H5219">
        <v>0.28745333695569197</v>
      </c>
      <c r="I5219">
        <v>0.197011878548222</v>
      </c>
      <c r="J5219">
        <v>0.111483507513341</v>
      </c>
      <c r="K5219">
        <v>8.2810828034370898E-2</v>
      </c>
      <c r="L5219">
        <v>733.08365432616995</v>
      </c>
      <c r="M5219">
        <v>12.9016874467669</v>
      </c>
      <c r="N5219">
        <v>56.820753175166203</v>
      </c>
      <c r="O5219">
        <v>55.5075961738263</v>
      </c>
      <c r="P5219">
        <v>-5.8118329600613701E-2</v>
      </c>
      <c r="Q5219">
        <v>0</v>
      </c>
      <c r="R5219">
        <v>0.99844535295981296</v>
      </c>
      <c r="S5219" t="s">
        <v>11671</v>
      </c>
      <c r="T5219" t="s">
        <v>12902</v>
      </c>
      <c r="U5219" t="s">
        <v>12902</v>
      </c>
      <c r="V5219" t="s">
        <v>12902</v>
      </c>
      <c r="W5219" t="s">
        <v>18072</v>
      </c>
      <c r="X5219">
        <v>12</v>
      </c>
      <c r="Y5219" t="s">
        <v>24366</v>
      </c>
      <c r="Z5219" t="s">
        <v>30794</v>
      </c>
      <c r="AA5219">
        <v>0.57800603074273282</v>
      </c>
      <c r="AB5219" t="str">
        <f>HYPERLINK("Melting_Curves/meltCurve_Q9BSH5_HDHD3.pdf", "Melting_Curves/meltCurve_Q9BSH5_HDHD3.pdf")</f>
        <v>Melting_Curves/meltCurve_Q9BSH5_HDHD3.pdf</v>
      </c>
    </row>
    <row r="5220" spans="1:28" x14ac:dyDescent="0.25">
      <c r="A5220" t="s">
        <v>5224</v>
      </c>
      <c r="B5220">
        <v>0.99673306730245903</v>
      </c>
      <c r="C5220">
        <v>0.91256530789799695</v>
      </c>
      <c r="D5220">
        <v>0.783506852115742</v>
      </c>
      <c r="E5220">
        <v>0.51566542807817595</v>
      </c>
      <c r="F5220">
        <v>0.21709777358435101</v>
      </c>
      <c r="G5220">
        <v>0.159280688561413</v>
      </c>
      <c r="H5220">
        <v>0.10529279987892499</v>
      </c>
      <c r="I5220">
        <v>0.119539092005715</v>
      </c>
      <c r="J5220">
        <v>0.152709270122383</v>
      </c>
      <c r="K5220">
        <v>0.123067364122314</v>
      </c>
      <c r="L5220">
        <v>971.77403930704304</v>
      </c>
      <c r="M5220">
        <v>19.941891245084001</v>
      </c>
      <c r="N5220">
        <v>49.367835687524199</v>
      </c>
      <c r="O5220">
        <v>48.248206269692801</v>
      </c>
      <c r="P5220">
        <v>-9.1602451309253902E-2</v>
      </c>
      <c r="Q5220">
        <v>0.113522836968241</v>
      </c>
      <c r="R5220">
        <v>0.99514552188113303</v>
      </c>
      <c r="S5220" t="s">
        <v>11672</v>
      </c>
      <c r="T5220" t="s">
        <v>12902</v>
      </c>
      <c r="U5220" t="s">
        <v>12902</v>
      </c>
      <c r="V5220" t="s">
        <v>12902</v>
      </c>
      <c r="W5220" t="s">
        <v>18073</v>
      </c>
      <c r="X5220">
        <v>9</v>
      </c>
      <c r="Y5220" t="s">
        <v>24367</v>
      </c>
      <c r="Z5220" t="s">
        <v>30795</v>
      </c>
      <c r="AA5220">
        <v>0.38402354845206149</v>
      </c>
      <c r="AB5220" t="str">
        <f>HYPERLINK("Melting_Curves/meltCurve_Q9BSJ2_TUBGCP2.pdf", "Melting_Curves/meltCurve_Q9BSJ2_TUBGCP2.pdf")</f>
        <v>Melting_Curves/meltCurve_Q9BSJ2_TUBGCP2.pdf</v>
      </c>
    </row>
    <row r="5221" spans="1:28" x14ac:dyDescent="0.25">
      <c r="A5221" t="s">
        <v>5225</v>
      </c>
      <c r="B5221">
        <v>0.99673306730245903</v>
      </c>
      <c r="C5221">
        <v>1.00428554776267</v>
      </c>
      <c r="D5221">
        <v>0.99218904909558903</v>
      </c>
      <c r="E5221">
        <v>0.93655752869870501</v>
      </c>
      <c r="F5221">
        <v>0.40342765144982801</v>
      </c>
      <c r="G5221">
        <v>0.23287776155901399</v>
      </c>
      <c r="H5221">
        <v>0.14434126210607701</v>
      </c>
      <c r="I5221">
        <v>0.16178543210837901</v>
      </c>
      <c r="J5221">
        <v>0.214890518648201</v>
      </c>
      <c r="K5221">
        <v>0.19456553797053</v>
      </c>
      <c r="L5221">
        <v>2454.8618338709798</v>
      </c>
      <c r="M5221">
        <v>47.119496152580801</v>
      </c>
      <c r="N5221">
        <v>52.616309482381702</v>
      </c>
      <c r="O5221">
        <v>52.005078435755898</v>
      </c>
      <c r="P5221">
        <v>-0.18449860705190399</v>
      </c>
      <c r="Q5221">
        <v>0.18548777410654799</v>
      </c>
      <c r="R5221">
        <v>0.99691226571172298</v>
      </c>
      <c r="S5221" t="s">
        <v>11673</v>
      </c>
      <c r="T5221" t="s">
        <v>12902</v>
      </c>
      <c r="U5221" t="s">
        <v>12902</v>
      </c>
      <c r="V5221" t="s">
        <v>12902</v>
      </c>
      <c r="W5221" t="s">
        <v>18074</v>
      </c>
      <c r="X5221">
        <v>3</v>
      </c>
      <c r="Y5221" t="s">
        <v>24368</v>
      </c>
      <c r="Z5221" t="s">
        <v>30796</v>
      </c>
      <c r="AA5221">
        <v>0.51607972899599797</v>
      </c>
      <c r="AB5221" t="str">
        <f>HYPERLINK("Melting_Curves/meltCurve_Q9BSJ5_3_C17orf80.pdf", "Melting_Curves/meltCurve_Q9BSJ5_3_C17orf80.pdf")</f>
        <v>Melting_Curves/meltCurve_Q9BSJ5_3_C17orf80.pdf</v>
      </c>
    </row>
    <row r="5222" spans="1:28" x14ac:dyDescent="0.25">
      <c r="A5222" t="s">
        <v>5226</v>
      </c>
      <c r="B5222">
        <v>0.99673306730245903</v>
      </c>
      <c r="C5222">
        <v>0.96966705196291103</v>
      </c>
      <c r="D5222">
        <v>0.85576762099561898</v>
      </c>
      <c r="E5222">
        <v>0.75809522950459596</v>
      </c>
      <c r="F5222">
        <v>0.70832593888053696</v>
      </c>
      <c r="G5222">
        <v>0.69329148355030601</v>
      </c>
      <c r="H5222">
        <v>0.537537706811824</v>
      </c>
      <c r="I5222">
        <v>0.54357013223095596</v>
      </c>
      <c r="J5222">
        <v>0.162962457969692</v>
      </c>
      <c r="K5222">
        <v>0.121207504493955</v>
      </c>
      <c r="L5222">
        <v>489.48977071532897</v>
      </c>
      <c r="M5222">
        <v>8.1461028126216704</v>
      </c>
      <c r="N5222">
        <v>60.088827729850003</v>
      </c>
      <c r="O5222">
        <v>56.793171531200599</v>
      </c>
      <c r="P5222">
        <v>-3.5896538648807201E-2</v>
      </c>
      <c r="Q5222">
        <v>0</v>
      </c>
      <c r="R5222">
        <v>0.89766973850371501</v>
      </c>
      <c r="S5222" t="s">
        <v>11674</v>
      </c>
      <c r="T5222" t="s">
        <v>12902</v>
      </c>
      <c r="U5222" t="s">
        <v>12902</v>
      </c>
      <c r="V5222" t="s">
        <v>12902</v>
      </c>
      <c r="W5222" t="s">
        <v>18075</v>
      </c>
      <c r="X5222">
        <v>2</v>
      </c>
      <c r="Y5222" t="s">
        <v>24369</v>
      </c>
      <c r="Z5222" t="s">
        <v>30797</v>
      </c>
      <c r="AA5222">
        <v>0.65466099789013954</v>
      </c>
      <c r="AB5222" t="str">
        <f>HYPERLINK("Melting_Curves/meltCurve_Q9BSJ6_FAM64A.pdf", "Melting_Curves/meltCurve_Q9BSJ6_FAM64A.pdf")</f>
        <v>Melting_Curves/meltCurve_Q9BSJ6_FAM64A.pdf</v>
      </c>
    </row>
    <row r="5223" spans="1:28" x14ac:dyDescent="0.25">
      <c r="A5223" t="s">
        <v>5227</v>
      </c>
      <c r="B5223">
        <v>0.99673306730245903</v>
      </c>
      <c r="C5223">
        <v>0.867883593994483</v>
      </c>
      <c r="D5223">
        <v>0.46892807291014199</v>
      </c>
      <c r="E5223">
        <v>0.2976513237176</v>
      </c>
      <c r="F5223">
        <v>0.17707782742168099</v>
      </c>
      <c r="G5223">
        <v>0.106205532763017</v>
      </c>
      <c r="H5223">
        <v>6.7022290668832404E-2</v>
      </c>
      <c r="I5223">
        <v>5.72282968029258E-2</v>
      </c>
      <c r="J5223">
        <v>6.1503260566651202E-2</v>
      </c>
      <c r="K5223">
        <v>5.2165175440551298E-2</v>
      </c>
      <c r="L5223">
        <v>892.16560982131796</v>
      </c>
      <c r="M5223">
        <v>19.360557991723599</v>
      </c>
      <c r="N5223">
        <v>46.443619637482598</v>
      </c>
      <c r="O5223">
        <v>45.598418628409704</v>
      </c>
      <c r="P5223">
        <v>-9.8716475443228993E-2</v>
      </c>
      <c r="Q5223">
        <v>7.0037425569809894E-2</v>
      </c>
      <c r="R5223">
        <v>0.98753065863895195</v>
      </c>
      <c r="S5223" t="s">
        <v>11675</v>
      </c>
      <c r="T5223" t="s">
        <v>12902</v>
      </c>
      <c r="U5223" t="s">
        <v>12902</v>
      </c>
      <c r="V5223" t="s">
        <v>12902</v>
      </c>
      <c r="W5223" t="s">
        <v>18076</v>
      </c>
      <c r="X5223">
        <v>27</v>
      </c>
      <c r="Y5223" t="s">
        <v>24370</v>
      </c>
      <c r="Z5223" t="s">
        <v>30798</v>
      </c>
      <c r="AA5223">
        <v>0.2739536521912857</v>
      </c>
      <c r="AB5223" t="str">
        <f>HYPERLINK("Melting_Curves/meltCurve_Q9BSJ8_ESYT1.pdf", "Melting_Curves/meltCurve_Q9BSJ8_ESYT1.pdf")</f>
        <v>Melting_Curves/meltCurve_Q9BSJ8_ESYT1.pdf</v>
      </c>
    </row>
    <row r="5224" spans="1:28" x14ac:dyDescent="0.25">
      <c r="A5224" t="s">
        <v>5228</v>
      </c>
      <c r="B5224">
        <v>0.99673306730245903</v>
      </c>
      <c r="C5224">
        <v>0.97834446462855995</v>
      </c>
      <c r="D5224">
        <v>0.927004679599301</v>
      </c>
      <c r="E5224">
        <v>0.81502656765162995</v>
      </c>
      <c r="F5224">
        <v>0.64373735291424095</v>
      </c>
      <c r="G5224">
        <v>0.53304150891988999</v>
      </c>
      <c r="H5224">
        <v>0.45359044551599997</v>
      </c>
      <c r="I5224">
        <v>0.442103934094355</v>
      </c>
      <c r="J5224">
        <v>0.33335979232874802</v>
      </c>
      <c r="K5224">
        <v>0.27655847147257101</v>
      </c>
      <c r="L5224">
        <v>583.05567307702404</v>
      </c>
      <c r="M5224">
        <v>10.688767198744999</v>
      </c>
      <c r="N5224">
        <v>58.3838666527596</v>
      </c>
      <c r="O5224">
        <v>52.743077085699802</v>
      </c>
      <c r="P5224">
        <v>-3.7898641336754801E-2</v>
      </c>
      <c r="Q5224">
        <v>0.25224714340084597</v>
      </c>
      <c r="R5224">
        <v>0.98828084602567201</v>
      </c>
      <c r="S5224" t="s">
        <v>11676</v>
      </c>
      <c r="T5224" t="s">
        <v>12902</v>
      </c>
      <c r="U5224" t="s">
        <v>12902</v>
      </c>
      <c r="V5224" t="s">
        <v>12902</v>
      </c>
      <c r="W5224" t="s">
        <v>18077</v>
      </c>
      <c r="X5224">
        <v>2</v>
      </c>
      <c r="Y5224" t="s">
        <v>24371</v>
      </c>
      <c r="Z5224" t="s">
        <v>30799</v>
      </c>
      <c r="AA5224">
        <v>0.63492774152930664</v>
      </c>
      <c r="AB5224" t="str">
        <f>HYPERLINK("Melting_Curves/meltCurve_Q9BSK2_SLC25A33.pdf", "Melting_Curves/meltCurve_Q9BSK2_SLC25A33.pdf")</f>
        <v>Melting_Curves/meltCurve_Q9BSK2_SLC25A33.pdf</v>
      </c>
    </row>
    <row r="5225" spans="1:28" x14ac:dyDescent="0.25">
      <c r="A5225" t="s">
        <v>5229</v>
      </c>
      <c r="B5225">
        <v>0.99673306730245903</v>
      </c>
      <c r="C5225">
        <v>0.95131393915037199</v>
      </c>
      <c r="D5225">
        <v>0.87791881577087805</v>
      </c>
      <c r="E5225">
        <v>0.44750534569525602</v>
      </c>
      <c r="F5225">
        <v>0.35767124253559801</v>
      </c>
      <c r="G5225">
        <v>0.196054751348857</v>
      </c>
      <c r="H5225">
        <v>0.16130587922140999</v>
      </c>
      <c r="I5225">
        <v>0.14965734860442401</v>
      </c>
      <c r="J5225">
        <v>0.21970158258473199</v>
      </c>
      <c r="K5225">
        <v>0.194185762441662</v>
      </c>
      <c r="L5225">
        <v>1162.00213011919</v>
      </c>
      <c r="M5225">
        <v>23.876946693927401</v>
      </c>
      <c r="N5225">
        <v>49.629965914515402</v>
      </c>
      <c r="O5225">
        <v>48.328743255861497</v>
      </c>
      <c r="P5225">
        <v>-0.100602841875057</v>
      </c>
      <c r="Q5225">
        <v>0.18550177468743401</v>
      </c>
      <c r="R5225">
        <v>0.98637610093348704</v>
      </c>
      <c r="S5225" t="s">
        <v>11677</v>
      </c>
      <c r="T5225" t="s">
        <v>12902</v>
      </c>
      <c r="U5225" t="s">
        <v>12902</v>
      </c>
      <c r="V5225" t="s">
        <v>12902</v>
      </c>
      <c r="W5225" t="s">
        <v>18078</v>
      </c>
      <c r="X5225">
        <v>1</v>
      </c>
      <c r="Y5225" t="s">
        <v>24372</v>
      </c>
      <c r="Z5225" t="s">
        <v>30800</v>
      </c>
      <c r="AA5225">
        <v>0.42871847795242252</v>
      </c>
      <c r="AB5225" t="str">
        <f>HYPERLINK("Melting_Curves/meltCurve_Q9BSL1_UBAC1.pdf", "Melting_Curves/meltCurve_Q9BSL1_UBAC1.pdf")</f>
        <v>Melting_Curves/meltCurve_Q9BSL1_UBAC1.pdf</v>
      </c>
    </row>
    <row r="5226" spans="1:28" x14ac:dyDescent="0.25">
      <c r="A5226" t="s">
        <v>5230</v>
      </c>
      <c r="B5226">
        <v>0.99673306730245903</v>
      </c>
      <c r="C5226">
        <v>0.87571743151982495</v>
      </c>
      <c r="D5226">
        <v>0.85255352816781005</v>
      </c>
      <c r="E5226">
        <v>0.74725921703726395</v>
      </c>
      <c r="F5226">
        <v>0.54071033997253404</v>
      </c>
      <c r="G5226">
        <v>0.412956777861191</v>
      </c>
      <c r="H5226">
        <v>0.26998583821705402</v>
      </c>
      <c r="I5226">
        <v>0.244265575918895</v>
      </c>
      <c r="J5226">
        <v>0.16755879827711101</v>
      </c>
      <c r="K5226">
        <v>0.12362845450464</v>
      </c>
      <c r="L5226">
        <v>507.33245282458103</v>
      </c>
      <c r="M5226">
        <v>9.3468673756108505</v>
      </c>
      <c r="N5226">
        <v>54.601441293564903</v>
      </c>
      <c r="O5226">
        <v>51.967569557719202</v>
      </c>
      <c r="P5226">
        <v>-4.3782698265535901E-2</v>
      </c>
      <c r="Q5226">
        <v>2.6903885283426299E-2</v>
      </c>
      <c r="R5226">
        <v>0.99374628674944698</v>
      </c>
      <c r="S5226" t="s">
        <v>11678</v>
      </c>
      <c r="T5226" t="s">
        <v>12902</v>
      </c>
      <c r="U5226" t="s">
        <v>12902</v>
      </c>
      <c r="V5226" t="s">
        <v>12902</v>
      </c>
      <c r="W5226" t="s">
        <v>18079</v>
      </c>
      <c r="X5226">
        <v>3</v>
      </c>
      <c r="Y5226" t="s">
        <v>24373</v>
      </c>
      <c r="Z5226" t="s">
        <v>30801</v>
      </c>
      <c r="AA5226">
        <v>0.51939459687618006</v>
      </c>
      <c r="AB5226" t="str">
        <f>HYPERLINK("Melting_Curves/meltCurve_Q9BSR8_YIPF4.pdf", "Melting_Curves/meltCurve_Q9BSR8_YIPF4.pdf")</f>
        <v>Melting_Curves/meltCurve_Q9BSR8_YIPF4.pdf</v>
      </c>
    </row>
    <row r="5227" spans="1:28" x14ac:dyDescent="0.25">
      <c r="A5227" t="s">
        <v>5231</v>
      </c>
      <c r="B5227">
        <v>0.99673306730245903</v>
      </c>
      <c r="C5227">
        <v>0.93079666253709203</v>
      </c>
      <c r="D5227">
        <v>0.73748780648710699</v>
      </c>
      <c r="E5227">
        <v>0.32820668361572303</v>
      </c>
      <c r="F5227">
        <v>0.18084485573185799</v>
      </c>
      <c r="G5227">
        <v>0.107342351289062</v>
      </c>
      <c r="H5227">
        <v>7.59956979134951E-2</v>
      </c>
      <c r="I5227">
        <v>6.4256545412155794E-2</v>
      </c>
      <c r="J5227">
        <v>6.2423598087924803E-2</v>
      </c>
      <c r="K5227">
        <v>5.46355633127679E-2</v>
      </c>
      <c r="L5227">
        <v>1075.1573435129101</v>
      </c>
      <c r="M5227">
        <v>22.499091001328001</v>
      </c>
      <c r="N5227">
        <v>48.097012939899003</v>
      </c>
      <c r="O5227">
        <v>47.414007763527003</v>
      </c>
      <c r="P5227">
        <v>-0.110618960992625</v>
      </c>
      <c r="Q5227">
        <v>6.7557029432873505E-2</v>
      </c>
      <c r="R5227">
        <v>0.99846661663553005</v>
      </c>
      <c r="S5227" t="s">
        <v>11679</v>
      </c>
      <c r="T5227" t="s">
        <v>12902</v>
      </c>
      <c r="U5227" t="s">
        <v>12902</v>
      </c>
      <c r="V5227" t="s">
        <v>12902</v>
      </c>
      <c r="W5227" t="s">
        <v>18080</v>
      </c>
      <c r="X5227">
        <v>8</v>
      </c>
      <c r="Y5227" t="s">
        <v>24374</v>
      </c>
      <c r="Z5227" t="s">
        <v>30802</v>
      </c>
      <c r="AA5227">
        <v>0.31991986353024021</v>
      </c>
      <c r="AB5227" t="str">
        <f>HYPERLINK("Melting_Curves/meltCurve_Q9BST9_RTKN.pdf", "Melting_Curves/meltCurve_Q9BST9_RTKN.pdf")</f>
        <v>Melting_Curves/meltCurve_Q9BST9_RTKN.pdf</v>
      </c>
    </row>
    <row r="5228" spans="1:28" x14ac:dyDescent="0.25">
      <c r="A5228" t="s">
        <v>5232</v>
      </c>
      <c r="B5228">
        <v>0.99673306730245903</v>
      </c>
      <c r="C5228">
        <v>0.90353012605113503</v>
      </c>
      <c r="D5228">
        <v>0.85036035074071104</v>
      </c>
      <c r="E5228">
        <v>0.72450705668654503</v>
      </c>
      <c r="F5228">
        <v>0.40975584352143002</v>
      </c>
      <c r="G5228">
        <v>0.22285200877349101</v>
      </c>
      <c r="H5228">
        <v>7.3053687355275496E-2</v>
      </c>
      <c r="I5228">
        <v>5.9925564743331598E-2</v>
      </c>
      <c r="J5228">
        <v>4.4988753070749503E-2</v>
      </c>
      <c r="K5228">
        <v>2.5006864779146699E-2</v>
      </c>
      <c r="L5228">
        <v>781.526769509568</v>
      </c>
      <c r="M5228">
        <v>15.009623669498801</v>
      </c>
      <c r="N5228">
        <v>52.068397748219603</v>
      </c>
      <c r="O5228">
        <v>51.170362111779802</v>
      </c>
      <c r="P5228">
        <v>-7.3339017164885695E-2</v>
      </c>
      <c r="Q5228">
        <v>0</v>
      </c>
      <c r="R5228">
        <v>0.99474076025916103</v>
      </c>
      <c r="S5228" t="s">
        <v>11680</v>
      </c>
      <c r="T5228" t="s">
        <v>12902</v>
      </c>
      <c r="U5228" t="s">
        <v>12902</v>
      </c>
      <c r="V5228" t="s">
        <v>12902</v>
      </c>
      <c r="W5228" t="s">
        <v>18081</v>
      </c>
      <c r="X5228">
        <v>1</v>
      </c>
      <c r="Y5228" t="s">
        <v>24375</v>
      </c>
      <c r="Z5228" t="s">
        <v>30803</v>
      </c>
      <c r="AA5228">
        <v>0.42456058166526212</v>
      </c>
      <c r="AB5228" t="str">
        <f>HYPERLINK("Melting_Curves/meltCurve_Q9BSU1_C16orf70.pdf", "Melting_Curves/meltCurve_Q9BSU1_C16orf70.pdf")</f>
        <v>Melting_Curves/meltCurve_Q9BSU1_C16orf70.pdf</v>
      </c>
    </row>
    <row r="5229" spans="1:28" x14ac:dyDescent="0.25">
      <c r="A5229" t="s">
        <v>5233</v>
      </c>
      <c r="B5229">
        <v>0.99673306730245903</v>
      </c>
      <c r="C5229">
        <v>0.90879446716259404</v>
      </c>
      <c r="D5229">
        <v>0.77976889054532805</v>
      </c>
      <c r="E5229">
        <v>0.63031941685233805</v>
      </c>
      <c r="F5229">
        <v>0.27011698963852698</v>
      </c>
      <c r="G5229">
        <v>0.178259729346704</v>
      </c>
      <c r="H5229">
        <v>0.123113072753636</v>
      </c>
      <c r="I5229">
        <v>0.110250845077479</v>
      </c>
      <c r="J5229">
        <v>0.157441637784797</v>
      </c>
      <c r="K5229">
        <v>9.0020986681942694E-2</v>
      </c>
      <c r="L5229">
        <v>847.46793352605005</v>
      </c>
      <c r="M5229">
        <v>17.0464781995123</v>
      </c>
      <c r="N5229">
        <v>50.342443739341803</v>
      </c>
      <c r="O5229">
        <v>49.046078801078103</v>
      </c>
      <c r="P5229">
        <v>-7.8580849813140896E-2</v>
      </c>
      <c r="Q5229">
        <v>9.5684896399491903E-2</v>
      </c>
      <c r="R5229">
        <v>0.98853256385330401</v>
      </c>
      <c r="S5229" t="s">
        <v>11681</v>
      </c>
      <c r="T5229" t="s">
        <v>12902</v>
      </c>
      <c r="U5229" t="s">
        <v>12902</v>
      </c>
      <c r="V5229" t="s">
        <v>12902</v>
      </c>
      <c r="W5229" t="s">
        <v>18082</v>
      </c>
      <c r="X5229">
        <v>6</v>
      </c>
      <c r="Y5229" t="s">
        <v>24376</v>
      </c>
      <c r="Z5229" t="s">
        <v>30804</v>
      </c>
      <c r="AA5229">
        <v>0.40571462602266778</v>
      </c>
      <c r="AB5229" t="str">
        <f>HYPERLINK("Melting_Curves/meltCurve_Q9BSV6_TSEN34.pdf", "Melting_Curves/meltCurve_Q9BSV6_TSEN34.pdf")</f>
        <v>Melting_Curves/meltCurve_Q9BSV6_TSEN34.pdf</v>
      </c>
    </row>
    <row r="5230" spans="1:28" x14ac:dyDescent="0.25">
      <c r="A5230" t="s">
        <v>5234</v>
      </c>
      <c r="B5230">
        <v>0.99673306730245903</v>
      </c>
      <c r="C5230">
        <v>1.02824672943527</v>
      </c>
      <c r="D5230">
        <v>0.97660075583691996</v>
      </c>
      <c r="E5230">
        <v>0.94405410236103304</v>
      </c>
      <c r="F5230">
        <v>0.65580382927218905</v>
      </c>
      <c r="G5230">
        <v>0.61312705910203902</v>
      </c>
      <c r="H5230">
        <v>0.71714108286382405</v>
      </c>
      <c r="I5230">
        <v>0.98731702477392103</v>
      </c>
      <c r="J5230">
        <v>1.3329321344615901</v>
      </c>
      <c r="K5230">
        <v>1.1816825204331001</v>
      </c>
      <c r="L5230">
        <v>2540.8992751772298</v>
      </c>
      <c r="M5230">
        <v>54.035824681864497</v>
      </c>
      <c r="O5230">
        <v>46.958200772733797</v>
      </c>
      <c r="P5230">
        <v>-2.36035512627953E-2</v>
      </c>
      <c r="Q5230">
        <v>0.91795219821493901</v>
      </c>
      <c r="R5230">
        <v>3.1503808297217301E-2</v>
      </c>
      <c r="S5230" t="s">
        <v>11682</v>
      </c>
      <c r="T5230" t="s">
        <v>12902</v>
      </c>
      <c r="U5230" t="s">
        <v>12902</v>
      </c>
      <c r="V5230" t="s">
        <v>12902</v>
      </c>
      <c r="W5230" t="s">
        <v>18083</v>
      </c>
      <c r="X5230">
        <v>4</v>
      </c>
      <c r="Y5230" t="s">
        <v>24377</v>
      </c>
      <c r="Z5230" t="s">
        <v>30805</v>
      </c>
      <c r="AA5230">
        <v>0.93730392548991281</v>
      </c>
      <c r="AB5230" t="str">
        <f>HYPERLINK("Melting_Curves/meltCurve_Q9BSY4_CHCHD5.pdf", "Melting_Curves/meltCurve_Q9BSY4_CHCHD5.pdf")</f>
        <v>Melting_Curves/meltCurve_Q9BSY4_CHCHD5.pdf</v>
      </c>
    </row>
    <row r="5231" spans="1:28" x14ac:dyDescent="0.25">
      <c r="A5231" t="s">
        <v>5235</v>
      </c>
      <c r="B5231">
        <v>0.99673306730245903</v>
      </c>
      <c r="C5231">
        <v>1.02205135630966</v>
      </c>
      <c r="D5231">
        <v>0.99370094915224905</v>
      </c>
      <c r="E5231">
        <v>0.95509040679904</v>
      </c>
      <c r="F5231">
        <v>0.82149437892996102</v>
      </c>
      <c r="G5231">
        <v>0.618702400465997</v>
      </c>
      <c r="H5231">
        <v>0.469626433391862</v>
      </c>
      <c r="I5231">
        <v>0.75543005743401104</v>
      </c>
      <c r="J5231">
        <v>1.1903635691682</v>
      </c>
      <c r="K5231">
        <v>1.1404707257195701</v>
      </c>
      <c r="L5231">
        <v>12449.734787789501</v>
      </c>
      <c r="M5231">
        <v>250</v>
      </c>
      <c r="O5231">
        <v>49.795752277896199</v>
      </c>
      <c r="P5231">
        <v>-0.21000629341211099</v>
      </c>
      <c r="Q5231">
        <v>0.83268125813920502</v>
      </c>
      <c r="R5231">
        <v>0.133317538072555</v>
      </c>
      <c r="S5231" t="s">
        <v>11683</v>
      </c>
      <c r="T5231" t="s">
        <v>12902</v>
      </c>
      <c r="U5231" t="s">
        <v>12902</v>
      </c>
      <c r="V5231" t="s">
        <v>12902</v>
      </c>
      <c r="W5231" t="s">
        <v>18084</v>
      </c>
      <c r="X5231">
        <v>19</v>
      </c>
      <c r="Y5231" t="s">
        <v>24378</v>
      </c>
      <c r="Z5231" t="s">
        <v>30806</v>
      </c>
      <c r="AA5231">
        <v>0.88734742020013402</v>
      </c>
      <c r="AB5231" t="str">
        <f>HYPERLINK("Melting_Curves/meltCurve_Q9BT09_CNPY3.pdf", "Melting_Curves/meltCurve_Q9BT09_CNPY3.pdf")</f>
        <v>Melting_Curves/meltCurve_Q9BT09_CNPY3.pdf</v>
      </c>
    </row>
    <row r="5232" spans="1:28" x14ac:dyDescent="0.25">
      <c r="A5232" t="s">
        <v>5236</v>
      </c>
      <c r="B5232">
        <v>0.99673306730245903</v>
      </c>
      <c r="C5232">
        <v>0.97704291080580796</v>
      </c>
      <c r="D5232">
        <v>0.79098030970496302</v>
      </c>
      <c r="E5232">
        <v>0.53875722482019095</v>
      </c>
      <c r="F5232">
        <v>0.20154169625013199</v>
      </c>
      <c r="G5232">
        <v>0.14786964226754301</v>
      </c>
      <c r="H5232">
        <v>9.2858724980018501E-2</v>
      </c>
      <c r="I5232">
        <v>0.105526262402142</v>
      </c>
      <c r="J5232">
        <v>0.104641168430801</v>
      </c>
      <c r="K5232">
        <v>0.11166852791590701</v>
      </c>
      <c r="L5232">
        <v>1055.99726550016</v>
      </c>
      <c r="M5232">
        <v>21.508880851644101</v>
      </c>
      <c r="N5232">
        <v>49.582277623863298</v>
      </c>
      <c r="O5232">
        <v>48.677386035470697</v>
      </c>
      <c r="P5232">
        <v>-9.9961987061050903E-2</v>
      </c>
      <c r="Q5232">
        <v>9.5114126031617202E-2</v>
      </c>
      <c r="R5232">
        <v>0.99595997129049296</v>
      </c>
      <c r="S5232" t="s">
        <v>11684</v>
      </c>
      <c r="T5232" t="s">
        <v>12902</v>
      </c>
      <c r="U5232" t="s">
        <v>12902</v>
      </c>
      <c r="V5232" t="s">
        <v>12902</v>
      </c>
      <c r="W5232" t="s">
        <v>18085</v>
      </c>
      <c r="X5232">
        <v>8</v>
      </c>
      <c r="Y5232" t="s">
        <v>24379</v>
      </c>
      <c r="Z5232" t="s">
        <v>30807</v>
      </c>
      <c r="AA5232">
        <v>0.38039456380725839</v>
      </c>
      <c r="AB5232" t="str">
        <f>HYPERLINK("Melting_Curves/meltCurve_Q9BT17_MTG1.pdf", "Melting_Curves/meltCurve_Q9BT17_MTG1.pdf")</f>
        <v>Melting_Curves/meltCurve_Q9BT17_MTG1.pdf</v>
      </c>
    </row>
    <row r="5233" spans="1:28" x14ac:dyDescent="0.25">
      <c r="A5233" t="s">
        <v>5237</v>
      </c>
      <c r="B5233">
        <v>0.99673306730245903</v>
      </c>
      <c r="C5233">
        <v>1.15660402665073</v>
      </c>
      <c r="D5233">
        <v>0.246134144020142</v>
      </c>
      <c r="E5233">
        <v>0.74057867064715599</v>
      </c>
      <c r="F5233">
        <v>0.41086873506820198</v>
      </c>
      <c r="G5233">
        <v>0.17317826963548399</v>
      </c>
      <c r="H5233">
        <v>5.4726826789008302E-2</v>
      </c>
      <c r="I5233">
        <v>4.8025964137946298E-2</v>
      </c>
      <c r="J5233">
        <v>5.8591771511949199E-2</v>
      </c>
      <c r="K5233">
        <v>4.9531294050376901E-2</v>
      </c>
      <c r="L5233">
        <v>555.99051922077297</v>
      </c>
      <c r="M5233">
        <v>11.129976845306601</v>
      </c>
      <c r="N5233">
        <v>49.954328467129798</v>
      </c>
      <c r="O5233">
        <v>48.423053023288197</v>
      </c>
      <c r="P5233">
        <v>-5.7480711320915902E-2</v>
      </c>
      <c r="Q5233">
        <v>0</v>
      </c>
      <c r="R5233">
        <v>0.76413056533974899</v>
      </c>
      <c r="S5233" t="s">
        <v>11685</v>
      </c>
      <c r="T5233" t="s">
        <v>12902</v>
      </c>
      <c r="U5233" t="s">
        <v>12902</v>
      </c>
      <c r="V5233" t="s">
        <v>12902</v>
      </c>
      <c r="W5233" t="s">
        <v>18086</v>
      </c>
      <c r="X5233">
        <v>10</v>
      </c>
      <c r="Y5233" t="s">
        <v>24380</v>
      </c>
      <c r="Z5233" t="s">
        <v>30808</v>
      </c>
      <c r="AA5233">
        <v>0.37074835906602771</v>
      </c>
      <c r="AB5233" t="str">
        <f>HYPERLINK("Melting_Curves/meltCurve_Q9BT22_ALG1.pdf", "Melting_Curves/meltCurve_Q9BT22_ALG1.pdf")</f>
        <v>Melting_Curves/meltCurve_Q9BT22_ALG1.pdf</v>
      </c>
    </row>
    <row r="5234" spans="1:28" x14ac:dyDescent="0.25">
      <c r="A5234" t="s">
        <v>5238</v>
      </c>
      <c r="B5234">
        <v>0.99673306730245903</v>
      </c>
      <c r="C5234">
        <v>1.0758891857544499</v>
      </c>
      <c r="D5234">
        <v>1.0506168970185801</v>
      </c>
      <c r="E5234">
        <v>0.95978111223663798</v>
      </c>
      <c r="F5234">
        <v>0.65615805834677898</v>
      </c>
      <c r="G5234">
        <v>0.55839065771157703</v>
      </c>
      <c r="H5234">
        <v>0.34010573423811302</v>
      </c>
      <c r="I5234">
        <v>0.29720162339074802</v>
      </c>
      <c r="J5234">
        <v>0.28598635299865299</v>
      </c>
      <c r="K5234">
        <v>0.31250042822955898</v>
      </c>
      <c r="L5234">
        <v>1157.08469984817</v>
      </c>
      <c r="M5234">
        <v>21.268376109144398</v>
      </c>
      <c r="N5234">
        <v>56.675890538772897</v>
      </c>
      <c r="O5234">
        <v>53.929877744088103</v>
      </c>
      <c r="P5234">
        <v>-7.0314341010522197E-2</v>
      </c>
      <c r="Q5234">
        <v>0.28683835044396799</v>
      </c>
      <c r="R5234">
        <v>0.97828733537838697</v>
      </c>
      <c r="S5234" t="s">
        <v>11686</v>
      </c>
      <c r="T5234" t="s">
        <v>12902</v>
      </c>
      <c r="U5234" t="s">
        <v>12902</v>
      </c>
      <c r="V5234" t="s">
        <v>12902</v>
      </c>
      <c r="W5234" t="s">
        <v>18087</v>
      </c>
      <c r="X5234">
        <v>2</v>
      </c>
      <c r="Y5234" t="s">
        <v>24381</v>
      </c>
      <c r="Z5234" t="s">
        <v>30809</v>
      </c>
      <c r="AA5234">
        <v>0.63797207311325344</v>
      </c>
      <c r="AB5234" t="str">
        <f>HYPERLINK("Melting_Curves/meltCurve_Q9BT23_LIMD2.pdf", "Melting_Curves/meltCurve_Q9BT23_LIMD2.pdf")</f>
        <v>Melting_Curves/meltCurve_Q9BT23_LIMD2.pdf</v>
      </c>
    </row>
    <row r="5235" spans="1:28" x14ac:dyDescent="0.25">
      <c r="A5235" t="s">
        <v>5239</v>
      </c>
      <c r="B5235">
        <v>0.99673306730245903</v>
      </c>
      <c r="C5235">
        <v>0.898104945686095</v>
      </c>
      <c r="D5235">
        <v>0.61788468293487697</v>
      </c>
      <c r="E5235">
        <v>0.34266664642289102</v>
      </c>
      <c r="F5235">
        <v>0.26684439973889601</v>
      </c>
      <c r="G5235">
        <v>0.165302292261085</v>
      </c>
      <c r="H5235">
        <v>0.10626453614284</v>
      </c>
      <c r="I5235">
        <v>9.3844994913352894E-2</v>
      </c>
      <c r="J5235">
        <v>8.7982732984145107E-2</v>
      </c>
      <c r="K5235">
        <v>9.4054582205303605E-2</v>
      </c>
      <c r="L5235">
        <v>821.51080460831702</v>
      </c>
      <c r="M5235">
        <v>17.416023156539499</v>
      </c>
      <c r="N5235">
        <v>47.7750260376759</v>
      </c>
      <c r="O5235">
        <v>46.561108003119401</v>
      </c>
      <c r="P5235">
        <v>-8.4259927359549597E-2</v>
      </c>
      <c r="Q5235">
        <v>9.8987095931176397E-2</v>
      </c>
      <c r="R5235">
        <v>0.99234525563004705</v>
      </c>
      <c r="S5235" t="s">
        <v>11687</v>
      </c>
      <c r="T5235" t="s">
        <v>12902</v>
      </c>
      <c r="U5235" t="s">
        <v>12902</v>
      </c>
      <c r="V5235" t="s">
        <v>12902</v>
      </c>
      <c r="W5235" t="s">
        <v>18088</v>
      </c>
      <c r="X5235">
        <v>2</v>
      </c>
      <c r="Y5235" t="s">
        <v>24382</v>
      </c>
      <c r="Z5235" t="s">
        <v>30810</v>
      </c>
      <c r="AA5235">
        <v>0.33202891537061208</v>
      </c>
      <c r="AB5235" t="str">
        <f>HYPERLINK("Melting_Curves/meltCurve_Q9BT30_ALKBH7.pdf", "Melting_Curves/meltCurve_Q9BT30_ALKBH7.pdf")</f>
        <v>Melting_Curves/meltCurve_Q9BT30_ALKBH7.pdf</v>
      </c>
    </row>
    <row r="5236" spans="1:28" x14ac:dyDescent="0.25">
      <c r="A5236" t="s">
        <v>5240</v>
      </c>
      <c r="B5236">
        <v>0.99673306730245903</v>
      </c>
      <c r="C5236">
        <v>1.00259614787791</v>
      </c>
      <c r="D5236">
        <v>1.0471241400807201</v>
      </c>
      <c r="E5236">
        <v>1.18534212519282</v>
      </c>
      <c r="F5236">
        <v>1.3258137119343101</v>
      </c>
      <c r="G5236">
        <v>1.1868405416538901</v>
      </c>
      <c r="H5236">
        <v>0.91235921257750996</v>
      </c>
      <c r="I5236">
        <v>1.0738962934309699</v>
      </c>
      <c r="J5236">
        <v>1.0458579914191799</v>
      </c>
      <c r="K5236">
        <v>0.67470483100050904</v>
      </c>
      <c r="L5236">
        <v>15000</v>
      </c>
      <c r="M5236">
        <v>213.55612829938099</v>
      </c>
      <c r="Q5236">
        <v>0</v>
      </c>
      <c r="R5236">
        <v>0.306981011881507</v>
      </c>
      <c r="S5236" t="s">
        <v>11688</v>
      </c>
      <c r="T5236" t="s">
        <v>12902</v>
      </c>
      <c r="U5236" t="s">
        <v>12902</v>
      </c>
      <c r="V5236" t="s">
        <v>12902</v>
      </c>
      <c r="W5236" t="s">
        <v>18089</v>
      </c>
      <c r="X5236">
        <v>4</v>
      </c>
      <c r="Y5236" t="s">
        <v>24383</v>
      </c>
      <c r="Z5236" t="s">
        <v>30811</v>
      </c>
      <c r="AA5236">
        <v>0.99575905051249292</v>
      </c>
      <c r="AB5236" t="str">
        <f>HYPERLINK("Melting_Curves/meltCurve_Q9BT73_PSMG3.pdf", "Melting_Curves/meltCurve_Q9BT73_PSMG3.pdf")</f>
        <v>Melting_Curves/meltCurve_Q9BT73_PSMG3.pdf</v>
      </c>
    </row>
    <row r="5237" spans="1:28" x14ac:dyDescent="0.25">
      <c r="A5237" t="s">
        <v>5241</v>
      </c>
      <c r="B5237">
        <v>0.99673306730245903</v>
      </c>
      <c r="C5237">
        <v>0.881796714865966</v>
      </c>
      <c r="D5237">
        <v>0.99059801309193096</v>
      </c>
      <c r="E5237">
        <v>1.1925609906275001</v>
      </c>
      <c r="F5237">
        <v>0.72567021401082699</v>
      </c>
      <c r="G5237">
        <v>0.260407375526993</v>
      </c>
      <c r="H5237">
        <v>0.121465253657164</v>
      </c>
      <c r="I5237">
        <v>0.100588882806738</v>
      </c>
      <c r="J5237">
        <v>9.7006847168854701E-2</v>
      </c>
      <c r="K5237">
        <v>8.0749167629239199E-2</v>
      </c>
      <c r="L5237">
        <v>2314.5067396583199</v>
      </c>
      <c r="M5237">
        <v>42.500641887293199</v>
      </c>
      <c r="N5237">
        <v>54.748871143493702</v>
      </c>
      <c r="O5237">
        <v>54.338021824113397</v>
      </c>
      <c r="P5237">
        <v>-0.175788112599254</v>
      </c>
      <c r="Q5237">
        <v>0.10100556112087899</v>
      </c>
      <c r="R5237">
        <v>0.96797363661945501</v>
      </c>
      <c r="S5237" t="s">
        <v>11689</v>
      </c>
      <c r="T5237" t="s">
        <v>12902</v>
      </c>
      <c r="U5237" t="s">
        <v>12902</v>
      </c>
      <c r="V5237" t="s">
        <v>12902</v>
      </c>
      <c r="W5237" t="s">
        <v>18090</v>
      </c>
      <c r="X5237">
        <v>22</v>
      </c>
      <c r="Y5237" t="s">
        <v>24384</v>
      </c>
      <c r="Z5237" t="s">
        <v>30812</v>
      </c>
      <c r="AA5237">
        <v>0.53725573462954712</v>
      </c>
      <c r="AB5237" t="str">
        <f>HYPERLINK("Melting_Curves/meltCurve_Q9BT78_COPS4.pdf", "Melting_Curves/meltCurve_Q9BT78_COPS4.pdf")</f>
        <v>Melting_Curves/meltCurve_Q9BT78_COPS4.pdf</v>
      </c>
    </row>
    <row r="5238" spans="1:28" x14ac:dyDescent="0.25">
      <c r="A5238" t="s">
        <v>5242</v>
      </c>
      <c r="B5238">
        <v>0.99673306730245903</v>
      </c>
      <c r="C5238">
        <v>0.84734729982976498</v>
      </c>
      <c r="D5238">
        <v>0.578057272749254</v>
      </c>
      <c r="E5238">
        <v>0.26901342442422099</v>
      </c>
      <c r="F5238">
        <v>0.191435642460134</v>
      </c>
      <c r="G5238">
        <v>0.146100664373746</v>
      </c>
      <c r="H5238">
        <v>0.130462981667958</v>
      </c>
      <c r="I5238">
        <v>0.166672422298036</v>
      </c>
      <c r="J5238">
        <v>0.19315748332645399</v>
      </c>
      <c r="K5238">
        <v>0.18131296552499299</v>
      </c>
      <c r="L5238">
        <v>1113.32511415105</v>
      </c>
      <c r="M5238">
        <v>24.277762416944601</v>
      </c>
      <c r="N5238">
        <v>46.604738798649997</v>
      </c>
      <c r="O5238">
        <v>45.550070777379901</v>
      </c>
      <c r="P5238">
        <v>-0.111774530053183</v>
      </c>
      <c r="Q5238">
        <v>0.16116461429539</v>
      </c>
      <c r="R5238">
        <v>0.995587205454461</v>
      </c>
      <c r="S5238" t="s">
        <v>11690</v>
      </c>
      <c r="T5238" t="s">
        <v>12902</v>
      </c>
      <c r="U5238" t="s">
        <v>12902</v>
      </c>
      <c r="V5238" t="s">
        <v>12902</v>
      </c>
      <c r="W5238" t="s">
        <v>18091</v>
      </c>
      <c r="X5238">
        <v>6</v>
      </c>
      <c r="Y5238" t="s">
        <v>24385</v>
      </c>
      <c r="Z5238" t="s">
        <v>30813</v>
      </c>
      <c r="AA5238">
        <v>0.33331560698327872</v>
      </c>
      <c r="AB5238" t="str">
        <f>HYPERLINK("Melting_Curves/meltCurve_Q9BTA9_WAC.pdf", "Melting_Curves/meltCurve_Q9BTA9_WAC.pdf")</f>
        <v>Melting_Curves/meltCurve_Q9BTA9_WAC.pdf</v>
      </c>
    </row>
    <row r="5239" spans="1:28" x14ac:dyDescent="0.25">
      <c r="A5239" t="s">
        <v>5243</v>
      </c>
      <c r="B5239">
        <v>0.99673306730245903</v>
      </c>
      <c r="C5239">
        <v>0.91162317052789299</v>
      </c>
      <c r="D5239">
        <v>0.77394262963804905</v>
      </c>
      <c r="E5239">
        <v>0.48449219293128698</v>
      </c>
      <c r="F5239">
        <v>0.282146690328964</v>
      </c>
      <c r="G5239">
        <v>0.18959072842213001</v>
      </c>
      <c r="H5239">
        <v>0.13153365572706599</v>
      </c>
      <c r="I5239">
        <v>0.13166040008049701</v>
      </c>
      <c r="J5239">
        <v>0.17202096584151999</v>
      </c>
      <c r="K5239">
        <v>0.178219845140311</v>
      </c>
      <c r="L5239">
        <v>914.06779741921798</v>
      </c>
      <c r="M5239">
        <v>18.868662831749798</v>
      </c>
      <c r="N5239">
        <v>49.339938483725703</v>
      </c>
      <c r="O5239">
        <v>47.909397689436403</v>
      </c>
      <c r="P5239">
        <v>-8.4178060239928701E-2</v>
      </c>
      <c r="Q5239">
        <v>0.14508929987969399</v>
      </c>
      <c r="R5239">
        <v>0.99666181080392602</v>
      </c>
      <c r="S5239" t="s">
        <v>11691</v>
      </c>
      <c r="T5239" t="s">
        <v>12902</v>
      </c>
      <c r="U5239" t="s">
        <v>12902</v>
      </c>
      <c r="V5239" t="s">
        <v>12902</v>
      </c>
      <c r="W5239" t="s">
        <v>18092</v>
      </c>
      <c r="X5239">
        <v>35</v>
      </c>
      <c r="Y5239" t="s">
        <v>24386</v>
      </c>
      <c r="Z5239" t="s">
        <v>30814</v>
      </c>
      <c r="AA5239">
        <v>0.39931131254901753</v>
      </c>
      <c r="AB5239" t="str">
        <f>HYPERLINK("Melting_Curves/meltCurve_Q9BTC0_DIDO1.pdf", "Melting_Curves/meltCurve_Q9BTC0_DIDO1.pdf")</f>
        <v>Melting_Curves/meltCurve_Q9BTC0_DIDO1.pdf</v>
      </c>
    </row>
    <row r="5240" spans="1:28" x14ac:dyDescent="0.25">
      <c r="A5240" t="s">
        <v>5244</v>
      </c>
      <c r="B5240">
        <v>0.99673306730245903</v>
      </c>
      <c r="C5240">
        <v>0.90084891414939805</v>
      </c>
      <c r="D5240">
        <v>0.77274029740653605</v>
      </c>
      <c r="E5240">
        <v>0.442705713276144</v>
      </c>
      <c r="F5240">
        <v>0.212229892871729</v>
      </c>
      <c r="G5240">
        <v>0.14038092929932899</v>
      </c>
      <c r="H5240">
        <v>8.7690440512512097E-2</v>
      </c>
      <c r="I5240">
        <v>7.6533586185418404E-2</v>
      </c>
      <c r="J5240">
        <v>7.6447744688517894E-2</v>
      </c>
      <c r="K5240">
        <v>6.9901263737205996E-2</v>
      </c>
      <c r="L5240">
        <v>906.81150233628205</v>
      </c>
      <c r="M5240">
        <v>18.6700576620531</v>
      </c>
      <c r="N5240">
        <v>48.958962411665503</v>
      </c>
      <c r="O5240">
        <v>48.023428897543504</v>
      </c>
      <c r="P5240">
        <v>-9.0503087801559606E-2</v>
      </c>
      <c r="Q5240">
        <v>6.8865650783979507E-2</v>
      </c>
      <c r="R5240">
        <v>0.99888096516321301</v>
      </c>
      <c r="S5240" t="s">
        <v>11692</v>
      </c>
      <c r="T5240" t="s">
        <v>12902</v>
      </c>
      <c r="U5240" t="s">
        <v>12902</v>
      </c>
      <c r="V5240" t="s">
        <v>12902</v>
      </c>
      <c r="W5240" t="s">
        <v>18093</v>
      </c>
      <c r="X5240">
        <v>12</v>
      </c>
      <c r="Y5240" t="s">
        <v>24387</v>
      </c>
      <c r="Z5240" t="s">
        <v>30815</v>
      </c>
      <c r="AA5240">
        <v>0.34997357236338561</v>
      </c>
      <c r="AB5240" t="str">
        <f>HYPERLINK("Melting_Curves/meltCurve_Q9BTE3_2_MCMBP.pdf", "Melting_Curves/meltCurve_Q9BTE3_2_MCMBP.pdf")</f>
        <v>Melting_Curves/meltCurve_Q9BTE3_2_MCMBP.pdf</v>
      </c>
    </row>
    <row r="5241" spans="1:28" x14ac:dyDescent="0.25">
      <c r="A5241" t="s">
        <v>5245</v>
      </c>
      <c r="B5241">
        <v>0.99673306730245903</v>
      </c>
      <c r="C5241">
        <v>0.97984923994340201</v>
      </c>
      <c r="D5241">
        <v>0.89017326179601397</v>
      </c>
      <c r="E5241">
        <v>0.58732331576717201</v>
      </c>
      <c r="F5241">
        <v>0.235723210097224</v>
      </c>
      <c r="G5241">
        <v>0.16411049172908301</v>
      </c>
      <c r="H5241">
        <v>9.7277225490055796E-2</v>
      </c>
      <c r="I5241">
        <v>7.5161714217718195E-2</v>
      </c>
      <c r="J5241">
        <v>7.4348737724060601E-2</v>
      </c>
      <c r="K5241">
        <v>6.0797613759208398E-2</v>
      </c>
      <c r="L5241">
        <v>1155.65530388973</v>
      </c>
      <c r="M5241">
        <v>23.114982347160201</v>
      </c>
      <c r="N5241">
        <v>50.349854814343097</v>
      </c>
      <c r="O5241">
        <v>49.626250062487102</v>
      </c>
      <c r="P5241">
        <v>-0.10771600382405</v>
      </c>
      <c r="Q5241">
        <v>7.4981966140863804E-2</v>
      </c>
      <c r="R5241">
        <v>0.99854890733297397</v>
      </c>
      <c r="S5241" t="s">
        <v>11693</v>
      </c>
      <c r="T5241" t="s">
        <v>12902</v>
      </c>
      <c r="U5241" t="s">
        <v>12902</v>
      </c>
      <c r="V5241" t="s">
        <v>12902</v>
      </c>
      <c r="W5241" t="s">
        <v>18094</v>
      </c>
      <c r="X5241">
        <v>18</v>
      </c>
      <c r="Y5241" t="s">
        <v>24388</v>
      </c>
      <c r="Z5241" t="s">
        <v>30816</v>
      </c>
      <c r="AA5241">
        <v>0.3928701411113702</v>
      </c>
      <c r="AB5241" t="str">
        <f>HYPERLINK("Melting_Curves/meltCurve_Q9BTE6_AARSD1.pdf", "Melting_Curves/meltCurve_Q9BTE6_AARSD1.pdf")</f>
        <v>Melting_Curves/meltCurve_Q9BTE6_AARSD1.pdf</v>
      </c>
    </row>
    <row r="5242" spans="1:28" x14ac:dyDescent="0.25">
      <c r="A5242" t="s">
        <v>5246</v>
      </c>
      <c r="B5242">
        <v>0.99673306730245903</v>
      </c>
      <c r="C5242">
        <v>0.87445910598342202</v>
      </c>
      <c r="D5242">
        <v>0.26208127676497001</v>
      </c>
      <c r="E5242">
        <v>0.171746758178423</v>
      </c>
      <c r="F5242">
        <v>0.100972971814106</v>
      </c>
      <c r="G5242">
        <v>6.0080251899651702E-2</v>
      </c>
      <c r="H5242">
        <v>3.9177648885453303E-2</v>
      </c>
      <c r="I5242">
        <v>4.0323482265464103E-2</v>
      </c>
      <c r="J5242">
        <v>4.9125203636788801E-2</v>
      </c>
      <c r="K5242">
        <v>4.1913823993222202E-2</v>
      </c>
      <c r="L5242">
        <v>1919.1653565470699</v>
      </c>
      <c r="M5242">
        <v>42.965832823466897</v>
      </c>
      <c r="N5242">
        <v>44.820555172748499</v>
      </c>
      <c r="O5242">
        <v>44.570805196893801</v>
      </c>
      <c r="P5242">
        <v>-0.224528537868531</v>
      </c>
      <c r="Q5242">
        <v>6.8338512898373005E-2</v>
      </c>
      <c r="R5242">
        <v>0.98959030819485605</v>
      </c>
      <c r="S5242" t="s">
        <v>11694</v>
      </c>
      <c r="T5242" t="s">
        <v>12902</v>
      </c>
      <c r="U5242" t="s">
        <v>12902</v>
      </c>
      <c r="V5242" t="s">
        <v>12902</v>
      </c>
      <c r="W5242" t="s">
        <v>18095</v>
      </c>
      <c r="X5242">
        <v>8</v>
      </c>
      <c r="Y5242" t="s">
        <v>24389</v>
      </c>
      <c r="Z5242" t="s">
        <v>30817</v>
      </c>
      <c r="AA5242">
        <v>0.21593726705600139</v>
      </c>
      <c r="AB5242" t="str">
        <f>HYPERLINK("Melting_Curves/meltCurve_Q9BTE7_DCUN1D5.pdf", "Melting_Curves/meltCurve_Q9BTE7_DCUN1D5.pdf")</f>
        <v>Melting_Curves/meltCurve_Q9BTE7_DCUN1D5.pdf</v>
      </c>
    </row>
    <row r="5243" spans="1:28" x14ac:dyDescent="0.25">
      <c r="A5243" t="s">
        <v>5247</v>
      </c>
      <c r="B5243">
        <v>0.99673306730245903</v>
      </c>
      <c r="C5243">
        <v>1.0100534540308099</v>
      </c>
      <c r="D5243">
        <v>1.0824035734922199</v>
      </c>
      <c r="E5243">
        <v>1.00739931414969</v>
      </c>
      <c r="F5243">
        <v>0.90501551044068895</v>
      </c>
      <c r="G5243">
        <v>0.75504532285378001</v>
      </c>
      <c r="H5243">
        <v>0.45018613271909902</v>
      </c>
      <c r="I5243">
        <v>0.25697918517866503</v>
      </c>
      <c r="J5243">
        <v>0.17566826560009499</v>
      </c>
      <c r="K5243">
        <v>0.124253300382166</v>
      </c>
      <c r="L5243">
        <v>1214.9626610745399</v>
      </c>
      <c r="M5243">
        <v>20.408300243808</v>
      </c>
      <c r="N5243">
        <v>60.087824865454898</v>
      </c>
      <c r="O5243">
        <v>58.970005331603197</v>
      </c>
      <c r="P5243">
        <v>-7.9089183812523695E-2</v>
      </c>
      <c r="Q5243">
        <v>8.5911143679698196E-2</v>
      </c>
      <c r="R5243">
        <v>0.99372110493758603</v>
      </c>
      <c r="S5243" t="s">
        <v>11695</v>
      </c>
      <c r="T5243" t="s">
        <v>12902</v>
      </c>
      <c r="U5243" t="s">
        <v>12902</v>
      </c>
      <c r="V5243" t="s">
        <v>12902</v>
      </c>
      <c r="W5243" t="s">
        <v>18096</v>
      </c>
      <c r="X5243">
        <v>2</v>
      </c>
      <c r="Y5243" t="s">
        <v>24390</v>
      </c>
      <c r="Z5243" t="s">
        <v>30818</v>
      </c>
      <c r="AA5243">
        <v>0.68942208665708959</v>
      </c>
      <c r="AB5243" t="str">
        <f>HYPERLINK("Melting_Curves/meltCurve_Q9BTF0_2_THUMPD2.pdf", "Melting_Curves/meltCurve_Q9BTF0_2_THUMPD2.pdf")</f>
        <v>Melting_Curves/meltCurve_Q9BTF0_2_THUMPD2.pdf</v>
      </c>
    </row>
    <row r="5244" spans="1:28" x14ac:dyDescent="0.25">
      <c r="A5244" t="s">
        <v>5248</v>
      </c>
      <c r="B5244">
        <v>0.99673306730245903</v>
      </c>
      <c r="C5244">
        <v>0.95889566324118303</v>
      </c>
      <c r="D5244">
        <v>0.88309943509079503</v>
      </c>
      <c r="E5244">
        <v>0.87615658245381201</v>
      </c>
      <c r="F5244">
        <v>0.76537442385786902</v>
      </c>
      <c r="G5244">
        <v>0.54374302050418</v>
      </c>
      <c r="H5244">
        <v>0.27432945340776799</v>
      </c>
      <c r="I5244">
        <v>0.32232074590542698</v>
      </c>
      <c r="J5244">
        <v>0.43119027130031601</v>
      </c>
      <c r="K5244">
        <v>0.47846252235111197</v>
      </c>
      <c r="L5244">
        <v>1251.04831532751</v>
      </c>
      <c r="M5244">
        <v>23.272229123116102</v>
      </c>
      <c r="N5244">
        <v>57.095662844667203</v>
      </c>
      <c r="O5244">
        <v>53.364925176396902</v>
      </c>
      <c r="P5244">
        <v>-6.8493316751935193E-2</v>
      </c>
      <c r="Q5244">
        <v>0.371770469293143</v>
      </c>
      <c r="R5244">
        <v>0.91971911898457603</v>
      </c>
      <c r="S5244" t="s">
        <v>11696</v>
      </c>
      <c r="T5244" t="s">
        <v>12902</v>
      </c>
      <c r="U5244" t="s">
        <v>12902</v>
      </c>
      <c r="V5244" t="s">
        <v>12902</v>
      </c>
      <c r="W5244" t="s">
        <v>18097</v>
      </c>
      <c r="X5244">
        <v>6</v>
      </c>
      <c r="Y5244" t="s">
        <v>24391</v>
      </c>
      <c r="Z5244" t="s">
        <v>30819</v>
      </c>
      <c r="AA5244">
        <v>0.66647052463395051</v>
      </c>
      <c r="AB5244" t="str">
        <f>HYPERLINK("Melting_Curves/meltCurve_Q9BTL3_FAM103A1.pdf", "Melting_Curves/meltCurve_Q9BTL3_FAM103A1.pdf")</f>
        <v>Melting_Curves/meltCurve_Q9BTL3_FAM103A1.pdf</v>
      </c>
    </row>
    <row r="5245" spans="1:28" x14ac:dyDescent="0.25">
      <c r="A5245" t="s">
        <v>5249</v>
      </c>
      <c r="B5245">
        <v>0.99673306730245903</v>
      </c>
      <c r="C5245">
        <v>0.98508510974766195</v>
      </c>
      <c r="D5245">
        <v>0.60149581781478101</v>
      </c>
      <c r="E5245">
        <v>0.33481966093211202</v>
      </c>
      <c r="F5245">
        <v>0.207976976361682</v>
      </c>
      <c r="G5245">
        <v>0.12626649749706401</v>
      </c>
      <c r="H5245">
        <v>6.7026353878987796E-2</v>
      </c>
      <c r="I5245">
        <v>6.9099410668589101E-2</v>
      </c>
      <c r="J5245">
        <v>7.7506468235568796E-2</v>
      </c>
      <c r="K5245">
        <v>7.2563086352307696E-2</v>
      </c>
      <c r="L5245">
        <v>990.45408183789505</v>
      </c>
      <c r="M5245">
        <v>20.985356586584601</v>
      </c>
      <c r="N5245">
        <v>47.602475685372703</v>
      </c>
      <c r="O5245">
        <v>46.775077706492802</v>
      </c>
      <c r="P5245">
        <v>-0.102992204549295</v>
      </c>
      <c r="Q5245">
        <v>8.1771385469147903E-2</v>
      </c>
      <c r="R5245">
        <v>0.98815535455929104</v>
      </c>
      <c r="S5245" t="s">
        <v>11697</v>
      </c>
      <c r="T5245" t="s">
        <v>12902</v>
      </c>
      <c r="U5245" t="s">
        <v>12902</v>
      </c>
      <c r="V5245" t="s">
        <v>12902</v>
      </c>
      <c r="W5245" t="s">
        <v>18098</v>
      </c>
      <c r="X5245">
        <v>6</v>
      </c>
      <c r="Y5245" t="s">
        <v>24392</v>
      </c>
      <c r="Z5245" t="s">
        <v>30820</v>
      </c>
      <c r="AA5245">
        <v>0.31407081711480911</v>
      </c>
      <c r="AB5245" t="str">
        <f>HYPERLINK("Melting_Curves/meltCurve_Q9BTT0_ANP32E.pdf", "Melting_Curves/meltCurve_Q9BTT0_ANP32E.pdf")</f>
        <v>Melting_Curves/meltCurve_Q9BTT0_ANP32E.pdf</v>
      </c>
    </row>
    <row r="5246" spans="1:28" x14ac:dyDescent="0.25">
      <c r="A5246" t="s">
        <v>5250</v>
      </c>
      <c r="B5246">
        <v>0.99673306730245903</v>
      </c>
      <c r="C5246">
        <v>0.950292219581791</v>
      </c>
      <c r="D5246">
        <v>0.85516672675870598</v>
      </c>
      <c r="E5246">
        <v>0.76101254779446303</v>
      </c>
      <c r="F5246">
        <v>0.32758275767480899</v>
      </c>
      <c r="G5246">
        <v>0.18630455291985301</v>
      </c>
      <c r="H5246">
        <v>0.119882946985574</v>
      </c>
      <c r="I5246">
        <v>9.8487710850664698E-2</v>
      </c>
      <c r="J5246">
        <v>8.1754348801652402E-2</v>
      </c>
      <c r="K5246">
        <v>7.1450733158198998E-2</v>
      </c>
      <c r="L5246">
        <v>1078.5700645996301</v>
      </c>
      <c r="M5246">
        <v>21.030868202754402</v>
      </c>
      <c r="N5246">
        <v>51.689616545876099</v>
      </c>
      <c r="O5246">
        <v>50.828155131366998</v>
      </c>
      <c r="P5246">
        <v>-9.5594994105473605E-2</v>
      </c>
      <c r="Q5246">
        <v>7.5874957257126605E-2</v>
      </c>
      <c r="R5246">
        <v>0.99123303912807303</v>
      </c>
      <c r="S5246" t="s">
        <v>11698</v>
      </c>
      <c r="T5246" t="s">
        <v>12902</v>
      </c>
      <c r="U5246" t="s">
        <v>12902</v>
      </c>
      <c r="V5246" t="s">
        <v>12902</v>
      </c>
      <c r="W5246" t="s">
        <v>18099</v>
      </c>
      <c r="X5246">
        <v>10</v>
      </c>
      <c r="Y5246" t="s">
        <v>24393</v>
      </c>
      <c r="Z5246" t="s">
        <v>30821</v>
      </c>
      <c r="AA5246">
        <v>0.43517520094685419</v>
      </c>
      <c r="AB5246" t="str">
        <f>HYPERLINK("Melting_Curves/meltCurve_Q9BTT6_LRRC1.pdf", "Melting_Curves/meltCurve_Q9BTT6_LRRC1.pdf")</f>
        <v>Melting_Curves/meltCurve_Q9BTT6_LRRC1.pdf</v>
      </c>
    </row>
    <row r="5247" spans="1:28" x14ac:dyDescent="0.25">
      <c r="A5247" t="s">
        <v>5251</v>
      </c>
      <c r="B5247">
        <v>0.99673306730245903</v>
      </c>
      <c r="C5247">
        <v>0.99894821013408597</v>
      </c>
      <c r="D5247">
        <v>0.96930809217475</v>
      </c>
      <c r="E5247">
        <v>0.79653360665671302</v>
      </c>
      <c r="F5247">
        <v>0.53258706662365496</v>
      </c>
      <c r="G5247">
        <v>0.245175893169813</v>
      </c>
      <c r="H5247">
        <v>8.0001771072426897E-2</v>
      </c>
      <c r="I5247">
        <v>6.8216079710217398E-2</v>
      </c>
      <c r="J5247">
        <v>7.3401958408568502E-2</v>
      </c>
      <c r="K5247">
        <v>6.1625992411597497E-2</v>
      </c>
      <c r="L5247">
        <v>1090.3086367817</v>
      </c>
      <c r="M5247">
        <v>20.529333228032499</v>
      </c>
      <c r="N5247">
        <v>53.351734669801097</v>
      </c>
      <c r="O5247">
        <v>52.613561561923902</v>
      </c>
      <c r="P5247">
        <v>-9.3214704054232905E-2</v>
      </c>
      <c r="Q5247">
        <v>4.44475783649569E-2</v>
      </c>
      <c r="R5247">
        <v>0.99858066271371504</v>
      </c>
      <c r="S5247" t="s">
        <v>11699</v>
      </c>
      <c r="T5247" t="s">
        <v>12902</v>
      </c>
      <c r="U5247" t="s">
        <v>12902</v>
      </c>
      <c r="V5247" t="s">
        <v>12902</v>
      </c>
      <c r="W5247" t="s">
        <v>18100</v>
      </c>
      <c r="X5247">
        <v>15</v>
      </c>
      <c r="Y5247" t="s">
        <v>24394</v>
      </c>
      <c r="Z5247" t="s">
        <v>30822</v>
      </c>
      <c r="AA5247">
        <v>0.47457381450424369</v>
      </c>
      <c r="AB5247" t="str">
        <f>HYPERLINK("Melting_Curves/meltCurve_Q9BTU6_PI4K2A.pdf", "Melting_Curves/meltCurve_Q9BTU6_PI4K2A.pdf")</f>
        <v>Melting_Curves/meltCurve_Q9BTU6_PI4K2A.pdf</v>
      </c>
    </row>
    <row r="5248" spans="1:28" x14ac:dyDescent="0.25">
      <c r="A5248" t="s">
        <v>5252</v>
      </c>
      <c r="B5248">
        <v>0.99673306730245903</v>
      </c>
      <c r="C5248">
        <v>1.03077872269037</v>
      </c>
      <c r="D5248">
        <v>0.97099788944605403</v>
      </c>
      <c r="E5248">
        <v>0.96430461387325705</v>
      </c>
      <c r="F5248">
        <v>0.67384361585294705</v>
      </c>
      <c r="G5248">
        <v>0.388733235346507</v>
      </c>
      <c r="H5248">
        <v>0.13470584482081199</v>
      </c>
      <c r="I5248">
        <v>9.9738238024071404E-2</v>
      </c>
      <c r="J5248">
        <v>0.106241931908731</v>
      </c>
      <c r="K5248">
        <v>0.10376979391791499</v>
      </c>
      <c r="L5248">
        <v>1332.0159280938201</v>
      </c>
      <c r="M5248">
        <v>24.311908551252898</v>
      </c>
      <c r="N5248">
        <v>55.217408772088703</v>
      </c>
      <c r="O5248">
        <v>54.421954363155201</v>
      </c>
      <c r="P5248">
        <v>-0.10207695053239001</v>
      </c>
      <c r="Q5248">
        <v>8.6020662306013601E-2</v>
      </c>
      <c r="R5248">
        <v>0.99665490667939005</v>
      </c>
      <c r="S5248" t="s">
        <v>11700</v>
      </c>
      <c r="T5248" t="s">
        <v>12902</v>
      </c>
      <c r="U5248" t="s">
        <v>12902</v>
      </c>
      <c r="V5248" t="s">
        <v>12902</v>
      </c>
      <c r="W5248" t="s">
        <v>18101</v>
      </c>
      <c r="X5248">
        <v>11</v>
      </c>
      <c r="Y5248" t="s">
        <v>24395</v>
      </c>
      <c r="Z5248" t="s">
        <v>30823</v>
      </c>
      <c r="AA5248">
        <v>0.54545594996187008</v>
      </c>
      <c r="AB5248" t="str">
        <f>HYPERLINK("Melting_Curves/meltCurve_Q9BTV4_TMEM43.pdf", "Melting_Curves/meltCurve_Q9BTV4_TMEM43.pdf")</f>
        <v>Melting_Curves/meltCurve_Q9BTV4_TMEM43.pdf</v>
      </c>
    </row>
    <row r="5249" spans="1:28" x14ac:dyDescent="0.25">
      <c r="A5249" t="s">
        <v>5253</v>
      </c>
      <c r="B5249">
        <v>0.99673306730245903</v>
      </c>
      <c r="C5249">
        <v>1.02177726075141</v>
      </c>
      <c r="D5249">
        <v>0.91431300528405601</v>
      </c>
      <c r="E5249">
        <v>0.78938480369649999</v>
      </c>
      <c r="F5249">
        <v>0.85617665430736001</v>
      </c>
      <c r="G5249">
        <v>0.76971625044007297</v>
      </c>
      <c r="H5249">
        <v>0.374773241332026</v>
      </c>
      <c r="I5249">
        <v>0.12805631034461001</v>
      </c>
      <c r="J5249">
        <v>4.8418691343626398E-2</v>
      </c>
      <c r="K5249">
        <v>5.0036981808760699E-2</v>
      </c>
      <c r="L5249">
        <v>1222.1535888204501</v>
      </c>
      <c r="M5249">
        <v>20.657890143680198</v>
      </c>
      <c r="N5249">
        <v>59.1615748348799</v>
      </c>
      <c r="O5249">
        <v>58.615562404781599</v>
      </c>
      <c r="P5249">
        <v>-8.8110052234540798E-2</v>
      </c>
      <c r="Q5249">
        <v>0</v>
      </c>
      <c r="R5249">
        <v>0.96186307877578803</v>
      </c>
      <c r="S5249" t="s">
        <v>11701</v>
      </c>
      <c r="T5249" t="s">
        <v>12902</v>
      </c>
      <c r="U5249" t="s">
        <v>12902</v>
      </c>
      <c r="V5249" t="s">
        <v>12902</v>
      </c>
      <c r="W5249" t="s">
        <v>18102</v>
      </c>
      <c r="X5249">
        <v>3</v>
      </c>
      <c r="Y5249" t="s">
        <v>24396</v>
      </c>
      <c r="Z5249" t="s">
        <v>30824</v>
      </c>
      <c r="AA5249">
        <v>0.64835050769934888</v>
      </c>
      <c r="AB5249" t="str">
        <f>HYPERLINK("Melting_Curves/meltCurve_Q9BTV6_WDR85.pdf", "Melting_Curves/meltCurve_Q9BTV6_WDR85.pdf")</f>
        <v>Melting_Curves/meltCurve_Q9BTV6_WDR85.pdf</v>
      </c>
    </row>
    <row r="5250" spans="1:28" x14ac:dyDescent="0.25">
      <c r="A5250" t="s">
        <v>5254</v>
      </c>
      <c r="B5250">
        <v>0.99673306730245903</v>
      </c>
      <c r="C5250">
        <v>1.0482436424963899</v>
      </c>
      <c r="D5250">
        <v>0.96743677946066797</v>
      </c>
      <c r="E5250">
        <v>0.804818809406594</v>
      </c>
      <c r="F5250">
        <v>0.40429596116414401</v>
      </c>
      <c r="G5250">
        <v>0.129810614568174</v>
      </c>
      <c r="H5250">
        <v>5.6151126396290399E-2</v>
      </c>
      <c r="I5250">
        <v>5.3951922303120202E-2</v>
      </c>
      <c r="J5250">
        <v>6.8126986867030295E-2</v>
      </c>
      <c r="K5250">
        <v>5.89529458588113E-2</v>
      </c>
      <c r="L5250">
        <v>1438.27301908046</v>
      </c>
      <c r="M5250">
        <v>27.6031929675278</v>
      </c>
      <c r="N5250">
        <v>52.3122633831154</v>
      </c>
      <c r="O5250">
        <v>51.834141936819996</v>
      </c>
      <c r="P5250">
        <v>-0.12624727187257601</v>
      </c>
      <c r="Q5250">
        <v>5.1724260009889403E-2</v>
      </c>
      <c r="R5250">
        <v>0.99810641475959805</v>
      </c>
      <c r="S5250" t="s">
        <v>11702</v>
      </c>
      <c r="T5250" t="s">
        <v>12902</v>
      </c>
      <c r="U5250" t="s">
        <v>12902</v>
      </c>
      <c r="V5250" t="s">
        <v>12902</v>
      </c>
      <c r="W5250" t="s">
        <v>18103</v>
      </c>
      <c r="X5250">
        <v>6</v>
      </c>
      <c r="Y5250" t="s">
        <v>24397</v>
      </c>
      <c r="Z5250" t="s">
        <v>30825</v>
      </c>
      <c r="AA5250">
        <v>0.44151391069561968</v>
      </c>
      <c r="AB5250" t="str">
        <f>HYPERLINK("Melting_Curves/meltCurve_Q9BTX7_TTPAL.pdf", "Melting_Curves/meltCurve_Q9BTX7_TTPAL.pdf")</f>
        <v>Melting_Curves/meltCurve_Q9BTX7_TTPAL.pdf</v>
      </c>
    </row>
    <row r="5251" spans="1:28" x14ac:dyDescent="0.25">
      <c r="A5251" t="s">
        <v>5255</v>
      </c>
      <c r="B5251">
        <v>0.99673306730245903</v>
      </c>
      <c r="C5251">
        <v>0.98967482287179998</v>
      </c>
      <c r="D5251">
        <v>0.98546096116764004</v>
      </c>
      <c r="E5251">
        <v>1.01353234291787</v>
      </c>
      <c r="F5251">
        <v>0.89188633136644502</v>
      </c>
      <c r="G5251">
        <v>0.76979305943362697</v>
      </c>
      <c r="H5251">
        <v>0.46610260380481899</v>
      </c>
      <c r="I5251">
        <v>0.17594965356890699</v>
      </c>
      <c r="J5251">
        <v>0.14429414838614499</v>
      </c>
      <c r="K5251">
        <v>0.12786237346035201</v>
      </c>
      <c r="L5251">
        <v>1333.6986979420401</v>
      </c>
      <c r="M5251">
        <v>22.406035737434198</v>
      </c>
      <c r="N5251">
        <v>59.944823734817398</v>
      </c>
      <c r="O5251">
        <v>59.056010232228303</v>
      </c>
      <c r="P5251">
        <v>-8.7950959000824197E-2</v>
      </c>
      <c r="Q5251">
        <v>7.2763136903578704E-2</v>
      </c>
      <c r="R5251">
        <v>0.99378095850817705</v>
      </c>
      <c r="S5251" t="s">
        <v>11703</v>
      </c>
      <c r="T5251" t="s">
        <v>12902</v>
      </c>
      <c r="U5251" t="s">
        <v>12902</v>
      </c>
      <c r="V5251" t="s">
        <v>12902</v>
      </c>
      <c r="W5251" t="s">
        <v>18104</v>
      </c>
      <c r="X5251">
        <v>6</v>
      </c>
      <c r="Y5251" t="s">
        <v>24398</v>
      </c>
      <c r="Z5251" t="s">
        <v>30826</v>
      </c>
      <c r="AA5251">
        <v>0.68422225649306256</v>
      </c>
      <c r="AB5251" t="str">
        <f>HYPERLINK("Melting_Curves/meltCurve_Q9BTY2_FUCA2.pdf", "Melting_Curves/meltCurve_Q9BTY2_FUCA2.pdf")</f>
        <v>Melting_Curves/meltCurve_Q9BTY2_FUCA2.pdf</v>
      </c>
    </row>
    <row r="5252" spans="1:28" x14ac:dyDescent="0.25">
      <c r="A5252" t="s">
        <v>5256</v>
      </c>
      <c r="B5252">
        <v>0.99673306730245903</v>
      </c>
      <c r="C5252">
        <v>0.90803648552538196</v>
      </c>
      <c r="D5252">
        <v>0.54673954817535397</v>
      </c>
      <c r="E5252">
        <v>0.26274541075306801</v>
      </c>
      <c r="F5252">
        <v>0.168908662920699</v>
      </c>
      <c r="G5252">
        <v>0.11435895306777299</v>
      </c>
      <c r="H5252">
        <v>7.3419314745153494E-2</v>
      </c>
      <c r="I5252">
        <v>6.9440102847488694E-2</v>
      </c>
      <c r="J5252">
        <v>7.5458151022036596E-2</v>
      </c>
      <c r="K5252">
        <v>5.86312986582707E-2</v>
      </c>
      <c r="L5252">
        <v>1042.91829361949</v>
      </c>
      <c r="M5252">
        <v>22.493309939506801</v>
      </c>
      <c r="N5252">
        <v>46.7321742943722</v>
      </c>
      <c r="O5252">
        <v>46.003918607434997</v>
      </c>
      <c r="P5252">
        <v>-0.11235513700029801</v>
      </c>
      <c r="Q5252">
        <v>8.0852170527503001E-2</v>
      </c>
      <c r="R5252">
        <v>0.99497823364878801</v>
      </c>
      <c r="S5252" t="s">
        <v>11704</v>
      </c>
      <c r="T5252" t="s">
        <v>12902</v>
      </c>
      <c r="U5252" t="s">
        <v>12902</v>
      </c>
      <c r="V5252" t="s">
        <v>12902</v>
      </c>
      <c r="W5252" t="s">
        <v>18105</v>
      </c>
      <c r="X5252">
        <v>5</v>
      </c>
      <c r="Y5252" t="s">
        <v>24399</v>
      </c>
      <c r="Z5252" t="s">
        <v>30827</v>
      </c>
      <c r="AA5252">
        <v>0.28651153818068359</v>
      </c>
      <c r="AB5252" t="str">
        <f>HYPERLINK("Melting_Curves/meltCurve_Q9BTY7_FAM203A.pdf", "Melting_Curves/meltCurve_Q9BTY7_FAM203A.pdf")</f>
        <v>Melting_Curves/meltCurve_Q9BTY7_FAM203A.pdf</v>
      </c>
    </row>
    <row r="5253" spans="1:28" x14ac:dyDescent="0.25">
      <c r="A5253" t="s">
        <v>5257</v>
      </c>
      <c r="B5253">
        <v>0.99673306730245903</v>
      </c>
      <c r="C5253">
        <v>1.0033625879224499</v>
      </c>
      <c r="D5253">
        <v>1.05090300499845</v>
      </c>
      <c r="E5253">
        <v>1.0176116570449001</v>
      </c>
      <c r="F5253">
        <v>0.85385532929635299</v>
      </c>
      <c r="G5253">
        <v>0.50885839645561104</v>
      </c>
      <c r="H5253">
        <v>0.18333306141418401</v>
      </c>
      <c r="I5253">
        <v>0.123789175694711</v>
      </c>
      <c r="J5253">
        <v>0.13404494334002601</v>
      </c>
      <c r="K5253">
        <v>0.119513806646113</v>
      </c>
      <c r="L5253">
        <v>1735.4129234423599</v>
      </c>
      <c r="M5253">
        <v>30.828398196449999</v>
      </c>
      <c r="N5253">
        <v>56.768749444681099</v>
      </c>
      <c r="O5253">
        <v>56.057396653633099</v>
      </c>
      <c r="P5253">
        <v>-0.121825260185506</v>
      </c>
      <c r="Q5253">
        <v>0.11391218338284299</v>
      </c>
      <c r="R5253">
        <v>0.99709082244908298</v>
      </c>
      <c r="S5253" t="s">
        <v>11705</v>
      </c>
      <c r="T5253" t="s">
        <v>12902</v>
      </c>
      <c r="U5253" t="s">
        <v>12902</v>
      </c>
      <c r="V5253" t="s">
        <v>12902</v>
      </c>
      <c r="W5253" t="s">
        <v>18106</v>
      </c>
      <c r="X5253">
        <v>12</v>
      </c>
      <c r="Y5253" t="s">
        <v>24400</v>
      </c>
      <c r="Z5253" t="s">
        <v>30828</v>
      </c>
      <c r="AA5253">
        <v>0.60076159129746176</v>
      </c>
      <c r="AB5253" t="str">
        <f>HYPERLINK("Melting_Curves/meltCurve_Q9BTZ2_DHRS4.pdf", "Melting_Curves/meltCurve_Q9BTZ2_DHRS4.pdf")</f>
        <v>Melting_Curves/meltCurve_Q9BTZ2_DHRS4.pdf</v>
      </c>
    </row>
    <row r="5254" spans="1:28" x14ac:dyDescent="0.25">
      <c r="A5254" t="s">
        <v>5258</v>
      </c>
      <c r="B5254">
        <v>0.99673306730245903</v>
      </c>
      <c r="C5254">
        <v>0.96690592290865696</v>
      </c>
      <c r="D5254">
        <v>0.75459799698893104</v>
      </c>
      <c r="E5254">
        <v>0.50304940645627905</v>
      </c>
      <c r="F5254">
        <v>0.232451427266855</v>
      </c>
      <c r="G5254">
        <v>0.15260791347891001</v>
      </c>
      <c r="H5254">
        <v>0.108599347179293</v>
      </c>
      <c r="I5254">
        <v>6.4207120844616106E-2</v>
      </c>
      <c r="J5254">
        <v>6.2963683591329395E-2</v>
      </c>
      <c r="K5254">
        <v>4.4077802047711903E-2</v>
      </c>
      <c r="L5254">
        <v>867.25249745363601</v>
      </c>
      <c r="M5254">
        <v>17.651866350238301</v>
      </c>
      <c r="N5254">
        <v>49.4653850423568</v>
      </c>
      <c r="O5254">
        <v>48.513381535721102</v>
      </c>
      <c r="P5254">
        <v>-8.5851493603674695E-2</v>
      </c>
      <c r="Q5254">
        <v>5.6252979817924702E-2</v>
      </c>
      <c r="R5254">
        <v>0.99722845337331101</v>
      </c>
      <c r="S5254" t="s">
        <v>11706</v>
      </c>
      <c r="T5254" t="s">
        <v>12902</v>
      </c>
      <c r="U5254" t="s">
        <v>12902</v>
      </c>
      <c r="V5254" t="s">
        <v>12902</v>
      </c>
      <c r="W5254" t="s">
        <v>18107</v>
      </c>
      <c r="X5254">
        <v>5</v>
      </c>
      <c r="Y5254" t="s">
        <v>24401</v>
      </c>
      <c r="Z5254" t="s">
        <v>30829</v>
      </c>
      <c r="AA5254">
        <v>0.36044487444132278</v>
      </c>
      <c r="AB5254" t="str">
        <f>HYPERLINK("Melting_Curves/meltCurve_Q9BU02_THTPA.pdf", "Melting_Curves/meltCurve_Q9BU02_THTPA.pdf")</f>
        <v>Melting_Curves/meltCurve_Q9BU02_THTPA.pdf</v>
      </c>
    </row>
    <row r="5255" spans="1:28" x14ac:dyDescent="0.25">
      <c r="A5255" t="s">
        <v>5259</v>
      </c>
      <c r="B5255">
        <v>0.99673306730245903</v>
      </c>
      <c r="C5255">
        <v>0.69792069070361495</v>
      </c>
      <c r="D5255">
        <v>0.77037737246067695</v>
      </c>
      <c r="E5255">
        <v>0.74830286861158901</v>
      </c>
      <c r="F5255">
        <v>0.411238156807887</v>
      </c>
      <c r="G5255">
        <v>0.238670383129723</v>
      </c>
      <c r="H5255">
        <v>0.17622241586435</v>
      </c>
      <c r="I5255">
        <v>8.7659090884161503E-2</v>
      </c>
      <c r="J5255">
        <v>0.102209481199838</v>
      </c>
      <c r="K5255">
        <v>0.100691905193918</v>
      </c>
      <c r="L5255">
        <v>506.03135803194698</v>
      </c>
      <c r="M5255">
        <v>9.7969200729293107</v>
      </c>
      <c r="N5255">
        <v>51.652075646573202</v>
      </c>
      <c r="O5255">
        <v>49.637955530332697</v>
      </c>
      <c r="P5255">
        <v>-4.9367835497640102E-2</v>
      </c>
      <c r="Q5255">
        <v>0</v>
      </c>
      <c r="R5255">
        <v>0.93866807958183596</v>
      </c>
      <c r="S5255" t="s">
        <v>11707</v>
      </c>
      <c r="T5255" t="s">
        <v>12902</v>
      </c>
      <c r="U5255" t="s">
        <v>12902</v>
      </c>
      <c r="V5255" t="s">
        <v>12902</v>
      </c>
      <c r="W5255" t="s">
        <v>18108</v>
      </c>
      <c r="X5255">
        <v>8</v>
      </c>
      <c r="Y5255" t="s">
        <v>24402</v>
      </c>
      <c r="Z5255" t="s">
        <v>30830</v>
      </c>
      <c r="AA5255">
        <v>0.42855831378023013</v>
      </c>
      <c r="AB5255" t="str">
        <f>HYPERLINK("Melting_Curves/meltCurve_Q9BU23_3_LMF2.pdf", "Melting_Curves/meltCurve_Q9BU23_3_LMF2.pdf")</f>
        <v>Melting_Curves/meltCurve_Q9BU23_3_LMF2.pdf</v>
      </c>
    </row>
    <row r="5256" spans="1:28" x14ac:dyDescent="0.25">
      <c r="A5256" t="s">
        <v>5260</v>
      </c>
      <c r="B5256">
        <v>0.99673306730245903</v>
      </c>
      <c r="C5256">
        <v>0.98556721915381496</v>
      </c>
      <c r="D5256">
        <v>0.89947276030870604</v>
      </c>
      <c r="E5256">
        <v>0.78646188622615198</v>
      </c>
      <c r="F5256">
        <v>0.71680836710239804</v>
      </c>
      <c r="G5256">
        <v>0.50793665235366103</v>
      </c>
      <c r="H5256">
        <v>0.151242133802096</v>
      </c>
      <c r="I5256">
        <v>0.104611107279794</v>
      </c>
      <c r="J5256">
        <v>0.119240450380596</v>
      </c>
      <c r="K5256">
        <v>9.9492688744406602E-2</v>
      </c>
      <c r="L5256">
        <v>777.529309861407</v>
      </c>
      <c r="M5256">
        <v>13.9394498007322</v>
      </c>
      <c r="N5256">
        <v>55.816010943055602</v>
      </c>
      <c r="O5256">
        <v>54.668719790665499</v>
      </c>
      <c r="P5256">
        <v>-6.3460833320076404E-2</v>
      </c>
      <c r="Q5256">
        <v>4.5936663271378903E-3</v>
      </c>
      <c r="R5256">
        <v>0.97996858595312497</v>
      </c>
      <c r="S5256" t="s">
        <v>11708</v>
      </c>
      <c r="T5256" t="s">
        <v>12902</v>
      </c>
      <c r="U5256" t="s">
        <v>12902</v>
      </c>
      <c r="V5256" t="s">
        <v>12902</v>
      </c>
      <c r="W5256" t="s">
        <v>18109</v>
      </c>
      <c r="X5256">
        <v>5</v>
      </c>
      <c r="Y5256" t="s">
        <v>24403</v>
      </c>
      <c r="Z5256" t="s">
        <v>30831</v>
      </c>
      <c r="AA5256">
        <v>0.54730724592108038</v>
      </c>
      <c r="AB5256" t="str">
        <f>HYPERLINK("Melting_Curves/meltCurve_Q9BU61_NDUFAF3.pdf", "Melting_Curves/meltCurve_Q9BU61_NDUFAF3.pdf")</f>
        <v>Melting_Curves/meltCurve_Q9BU61_NDUFAF3.pdf</v>
      </c>
    </row>
    <row r="5257" spans="1:28" x14ac:dyDescent="0.25">
      <c r="A5257" t="s">
        <v>5261</v>
      </c>
      <c r="B5257">
        <v>0.99673306730245903</v>
      </c>
      <c r="C5257">
        <v>1.04220497767031</v>
      </c>
      <c r="D5257">
        <v>1.0184785565179399</v>
      </c>
      <c r="E5257">
        <v>1.0944412864841999</v>
      </c>
      <c r="F5257">
        <v>0.93187384755311298</v>
      </c>
      <c r="G5257">
        <v>0.750293361995237</v>
      </c>
      <c r="H5257">
        <v>0.24710579245929101</v>
      </c>
      <c r="I5257">
        <v>0.25198141356230203</v>
      </c>
      <c r="J5257">
        <v>0.35459185892292699</v>
      </c>
      <c r="K5257">
        <v>0.48926358727307001</v>
      </c>
      <c r="L5257">
        <v>14228.7933457772</v>
      </c>
      <c r="M5257">
        <v>250</v>
      </c>
      <c r="N5257">
        <v>57.169722896085098</v>
      </c>
      <c r="O5257">
        <v>56.911531382089102</v>
      </c>
      <c r="P5257">
        <v>-0.72949226671272105</v>
      </c>
      <c r="Q5257">
        <v>0.33573565054592303</v>
      </c>
      <c r="R5257">
        <v>0.94977315908120896</v>
      </c>
      <c r="S5257" t="s">
        <v>11709</v>
      </c>
      <c r="T5257" t="s">
        <v>12902</v>
      </c>
      <c r="U5257" t="s">
        <v>12902</v>
      </c>
      <c r="V5257" t="s">
        <v>12902</v>
      </c>
      <c r="W5257" t="s">
        <v>18110</v>
      </c>
      <c r="X5257">
        <v>5</v>
      </c>
      <c r="Y5257" t="s">
        <v>24404</v>
      </c>
      <c r="Z5257" t="s">
        <v>30832</v>
      </c>
      <c r="AA5257">
        <v>0.71034022219333381</v>
      </c>
      <c r="AB5257" t="str">
        <f>HYPERLINK("Melting_Curves/meltCurve_Q9BU76_4_MMTAG2.pdf", "Melting_Curves/meltCurve_Q9BU76_4_MMTAG2.pdf")</f>
        <v>Melting_Curves/meltCurve_Q9BU76_4_MMTAG2.pdf</v>
      </c>
    </row>
    <row r="5258" spans="1:28" x14ac:dyDescent="0.25">
      <c r="A5258" t="s">
        <v>5262</v>
      </c>
      <c r="B5258">
        <v>0.99673306730245903</v>
      </c>
      <c r="C5258">
        <v>0.71124307741396897</v>
      </c>
      <c r="D5258">
        <v>0.41110062225315402</v>
      </c>
      <c r="E5258">
        <v>0.30522078785365703</v>
      </c>
      <c r="F5258">
        <v>0.238606246643357</v>
      </c>
      <c r="G5258">
        <v>0.135195749250997</v>
      </c>
      <c r="H5258">
        <v>8.0120086535640303E-2</v>
      </c>
      <c r="I5258">
        <v>6.5042322625458407E-2</v>
      </c>
      <c r="J5258">
        <v>6.8226483987601602E-2</v>
      </c>
      <c r="K5258">
        <v>5.7669835489033497E-2</v>
      </c>
      <c r="L5258">
        <v>707.46711059248696</v>
      </c>
      <c r="M5258">
        <v>15.614811805802599</v>
      </c>
      <c r="N5258">
        <v>45.813398607564899</v>
      </c>
      <c r="O5258">
        <v>44.583855348508798</v>
      </c>
      <c r="P5258">
        <v>-8.0630992324998096E-2</v>
      </c>
      <c r="Q5258">
        <v>7.9199849321740595E-2</v>
      </c>
      <c r="R5258">
        <v>0.97245975151576303</v>
      </c>
      <c r="S5258" t="s">
        <v>11710</v>
      </c>
      <c r="T5258" t="s">
        <v>12902</v>
      </c>
      <c r="U5258" t="s">
        <v>12902</v>
      </c>
      <c r="V5258" t="s">
        <v>12902</v>
      </c>
      <c r="W5258" t="s">
        <v>18111</v>
      </c>
      <c r="X5258">
        <v>11</v>
      </c>
      <c r="Y5258" t="s">
        <v>24405</v>
      </c>
      <c r="Z5258" t="s">
        <v>30833</v>
      </c>
      <c r="AA5258">
        <v>0.2684046420675576</v>
      </c>
      <c r="AB5258" t="str">
        <f>HYPERLINK("Melting_Curves/meltCurve_Q9BU89_DOHH.pdf", "Melting_Curves/meltCurve_Q9BU89_DOHH.pdf")</f>
        <v>Melting_Curves/meltCurve_Q9BU89_DOHH.pdf</v>
      </c>
    </row>
    <row r="5259" spans="1:28" x14ac:dyDescent="0.25">
      <c r="A5259" t="s">
        <v>5263</v>
      </c>
      <c r="B5259">
        <v>0.99673306730245903</v>
      </c>
      <c r="C5259">
        <v>0.94874649721514204</v>
      </c>
      <c r="D5259">
        <v>0.82108595688661601</v>
      </c>
      <c r="E5259">
        <v>0.58848671332364899</v>
      </c>
      <c r="F5259">
        <v>0.41167157103490398</v>
      </c>
      <c r="G5259">
        <v>0.31997003144355501</v>
      </c>
      <c r="H5259">
        <v>0.21822775060717201</v>
      </c>
      <c r="I5259">
        <v>0.29529239340208702</v>
      </c>
      <c r="J5259">
        <v>0.43852074061498802</v>
      </c>
      <c r="K5259">
        <v>0.43698278255392597</v>
      </c>
      <c r="L5259">
        <v>1100.62862886842</v>
      </c>
      <c r="M5259">
        <v>22.835237937703798</v>
      </c>
      <c r="N5259">
        <v>50.7153277990259</v>
      </c>
      <c r="O5259">
        <v>47.833623666732898</v>
      </c>
      <c r="P5259">
        <v>-7.8890996511411099E-2</v>
      </c>
      <c r="Q5259">
        <v>0.338991877585607</v>
      </c>
      <c r="R5259">
        <v>0.94370205594643997</v>
      </c>
      <c r="S5259" t="s">
        <v>11711</v>
      </c>
      <c r="T5259" t="s">
        <v>12902</v>
      </c>
      <c r="U5259" t="s">
        <v>12902</v>
      </c>
      <c r="V5259" t="s">
        <v>12902</v>
      </c>
      <c r="W5259" t="s">
        <v>18112</v>
      </c>
      <c r="X5259">
        <v>5</v>
      </c>
      <c r="Y5259" t="s">
        <v>24406</v>
      </c>
      <c r="Z5259" t="s">
        <v>30834</v>
      </c>
      <c r="AA5259">
        <v>0.52671185017289823</v>
      </c>
      <c r="AB5259" t="str">
        <f>HYPERLINK("Melting_Curves/meltCurve_Q9BUA3_C11orf84.pdf", "Melting_Curves/meltCurve_Q9BUA3_C11orf84.pdf")</f>
        <v>Melting_Curves/meltCurve_Q9BUA3_C11orf84.pdf</v>
      </c>
    </row>
    <row r="5260" spans="1:28" x14ac:dyDescent="0.25">
      <c r="A5260" t="s">
        <v>5264</v>
      </c>
      <c r="B5260">
        <v>0.99673306730245903</v>
      </c>
      <c r="C5260">
        <v>1.0152631754107699</v>
      </c>
      <c r="D5260">
        <v>0.96676960422748004</v>
      </c>
      <c r="E5260">
        <v>0.80301225470797899</v>
      </c>
      <c r="F5260">
        <v>0.328235060393189</v>
      </c>
      <c r="G5260">
        <v>0.161249227006033</v>
      </c>
      <c r="H5260">
        <v>9.2886496269872804E-2</v>
      </c>
      <c r="I5260">
        <v>7.3030002988753895E-2</v>
      </c>
      <c r="J5260">
        <v>9.5496406698224498E-2</v>
      </c>
      <c r="K5260">
        <v>7.0131363805939304E-2</v>
      </c>
      <c r="L5260">
        <v>1593.36439054779</v>
      </c>
      <c r="M5260">
        <v>30.8889660803084</v>
      </c>
      <c r="N5260">
        <v>51.8935055167128</v>
      </c>
      <c r="O5260">
        <v>51.368868678948097</v>
      </c>
      <c r="P5260">
        <v>-0.13766873038959801</v>
      </c>
      <c r="Q5260">
        <v>8.4223926614253999E-2</v>
      </c>
      <c r="R5260">
        <v>0.99884100661723696</v>
      </c>
      <c r="S5260" t="s">
        <v>11712</v>
      </c>
      <c r="T5260" t="s">
        <v>12902</v>
      </c>
      <c r="U5260" t="s">
        <v>12902</v>
      </c>
      <c r="V5260" t="s">
        <v>12902</v>
      </c>
      <c r="W5260" t="s">
        <v>18113</v>
      </c>
      <c r="X5260">
        <v>2</v>
      </c>
      <c r="Y5260" t="s">
        <v>24407</v>
      </c>
      <c r="Z5260" t="s">
        <v>30835</v>
      </c>
      <c r="AA5260">
        <v>0.44330769986205859</v>
      </c>
      <c r="AB5260" t="str">
        <f>HYPERLINK("Melting_Curves/meltCurve_Q9BUB7_2_TMEM70.pdf", "Melting_Curves/meltCurve_Q9BUB7_2_TMEM70.pdf")</f>
        <v>Melting_Curves/meltCurve_Q9BUB7_2_TMEM70.pdf</v>
      </c>
    </row>
    <row r="5261" spans="1:28" x14ac:dyDescent="0.25">
      <c r="A5261" t="s">
        <v>5265</v>
      </c>
      <c r="B5261">
        <v>0.99673306730245903</v>
      </c>
      <c r="C5261">
        <v>1.03694757337221</v>
      </c>
      <c r="D5261">
        <v>1.0107916586971699</v>
      </c>
      <c r="E5261">
        <v>0.82821792486492496</v>
      </c>
      <c r="F5261">
        <v>0.60148547871902702</v>
      </c>
      <c r="G5261">
        <v>0.46129574168869403</v>
      </c>
      <c r="H5261">
        <v>0.26199762379394498</v>
      </c>
      <c r="I5261">
        <v>0.18257923702652101</v>
      </c>
      <c r="J5261">
        <v>0.15455998657186101</v>
      </c>
      <c r="K5261">
        <v>0.10444622796953</v>
      </c>
      <c r="L5261">
        <v>820.18129513203098</v>
      </c>
      <c r="M5261">
        <v>14.970785452949301</v>
      </c>
      <c r="N5261">
        <v>55.516242673334702</v>
      </c>
      <c r="O5261">
        <v>53.835828472048199</v>
      </c>
      <c r="P5261">
        <v>-6.3309646390722202E-2</v>
      </c>
      <c r="Q5261">
        <v>8.9432117954929405E-2</v>
      </c>
      <c r="R5261">
        <v>0.99237032213135601</v>
      </c>
      <c r="S5261" t="s">
        <v>11713</v>
      </c>
      <c r="T5261" t="s">
        <v>12902</v>
      </c>
      <c r="U5261" t="s">
        <v>12902</v>
      </c>
      <c r="V5261" t="s">
        <v>12902</v>
      </c>
      <c r="W5261" t="s">
        <v>18114</v>
      </c>
      <c r="X5261">
        <v>3</v>
      </c>
      <c r="Y5261" t="s">
        <v>24408</v>
      </c>
      <c r="Z5261" t="s">
        <v>30836</v>
      </c>
      <c r="AA5261">
        <v>0.55606299451813956</v>
      </c>
      <c r="AB5261" t="str">
        <f>HYPERLINK("Melting_Curves/meltCurve_Q9BUE6_ISCA1.pdf", "Melting_Curves/meltCurve_Q9BUE6_ISCA1.pdf")</f>
        <v>Melting_Curves/meltCurve_Q9BUE6_ISCA1.pdf</v>
      </c>
    </row>
    <row r="5262" spans="1:28" x14ac:dyDescent="0.25">
      <c r="A5262" t="s">
        <v>5266</v>
      </c>
      <c r="B5262">
        <v>0.99673306730245903</v>
      </c>
      <c r="C5262">
        <v>1.0135311354593901</v>
      </c>
      <c r="D5262">
        <v>0.99196624914453202</v>
      </c>
      <c r="E5262">
        <v>1.0248226054010501</v>
      </c>
      <c r="F5262">
        <v>0.85100802351184501</v>
      </c>
      <c r="G5262">
        <v>0.64802931617711901</v>
      </c>
      <c r="H5262">
        <v>0.29771822919346902</v>
      </c>
      <c r="I5262">
        <v>0.146028185148038</v>
      </c>
      <c r="J5262">
        <v>0.15270906524988601</v>
      </c>
      <c r="K5262">
        <v>0.15152226331101801</v>
      </c>
      <c r="L5262">
        <v>1437.89212074238</v>
      </c>
      <c r="M5262">
        <v>25.025575162422399</v>
      </c>
      <c r="N5262">
        <v>58.097771340909702</v>
      </c>
      <c r="O5262">
        <v>57.093792115596003</v>
      </c>
      <c r="P5262">
        <v>-9.6365309899524798E-2</v>
      </c>
      <c r="Q5262">
        <v>0.120613650946111</v>
      </c>
      <c r="R5262">
        <v>0.99545061661673195</v>
      </c>
      <c r="S5262" t="s">
        <v>11714</v>
      </c>
      <c r="T5262" t="s">
        <v>12902</v>
      </c>
      <c r="U5262" t="s">
        <v>12902</v>
      </c>
      <c r="V5262" t="s">
        <v>12902</v>
      </c>
      <c r="W5262" t="s">
        <v>18115</v>
      </c>
      <c r="X5262">
        <v>23</v>
      </c>
      <c r="Y5262" t="s">
        <v>24409</v>
      </c>
      <c r="Z5262" t="s">
        <v>30837</v>
      </c>
      <c r="AA5262">
        <v>0.64012897269319113</v>
      </c>
      <c r="AB5262" t="str">
        <f>HYPERLINK("Melting_Curves/meltCurve_Q9BUF5_TUBB6.pdf", "Melting_Curves/meltCurve_Q9BUF5_TUBB6.pdf")</f>
        <v>Melting_Curves/meltCurve_Q9BUF5_TUBB6.pdf</v>
      </c>
    </row>
    <row r="5263" spans="1:28" x14ac:dyDescent="0.25">
      <c r="A5263" t="s">
        <v>5267</v>
      </c>
      <c r="B5263">
        <v>0.99673306730245903</v>
      </c>
      <c r="C5263">
        <v>1.0058296080466</v>
      </c>
      <c r="D5263">
        <v>1.2345733249000199</v>
      </c>
      <c r="E5263">
        <v>1.62661897305698</v>
      </c>
      <c r="F5263">
        <v>1.8641316467120099</v>
      </c>
      <c r="G5263">
        <v>1.55502738746923</v>
      </c>
      <c r="H5263">
        <v>1.1198119271626501</v>
      </c>
      <c r="I5263">
        <v>1.13256388768045</v>
      </c>
      <c r="J5263">
        <v>0.72145817969026205</v>
      </c>
      <c r="K5263">
        <v>0.43300828214957798</v>
      </c>
      <c r="L5263">
        <v>15000</v>
      </c>
      <c r="M5263">
        <v>223.51171799866501</v>
      </c>
      <c r="N5263">
        <v>67.719311326724707</v>
      </c>
      <c r="O5263">
        <v>67.105200416284802</v>
      </c>
      <c r="P5263">
        <v>-0.472177683453889</v>
      </c>
      <c r="Q5263">
        <v>0.43295001499423102</v>
      </c>
      <c r="R5263">
        <v>6.8893838475325903E-2</v>
      </c>
      <c r="S5263" t="s">
        <v>11715</v>
      </c>
      <c r="T5263" t="s">
        <v>12902</v>
      </c>
      <c r="U5263" t="s">
        <v>12902</v>
      </c>
      <c r="V5263" t="s">
        <v>12902</v>
      </c>
      <c r="W5263" t="s">
        <v>18116</v>
      </c>
      <c r="X5263">
        <v>14</v>
      </c>
      <c r="Y5263" t="s">
        <v>24410</v>
      </c>
      <c r="Z5263" t="s">
        <v>30838</v>
      </c>
      <c r="AA5263">
        <v>0.94546800512467322</v>
      </c>
      <c r="AB5263" t="str">
        <f>HYPERLINK("Melting_Curves/meltCurve_Q9BUH6_C9orf142.pdf", "Melting_Curves/meltCurve_Q9BUH6_C9orf142.pdf")</f>
        <v>Melting_Curves/meltCurve_Q9BUH6_C9orf142.pdf</v>
      </c>
    </row>
    <row r="5264" spans="1:28" x14ac:dyDescent="0.25">
      <c r="A5264" t="s">
        <v>5268</v>
      </c>
      <c r="B5264">
        <v>0.99673306730245903</v>
      </c>
      <c r="C5264">
        <v>0.93192303177973301</v>
      </c>
      <c r="D5264">
        <v>0.91394790672024195</v>
      </c>
      <c r="E5264">
        <v>0.93040801617466395</v>
      </c>
      <c r="F5264">
        <v>0.81791020510497503</v>
      </c>
      <c r="G5264">
        <v>0.38019597517005299</v>
      </c>
      <c r="H5264">
        <v>0.15856421131767701</v>
      </c>
      <c r="I5264">
        <v>0.14669865250981701</v>
      </c>
      <c r="J5264">
        <v>0.18672041639169301</v>
      </c>
      <c r="K5264">
        <v>0.159708193920124</v>
      </c>
      <c r="L5264">
        <v>1891.6058023840601</v>
      </c>
      <c r="M5264">
        <v>34.3270247540244</v>
      </c>
      <c r="N5264">
        <v>55.700255236069502</v>
      </c>
      <c r="O5264">
        <v>54.919431006057501</v>
      </c>
      <c r="P5264">
        <v>-0.13228321595135201</v>
      </c>
      <c r="Q5264">
        <v>0.153449351927613</v>
      </c>
      <c r="R5264">
        <v>0.98745708530202203</v>
      </c>
      <c r="S5264" t="s">
        <v>11716</v>
      </c>
      <c r="T5264" t="s">
        <v>12902</v>
      </c>
      <c r="U5264" t="s">
        <v>12902</v>
      </c>
      <c r="V5264" t="s">
        <v>12902</v>
      </c>
      <c r="W5264" t="s">
        <v>18117</v>
      </c>
      <c r="X5264">
        <v>8</v>
      </c>
      <c r="Y5264" t="s">
        <v>24411</v>
      </c>
      <c r="Z5264" t="s">
        <v>30839</v>
      </c>
      <c r="AA5264">
        <v>0.58404054610900202</v>
      </c>
      <c r="AB5264" t="str">
        <f>HYPERLINK("Melting_Curves/meltCurve_Q9BUI4_POLR3C.pdf", "Melting_Curves/meltCurve_Q9BUI4_POLR3C.pdf")</f>
        <v>Melting_Curves/meltCurve_Q9BUI4_POLR3C.pdf</v>
      </c>
    </row>
    <row r="5265" spans="1:28" x14ac:dyDescent="0.25">
      <c r="A5265" t="s">
        <v>5269</v>
      </c>
      <c r="B5265">
        <v>0.99673306730245903</v>
      </c>
      <c r="C5265">
        <v>0.88055063258242905</v>
      </c>
      <c r="D5265">
        <v>0.87372110801468195</v>
      </c>
      <c r="E5265">
        <v>0.47683508977544398</v>
      </c>
      <c r="F5265">
        <v>0.28383506284439802</v>
      </c>
      <c r="G5265">
        <v>0.197927373198761</v>
      </c>
      <c r="H5265">
        <v>0.127039137539631</v>
      </c>
      <c r="I5265">
        <v>0.123061118390834</v>
      </c>
      <c r="J5265">
        <v>0.130196895490163</v>
      </c>
      <c r="K5265">
        <v>0.118383347453999</v>
      </c>
      <c r="L5265">
        <v>979.47340084483199</v>
      </c>
      <c r="M5265">
        <v>19.971445832697999</v>
      </c>
      <c r="N5265">
        <v>49.735642830032504</v>
      </c>
      <c r="O5265">
        <v>48.559920603269298</v>
      </c>
      <c r="P5265">
        <v>-9.03500115501637E-2</v>
      </c>
      <c r="Q5265">
        <v>0.121296405615578</v>
      </c>
      <c r="R5265">
        <v>0.99083841341735701</v>
      </c>
      <c r="S5265" t="s">
        <v>11717</v>
      </c>
      <c r="T5265" t="s">
        <v>12902</v>
      </c>
      <c r="U5265" t="s">
        <v>12902</v>
      </c>
      <c r="V5265" t="s">
        <v>12902</v>
      </c>
      <c r="W5265" t="s">
        <v>18118</v>
      </c>
      <c r="X5265">
        <v>19</v>
      </c>
      <c r="Y5265" t="s">
        <v>24412</v>
      </c>
      <c r="Z5265" t="s">
        <v>30840</v>
      </c>
      <c r="AA5265">
        <v>0.39852659269317059</v>
      </c>
      <c r="AB5265" t="str">
        <f>HYPERLINK("Melting_Curves/meltCurve_Q9BUJ2_2_HNRNPUL1.pdf", "Melting_Curves/meltCurve_Q9BUJ2_2_HNRNPUL1.pdf")</f>
        <v>Melting_Curves/meltCurve_Q9BUJ2_2_HNRNPUL1.pdf</v>
      </c>
    </row>
    <row r="5266" spans="1:28" x14ac:dyDescent="0.25">
      <c r="A5266" t="s">
        <v>5270</v>
      </c>
      <c r="B5266">
        <v>0.99673306730245903</v>
      </c>
      <c r="C5266">
        <v>1.0004752713384699</v>
      </c>
      <c r="D5266">
        <v>0.97619563637963103</v>
      </c>
      <c r="E5266">
        <v>0.82867335552465204</v>
      </c>
      <c r="F5266">
        <v>0.25953655024102201</v>
      </c>
      <c r="G5266">
        <v>0.13464190376382301</v>
      </c>
      <c r="H5266">
        <v>8.5953662008714904E-2</v>
      </c>
      <c r="I5266">
        <v>6.9893431765883501E-2</v>
      </c>
      <c r="J5266">
        <v>8.9603978257850797E-2</v>
      </c>
      <c r="K5266">
        <v>8.0093475971653602E-2</v>
      </c>
      <c r="L5266">
        <v>2074.7019876766799</v>
      </c>
      <c r="M5266">
        <v>40.3988866472911</v>
      </c>
      <c r="N5266">
        <v>51.598664074803999</v>
      </c>
      <c r="O5266">
        <v>51.2300729025687</v>
      </c>
      <c r="P5266">
        <v>-0.18005207340021501</v>
      </c>
      <c r="Q5266">
        <v>8.6701354239756404E-2</v>
      </c>
      <c r="R5266">
        <v>0.99908857759153602</v>
      </c>
      <c r="S5266" t="s">
        <v>11718</v>
      </c>
      <c r="T5266" t="s">
        <v>12902</v>
      </c>
      <c r="U5266" t="s">
        <v>12902</v>
      </c>
      <c r="V5266" t="s">
        <v>12902</v>
      </c>
      <c r="W5266" t="s">
        <v>18119</v>
      </c>
      <c r="X5266">
        <v>10</v>
      </c>
      <c r="Y5266" t="s">
        <v>24413</v>
      </c>
      <c r="Z5266" t="s">
        <v>30841</v>
      </c>
      <c r="AA5266">
        <v>0.43557513342052462</v>
      </c>
      <c r="AB5266" t="str">
        <f>HYPERLINK("Melting_Curves/meltCurve_Q9BUK6_2_MSTO1.pdf", "Melting_Curves/meltCurve_Q9BUK6_2_MSTO1.pdf")</f>
        <v>Melting_Curves/meltCurve_Q9BUK6_2_MSTO1.pdf</v>
      </c>
    </row>
    <row r="5267" spans="1:28" x14ac:dyDescent="0.25">
      <c r="A5267" t="s">
        <v>5271</v>
      </c>
      <c r="B5267">
        <v>0.99673306730245903</v>
      </c>
      <c r="C5267">
        <v>0.92244287526123403</v>
      </c>
      <c r="D5267">
        <v>1.0413587676159901</v>
      </c>
      <c r="E5267">
        <v>1.06893289043072</v>
      </c>
      <c r="F5267">
        <v>1.28436373145308</v>
      </c>
      <c r="G5267">
        <v>0.924310821332329</v>
      </c>
      <c r="H5267">
        <v>0.54063432416422896</v>
      </c>
      <c r="I5267">
        <v>0.39692125786519</v>
      </c>
      <c r="J5267">
        <v>0.47346528376763303</v>
      </c>
      <c r="K5267">
        <v>0.43119405522740201</v>
      </c>
      <c r="L5267">
        <v>3266.7404830649202</v>
      </c>
      <c r="M5267">
        <v>55.3253117382596</v>
      </c>
      <c r="N5267">
        <v>61.287941365789898</v>
      </c>
      <c r="O5267">
        <v>58.969044319737002</v>
      </c>
      <c r="P5267">
        <v>-0.13277458046455901</v>
      </c>
      <c r="Q5267">
        <v>0.43392379303332101</v>
      </c>
      <c r="R5267">
        <v>0.89175711168309602</v>
      </c>
      <c r="S5267" t="s">
        <v>11719</v>
      </c>
      <c r="T5267" t="s">
        <v>12902</v>
      </c>
      <c r="U5267" t="s">
        <v>12902</v>
      </c>
      <c r="V5267" t="s">
        <v>12902</v>
      </c>
      <c r="W5267" t="s">
        <v>18120</v>
      </c>
      <c r="X5267">
        <v>5</v>
      </c>
      <c r="Y5267" t="s">
        <v>24414</v>
      </c>
      <c r="Z5267" t="s">
        <v>30842</v>
      </c>
      <c r="AA5267">
        <v>0.79450524931556055</v>
      </c>
      <c r="AB5267" t="str">
        <f>HYPERLINK("Melting_Curves/meltCurve_Q9BUL9_RPP25.pdf", "Melting_Curves/meltCurve_Q9BUL9_RPP25.pdf")</f>
        <v>Melting_Curves/meltCurve_Q9BUL9_RPP25.pdf</v>
      </c>
    </row>
    <row r="5268" spans="1:28" x14ac:dyDescent="0.25">
      <c r="A5268" t="s">
        <v>5272</v>
      </c>
      <c r="B5268">
        <v>0.99673306730245903</v>
      </c>
      <c r="C5268">
        <v>0.99100924796642997</v>
      </c>
      <c r="D5268">
        <v>0.62806263733595702</v>
      </c>
      <c r="E5268">
        <v>0.64808941389539498</v>
      </c>
      <c r="F5268">
        <v>0.17650890920840401</v>
      </c>
      <c r="G5268">
        <v>9.6066586036398505E-2</v>
      </c>
      <c r="H5268">
        <v>5.78980256455989E-2</v>
      </c>
      <c r="I5268">
        <v>5.3961381841626702E-2</v>
      </c>
      <c r="J5268">
        <v>5.1821517706363902E-2</v>
      </c>
      <c r="K5268">
        <v>4.7606776143074701E-2</v>
      </c>
      <c r="L5268">
        <v>808.71136252706799</v>
      </c>
      <c r="M5268">
        <v>16.3640591888255</v>
      </c>
      <c r="N5268">
        <v>49.554447485116</v>
      </c>
      <c r="O5268">
        <v>48.699629364723201</v>
      </c>
      <c r="P5268">
        <v>-8.2186565090955399E-2</v>
      </c>
      <c r="Q5268">
        <v>2.1717571581703302E-2</v>
      </c>
      <c r="R5268">
        <v>0.96000520844918802</v>
      </c>
      <c r="S5268" t="s">
        <v>11720</v>
      </c>
      <c r="T5268" t="s">
        <v>12902</v>
      </c>
      <c r="U5268" t="s">
        <v>12902</v>
      </c>
      <c r="V5268" t="s">
        <v>12902</v>
      </c>
      <c r="W5268" t="s">
        <v>18121</v>
      </c>
      <c r="X5268">
        <v>16</v>
      </c>
      <c r="Y5268" t="s">
        <v>24415</v>
      </c>
      <c r="Z5268" t="s">
        <v>30843</v>
      </c>
      <c r="AA5268">
        <v>0.34911137561858679</v>
      </c>
      <c r="AB5268" t="str">
        <f>HYPERLINK("Melting_Curves/meltCurve_Q9BUP3_3_HTATIP2.pdf", "Melting_Curves/meltCurve_Q9BUP3_3_HTATIP2.pdf")</f>
        <v>Melting_Curves/meltCurve_Q9BUP3_3_HTATIP2.pdf</v>
      </c>
    </row>
    <row r="5269" spans="1:28" x14ac:dyDescent="0.25">
      <c r="A5269" t="s">
        <v>5273</v>
      </c>
      <c r="B5269">
        <v>0.99673306730245903</v>
      </c>
      <c r="C5269">
        <v>0.93804271171053899</v>
      </c>
      <c r="D5269">
        <v>1.06370961763726</v>
      </c>
      <c r="E5269">
        <v>1.61804577991729</v>
      </c>
      <c r="F5269">
        <v>1.38190095690451</v>
      </c>
      <c r="G5269">
        <v>0.29635152913305202</v>
      </c>
      <c r="H5269">
        <v>0.194145142626101</v>
      </c>
      <c r="I5269">
        <v>0.14171440779267</v>
      </c>
      <c r="J5269">
        <v>0.154578903621928</v>
      </c>
      <c r="K5269">
        <v>0.14153004601446301</v>
      </c>
      <c r="L5269">
        <v>14107.619534093499</v>
      </c>
      <c r="M5269">
        <v>250</v>
      </c>
      <c r="N5269">
        <v>56.516325525417798</v>
      </c>
      <c r="O5269">
        <v>56.426853686346902</v>
      </c>
      <c r="P5269">
        <v>-0.93263198033455397</v>
      </c>
      <c r="Q5269">
        <v>0.157991989424944</v>
      </c>
      <c r="R5269">
        <v>0.81615359894983197</v>
      </c>
      <c r="S5269" t="s">
        <v>11721</v>
      </c>
      <c r="T5269" t="s">
        <v>12902</v>
      </c>
      <c r="U5269" t="s">
        <v>12902</v>
      </c>
      <c r="V5269" t="s">
        <v>12902</v>
      </c>
      <c r="W5269" t="s">
        <v>18122</v>
      </c>
      <c r="X5269">
        <v>7</v>
      </c>
      <c r="Y5269" t="s">
        <v>24416</v>
      </c>
      <c r="Z5269" t="s">
        <v>30844</v>
      </c>
      <c r="AA5269">
        <v>0.61922851764080078</v>
      </c>
      <c r="AB5269" t="str">
        <f>HYPERLINK("Melting_Curves/meltCurve_Q9BUQ8_DDX23.pdf", "Melting_Curves/meltCurve_Q9BUQ8_DDX23.pdf")</f>
        <v>Melting_Curves/meltCurve_Q9BUQ8_DDX23.pdf</v>
      </c>
    </row>
    <row r="5270" spans="1:28" x14ac:dyDescent="0.25">
      <c r="A5270" t="s">
        <v>5274</v>
      </c>
      <c r="B5270">
        <v>0.99673306730245903</v>
      </c>
      <c r="C5270">
        <v>0.98897236487965101</v>
      </c>
      <c r="D5270">
        <v>0.93455119004086795</v>
      </c>
      <c r="E5270">
        <v>0.85598064433870802</v>
      </c>
      <c r="F5270">
        <v>0.62271196242902405</v>
      </c>
      <c r="G5270">
        <v>0.35100279753753</v>
      </c>
      <c r="H5270">
        <v>0.16431317711158899</v>
      </c>
      <c r="I5270">
        <v>0.12547597771417901</v>
      </c>
      <c r="J5270">
        <v>0.11801487860493801</v>
      </c>
      <c r="K5270">
        <v>0.101143725777518</v>
      </c>
      <c r="L5270">
        <v>1008.93186897334</v>
      </c>
      <c r="M5270">
        <v>18.654645692226602</v>
      </c>
      <c r="N5270">
        <v>54.607506069719399</v>
      </c>
      <c r="O5270">
        <v>53.474732529407397</v>
      </c>
      <c r="P5270">
        <v>-8.0084125016804994E-2</v>
      </c>
      <c r="Q5270">
        <v>8.1774327761283599E-2</v>
      </c>
      <c r="R5270">
        <v>0.99867360788413595</v>
      </c>
      <c r="S5270" t="s">
        <v>11722</v>
      </c>
      <c r="T5270" t="s">
        <v>12902</v>
      </c>
      <c r="U5270" t="s">
        <v>12902</v>
      </c>
      <c r="V5270" t="s">
        <v>12902</v>
      </c>
      <c r="W5270" t="s">
        <v>18123</v>
      </c>
      <c r="X5270">
        <v>7</v>
      </c>
      <c r="Y5270" t="s">
        <v>24417</v>
      </c>
      <c r="Z5270" t="s">
        <v>30845</v>
      </c>
      <c r="AA5270">
        <v>0.52676733566962564</v>
      </c>
      <c r="AB5270" t="str">
        <f>HYPERLINK("Melting_Curves/meltCurve_Q9BUR4_WRAP53.pdf", "Melting_Curves/meltCurve_Q9BUR4_WRAP53.pdf")</f>
        <v>Melting_Curves/meltCurve_Q9BUR4_WRAP53.pdf</v>
      </c>
    </row>
    <row r="5271" spans="1:28" x14ac:dyDescent="0.25">
      <c r="A5271" t="s">
        <v>5275</v>
      </c>
      <c r="B5271">
        <v>0.99673306730245903</v>
      </c>
      <c r="C5271">
        <v>0.87757381047980199</v>
      </c>
      <c r="D5271">
        <v>0.809701993197116</v>
      </c>
      <c r="E5271">
        <v>0.71363464804283605</v>
      </c>
      <c r="F5271">
        <v>0.37534398484223203</v>
      </c>
      <c r="G5271">
        <v>0.23481061696480299</v>
      </c>
      <c r="H5271">
        <v>0.15092952069440299</v>
      </c>
      <c r="I5271">
        <v>0.13776287319188801</v>
      </c>
      <c r="J5271">
        <v>9.55454987791962E-2</v>
      </c>
      <c r="K5271">
        <v>0.123269494806064</v>
      </c>
      <c r="L5271">
        <v>731.03452353804903</v>
      </c>
      <c r="M5271">
        <v>14.3198634810878</v>
      </c>
      <c r="N5271">
        <v>51.664289624023397</v>
      </c>
      <c r="O5271">
        <v>50.085771924734402</v>
      </c>
      <c r="P5271">
        <v>-6.5892785797996303E-2</v>
      </c>
      <c r="Q5271">
        <v>7.8233876858517001E-2</v>
      </c>
      <c r="R5271">
        <v>0.98749398308463798</v>
      </c>
      <c r="S5271" t="s">
        <v>11723</v>
      </c>
      <c r="T5271" t="s">
        <v>12902</v>
      </c>
      <c r="U5271" t="s">
        <v>12902</v>
      </c>
      <c r="V5271" t="s">
        <v>12902</v>
      </c>
      <c r="W5271" t="s">
        <v>18124</v>
      </c>
      <c r="X5271">
        <v>4</v>
      </c>
      <c r="Y5271" t="s">
        <v>24418</v>
      </c>
      <c r="Z5271" t="s">
        <v>30846</v>
      </c>
      <c r="AA5271">
        <v>0.44069235125942158</v>
      </c>
      <c r="AB5271" t="str">
        <f>HYPERLINK("Melting_Curves/meltCurve_Q9BUT9_FAM195A.pdf", "Melting_Curves/meltCurve_Q9BUT9_FAM195A.pdf")</f>
        <v>Melting_Curves/meltCurve_Q9BUT9_FAM195A.pdf</v>
      </c>
    </row>
    <row r="5272" spans="1:28" x14ac:dyDescent="0.25">
      <c r="A5272" t="s">
        <v>5276</v>
      </c>
      <c r="B5272">
        <v>0.99673306730245903</v>
      </c>
      <c r="C5272">
        <v>0.98527123786499304</v>
      </c>
      <c r="D5272">
        <v>0.94352270413039596</v>
      </c>
      <c r="E5272">
        <v>0.87066988184095495</v>
      </c>
      <c r="F5272">
        <v>0.85277507867095104</v>
      </c>
      <c r="G5272">
        <v>0.69822430301997496</v>
      </c>
      <c r="H5272">
        <v>0.58662516121241404</v>
      </c>
      <c r="I5272">
        <v>0.87642764386844496</v>
      </c>
      <c r="J5272">
        <v>1.0164351889009799</v>
      </c>
      <c r="K5272">
        <v>0.95364758869718802</v>
      </c>
      <c r="L5272">
        <v>1440.4882292037901</v>
      </c>
      <c r="M5272">
        <v>30.549719465610298</v>
      </c>
      <c r="O5272">
        <v>46.951597556735202</v>
      </c>
      <c r="P5272">
        <v>-2.7527716351012099E-2</v>
      </c>
      <c r="Q5272">
        <v>0.83077259657561697</v>
      </c>
      <c r="R5272">
        <v>0.24963136540969499</v>
      </c>
      <c r="S5272" t="s">
        <v>11724</v>
      </c>
      <c r="T5272" t="s">
        <v>12902</v>
      </c>
      <c r="U5272" t="s">
        <v>12902</v>
      </c>
      <c r="V5272" t="s">
        <v>12902</v>
      </c>
      <c r="W5272" t="s">
        <v>18125</v>
      </c>
      <c r="X5272">
        <v>1</v>
      </c>
      <c r="Y5272" t="s">
        <v>24419</v>
      </c>
      <c r="Z5272" t="s">
        <v>30847</v>
      </c>
      <c r="AA5272">
        <v>0.87209399864943238</v>
      </c>
      <c r="AB5272" t="str">
        <f>HYPERLINK("Melting_Curves/meltCurve_Q9BUW7_C9orf16.pdf", "Melting_Curves/meltCurve_Q9BUW7_C9orf16.pdf")</f>
        <v>Melting_Curves/meltCurve_Q9BUW7_C9orf16.pdf</v>
      </c>
    </row>
    <row r="5273" spans="1:28" x14ac:dyDescent="0.25">
      <c r="A5273" t="s">
        <v>5277</v>
      </c>
      <c r="B5273">
        <v>0.99673306730245903</v>
      </c>
      <c r="C5273">
        <v>0.95711095456023598</v>
      </c>
      <c r="D5273">
        <v>0.86765787826709695</v>
      </c>
      <c r="E5273">
        <v>0.63922547683992204</v>
      </c>
      <c r="F5273">
        <v>0.54223311502392602</v>
      </c>
      <c r="G5273">
        <v>0.31823189722247802</v>
      </c>
      <c r="H5273">
        <v>0.163576984335737</v>
      </c>
      <c r="I5273">
        <v>8.0144994217892895E-2</v>
      </c>
      <c r="J5273">
        <v>0.10114832264283</v>
      </c>
      <c r="K5273">
        <v>4.4903592708756802E-2</v>
      </c>
      <c r="L5273">
        <v>633.933322476635</v>
      </c>
      <c r="M5273">
        <v>11.953960254222901</v>
      </c>
      <c r="N5273">
        <v>53.031236597929997</v>
      </c>
      <c r="O5273">
        <v>51.612491065690101</v>
      </c>
      <c r="P5273">
        <v>-5.79165981822077E-2</v>
      </c>
      <c r="Q5273">
        <v>0</v>
      </c>
      <c r="R5273">
        <v>0.99342665866401203</v>
      </c>
      <c r="S5273" t="s">
        <v>11725</v>
      </c>
      <c r="T5273" t="s">
        <v>12902</v>
      </c>
      <c r="U5273" t="s">
        <v>12902</v>
      </c>
      <c r="V5273" t="s">
        <v>12902</v>
      </c>
      <c r="W5273" t="s">
        <v>18126</v>
      </c>
      <c r="X5273">
        <v>3</v>
      </c>
      <c r="Y5273" t="s">
        <v>24420</v>
      </c>
      <c r="Z5273" t="s">
        <v>30848</v>
      </c>
      <c r="AA5273">
        <v>0.46289720242180082</v>
      </c>
      <c r="AB5273" t="str">
        <f>HYPERLINK("Melting_Curves/meltCurve_Q9BUZ4_2_TRAF4.pdf", "Melting_Curves/meltCurve_Q9BUZ4_2_TRAF4.pdf")</f>
        <v>Melting_Curves/meltCurve_Q9BUZ4_2_TRAF4.pdf</v>
      </c>
    </row>
    <row r="5274" spans="1:28" x14ac:dyDescent="0.25">
      <c r="A5274" t="s">
        <v>5278</v>
      </c>
      <c r="B5274">
        <v>0.99673306730245903</v>
      </c>
      <c r="C5274">
        <v>0.96836820998356499</v>
      </c>
      <c r="D5274">
        <v>0.92425909602943601</v>
      </c>
      <c r="E5274">
        <v>0.87922175661942104</v>
      </c>
      <c r="F5274">
        <v>0.72236893266158297</v>
      </c>
      <c r="G5274">
        <v>0.53481410671547602</v>
      </c>
      <c r="H5274">
        <v>0.29178232731303599</v>
      </c>
      <c r="I5274">
        <v>0.28256765637011899</v>
      </c>
      <c r="J5274">
        <v>0.159161974319529</v>
      </c>
      <c r="K5274">
        <v>0.16061114298802201</v>
      </c>
      <c r="L5274">
        <v>745.76717692739101</v>
      </c>
      <c r="M5274">
        <v>13.2289146062529</v>
      </c>
      <c r="N5274">
        <v>57.175054047108297</v>
      </c>
      <c r="O5274">
        <v>55.132520768149803</v>
      </c>
      <c r="P5274">
        <v>-5.4921657088335199E-2</v>
      </c>
      <c r="Q5274">
        <v>8.4589907994951294E-2</v>
      </c>
      <c r="R5274">
        <v>0.99428346294019698</v>
      </c>
      <c r="S5274" t="s">
        <v>11726</v>
      </c>
      <c r="T5274" t="s">
        <v>12902</v>
      </c>
      <c r="U5274" t="s">
        <v>12902</v>
      </c>
      <c r="V5274" t="s">
        <v>12902</v>
      </c>
      <c r="W5274" t="s">
        <v>18127</v>
      </c>
      <c r="X5274">
        <v>3</v>
      </c>
      <c r="Y5274" t="s">
        <v>24421</v>
      </c>
      <c r="Z5274" t="s">
        <v>30849</v>
      </c>
      <c r="AA5274">
        <v>0.60111012713091039</v>
      </c>
      <c r="AB5274" t="str">
        <f>HYPERLINK("Melting_Curves/meltCurve_Q9BV19_C1orf50.pdf", "Melting_Curves/meltCurve_Q9BV19_C1orf50.pdf")</f>
        <v>Melting_Curves/meltCurve_Q9BV19_C1orf50.pdf</v>
      </c>
    </row>
    <row r="5275" spans="1:28" x14ac:dyDescent="0.25">
      <c r="A5275" t="s">
        <v>5279</v>
      </c>
      <c r="B5275">
        <v>0.99673306730245903</v>
      </c>
      <c r="C5275">
        <v>1.02137534061654</v>
      </c>
      <c r="D5275">
        <v>0.98503210784837403</v>
      </c>
      <c r="E5275">
        <v>0.99038597302467701</v>
      </c>
      <c r="F5275">
        <v>0.67429164721822399</v>
      </c>
      <c r="G5275">
        <v>0.34307825708447598</v>
      </c>
      <c r="H5275">
        <v>0.167816592103047</v>
      </c>
      <c r="I5275">
        <v>0.117372572436421</v>
      </c>
      <c r="J5275">
        <v>0.118412916259287</v>
      </c>
      <c r="K5275">
        <v>0.103411520888359</v>
      </c>
      <c r="L5275">
        <v>1495.5985643281001</v>
      </c>
      <c r="M5275">
        <v>27.444481045174701</v>
      </c>
      <c r="N5275">
        <v>54.993606098947701</v>
      </c>
      <c r="O5275">
        <v>54.208549345222799</v>
      </c>
      <c r="P5275">
        <v>-0.11263967010846</v>
      </c>
      <c r="Q5275">
        <v>0.110061295763708</v>
      </c>
      <c r="R5275">
        <v>0.99768311228219198</v>
      </c>
      <c r="S5275" t="s">
        <v>11727</v>
      </c>
      <c r="T5275" t="s">
        <v>12902</v>
      </c>
      <c r="U5275" t="s">
        <v>12902</v>
      </c>
      <c r="V5275" t="s">
        <v>12902</v>
      </c>
      <c r="W5275" t="s">
        <v>18128</v>
      </c>
      <c r="X5275">
        <v>17</v>
      </c>
      <c r="Y5275" t="s">
        <v>24422</v>
      </c>
      <c r="Z5275" t="s">
        <v>30850</v>
      </c>
      <c r="AA5275">
        <v>0.54701345905365006</v>
      </c>
      <c r="AB5275" t="str">
        <f>HYPERLINK("Melting_Curves/meltCurve_Q9BV20_MRI1.pdf", "Melting_Curves/meltCurve_Q9BV20_MRI1.pdf")</f>
        <v>Melting_Curves/meltCurve_Q9BV20_MRI1.pdf</v>
      </c>
    </row>
    <row r="5276" spans="1:28" x14ac:dyDescent="0.25">
      <c r="A5276" t="s">
        <v>5280</v>
      </c>
      <c r="B5276">
        <v>0.99673306730245903</v>
      </c>
      <c r="C5276">
        <v>0.96389787830297202</v>
      </c>
      <c r="D5276">
        <v>0.86009787856368403</v>
      </c>
      <c r="E5276">
        <v>0.56825208581047504</v>
      </c>
      <c r="F5276">
        <v>0.34378579811902399</v>
      </c>
      <c r="G5276">
        <v>0.20172371978050499</v>
      </c>
      <c r="H5276">
        <v>0.11169453303905801</v>
      </c>
      <c r="I5276">
        <v>0.102358841778401</v>
      </c>
      <c r="J5276">
        <v>9.7409529085580204E-2</v>
      </c>
      <c r="K5276">
        <v>7.2256440708435302E-2</v>
      </c>
      <c r="L5276">
        <v>870.30872158520697</v>
      </c>
      <c r="M5276">
        <v>17.3188379526072</v>
      </c>
      <c r="N5276">
        <v>50.749565178614802</v>
      </c>
      <c r="O5276">
        <v>49.596511737283997</v>
      </c>
      <c r="P5276">
        <v>-8.0488558022280193E-2</v>
      </c>
      <c r="Q5276">
        <v>7.8062342001686796E-2</v>
      </c>
      <c r="R5276">
        <v>0.99886150688959097</v>
      </c>
      <c r="S5276" t="s">
        <v>11728</v>
      </c>
      <c r="T5276" t="s">
        <v>12902</v>
      </c>
      <c r="U5276" t="s">
        <v>12902</v>
      </c>
      <c r="V5276" t="s">
        <v>12902</v>
      </c>
      <c r="W5276" t="s">
        <v>18129</v>
      </c>
      <c r="X5276">
        <v>5</v>
      </c>
      <c r="Y5276" t="s">
        <v>24423</v>
      </c>
      <c r="Z5276" t="s">
        <v>30851</v>
      </c>
      <c r="AA5276">
        <v>0.40996339627347489</v>
      </c>
      <c r="AB5276" t="str">
        <f>HYPERLINK("Melting_Curves/meltCurve_Q9BV23_ABHD6.pdf", "Melting_Curves/meltCurve_Q9BV23_ABHD6.pdf")</f>
        <v>Melting_Curves/meltCurve_Q9BV23_ABHD6.pdf</v>
      </c>
    </row>
    <row r="5277" spans="1:28" x14ac:dyDescent="0.25">
      <c r="A5277" t="s">
        <v>5281</v>
      </c>
      <c r="B5277">
        <v>0.99673306730245903</v>
      </c>
      <c r="C5277">
        <v>0.90610387567205897</v>
      </c>
      <c r="D5277">
        <v>0.86997012991666001</v>
      </c>
      <c r="E5277">
        <v>0.70343155213589603</v>
      </c>
      <c r="F5277">
        <v>0.55975518396546697</v>
      </c>
      <c r="G5277">
        <v>0.32324039586908998</v>
      </c>
      <c r="H5277">
        <v>0.17787398919748099</v>
      </c>
      <c r="I5277">
        <v>0.24447347530167901</v>
      </c>
      <c r="J5277">
        <v>0</v>
      </c>
      <c r="K5277">
        <v>0</v>
      </c>
      <c r="L5277">
        <v>627.78246808686197</v>
      </c>
      <c r="M5277">
        <v>11.716681919128201</v>
      </c>
      <c r="N5277">
        <v>53.580225479082998</v>
      </c>
      <c r="O5277">
        <v>52.090850508458601</v>
      </c>
      <c r="P5277">
        <v>-5.6246826731735797E-2</v>
      </c>
      <c r="Q5277">
        <v>0</v>
      </c>
      <c r="R5277">
        <v>0.97760607814221001</v>
      </c>
      <c r="S5277" t="s">
        <v>11729</v>
      </c>
      <c r="T5277" t="s">
        <v>12902</v>
      </c>
      <c r="U5277" t="s">
        <v>12902</v>
      </c>
      <c r="V5277" t="s">
        <v>12902</v>
      </c>
      <c r="W5277" t="s">
        <v>18130</v>
      </c>
      <c r="X5277">
        <v>1</v>
      </c>
      <c r="Y5277" t="s">
        <v>24424</v>
      </c>
      <c r="Z5277" t="s">
        <v>30852</v>
      </c>
      <c r="AA5277">
        <v>0.48046397669793678</v>
      </c>
      <c r="AB5277" t="str">
        <f>HYPERLINK("Melting_Curves/meltCurve_Q9BV35_SLC25A23.pdf", "Melting_Curves/meltCurve_Q9BV35_SLC25A23.pdf")</f>
        <v>Melting_Curves/meltCurve_Q9BV35_SLC25A23.pdf</v>
      </c>
    </row>
    <row r="5278" spans="1:28" x14ac:dyDescent="0.25">
      <c r="A5278" t="s">
        <v>5282</v>
      </c>
      <c r="B5278">
        <v>0.99673306730245903</v>
      </c>
      <c r="C5278">
        <v>1.01125336927652</v>
      </c>
      <c r="D5278">
        <v>1.29156515568037</v>
      </c>
      <c r="E5278">
        <v>0.83504891401070502</v>
      </c>
      <c r="F5278">
        <v>3.1350488835729502</v>
      </c>
      <c r="G5278">
        <v>1.0472268768516999</v>
      </c>
      <c r="H5278">
        <v>0.23333179462079401</v>
      </c>
      <c r="I5278">
        <v>0.15236469024194901</v>
      </c>
      <c r="J5278">
        <v>0.14476511110151</v>
      </c>
      <c r="K5278">
        <v>0.105483114044313</v>
      </c>
      <c r="L5278">
        <v>15000</v>
      </c>
      <c r="M5278">
        <v>248.75616905171699</v>
      </c>
      <c r="N5278">
        <v>60.375852545844097</v>
      </c>
      <c r="O5278">
        <v>60.296113111777302</v>
      </c>
      <c r="P5278">
        <v>-0.89297659427393405</v>
      </c>
      <c r="Q5278">
        <v>0.13420408094115099</v>
      </c>
      <c r="R5278">
        <v>0.36844332698972598</v>
      </c>
      <c r="S5278" t="s">
        <v>11730</v>
      </c>
      <c r="T5278" t="s">
        <v>12902</v>
      </c>
      <c r="U5278" t="s">
        <v>12902</v>
      </c>
      <c r="V5278" t="s">
        <v>12902</v>
      </c>
      <c r="W5278" t="s">
        <v>18131</v>
      </c>
      <c r="X5278">
        <v>9</v>
      </c>
      <c r="Y5278" t="s">
        <v>24425</v>
      </c>
      <c r="Z5278" t="s">
        <v>30853</v>
      </c>
      <c r="AA5278">
        <v>0.72015221039567534</v>
      </c>
      <c r="AB5278" t="str">
        <f>HYPERLINK("Melting_Curves/meltCurve_Q9BV38_WDR18.pdf", "Melting_Curves/meltCurve_Q9BV38_WDR18.pdf")</f>
        <v>Melting_Curves/meltCurve_Q9BV38_WDR18.pdf</v>
      </c>
    </row>
    <row r="5279" spans="1:28" x14ac:dyDescent="0.25">
      <c r="A5279" t="s">
        <v>5283</v>
      </c>
      <c r="B5279">
        <v>0.99673306730245903</v>
      </c>
      <c r="C5279">
        <v>0.91714967039095596</v>
      </c>
      <c r="D5279">
        <v>0.80040099477051896</v>
      </c>
      <c r="E5279">
        <v>0.57304768857696498</v>
      </c>
      <c r="F5279">
        <v>0.52011987639683999</v>
      </c>
      <c r="G5279">
        <v>0.46240522510377602</v>
      </c>
      <c r="H5279">
        <v>0.39949430982888801</v>
      </c>
      <c r="I5279">
        <v>0.56078634466744604</v>
      </c>
      <c r="J5279">
        <v>0.60001632535510296</v>
      </c>
      <c r="K5279">
        <v>0.68206812345873602</v>
      </c>
      <c r="L5279">
        <v>1367.52872788584</v>
      </c>
      <c r="M5279">
        <v>29.635583314976401</v>
      </c>
      <c r="O5279">
        <v>45.936241103793002</v>
      </c>
      <c r="P5279">
        <v>-7.5031161391149903E-2</v>
      </c>
      <c r="Q5279">
        <v>0.53479897473480897</v>
      </c>
      <c r="R5279">
        <v>0.846381868140196</v>
      </c>
      <c r="S5279" t="s">
        <v>11731</v>
      </c>
      <c r="T5279" t="s">
        <v>12902</v>
      </c>
      <c r="U5279" t="s">
        <v>12902</v>
      </c>
      <c r="V5279" t="s">
        <v>12902</v>
      </c>
      <c r="W5279" t="s">
        <v>18132</v>
      </c>
      <c r="X5279">
        <v>5</v>
      </c>
      <c r="Y5279" t="s">
        <v>24426</v>
      </c>
      <c r="Z5279" t="s">
        <v>30854</v>
      </c>
      <c r="AA5279">
        <v>0.63298641111552956</v>
      </c>
      <c r="AB5279" t="str">
        <f>HYPERLINK("Melting_Curves/meltCurve_Q9BV40_VAMP8.pdf", "Melting_Curves/meltCurve_Q9BV40_VAMP8.pdf")</f>
        <v>Melting_Curves/meltCurve_Q9BV40_VAMP8.pdf</v>
      </c>
    </row>
    <row r="5280" spans="1:28" x14ac:dyDescent="0.25">
      <c r="A5280" t="s">
        <v>5284</v>
      </c>
      <c r="B5280">
        <v>0.99673306730245903</v>
      </c>
      <c r="C5280">
        <v>0.98942368442175799</v>
      </c>
      <c r="D5280">
        <v>0.98178719518357804</v>
      </c>
      <c r="E5280">
        <v>1.0365615617196899</v>
      </c>
      <c r="F5280">
        <v>0.56302763473518502</v>
      </c>
      <c r="G5280">
        <v>0.19550184518185501</v>
      </c>
      <c r="H5280">
        <v>9.9716141845972203E-2</v>
      </c>
      <c r="I5280">
        <v>9.5331300261684807E-2</v>
      </c>
      <c r="J5280">
        <v>8.5397715514337405E-2</v>
      </c>
      <c r="K5280">
        <v>7.2201828138181504E-2</v>
      </c>
      <c r="L5280">
        <v>2336.72727081125</v>
      </c>
      <c r="M5280">
        <v>43.769674389769101</v>
      </c>
      <c r="N5280">
        <v>53.643917304234002</v>
      </c>
      <c r="O5280">
        <v>53.275821296566498</v>
      </c>
      <c r="P5280">
        <v>-0.18596263551516001</v>
      </c>
      <c r="Q5280">
        <v>9.4597099163265697E-2</v>
      </c>
      <c r="R5280">
        <v>0.99576783585143902</v>
      </c>
      <c r="S5280" t="s">
        <v>11732</v>
      </c>
      <c r="T5280" t="s">
        <v>12902</v>
      </c>
      <c r="U5280" t="s">
        <v>12902</v>
      </c>
      <c r="V5280" t="s">
        <v>12902</v>
      </c>
      <c r="W5280" t="s">
        <v>18133</v>
      </c>
      <c r="X5280">
        <v>12</v>
      </c>
      <c r="Y5280" t="s">
        <v>24427</v>
      </c>
      <c r="Z5280" t="s">
        <v>30855</v>
      </c>
      <c r="AA5280">
        <v>0.50140014555855028</v>
      </c>
      <c r="AB5280" t="str">
        <f>HYPERLINK("Melting_Curves/meltCurve_Q9BV44_THUMPD3.pdf", "Melting_Curves/meltCurve_Q9BV44_THUMPD3.pdf")</f>
        <v>Melting_Curves/meltCurve_Q9BV44_THUMPD3.pdf</v>
      </c>
    </row>
    <row r="5281" spans="1:28" x14ac:dyDescent="0.25">
      <c r="A5281" t="s">
        <v>5285</v>
      </c>
      <c r="B5281">
        <v>0.99673306730245903</v>
      </c>
      <c r="C5281">
        <v>1.0479265797792601</v>
      </c>
      <c r="D5281">
        <v>0.46446315927537102</v>
      </c>
      <c r="E5281">
        <v>0.47856235265511898</v>
      </c>
      <c r="F5281">
        <v>0.20039222314371699</v>
      </c>
      <c r="G5281">
        <v>0.11953543935450001</v>
      </c>
      <c r="H5281">
        <v>6.85748024675948E-2</v>
      </c>
      <c r="I5281">
        <v>6.6589862300968902E-2</v>
      </c>
      <c r="J5281">
        <v>7.3645528885422404E-2</v>
      </c>
      <c r="K5281">
        <v>6.3078879396009105E-2</v>
      </c>
      <c r="L5281">
        <v>814.15738672763496</v>
      </c>
      <c r="M5281">
        <v>17.1315289524928</v>
      </c>
      <c r="N5281">
        <v>47.914344583849399</v>
      </c>
      <c r="O5281">
        <v>46.8905692433258</v>
      </c>
      <c r="P5281">
        <v>-8.5392797260132297E-2</v>
      </c>
      <c r="Q5281">
        <v>6.5144738134336605E-2</v>
      </c>
      <c r="R5281">
        <v>0.93778407363364602</v>
      </c>
      <c r="S5281" t="s">
        <v>11733</v>
      </c>
      <c r="T5281" t="s">
        <v>12902</v>
      </c>
      <c r="U5281" t="s">
        <v>12902</v>
      </c>
      <c r="V5281" t="s">
        <v>12902</v>
      </c>
      <c r="W5281" t="s">
        <v>18134</v>
      </c>
      <c r="X5281">
        <v>16</v>
      </c>
      <c r="Y5281" t="s">
        <v>24428</v>
      </c>
      <c r="Z5281" t="s">
        <v>30856</v>
      </c>
      <c r="AA5281">
        <v>0.31832649580369532</v>
      </c>
      <c r="AB5281" t="str">
        <f>HYPERLINK("Melting_Curves/meltCurve_Q9BV57_ADI1.pdf", "Melting_Curves/meltCurve_Q9BV57_ADI1.pdf")</f>
        <v>Melting_Curves/meltCurve_Q9BV57_ADI1.pdf</v>
      </c>
    </row>
    <row r="5282" spans="1:28" x14ac:dyDescent="0.25">
      <c r="A5282" t="s">
        <v>5286</v>
      </c>
      <c r="B5282">
        <v>0.99673306730245903</v>
      </c>
      <c r="C5282">
        <v>0.92407363135333198</v>
      </c>
      <c r="D5282">
        <v>0.82051439553178296</v>
      </c>
      <c r="E5282">
        <v>0.63725544622562902</v>
      </c>
      <c r="F5282">
        <v>0.562934370444657</v>
      </c>
      <c r="G5282">
        <v>0.35062835057298802</v>
      </c>
      <c r="H5282">
        <v>0.27961240819710598</v>
      </c>
      <c r="I5282">
        <v>0.28351248605898199</v>
      </c>
      <c r="J5282">
        <v>0.29179780947476502</v>
      </c>
      <c r="K5282">
        <v>0.34638162762725599</v>
      </c>
      <c r="L5282">
        <v>695.57436600301003</v>
      </c>
      <c r="M5282">
        <v>13.918341993863701</v>
      </c>
      <c r="N5282">
        <v>52.971343797725801</v>
      </c>
      <c r="O5282">
        <v>48.977628462007203</v>
      </c>
      <c r="P5282">
        <v>-5.1695996223528398E-2</v>
      </c>
      <c r="Q5282">
        <v>0.27244077027902502</v>
      </c>
      <c r="R5282">
        <v>0.98041091909073297</v>
      </c>
      <c r="S5282" t="s">
        <v>11734</v>
      </c>
      <c r="T5282" t="s">
        <v>12902</v>
      </c>
      <c r="U5282" t="s">
        <v>12902</v>
      </c>
      <c r="V5282" t="s">
        <v>12902</v>
      </c>
      <c r="W5282" t="s">
        <v>18135</v>
      </c>
      <c r="X5282">
        <v>4</v>
      </c>
      <c r="Y5282" t="s">
        <v>24429</v>
      </c>
      <c r="Z5282" t="s">
        <v>30857</v>
      </c>
      <c r="AA5282">
        <v>0.5341449334057029</v>
      </c>
      <c r="AB5282" t="str">
        <f>HYPERLINK("Melting_Curves/meltCurve_Q9BV68_2_RNF126.pdf", "Melting_Curves/meltCurve_Q9BV68_2_RNF126.pdf")</f>
        <v>Melting_Curves/meltCurve_Q9BV68_2_RNF126.pdf</v>
      </c>
    </row>
    <row r="5283" spans="1:28" x14ac:dyDescent="0.25">
      <c r="A5283" t="s">
        <v>5287</v>
      </c>
      <c r="B5283">
        <v>0.99673306730245903</v>
      </c>
      <c r="C5283">
        <v>0.33233435396004901</v>
      </c>
      <c r="D5283">
        <v>1.1561471806916299</v>
      </c>
      <c r="E5283">
        <v>0.68543367942967903</v>
      </c>
      <c r="F5283">
        <v>0.53735131727441598</v>
      </c>
      <c r="G5283">
        <v>0.38420715664348998</v>
      </c>
      <c r="H5283">
        <v>6.6817320938981906E-2</v>
      </c>
      <c r="I5283">
        <v>3.68533292135814E-2</v>
      </c>
      <c r="J5283">
        <v>3.9019796127815601E-2</v>
      </c>
      <c r="K5283">
        <v>3.2571226083022903E-2</v>
      </c>
      <c r="L5283">
        <v>679.94651725088204</v>
      </c>
      <c r="M5283">
        <v>12.7845712204052</v>
      </c>
      <c r="N5283">
        <v>53.184933740851399</v>
      </c>
      <c r="O5283">
        <v>51.934047835260401</v>
      </c>
      <c r="P5283">
        <v>-6.1553942357296297E-2</v>
      </c>
      <c r="Q5283">
        <v>0</v>
      </c>
      <c r="R5283">
        <v>0.68176744722607596</v>
      </c>
      <c r="S5283" t="s">
        <v>11735</v>
      </c>
      <c r="T5283" t="s">
        <v>12902</v>
      </c>
      <c r="U5283" t="s">
        <v>12902</v>
      </c>
      <c r="V5283" t="s">
        <v>12902</v>
      </c>
      <c r="W5283" t="s">
        <v>18136</v>
      </c>
      <c r="X5283">
        <v>7</v>
      </c>
      <c r="Y5283" t="s">
        <v>24430</v>
      </c>
      <c r="Z5283" t="s">
        <v>30858</v>
      </c>
      <c r="AA5283">
        <v>0.46562648048453759</v>
      </c>
      <c r="AB5283" t="str">
        <f>HYPERLINK("Melting_Curves/meltCurve_Q9BV79_MECR.pdf", "Melting_Curves/meltCurve_Q9BV79_MECR.pdf")</f>
        <v>Melting_Curves/meltCurve_Q9BV79_MECR.pdf</v>
      </c>
    </row>
    <row r="5284" spans="1:28" x14ac:dyDescent="0.25">
      <c r="A5284" t="s">
        <v>5288</v>
      </c>
      <c r="B5284">
        <v>0.99673306730245903</v>
      </c>
      <c r="C5284">
        <v>1.2080801870356801</v>
      </c>
      <c r="D5284">
        <v>0.45563360090500699</v>
      </c>
      <c r="E5284">
        <v>0.56050484813353896</v>
      </c>
      <c r="F5284">
        <v>0.12861932685175501</v>
      </c>
      <c r="G5284">
        <v>7.9320365502641793E-2</v>
      </c>
      <c r="H5284">
        <v>4.6353329782792697E-2</v>
      </c>
      <c r="I5284">
        <v>4.3758443420430997E-2</v>
      </c>
      <c r="J5284">
        <v>4.03005122708519E-2</v>
      </c>
      <c r="K5284">
        <v>3.1935273693653399E-2</v>
      </c>
      <c r="L5284">
        <v>895.38506064382705</v>
      </c>
      <c r="M5284">
        <v>18.5366786399888</v>
      </c>
      <c r="N5284">
        <v>48.467241013308097</v>
      </c>
      <c r="O5284">
        <v>47.751788756483599</v>
      </c>
      <c r="P5284">
        <v>-9.4104432130368704E-2</v>
      </c>
      <c r="Q5284">
        <v>3.0364050552432801E-2</v>
      </c>
      <c r="R5284">
        <v>0.89050278120743398</v>
      </c>
      <c r="S5284" t="s">
        <v>11736</v>
      </c>
      <c r="T5284" t="s">
        <v>12902</v>
      </c>
      <c r="U5284" t="s">
        <v>12902</v>
      </c>
      <c r="V5284" t="s">
        <v>12902</v>
      </c>
      <c r="W5284" t="s">
        <v>18137</v>
      </c>
      <c r="X5284">
        <v>8</v>
      </c>
      <c r="Y5284" t="s">
        <v>24431</v>
      </c>
      <c r="Z5284" t="s">
        <v>30859</v>
      </c>
      <c r="AA5284">
        <v>0.31479342917463121</v>
      </c>
      <c r="AB5284" t="str">
        <f>HYPERLINK("Melting_Curves/meltCurve_Q9BV86_NTMT1.pdf", "Melting_Curves/meltCurve_Q9BV86_NTMT1.pdf")</f>
        <v>Melting_Curves/meltCurve_Q9BV86_NTMT1.pdf</v>
      </c>
    </row>
    <row r="5285" spans="1:28" x14ac:dyDescent="0.25">
      <c r="A5285" t="s">
        <v>5289</v>
      </c>
      <c r="B5285">
        <v>0.99673306730245903</v>
      </c>
      <c r="C5285">
        <v>0.931712787670684</v>
      </c>
      <c r="D5285">
        <v>0.88394099259773196</v>
      </c>
      <c r="E5285">
        <v>0.70102261687456102</v>
      </c>
      <c r="F5285">
        <v>0.36608647576867098</v>
      </c>
      <c r="G5285">
        <v>0.224481246439872</v>
      </c>
      <c r="H5285">
        <v>0.137936158037962</v>
      </c>
      <c r="I5285">
        <v>8.3210295259718403E-2</v>
      </c>
      <c r="J5285">
        <v>8.0651211466562803E-2</v>
      </c>
      <c r="K5285">
        <v>5.89629773102864E-2</v>
      </c>
      <c r="L5285">
        <v>873.11376468403898</v>
      </c>
      <c r="M5285">
        <v>16.982201772509701</v>
      </c>
      <c r="N5285">
        <v>51.790315670901798</v>
      </c>
      <c r="O5285">
        <v>50.716438319824803</v>
      </c>
      <c r="P5285">
        <v>-7.8851073489369594E-2</v>
      </c>
      <c r="Q5285">
        <v>5.8120699496893698E-2</v>
      </c>
      <c r="R5285">
        <v>0.99716147492047702</v>
      </c>
      <c r="S5285" t="s">
        <v>11737</v>
      </c>
      <c r="T5285" t="s">
        <v>12902</v>
      </c>
      <c r="U5285" t="s">
        <v>12902</v>
      </c>
      <c r="V5285" t="s">
        <v>12902</v>
      </c>
      <c r="W5285" t="s">
        <v>18138</v>
      </c>
      <c r="X5285">
        <v>5</v>
      </c>
      <c r="Y5285" t="s">
        <v>24432</v>
      </c>
      <c r="Z5285" t="s">
        <v>30860</v>
      </c>
      <c r="AA5285">
        <v>0.43393337460905168</v>
      </c>
      <c r="AB5285" t="str">
        <f>HYPERLINK("Melting_Curves/meltCurve_Q9BVA0_KATNB1.pdf", "Melting_Curves/meltCurve_Q9BVA0_KATNB1.pdf")</f>
        <v>Melting_Curves/meltCurve_Q9BVA0_KATNB1.pdf</v>
      </c>
    </row>
    <row r="5286" spans="1:28" x14ac:dyDescent="0.25">
      <c r="A5286" t="s">
        <v>5290</v>
      </c>
      <c r="B5286">
        <v>0.99673306730245903</v>
      </c>
      <c r="C5286">
        <v>0.774768286312566</v>
      </c>
      <c r="D5286">
        <v>0.89136521527800106</v>
      </c>
      <c r="E5286">
        <v>0.93489667749286498</v>
      </c>
      <c r="F5286">
        <v>0.64180279680662999</v>
      </c>
      <c r="G5286">
        <v>0.83921282193839397</v>
      </c>
      <c r="H5286">
        <v>0.41572302547822598</v>
      </c>
      <c r="I5286">
        <v>7.9545458243629699E-2</v>
      </c>
      <c r="J5286">
        <v>5.9750096143161499E-2</v>
      </c>
      <c r="K5286">
        <v>4.7814224064098403E-2</v>
      </c>
      <c r="L5286">
        <v>1035.31117309554</v>
      </c>
      <c r="M5286">
        <v>17.570322410239399</v>
      </c>
      <c r="N5286">
        <v>58.923858093120899</v>
      </c>
      <c r="O5286">
        <v>58.176475630405598</v>
      </c>
      <c r="P5286">
        <v>-7.5508510232447201E-2</v>
      </c>
      <c r="Q5286">
        <v>0</v>
      </c>
      <c r="R5286">
        <v>0.87707579687953496</v>
      </c>
      <c r="S5286" t="s">
        <v>11738</v>
      </c>
      <c r="T5286" t="s">
        <v>12902</v>
      </c>
      <c r="U5286" t="s">
        <v>12902</v>
      </c>
      <c r="V5286" t="s">
        <v>12902</v>
      </c>
      <c r="W5286" t="s">
        <v>18139</v>
      </c>
      <c r="X5286">
        <v>36</v>
      </c>
      <c r="Y5286" t="s">
        <v>24433</v>
      </c>
      <c r="Z5286" t="s">
        <v>30861</v>
      </c>
      <c r="AA5286">
        <v>0.64161354889116895</v>
      </c>
      <c r="AB5286" t="str">
        <f>HYPERLINK("Melting_Curves/meltCurve_Q9BVA1_TUBB2B.pdf", "Melting_Curves/meltCurve_Q9BVA1_TUBB2B.pdf")</f>
        <v>Melting_Curves/meltCurve_Q9BVA1_TUBB2B.pdf</v>
      </c>
    </row>
    <row r="5287" spans="1:28" x14ac:dyDescent="0.25">
      <c r="A5287" t="s">
        <v>5291</v>
      </c>
      <c r="B5287">
        <v>0.99673306730245903</v>
      </c>
      <c r="C5287">
        <v>0.89624306542344501</v>
      </c>
      <c r="D5287">
        <v>0.53200589139516596</v>
      </c>
      <c r="E5287">
        <v>0.25955467153892098</v>
      </c>
      <c r="F5287">
        <v>0.18874158116676401</v>
      </c>
      <c r="G5287">
        <v>0.100010313493132</v>
      </c>
      <c r="H5287">
        <v>4.3605746393431802E-2</v>
      </c>
      <c r="I5287">
        <v>3.6309757356781602E-2</v>
      </c>
      <c r="J5287">
        <v>1.4803926049231799E-2</v>
      </c>
      <c r="K5287">
        <v>1.1504821103978199E-2</v>
      </c>
      <c r="L5287">
        <v>894.74660834886595</v>
      </c>
      <c r="M5287">
        <v>19.194077431194199</v>
      </c>
      <c r="N5287">
        <v>46.816442938758101</v>
      </c>
      <c r="O5287">
        <v>46.118611563821197</v>
      </c>
      <c r="P5287">
        <v>-9.9942277674626295E-2</v>
      </c>
      <c r="Q5287">
        <v>3.9490676734829498E-2</v>
      </c>
      <c r="R5287">
        <v>0.98922857789405205</v>
      </c>
      <c r="S5287" t="s">
        <v>11739</v>
      </c>
      <c r="T5287" t="s">
        <v>12902</v>
      </c>
      <c r="U5287" t="s">
        <v>12902</v>
      </c>
      <c r="V5287" t="s">
        <v>12902</v>
      </c>
      <c r="W5287" t="s">
        <v>18140</v>
      </c>
      <c r="X5287">
        <v>1</v>
      </c>
      <c r="Y5287" t="s">
        <v>24434</v>
      </c>
      <c r="Z5287" t="s">
        <v>30862</v>
      </c>
      <c r="AA5287">
        <v>0.26699499227749318</v>
      </c>
      <c r="AB5287" t="str">
        <f>HYPERLINK("Melting_Curves/meltCurve_Q9BVC3_DSCC1.pdf", "Melting_Curves/meltCurve_Q9BVC3_DSCC1.pdf")</f>
        <v>Melting_Curves/meltCurve_Q9BVC3_DSCC1.pdf</v>
      </c>
    </row>
    <row r="5288" spans="1:28" x14ac:dyDescent="0.25">
      <c r="A5288" t="s">
        <v>5292</v>
      </c>
      <c r="B5288">
        <v>0.99673306730245903</v>
      </c>
      <c r="C5288">
        <v>0.91508389931280398</v>
      </c>
      <c r="D5288">
        <v>0.82924414132618796</v>
      </c>
      <c r="E5288">
        <v>0.55178573513130902</v>
      </c>
      <c r="F5288">
        <v>0.36529238102685302</v>
      </c>
      <c r="G5288">
        <v>0.24428268943551501</v>
      </c>
      <c r="H5288">
        <v>0.17139254334971199</v>
      </c>
      <c r="I5288">
        <v>0.16848026016935</v>
      </c>
      <c r="J5288">
        <v>0.21522366775818899</v>
      </c>
      <c r="K5288">
        <v>0.20803166603248899</v>
      </c>
      <c r="L5288">
        <v>876.85136868126597</v>
      </c>
      <c r="M5288">
        <v>17.8270332887599</v>
      </c>
      <c r="N5288">
        <v>50.448550193759402</v>
      </c>
      <c r="O5288">
        <v>48.580210049136198</v>
      </c>
      <c r="P5288">
        <v>-7.5241314529141998E-2</v>
      </c>
      <c r="Q5288">
        <v>0.17988563648828901</v>
      </c>
      <c r="R5288">
        <v>0.99527558644096503</v>
      </c>
      <c r="S5288" t="s">
        <v>11740</v>
      </c>
      <c r="T5288" t="s">
        <v>12902</v>
      </c>
      <c r="U5288" t="s">
        <v>12902</v>
      </c>
      <c r="V5288" t="s">
        <v>12902</v>
      </c>
      <c r="W5288" t="s">
        <v>18141</v>
      </c>
      <c r="X5288">
        <v>6</v>
      </c>
      <c r="Y5288" t="s">
        <v>24435</v>
      </c>
      <c r="Z5288" t="s">
        <v>30863</v>
      </c>
      <c r="AA5288">
        <v>0.44545091238226259</v>
      </c>
      <c r="AB5288" t="str">
        <f>HYPERLINK("Melting_Curves/meltCurve_Q9BVC4_MLST8.pdf", "Melting_Curves/meltCurve_Q9BVC4_MLST8.pdf")</f>
        <v>Melting_Curves/meltCurve_Q9BVC4_MLST8.pdf</v>
      </c>
    </row>
    <row r="5289" spans="1:28" x14ac:dyDescent="0.25">
      <c r="A5289" t="s">
        <v>5293</v>
      </c>
      <c r="B5289">
        <v>0.99673306730245903</v>
      </c>
      <c r="C5289">
        <v>0.94956108584068399</v>
      </c>
      <c r="D5289">
        <v>0.99449674901277896</v>
      </c>
      <c r="E5289">
        <v>0.810609552683759</v>
      </c>
      <c r="F5289">
        <v>0.69225518862381197</v>
      </c>
      <c r="G5289">
        <v>0.579243573369711</v>
      </c>
      <c r="H5289">
        <v>0.59733608605496402</v>
      </c>
      <c r="I5289">
        <v>0.93549060501675696</v>
      </c>
      <c r="J5289">
        <v>0.93635548494727805</v>
      </c>
      <c r="K5289">
        <v>0.93614191189333196</v>
      </c>
      <c r="L5289">
        <v>12310.454765562999</v>
      </c>
      <c r="M5289">
        <v>250</v>
      </c>
      <c r="O5289">
        <v>49.238668035836497</v>
      </c>
      <c r="P5289">
        <v>-0.27992421147354701</v>
      </c>
      <c r="Q5289">
        <v>0.77947047562808502</v>
      </c>
      <c r="R5289">
        <v>0.33934391429069699</v>
      </c>
      <c r="S5289" t="s">
        <v>11741</v>
      </c>
      <c r="T5289" t="s">
        <v>12902</v>
      </c>
      <c r="U5289" t="s">
        <v>12902</v>
      </c>
      <c r="V5289" t="s">
        <v>12902</v>
      </c>
      <c r="W5289" t="s">
        <v>18142</v>
      </c>
      <c r="X5289">
        <v>7</v>
      </c>
      <c r="Y5289" t="s">
        <v>24436</v>
      </c>
      <c r="Z5289" t="s">
        <v>30864</v>
      </c>
      <c r="AA5289">
        <v>0.84742599889091597</v>
      </c>
      <c r="AB5289" t="str">
        <f>HYPERLINK("Melting_Curves/meltCurve_Q9BVC6_TMEM109.pdf", "Melting_Curves/meltCurve_Q9BVC6_TMEM109.pdf")</f>
        <v>Melting_Curves/meltCurve_Q9BVC6_TMEM109.pdf</v>
      </c>
    </row>
    <row r="5290" spans="1:28" x14ac:dyDescent="0.25">
      <c r="A5290" t="s">
        <v>5294</v>
      </c>
      <c r="B5290">
        <v>0.99673306730245903</v>
      </c>
      <c r="C5290">
        <v>0.97189970513681201</v>
      </c>
      <c r="D5290">
        <v>0.87798159731542202</v>
      </c>
      <c r="E5290">
        <v>0.68282390913647995</v>
      </c>
      <c r="F5290">
        <v>0.28234043857226898</v>
      </c>
      <c r="G5290">
        <v>0.14168339976010899</v>
      </c>
      <c r="H5290">
        <v>7.6160765866194802E-2</v>
      </c>
      <c r="I5290">
        <v>7.7974788937448705E-2</v>
      </c>
      <c r="J5290">
        <v>8.6245548418899198E-2</v>
      </c>
      <c r="K5290">
        <v>8.3149185929378699E-2</v>
      </c>
      <c r="L5290">
        <v>1179.87238819605</v>
      </c>
      <c r="M5290">
        <v>23.282481373922</v>
      </c>
      <c r="N5290">
        <v>51.015002887283998</v>
      </c>
      <c r="O5290">
        <v>50.307006788298096</v>
      </c>
      <c r="P5290">
        <v>-0.10742058033023801</v>
      </c>
      <c r="Q5290">
        <v>7.1592096102179203E-2</v>
      </c>
      <c r="R5290">
        <v>0.99734641699952997</v>
      </c>
      <c r="S5290" t="s">
        <v>11742</v>
      </c>
      <c r="T5290" t="s">
        <v>12902</v>
      </c>
      <c r="U5290" t="s">
        <v>12902</v>
      </c>
      <c r="V5290" t="s">
        <v>12902</v>
      </c>
      <c r="W5290" t="s">
        <v>18143</v>
      </c>
      <c r="X5290">
        <v>11</v>
      </c>
      <c r="Y5290" t="s">
        <v>24437</v>
      </c>
      <c r="Z5290" t="s">
        <v>30865</v>
      </c>
      <c r="AA5290">
        <v>0.41161073740708148</v>
      </c>
      <c r="AB5290" t="str">
        <f>HYPERLINK("Melting_Curves/meltCurve_Q9BVG4_PBDC1.pdf", "Melting_Curves/meltCurve_Q9BVG4_PBDC1.pdf")</f>
        <v>Melting_Curves/meltCurve_Q9BVG4_PBDC1.pdf</v>
      </c>
    </row>
    <row r="5291" spans="1:28" x14ac:dyDescent="0.25">
      <c r="A5291" t="s">
        <v>5295</v>
      </c>
      <c r="B5291">
        <v>0.99673306730245903</v>
      </c>
      <c r="C5291">
        <v>0.95361363922105902</v>
      </c>
      <c r="D5291">
        <v>0.99846399306173494</v>
      </c>
      <c r="E5291">
        <v>0.80168449397191199</v>
      </c>
      <c r="F5291">
        <v>0.601966540059932</v>
      </c>
      <c r="G5291">
        <v>0.254606941015666</v>
      </c>
      <c r="H5291">
        <v>0.149872648434762</v>
      </c>
      <c r="I5291">
        <v>0.12745332695822001</v>
      </c>
      <c r="J5291">
        <v>0.179265454859662</v>
      </c>
      <c r="K5291">
        <v>0.149373426389111</v>
      </c>
      <c r="L5291">
        <v>1213.34582756226</v>
      </c>
      <c r="M5291">
        <v>22.878184274331701</v>
      </c>
      <c r="N5291">
        <v>53.753322094981698</v>
      </c>
      <c r="O5291">
        <v>52.634819346428202</v>
      </c>
      <c r="P5291">
        <v>-9.4355749816887796E-2</v>
      </c>
      <c r="Q5291">
        <v>0.13169593597963</v>
      </c>
      <c r="R5291">
        <v>0.99131533549401896</v>
      </c>
      <c r="S5291" t="s">
        <v>11743</v>
      </c>
      <c r="T5291" t="s">
        <v>12902</v>
      </c>
      <c r="U5291" t="s">
        <v>12902</v>
      </c>
      <c r="V5291" t="s">
        <v>12902</v>
      </c>
      <c r="W5291" t="s">
        <v>18144</v>
      </c>
      <c r="X5291">
        <v>3</v>
      </c>
      <c r="Y5291" t="s">
        <v>24438</v>
      </c>
      <c r="Z5291" t="s">
        <v>30866</v>
      </c>
      <c r="AA5291">
        <v>0.51839586340411692</v>
      </c>
      <c r="AB5291" t="str">
        <f>HYPERLINK("Melting_Curves/meltCurve_Q9BVG9_PTDSS2.pdf", "Melting_Curves/meltCurve_Q9BVG9_PTDSS2.pdf")</f>
        <v>Melting_Curves/meltCurve_Q9BVG9_PTDSS2.pdf</v>
      </c>
    </row>
    <row r="5292" spans="1:28" x14ac:dyDescent="0.25">
      <c r="A5292" t="s">
        <v>5296</v>
      </c>
      <c r="B5292">
        <v>0.99673306730245903</v>
      </c>
      <c r="C5292">
        <v>1.0138339903696001</v>
      </c>
      <c r="D5292">
        <v>1.03297488412014</v>
      </c>
      <c r="E5292">
        <v>0.88381944144367197</v>
      </c>
      <c r="F5292">
        <v>0.69349320627920297</v>
      </c>
      <c r="G5292">
        <v>0.50174505719983697</v>
      </c>
      <c r="H5292">
        <v>0.34152730372055501</v>
      </c>
      <c r="I5292">
        <v>0.442828821803602</v>
      </c>
      <c r="J5292">
        <v>0.63310106032814395</v>
      </c>
      <c r="K5292">
        <v>0.785230445693472</v>
      </c>
      <c r="L5292">
        <v>1850.60104063993</v>
      </c>
      <c r="M5292">
        <v>35.873078886742299</v>
      </c>
      <c r="O5292">
        <v>51.427948861109599</v>
      </c>
      <c r="P5292">
        <v>-7.9855406647371396E-2</v>
      </c>
      <c r="Q5292">
        <v>0.54207602727780702</v>
      </c>
      <c r="R5292">
        <v>0.77865993310713399</v>
      </c>
      <c r="S5292" t="s">
        <v>11744</v>
      </c>
      <c r="T5292" t="s">
        <v>12902</v>
      </c>
      <c r="U5292" t="s">
        <v>12902</v>
      </c>
      <c r="V5292" t="s">
        <v>12902</v>
      </c>
      <c r="W5292" t="s">
        <v>18145</v>
      </c>
      <c r="X5292">
        <v>12</v>
      </c>
      <c r="Y5292" t="s">
        <v>24439</v>
      </c>
      <c r="Z5292" t="s">
        <v>30867</v>
      </c>
      <c r="AA5292">
        <v>0.72098067256249598</v>
      </c>
      <c r="AB5292" t="str">
        <f>HYPERLINK("Melting_Curves/meltCurve_Q9BVJ6_3_UTP14A.pdf", "Melting_Curves/meltCurve_Q9BVJ6_3_UTP14A.pdf")</f>
        <v>Melting_Curves/meltCurve_Q9BVJ6_3_UTP14A.pdf</v>
      </c>
    </row>
    <row r="5293" spans="1:28" x14ac:dyDescent="0.25">
      <c r="A5293" t="s">
        <v>5297</v>
      </c>
      <c r="B5293">
        <v>0.99673306730245903</v>
      </c>
      <c r="C5293">
        <v>1.0084150944318799</v>
      </c>
      <c r="D5293">
        <v>0.96335967281079904</v>
      </c>
      <c r="E5293">
        <v>0.92240921392477904</v>
      </c>
      <c r="F5293">
        <v>0.77783796036507402</v>
      </c>
      <c r="G5293">
        <v>0.52626419576342598</v>
      </c>
      <c r="H5293">
        <v>0.19548772428990799</v>
      </c>
      <c r="I5293">
        <v>0.134364476222401</v>
      </c>
      <c r="J5293">
        <v>0.13999521763966799</v>
      </c>
      <c r="K5293">
        <v>9.20304647636669E-2</v>
      </c>
      <c r="L5293">
        <v>1171.92080902624</v>
      </c>
      <c r="M5293">
        <v>20.839366782042202</v>
      </c>
      <c r="N5293">
        <v>56.696743127781197</v>
      </c>
      <c r="O5293">
        <v>55.725756215708302</v>
      </c>
      <c r="P5293">
        <v>-8.6209655776463806E-2</v>
      </c>
      <c r="Q5293">
        <v>7.7905701219839293E-2</v>
      </c>
      <c r="R5293">
        <v>0.99610243719076896</v>
      </c>
      <c r="S5293" t="s">
        <v>11745</v>
      </c>
      <c r="T5293" t="s">
        <v>12902</v>
      </c>
      <c r="U5293" t="s">
        <v>12902</v>
      </c>
      <c r="V5293" t="s">
        <v>12902</v>
      </c>
      <c r="W5293" t="s">
        <v>18146</v>
      </c>
      <c r="X5293">
        <v>14</v>
      </c>
      <c r="Y5293" t="s">
        <v>24440</v>
      </c>
      <c r="Z5293" t="s">
        <v>30868</v>
      </c>
      <c r="AA5293">
        <v>0.58806136041181578</v>
      </c>
      <c r="AB5293" t="str">
        <f>HYPERLINK("Melting_Curves/meltCurve_Q9BVJ7_DUSP23.pdf", "Melting_Curves/meltCurve_Q9BVJ7_DUSP23.pdf")</f>
        <v>Melting_Curves/meltCurve_Q9BVJ7_DUSP23.pdf</v>
      </c>
    </row>
    <row r="5294" spans="1:28" x14ac:dyDescent="0.25">
      <c r="A5294" t="s">
        <v>5298</v>
      </c>
      <c r="B5294">
        <v>0.99673306730245903</v>
      </c>
      <c r="C5294">
        <v>0.83736917433510205</v>
      </c>
      <c r="D5294">
        <v>0.78659658672955202</v>
      </c>
      <c r="E5294">
        <v>0.68089796546620396</v>
      </c>
      <c r="F5294">
        <v>0.43945795774612501</v>
      </c>
      <c r="G5294">
        <v>0.26661661992132701</v>
      </c>
      <c r="H5294">
        <v>9.7431017889939006E-2</v>
      </c>
      <c r="I5294">
        <v>8.1481446206319696E-2</v>
      </c>
      <c r="J5294">
        <v>8.4379822662530399E-2</v>
      </c>
      <c r="K5294">
        <v>6.86512433148663E-2</v>
      </c>
      <c r="L5294">
        <v>595.89701895970904</v>
      </c>
      <c r="M5294">
        <v>11.499662164845301</v>
      </c>
      <c r="N5294">
        <v>51.818644629123099</v>
      </c>
      <c r="O5294">
        <v>50.325969959991703</v>
      </c>
      <c r="P5294">
        <v>-5.7142130215580698E-2</v>
      </c>
      <c r="Q5294">
        <v>0</v>
      </c>
      <c r="R5294">
        <v>0.98719597873503195</v>
      </c>
      <c r="S5294" t="s">
        <v>11746</v>
      </c>
      <c r="T5294" t="s">
        <v>12902</v>
      </c>
      <c r="U5294" t="s">
        <v>12902</v>
      </c>
      <c r="V5294" t="s">
        <v>12902</v>
      </c>
      <c r="W5294" t="s">
        <v>18147</v>
      </c>
      <c r="X5294">
        <v>13</v>
      </c>
      <c r="Y5294" t="s">
        <v>24441</v>
      </c>
      <c r="Z5294" t="s">
        <v>30869</v>
      </c>
      <c r="AA5294">
        <v>0.42667596471600078</v>
      </c>
      <c r="AB5294" t="str">
        <f>HYPERLINK("Melting_Curves/meltCurve_Q9BVK6_TMED9.pdf", "Melting_Curves/meltCurve_Q9BVK6_TMED9.pdf")</f>
        <v>Melting_Curves/meltCurve_Q9BVK6_TMED9.pdf</v>
      </c>
    </row>
    <row r="5295" spans="1:28" x14ac:dyDescent="0.25">
      <c r="A5295" t="s">
        <v>5299</v>
      </c>
      <c r="B5295">
        <v>0.99673306730245903</v>
      </c>
      <c r="C5295">
        <v>0.87895481334484304</v>
      </c>
      <c r="D5295">
        <v>0.42837655237751898</v>
      </c>
      <c r="E5295">
        <v>0.24692715744376301</v>
      </c>
      <c r="F5295">
        <v>0.18859561331746899</v>
      </c>
      <c r="G5295">
        <v>0.11892213478762299</v>
      </c>
      <c r="H5295">
        <v>7.6960439908544495E-2</v>
      </c>
      <c r="I5295">
        <v>5.4620739167455003E-2</v>
      </c>
      <c r="J5295">
        <v>4.2268100863654803E-2</v>
      </c>
      <c r="K5295">
        <v>4.9477131465917E-2</v>
      </c>
      <c r="L5295">
        <v>1063.5557918309701</v>
      </c>
      <c r="M5295">
        <v>23.323751500269399</v>
      </c>
      <c r="N5295">
        <v>45.954391220016902</v>
      </c>
      <c r="O5295">
        <v>45.268445484107602</v>
      </c>
      <c r="P5295">
        <v>-0.118199407047702</v>
      </c>
      <c r="Q5295">
        <v>8.2375959607652094E-2</v>
      </c>
      <c r="R5295">
        <v>0.98242354135352505</v>
      </c>
      <c r="S5295" t="s">
        <v>11747</v>
      </c>
      <c r="T5295" t="s">
        <v>12902</v>
      </c>
      <c r="U5295" t="s">
        <v>12902</v>
      </c>
      <c r="V5295" t="s">
        <v>12902</v>
      </c>
      <c r="W5295" t="s">
        <v>18148</v>
      </c>
      <c r="X5295">
        <v>11</v>
      </c>
      <c r="Y5295" t="s">
        <v>24442</v>
      </c>
      <c r="Z5295" t="s">
        <v>30870</v>
      </c>
      <c r="AA5295">
        <v>0.26387756841646959</v>
      </c>
      <c r="AB5295" t="str">
        <f>HYPERLINK("Melting_Curves/meltCurve_Q9BVL4_SELO.pdf", "Melting_Curves/meltCurve_Q9BVL4_SELO.pdf")</f>
        <v>Melting_Curves/meltCurve_Q9BVL4_SELO.pdf</v>
      </c>
    </row>
    <row r="5296" spans="1:28" x14ac:dyDescent="0.25">
      <c r="A5296" t="s">
        <v>5300</v>
      </c>
      <c r="B5296">
        <v>0.99673306730245903</v>
      </c>
      <c r="C5296">
        <v>1.11411495135776</v>
      </c>
      <c r="D5296">
        <v>0.98158239117088897</v>
      </c>
      <c r="E5296">
        <v>0.88310182932286196</v>
      </c>
      <c r="F5296">
        <v>0.38443243894064399</v>
      </c>
      <c r="G5296">
        <v>0.285185821227398</v>
      </c>
      <c r="H5296">
        <v>0.16056343336580001</v>
      </c>
      <c r="I5296">
        <v>0.16837060276730401</v>
      </c>
      <c r="J5296">
        <v>0.121787973077168</v>
      </c>
      <c r="K5296">
        <v>9.0456188449680203E-2</v>
      </c>
      <c r="L5296">
        <v>1678.51766671726</v>
      </c>
      <c r="M5296">
        <v>32.268482941570703</v>
      </c>
      <c r="N5296">
        <v>52.583697743895002</v>
      </c>
      <c r="O5296">
        <v>51.818692541161703</v>
      </c>
      <c r="P5296">
        <v>-0.13282429970267301</v>
      </c>
      <c r="Q5296">
        <v>0.146814804170319</v>
      </c>
      <c r="R5296">
        <v>0.98274100575355405</v>
      </c>
      <c r="S5296" t="s">
        <v>11748</v>
      </c>
      <c r="T5296" t="s">
        <v>12902</v>
      </c>
      <c r="U5296" t="s">
        <v>12902</v>
      </c>
      <c r="V5296" t="s">
        <v>12902</v>
      </c>
      <c r="W5296" t="s">
        <v>18149</v>
      </c>
      <c r="X5296">
        <v>3</v>
      </c>
      <c r="Y5296" t="s">
        <v>24443</v>
      </c>
      <c r="Z5296" t="s">
        <v>30871</v>
      </c>
      <c r="AA5296">
        <v>0.49329616265894999</v>
      </c>
      <c r="AB5296" t="str">
        <f>HYPERLINK("Melting_Curves/meltCurve_Q9BVM4_GGACT.pdf", "Melting_Curves/meltCurve_Q9BVM4_GGACT.pdf")</f>
        <v>Melting_Curves/meltCurve_Q9BVM4_GGACT.pdf</v>
      </c>
    </row>
    <row r="5297" spans="1:28" x14ac:dyDescent="0.25">
      <c r="A5297" t="s">
        <v>5301</v>
      </c>
      <c r="B5297">
        <v>0.99673306730245903</v>
      </c>
      <c r="C5297">
        <v>0.54900325334381905</v>
      </c>
      <c r="D5297">
        <v>0.26411884001953601</v>
      </c>
      <c r="E5297">
        <v>0.18647984965365</v>
      </c>
      <c r="F5297">
        <v>0.13479169044914599</v>
      </c>
      <c r="G5297">
        <v>8.6928482541517305E-2</v>
      </c>
      <c r="H5297">
        <v>4.8107005761440502E-2</v>
      </c>
      <c r="I5297">
        <v>3.9064806135090398E-2</v>
      </c>
      <c r="J5297">
        <v>6.03415641960693E-2</v>
      </c>
      <c r="K5297">
        <v>4.8917700252030898E-2</v>
      </c>
      <c r="L5297">
        <v>1134.5927996713001</v>
      </c>
      <c r="M5297">
        <v>26.167968873169102</v>
      </c>
      <c r="N5297">
        <v>43.647692014018702</v>
      </c>
      <c r="O5297">
        <v>43.107243272774902</v>
      </c>
      <c r="P5297">
        <v>-0.139666645188852</v>
      </c>
      <c r="Q5297">
        <v>7.9702930152736107E-2</v>
      </c>
      <c r="R5297">
        <v>0.973049965490692</v>
      </c>
      <c r="S5297" t="s">
        <v>11749</v>
      </c>
      <c r="T5297" t="s">
        <v>12902</v>
      </c>
      <c r="U5297" t="s">
        <v>12902</v>
      </c>
      <c r="V5297" t="s">
        <v>12902</v>
      </c>
      <c r="W5297" t="s">
        <v>18150</v>
      </c>
      <c r="X5297">
        <v>5</v>
      </c>
      <c r="Y5297" t="s">
        <v>24444</v>
      </c>
      <c r="Z5297" t="s">
        <v>30872</v>
      </c>
      <c r="AA5297">
        <v>0.19349611321591351</v>
      </c>
      <c r="AB5297" t="str">
        <f>HYPERLINK("Melting_Curves/meltCurve_Q9BVP2_2_GNL3.pdf", "Melting_Curves/meltCurve_Q9BVP2_2_GNL3.pdf")</f>
        <v>Melting_Curves/meltCurve_Q9BVP2_2_GNL3.pdf</v>
      </c>
    </row>
    <row r="5298" spans="1:28" x14ac:dyDescent="0.25">
      <c r="A5298" t="s">
        <v>5302</v>
      </c>
      <c r="B5298">
        <v>0.99673306730245903</v>
      </c>
      <c r="C5298">
        <v>0.96018769494567402</v>
      </c>
      <c r="D5298">
        <v>1.0775292496359199</v>
      </c>
      <c r="E5298">
        <v>1.40401509833878</v>
      </c>
      <c r="F5298">
        <v>1.9042690134390901</v>
      </c>
      <c r="G5298">
        <v>1.19573190652286</v>
      </c>
      <c r="H5298">
        <v>0.165387710162129</v>
      </c>
      <c r="I5298">
        <v>0.13495646697208999</v>
      </c>
      <c r="J5298">
        <v>0.123361242004977</v>
      </c>
      <c r="K5298">
        <v>9.3312178807663598E-2</v>
      </c>
      <c r="L5298">
        <v>15000</v>
      </c>
      <c r="M5298">
        <v>249.562539652791</v>
      </c>
      <c r="N5298">
        <v>60.169556989941903</v>
      </c>
      <c r="O5298">
        <v>60.101314714288101</v>
      </c>
      <c r="P5298">
        <v>-0.91641709451824604</v>
      </c>
      <c r="Q5298">
        <v>0.117209302313174</v>
      </c>
      <c r="R5298">
        <v>0.72103172125610104</v>
      </c>
      <c r="S5298" t="s">
        <v>11750</v>
      </c>
      <c r="T5298" t="s">
        <v>12902</v>
      </c>
      <c r="U5298" t="s">
        <v>12902</v>
      </c>
      <c r="V5298" t="s">
        <v>12902</v>
      </c>
      <c r="W5298" t="s">
        <v>18151</v>
      </c>
      <c r="X5298">
        <v>11</v>
      </c>
      <c r="Y5298" t="s">
        <v>24445</v>
      </c>
      <c r="Z5298" t="s">
        <v>30873</v>
      </c>
      <c r="AA5298">
        <v>0.70892478389635538</v>
      </c>
      <c r="AB5298" t="str">
        <f>HYPERLINK("Melting_Curves/meltCurve_Q9BVQ7_SPATA5L1.pdf", "Melting_Curves/meltCurve_Q9BVQ7_SPATA5L1.pdf")</f>
        <v>Melting_Curves/meltCurve_Q9BVQ7_SPATA5L1.pdf</v>
      </c>
    </row>
    <row r="5299" spans="1:28" x14ac:dyDescent="0.25">
      <c r="A5299" t="s">
        <v>5303</v>
      </c>
      <c r="B5299">
        <v>0.99673306730245903</v>
      </c>
      <c r="C5299">
        <v>0.96830314128208195</v>
      </c>
      <c r="D5299">
        <v>0.94961701260270004</v>
      </c>
      <c r="E5299">
        <v>1.12966476831729</v>
      </c>
      <c r="F5299">
        <v>0.99837652690327305</v>
      </c>
      <c r="G5299">
        <v>0.900506945338993</v>
      </c>
      <c r="H5299">
        <v>0.64903551772664902</v>
      </c>
      <c r="I5299">
        <v>0.25469971174247302</v>
      </c>
      <c r="J5299">
        <v>0.202028944966821</v>
      </c>
      <c r="K5299">
        <v>0.166368960762378</v>
      </c>
      <c r="L5299">
        <v>2244.7804036539101</v>
      </c>
      <c r="M5299">
        <v>36.714091807665902</v>
      </c>
      <c r="N5299">
        <v>61.760595717665602</v>
      </c>
      <c r="O5299">
        <v>60.961631273841</v>
      </c>
      <c r="P5299">
        <v>-0.12740453007386901</v>
      </c>
      <c r="Q5299">
        <v>0.153810679107902</v>
      </c>
      <c r="R5299">
        <v>0.97983656780956097</v>
      </c>
      <c r="S5299" t="s">
        <v>11751</v>
      </c>
      <c r="T5299" t="s">
        <v>12902</v>
      </c>
      <c r="U5299" t="s">
        <v>12902</v>
      </c>
      <c r="V5299" t="s">
        <v>12902</v>
      </c>
      <c r="W5299" t="s">
        <v>18152</v>
      </c>
      <c r="X5299">
        <v>14</v>
      </c>
      <c r="Y5299" t="s">
        <v>24446</v>
      </c>
      <c r="Z5299" t="s">
        <v>30874</v>
      </c>
      <c r="AA5299">
        <v>0.75377848149519344</v>
      </c>
      <c r="AB5299" t="str">
        <f>HYPERLINK("Melting_Curves/meltCurve_Q9BVS5_TRMT61B.pdf", "Melting_Curves/meltCurve_Q9BVS5_TRMT61B.pdf")</f>
        <v>Melting_Curves/meltCurve_Q9BVS5_TRMT61B.pdf</v>
      </c>
    </row>
    <row r="5300" spans="1:28" x14ac:dyDescent="0.25">
      <c r="A5300" t="s">
        <v>5304</v>
      </c>
      <c r="B5300">
        <v>0.99673306730245903</v>
      </c>
      <c r="C5300">
        <v>1.0110498171190101</v>
      </c>
      <c r="D5300">
        <v>0.87391163638620395</v>
      </c>
      <c r="E5300">
        <v>0.68972245644729402</v>
      </c>
      <c r="F5300">
        <v>0.48232861450755199</v>
      </c>
      <c r="G5300">
        <v>0.30373715865124401</v>
      </c>
      <c r="H5300">
        <v>0.192076285096205</v>
      </c>
      <c r="I5300">
        <v>0.17731809545782101</v>
      </c>
      <c r="J5300">
        <v>0.19902533659229599</v>
      </c>
      <c r="K5300">
        <v>0.16101354591214001</v>
      </c>
      <c r="L5300">
        <v>844.04135653516198</v>
      </c>
      <c r="M5300">
        <v>16.414409390705298</v>
      </c>
      <c r="N5300">
        <v>52.601924196402699</v>
      </c>
      <c r="O5300">
        <v>50.675734929988103</v>
      </c>
      <c r="P5300">
        <v>-6.8500382118664604E-2</v>
      </c>
      <c r="Q5300">
        <v>0.15414301678863401</v>
      </c>
      <c r="R5300">
        <v>0.99638490639879795</v>
      </c>
      <c r="S5300" t="s">
        <v>11752</v>
      </c>
      <c r="T5300" t="s">
        <v>12902</v>
      </c>
      <c r="U5300" t="s">
        <v>12902</v>
      </c>
      <c r="V5300" t="s">
        <v>12902</v>
      </c>
      <c r="W5300" t="s">
        <v>18153</v>
      </c>
      <c r="X5300">
        <v>3</v>
      </c>
      <c r="Y5300" t="s">
        <v>24447</v>
      </c>
      <c r="Z5300" t="s">
        <v>30875</v>
      </c>
      <c r="AA5300">
        <v>0.49278041082728469</v>
      </c>
      <c r="AB5300" t="str">
        <f>HYPERLINK("Melting_Curves/meltCurve_Q9BVV7_TIMM21.pdf", "Melting_Curves/meltCurve_Q9BVV7_TIMM21.pdf")</f>
        <v>Melting_Curves/meltCurve_Q9BVV7_TIMM21.pdf</v>
      </c>
    </row>
    <row r="5301" spans="1:28" x14ac:dyDescent="0.25">
      <c r="A5301" t="s">
        <v>5305</v>
      </c>
      <c r="B5301">
        <v>0.99673306730245903</v>
      </c>
      <c r="C5301">
        <v>0.88534878658250205</v>
      </c>
      <c r="D5301">
        <v>0.71948562371172198</v>
      </c>
      <c r="E5301">
        <v>0.59400675784580403</v>
      </c>
      <c r="F5301">
        <v>0.44761579739973001</v>
      </c>
      <c r="G5301">
        <v>0.30138760121792701</v>
      </c>
      <c r="H5301">
        <v>0.23039633200357401</v>
      </c>
      <c r="I5301">
        <v>0.34754407148840399</v>
      </c>
      <c r="J5301">
        <v>0.50961034521676796</v>
      </c>
      <c r="K5301">
        <v>0.61858420905301004</v>
      </c>
      <c r="L5301">
        <v>938.59087943187399</v>
      </c>
      <c r="M5301">
        <v>20.190417066644201</v>
      </c>
      <c r="N5301">
        <v>50.645865341010399</v>
      </c>
      <c r="O5301">
        <v>46.038127964981697</v>
      </c>
      <c r="P5301">
        <v>-6.5266245769379602E-2</v>
      </c>
      <c r="Q5301">
        <v>0.404739077740424</v>
      </c>
      <c r="R5301">
        <v>0.80371324913858</v>
      </c>
      <c r="S5301" t="s">
        <v>11753</v>
      </c>
      <c r="T5301" t="s">
        <v>12902</v>
      </c>
      <c r="U5301" t="s">
        <v>12902</v>
      </c>
      <c r="V5301" t="s">
        <v>12902</v>
      </c>
      <c r="W5301" t="s">
        <v>18154</v>
      </c>
      <c r="X5301">
        <v>2</v>
      </c>
      <c r="Y5301" t="s">
        <v>24448</v>
      </c>
      <c r="Z5301" t="s">
        <v>30876</v>
      </c>
      <c r="AA5301">
        <v>0.54219182120003273</v>
      </c>
      <c r="AB5301" t="str">
        <f>HYPERLINK("Melting_Curves/meltCurve_Q9BVW5_TIPIN.pdf", "Melting_Curves/meltCurve_Q9BVW5_TIPIN.pdf")</f>
        <v>Melting_Curves/meltCurve_Q9BVW5_TIPIN.pdf</v>
      </c>
    </row>
    <row r="5302" spans="1:28" x14ac:dyDescent="0.25">
      <c r="A5302" t="s">
        <v>5306</v>
      </c>
      <c r="B5302">
        <v>0.99673306730245903</v>
      </c>
      <c r="C5302">
        <v>0.98509886219144904</v>
      </c>
      <c r="D5302">
        <v>0.98737776183002601</v>
      </c>
      <c r="E5302">
        <v>0.88381361798485902</v>
      </c>
      <c r="F5302">
        <v>0.77796342383472095</v>
      </c>
      <c r="G5302">
        <v>0.65051860714875598</v>
      </c>
      <c r="H5302">
        <v>0.55659175019203</v>
      </c>
      <c r="I5302">
        <v>0.913058668062394</v>
      </c>
      <c r="J5302">
        <v>1.3405331841261301</v>
      </c>
      <c r="K5302">
        <v>1.34998721438414</v>
      </c>
      <c r="L5302">
        <v>15000</v>
      </c>
      <c r="M5302">
        <v>226.870633907891</v>
      </c>
      <c r="O5302">
        <v>66.111831075190295</v>
      </c>
      <c r="P5302">
        <v>0.301398422541788</v>
      </c>
      <c r="Q5302">
        <v>1.35131921805521</v>
      </c>
      <c r="R5302">
        <v>0.34727025174021098</v>
      </c>
      <c r="S5302" t="s">
        <v>11754</v>
      </c>
      <c r="T5302" t="s">
        <v>12902</v>
      </c>
      <c r="U5302" t="s">
        <v>12902</v>
      </c>
      <c r="V5302" t="s">
        <v>12902</v>
      </c>
      <c r="W5302" t="s">
        <v>18155</v>
      </c>
      <c r="X5302">
        <v>16</v>
      </c>
      <c r="Y5302" t="s">
        <v>24449</v>
      </c>
      <c r="Z5302" t="s">
        <v>30877</v>
      </c>
      <c r="AA5302">
        <v>1.0454232219308861</v>
      </c>
      <c r="AB5302" t="str">
        <f>HYPERLINK("Melting_Curves/meltCurve_Q9BW04_SARG.pdf", "Melting_Curves/meltCurve_Q9BW04_SARG.pdf")</f>
        <v>Melting_Curves/meltCurve_Q9BW04_SARG.pdf</v>
      </c>
    </row>
    <row r="5303" spans="1:28" x14ac:dyDescent="0.25">
      <c r="A5303" t="s">
        <v>5307</v>
      </c>
      <c r="B5303">
        <v>0.99673306730245903</v>
      </c>
      <c r="C5303">
        <v>0.88728730834103597</v>
      </c>
      <c r="D5303">
        <v>0.73480981595866102</v>
      </c>
      <c r="E5303">
        <v>0.22082618395294101</v>
      </c>
      <c r="F5303">
        <v>0.14545360397784299</v>
      </c>
      <c r="G5303">
        <v>9.2702859285089603E-2</v>
      </c>
      <c r="H5303">
        <v>6.3438357573105106E-2</v>
      </c>
      <c r="I5303">
        <v>6.1993034024104297E-2</v>
      </c>
      <c r="J5303">
        <v>7.4274310076299394E-2</v>
      </c>
      <c r="K5303">
        <v>6.6397599990518599E-2</v>
      </c>
      <c r="L5303">
        <v>1347.5530757627801</v>
      </c>
      <c r="M5303">
        <v>28.5574326052757</v>
      </c>
      <c r="N5303">
        <v>47.448464164995798</v>
      </c>
      <c r="O5303">
        <v>46.957880008422798</v>
      </c>
      <c r="P5303">
        <v>-0.140988087861079</v>
      </c>
      <c r="Q5303">
        <v>7.2682419664671094E-2</v>
      </c>
      <c r="R5303">
        <v>0.99361040128121902</v>
      </c>
      <c r="S5303" t="s">
        <v>11755</v>
      </c>
      <c r="T5303" t="s">
        <v>12902</v>
      </c>
      <c r="U5303" t="s">
        <v>12902</v>
      </c>
      <c r="V5303" t="s">
        <v>12902</v>
      </c>
      <c r="W5303" t="s">
        <v>18156</v>
      </c>
      <c r="X5303">
        <v>18</v>
      </c>
      <c r="Y5303" t="s">
        <v>24450</v>
      </c>
      <c r="Z5303" t="s">
        <v>30878</v>
      </c>
      <c r="AA5303">
        <v>0.30103214347654611</v>
      </c>
      <c r="AB5303" t="str">
        <f>HYPERLINK("Melting_Curves/meltCurve_Q9BW19_KIFC1.pdf", "Melting_Curves/meltCurve_Q9BW19_KIFC1.pdf")</f>
        <v>Melting_Curves/meltCurve_Q9BW19_KIFC1.pdf</v>
      </c>
    </row>
    <row r="5304" spans="1:28" x14ac:dyDescent="0.25">
      <c r="A5304" t="s">
        <v>5308</v>
      </c>
      <c r="B5304">
        <v>0.99673306730245903</v>
      </c>
      <c r="C5304">
        <v>0.93609592061393998</v>
      </c>
      <c r="D5304">
        <v>0.91327242418684595</v>
      </c>
      <c r="E5304">
        <v>1.0843647688858999</v>
      </c>
      <c r="F5304">
        <v>1.0045053209481001</v>
      </c>
      <c r="G5304">
        <v>0.58368698963596599</v>
      </c>
      <c r="H5304">
        <v>0.17263562561623499</v>
      </c>
      <c r="I5304">
        <v>0.14385565795156499</v>
      </c>
      <c r="J5304">
        <v>0.143002273464052</v>
      </c>
      <c r="K5304">
        <v>0.13770335307731901</v>
      </c>
      <c r="L5304">
        <v>3624.0099531685701</v>
      </c>
      <c r="M5304">
        <v>63.744387446638797</v>
      </c>
      <c r="N5304">
        <v>57.160757315570201</v>
      </c>
      <c r="O5304">
        <v>56.796347742215701</v>
      </c>
      <c r="P5304">
        <v>-0.239741074653089</v>
      </c>
      <c r="Q5304">
        <v>0.145561629711732</v>
      </c>
      <c r="R5304">
        <v>0.98781536225897204</v>
      </c>
      <c r="S5304" t="s">
        <v>11756</v>
      </c>
      <c r="T5304" t="s">
        <v>12902</v>
      </c>
      <c r="U5304" t="s">
        <v>12902</v>
      </c>
      <c r="V5304" t="s">
        <v>12902</v>
      </c>
      <c r="W5304" t="s">
        <v>18157</v>
      </c>
      <c r="X5304">
        <v>14</v>
      </c>
      <c r="Y5304" t="s">
        <v>24451</v>
      </c>
      <c r="Z5304" t="s">
        <v>30879</v>
      </c>
      <c r="AA5304">
        <v>0.62684965194583253</v>
      </c>
      <c r="AB5304" t="str">
        <f>HYPERLINK("Melting_Curves/meltCurve_Q9BW27_NUP85.pdf", "Melting_Curves/meltCurve_Q9BW27_NUP85.pdf")</f>
        <v>Melting_Curves/meltCurve_Q9BW27_NUP85.pdf</v>
      </c>
    </row>
    <row r="5305" spans="1:28" x14ac:dyDescent="0.25">
      <c r="A5305" t="s">
        <v>5309</v>
      </c>
      <c r="B5305">
        <v>0.99673306730245903</v>
      </c>
      <c r="C5305">
        <v>1.03916324188733</v>
      </c>
      <c r="D5305">
        <v>1.02646482923397</v>
      </c>
      <c r="E5305">
        <v>0.95889634312246996</v>
      </c>
      <c r="F5305">
        <v>0.85638392828573096</v>
      </c>
      <c r="G5305">
        <v>0.78612526923138504</v>
      </c>
      <c r="H5305">
        <v>0.63028844580710897</v>
      </c>
      <c r="I5305">
        <v>0.83276469594125002</v>
      </c>
      <c r="J5305">
        <v>1.29831060098394</v>
      </c>
      <c r="K5305">
        <v>1.2176984630827901</v>
      </c>
      <c r="L5305">
        <v>15000</v>
      </c>
      <c r="M5305">
        <v>228.25947253892099</v>
      </c>
      <c r="O5305">
        <v>65.709643514563695</v>
      </c>
      <c r="P5305">
        <v>0.22473959291491499</v>
      </c>
      <c r="Q5305">
        <v>1.25878546620724</v>
      </c>
      <c r="R5305">
        <v>0.33464067427562499</v>
      </c>
      <c r="S5305" t="s">
        <v>11757</v>
      </c>
      <c r="T5305" t="s">
        <v>12902</v>
      </c>
      <c r="U5305" t="s">
        <v>12902</v>
      </c>
      <c r="V5305" t="s">
        <v>12902</v>
      </c>
      <c r="W5305" t="s">
        <v>18158</v>
      </c>
      <c r="X5305">
        <v>15</v>
      </c>
      <c r="Y5305" t="s">
        <v>24452</v>
      </c>
      <c r="Z5305" t="s">
        <v>30880</v>
      </c>
      <c r="AA5305">
        <v>1.036930082529822</v>
      </c>
      <c r="AB5305" t="str">
        <f>HYPERLINK("Melting_Curves/meltCurve_Q9BW30_TPPP3.pdf", "Melting_Curves/meltCurve_Q9BW30_TPPP3.pdf")</f>
        <v>Melting_Curves/meltCurve_Q9BW30_TPPP3.pdf</v>
      </c>
    </row>
    <row r="5306" spans="1:28" x14ac:dyDescent="0.25">
      <c r="A5306" t="s">
        <v>5310</v>
      </c>
      <c r="B5306">
        <v>0.99673306730245903</v>
      </c>
      <c r="C5306">
        <v>0.93401091192911201</v>
      </c>
      <c r="D5306">
        <v>0.91437684267322406</v>
      </c>
      <c r="E5306">
        <v>0.64941689453924101</v>
      </c>
      <c r="F5306">
        <v>0.23610867658326201</v>
      </c>
      <c r="G5306">
        <v>0.11064505736847099</v>
      </c>
      <c r="H5306">
        <v>6.5303672280623004E-2</v>
      </c>
      <c r="I5306">
        <v>4.9403733601198499E-2</v>
      </c>
      <c r="J5306">
        <v>5.8886003230281703E-2</v>
      </c>
      <c r="K5306">
        <v>4.5926153407489297E-2</v>
      </c>
      <c r="L5306">
        <v>1277.8811079928</v>
      </c>
      <c r="M5306">
        <v>25.3062188512258</v>
      </c>
      <c r="N5306">
        <v>50.704364831859699</v>
      </c>
      <c r="O5306">
        <v>50.184561840008101</v>
      </c>
      <c r="P5306">
        <v>-0.11986210611906099</v>
      </c>
      <c r="Q5306">
        <v>4.9221814621321601E-2</v>
      </c>
      <c r="R5306">
        <v>0.997395999536697</v>
      </c>
      <c r="S5306" t="s">
        <v>11758</v>
      </c>
      <c r="T5306" t="s">
        <v>12902</v>
      </c>
      <c r="U5306" t="s">
        <v>12902</v>
      </c>
      <c r="V5306" t="s">
        <v>12902</v>
      </c>
      <c r="W5306" t="s">
        <v>18159</v>
      </c>
      <c r="X5306">
        <v>1</v>
      </c>
      <c r="Y5306" t="s">
        <v>24453</v>
      </c>
      <c r="Z5306" t="s">
        <v>30881</v>
      </c>
      <c r="AA5306">
        <v>0.39022813421276697</v>
      </c>
      <c r="AB5306" t="str">
        <f>HYPERLINK("Melting_Curves/meltCurve_Q9BW60_ELOVL1.pdf", "Melting_Curves/meltCurve_Q9BW60_ELOVL1.pdf")</f>
        <v>Melting_Curves/meltCurve_Q9BW60_ELOVL1.pdf</v>
      </c>
    </row>
    <row r="5307" spans="1:28" x14ac:dyDescent="0.25">
      <c r="A5307" t="s">
        <v>5311</v>
      </c>
      <c r="B5307">
        <v>0.99673306730245903</v>
      </c>
      <c r="C5307">
        <v>0.93192896935130398</v>
      </c>
      <c r="D5307">
        <v>0.88335967447214503</v>
      </c>
      <c r="E5307">
        <v>0.85637760165864596</v>
      </c>
      <c r="F5307">
        <v>0.373360712535519</v>
      </c>
      <c r="G5307">
        <v>0.231766156576622</v>
      </c>
      <c r="H5307">
        <v>0.15190713572442599</v>
      </c>
      <c r="I5307">
        <v>0.13047099030317499</v>
      </c>
      <c r="J5307">
        <v>0.169997567632625</v>
      </c>
      <c r="K5307">
        <v>0.19344595429647601</v>
      </c>
      <c r="L5307">
        <v>1689.7037228972299</v>
      </c>
      <c r="M5307">
        <v>32.726454704470598</v>
      </c>
      <c r="N5307">
        <v>52.263158148011598</v>
      </c>
      <c r="O5307">
        <v>51.439488801866403</v>
      </c>
      <c r="P5307">
        <v>-0.13306228646971399</v>
      </c>
      <c r="Q5307">
        <v>0.16341388067311099</v>
      </c>
      <c r="R5307">
        <v>0.98457018626202197</v>
      </c>
      <c r="S5307" t="s">
        <v>11759</v>
      </c>
      <c r="T5307" t="s">
        <v>12902</v>
      </c>
      <c r="U5307" t="s">
        <v>12902</v>
      </c>
      <c r="V5307" t="s">
        <v>12902</v>
      </c>
      <c r="W5307" t="s">
        <v>18160</v>
      </c>
      <c r="X5307">
        <v>4</v>
      </c>
      <c r="Y5307" t="s">
        <v>24454</v>
      </c>
      <c r="Z5307" t="s">
        <v>30882</v>
      </c>
      <c r="AA5307">
        <v>0.49222865652272879</v>
      </c>
      <c r="AB5307" t="str">
        <f>HYPERLINK("Melting_Curves/meltCurve_Q9BW61_DDA1.pdf", "Melting_Curves/meltCurve_Q9BW61_DDA1.pdf")</f>
        <v>Melting_Curves/meltCurve_Q9BW61_DDA1.pdf</v>
      </c>
    </row>
    <row r="5308" spans="1:28" x14ac:dyDescent="0.25">
      <c r="A5308" t="s">
        <v>5312</v>
      </c>
      <c r="B5308">
        <v>0.99673306730245903</v>
      </c>
      <c r="C5308">
        <v>0.98518076355444195</v>
      </c>
      <c r="D5308">
        <v>0.92029625034412699</v>
      </c>
      <c r="E5308">
        <v>0.80720323582990094</v>
      </c>
      <c r="F5308">
        <v>0.60435815168981399</v>
      </c>
      <c r="G5308">
        <v>0.43844057808213399</v>
      </c>
      <c r="H5308">
        <v>0.31355809304645599</v>
      </c>
      <c r="I5308">
        <v>0.36915042713348001</v>
      </c>
      <c r="J5308">
        <v>0.53107746955504598</v>
      </c>
      <c r="K5308">
        <v>0.53178163265418599</v>
      </c>
      <c r="L5308">
        <v>1278.8885447555599</v>
      </c>
      <c r="M5308">
        <v>25.145767342508901</v>
      </c>
      <c r="N5308">
        <v>55.226674271743697</v>
      </c>
      <c r="O5308">
        <v>50.540636863374601</v>
      </c>
      <c r="P5308">
        <v>-7.0705421922716796E-2</v>
      </c>
      <c r="Q5308">
        <v>0.43156261279149999</v>
      </c>
      <c r="R5308">
        <v>0.92644182902332295</v>
      </c>
      <c r="S5308" t="s">
        <v>11760</v>
      </c>
      <c r="T5308" t="s">
        <v>12902</v>
      </c>
      <c r="U5308" t="s">
        <v>12902</v>
      </c>
      <c r="V5308" t="s">
        <v>12902</v>
      </c>
      <c r="W5308" t="s">
        <v>18161</v>
      </c>
      <c r="X5308">
        <v>12</v>
      </c>
      <c r="Y5308" t="s">
        <v>24455</v>
      </c>
      <c r="Z5308" t="s">
        <v>30883</v>
      </c>
      <c r="AA5308">
        <v>0.64238679576809876</v>
      </c>
      <c r="AB5308" t="str">
        <f>HYPERLINK("Melting_Curves/meltCurve_Q9BW71_HIRIP3.pdf", "Melting_Curves/meltCurve_Q9BW71_HIRIP3.pdf")</f>
        <v>Melting_Curves/meltCurve_Q9BW71_HIRIP3.pdf</v>
      </c>
    </row>
    <row r="5309" spans="1:28" x14ac:dyDescent="0.25">
      <c r="A5309" t="s">
        <v>5313</v>
      </c>
      <c r="B5309">
        <v>0.99673306730245903</v>
      </c>
      <c r="C5309">
        <v>0.97494949671295095</v>
      </c>
      <c r="D5309">
        <v>0.94695938447308603</v>
      </c>
      <c r="E5309">
        <v>0.90572305238407902</v>
      </c>
      <c r="F5309">
        <v>0.79087252616221704</v>
      </c>
      <c r="G5309">
        <v>0.508160083451347</v>
      </c>
      <c r="H5309">
        <v>0.16811278554753301</v>
      </c>
      <c r="I5309">
        <v>8.1918466921525601E-2</v>
      </c>
      <c r="J5309">
        <v>6.3904509737703993E-2</v>
      </c>
      <c r="K5309">
        <v>5.3867998281837498E-2</v>
      </c>
      <c r="L5309">
        <v>1168.7196796508299</v>
      </c>
      <c r="M5309">
        <v>20.695361775279299</v>
      </c>
      <c r="N5309">
        <v>56.573494846660601</v>
      </c>
      <c r="O5309">
        <v>55.953168978266298</v>
      </c>
      <c r="P5309">
        <v>-9.0793606109992306E-2</v>
      </c>
      <c r="Q5309">
        <v>1.81282599211967E-2</v>
      </c>
      <c r="R5309">
        <v>0.99564291796062299</v>
      </c>
      <c r="S5309" t="s">
        <v>11761</v>
      </c>
      <c r="T5309" t="s">
        <v>12902</v>
      </c>
      <c r="U5309" t="s">
        <v>12902</v>
      </c>
      <c r="V5309" t="s">
        <v>12902</v>
      </c>
      <c r="W5309" t="s">
        <v>18162</v>
      </c>
      <c r="X5309">
        <v>7</v>
      </c>
      <c r="Y5309" t="s">
        <v>24456</v>
      </c>
      <c r="Z5309" t="s">
        <v>30884</v>
      </c>
      <c r="AA5309">
        <v>0.56909636502139549</v>
      </c>
      <c r="AB5309" t="str">
        <f>HYPERLINK("Melting_Curves/meltCurve_Q9BW83_IFT27.pdf", "Melting_Curves/meltCurve_Q9BW83_IFT27.pdf")</f>
        <v>Melting_Curves/meltCurve_Q9BW83_IFT27.pdf</v>
      </c>
    </row>
    <row r="5310" spans="1:28" x14ac:dyDescent="0.25">
      <c r="A5310" t="s">
        <v>5314</v>
      </c>
      <c r="B5310">
        <v>0.99673306730245903</v>
      </c>
      <c r="C5310">
        <v>1.00355373295138</v>
      </c>
      <c r="D5310">
        <v>0.93134614492421997</v>
      </c>
      <c r="E5310">
        <v>0.80753472145091898</v>
      </c>
      <c r="F5310">
        <v>0.52677119665469496</v>
      </c>
      <c r="G5310">
        <v>0.34332780704413302</v>
      </c>
      <c r="H5310">
        <v>0.190151680043459</v>
      </c>
      <c r="I5310">
        <v>0.179705627552426</v>
      </c>
      <c r="J5310">
        <v>0.177190337577181</v>
      </c>
      <c r="K5310">
        <v>0.15399438409066599</v>
      </c>
      <c r="L5310">
        <v>982.64900052497103</v>
      </c>
      <c r="M5310">
        <v>18.643670628696999</v>
      </c>
      <c r="N5310">
        <v>53.720550309777998</v>
      </c>
      <c r="O5310">
        <v>52.111677752140501</v>
      </c>
      <c r="P5310">
        <v>-7.6180605986436306E-2</v>
      </c>
      <c r="Q5310">
        <v>0.14829461552352199</v>
      </c>
      <c r="R5310">
        <v>0.99851385484342403</v>
      </c>
      <c r="S5310" t="s">
        <v>11762</v>
      </c>
      <c r="T5310" t="s">
        <v>12902</v>
      </c>
      <c r="U5310" t="s">
        <v>12902</v>
      </c>
      <c r="V5310" t="s">
        <v>12902</v>
      </c>
      <c r="W5310" t="s">
        <v>18163</v>
      </c>
      <c r="X5310">
        <v>13</v>
      </c>
      <c r="Y5310" t="s">
        <v>24457</v>
      </c>
      <c r="Z5310" t="s">
        <v>30885</v>
      </c>
      <c r="AA5310">
        <v>0.52227439539927711</v>
      </c>
      <c r="AB5310" t="str">
        <f>HYPERLINK("Melting_Curves/meltCurve_Q9BW85_CCDC94.pdf", "Melting_Curves/meltCurve_Q9BW85_CCDC94.pdf")</f>
        <v>Melting_Curves/meltCurve_Q9BW85_CCDC94.pdf</v>
      </c>
    </row>
    <row r="5311" spans="1:28" x14ac:dyDescent="0.25">
      <c r="A5311" t="s">
        <v>5315</v>
      </c>
      <c r="B5311">
        <v>0.99673306730245903</v>
      </c>
      <c r="C5311">
        <v>0.86615243365354699</v>
      </c>
      <c r="D5311">
        <v>0.75892619702650099</v>
      </c>
      <c r="E5311">
        <v>0.73950059108076005</v>
      </c>
      <c r="F5311">
        <v>0.25425664663999198</v>
      </c>
      <c r="G5311">
        <v>0.13915983129819501</v>
      </c>
      <c r="H5311">
        <v>8.6248938151869903E-2</v>
      </c>
      <c r="I5311">
        <v>7.7529305042411706E-2</v>
      </c>
      <c r="J5311">
        <v>8.41336037117488E-2</v>
      </c>
      <c r="K5311">
        <v>7.5602981466502406E-2</v>
      </c>
      <c r="L5311">
        <v>844.74001259442502</v>
      </c>
      <c r="M5311">
        <v>16.729276407374599</v>
      </c>
      <c r="N5311">
        <v>50.7802447290427</v>
      </c>
      <c r="O5311">
        <v>49.789760561891597</v>
      </c>
      <c r="P5311">
        <v>-8.0234213118626399E-2</v>
      </c>
      <c r="Q5311">
        <v>4.4889039448935797E-2</v>
      </c>
      <c r="R5311">
        <v>0.96624442805263999</v>
      </c>
      <c r="S5311" t="s">
        <v>11763</v>
      </c>
      <c r="T5311" t="s">
        <v>12902</v>
      </c>
      <c r="U5311" t="s">
        <v>12902</v>
      </c>
      <c r="V5311" t="s">
        <v>12902</v>
      </c>
      <c r="W5311" t="s">
        <v>18164</v>
      </c>
      <c r="X5311">
        <v>7</v>
      </c>
      <c r="Y5311" t="s">
        <v>24458</v>
      </c>
      <c r="Z5311" t="s">
        <v>30886</v>
      </c>
      <c r="AA5311">
        <v>0.39751517280253051</v>
      </c>
      <c r="AB5311" t="str">
        <f>HYPERLINK("Melting_Curves/meltCurve_Q9BW91_2_NUDT9.pdf", "Melting_Curves/meltCurve_Q9BW91_2_NUDT9.pdf")</f>
        <v>Melting_Curves/meltCurve_Q9BW91_2_NUDT9.pdf</v>
      </c>
    </row>
    <row r="5312" spans="1:28" x14ac:dyDescent="0.25">
      <c r="A5312" t="s">
        <v>5316</v>
      </c>
      <c r="B5312">
        <v>0.99673306730245903</v>
      </c>
      <c r="C5312">
        <v>0.94245895215916797</v>
      </c>
      <c r="D5312">
        <v>0.86868981415588997</v>
      </c>
      <c r="E5312">
        <v>0.734549665079131</v>
      </c>
      <c r="F5312">
        <v>0.39053192055316899</v>
      </c>
      <c r="G5312">
        <v>0.204049170820187</v>
      </c>
      <c r="H5312">
        <v>0.127796225064293</v>
      </c>
      <c r="I5312">
        <v>0.109859850051596</v>
      </c>
      <c r="J5312">
        <v>0.100517853953484</v>
      </c>
      <c r="K5312">
        <v>7.8130170063067106E-2</v>
      </c>
      <c r="L5312">
        <v>942.49217482337497</v>
      </c>
      <c r="M5312">
        <v>18.306102487428699</v>
      </c>
      <c r="N5312">
        <v>51.956595120854203</v>
      </c>
      <c r="O5312">
        <v>50.882547797378201</v>
      </c>
      <c r="P5312">
        <v>-8.3064045988259297E-2</v>
      </c>
      <c r="Q5312">
        <v>7.6523208524912498E-2</v>
      </c>
      <c r="R5312">
        <v>0.99626453377753199</v>
      </c>
      <c r="S5312" t="s">
        <v>11764</v>
      </c>
      <c r="T5312" t="s">
        <v>12902</v>
      </c>
      <c r="U5312" t="s">
        <v>12902</v>
      </c>
      <c r="V5312" t="s">
        <v>12902</v>
      </c>
      <c r="W5312" t="s">
        <v>18165</v>
      </c>
      <c r="X5312">
        <v>12</v>
      </c>
      <c r="Y5312" t="s">
        <v>24459</v>
      </c>
      <c r="Z5312" t="s">
        <v>30887</v>
      </c>
      <c r="AA5312">
        <v>0.44508222533857228</v>
      </c>
      <c r="AB5312" t="str">
        <f>HYPERLINK("Melting_Curves/meltCurve_Q9BW92_TARS2.pdf", "Melting_Curves/meltCurve_Q9BW92_TARS2.pdf")</f>
        <v>Melting_Curves/meltCurve_Q9BW92_TARS2.pdf</v>
      </c>
    </row>
    <row r="5313" spans="1:28" x14ac:dyDescent="0.25">
      <c r="A5313" t="s">
        <v>5317</v>
      </c>
      <c r="B5313">
        <v>0.99673306730245903</v>
      </c>
      <c r="C5313">
        <v>0.98858070818796695</v>
      </c>
      <c r="D5313">
        <v>1.07986096622473</v>
      </c>
      <c r="E5313">
        <v>1.0904623150611601</v>
      </c>
      <c r="F5313">
        <v>1.08640424382156</v>
      </c>
      <c r="G5313">
        <v>0.87983790192782296</v>
      </c>
      <c r="H5313">
        <v>0.789591378229207</v>
      </c>
      <c r="I5313">
        <v>0.312098838285924</v>
      </c>
      <c r="J5313">
        <v>0.121781303257606</v>
      </c>
      <c r="K5313">
        <v>0.10211619928393199</v>
      </c>
      <c r="L5313">
        <v>2598.0199083246198</v>
      </c>
      <c r="M5313">
        <v>41.633930015324502</v>
      </c>
      <c r="N5313">
        <v>62.669947968590698</v>
      </c>
      <c r="O5313">
        <v>62.258039297497099</v>
      </c>
      <c r="P5313">
        <v>-0.153529739758234</v>
      </c>
      <c r="Q5313">
        <v>8.1667621297446605E-2</v>
      </c>
      <c r="R5313">
        <v>0.97702412210048295</v>
      </c>
      <c r="S5313" t="s">
        <v>11765</v>
      </c>
      <c r="T5313" t="s">
        <v>12902</v>
      </c>
      <c r="U5313" t="s">
        <v>12902</v>
      </c>
      <c r="V5313" t="s">
        <v>12902</v>
      </c>
      <c r="W5313" t="s">
        <v>18166</v>
      </c>
      <c r="X5313">
        <v>31</v>
      </c>
      <c r="Y5313" t="s">
        <v>24460</v>
      </c>
      <c r="Z5313" t="s">
        <v>30888</v>
      </c>
      <c r="AA5313">
        <v>0.77039417518700826</v>
      </c>
      <c r="AB5313" t="str">
        <f>HYPERLINK("Melting_Curves/meltCurve_Q9BWD1_ACAT2.pdf", "Melting_Curves/meltCurve_Q9BWD1_ACAT2.pdf")</f>
        <v>Melting_Curves/meltCurve_Q9BWD1_ACAT2.pdf</v>
      </c>
    </row>
    <row r="5314" spans="1:28" x14ac:dyDescent="0.25">
      <c r="A5314" t="s">
        <v>5318</v>
      </c>
      <c r="B5314">
        <v>0.99673306730245903</v>
      </c>
      <c r="C5314">
        <v>0.927358961448986</v>
      </c>
      <c r="D5314">
        <v>0.87892502860131805</v>
      </c>
      <c r="E5314">
        <v>0.78464803494234903</v>
      </c>
      <c r="F5314">
        <v>0.47565326869691299</v>
      </c>
      <c r="G5314">
        <v>0.33389399762030098</v>
      </c>
      <c r="H5314">
        <v>0.24915090775340201</v>
      </c>
      <c r="I5314">
        <v>0.32282198627285802</v>
      </c>
      <c r="J5314">
        <v>0.40006681104366498</v>
      </c>
      <c r="K5314">
        <v>0.421916789317763</v>
      </c>
      <c r="L5314">
        <v>1300.3253526625101</v>
      </c>
      <c r="M5314">
        <v>25.747264664362</v>
      </c>
      <c r="N5314">
        <v>52.811941524506103</v>
      </c>
      <c r="O5314">
        <v>50.201733826838201</v>
      </c>
      <c r="P5314">
        <v>-8.4914269921349997E-2</v>
      </c>
      <c r="Q5314">
        <v>0.33774828004551499</v>
      </c>
      <c r="R5314">
        <v>0.95463280146328999</v>
      </c>
      <c r="S5314" t="s">
        <v>11766</v>
      </c>
      <c r="T5314" t="s">
        <v>12902</v>
      </c>
      <c r="U5314" t="s">
        <v>12902</v>
      </c>
      <c r="V5314" t="s">
        <v>12902</v>
      </c>
      <c r="W5314" t="s">
        <v>18167</v>
      </c>
      <c r="X5314">
        <v>4</v>
      </c>
      <c r="Y5314" t="s">
        <v>24461</v>
      </c>
      <c r="Z5314" t="s">
        <v>30889</v>
      </c>
      <c r="AA5314">
        <v>0.57522370881403961</v>
      </c>
      <c r="AB5314" t="str">
        <f>HYPERLINK("Melting_Curves/meltCurve_Q9BWE0_REPIN1.pdf", "Melting_Curves/meltCurve_Q9BWE0_REPIN1.pdf")</f>
        <v>Melting_Curves/meltCurve_Q9BWE0_REPIN1.pdf</v>
      </c>
    </row>
    <row r="5315" spans="1:28" x14ac:dyDescent="0.25">
      <c r="A5315" t="s">
        <v>5319</v>
      </c>
      <c r="B5315">
        <v>0.99673306730245903</v>
      </c>
      <c r="C5315">
        <v>0.77957429578859105</v>
      </c>
      <c r="D5315">
        <v>0.491743767056739</v>
      </c>
      <c r="E5315">
        <v>0.28274319507161</v>
      </c>
      <c r="F5315">
        <v>0.14809491708130301</v>
      </c>
      <c r="G5315">
        <v>9.7848333144609306E-2</v>
      </c>
      <c r="H5315">
        <v>6.3346441187980704E-2</v>
      </c>
      <c r="I5315">
        <v>7.5382408981226501E-2</v>
      </c>
      <c r="J5315">
        <v>0.104109782099312</v>
      </c>
      <c r="K5315">
        <v>9.71499285802402E-2</v>
      </c>
      <c r="L5315">
        <v>869.64367041877097</v>
      </c>
      <c r="M5315">
        <v>19.033784674684401</v>
      </c>
      <c r="N5315">
        <v>46.136755983140297</v>
      </c>
      <c r="O5315">
        <v>45.194108984622098</v>
      </c>
      <c r="P5315">
        <v>-9.6422483447982293E-2</v>
      </c>
      <c r="Q5315">
        <v>8.4248187598672905E-2</v>
      </c>
      <c r="R5315">
        <v>0.99389533816397702</v>
      </c>
      <c r="S5315" t="s">
        <v>11767</v>
      </c>
      <c r="T5315" t="s">
        <v>12902</v>
      </c>
      <c r="U5315" t="s">
        <v>12902</v>
      </c>
      <c r="V5315" t="s">
        <v>12902</v>
      </c>
      <c r="W5315" t="s">
        <v>18168</v>
      </c>
      <c r="X5315">
        <v>13</v>
      </c>
      <c r="Y5315" t="s">
        <v>24462</v>
      </c>
      <c r="Z5315" t="s">
        <v>30890</v>
      </c>
      <c r="AA5315">
        <v>0.27416355479678228</v>
      </c>
      <c r="AB5315" t="str">
        <f>HYPERLINK("Melting_Curves/meltCurve_Q9BWF3_RBM4.pdf", "Melting_Curves/meltCurve_Q9BWF3_RBM4.pdf")</f>
        <v>Melting_Curves/meltCurve_Q9BWF3_RBM4.pdf</v>
      </c>
    </row>
    <row r="5316" spans="1:28" x14ac:dyDescent="0.25">
      <c r="A5316" t="s">
        <v>5320</v>
      </c>
      <c r="B5316">
        <v>0.99673306730245903</v>
      </c>
      <c r="C5316">
        <v>0.97903248768092499</v>
      </c>
      <c r="D5316">
        <v>0.96638166446324203</v>
      </c>
      <c r="E5316">
        <v>0.87000615657405</v>
      </c>
      <c r="F5316">
        <v>0.82633178502756499</v>
      </c>
      <c r="G5316">
        <v>0.76952176008566697</v>
      </c>
      <c r="H5316">
        <v>0.71480789910426101</v>
      </c>
      <c r="I5316">
        <v>1.05961377185313</v>
      </c>
      <c r="J5316">
        <v>1.1351899935426399</v>
      </c>
      <c r="K5316">
        <v>1.26979273123819</v>
      </c>
      <c r="L5316">
        <v>1847.32734842279</v>
      </c>
      <c r="M5316">
        <v>42.633657012423598</v>
      </c>
      <c r="O5316">
        <v>43.235250492963999</v>
      </c>
      <c r="P5316">
        <v>-1.2128100418820899E-2</v>
      </c>
      <c r="Q5316">
        <v>0.95080313028511898</v>
      </c>
      <c r="R5316">
        <v>8.9505570278524092E-3</v>
      </c>
      <c r="S5316" t="s">
        <v>11768</v>
      </c>
      <c r="T5316" t="s">
        <v>12902</v>
      </c>
      <c r="U5316" t="s">
        <v>12902</v>
      </c>
      <c r="V5316" t="s">
        <v>12902</v>
      </c>
      <c r="W5316" t="s">
        <v>18169</v>
      </c>
      <c r="X5316">
        <v>8</v>
      </c>
      <c r="Y5316" t="s">
        <v>24463</v>
      </c>
      <c r="Z5316" t="s">
        <v>30891</v>
      </c>
      <c r="AA5316">
        <v>0.95643260484889681</v>
      </c>
      <c r="AB5316" t="str">
        <f>HYPERLINK("Melting_Curves/meltCurve_Q9BWH2_FUNDC2.pdf", "Melting_Curves/meltCurve_Q9BWH2_FUNDC2.pdf")</f>
        <v>Melting_Curves/meltCurve_Q9BWH2_FUNDC2.pdf</v>
      </c>
    </row>
    <row r="5317" spans="1:28" x14ac:dyDescent="0.25">
      <c r="A5317" t="s">
        <v>5321</v>
      </c>
      <c r="B5317">
        <v>0.99673306730245903</v>
      </c>
      <c r="C5317">
        <v>0.923717914576066</v>
      </c>
      <c r="D5317">
        <v>0.93104416115678901</v>
      </c>
      <c r="E5317">
        <v>0.80859592021633597</v>
      </c>
      <c r="F5317">
        <v>0.27454827563107898</v>
      </c>
      <c r="G5317">
        <v>0.21038155259586699</v>
      </c>
      <c r="H5317">
        <v>0.14623997793659399</v>
      </c>
      <c r="I5317">
        <v>9.6315798658877003E-2</v>
      </c>
      <c r="J5317">
        <v>9.8120837946489695E-2</v>
      </c>
      <c r="K5317">
        <v>7.5497496713137394E-2</v>
      </c>
      <c r="L5317">
        <v>1765.3846102263301</v>
      </c>
      <c r="M5317">
        <v>34.457798214569401</v>
      </c>
      <c r="N5317">
        <v>51.620003783895001</v>
      </c>
      <c r="O5317">
        <v>51.0616035827275</v>
      </c>
      <c r="P5317">
        <v>-0.14951337569830001</v>
      </c>
      <c r="Q5317">
        <v>0.113772272630615</v>
      </c>
      <c r="R5317">
        <v>0.98800485983535002</v>
      </c>
      <c r="S5317" t="s">
        <v>11769</v>
      </c>
      <c r="T5317" t="s">
        <v>12902</v>
      </c>
      <c r="U5317" t="s">
        <v>12902</v>
      </c>
      <c r="V5317" t="s">
        <v>12902</v>
      </c>
      <c r="W5317" t="s">
        <v>18170</v>
      </c>
      <c r="X5317">
        <v>3</v>
      </c>
      <c r="Y5317" t="s">
        <v>24464</v>
      </c>
      <c r="Z5317" t="s">
        <v>30892</v>
      </c>
      <c r="AA5317">
        <v>0.44984912087542328</v>
      </c>
      <c r="AB5317" t="str">
        <f>HYPERLINK("Melting_Curves/meltCurve_Q9BWH6_RPAP1.pdf", "Melting_Curves/meltCurve_Q9BWH6_RPAP1.pdf")</f>
        <v>Melting_Curves/meltCurve_Q9BWH6_RPAP1.pdf</v>
      </c>
    </row>
    <row r="5318" spans="1:28" x14ac:dyDescent="0.25">
      <c r="A5318" t="s">
        <v>5322</v>
      </c>
      <c r="B5318">
        <v>0.99673306730245903</v>
      </c>
      <c r="C5318">
        <v>0.92317393164726602</v>
      </c>
      <c r="D5318">
        <v>1.02504661047634</v>
      </c>
      <c r="E5318">
        <v>1.37731576516378</v>
      </c>
      <c r="F5318">
        <v>1.29567972512313</v>
      </c>
      <c r="G5318">
        <v>0.53011839552665396</v>
      </c>
      <c r="H5318">
        <v>0.35561117682461502</v>
      </c>
      <c r="I5318">
        <v>0.47108508520790798</v>
      </c>
      <c r="J5318">
        <v>0.71985079348306003</v>
      </c>
      <c r="K5318">
        <v>0.89945928765580496</v>
      </c>
      <c r="L5318">
        <v>13778.231184222301</v>
      </c>
      <c r="M5318">
        <v>250</v>
      </c>
      <c r="O5318">
        <v>55.109397888678899</v>
      </c>
      <c r="P5318">
        <v>-0.45909605892212302</v>
      </c>
      <c r="Q5318">
        <v>0.59519188248882804</v>
      </c>
      <c r="R5318">
        <v>0.59584504307876496</v>
      </c>
      <c r="S5318" t="s">
        <v>11770</v>
      </c>
      <c r="T5318" t="s">
        <v>12902</v>
      </c>
      <c r="U5318" t="s">
        <v>12902</v>
      </c>
      <c r="V5318" t="s">
        <v>12902</v>
      </c>
      <c r="W5318" t="s">
        <v>18171</v>
      </c>
      <c r="X5318">
        <v>4</v>
      </c>
      <c r="Y5318" t="s">
        <v>24465</v>
      </c>
      <c r="Z5318" t="s">
        <v>30893</v>
      </c>
      <c r="AA5318">
        <v>0.79915885689880484</v>
      </c>
      <c r="AB5318" t="str">
        <f>HYPERLINK("Melting_Curves/meltCurve_Q9BWJ5_SF3B5.pdf", "Melting_Curves/meltCurve_Q9BWJ5_SF3B5.pdf")</f>
        <v>Melting_Curves/meltCurve_Q9BWJ5_SF3B5.pdf</v>
      </c>
    </row>
    <row r="5319" spans="1:28" x14ac:dyDescent="0.25">
      <c r="A5319" t="s">
        <v>5323</v>
      </c>
      <c r="B5319">
        <v>0.99673306730245903</v>
      </c>
      <c r="C5319">
        <v>1.00313123160122</v>
      </c>
      <c r="D5319">
        <v>0.87341815537787904</v>
      </c>
      <c r="E5319">
        <v>0.75164318799560703</v>
      </c>
      <c r="F5319">
        <v>0.58855865380018202</v>
      </c>
      <c r="G5319">
        <v>0.28648755190334402</v>
      </c>
      <c r="H5319">
        <v>0.15035541405583899</v>
      </c>
      <c r="I5319">
        <v>0.173172834798138</v>
      </c>
      <c r="J5319">
        <v>0.193325553524831</v>
      </c>
      <c r="K5319">
        <v>0.15449765313156899</v>
      </c>
      <c r="L5319">
        <v>886.74154080149106</v>
      </c>
      <c r="M5319">
        <v>16.870906333317699</v>
      </c>
      <c r="N5319">
        <v>53.517294298232301</v>
      </c>
      <c r="O5319">
        <v>51.838591319219901</v>
      </c>
      <c r="P5319">
        <v>-7.0773587489198694E-2</v>
      </c>
      <c r="Q5319">
        <v>0.130202194585324</v>
      </c>
      <c r="R5319">
        <v>0.98744413111751095</v>
      </c>
      <c r="S5319" t="s">
        <v>11771</v>
      </c>
      <c r="T5319" t="s">
        <v>12902</v>
      </c>
      <c r="U5319" t="s">
        <v>12902</v>
      </c>
      <c r="V5319" t="s">
        <v>12902</v>
      </c>
      <c r="W5319" t="s">
        <v>18172</v>
      </c>
      <c r="X5319">
        <v>5</v>
      </c>
      <c r="Y5319" t="s">
        <v>24466</v>
      </c>
      <c r="Z5319" t="s">
        <v>30894</v>
      </c>
      <c r="AA5319">
        <v>0.51030577711179825</v>
      </c>
      <c r="AB5319" t="str">
        <f>HYPERLINK("Melting_Curves/meltCurve_Q9BWM7_SFXN3.pdf", "Melting_Curves/meltCurve_Q9BWM7_SFXN3.pdf")</f>
        <v>Melting_Curves/meltCurve_Q9BWM7_SFXN3.pdf</v>
      </c>
    </row>
    <row r="5320" spans="1:28" x14ac:dyDescent="0.25">
      <c r="A5320" t="s">
        <v>5324</v>
      </c>
      <c r="B5320">
        <v>0.99673306730245903</v>
      </c>
      <c r="C5320">
        <v>0.86738846962984595</v>
      </c>
      <c r="D5320">
        <v>0.52374138813814697</v>
      </c>
      <c r="E5320">
        <v>0.32736416622324099</v>
      </c>
      <c r="F5320">
        <v>0.26281213273294102</v>
      </c>
      <c r="G5320">
        <v>0.16846337852054499</v>
      </c>
      <c r="H5320">
        <v>0.12758571638671401</v>
      </c>
      <c r="I5320">
        <v>0.120056342433184</v>
      </c>
      <c r="J5320">
        <v>0.13328189968523299</v>
      </c>
      <c r="K5320">
        <v>0.13941565913751799</v>
      </c>
      <c r="L5320">
        <v>894.58786546668102</v>
      </c>
      <c r="M5320">
        <v>19.420645421167301</v>
      </c>
      <c r="N5320">
        <v>46.863639884447501</v>
      </c>
      <c r="O5320">
        <v>45.583687859380198</v>
      </c>
      <c r="P5320">
        <v>-9.1488840873132596E-2</v>
      </c>
      <c r="Q5320">
        <v>0.14106947259904301</v>
      </c>
      <c r="R5320">
        <v>0.98866026652815797</v>
      </c>
      <c r="S5320" t="s">
        <v>11772</v>
      </c>
      <c r="T5320" t="s">
        <v>12902</v>
      </c>
      <c r="U5320" t="s">
        <v>12902</v>
      </c>
      <c r="V5320" t="s">
        <v>12902</v>
      </c>
      <c r="W5320" t="s">
        <v>18173</v>
      </c>
      <c r="X5320">
        <v>4</v>
      </c>
      <c r="Y5320" t="s">
        <v>24467</v>
      </c>
      <c r="Z5320" t="s">
        <v>30895</v>
      </c>
      <c r="AA5320">
        <v>0.32881699083501043</v>
      </c>
      <c r="AB5320" t="str">
        <f>HYPERLINK("Melting_Curves/meltCurve_Q9BWT3_PAPOLG.pdf", "Melting_Curves/meltCurve_Q9BWT3_PAPOLG.pdf")</f>
        <v>Melting_Curves/meltCurve_Q9BWT3_PAPOLG.pdf</v>
      </c>
    </row>
    <row r="5321" spans="1:28" x14ac:dyDescent="0.25">
      <c r="A5321" t="s">
        <v>5325</v>
      </c>
      <c r="B5321">
        <v>0.99673306730245903</v>
      </c>
      <c r="C5321">
        <v>1.01303970379004</v>
      </c>
      <c r="D5321">
        <v>0.93888554828088699</v>
      </c>
      <c r="E5321">
        <v>0.76258018198224797</v>
      </c>
      <c r="F5321">
        <v>0.36993561259928998</v>
      </c>
      <c r="G5321">
        <v>0.18863871360370599</v>
      </c>
      <c r="H5321">
        <v>0.11438429154202399</v>
      </c>
      <c r="I5321">
        <v>0.112291719019061</v>
      </c>
      <c r="J5321">
        <v>0.130910577515471</v>
      </c>
      <c r="K5321">
        <v>0.12150447522218701</v>
      </c>
      <c r="L5321">
        <v>1347.9491601037701</v>
      </c>
      <c r="M5321">
        <v>26.2185143051335</v>
      </c>
      <c r="N5321">
        <v>51.929684473444901</v>
      </c>
      <c r="O5321">
        <v>51.1158171986526</v>
      </c>
      <c r="P5321">
        <v>-0.11348807990661899</v>
      </c>
      <c r="Q5321">
        <v>0.114980935800234</v>
      </c>
      <c r="R5321">
        <v>0.99898313417784002</v>
      </c>
      <c r="S5321" t="s">
        <v>11773</v>
      </c>
      <c r="T5321" t="s">
        <v>12902</v>
      </c>
      <c r="U5321" t="s">
        <v>12902</v>
      </c>
      <c r="V5321" t="s">
        <v>12902</v>
      </c>
      <c r="W5321" t="s">
        <v>18174</v>
      </c>
      <c r="X5321">
        <v>19</v>
      </c>
      <c r="Y5321" t="s">
        <v>24468</v>
      </c>
      <c r="Z5321" t="s">
        <v>30896</v>
      </c>
      <c r="AA5321">
        <v>0.45896181249970519</v>
      </c>
      <c r="AB5321" t="str">
        <f>HYPERLINK("Melting_Curves/meltCurve_Q9BWU0_SLC4A1AP.pdf", "Melting_Curves/meltCurve_Q9BWU0_SLC4A1AP.pdf")</f>
        <v>Melting_Curves/meltCurve_Q9BWU0_SLC4A1AP.pdf</v>
      </c>
    </row>
    <row r="5322" spans="1:28" x14ac:dyDescent="0.25">
      <c r="A5322" t="s">
        <v>5326</v>
      </c>
      <c r="B5322">
        <v>0.99673306730245903</v>
      </c>
      <c r="C5322">
        <v>0.959312596984083</v>
      </c>
      <c r="D5322">
        <v>0.80234421207105999</v>
      </c>
      <c r="E5322">
        <v>0.48785952409349698</v>
      </c>
      <c r="F5322">
        <v>0.30179509002774701</v>
      </c>
      <c r="G5322">
        <v>0.174750335632363</v>
      </c>
      <c r="H5322">
        <v>0.11643034728410299</v>
      </c>
      <c r="I5322">
        <v>0.107093601212461</v>
      </c>
      <c r="J5322">
        <v>0.12917733249055799</v>
      </c>
      <c r="K5322">
        <v>0.124810981686205</v>
      </c>
      <c r="L5322">
        <v>930.26732302350001</v>
      </c>
      <c r="M5322">
        <v>18.979982885214401</v>
      </c>
      <c r="N5322">
        <v>49.681555062488002</v>
      </c>
      <c r="O5322">
        <v>48.478709577526303</v>
      </c>
      <c r="P5322">
        <v>-8.6851609262779697E-2</v>
      </c>
      <c r="Q5322">
        <v>0.112689319758377</v>
      </c>
      <c r="R5322">
        <v>0.998226031976155</v>
      </c>
      <c r="S5322" t="s">
        <v>11774</v>
      </c>
      <c r="T5322" t="s">
        <v>12902</v>
      </c>
      <c r="U5322" t="s">
        <v>12902</v>
      </c>
      <c r="V5322" t="s">
        <v>12902</v>
      </c>
      <c r="W5322" t="s">
        <v>18175</v>
      </c>
      <c r="X5322">
        <v>6</v>
      </c>
      <c r="Y5322" t="s">
        <v>24469</v>
      </c>
      <c r="Z5322" t="s">
        <v>30897</v>
      </c>
      <c r="AA5322">
        <v>0.3930856660590763</v>
      </c>
      <c r="AB5322" t="str">
        <f>HYPERLINK("Melting_Curves/meltCurve_Q9BX40_LSM14B.pdf", "Melting_Curves/meltCurve_Q9BX40_LSM14B.pdf")</f>
        <v>Melting_Curves/meltCurve_Q9BX40_LSM14B.pdf</v>
      </c>
    </row>
    <row r="5323" spans="1:28" x14ac:dyDescent="0.25">
      <c r="A5323" t="s">
        <v>5327</v>
      </c>
      <c r="B5323">
        <v>0.99673306730245903</v>
      </c>
      <c r="C5323">
        <v>0.92765155518858899</v>
      </c>
      <c r="D5323">
        <v>0.92594753299170296</v>
      </c>
      <c r="E5323">
        <v>0.80359167515687802</v>
      </c>
      <c r="F5323">
        <v>0.54789896306659702</v>
      </c>
      <c r="G5323">
        <v>0.33115517168928499</v>
      </c>
      <c r="H5323">
        <v>0.23649604521981099</v>
      </c>
      <c r="I5323">
        <v>0.26420595747171999</v>
      </c>
      <c r="J5323">
        <v>0.32938866252965998</v>
      </c>
      <c r="K5323">
        <v>0.33544711213248302</v>
      </c>
      <c r="L5323">
        <v>1206.4143877101501</v>
      </c>
      <c r="M5323">
        <v>23.370552928961601</v>
      </c>
      <c r="N5323">
        <v>53.518993245808403</v>
      </c>
      <c r="O5323">
        <v>51.2476319419875</v>
      </c>
      <c r="P5323">
        <v>-8.1892951494218894E-2</v>
      </c>
      <c r="Q5323">
        <v>0.28170358501524201</v>
      </c>
      <c r="R5323">
        <v>0.98071181601246804</v>
      </c>
      <c r="S5323" t="s">
        <v>11775</v>
      </c>
      <c r="T5323" t="s">
        <v>12902</v>
      </c>
      <c r="U5323" t="s">
        <v>12902</v>
      </c>
      <c r="V5323" t="s">
        <v>12902</v>
      </c>
      <c r="W5323" t="s">
        <v>18176</v>
      </c>
      <c r="X5323">
        <v>8</v>
      </c>
      <c r="Y5323" t="s">
        <v>24470</v>
      </c>
      <c r="Z5323" t="s">
        <v>30898</v>
      </c>
      <c r="AA5323">
        <v>0.56738933611070264</v>
      </c>
      <c r="AB5323" t="str">
        <f>HYPERLINK("Melting_Curves/meltCurve_Q9BX66_9_SORBS1.pdf", "Melting_Curves/meltCurve_Q9BX66_9_SORBS1.pdf")</f>
        <v>Melting_Curves/meltCurve_Q9BX66_9_SORBS1.pdf</v>
      </c>
    </row>
    <row r="5324" spans="1:28" x14ac:dyDescent="0.25">
      <c r="A5324" t="s">
        <v>5328</v>
      </c>
      <c r="B5324">
        <v>0.99673306730245903</v>
      </c>
      <c r="C5324">
        <v>1.0147157378252001</v>
      </c>
      <c r="D5324">
        <v>1.00739137429199</v>
      </c>
      <c r="E5324">
        <v>0.93049038264582196</v>
      </c>
      <c r="F5324">
        <v>0.81174955061445697</v>
      </c>
      <c r="G5324">
        <v>0.55708658844390602</v>
      </c>
      <c r="H5324">
        <v>0.217933313076172</v>
      </c>
      <c r="I5324">
        <v>0.13540977683057201</v>
      </c>
      <c r="J5324">
        <v>0.15004605357794401</v>
      </c>
      <c r="K5324">
        <v>0.13666771412401099</v>
      </c>
      <c r="L5324">
        <v>1319.6955845652799</v>
      </c>
      <c r="M5324">
        <v>23.380382654809399</v>
      </c>
      <c r="N5324">
        <v>57.044736453667703</v>
      </c>
      <c r="O5324">
        <v>56.036507356944398</v>
      </c>
      <c r="P5324">
        <v>-9.2937221920781396E-2</v>
      </c>
      <c r="Q5324">
        <v>0.10903323436745101</v>
      </c>
      <c r="R5324">
        <v>0.99611825582812097</v>
      </c>
      <c r="S5324" t="s">
        <v>11776</v>
      </c>
      <c r="T5324" t="s">
        <v>12902</v>
      </c>
      <c r="U5324" t="s">
        <v>12902</v>
      </c>
      <c r="V5324" t="s">
        <v>12902</v>
      </c>
      <c r="W5324" t="s">
        <v>18177</v>
      </c>
      <c r="X5324">
        <v>9</v>
      </c>
      <c r="Y5324" t="s">
        <v>24471</v>
      </c>
      <c r="Z5324" t="s">
        <v>30899</v>
      </c>
      <c r="AA5324">
        <v>0.60644367493624685</v>
      </c>
      <c r="AB5324" t="str">
        <f>HYPERLINK("Melting_Curves/meltCurve_Q9BX68_HINT2.pdf", "Melting_Curves/meltCurve_Q9BX68_HINT2.pdf")</f>
        <v>Melting_Curves/meltCurve_Q9BX68_HINT2.pdf</v>
      </c>
    </row>
    <row r="5325" spans="1:28" x14ac:dyDescent="0.25">
      <c r="A5325" t="s">
        <v>5329</v>
      </c>
      <c r="B5325">
        <v>0.99673306730245903</v>
      </c>
      <c r="C5325">
        <v>0.91921570827372201</v>
      </c>
      <c r="D5325">
        <v>0.904405357210192</v>
      </c>
      <c r="E5325">
        <v>0.74348416379950399</v>
      </c>
      <c r="F5325">
        <v>0.59419031907136699</v>
      </c>
      <c r="G5325">
        <v>0.37222844935464</v>
      </c>
      <c r="H5325">
        <v>0.149740167445677</v>
      </c>
      <c r="I5325">
        <v>0.10188218132301</v>
      </c>
      <c r="J5325">
        <v>0.142860530539169</v>
      </c>
      <c r="K5325">
        <v>0.135938656322106</v>
      </c>
      <c r="L5325">
        <v>742.75149486253201</v>
      </c>
      <c r="M5325">
        <v>13.877473183957999</v>
      </c>
      <c r="N5325">
        <v>54.027144236083501</v>
      </c>
      <c r="O5325">
        <v>52.4474484379259</v>
      </c>
      <c r="P5325">
        <v>-6.2133744125793901E-2</v>
      </c>
      <c r="Q5325">
        <v>6.0834760538600298E-2</v>
      </c>
      <c r="R5325">
        <v>0.98850260840319104</v>
      </c>
      <c r="S5325" t="s">
        <v>11777</v>
      </c>
      <c r="T5325" t="s">
        <v>12902</v>
      </c>
      <c r="U5325" t="s">
        <v>12902</v>
      </c>
      <c r="V5325" t="s">
        <v>12902</v>
      </c>
      <c r="W5325" t="s">
        <v>18178</v>
      </c>
      <c r="X5325">
        <v>1</v>
      </c>
      <c r="Y5325" t="s">
        <v>24472</v>
      </c>
      <c r="Z5325" t="s">
        <v>30900</v>
      </c>
      <c r="AA5325">
        <v>0.50593205118339257</v>
      </c>
      <c r="AB5325" t="str">
        <f>HYPERLINK("Melting_Curves/meltCurve_Q9BX95_SGPP1.pdf", "Melting_Curves/meltCurve_Q9BX95_SGPP1.pdf")</f>
        <v>Melting_Curves/meltCurve_Q9BX95_SGPP1.pdf</v>
      </c>
    </row>
    <row r="5326" spans="1:28" x14ac:dyDescent="0.25">
      <c r="A5326" t="s">
        <v>5330</v>
      </c>
      <c r="B5326">
        <v>0.99673306730245903</v>
      </c>
      <c r="C5326">
        <v>0.88486840182720505</v>
      </c>
      <c r="D5326">
        <v>1.0361201003035601</v>
      </c>
      <c r="E5326">
        <v>1.1639410356936</v>
      </c>
      <c r="F5326">
        <v>0.94498649949409197</v>
      </c>
      <c r="G5326">
        <v>0.57354693959601499</v>
      </c>
      <c r="H5326">
        <v>0.528840568912466</v>
      </c>
      <c r="I5326">
        <v>0.39489535413096699</v>
      </c>
      <c r="J5326">
        <v>0.23383322023046799</v>
      </c>
      <c r="K5326">
        <v>0.25992945593706501</v>
      </c>
      <c r="L5326">
        <v>1249.65744991565</v>
      </c>
      <c r="M5326">
        <v>21.665494724642802</v>
      </c>
      <c r="N5326">
        <v>59.7209371035472</v>
      </c>
      <c r="O5326">
        <v>57.194965651050602</v>
      </c>
      <c r="P5326">
        <v>-6.9930620331784904E-2</v>
      </c>
      <c r="Q5326">
        <v>0.26157526724647501</v>
      </c>
      <c r="R5326">
        <v>0.92493548160830796</v>
      </c>
      <c r="S5326" t="s">
        <v>11778</v>
      </c>
      <c r="T5326" t="s">
        <v>12902</v>
      </c>
      <c r="U5326" t="s">
        <v>12902</v>
      </c>
      <c r="V5326" t="s">
        <v>12902</v>
      </c>
      <c r="W5326" t="s">
        <v>18179</v>
      </c>
      <c r="X5326">
        <v>3</v>
      </c>
      <c r="Y5326" t="s">
        <v>24473</v>
      </c>
      <c r="Z5326" t="s">
        <v>30901</v>
      </c>
      <c r="AA5326">
        <v>0.70461431059069757</v>
      </c>
      <c r="AB5326" t="str">
        <f>HYPERLINK("Melting_Curves/meltCurve_Q9BXH1_2_BBC3.pdf", "Melting_Curves/meltCurve_Q9BXH1_2_BBC3.pdf")</f>
        <v>Melting_Curves/meltCurve_Q9BXH1_2_BBC3.pdf</v>
      </c>
    </row>
    <row r="5327" spans="1:28" x14ac:dyDescent="0.25">
      <c r="A5327" t="s">
        <v>5331</v>
      </c>
      <c r="B5327">
        <v>0.99673306730245903</v>
      </c>
      <c r="C5327">
        <v>0.91208359720960297</v>
      </c>
      <c r="D5327">
        <v>0.82028383638969804</v>
      </c>
      <c r="E5327">
        <v>0.37774071616029498</v>
      </c>
      <c r="F5327">
        <v>0.24452991473823901</v>
      </c>
      <c r="G5327">
        <v>0.153599048684365</v>
      </c>
      <c r="H5327">
        <v>9.7880308992624093E-2</v>
      </c>
      <c r="I5327">
        <v>0.145942829055458</v>
      </c>
      <c r="J5327">
        <v>0.28241878691613398</v>
      </c>
      <c r="K5327">
        <v>0.101120695990423</v>
      </c>
      <c r="L5327">
        <v>1280.84491262441</v>
      </c>
      <c r="M5327">
        <v>26.724274850222901</v>
      </c>
      <c r="N5327">
        <v>48.6113172168182</v>
      </c>
      <c r="O5327">
        <v>47.662207568583497</v>
      </c>
      <c r="P5327">
        <v>-0.118231174297019</v>
      </c>
      <c r="Q5327">
        <v>0.15655732858373</v>
      </c>
      <c r="R5327">
        <v>0.97529830979524701</v>
      </c>
      <c r="S5327" t="s">
        <v>11779</v>
      </c>
      <c r="T5327" t="s">
        <v>12902</v>
      </c>
      <c r="U5327" t="s">
        <v>12902</v>
      </c>
      <c r="V5327" t="s">
        <v>12902</v>
      </c>
      <c r="W5327" t="s">
        <v>18180</v>
      </c>
      <c r="X5327">
        <v>3</v>
      </c>
      <c r="Y5327" t="s">
        <v>24474</v>
      </c>
      <c r="Z5327" t="s">
        <v>30902</v>
      </c>
      <c r="AA5327">
        <v>0.38592683131502631</v>
      </c>
      <c r="AB5327" t="str">
        <f>HYPERLINK("Melting_Curves/meltCurve_Q9BXI6_TBC1D10A.pdf", "Melting_Curves/meltCurve_Q9BXI6_TBC1D10A.pdf")</f>
        <v>Melting_Curves/meltCurve_Q9BXI6_TBC1D10A.pdf</v>
      </c>
    </row>
    <row r="5328" spans="1:28" x14ac:dyDescent="0.25">
      <c r="A5328" t="s">
        <v>5332</v>
      </c>
      <c r="B5328">
        <v>0.99673306730245903</v>
      </c>
      <c r="C5328">
        <v>0.936616746416436</v>
      </c>
      <c r="D5328">
        <v>0.96044510128361205</v>
      </c>
      <c r="E5328">
        <v>1.0261064079309199</v>
      </c>
      <c r="F5328">
        <v>0.47661705355734701</v>
      </c>
      <c r="G5328">
        <v>0.12555144395352</v>
      </c>
      <c r="H5328">
        <v>6.8855509055380196E-2</v>
      </c>
      <c r="I5328">
        <v>5.99972574263479E-2</v>
      </c>
      <c r="J5328">
        <v>6.4696296047615995E-2</v>
      </c>
      <c r="K5328">
        <v>5.6018685290701198E-2</v>
      </c>
      <c r="L5328">
        <v>3313.6241647382299</v>
      </c>
      <c r="M5328">
        <v>62.523067781082702</v>
      </c>
      <c r="N5328">
        <v>53.129871185481001</v>
      </c>
      <c r="O5328">
        <v>52.944271065199501</v>
      </c>
      <c r="P5328">
        <v>-0.27407517464291598</v>
      </c>
      <c r="Q5328">
        <v>7.1657206844982502E-2</v>
      </c>
      <c r="R5328">
        <v>0.99499714366468495</v>
      </c>
      <c r="S5328" t="s">
        <v>11780</v>
      </c>
      <c r="T5328" t="s">
        <v>12902</v>
      </c>
      <c r="U5328" t="s">
        <v>12902</v>
      </c>
      <c r="V5328" t="s">
        <v>12902</v>
      </c>
      <c r="W5328" t="s">
        <v>18181</v>
      </c>
      <c r="X5328">
        <v>55</v>
      </c>
      <c r="Y5328" t="s">
        <v>24475</v>
      </c>
      <c r="Z5328" t="s">
        <v>30903</v>
      </c>
      <c r="AA5328">
        <v>0.47527549379557671</v>
      </c>
      <c r="AB5328" t="str">
        <f>HYPERLINK("Melting_Curves/meltCurve_Q9BXJ9_NAA15.pdf", "Melting_Curves/meltCurve_Q9BXJ9_NAA15.pdf")</f>
        <v>Melting_Curves/meltCurve_Q9BXJ9_NAA15.pdf</v>
      </c>
    </row>
    <row r="5329" spans="1:28" x14ac:dyDescent="0.25">
      <c r="A5329" t="s">
        <v>5333</v>
      </c>
      <c r="B5329">
        <v>0.99673306730245903</v>
      </c>
      <c r="C5329">
        <v>0.89070525183796501</v>
      </c>
      <c r="D5329">
        <v>0.71743569950919694</v>
      </c>
      <c r="E5329">
        <v>0.52668565712714299</v>
      </c>
      <c r="F5329">
        <v>0.386676413636866</v>
      </c>
      <c r="G5329">
        <v>0.29455065837428102</v>
      </c>
      <c r="H5329">
        <v>0.221574518284927</v>
      </c>
      <c r="I5329">
        <v>0.31586436555167402</v>
      </c>
      <c r="J5329">
        <v>0.499272885918779</v>
      </c>
      <c r="K5329">
        <v>0.52494719316107996</v>
      </c>
      <c r="L5329">
        <v>1039.18651274841</v>
      </c>
      <c r="M5329">
        <v>22.382421071301799</v>
      </c>
      <c r="N5329">
        <v>49.404633057350097</v>
      </c>
      <c r="O5329">
        <v>46.062855640599601</v>
      </c>
      <c r="P5329">
        <v>-7.6514265693128802E-2</v>
      </c>
      <c r="Q5329">
        <v>0.370150173166714</v>
      </c>
      <c r="R5329">
        <v>0.87319111361615998</v>
      </c>
      <c r="S5329" t="s">
        <v>11781</v>
      </c>
      <c r="T5329" t="s">
        <v>12902</v>
      </c>
      <c r="U5329" t="s">
        <v>12902</v>
      </c>
      <c r="V5329" t="s">
        <v>12902</v>
      </c>
      <c r="W5329" t="s">
        <v>18182</v>
      </c>
      <c r="X5329">
        <v>4</v>
      </c>
      <c r="Y5329" t="s">
        <v>24476</v>
      </c>
      <c r="Z5329" t="s">
        <v>30904</v>
      </c>
      <c r="AA5329">
        <v>0.51246185031231295</v>
      </c>
      <c r="AB5329" t="str">
        <f>HYPERLINK("Melting_Curves/meltCurve_Q9BXK1_KLF16.pdf", "Melting_Curves/meltCurve_Q9BXK1_KLF16.pdf")</f>
        <v>Melting_Curves/meltCurve_Q9BXK1_KLF16.pdf</v>
      </c>
    </row>
    <row r="5330" spans="1:28" x14ac:dyDescent="0.25">
      <c r="A5330" t="s">
        <v>5334</v>
      </c>
      <c r="B5330">
        <v>0.99673306730245903</v>
      </c>
      <c r="C5330">
        <v>0.92578348535797905</v>
      </c>
      <c r="D5330">
        <v>0.84789390205147996</v>
      </c>
      <c r="E5330">
        <v>0.68983511491791005</v>
      </c>
      <c r="F5330">
        <v>0.38118400906834599</v>
      </c>
      <c r="G5330">
        <v>0.23392224127665701</v>
      </c>
      <c r="H5330">
        <v>0.118311666802284</v>
      </c>
      <c r="I5330">
        <v>8.7432256664624605E-2</v>
      </c>
      <c r="J5330">
        <v>0.11720981834772801</v>
      </c>
      <c r="K5330">
        <v>9.1333616352341607E-2</v>
      </c>
      <c r="L5330">
        <v>822.38018192575805</v>
      </c>
      <c r="M5330">
        <v>16.062794411179901</v>
      </c>
      <c r="N5330">
        <v>51.6860849417141</v>
      </c>
      <c r="O5330">
        <v>50.424022014438201</v>
      </c>
      <c r="P5330">
        <v>-7.4038306131154002E-2</v>
      </c>
      <c r="Q5330">
        <v>7.0393185244486595E-2</v>
      </c>
      <c r="R5330">
        <v>0.99609497116312795</v>
      </c>
      <c r="S5330" t="s">
        <v>11782</v>
      </c>
      <c r="T5330" t="s">
        <v>12902</v>
      </c>
      <c r="U5330" t="s">
        <v>12902</v>
      </c>
      <c r="V5330" t="s">
        <v>12902</v>
      </c>
      <c r="W5330" t="s">
        <v>18183</v>
      </c>
      <c r="X5330">
        <v>4</v>
      </c>
      <c r="Y5330" t="s">
        <v>24477</v>
      </c>
      <c r="Z5330" t="s">
        <v>30905</v>
      </c>
      <c r="AA5330">
        <v>0.43642896481177812</v>
      </c>
      <c r="AB5330" t="str">
        <f>HYPERLINK("Melting_Curves/meltCurve_Q9BXK5_BCL2L13.pdf", "Melting_Curves/meltCurve_Q9BXK5_BCL2L13.pdf")</f>
        <v>Melting_Curves/meltCurve_Q9BXK5_BCL2L13.pdf</v>
      </c>
    </row>
    <row r="5331" spans="1:28" x14ac:dyDescent="0.25">
      <c r="A5331" t="s">
        <v>5335</v>
      </c>
      <c r="B5331">
        <v>0.99673306730245903</v>
      </c>
      <c r="C5331">
        <v>0.933419186895318</v>
      </c>
      <c r="D5331">
        <v>0.83735002753577104</v>
      </c>
      <c r="E5331">
        <v>0.75697698852808804</v>
      </c>
      <c r="F5331">
        <v>0.56835783208775703</v>
      </c>
      <c r="G5331">
        <v>0.351877548876951</v>
      </c>
      <c r="H5331">
        <v>0.14311900077401199</v>
      </c>
      <c r="I5331">
        <v>0.102580767297097</v>
      </c>
      <c r="J5331">
        <v>6.0732667393265202E-2</v>
      </c>
      <c r="K5331">
        <v>4.2482978935112201E-2</v>
      </c>
      <c r="L5331">
        <v>690.52114533720498</v>
      </c>
      <c r="M5331">
        <v>12.845853128078099</v>
      </c>
      <c r="N5331">
        <v>53.754402432196002</v>
      </c>
      <c r="O5331">
        <v>52.501697945743601</v>
      </c>
      <c r="P5331">
        <v>-6.1180070566376303E-2</v>
      </c>
      <c r="Q5331">
        <v>0</v>
      </c>
      <c r="R5331">
        <v>0.99386863692305205</v>
      </c>
      <c r="S5331" t="s">
        <v>11783</v>
      </c>
      <c r="T5331" t="s">
        <v>12902</v>
      </c>
      <c r="U5331" t="s">
        <v>12902</v>
      </c>
      <c r="V5331" t="s">
        <v>12902</v>
      </c>
      <c r="W5331" t="s">
        <v>18184</v>
      </c>
      <c r="X5331">
        <v>5</v>
      </c>
      <c r="Y5331" t="s">
        <v>24478</v>
      </c>
      <c r="Z5331" t="s">
        <v>30906</v>
      </c>
      <c r="AA5331">
        <v>0.48340727357510649</v>
      </c>
      <c r="AB5331" t="str">
        <f>HYPERLINK("Melting_Curves/meltCurve_Q9BXP2_SLC12A9.pdf", "Melting_Curves/meltCurve_Q9BXP2_SLC12A9.pdf")</f>
        <v>Melting_Curves/meltCurve_Q9BXP2_SLC12A9.pdf</v>
      </c>
    </row>
    <row r="5332" spans="1:28" x14ac:dyDescent="0.25">
      <c r="A5332" t="s">
        <v>5336</v>
      </c>
      <c r="B5332">
        <v>0.99673306730245903</v>
      </c>
      <c r="C5332">
        <v>0.93522445609780303</v>
      </c>
      <c r="D5332">
        <v>0.776954958207559</v>
      </c>
      <c r="E5332">
        <v>0.195359415389291</v>
      </c>
      <c r="F5332">
        <v>0.114052737350163</v>
      </c>
      <c r="G5332">
        <v>6.3327841449419706E-2</v>
      </c>
      <c r="H5332">
        <v>4.4381092657389903E-2</v>
      </c>
      <c r="I5332">
        <v>4.5842833025201001E-2</v>
      </c>
      <c r="J5332">
        <v>5.3336085664486103E-2</v>
      </c>
      <c r="K5332">
        <v>5.2710304015029699E-2</v>
      </c>
      <c r="L5332">
        <v>1723.8084670048299</v>
      </c>
      <c r="M5332">
        <v>36.3792081717042</v>
      </c>
      <c r="N5332">
        <v>47.542294249722602</v>
      </c>
      <c r="O5332">
        <v>47.241944263788803</v>
      </c>
      <c r="P5332">
        <v>-0.18156390783904999</v>
      </c>
      <c r="Q5332">
        <v>5.68892060186744E-2</v>
      </c>
      <c r="R5332">
        <v>0.99703454996818897</v>
      </c>
      <c r="S5332" t="s">
        <v>11784</v>
      </c>
      <c r="T5332" t="s">
        <v>12902</v>
      </c>
      <c r="U5332" t="s">
        <v>12902</v>
      </c>
      <c r="V5332" t="s">
        <v>12902</v>
      </c>
      <c r="W5332" t="s">
        <v>18185</v>
      </c>
      <c r="X5332">
        <v>33</v>
      </c>
      <c r="Y5332" t="s">
        <v>24479</v>
      </c>
      <c r="Z5332" t="s">
        <v>30907</v>
      </c>
      <c r="AA5332">
        <v>0.29280969230977028</v>
      </c>
      <c r="AB5332" t="str">
        <f>HYPERLINK("Melting_Curves/meltCurve_Q9BXP5_4_SRRT.pdf", "Melting_Curves/meltCurve_Q9BXP5_4_SRRT.pdf")</f>
        <v>Melting_Curves/meltCurve_Q9BXP5_4_SRRT.pdf</v>
      </c>
    </row>
    <row r="5333" spans="1:28" x14ac:dyDescent="0.25">
      <c r="A5333" t="s">
        <v>5337</v>
      </c>
      <c r="B5333">
        <v>0.99673306730245903</v>
      </c>
      <c r="C5333">
        <v>1.3522695915762599</v>
      </c>
      <c r="D5333">
        <v>0.57703490791376499</v>
      </c>
      <c r="E5333">
        <v>1.47237157585472</v>
      </c>
      <c r="F5333">
        <v>0.54325001984131305</v>
      </c>
      <c r="G5333">
        <v>0.63429937663151204</v>
      </c>
      <c r="H5333">
        <v>0.12599857853451499</v>
      </c>
      <c r="I5333">
        <v>5.58443950903946E-2</v>
      </c>
      <c r="J5333">
        <v>4.4105105763248699E-2</v>
      </c>
      <c r="K5333">
        <v>3.6627095478969002E-2</v>
      </c>
      <c r="L5333">
        <v>1293.2706334406701</v>
      </c>
      <c r="M5333">
        <v>22.7889667836744</v>
      </c>
      <c r="N5333">
        <v>56.773265553379602</v>
      </c>
      <c r="O5333">
        <v>56.318292561989303</v>
      </c>
      <c r="P5333">
        <v>-0.100690415033569</v>
      </c>
      <c r="Q5333">
        <v>4.6758620381442502E-3</v>
      </c>
      <c r="R5333">
        <v>0.75015180166402695</v>
      </c>
      <c r="S5333" t="s">
        <v>11785</v>
      </c>
      <c r="T5333" t="s">
        <v>12902</v>
      </c>
      <c r="U5333" t="s">
        <v>12902</v>
      </c>
      <c r="V5333" t="s">
        <v>12902</v>
      </c>
      <c r="W5333" t="s">
        <v>18186</v>
      </c>
      <c r="X5333">
        <v>14</v>
      </c>
      <c r="Y5333" t="s">
        <v>24480</v>
      </c>
      <c r="Z5333" t="s">
        <v>30908</v>
      </c>
      <c r="AA5333">
        <v>0.57077128225075169</v>
      </c>
      <c r="AB5333" t="str">
        <f>HYPERLINK("Melting_Curves/meltCurve_Q9BXR0_QTRT1.pdf", "Melting_Curves/meltCurve_Q9BXR0_QTRT1.pdf")</f>
        <v>Melting_Curves/meltCurve_Q9BXR0_QTRT1.pdf</v>
      </c>
    </row>
    <row r="5334" spans="1:28" x14ac:dyDescent="0.25">
      <c r="A5334" t="s">
        <v>5338</v>
      </c>
      <c r="B5334">
        <v>0.99673306730245903</v>
      </c>
      <c r="C5334">
        <v>0.95070292411906598</v>
      </c>
      <c r="D5334">
        <v>0.863562178618965</v>
      </c>
      <c r="E5334">
        <v>0.698412003336361</v>
      </c>
      <c r="F5334">
        <v>0.59606562078537895</v>
      </c>
      <c r="G5334">
        <v>0.34947667244860198</v>
      </c>
      <c r="H5334">
        <v>0.22149612593981999</v>
      </c>
      <c r="I5334">
        <v>0.24178263554898899</v>
      </c>
      <c r="J5334">
        <v>0.303718930127366</v>
      </c>
      <c r="K5334">
        <v>0.28807846835398998</v>
      </c>
      <c r="L5334">
        <v>774.26364941983297</v>
      </c>
      <c r="M5334">
        <v>15.0766876848915</v>
      </c>
      <c r="N5334">
        <v>53.595058426138202</v>
      </c>
      <c r="O5334">
        <v>50.4769503104961</v>
      </c>
      <c r="P5334">
        <v>-5.7223108929218398E-2</v>
      </c>
      <c r="Q5334">
        <v>0.23374097678764599</v>
      </c>
      <c r="R5334">
        <v>0.97765100366131097</v>
      </c>
      <c r="S5334" t="s">
        <v>11786</v>
      </c>
      <c r="T5334" t="s">
        <v>12902</v>
      </c>
      <c r="U5334" t="s">
        <v>12902</v>
      </c>
      <c r="V5334" t="s">
        <v>12902</v>
      </c>
      <c r="W5334" t="s">
        <v>18187</v>
      </c>
      <c r="X5334">
        <v>2</v>
      </c>
      <c r="Y5334" t="s">
        <v>24481</v>
      </c>
      <c r="Z5334" t="s">
        <v>30909</v>
      </c>
      <c r="AA5334">
        <v>0.54113207899778293</v>
      </c>
      <c r="AB5334" t="str">
        <f>HYPERLINK("Melting_Curves/meltCurve_Q9BXS4_TMEM59.pdf", "Melting_Curves/meltCurve_Q9BXS4_TMEM59.pdf")</f>
        <v>Melting_Curves/meltCurve_Q9BXS4_TMEM59.pdf</v>
      </c>
    </row>
    <row r="5335" spans="1:28" x14ac:dyDescent="0.25">
      <c r="A5335" t="s">
        <v>5339</v>
      </c>
      <c r="B5335">
        <v>0.99673306730245903</v>
      </c>
      <c r="C5335">
        <v>0.98505466394220498</v>
      </c>
      <c r="D5335">
        <v>1.00488538452007</v>
      </c>
      <c r="E5335">
        <v>1.0190691416612501</v>
      </c>
      <c r="F5335">
        <v>0.68690361213198403</v>
      </c>
      <c r="G5335">
        <v>0.45764844934976701</v>
      </c>
      <c r="H5335">
        <v>0.264678563845413</v>
      </c>
      <c r="I5335">
        <v>0.37332097525653002</v>
      </c>
      <c r="J5335">
        <v>0.55035364801249398</v>
      </c>
      <c r="K5335">
        <v>0.68590289054723697</v>
      </c>
      <c r="S5335" t="s">
        <v>11787</v>
      </c>
      <c r="T5335" t="s">
        <v>12902</v>
      </c>
      <c r="U5335" t="s">
        <v>12903</v>
      </c>
      <c r="V5335" t="s">
        <v>12902</v>
      </c>
      <c r="W5335" t="s">
        <v>18188</v>
      </c>
      <c r="X5335">
        <v>8</v>
      </c>
      <c r="Y5335" t="s">
        <v>24482</v>
      </c>
      <c r="Z5335" t="s">
        <v>30910</v>
      </c>
      <c r="AB5335" t="str">
        <f>HYPERLINK("Melting_Curves/meltCurve_Q9BXS6_2_NUSAP1.pdf", "Melting_Curves/meltCurve_Q9BXS6_2_NUSAP1.pdf")</f>
        <v>Melting_Curves/meltCurve_Q9BXS6_2_NUSAP1.pdf</v>
      </c>
    </row>
    <row r="5336" spans="1:28" x14ac:dyDescent="0.25">
      <c r="A5336" t="s">
        <v>5340</v>
      </c>
      <c r="B5336">
        <v>0.99673306730245903</v>
      </c>
      <c r="C5336">
        <v>0.96639008911045299</v>
      </c>
      <c r="D5336">
        <v>0.83501081466875304</v>
      </c>
      <c r="E5336">
        <v>0.77345488025641695</v>
      </c>
      <c r="F5336">
        <v>0.75349922931955104</v>
      </c>
      <c r="G5336">
        <v>0.53372457982940502</v>
      </c>
      <c r="H5336">
        <v>0.32081027532427903</v>
      </c>
      <c r="I5336">
        <v>0.42708067471983702</v>
      </c>
      <c r="J5336">
        <v>0.57892631519499904</v>
      </c>
      <c r="K5336">
        <v>0.53436320009895399</v>
      </c>
      <c r="L5336">
        <v>728.43863738703101</v>
      </c>
      <c r="M5336">
        <v>14.334132979381399</v>
      </c>
      <c r="N5336">
        <v>61.031048424722002</v>
      </c>
      <c r="O5336">
        <v>49.860087044153602</v>
      </c>
      <c r="P5336">
        <v>-3.9205253491077799E-2</v>
      </c>
      <c r="Q5336">
        <v>0.45457699250252898</v>
      </c>
      <c r="R5336">
        <v>0.85121812738573099</v>
      </c>
      <c r="S5336" t="s">
        <v>11788</v>
      </c>
      <c r="T5336" t="s">
        <v>12902</v>
      </c>
      <c r="U5336" t="s">
        <v>12902</v>
      </c>
      <c r="V5336" t="s">
        <v>12902</v>
      </c>
      <c r="W5336" t="s">
        <v>18189</v>
      </c>
      <c r="X5336">
        <v>3</v>
      </c>
      <c r="Y5336" t="s">
        <v>24483</v>
      </c>
      <c r="Z5336" t="s">
        <v>30911</v>
      </c>
      <c r="AA5336">
        <v>0.66492816956032619</v>
      </c>
      <c r="AB5336" t="str">
        <f>HYPERLINK("Melting_Curves/meltCurve_Q9BXV9_C14orf142.pdf", "Melting_Curves/meltCurve_Q9BXV9_C14orf142.pdf")</f>
        <v>Melting_Curves/meltCurve_Q9BXV9_C14orf142.pdf</v>
      </c>
    </row>
    <row r="5337" spans="1:28" x14ac:dyDescent="0.25">
      <c r="A5337" t="s">
        <v>5341</v>
      </c>
      <c r="B5337">
        <v>0.99673306730245903</v>
      </c>
      <c r="C5337">
        <v>0.90039712017432005</v>
      </c>
      <c r="D5337">
        <v>0.69157533817119399</v>
      </c>
      <c r="E5337">
        <v>0.25085259341431398</v>
      </c>
      <c r="F5337">
        <v>0.150767986426077</v>
      </c>
      <c r="G5337">
        <v>0.113539711300124</v>
      </c>
      <c r="H5337">
        <v>7.4650970439867695E-2</v>
      </c>
      <c r="I5337">
        <v>6.4051775097257901E-2</v>
      </c>
      <c r="J5337">
        <v>9.2259404481300197E-2</v>
      </c>
      <c r="K5337">
        <v>7.0952363444298894E-2</v>
      </c>
      <c r="L5337">
        <v>1195.4112801178701</v>
      </c>
      <c r="M5337">
        <v>25.407862348868399</v>
      </c>
      <c r="N5337">
        <v>47.379517792642098</v>
      </c>
      <c r="O5337">
        <v>46.760304436523697</v>
      </c>
      <c r="P5337">
        <v>-0.124806652732783</v>
      </c>
      <c r="Q5337">
        <v>8.1240925752229798E-2</v>
      </c>
      <c r="R5337">
        <v>0.99714998926227305</v>
      </c>
      <c r="S5337" t="s">
        <v>11789</v>
      </c>
      <c r="T5337" t="s">
        <v>12902</v>
      </c>
      <c r="U5337" t="s">
        <v>12902</v>
      </c>
      <c r="V5337" t="s">
        <v>12902</v>
      </c>
      <c r="W5337" t="s">
        <v>18190</v>
      </c>
      <c r="X5337">
        <v>8</v>
      </c>
      <c r="Y5337" t="s">
        <v>24484</v>
      </c>
      <c r="Z5337" t="s">
        <v>30912</v>
      </c>
      <c r="AA5337">
        <v>0.30502349270650447</v>
      </c>
      <c r="AB5337" t="str">
        <f>HYPERLINK("Melting_Curves/meltCurve_Q9BXW6_OSBPL1A.pdf", "Melting_Curves/meltCurve_Q9BXW6_OSBPL1A.pdf")</f>
        <v>Melting_Curves/meltCurve_Q9BXW6_OSBPL1A.pdf</v>
      </c>
    </row>
    <row r="5338" spans="1:28" x14ac:dyDescent="0.25">
      <c r="A5338" t="s">
        <v>5342</v>
      </c>
      <c r="B5338">
        <v>0.99673306730245903</v>
      </c>
      <c r="C5338">
        <v>0.96814930758071704</v>
      </c>
      <c r="D5338">
        <v>0.87530801497061905</v>
      </c>
      <c r="E5338">
        <v>0.68053890171813403</v>
      </c>
      <c r="F5338">
        <v>0.22859740081897001</v>
      </c>
      <c r="G5338">
        <v>0.15829432323186601</v>
      </c>
      <c r="H5338">
        <v>8.6737232033993306E-2</v>
      </c>
      <c r="I5338">
        <v>7.2373457695027996E-2</v>
      </c>
      <c r="J5338">
        <v>7.9387312572017199E-2</v>
      </c>
      <c r="K5338">
        <v>7.0498220220274702E-2</v>
      </c>
      <c r="L5338">
        <v>1260.8496935947401</v>
      </c>
      <c r="M5338">
        <v>24.977823051449299</v>
      </c>
      <c r="N5338">
        <v>50.8014074839381</v>
      </c>
      <c r="O5338">
        <v>50.158544836075599</v>
      </c>
      <c r="P5338">
        <v>-0.115364745808058</v>
      </c>
      <c r="Q5338">
        <v>7.3346039963311294E-2</v>
      </c>
      <c r="R5338">
        <v>0.99463296503889798</v>
      </c>
      <c r="S5338" t="s">
        <v>11790</v>
      </c>
      <c r="T5338" t="s">
        <v>12902</v>
      </c>
      <c r="U5338" t="s">
        <v>12902</v>
      </c>
      <c r="V5338" t="s">
        <v>12902</v>
      </c>
      <c r="W5338" t="s">
        <v>18191</v>
      </c>
      <c r="X5338">
        <v>25</v>
      </c>
      <c r="Y5338" t="s">
        <v>24485</v>
      </c>
      <c r="Z5338" t="s">
        <v>30913</v>
      </c>
      <c r="AA5338">
        <v>0.40535771961002021</v>
      </c>
      <c r="AB5338" t="str">
        <f>HYPERLINK("Melting_Curves/meltCurve_Q9BXW7_2_CECR5.pdf", "Melting_Curves/meltCurve_Q9BXW7_2_CECR5.pdf")</f>
        <v>Melting_Curves/meltCurve_Q9BXW7_2_CECR5.pdf</v>
      </c>
    </row>
    <row r="5339" spans="1:28" x14ac:dyDescent="0.25">
      <c r="A5339" t="s">
        <v>5343</v>
      </c>
      <c r="B5339">
        <v>0.99673306730245903</v>
      </c>
      <c r="C5339">
        <v>0.829026387071233</v>
      </c>
      <c r="D5339">
        <v>0.46985040250554799</v>
      </c>
      <c r="E5339">
        <v>0.27824191761877998</v>
      </c>
      <c r="F5339">
        <v>0.21294351513850701</v>
      </c>
      <c r="G5339">
        <v>0.12695578432070501</v>
      </c>
      <c r="H5339">
        <v>8.3903515088807501E-2</v>
      </c>
      <c r="I5339">
        <v>9.3228748994683794E-2</v>
      </c>
      <c r="J5339">
        <v>0.11225408128808299</v>
      </c>
      <c r="K5339">
        <v>6.9544335493034806E-2</v>
      </c>
      <c r="L5339">
        <v>914.663086755005</v>
      </c>
      <c r="M5339">
        <v>20.025480805591702</v>
      </c>
      <c r="N5339">
        <v>46.205709293042602</v>
      </c>
      <c r="O5339">
        <v>45.226808173717203</v>
      </c>
      <c r="P5339">
        <v>-9.9324855795724198E-2</v>
      </c>
      <c r="Q5339">
        <v>0.102743036429686</v>
      </c>
      <c r="R5339">
        <v>0.98872311609396601</v>
      </c>
      <c r="S5339" t="s">
        <v>11791</v>
      </c>
      <c r="T5339" t="s">
        <v>12902</v>
      </c>
      <c r="U5339" t="s">
        <v>12902</v>
      </c>
      <c r="V5339" t="s">
        <v>12902</v>
      </c>
      <c r="W5339" t="s">
        <v>18192</v>
      </c>
      <c r="X5339">
        <v>2</v>
      </c>
      <c r="Y5339" t="s">
        <v>24486</v>
      </c>
      <c r="Z5339" t="s">
        <v>30914</v>
      </c>
      <c r="AA5339">
        <v>0.28665225757243512</v>
      </c>
      <c r="AB5339" t="str">
        <f>HYPERLINK("Melting_Curves/meltCurve_Q9BXW9_3_FANCD2.pdf", "Melting_Curves/meltCurve_Q9BXW9_3_FANCD2.pdf")</f>
        <v>Melting_Curves/meltCurve_Q9BXW9_3_FANCD2.pdf</v>
      </c>
    </row>
    <row r="5340" spans="1:28" x14ac:dyDescent="0.25">
      <c r="A5340" t="s">
        <v>5344</v>
      </c>
      <c r="B5340">
        <v>0.99673306730245903</v>
      </c>
      <c r="C5340">
        <v>1.04391282560315</v>
      </c>
      <c r="D5340">
        <v>0.99347821018659999</v>
      </c>
      <c r="E5340">
        <v>1.02081473211368</v>
      </c>
      <c r="F5340">
        <v>0.94773855525505302</v>
      </c>
      <c r="G5340">
        <v>0.85802385945411896</v>
      </c>
      <c r="H5340">
        <v>0.62435937629468097</v>
      </c>
      <c r="I5340">
        <v>0.85636837008644495</v>
      </c>
      <c r="J5340">
        <v>0.593808234290367</v>
      </c>
      <c r="K5340">
        <v>0.21994243703653399</v>
      </c>
      <c r="L5340">
        <v>863.46043485858297</v>
      </c>
      <c r="M5340">
        <v>12.8534998994934</v>
      </c>
      <c r="N5340">
        <v>67.177074082602999</v>
      </c>
      <c r="O5340">
        <v>65.613350721733894</v>
      </c>
      <c r="P5340">
        <v>-4.8983449666726998E-2</v>
      </c>
      <c r="Q5340">
        <v>0</v>
      </c>
      <c r="R5340">
        <v>0.82662619595807696</v>
      </c>
      <c r="S5340" t="s">
        <v>11792</v>
      </c>
      <c r="T5340" t="s">
        <v>12902</v>
      </c>
      <c r="U5340" t="s">
        <v>12902</v>
      </c>
      <c r="V5340" t="s">
        <v>12902</v>
      </c>
      <c r="W5340" t="s">
        <v>18193</v>
      </c>
      <c r="X5340">
        <v>5</v>
      </c>
      <c r="Y5340" t="s">
        <v>24487</v>
      </c>
      <c r="Z5340" t="s">
        <v>30915</v>
      </c>
      <c r="AA5340">
        <v>0.84403611841809401</v>
      </c>
      <c r="AB5340" t="str">
        <f>HYPERLINK("Melting_Curves/meltCurve_Q9BY32_ITPA.pdf", "Melting_Curves/meltCurve_Q9BY32_ITPA.pdf")</f>
        <v>Melting_Curves/meltCurve_Q9BY32_ITPA.pdf</v>
      </c>
    </row>
    <row r="5341" spans="1:28" x14ac:dyDescent="0.25">
      <c r="A5341" t="s">
        <v>5345</v>
      </c>
      <c r="B5341">
        <v>0.99673306730245903</v>
      </c>
      <c r="C5341">
        <v>1.048537938607</v>
      </c>
      <c r="D5341">
        <v>1.0206230520245601</v>
      </c>
      <c r="E5341">
        <v>0.934107130844814</v>
      </c>
      <c r="F5341">
        <v>0.69322430135605195</v>
      </c>
      <c r="G5341">
        <v>0.53344650080211997</v>
      </c>
      <c r="H5341">
        <v>0.33096722273885099</v>
      </c>
      <c r="I5341">
        <v>0.42894992065195803</v>
      </c>
      <c r="J5341">
        <v>0.53281424280294898</v>
      </c>
      <c r="K5341">
        <v>0.53757103657682503</v>
      </c>
      <c r="L5341">
        <v>1813.0774148739899</v>
      </c>
      <c r="M5341">
        <v>34.372671697717202</v>
      </c>
      <c r="N5341">
        <v>57.047368896532497</v>
      </c>
      <c r="O5341">
        <v>52.570062523404502</v>
      </c>
      <c r="P5341">
        <v>-8.7858056063767898E-2</v>
      </c>
      <c r="Q5341">
        <v>0.462516496008676</v>
      </c>
      <c r="R5341">
        <v>0.94771574983353102</v>
      </c>
      <c r="S5341" t="s">
        <v>11793</v>
      </c>
      <c r="T5341" t="s">
        <v>12902</v>
      </c>
      <c r="U5341" t="s">
        <v>12902</v>
      </c>
      <c r="V5341" t="s">
        <v>12902</v>
      </c>
      <c r="W5341" t="s">
        <v>18194</v>
      </c>
      <c r="X5341">
        <v>14</v>
      </c>
      <c r="Y5341" t="s">
        <v>24488</v>
      </c>
      <c r="Z5341" t="s">
        <v>30916</v>
      </c>
      <c r="AA5341">
        <v>0.6935570989094817</v>
      </c>
      <c r="AB5341" t="str">
        <f>HYPERLINK("Melting_Curves/meltCurve_Q9BY43_CHMP4A.pdf", "Melting_Curves/meltCurve_Q9BY43_CHMP4A.pdf")</f>
        <v>Melting_Curves/meltCurve_Q9BY43_CHMP4A.pdf</v>
      </c>
    </row>
    <row r="5342" spans="1:28" x14ac:dyDescent="0.25">
      <c r="A5342" t="s">
        <v>5346</v>
      </c>
      <c r="B5342">
        <v>0.99673306730245903</v>
      </c>
      <c r="C5342">
        <v>0.81589478573492002</v>
      </c>
      <c r="D5342">
        <v>1.02716936597849</v>
      </c>
      <c r="E5342">
        <v>0.86055457489317499</v>
      </c>
      <c r="F5342">
        <v>0.372075893869731</v>
      </c>
      <c r="G5342">
        <v>0.13060013590957001</v>
      </c>
      <c r="H5342">
        <v>6.14601598615774E-2</v>
      </c>
      <c r="I5342">
        <v>5.6356470080281801E-2</v>
      </c>
      <c r="J5342">
        <v>6.6043725205560996E-2</v>
      </c>
      <c r="K5342">
        <v>6.1517776616138199E-2</v>
      </c>
      <c r="L5342">
        <v>1771.5607108628101</v>
      </c>
      <c r="M5342">
        <v>33.980180892712397</v>
      </c>
      <c r="N5342">
        <v>52.337831853165198</v>
      </c>
      <c r="O5342">
        <v>51.955562694472903</v>
      </c>
      <c r="P5342">
        <v>-0.15342500244037699</v>
      </c>
      <c r="Q5342">
        <v>6.1659159855489698E-2</v>
      </c>
      <c r="R5342">
        <v>0.978488227240082</v>
      </c>
      <c r="S5342" t="s">
        <v>11794</v>
      </c>
      <c r="T5342" t="s">
        <v>12902</v>
      </c>
      <c r="U5342" t="s">
        <v>12902</v>
      </c>
      <c r="V5342" t="s">
        <v>12902</v>
      </c>
      <c r="W5342" t="s">
        <v>18195</v>
      </c>
      <c r="X5342">
        <v>28</v>
      </c>
      <c r="Y5342" t="s">
        <v>24489</v>
      </c>
      <c r="Z5342" t="s">
        <v>30917</v>
      </c>
      <c r="AA5342">
        <v>0.44590981231731341</v>
      </c>
      <c r="AB5342" t="str">
        <f>HYPERLINK("Melting_Curves/meltCurve_Q9BY44_EIF2A.pdf", "Melting_Curves/meltCurve_Q9BY44_EIF2A.pdf")</f>
        <v>Melting_Curves/meltCurve_Q9BY44_EIF2A.pdf</v>
      </c>
    </row>
    <row r="5343" spans="1:28" x14ac:dyDescent="0.25">
      <c r="A5343" t="s">
        <v>5347</v>
      </c>
      <c r="B5343">
        <v>0.99673306730245903</v>
      </c>
      <c r="C5343">
        <v>0.96898282017716697</v>
      </c>
      <c r="D5343">
        <v>0.56674442140955905</v>
      </c>
      <c r="E5343">
        <v>0.68617243958816998</v>
      </c>
      <c r="F5343">
        <v>0.34561282567274398</v>
      </c>
      <c r="G5343">
        <v>0.20407225945919599</v>
      </c>
      <c r="H5343">
        <v>0.137932205381917</v>
      </c>
      <c r="I5343">
        <v>0.11799393326496101</v>
      </c>
      <c r="J5343">
        <v>0.142552959110822</v>
      </c>
      <c r="K5343">
        <v>0.13012690531139401</v>
      </c>
      <c r="L5343">
        <v>621.59294386919896</v>
      </c>
      <c r="M5343">
        <v>12.522993252982801</v>
      </c>
      <c r="N5343">
        <v>50.364378047805303</v>
      </c>
      <c r="O5343">
        <v>48.421422827300098</v>
      </c>
      <c r="P5343">
        <v>-5.9313912658465501E-2</v>
      </c>
      <c r="Q5343">
        <v>8.2814361075708207E-2</v>
      </c>
      <c r="R5343">
        <v>0.94005488139356197</v>
      </c>
      <c r="S5343" t="s">
        <v>11795</v>
      </c>
      <c r="T5343" t="s">
        <v>12902</v>
      </c>
      <c r="U5343" t="s">
        <v>12902</v>
      </c>
      <c r="V5343" t="s">
        <v>12902</v>
      </c>
      <c r="W5343" t="s">
        <v>18196</v>
      </c>
      <c r="X5343">
        <v>13</v>
      </c>
      <c r="Y5343" t="s">
        <v>24490</v>
      </c>
      <c r="Z5343" t="s">
        <v>30918</v>
      </c>
      <c r="AA5343">
        <v>0.40768225765691718</v>
      </c>
      <c r="AB5343" t="str">
        <f>HYPERLINK("Melting_Curves/meltCurve_Q9BY77_POLDIP3.pdf", "Melting_Curves/meltCurve_Q9BY77_POLDIP3.pdf")</f>
        <v>Melting_Curves/meltCurve_Q9BY77_POLDIP3.pdf</v>
      </c>
    </row>
    <row r="5344" spans="1:28" x14ac:dyDescent="0.25">
      <c r="A5344" t="s">
        <v>5348</v>
      </c>
      <c r="B5344">
        <v>0.99673306730245903</v>
      </c>
      <c r="C5344">
        <v>0.92284272859203098</v>
      </c>
      <c r="D5344">
        <v>0.87104318174127804</v>
      </c>
      <c r="E5344">
        <v>0.69460544478709796</v>
      </c>
      <c r="F5344">
        <v>0.626578327976681</v>
      </c>
      <c r="G5344">
        <v>0.40264154505527999</v>
      </c>
      <c r="H5344">
        <v>0.27880272293710101</v>
      </c>
      <c r="I5344">
        <v>0.30658630578172102</v>
      </c>
      <c r="J5344">
        <v>0.38540673076656301</v>
      </c>
      <c r="K5344">
        <v>0.41747927853883998</v>
      </c>
      <c r="L5344">
        <v>766.88170558202501</v>
      </c>
      <c r="M5344">
        <v>15.1667523304582</v>
      </c>
      <c r="N5344">
        <v>54.393208671650697</v>
      </c>
      <c r="O5344">
        <v>49.708757606948801</v>
      </c>
      <c r="P5344">
        <v>-5.1253507975221699E-2</v>
      </c>
      <c r="Q5344">
        <v>0.32813520358057702</v>
      </c>
      <c r="R5344">
        <v>0.95451422767202598</v>
      </c>
      <c r="S5344" t="s">
        <v>11796</v>
      </c>
      <c r="T5344" t="s">
        <v>12902</v>
      </c>
      <c r="U5344" t="s">
        <v>12902</v>
      </c>
      <c r="V5344" t="s">
        <v>12902</v>
      </c>
      <c r="W5344" t="s">
        <v>18197</v>
      </c>
      <c r="X5344">
        <v>6</v>
      </c>
      <c r="Y5344" t="s">
        <v>24491</v>
      </c>
      <c r="Z5344" t="s">
        <v>30919</v>
      </c>
      <c r="AA5344">
        <v>0.58014943435446675</v>
      </c>
      <c r="AB5344" t="str">
        <f>HYPERLINK("Melting_Curves/meltCurve_Q9BY89_KIAA1671.pdf", "Melting_Curves/meltCurve_Q9BY89_KIAA1671.pdf")</f>
        <v>Melting_Curves/meltCurve_Q9BY89_KIAA1671.pdf</v>
      </c>
    </row>
    <row r="5345" spans="1:28" x14ac:dyDescent="0.25">
      <c r="A5345" t="s">
        <v>5349</v>
      </c>
      <c r="B5345">
        <v>0.99673306730245903</v>
      </c>
      <c r="C5345">
        <v>1.0898430311079901</v>
      </c>
      <c r="D5345">
        <v>1.0273309205719099</v>
      </c>
      <c r="E5345">
        <v>1.0611069093009899</v>
      </c>
      <c r="F5345">
        <v>0.95721359624240498</v>
      </c>
      <c r="G5345">
        <v>0.77303987622333203</v>
      </c>
      <c r="H5345">
        <v>0.37424517864814599</v>
      </c>
      <c r="I5345">
        <v>0.23171591722667501</v>
      </c>
      <c r="J5345">
        <v>0.13312820160615299</v>
      </c>
      <c r="K5345">
        <v>0.10899065072047399</v>
      </c>
      <c r="L5345">
        <v>1603.35758788864</v>
      </c>
      <c r="M5345">
        <v>27.152616391663202</v>
      </c>
      <c r="N5345">
        <v>59.575765039787697</v>
      </c>
      <c r="O5345">
        <v>58.732325043418001</v>
      </c>
      <c r="P5345">
        <v>-0.103261919099551</v>
      </c>
      <c r="Q5345">
        <v>0.10656792723486901</v>
      </c>
      <c r="R5345">
        <v>0.99070179666274105</v>
      </c>
      <c r="S5345" t="s">
        <v>11797</v>
      </c>
      <c r="T5345" t="s">
        <v>12902</v>
      </c>
      <c r="U5345" t="s">
        <v>12902</v>
      </c>
      <c r="V5345" t="s">
        <v>12902</v>
      </c>
      <c r="W5345" t="s">
        <v>18198</v>
      </c>
      <c r="X5345">
        <v>5</v>
      </c>
      <c r="Y5345" t="s">
        <v>24492</v>
      </c>
      <c r="Z5345" t="s">
        <v>30920</v>
      </c>
      <c r="AA5345">
        <v>0.68046982062364025</v>
      </c>
      <c r="AB5345" t="str">
        <f>HYPERLINK("Melting_Curves/meltCurve_Q9BYB4_GNB1L.pdf", "Melting_Curves/meltCurve_Q9BYB4_GNB1L.pdf")</f>
        <v>Melting_Curves/meltCurve_Q9BYB4_GNB1L.pdf</v>
      </c>
    </row>
    <row r="5346" spans="1:28" x14ac:dyDescent="0.25">
      <c r="A5346" t="s">
        <v>5350</v>
      </c>
      <c r="B5346">
        <v>0.99673306730245903</v>
      </c>
      <c r="C5346">
        <v>1.0191998299264899</v>
      </c>
      <c r="D5346">
        <v>1.1904824554543001</v>
      </c>
      <c r="E5346">
        <v>1.0243478807305799</v>
      </c>
      <c r="F5346">
        <v>0.94947138822611998</v>
      </c>
      <c r="G5346">
        <v>0.82122380467894895</v>
      </c>
      <c r="H5346">
        <v>0.62406256144925198</v>
      </c>
      <c r="I5346">
        <v>0.66984807631613996</v>
      </c>
      <c r="J5346">
        <v>0.91222274440554496</v>
      </c>
      <c r="K5346">
        <v>0.85055011868887798</v>
      </c>
      <c r="L5346">
        <v>2751.46073344044</v>
      </c>
      <c r="M5346">
        <v>50.169698329017002</v>
      </c>
      <c r="O5346">
        <v>54.756149757773699</v>
      </c>
      <c r="P5346">
        <v>-5.3248034523037897E-2</v>
      </c>
      <c r="Q5346">
        <v>0.76753656703483497</v>
      </c>
      <c r="R5346">
        <v>0.63469981459854796</v>
      </c>
      <c r="S5346" t="s">
        <v>11798</v>
      </c>
      <c r="T5346" t="s">
        <v>12902</v>
      </c>
      <c r="U5346" t="s">
        <v>12902</v>
      </c>
      <c r="V5346" t="s">
        <v>12902</v>
      </c>
      <c r="W5346" t="s">
        <v>18199</v>
      </c>
      <c r="X5346">
        <v>6</v>
      </c>
      <c r="Y5346" t="s">
        <v>24493</v>
      </c>
      <c r="Z5346" t="s">
        <v>30921</v>
      </c>
      <c r="AA5346">
        <v>0.88311060424635324</v>
      </c>
      <c r="AB5346" t="str">
        <f>HYPERLINK("Melting_Curves/meltCurve_Q9BYC8_MRPL32.pdf", "Melting_Curves/meltCurve_Q9BYC8_MRPL32.pdf")</f>
        <v>Melting_Curves/meltCurve_Q9BYC8_MRPL32.pdf</v>
      </c>
    </row>
    <row r="5347" spans="1:28" x14ac:dyDescent="0.25">
      <c r="A5347" t="s">
        <v>5351</v>
      </c>
      <c r="B5347">
        <v>0.99673306730245903</v>
      </c>
      <c r="C5347">
        <v>0.988623580100493</v>
      </c>
      <c r="D5347">
        <v>0.62626008596175897</v>
      </c>
      <c r="E5347">
        <v>0.360298899044597</v>
      </c>
      <c r="F5347">
        <v>0.14904242247576799</v>
      </c>
      <c r="G5347">
        <v>9.2835473597298504E-2</v>
      </c>
      <c r="H5347">
        <v>6.14963583100522E-2</v>
      </c>
      <c r="I5347">
        <v>5.5328865323316503E-2</v>
      </c>
      <c r="J5347">
        <v>5.0375740741024903E-2</v>
      </c>
      <c r="K5347">
        <v>4.8296484773237003E-2</v>
      </c>
      <c r="L5347">
        <v>1001.50453261403</v>
      </c>
      <c r="M5347">
        <v>21.0729823869646</v>
      </c>
      <c r="N5347">
        <v>47.788410669601603</v>
      </c>
      <c r="O5347">
        <v>47.103775388401402</v>
      </c>
      <c r="P5347">
        <v>-0.105725502880449</v>
      </c>
      <c r="Q5347">
        <v>5.4725916498372003E-2</v>
      </c>
      <c r="R5347">
        <v>0.99209615699343801</v>
      </c>
      <c r="S5347" t="s">
        <v>11799</v>
      </c>
      <c r="T5347" t="s">
        <v>12902</v>
      </c>
      <c r="U5347" t="s">
        <v>12902</v>
      </c>
      <c r="V5347" t="s">
        <v>12902</v>
      </c>
      <c r="W5347" t="s">
        <v>18200</v>
      </c>
      <c r="X5347">
        <v>4</v>
      </c>
      <c r="Y5347" t="s">
        <v>24494</v>
      </c>
      <c r="Z5347" t="s">
        <v>30922</v>
      </c>
      <c r="AA5347">
        <v>0.30398437972035358</v>
      </c>
      <c r="AB5347" t="str">
        <f>HYPERLINK("Melting_Curves/meltCurve_Q9BYD6_MRPL1.pdf", "Melting_Curves/meltCurve_Q9BYD6_MRPL1.pdf")</f>
        <v>Melting_Curves/meltCurve_Q9BYD6_MRPL1.pdf</v>
      </c>
    </row>
    <row r="5348" spans="1:28" x14ac:dyDescent="0.25">
      <c r="A5348" t="s">
        <v>5352</v>
      </c>
      <c r="B5348">
        <v>0.99673306730245903</v>
      </c>
      <c r="C5348">
        <v>0.95603418810487195</v>
      </c>
      <c r="D5348">
        <v>0.86296926446238198</v>
      </c>
      <c r="E5348">
        <v>0.64086060487622898</v>
      </c>
      <c r="F5348">
        <v>0.388958694711106</v>
      </c>
      <c r="G5348">
        <v>0.22173445546179499</v>
      </c>
      <c r="H5348">
        <v>0.166532320995605</v>
      </c>
      <c r="I5348">
        <v>0.13210619849666</v>
      </c>
      <c r="J5348">
        <v>0.13161078835248599</v>
      </c>
      <c r="K5348">
        <v>0.10642062169835</v>
      </c>
      <c r="L5348">
        <v>857.06604738473402</v>
      </c>
      <c r="M5348">
        <v>16.899301053892898</v>
      </c>
      <c r="N5348">
        <v>51.452337108270598</v>
      </c>
      <c r="O5348">
        <v>50.021870724653802</v>
      </c>
      <c r="P5348">
        <v>-7.5393103678376802E-2</v>
      </c>
      <c r="Q5348">
        <v>0.107403200966968</v>
      </c>
      <c r="R5348">
        <v>0.99961431114715804</v>
      </c>
      <c r="S5348" t="s">
        <v>11800</v>
      </c>
      <c r="T5348" t="s">
        <v>12902</v>
      </c>
      <c r="U5348" t="s">
        <v>12902</v>
      </c>
      <c r="V5348" t="s">
        <v>12902</v>
      </c>
      <c r="W5348" t="s">
        <v>18201</v>
      </c>
      <c r="X5348">
        <v>3</v>
      </c>
      <c r="Y5348" t="s">
        <v>24495</v>
      </c>
      <c r="Z5348" t="s">
        <v>30923</v>
      </c>
      <c r="AA5348">
        <v>0.44315448141778502</v>
      </c>
      <c r="AB5348" t="str">
        <f>HYPERLINK("Melting_Curves/meltCurve_Q9BYG5_PARD6B.pdf", "Melting_Curves/meltCurve_Q9BYG5_PARD6B.pdf")</f>
        <v>Melting_Curves/meltCurve_Q9BYG5_PARD6B.pdf</v>
      </c>
    </row>
    <row r="5349" spans="1:28" x14ac:dyDescent="0.25">
      <c r="A5349" t="s">
        <v>5353</v>
      </c>
      <c r="B5349">
        <v>0.99673306730245903</v>
      </c>
      <c r="C5349">
        <v>0.97372240583634595</v>
      </c>
      <c r="D5349">
        <v>0.84105131165797298</v>
      </c>
      <c r="E5349">
        <v>0.59819570361044605</v>
      </c>
      <c r="F5349">
        <v>0.37525273341608101</v>
      </c>
      <c r="G5349">
        <v>0.25922560114665</v>
      </c>
      <c r="H5349">
        <v>0.19142483012780001</v>
      </c>
      <c r="I5349">
        <v>0.13924109491363601</v>
      </c>
      <c r="J5349">
        <v>0.17317373404269801</v>
      </c>
      <c r="K5349">
        <v>0.13421409354495001</v>
      </c>
      <c r="L5349">
        <v>844.80251105954198</v>
      </c>
      <c r="M5349">
        <v>16.860453291162401</v>
      </c>
      <c r="N5349">
        <v>51.111447582448697</v>
      </c>
      <c r="O5349">
        <v>49.416630799808203</v>
      </c>
      <c r="P5349">
        <v>-7.3258988375552697E-2</v>
      </c>
      <c r="Q5349">
        <v>0.14118999625901399</v>
      </c>
      <c r="R5349">
        <v>0.99816957052613597</v>
      </c>
      <c r="S5349" t="s">
        <v>11801</v>
      </c>
      <c r="T5349" t="s">
        <v>12902</v>
      </c>
      <c r="U5349" t="s">
        <v>12902</v>
      </c>
      <c r="V5349" t="s">
        <v>12902</v>
      </c>
      <c r="W5349" t="s">
        <v>18202</v>
      </c>
      <c r="X5349">
        <v>5</v>
      </c>
      <c r="Y5349" t="s">
        <v>24496</v>
      </c>
      <c r="Z5349" t="s">
        <v>30924</v>
      </c>
      <c r="AA5349">
        <v>0.44700909306676528</v>
      </c>
      <c r="AB5349" t="str">
        <f>HYPERLINK("Melting_Curves/meltCurve_Q9BYM8_3_RBCK1.pdf", "Melting_Curves/meltCurve_Q9BYM8_3_RBCK1.pdf")</f>
        <v>Melting_Curves/meltCurve_Q9BYM8_3_RBCK1.pdf</v>
      </c>
    </row>
    <row r="5350" spans="1:28" x14ac:dyDescent="0.25">
      <c r="A5350" t="s">
        <v>5354</v>
      </c>
      <c r="B5350">
        <v>0.99673306730245903</v>
      </c>
      <c r="C5350">
        <v>0.93255796631015997</v>
      </c>
      <c r="D5350">
        <v>1.7410290217917199</v>
      </c>
      <c r="E5350">
        <v>0.76012826738011896</v>
      </c>
      <c r="F5350">
        <v>0.254667883124987</v>
      </c>
      <c r="G5350">
        <v>0.179690425519375</v>
      </c>
      <c r="H5350">
        <v>0.142569961784444</v>
      </c>
      <c r="I5350">
        <v>0.151558211614301</v>
      </c>
      <c r="J5350">
        <v>0.248863273326141</v>
      </c>
      <c r="K5350">
        <v>0.31510440319475602</v>
      </c>
      <c r="L5350">
        <v>6758.7321629809503</v>
      </c>
      <c r="M5350">
        <v>135.44407988635001</v>
      </c>
      <c r="N5350">
        <v>50.109005745927597</v>
      </c>
      <c r="O5350">
        <v>49.889659464127902</v>
      </c>
      <c r="P5350">
        <v>-0.53253888029781205</v>
      </c>
      <c r="Q5350">
        <v>0.21537558673441901</v>
      </c>
      <c r="R5350">
        <v>0.76909698467912802</v>
      </c>
      <c r="S5350" t="s">
        <v>11802</v>
      </c>
      <c r="T5350" t="s">
        <v>12902</v>
      </c>
      <c r="U5350" t="s">
        <v>12902</v>
      </c>
      <c r="V5350" t="s">
        <v>12902</v>
      </c>
      <c r="W5350" t="s">
        <v>18203</v>
      </c>
      <c r="X5350">
        <v>3</v>
      </c>
      <c r="Y5350" t="s">
        <v>24497</v>
      </c>
      <c r="Z5350" t="s">
        <v>30925</v>
      </c>
      <c r="AA5350">
        <v>0.47454988180034241</v>
      </c>
      <c r="AB5350" t="str">
        <f>HYPERLINK("Melting_Curves/meltCurve_Q9BYN8_MRPS26.pdf", "Melting_Curves/meltCurve_Q9BYN8_MRPS26.pdf")</f>
        <v>Melting_Curves/meltCurve_Q9BYN8_MRPS26.pdf</v>
      </c>
    </row>
    <row r="5351" spans="1:28" x14ac:dyDescent="0.25">
      <c r="A5351" t="s">
        <v>5355</v>
      </c>
      <c r="B5351">
        <v>0.99673306730245903</v>
      </c>
      <c r="C5351">
        <v>0.95723021078211601</v>
      </c>
      <c r="D5351">
        <v>0.83139877458196199</v>
      </c>
      <c r="E5351">
        <v>0.84950877526949697</v>
      </c>
      <c r="F5351">
        <v>0.62805450235653604</v>
      </c>
      <c r="G5351">
        <v>0.40166337303356903</v>
      </c>
      <c r="H5351">
        <v>0.17194013798182001</v>
      </c>
      <c r="I5351">
        <v>8.5326918163422999E-2</v>
      </c>
      <c r="J5351">
        <v>7.7443237294491304E-2</v>
      </c>
      <c r="K5351">
        <v>6.4067251464481806E-2</v>
      </c>
      <c r="L5351">
        <v>767.92552782006203</v>
      </c>
      <c r="M5351">
        <v>13.995690963566799</v>
      </c>
      <c r="N5351">
        <v>54.8687219201761</v>
      </c>
      <c r="O5351">
        <v>53.784951777144201</v>
      </c>
      <c r="P5351">
        <v>-6.5062554250106194E-2</v>
      </c>
      <c r="Q5351">
        <v>0</v>
      </c>
      <c r="R5351">
        <v>0.98820236061089395</v>
      </c>
      <c r="S5351" t="s">
        <v>11803</v>
      </c>
      <c r="T5351" t="s">
        <v>12902</v>
      </c>
      <c r="U5351" t="s">
        <v>12902</v>
      </c>
      <c r="V5351" t="s">
        <v>12902</v>
      </c>
      <c r="W5351" t="s">
        <v>18204</v>
      </c>
      <c r="X5351">
        <v>36</v>
      </c>
      <c r="Y5351" t="s">
        <v>24498</v>
      </c>
      <c r="Z5351" t="s">
        <v>30926</v>
      </c>
      <c r="AA5351">
        <v>0.5165270339765955</v>
      </c>
      <c r="AB5351" t="str">
        <f>HYPERLINK("Melting_Curves/meltCurve_Q9BYT8_NLN.pdf", "Melting_Curves/meltCurve_Q9BYT8_NLN.pdf")</f>
        <v>Melting_Curves/meltCurve_Q9BYT8_NLN.pdf</v>
      </c>
    </row>
    <row r="5352" spans="1:28" x14ac:dyDescent="0.25">
      <c r="A5352" t="s">
        <v>5356</v>
      </c>
      <c r="B5352">
        <v>0.99673306730245903</v>
      </c>
      <c r="C5352">
        <v>0.77378528675130298</v>
      </c>
      <c r="D5352">
        <v>0.50089925076674802</v>
      </c>
      <c r="E5352">
        <v>0.30070837458627803</v>
      </c>
      <c r="F5352">
        <v>0.215355313385724</v>
      </c>
      <c r="G5352">
        <v>0.16262568421203799</v>
      </c>
      <c r="H5352">
        <v>0.11916889547234499</v>
      </c>
      <c r="I5352">
        <v>0.15765403108815801</v>
      </c>
      <c r="J5352">
        <v>0.240110844934081</v>
      </c>
      <c r="K5352">
        <v>0.27951539099886802</v>
      </c>
      <c r="L5352">
        <v>1013.70588211438</v>
      </c>
      <c r="M5352">
        <v>22.536328428740202</v>
      </c>
      <c r="N5352">
        <v>45.973607355120002</v>
      </c>
      <c r="O5352">
        <v>44.631289747242903</v>
      </c>
      <c r="P5352">
        <v>-0.101919939247282</v>
      </c>
      <c r="Q5352">
        <v>0.19264116105203899</v>
      </c>
      <c r="R5352">
        <v>0.973080425081147</v>
      </c>
      <c r="S5352" t="s">
        <v>11804</v>
      </c>
      <c r="T5352" t="s">
        <v>12902</v>
      </c>
      <c r="U5352" t="s">
        <v>12902</v>
      </c>
      <c r="V5352" t="s">
        <v>12902</v>
      </c>
      <c r="W5352" t="s">
        <v>18205</v>
      </c>
      <c r="X5352">
        <v>3</v>
      </c>
      <c r="Y5352" t="s">
        <v>24499</v>
      </c>
      <c r="Z5352" t="s">
        <v>30927</v>
      </c>
      <c r="AA5352">
        <v>0.33702285543333488</v>
      </c>
      <c r="AB5352" t="str">
        <f>HYPERLINK("Melting_Curves/meltCurve_Q9BYW2_SETD2.pdf", "Melting_Curves/meltCurve_Q9BYW2_SETD2.pdf")</f>
        <v>Melting_Curves/meltCurve_Q9BYW2_SETD2.pdf</v>
      </c>
    </row>
    <row r="5353" spans="1:28" x14ac:dyDescent="0.25">
      <c r="A5353" t="s">
        <v>5357</v>
      </c>
      <c r="B5353">
        <v>0.99673306730245903</v>
      </c>
      <c r="C5353">
        <v>0.992348945293545</v>
      </c>
      <c r="D5353">
        <v>0.92122688608261005</v>
      </c>
      <c r="E5353">
        <v>0.97639882188893001</v>
      </c>
      <c r="F5353">
        <v>0.64488234361637398</v>
      </c>
      <c r="G5353">
        <v>0.38998176712821098</v>
      </c>
      <c r="H5353">
        <v>8.7572945545878203E-2</v>
      </c>
      <c r="I5353">
        <v>7.3766659476526303E-2</v>
      </c>
      <c r="J5353">
        <v>7.7174907108360502E-2</v>
      </c>
      <c r="K5353">
        <v>7.1086893509958296E-2</v>
      </c>
      <c r="L5353">
        <v>1275.87432369624</v>
      </c>
      <c r="M5353">
        <v>23.273894980428299</v>
      </c>
      <c r="N5353">
        <v>55.066265512566801</v>
      </c>
      <c r="O5353">
        <v>54.420071856629299</v>
      </c>
      <c r="P5353">
        <v>-0.101634623290426</v>
      </c>
      <c r="Q5353">
        <v>4.9430385118872697E-2</v>
      </c>
      <c r="R5353">
        <v>0.99122088450670298</v>
      </c>
      <c r="S5353" t="s">
        <v>11805</v>
      </c>
      <c r="T5353" t="s">
        <v>12902</v>
      </c>
      <c r="U5353" t="s">
        <v>12902</v>
      </c>
      <c r="V5353" t="s">
        <v>12902</v>
      </c>
      <c r="W5353" t="s">
        <v>18206</v>
      </c>
      <c r="X5353">
        <v>10</v>
      </c>
      <c r="Y5353" t="s">
        <v>24500</v>
      </c>
      <c r="Z5353" t="s">
        <v>30928</v>
      </c>
      <c r="AA5353">
        <v>0.52897011769288738</v>
      </c>
      <c r="AB5353" t="str">
        <f>HYPERLINK("Melting_Curves/meltCurve_Q9BZ23_3_PANK2.pdf", "Melting_Curves/meltCurve_Q9BZ23_3_PANK2.pdf")</f>
        <v>Melting_Curves/meltCurve_Q9BZ23_3_PANK2.pdf</v>
      </c>
    </row>
    <row r="5354" spans="1:28" x14ac:dyDescent="0.25">
      <c r="A5354" t="s">
        <v>5358</v>
      </c>
      <c r="B5354">
        <v>0.99673306730245903</v>
      </c>
      <c r="C5354">
        <v>0.95896487435396005</v>
      </c>
      <c r="D5354">
        <v>1.0087071579784701</v>
      </c>
      <c r="E5354">
        <v>0.71583404817308804</v>
      </c>
      <c r="F5354">
        <v>0.41142232715072402</v>
      </c>
      <c r="G5354">
        <v>0.290437027468816</v>
      </c>
      <c r="H5354">
        <v>0.20891647555227699</v>
      </c>
      <c r="I5354">
        <v>0.22465397152194799</v>
      </c>
      <c r="J5354">
        <v>0.30367371377878799</v>
      </c>
      <c r="K5354">
        <v>0.29690599879294299</v>
      </c>
      <c r="L5354">
        <v>1534.1598317933499</v>
      </c>
      <c r="M5354">
        <v>30.353548684411201</v>
      </c>
      <c r="N5354">
        <v>51.800112138192397</v>
      </c>
      <c r="O5354">
        <v>50.325159047467501</v>
      </c>
      <c r="P5354">
        <v>-0.111487111339977</v>
      </c>
      <c r="Q5354">
        <v>0.26063718281393899</v>
      </c>
      <c r="R5354">
        <v>0.98874427204029902</v>
      </c>
      <c r="S5354" t="s">
        <v>11806</v>
      </c>
      <c r="T5354" t="s">
        <v>12902</v>
      </c>
      <c r="U5354" t="s">
        <v>12902</v>
      </c>
      <c r="V5354" t="s">
        <v>12902</v>
      </c>
      <c r="W5354" t="s">
        <v>18207</v>
      </c>
      <c r="X5354">
        <v>6</v>
      </c>
      <c r="Y5354" t="s">
        <v>24501</v>
      </c>
      <c r="Z5354" t="s">
        <v>30929</v>
      </c>
      <c r="AA5354">
        <v>0.52498062830772896</v>
      </c>
      <c r="AB5354" t="str">
        <f>HYPERLINK("Melting_Curves/meltCurve_Q9BZ29_3_DOCK9.pdf", "Melting_Curves/meltCurve_Q9BZ29_3_DOCK9.pdf")</f>
        <v>Melting_Curves/meltCurve_Q9BZ29_3_DOCK9.pdf</v>
      </c>
    </row>
    <row r="5355" spans="1:28" x14ac:dyDescent="0.25">
      <c r="A5355" t="s">
        <v>5359</v>
      </c>
      <c r="B5355">
        <v>0.99673306730245903</v>
      </c>
      <c r="C5355">
        <v>1.0248179143684899</v>
      </c>
      <c r="D5355">
        <v>0.87578030503042603</v>
      </c>
      <c r="E5355">
        <v>0.79149370571706401</v>
      </c>
      <c r="F5355">
        <v>0.40173685244403701</v>
      </c>
      <c r="G5355">
        <v>0.23879577353349399</v>
      </c>
      <c r="H5355">
        <v>0.157017153841989</v>
      </c>
      <c r="I5355">
        <v>0.17894354432225501</v>
      </c>
      <c r="J5355">
        <v>0.226272961721527</v>
      </c>
      <c r="K5355">
        <v>0.20307167035946999</v>
      </c>
      <c r="L5355">
        <v>1342.23167233395</v>
      </c>
      <c r="M5355">
        <v>26.186947418100701</v>
      </c>
      <c r="N5355">
        <v>52.176301714510601</v>
      </c>
      <c r="O5355">
        <v>50.959652499165699</v>
      </c>
      <c r="P5355">
        <v>-0.10470400287342201</v>
      </c>
      <c r="Q5355">
        <v>0.184995513234891</v>
      </c>
      <c r="R5355">
        <v>0.989303865824256</v>
      </c>
      <c r="S5355" t="s">
        <v>11807</v>
      </c>
      <c r="T5355" t="s">
        <v>12902</v>
      </c>
      <c r="U5355" t="s">
        <v>12902</v>
      </c>
      <c r="V5355" t="s">
        <v>12902</v>
      </c>
      <c r="W5355" t="s">
        <v>18208</v>
      </c>
      <c r="X5355">
        <v>4</v>
      </c>
      <c r="Y5355" t="s">
        <v>24502</v>
      </c>
      <c r="Z5355" t="s">
        <v>30930</v>
      </c>
      <c r="AA5355">
        <v>0.4975187747858752</v>
      </c>
      <c r="AB5355" t="str">
        <f>HYPERLINK("Melting_Curves/meltCurve_Q9BZ67_2_FRMD8.pdf", "Melting_Curves/meltCurve_Q9BZ67_2_FRMD8.pdf")</f>
        <v>Melting_Curves/meltCurve_Q9BZ67_2_FRMD8.pdf</v>
      </c>
    </row>
    <row r="5356" spans="1:28" x14ac:dyDescent="0.25">
      <c r="A5356" t="s">
        <v>5360</v>
      </c>
      <c r="B5356">
        <v>0.99673306730245903</v>
      </c>
      <c r="C5356">
        <v>0.81273013125633997</v>
      </c>
      <c r="D5356">
        <v>0.60868389935091005</v>
      </c>
      <c r="E5356">
        <v>0.51897411125725401</v>
      </c>
      <c r="F5356">
        <v>0.481337442316492</v>
      </c>
      <c r="G5356">
        <v>0.36388100452173899</v>
      </c>
      <c r="H5356">
        <v>0.326658580047131</v>
      </c>
      <c r="I5356">
        <v>0.38593621020449997</v>
      </c>
      <c r="J5356">
        <v>0.19506674227947099</v>
      </c>
      <c r="K5356">
        <v>9.1106760281249199E-2</v>
      </c>
      <c r="L5356">
        <v>377.94294417703202</v>
      </c>
      <c r="M5356">
        <v>7.5546957655665601</v>
      </c>
      <c r="N5356">
        <v>51.673311478514002</v>
      </c>
      <c r="O5356">
        <v>46.882687014223599</v>
      </c>
      <c r="P5356">
        <v>-3.6027895572643097E-2</v>
      </c>
      <c r="Q5356">
        <v>0.106926577607715</v>
      </c>
      <c r="R5356">
        <v>0.91749845646693395</v>
      </c>
      <c r="S5356" t="s">
        <v>11808</v>
      </c>
      <c r="T5356" t="s">
        <v>12902</v>
      </c>
      <c r="U5356" t="s">
        <v>12902</v>
      </c>
      <c r="V5356" t="s">
        <v>12902</v>
      </c>
      <c r="W5356" t="s">
        <v>18209</v>
      </c>
      <c r="X5356">
        <v>2</v>
      </c>
      <c r="Y5356" t="s">
        <v>24503</v>
      </c>
      <c r="Z5356" t="s">
        <v>30931</v>
      </c>
      <c r="AA5356">
        <v>0.46195812193561703</v>
      </c>
      <c r="AB5356" t="str">
        <f>HYPERLINK("Melting_Curves/meltCurve_Q9BZ95_4_WHSC1L1.pdf", "Melting_Curves/meltCurve_Q9BZ95_4_WHSC1L1.pdf")</f>
        <v>Melting_Curves/meltCurve_Q9BZ95_4_WHSC1L1.pdf</v>
      </c>
    </row>
    <row r="5357" spans="1:28" x14ac:dyDescent="0.25">
      <c r="A5357" t="s">
        <v>5361</v>
      </c>
      <c r="B5357">
        <v>0.99673306730245903</v>
      </c>
      <c r="C5357">
        <v>0.90062337533419201</v>
      </c>
      <c r="D5357">
        <v>0.92945919590288795</v>
      </c>
      <c r="E5357">
        <v>0.82588369159015396</v>
      </c>
      <c r="F5357">
        <v>0.55084104419073798</v>
      </c>
      <c r="G5357">
        <v>0.37834734548205201</v>
      </c>
      <c r="H5357">
        <v>0.27950846084612102</v>
      </c>
      <c r="I5357">
        <v>0.18686073535291201</v>
      </c>
      <c r="J5357">
        <v>0.17724770168001699</v>
      </c>
      <c r="K5357">
        <v>0.16633298086545101</v>
      </c>
      <c r="L5357">
        <v>797.792799437231</v>
      </c>
      <c r="M5357">
        <v>14.970751931944999</v>
      </c>
      <c r="N5357">
        <v>54.477394318877401</v>
      </c>
      <c r="O5357">
        <v>52.366365206560197</v>
      </c>
      <c r="P5357">
        <v>-6.1528872982494202E-2</v>
      </c>
      <c r="Q5357">
        <v>0.13919741454239001</v>
      </c>
      <c r="R5357">
        <v>0.99160706867333204</v>
      </c>
      <c r="S5357" t="s">
        <v>11809</v>
      </c>
      <c r="T5357" t="s">
        <v>12902</v>
      </c>
      <c r="U5357" t="s">
        <v>12902</v>
      </c>
      <c r="V5357" t="s">
        <v>12902</v>
      </c>
      <c r="W5357" t="s">
        <v>18210</v>
      </c>
      <c r="X5357">
        <v>3</v>
      </c>
      <c r="Y5357" t="s">
        <v>24504</v>
      </c>
      <c r="Z5357" t="s">
        <v>30932</v>
      </c>
      <c r="AA5357">
        <v>0.53887443959457859</v>
      </c>
      <c r="AB5357" t="str">
        <f>HYPERLINK("Melting_Curves/meltCurve_Q9BZE1_MRPL37.pdf", "Melting_Curves/meltCurve_Q9BZE1_MRPL37.pdf")</f>
        <v>Melting_Curves/meltCurve_Q9BZE1_MRPL37.pdf</v>
      </c>
    </row>
    <row r="5358" spans="1:28" x14ac:dyDescent="0.25">
      <c r="A5358" t="s">
        <v>5362</v>
      </c>
      <c r="B5358">
        <v>0.99673306730245903</v>
      </c>
      <c r="C5358">
        <v>0.92636409906418504</v>
      </c>
      <c r="D5358">
        <v>0.93970446193035795</v>
      </c>
      <c r="E5358">
        <v>0.89496979732413995</v>
      </c>
      <c r="F5358">
        <v>0.28530595899974398</v>
      </c>
      <c r="G5358">
        <v>0.15128021458367399</v>
      </c>
      <c r="H5358">
        <v>9.5307590904475298E-2</v>
      </c>
      <c r="I5358">
        <v>9.3814255975761901E-2</v>
      </c>
      <c r="J5358">
        <v>9.5572416555959105E-2</v>
      </c>
      <c r="K5358">
        <v>9.4832725239125004E-2</v>
      </c>
      <c r="L5358">
        <v>2381.5384412651501</v>
      </c>
      <c r="M5358">
        <v>46.077523409657601</v>
      </c>
      <c r="N5358">
        <v>51.9428791309929</v>
      </c>
      <c r="O5358">
        <v>51.588398613178803</v>
      </c>
      <c r="P5358">
        <v>-0.200503236794041</v>
      </c>
      <c r="Q5358">
        <v>0.10206729993729299</v>
      </c>
      <c r="R5358">
        <v>0.99350371520387604</v>
      </c>
      <c r="S5358" t="s">
        <v>11810</v>
      </c>
      <c r="T5358" t="s">
        <v>12902</v>
      </c>
      <c r="U5358" t="s">
        <v>12902</v>
      </c>
      <c r="V5358" t="s">
        <v>12902</v>
      </c>
      <c r="W5358" t="s">
        <v>18211</v>
      </c>
      <c r="X5358">
        <v>16</v>
      </c>
      <c r="Y5358" t="s">
        <v>24505</v>
      </c>
      <c r="Z5358" t="s">
        <v>30933</v>
      </c>
      <c r="AA5358">
        <v>0.45423875712995171</v>
      </c>
      <c r="AB5358" t="str">
        <f>HYPERLINK("Melting_Curves/meltCurve_Q9BZE2_PUS3.pdf", "Melting_Curves/meltCurve_Q9BZE2_PUS3.pdf")</f>
        <v>Melting_Curves/meltCurve_Q9BZE2_PUS3.pdf</v>
      </c>
    </row>
    <row r="5359" spans="1:28" x14ac:dyDescent="0.25">
      <c r="A5359" t="s">
        <v>5363</v>
      </c>
      <c r="B5359">
        <v>0.99673306730245903</v>
      </c>
      <c r="C5359">
        <v>0.97463700937061304</v>
      </c>
      <c r="D5359">
        <v>0.94388294243558102</v>
      </c>
      <c r="E5359">
        <v>0.75015224776141698</v>
      </c>
      <c r="F5359">
        <v>0.396042595404618</v>
      </c>
      <c r="G5359">
        <v>0.250142790155442</v>
      </c>
      <c r="H5359">
        <v>0.15542673078478</v>
      </c>
      <c r="I5359">
        <v>0.17653603321484301</v>
      </c>
      <c r="J5359">
        <v>0.20594280268406401</v>
      </c>
      <c r="K5359">
        <v>0.228766442590288</v>
      </c>
      <c r="L5359">
        <v>1347.81416451837</v>
      </c>
      <c r="M5359">
        <v>26.398298255793598</v>
      </c>
      <c r="N5359">
        <v>51.994278639281802</v>
      </c>
      <c r="O5359">
        <v>50.766567726847001</v>
      </c>
      <c r="P5359">
        <v>-0.10538433994656</v>
      </c>
      <c r="Q5359">
        <v>0.18935028764602599</v>
      </c>
      <c r="R5359">
        <v>0.99596571954262403</v>
      </c>
      <c r="S5359" t="s">
        <v>11811</v>
      </c>
      <c r="T5359" t="s">
        <v>12902</v>
      </c>
      <c r="U5359" t="s">
        <v>12902</v>
      </c>
      <c r="V5359" t="s">
        <v>12902</v>
      </c>
      <c r="W5359" t="s">
        <v>18212</v>
      </c>
      <c r="X5359">
        <v>12</v>
      </c>
      <c r="Y5359" t="s">
        <v>24506</v>
      </c>
      <c r="Z5359" t="s">
        <v>30934</v>
      </c>
      <c r="AA5359">
        <v>0.494706872874834</v>
      </c>
      <c r="AB5359" t="str">
        <f>HYPERLINK("Melting_Curves/meltCurve_Q9BZE9_ASPSCR1.pdf", "Melting_Curves/meltCurve_Q9BZE9_ASPSCR1.pdf")</f>
        <v>Melting_Curves/meltCurve_Q9BZE9_ASPSCR1.pdf</v>
      </c>
    </row>
    <row r="5360" spans="1:28" x14ac:dyDescent="0.25">
      <c r="A5360" t="s">
        <v>5364</v>
      </c>
      <c r="B5360">
        <v>0.99673306730245903</v>
      </c>
      <c r="C5360">
        <v>0.90814920737973004</v>
      </c>
      <c r="D5360">
        <v>0.58902821031637398</v>
      </c>
      <c r="E5360">
        <v>0.24095104023509001</v>
      </c>
      <c r="F5360">
        <v>0.15984395560325099</v>
      </c>
      <c r="G5360">
        <v>9.8612900339915696E-2</v>
      </c>
      <c r="H5360">
        <v>7.2773225316335996E-2</v>
      </c>
      <c r="I5360">
        <v>8.7708450402143798E-2</v>
      </c>
      <c r="J5360">
        <v>9.64966798931505E-2</v>
      </c>
      <c r="K5360">
        <v>9.2531929982484704E-2</v>
      </c>
      <c r="L5360">
        <v>1163.26624056271</v>
      </c>
      <c r="M5360">
        <v>25.061073348822202</v>
      </c>
      <c r="N5360">
        <v>46.798063555783102</v>
      </c>
      <c r="O5360">
        <v>46.124731174585499</v>
      </c>
      <c r="P5360">
        <v>-0.12330622063280799</v>
      </c>
      <c r="Q5360">
        <v>9.2235123872667205E-2</v>
      </c>
      <c r="R5360">
        <v>0.99836517649164103</v>
      </c>
      <c r="S5360" t="s">
        <v>11812</v>
      </c>
      <c r="T5360" t="s">
        <v>12902</v>
      </c>
      <c r="U5360" t="s">
        <v>12902</v>
      </c>
      <c r="V5360" t="s">
        <v>12902</v>
      </c>
      <c r="W5360" t="s">
        <v>18213</v>
      </c>
      <c r="X5360">
        <v>7</v>
      </c>
      <c r="Y5360" t="s">
        <v>24507</v>
      </c>
      <c r="Z5360" t="s">
        <v>30935</v>
      </c>
      <c r="AA5360">
        <v>0.29460379106293338</v>
      </c>
      <c r="AB5360" t="str">
        <f>HYPERLINK("Melting_Curves/meltCurve_Q9BZF1_3_OSBPL8.pdf", "Melting_Curves/meltCurve_Q9BZF1_3_OSBPL8.pdf")</f>
        <v>Melting_Curves/meltCurve_Q9BZF1_3_OSBPL8.pdf</v>
      </c>
    </row>
    <row r="5361" spans="1:28" x14ac:dyDescent="0.25">
      <c r="A5361" t="s">
        <v>5365</v>
      </c>
      <c r="B5361">
        <v>0.99673306730245903</v>
      </c>
      <c r="C5361">
        <v>0.97120157199678003</v>
      </c>
      <c r="D5361">
        <v>0.97648470142937804</v>
      </c>
      <c r="E5361">
        <v>1.0216617601761999</v>
      </c>
      <c r="F5361">
        <v>0.769338746007457</v>
      </c>
      <c r="G5361">
        <v>0.29071171399990198</v>
      </c>
      <c r="H5361">
        <v>0.18242387891032</v>
      </c>
      <c r="I5361">
        <v>0.14492457391312799</v>
      </c>
      <c r="J5361">
        <v>0.15224712074786301</v>
      </c>
      <c r="K5361">
        <v>0.11276322596285999</v>
      </c>
      <c r="L5361">
        <v>2178.9889662627702</v>
      </c>
      <c r="M5361">
        <v>39.930404205212099</v>
      </c>
      <c r="N5361">
        <v>55.035728019660297</v>
      </c>
      <c r="O5361">
        <v>54.4333473585571</v>
      </c>
      <c r="P5361">
        <v>-0.15708442523239199</v>
      </c>
      <c r="Q5361">
        <v>0.14344849387685499</v>
      </c>
      <c r="R5361">
        <v>0.99714605573398096</v>
      </c>
      <c r="S5361" t="s">
        <v>11813</v>
      </c>
      <c r="T5361" t="s">
        <v>12902</v>
      </c>
      <c r="U5361" t="s">
        <v>12902</v>
      </c>
      <c r="V5361" t="s">
        <v>12902</v>
      </c>
      <c r="W5361" t="s">
        <v>18214</v>
      </c>
      <c r="X5361">
        <v>10</v>
      </c>
      <c r="Y5361" t="s">
        <v>24508</v>
      </c>
      <c r="Z5361" t="s">
        <v>30936</v>
      </c>
      <c r="AA5361">
        <v>0.56267046936305865</v>
      </c>
      <c r="AB5361" t="str">
        <f>HYPERLINK("Melting_Curves/meltCurve_Q9BZH6_WDR11.pdf", "Melting_Curves/meltCurve_Q9BZH6_WDR11.pdf")</f>
        <v>Melting_Curves/meltCurve_Q9BZH6_WDR11.pdf</v>
      </c>
    </row>
    <row r="5362" spans="1:28" x14ac:dyDescent="0.25">
      <c r="A5362" t="s">
        <v>5366</v>
      </c>
      <c r="B5362">
        <v>0.99673306730245903</v>
      </c>
      <c r="C5362">
        <v>0.89378282822943</v>
      </c>
      <c r="D5362">
        <v>0.926515998310801</v>
      </c>
      <c r="E5362">
        <v>0.65102236391628199</v>
      </c>
      <c r="F5362">
        <v>0.41780123781528</v>
      </c>
      <c r="G5362">
        <v>0.26334626552613699</v>
      </c>
      <c r="H5362">
        <v>0.19547684357815201</v>
      </c>
      <c r="I5362">
        <v>0.30853231724524199</v>
      </c>
      <c r="J5362">
        <v>0.48646431237210702</v>
      </c>
      <c r="K5362">
        <v>0.449134391943387</v>
      </c>
      <c r="L5362">
        <v>1490.5006644663499</v>
      </c>
      <c r="M5362">
        <v>30.232546499124599</v>
      </c>
      <c r="N5362">
        <v>51.242774688279901</v>
      </c>
      <c r="O5362">
        <v>49.087001414690597</v>
      </c>
      <c r="P5362">
        <v>-0.10147484536524</v>
      </c>
      <c r="Q5362">
        <v>0.34096666980085699</v>
      </c>
      <c r="R5362">
        <v>0.90373654238360901</v>
      </c>
      <c r="S5362" t="s">
        <v>11814</v>
      </c>
      <c r="T5362" t="s">
        <v>12902</v>
      </c>
      <c r="U5362" t="s">
        <v>12902</v>
      </c>
      <c r="V5362" t="s">
        <v>12902</v>
      </c>
      <c r="W5362" t="s">
        <v>18215</v>
      </c>
      <c r="X5362">
        <v>10</v>
      </c>
      <c r="Y5362" t="s">
        <v>24509</v>
      </c>
      <c r="Z5362" t="s">
        <v>30937</v>
      </c>
      <c r="AA5362">
        <v>0.5492619191042738</v>
      </c>
      <c r="AB5362" t="str">
        <f>HYPERLINK("Melting_Curves/meltCurve_Q9BZI7_2_UPF3B.pdf", "Melting_Curves/meltCurve_Q9BZI7_2_UPF3B.pdf")</f>
        <v>Melting_Curves/meltCurve_Q9BZI7_2_UPF3B.pdf</v>
      </c>
    </row>
    <row r="5363" spans="1:28" x14ac:dyDescent="0.25">
      <c r="A5363" t="s">
        <v>5367</v>
      </c>
      <c r="B5363">
        <v>0.99673306730245903</v>
      </c>
      <c r="C5363">
        <v>0.89194088618044498</v>
      </c>
      <c r="D5363">
        <v>0.88249476687113704</v>
      </c>
      <c r="E5363">
        <v>0.90191340770346295</v>
      </c>
      <c r="F5363">
        <v>0.69302584482376095</v>
      </c>
      <c r="G5363">
        <v>0.49387803089264298</v>
      </c>
      <c r="H5363">
        <v>0.30243866506010397</v>
      </c>
      <c r="I5363">
        <v>0.26875012439914298</v>
      </c>
      <c r="J5363">
        <v>0.13724333077818299</v>
      </c>
      <c r="K5363">
        <v>9.3596066664246802E-2</v>
      </c>
      <c r="L5363">
        <v>640.29115547451602</v>
      </c>
      <c r="M5363">
        <v>11.2490102755902</v>
      </c>
      <c r="N5363">
        <v>56.919776868898602</v>
      </c>
      <c r="O5363">
        <v>55.209904242135501</v>
      </c>
      <c r="P5363">
        <v>-5.0953230472902997E-2</v>
      </c>
      <c r="Q5363">
        <v>0</v>
      </c>
      <c r="R5363">
        <v>0.984486134976015</v>
      </c>
      <c r="S5363" t="s">
        <v>11815</v>
      </c>
      <c r="T5363" t="s">
        <v>12902</v>
      </c>
      <c r="U5363" t="s">
        <v>12902</v>
      </c>
      <c r="V5363" t="s">
        <v>12902</v>
      </c>
      <c r="W5363" t="s">
        <v>18216</v>
      </c>
      <c r="X5363">
        <v>14</v>
      </c>
      <c r="Y5363" t="s">
        <v>24510</v>
      </c>
      <c r="Z5363" t="s">
        <v>30938</v>
      </c>
      <c r="AA5363">
        <v>0.58102342627822356</v>
      </c>
      <c r="AB5363" t="str">
        <f>HYPERLINK("Melting_Curves/meltCurve_Q9BZK7_TBL1XR1.pdf", "Melting_Curves/meltCurve_Q9BZK7_TBL1XR1.pdf")</f>
        <v>Melting_Curves/meltCurve_Q9BZK7_TBL1XR1.pdf</v>
      </c>
    </row>
    <row r="5364" spans="1:28" x14ac:dyDescent="0.25">
      <c r="A5364" t="s">
        <v>5368</v>
      </c>
      <c r="B5364">
        <v>0.99673306730245903</v>
      </c>
      <c r="C5364">
        <v>1.1371101349066199</v>
      </c>
      <c r="D5364">
        <v>0.61465387169671104</v>
      </c>
      <c r="E5364">
        <v>0.53769705330409701</v>
      </c>
      <c r="F5364">
        <v>0.23187723493314699</v>
      </c>
      <c r="G5364">
        <v>0.13233572830743601</v>
      </c>
      <c r="H5364">
        <v>9.36687469116389E-2</v>
      </c>
      <c r="I5364">
        <v>8.8939528611501395E-2</v>
      </c>
      <c r="J5364">
        <v>0.109642111914752</v>
      </c>
      <c r="K5364">
        <v>0.108622364715348</v>
      </c>
      <c r="L5364">
        <v>935.84290091278001</v>
      </c>
      <c r="M5364">
        <v>19.242137581346501</v>
      </c>
      <c r="N5364">
        <v>49.154712890587497</v>
      </c>
      <c r="O5364">
        <v>48.118929010576103</v>
      </c>
      <c r="P5364">
        <v>-9.0774747491393401E-2</v>
      </c>
      <c r="Q5364">
        <v>9.2030534361693603E-2</v>
      </c>
      <c r="R5364">
        <v>0.94890405380195098</v>
      </c>
      <c r="S5364" t="s">
        <v>11816</v>
      </c>
      <c r="T5364" t="s">
        <v>12902</v>
      </c>
      <c r="U5364" t="s">
        <v>12902</v>
      </c>
      <c r="V5364" t="s">
        <v>12902</v>
      </c>
      <c r="W5364" t="s">
        <v>18217</v>
      </c>
      <c r="X5364">
        <v>4</v>
      </c>
      <c r="Y5364" t="s">
        <v>24511</v>
      </c>
      <c r="Z5364" t="s">
        <v>30939</v>
      </c>
      <c r="AA5364">
        <v>0.36720351311282878</v>
      </c>
      <c r="AB5364" t="str">
        <f>HYPERLINK("Melting_Curves/meltCurve_Q9BZL1_UBL5.pdf", "Melting_Curves/meltCurve_Q9BZL1_UBL5.pdf")</f>
        <v>Melting_Curves/meltCurve_Q9BZL1_UBL5.pdf</v>
      </c>
    </row>
    <row r="5365" spans="1:28" x14ac:dyDescent="0.25">
      <c r="A5365" t="s">
        <v>5369</v>
      </c>
      <c r="B5365">
        <v>0.99673306730245903</v>
      </c>
      <c r="C5365">
        <v>0.97773674513974995</v>
      </c>
      <c r="D5365">
        <v>1.04803428183597</v>
      </c>
      <c r="E5365">
        <v>0.83744969651346202</v>
      </c>
      <c r="F5365">
        <v>0.67079012988064801</v>
      </c>
      <c r="G5365">
        <v>0.54300000275635496</v>
      </c>
      <c r="H5365">
        <v>0.39468032378004198</v>
      </c>
      <c r="I5365">
        <v>0.49242579147249799</v>
      </c>
      <c r="J5365">
        <v>0.674287584785765</v>
      </c>
      <c r="K5365">
        <v>0.53775130857556097</v>
      </c>
      <c r="L5365">
        <v>1542.03832708353</v>
      </c>
      <c r="M5365">
        <v>30.136986136726701</v>
      </c>
      <c r="O5365">
        <v>50.943927699838099</v>
      </c>
      <c r="P5365">
        <v>-7.0043795300478107E-2</v>
      </c>
      <c r="Q5365">
        <v>0.52639150554765501</v>
      </c>
      <c r="R5365">
        <v>0.90238821662007396</v>
      </c>
      <c r="S5365" t="s">
        <v>11817</v>
      </c>
      <c r="T5365" t="s">
        <v>12902</v>
      </c>
      <c r="U5365" t="s">
        <v>12902</v>
      </c>
      <c r="V5365" t="s">
        <v>12902</v>
      </c>
      <c r="W5365" t="s">
        <v>18218</v>
      </c>
      <c r="X5365">
        <v>3</v>
      </c>
      <c r="Y5365" t="s">
        <v>24512</v>
      </c>
      <c r="Z5365" t="s">
        <v>30940</v>
      </c>
      <c r="AA5365">
        <v>0.70565329629103979</v>
      </c>
      <c r="AB5365" t="str">
        <f>HYPERLINK("Melting_Curves/meltCurve_Q9BZM1_PLA2G12A.pdf", "Melting_Curves/meltCurve_Q9BZM1_PLA2G12A.pdf")</f>
        <v>Melting_Curves/meltCurve_Q9BZM1_PLA2G12A.pdf</v>
      </c>
    </row>
    <row r="5366" spans="1:28" x14ac:dyDescent="0.25">
      <c r="A5366" t="s">
        <v>5370</v>
      </c>
      <c r="B5366">
        <v>0.99673306730245903</v>
      </c>
      <c r="C5366">
        <v>0.99843515000430205</v>
      </c>
      <c r="D5366">
        <v>0.84885513117937295</v>
      </c>
      <c r="E5366">
        <v>0.61825562938763901</v>
      </c>
      <c r="F5366">
        <v>0.45366932451771902</v>
      </c>
      <c r="G5366">
        <v>0.33350986356370499</v>
      </c>
      <c r="H5366">
        <v>0.22161187356748399</v>
      </c>
      <c r="I5366">
        <v>0.210135777485601</v>
      </c>
      <c r="J5366">
        <v>0.203371109059197</v>
      </c>
      <c r="K5366">
        <v>0.24010198631415</v>
      </c>
      <c r="L5366">
        <v>821.64834415779501</v>
      </c>
      <c r="M5366">
        <v>16.347399757116001</v>
      </c>
      <c r="N5366">
        <v>51.921886339862397</v>
      </c>
      <c r="O5366">
        <v>49.527644125255499</v>
      </c>
      <c r="P5366">
        <v>-6.5725795159419398E-2</v>
      </c>
      <c r="Q5366">
        <v>0.20354082360686401</v>
      </c>
      <c r="R5366">
        <v>0.99410852263739402</v>
      </c>
      <c r="S5366" t="s">
        <v>11818</v>
      </c>
      <c r="T5366" t="s">
        <v>12902</v>
      </c>
      <c r="U5366" t="s">
        <v>12902</v>
      </c>
      <c r="V5366" t="s">
        <v>12902</v>
      </c>
      <c r="W5366" t="s">
        <v>18219</v>
      </c>
      <c r="X5366">
        <v>2</v>
      </c>
      <c r="Y5366" t="s">
        <v>24513</v>
      </c>
      <c r="Z5366" t="s">
        <v>30941</v>
      </c>
      <c r="AA5366">
        <v>0.49214152163805591</v>
      </c>
      <c r="AB5366" t="str">
        <f>HYPERLINK("Melting_Curves/meltCurve_Q9BZM4_ULBP3.pdf", "Melting_Curves/meltCurve_Q9BZM4_ULBP3.pdf")</f>
        <v>Melting_Curves/meltCurve_Q9BZM4_ULBP3.pdf</v>
      </c>
    </row>
    <row r="5367" spans="1:28" x14ac:dyDescent="0.25">
      <c r="A5367" t="s">
        <v>5371</v>
      </c>
      <c r="B5367">
        <v>0.99673306730245903</v>
      </c>
      <c r="C5367">
        <v>0.97229147883823097</v>
      </c>
      <c r="D5367">
        <v>0.873570898034287</v>
      </c>
      <c r="E5367">
        <v>0.81742883986355197</v>
      </c>
      <c r="F5367">
        <v>0.77986485599683597</v>
      </c>
      <c r="G5367">
        <v>0.52557507699803796</v>
      </c>
      <c r="H5367">
        <v>0.295896712072583</v>
      </c>
      <c r="I5367">
        <v>0.26068323890293699</v>
      </c>
      <c r="J5367">
        <v>0.25836631115188302</v>
      </c>
      <c r="K5367">
        <v>0.16424103664866299</v>
      </c>
      <c r="L5367">
        <v>657.049748495936</v>
      </c>
      <c r="M5367">
        <v>11.648034200599</v>
      </c>
      <c r="N5367">
        <v>57.3405676390324</v>
      </c>
      <c r="O5367">
        <v>54.8229698425856</v>
      </c>
      <c r="P5367">
        <v>-4.8549205011194398E-2</v>
      </c>
      <c r="Q5367">
        <v>8.6235045248361994E-2</v>
      </c>
      <c r="R5367">
        <v>0.98063719799562199</v>
      </c>
      <c r="S5367" t="s">
        <v>11819</v>
      </c>
      <c r="T5367" t="s">
        <v>12902</v>
      </c>
      <c r="U5367" t="s">
        <v>12902</v>
      </c>
      <c r="V5367" t="s">
        <v>12902</v>
      </c>
      <c r="W5367" t="s">
        <v>18220</v>
      </c>
      <c r="X5367">
        <v>2</v>
      </c>
      <c r="Y5367" t="s">
        <v>24514</v>
      </c>
      <c r="Z5367" t="s">
        <v>30942</v>
      </c>
      <c r="AA5367">
        <v>0.60348383956684626</v>
      </c>
      <c r="AB5367" t="str">
        <f>HYPERLINK("Melting_Curves/meltCurve_Q9BZM5_ULBP2.pdf", "Melting_Curves/meltCurve_Q9BZM5_ULBP2.pdf")</f>
        <v>Melting_Curves/meltCurve_Q9BZM5_ULBP2.pdf</v>
      </c>
    </row>
    <row r="5368" spans="1:28" x14ac:dyDescent="0.25">
      <c r="A5368" t="s">
        <v>5372</v>
      </c>
      <c r="B5368">
        <v>0.99673306730245903</v>
      </c>
      <c r="C5368">
        <v>0.978815243392824</v>
      </c>
      <c r="D5368">
        <v>0.91477893667766896</v>
      </c>
      <c r="E5368">
        <v>0.80500735177469995</v>
      </c>
      <c r="F5368">
        <v>0.60444731530780704</v>
      </c>
      <c r="G5368">
        <v>0.47617405601801099</v>
      </c>
      <c r="H5368">
        <v>0.25356818343758403</v>
      </c>
      <c r="I5368">
        <v>0.15381857346536201</v>
      </c>
      <c r="J5368">
        <v>7.1879240039252501E-2</v>
      </c>
      <c r="K5368">
        <v>4.3539786498832903E-2</v>
      </c>
      <c r="L5368">
        <v>693.57636705753498</v>
      </c>
      <c r="M5368">
        <v>12.508190210053399</v>
      </c>
      <c r="N5368">
        <v>55.449761355957101</v>
      </c>
      <c r="O5368">
        <v>54.0897154867803</v>
      </c>
      <c r="P5368">
        <v>-5.7824108665143301E-2</v>
      </c>
      <c r="Q5368">
        <v>0</v>
      </c>
      <c r="R5368">
        <v>0.99616771457640896</v>
      </c>
      <c r="S5368" t="s">
        <v>11820</v>
      </c>
      <c r="T5368" t="s">
        <v>12902</v>
      </c>
      <c r="U5368" t="s">
        <v>12902</v>
      </c>
      <c r="V5368" t="s">
        <v>12902</v>
      </c>
      <c r="W5368" t="s">
        <v>18221</v>
      </c>
      <c r="X5368">
        <v>6</v>
      </c>
      <c r="Y5368" t="s">
        <v>24515</v>
      </c>
      <c r="Z5368" t="s">
        <v>30943</v>
      </c>
      <c r="AA5368">
        <v>0.53657200468540478</v>
      </c>
      <c r="AB5368" t="str">
        <f>HYPERLINK("Melting_Curves/meltCurve_Q9BZX2_UCK2.pdf", "Melting_Curves/meltCurve_Q9BZX2_UCK2.pdf")</f>
        <v>Melting_Curves/meltCurve_Q9BZX2_UCK2.pdf</v>
      </c>
    </row>
    <row r="5369" spans="1:28" x14ac:dyDescent="0.25">
      <c r="A5369" t="s">
        <v>5373</v>
      </c>
      <c r="B5369">
        <v>0.99673306730245903</v>
      </c>
      <c r="C5369">
        <v>0.97062983626164001</v>
      </c>
      <c r="D5369">
        <v>0.94529570552291697</v>
      </c>
      <c r="E5369">
        <v>0.88261550183413395</v>
      </c>
      <c r="F5369">
        <v>0.58272390675276897</v>
      </c>
      <c r="G5369">
        <v>0.19693818885313999</v>
      </c>
      <c r="H5369">
        <v>9.5928068333328703E-2</v>
      </c>
      <c r="I5369">
        <v>6.5963263877866801E-2</v>
      </c>
      <c r="J5369">
        <v>9.2022158639945603E-2</v>
      </c>
      <c r="K5369">
        <v>9.8197593423187998E-2</v>
      </c>
      <c r="L5369">
        <v>1504.22819932931</v>
      </c>
      <c r="M5369">
        <v>28.177522266421999</v>
      </c>
      <c r="N5369">
        <v>53.694486470871801</v>
      </c>
      <c r="O5369">
        <v>53.1172624931054</v>
      </c>
      <c r="P5369">
        <v>-0.122649812340732</v>
      </c>
      <c r="Q5369">
        <v>7.5182216181643099E-2</v>
      </c>
      <c r="R5369">
        <v>0.99667038493680005</v>
      </c>
      <c r="S5369" t="s">
        <v>11821</v>
      </c>
      <c r="T5369" t="s">
        <v>12902</v>
      </c>
      <c r="U5369" t="s">
        <v>12902</v>
      </c>
      <c r="V5369" t="s">
        <v>12902</v>
      </c>
      <c r="W5369" t="s">
        <v>18222</v>
      </c>
      <c r="X5369">
        <v>26</v>
      </c>
      <c r="Y5369" t="s">
        <v>24516</v>
      </c>
      <c r="Z5369" t="s">
        <v>30944</v>
      </c>
      <c r="AA5369">
        <v>0.49458012386215039</v>
      </c>
      <c r="AB5369" t="str">
        <f>HYPERLINK("Melting_Curves/meltCurve_Q9BZZ5_API5.pdf", "Melting_Curves/meltCurve_Q9BZZ5_API5.pdf")</f>
        <v>Melting_Curves/meltCurve_Q9BZZ5_API5.pdf</v>
      </c>
    </row>
    <row r="5370" spans="1:28" x14ac:dyDescent="0.25">
      <c r="A5370" t="s">
        <v>5374</v>
      </c>
      <c r="B5370">
        <v>0.99673306730245903</v>
      </c>
      <c r="C5370">
        <v>0.987093960340236</v>
      </c>
      <c r="D5370">
        <v>0.99167034489393702</v>
      </c>
      <c r="E5370">
        <v>0.98265145956950295</v>
      </c>
      <c r="F5370">
        <v>0.74179391891776802</v>
      </c>
      <c r="G5370">
        <v>0.19037462709639</v>
      </c>
      <c r="H5370">
        <v>8.0489848291215804E-2</v>
      </c>
      <c r="I5370">
        <v>6.2841701675258599E-2</v>
      </c>
      <c r="J5370">
        <v>6.4032086590896403E-2</v>
      </c>
      <c r="K5370">
        <v>5.1207094026649497E-2</v>
      </c>
      <c r="L5370">
        <v>2334.46312347498</v>
      </c>
      <c r="M5370">
        <v>42.916998520531699</v>
      </c>
      <c r="N5370">
        <v>54.560957559558901</v>
      </c>
      <c r="O5370">
        <v>54.277132809194903</v>
      </c>
      <c r="P5370">
        <v>-0.18556899332402399</v>
      </c>
      <c r="Q5370">
        <v>6.1244962821407303E-2</v>
      </c>
      <c r="R5370">
        <v>0.99976183940340801</v>
      </c>
      <c r="S5370" t="s">
        <v>11822</v>
      </c>
      <c r="T5370" t="s">
        <v>12902</v>
      </c>
      <c r="U5370" t="s">
        <v>12902</v>
      </c>
      <c r="V5370" t="s">
        <v>12902</v>
      </c>
      <c r="W5370" t="s">
        <v>18223</v>
      </c>
      <c r="X5370">
        <v>26</v>
      </c>
      <c r="Y5370" t="s">
        <v>24516</v>
      </c>
      <c r="Z5370" t="s">
        <v>30945</v>
      </c>
      <c r="AA5370">
        <v>0.51474436566721382</v>
      </c>
      <c r="AB5370" t="str">
        <f>HYPERLINK("Melting_Curves/meltCurve_Q9BZZ5_2_API5.pdf", "Melting_Curves/meltCurve_Q9BZZ5_2_API5.pdf")</f>
        <v>Melting_Curves/meltCurve_Q9BZZ5_2_API5.pdf</v>
      </c>
    </row>
    <row r="5371" spans="1:28" x14ac:dyDescent="0.25">
      <c r="A5371" t="s">
        <v>5375</v>
      </c>
      <c r="B5371">
        <v>0.99673306730245903</v>
      </c>
      <c r="C5371">
        <v>0.87316988850597799</v>
      </c>
      <c r="D5371">
        <v>0.82778816968550295</v>
      </c>
      <c r="E5371">
        <v>0.58972114914312401</v>
      </c>
      <c r="F5371">
        <v>0.42801257424719702</v>
      </c>
      <c r="G5371">
        <v>0.31653613556659299</v>
      </c>
      <c r="H5371">
        <v>0.27913773085111598</v>
      </c>
      <c r="I5371">
        <v>0.27266918302274501</v>
      </c>
      <c r="J5371">
        <v>0.29436702468015102</v>
      </c>
      <c r="K5371">
        <v>0.26012368034907501</v>
      </c>
      <c r="L5371">
        <v>760.23209012517702</v>
      </c>
      <c r="M5371">
        <v>15.528484302288</v>
      </c>
      <c r="N5371">
        <v>51.3330808516125</v>
      </c>
      <c r="O5371">
        <v>48.166906442336099</v>
      </c>
      <c r="P5371">
        <v>-5.9945053512950298E-2</v>
      </c>
      <c r="Q5371">
        <v>0.25630523294271601</v>
      </c>
      <c r="R5371">
        <v>0.993111377768361</v>
      </c>
      <c r="S5371" t="s">
        <v>11823</v>
      </c>
      <c r="T5371" t="s">
        <v>12902</v>
      </c>
      <c r="U5371" t="s">
        <v>12902</v>
      </c>
      <c r="V5371" t="s">
        <v>12902</v>
      </c>
      <c r="W5371" t="s">
        <v>18224</v>
      </c>
      <c r="X5371">
        <v>5</v>
      </c>
      <c r="Y5371" t="s">
        <v>24517</v>
      </c>
      <c r="Z5371" t="s">
        <v>30946</v>
      </c>
      <c r="AA5371">
        <v>0.49556872774717942</v>
      </c>
      <c r="AB5371" t="str">
        <f>HYPERLINK("Melting_Curves/meltCurve_Q9C004_SPRY4.pdf", "Melting_Curves/meltCurve_Q9C004_SPRY4.pdf")</f>
        <v>Melting_Curves/meltCurve_Q9C004_SPRY4.pdf</v>
      </c>
    </row>
    <row r="5372" spans="1:28" x14ac:dyDescent="0.25">
      <c r="A5372" t="s">
        <v>5376</v>
      </c>
      <c r="B5372">
        <v>0.99673306730245903</v>
      </c>
      <c r="C5372">
        <v>0.98448042511696299</v>
      </c>
      <c r="D5372">
        <v>1.0532879156253401</v>
      </c>
      <c r="E5372">
        <v>0.92661453327350995</v>
      </c>
      <c r="F5372">
        <v>0.86593725646288899</v>
      </c>
      <c r="G5372">
        <v>0.98073026716981204</v>
      </c>
      <c r="H5372">
        <v>0.90548014063160498</v>
      </c>
      <c r="I5372">
        <v>1.3228558354831601</v>
      </c>
      <c r="J5372">
        <v>2.1297445638297599</v>
      </c>
      <c r="K5372">
        <v>1.99435951401987</v>
      </c>
      <c r="L5372">
        <v>15000</v>
      </c>
      <c r="M5372">
        <v>234.97547496898699</v>
      </c>
      <c r="O5372">
        <v>63.8318252062233</v>
      </c>
      <c r="P5372">
        <v>0.46014561450262098</v>
      </c>
      <c r="Q5372">
        <v>1.5</v>
      </c>
      <c r="R5372">
        <v>0.65088258992973402</v>
      </c>
      <c r="S5372" t="s">
        <v>11824</v>
      </c>
      <c r="T5372" t="s">
        <v>12902</v>
      </c>
      <c r="U5372" t="s">
        <v>12902</v>
      </c>
      <c r="V5372" t="s">
        <v>12902</v>
      </c>
      <c r="W5372" t="s">
        <v>18225</v>
      </c>
      <c r="X5372">
        <v>5</v>
      </c>
      <c r="Y5372" t="s">
        <v>24518</v>
      </c>
      <c r="Z5372" t="s">
        <v>30947</v>
      </c>
      <c r="AA5372">
        <v>1.1026624343497129</v>
      </c>
      <c r="AB5372" t="str">
        <f>HYPERLINK("Melting_Curves/meltCurve_Q9C005_DPY30.pdf", "Melting_Curves/meltCurve_Q9C005_DPY30.pdf")</f>
        <v>Melting_Curves/meltCurve_Q9C005_DPY30.pdf</v>
      </c>
    </row>
    <row r="5373" spans="1:28" x14ac:dyDescent="0.25">
      <c r="A5373" t="s">
        <v>5377</v>
      </c>
      <c r="B5373">
        <v>0.99673306730245903</v>
      </c>
      <c r="C5373">
        <v>0.92645300528283003</v>
      </c>
      <c r="D5373">
        <v>0.79581913567521401</v>
      </c>
      <c r="E5373">
        <v>0.46961037263493699</v>
      </c>
      <c r="F5373">
        <v>0.27027359033105502</v>
      </c>
      <c r="G5373">
        <v>0.17350788027324299</v>
      </c>
      <c r="H5373">
        <v>9.9276753239846999E-2</v>
      </c>
      <c r="I5373">
        <v>9.6803609504508101E-2</v>
      </c>
      <c r="J5373">
        <v>0.106700428274467</v>
      </c>
      <c r="K5373">
        <v>0.10163480061675401</v>
      </c>
      <c r="L5373">
        <v>901.56522169535299</v>
      </c>
      <c r="M5373">
        <v>18.446706224994202</v>
      </c>
      <c r="N5373">
        <v>49.433205959603796</v>
      </c>
      <c r="O5373">
        <v>48.310544231953202</v>
      </c>
      <c r="P5373">
        <v>-8.6474145593714802E-2</v>
      </c>
      <c r="Q5373">
        <v>9.4163324930048198E-2</v>
      </c>
      <c r="R5373">
        <v>0.99877024773026302</v>
      </c>
      <c r="S5373" t="s">
        <v>11825</v>
      </c>
      <c r="T5373" t="s">
        <v>12902</v>
      </c>
      <c r="U5373" t="s">
        <v>12902</v>
      </c>
      <c r="V5373" t="s">
        <v>12902</v>
      </c>
      <c r="W5373" t="s">
        <v>18226</v>
      </c>
      <c r="X5373">
        <v>9</v>
      </c>
      <c r="Y5373" t="s">
        <v>24519</v>
      </c>
      <c r="Z5373" t="s">
        <v>30948</v>
      </c>
      <c r="AA5373">
        <v>0.37708282257646542</v>
      </c>
      <c r="AB5373" t="str">
        <f>HYPERLINK("Melting_Curves/meltCurve_Q9C037_2_TRIM4.pdf", "Melting_Curves/meltCurve_Q9C037_2_TRIM4.pdf")</f>
        <v>Melting_Curves/meltCurve_Q9C037_2_TRIM4.pdf</v>
      </c>
    </row>
    <row r="5374" spans="1:28" x14ac:dyDescent="0.25">
      <c r="A5374" t="s">
        <v>5378</v>
      </c>
      <c r="B5374">
        <v>0.99673306730245903</v>
      </c>
      <c r="C5374">
        <v>0.94647981049100405</v>
      </c>
      <c r="D5374">
        <v>0.91254793823079305</v>
      </c>
      <c r="E5374">
        <v>0.64220010944155603</v>
      </c>
      <c r="F5374">
        <v>0.238440204953904</v>
      </c>
      <c r="G5374">
        <v>0.140252638227823</v>
      </c>
      <c r="H5374">
        <v>7.9274645232975796E-2</v>
      </c>
      <c r="I5374">
        <v>7.2178313878592998E-2</v>
      </c>
      <c r="J5374">
        <v>5.7947635873102497E-2</v>
      </c>
      <c r="K5374">
        <v>4.72822653820682E-2</v>
      </c>
      <c r="L5374">
        <v>1236.38937062941</v>
      </c>
      <c r="M5374">
        <v>24.518656724183501</v>
      </c>
      <c r="N5374">
        <v>50.692366778757801</v>
      </c>
      <c r="O5374">
        <v>50.0946242227254</v>
      </c>
      <c r="P5374">
        <v>-0.114980081141247</v>
      </c>
      <c r="Q5374">
        <v>6.0340047730448501E-2</v>
      </c>
      <c r="R5374">
        <v>0.99765151835251298</v>
      </c>
      <c r="S5374" t="s">
        <v>11826</v>
      </c>
      <c r="T5374" t="s">
        <v>12902</v>
      </c>
      <c r="U5374" t="s">
        <v>12902</v>
      </c>
      <c r="V5374" t="s">
        <v>12902</v>
      </c>
      <c r="W5374" t="s">
        <v>18227</v>
      </c>
      <c r="X5374">
        <v>7</v>
      </c>
      <c r="Y5374" t="s">
        <v>24520</v>
      </c>
      <c r="Z5374" t="s">
        <v>30949</v>
      </c>
      <c r="AA5374">
        <v>0.39568679859688333</v>
      </c>
      <c r="AB5374" t="str">
        <f>HYPERLINK("Melting_Curves/meltCurve_Q9C040_TRIM2.pdf", "Melting_Curves/meltCurve_Q9C040_TRIM2.pdf")</f>
        <v>Melting_Curves/meltCurve_Q9C040_TRIM2.pdf</v>
      </c>
    </row>
    <row r="5375" spans="1:28" x14ac:dyDescent="0.25">
      <c r="A5375" t="s">
        <v>5379</v>
      </c>
      <c r="B5375">
        <v>0.99673306730245903</v>
      </c>
      <c r="C5375">
        <v>0.94364554393002498</v>
      </c>
      <c r="D5375">
        <v>0.89198018917175703</v>
      </c>
      <c r="E5375">
        <v>0.62871929154019601</v>
      </c>
      <c r="F5375">
        <v>0.40702716183450899</v>
      </c>
      <c r="G5375">
        <v>0.289554907571627</v>
      </c>
      <c r="H5375">
        <v>0.230357939407172</v>
      </c>
      <c r="I5375">
        <v>0.234447236849225</v>
      </c>
      <c r="J5375">
        <v>0.33783618896258799</v>
      </c>
      <c r="K5375">
        <v>0.31734312910773899</v>
      </c>
      <c r="L5375">
        <v>1134.0272458863601</v>
      </c>
      <c r="M5375">
        <v>22.926808413843698</v>
      </c>
      <c r="N5375">
        <v>51.237665817500897</v>
      </c>
      <c r="O5375">
        <v>49.091239611187902</v>
      </c>
      <c r="P5375">
        <v>-8.4765398402318198E-2</v>
      </c>
      <c r="Q5375">
        <v>0.27400981445766598</v>
      </c>
      <c r="R5375">
        <v>0.98580719508128301</v>
      </c>
      <c r="S5375" t="s">
        <v>11827</v>
      </c>
      <c r="T5375" t="s">
        <v>12902</v>
      </c>
      <c r="U5375" t="s">
        <v>12902</v>
      </c>
      <c r="V5375" t="s">
        <v>12902</v>
      </c>
      <c r="W5375" t="s">
        <v>18228</v>
      </c>
      <c r="X5375">
        <v>6</v>
      </c>
      <c r="Y5375" t="s">
        <v>24521</v>
      </c>
      <c r="Z5375" t="s">
        <v>30950</v>
      </c>
      <c r="AA5375">
        <v>0.51070758019400997</v>
      </c>
      <c r="AB5375" t="str">
        <f>HYPERLINK("Melting_Curves/meltCurve_Q9C0B0_UNK.pdf", "Melting_Curves/meltCurve_Q9C0B0_UNK.pdf")</f>
        <v>Melting_Curves/meltCurve_Q9C0B0_UNK.pdf</v>
      </c>
    </row>
    <row r="5376" spans="1:28" x14ac:dyDescent="0.25">
      <c r="A5376" t="s">
        <v>5380</v>
      </c>
      <c r="B5376">
        <v>0.99673306730245903</v>
      </c>
      <c r="C5376">
        <v>1.0341154404375901</v>
      </c>
      <c r="D5376">
        <v>0.992018035710869</v>
      </c>
      <c r="E5376">
        <v>0.99584182378445396</v>
      </c>
      <c r="F5376">
        <v>0.77759383941177296</v>
      </c>
      <c r="G5376">
        <v>0.59308769626289504</v>
      </c>
      <c r="H5376">
        <v>0.30297542820766499</v>
      </c>
      <c r="I5376">
        <v>0.24678771214022299</v>
      </c>
      <c r="J5376">
        <v>0.23229718452344</v>
      </c>
      <c r="K5376">
        <v>0.22212619996449201</v>
      </c>
      <c r="L5376">
        <v>1232.86229724229</v>
      </c>
      <c r="M5376">
        <v>21.939507040091399</v>
      </c>
      <c r="N5376">
        <v>57.559013328786797</v>
      </c>
      <c r="O5376">
        <v>55.733100914149702</v>
      </c>
      <c r="P5376">
        <v>-7.8450875666653805E-2</v>
      </c>
      <c r="Q5376">
        <v>0.20286050417045801</v>
      </c>
      <c r="R5376">
        <v>0.99416290855170197</v>
      </c>
      <c r="S5376" t="s">
        <v>11828</v>
      </c>
      <c r="T5376" t="s">
        <v>12902</v>
      </c>
      <c r="U5376" t="s">
        <v>12902</v>
      </c>
      <c r="V5376" t="s">
        <v>12902</v>
      </c>
      <c r="W5376" t="s">
        <v>18229</v>
      </c>
      <c r="X5376">
        <v>27</v>
      </c>
      <c r="Y5376" t="s">
        <v>24522</v>
      </c>
      <c r="Z5376" t="s">
        <v>30951</v>
      </c>
      <c r="AA5376">
        <v>0.64209422344442924</v>
      </c>
      <c r="AB5376" t="str">
        <f>HYPERLINK("Melting_Curves/meltCurve_Q9C0B1_FTO.pdf", "Melting_Curves/meltCurve_Q9C0B1_FTO.pdf")</f>
        <v>Melting_Curves/meltCurve_Q9C0B1_FTO.pdf</v>
      </c>
    </row>
    <row r="5377" spans="1:28" x14ac:dyDescent="0.25">
      <c r="A5377" t="s">
        <v>5381</v>
      </c>
      <c r="B5377">
        <v>0.99673306730245903</v>
      </c>
      <c r="C5377">
        <v>0.94401524409386595</v>
      </c>
      <c r="D5377">
        <v>0.88354073831804603</v>
      </c>
      <c r="E5377">
        <v>0.78411997045978499</v>
      </c>
      <c r="F5377">
        <v>0.73868203490203599</v>
      </c>
      <c r="G5377">
        <v>0.62691625017498098</v>
      </c>
      <c r="H5377">
        <v>0.49640634336039802</v>
      </c>
      <c r="I5377">
        <v>0.60868975499970601</v>
      </c>
      <c r="J5377">
        <v>0.68233754863376195</v>
      </c>
      <c r="K5377">
        <v>0.54387885667475999</v>
      </c>
      <c r="L5377">
        <v>682.53054917518</v>
      </c>
      <c r="M5377">
        <v>13.7409127364492</v>
      </c>
      <c r="O5377">
        <v>48.654828400175802</v>
      </c>
      <c r="P5377">
        <v>-3.0276774842586299E-2</v>
      </c>
      <c r="Q5377">
        <v>0.57123615213672496</v>
      </c>
      <c r="R5377">
        <v>0.90274579413040701</v>
      </c>
      <c r="S5377" t="s">
        <v>11829</v>
      </c>
      <c r="T5377" t="s">
        <v>12902</v>
      </c>
      <c r="U5377" t="s">
        <v>12902</v>
      </c>
      <c r="V5377" t="s">
        <v>12902</v>
      </c>
      <c r="W5377" t="s">
        <v>18230</v>
      </c>
      <c r="X5377">
        <v>8</v>
      </c>
      <c r="Y5377" t="s">
        <v>24523</v>
      </c>
      <c r="Z5377" t="s">
        <v>30952</v>
      </c>
      <c r="AA5377">
        <v>0.72153290688249738</v>
      </c>
      <c r="AB5377" t="str">
        <f>HYPERLINK("Melting_Curves/meltCurve_Q9C0B5_2_ZDHHC5.pdf", "Melting_Curves/meltCurve_Q9C0B5_2_ZDHHC5.pdf")</f>
        <v>Melting_Curves/meltCurve_Q9C0B5_2_ZDHHC5.pdf</v>
      </c>
    </row>
    <row r="5378" spans="1:28" x14ac:dyDescent="0.25">
      <c r="A5378" t="s">
        <v>5382</v>
      </c>
      <c r="B5378">
        <v>0.99673306730245903</v>
      </c>
      <c r="C5378">
        <v>0.953978554153878</v>
      </c>
      <c r="D5378">
        <v>1.01584928402832</v>
      </c>
      <c r="E5378">
        <v>1.01610040515942</v>
      </c>
      <c r="F5378">
        <v>0.97932608127865906</v>
      </c>
      <c r="G5378">
        <v>0.80107444997434896</v>
      </c>
      <c r="H5378">
        <v>0.82841123156915997</v>
      </c>
      <c r="I5378">
        <v>1.2532175752260999</v>
      </c>
      <c r="J5378">
        <v>1.8545655469743501</v>
      </c>
      <c r="K5378">
        <v>1.7806812915347101</v>
      </c>
      <c r="L5378">
        <v>15000</v>
      </c>
      <c r="M5378">
        <v>234.40093663821901</v>
      </c>
      <c r="O5378">
        <v>63.988237462078402</v>
      </c>
      <c r="P5378">
        <v>0.45789832420925403</v>
      </c>
      <c r="Q5378">
        <v>1.5</v>
      </c>
      <c r="R5378">
        <v>0.77994934024124496</v>
      </c>
      <c r="S5378" t="s">
        <v>11830</v>
      </c>
      <c r="T5378" t="s">
        <v>12902</v>
      </c>
      <c r="U5378" t="s">
        <v>12902</v>
      </c>
      <c r="V5378" t="s">
        <v>12902</v>
      </c>
      <c r="W5378" t="s">
        <v>18231</v>
      </c>
      <c r="X5378">
        <v>62</v>
      </c>
      <c r="Y5378" t="s">
        <v>24524</v>
      </c>
      <c r="Z5378" t="s">
        <v>30953</v>
      </c>
      <c r="AA5378">
        <v>1.1000541497025349</v>
      </c>
      <c r="AB5378" t="str">
        <f>HYPERLINK("Melting_Curves/meltCurve_Q9C0C2_TNKS1BP1.pdf", "Melting_Curves/meltCurve_Q9C0C2_TNKS1BP1.pdf")</f>
        <v>Melting_Curves/meltCurve_Q9C0C2_TNKS1BP1.pdf</v>
      </c>
    </row>
    <row r="5379" spans="1:28" x14ac:dyDescent="0.25">
      <c r="A5379" t="s">
        <v>5383</v>
      </c>
      <c r="B5379">
        <v>0.99673306730245903</v>
      </c>
      <c r="C5379">
        <v>0.98598928909862504</v>
      </c>
      <c r="D5379">
        <v>1.0938491878085801</v>
      </c>
      <c r="E5379">
        <v>0.829372400718703</v>
      </c>
      <c r="F5379">
        <v>0.72553870770915696</v>
      </c>
      <c r="G5379">
        <v>0.43619292402840698</v>
      </c>
      <c r="H5379">
        <v>0.49630110130863397</v>
      </c>
      <c r="I5379">
        <v>0.245652386017091</v>
      </c>
      <c r="J5379">
        <v>0.21740793548960399</v>
      </c>
      <c r="K5379">
        <v>0.17794466492809</v>
      </c>
      <c r="L5379">
        <v>763.50796635368397</v>
      </c>
      <c r="M5379">
        <v>13.6588212286009</v>
      </c>
      <c r="N5379">
        <v>57.372219415217103</v>
      </c>
      <c r="O5379">
        <v>54.7411821977852</v>
      </c>
      <c r="P5379">
        <v>-5.3157568130810802E-2</v>
      </c>
      <c r="Q5379">
        <v>0.14795464549536999</v>
      </c>
      <c r="R5379">
        <v>0.95559881883282805</v>
      </c>
      <c r="S5379" t="s">
        <v>11831</v>
      </c>
      <c r="T5379" t="s">
        <v>12902</v>
      </c>
      <c r="U5379" t="s">
        <v>12902</v>
      </c>
      <c r="V5379" t="s">
        <v>12902</v>
      </c>
      <c r="W5379" t="s">
        <v>18232</v>
      </c>
      <c r="X5379">
        <v>2</v>
      </c>
      <c r="Y5379" t="s">
        <v>24525</v>
      </c>
      <c r="Z5379" t="s">
        <v>30954</v>
      </c>
      <c r="AA5379">
        <v>0.61591937126170981</v>
      </c>
      <c r="AB5379" t="str">
        <f>HYPERLINK("Melting_Curves/meltCurve_Q9C0C4_SEMA4C.pdf", "Melting_Curves/meltCurve_Q9C0C4_SEMA4C.pdf")</f>
        <v>Melting_Curves/meltCurve_Q9C0C4_SEMA4C.pdf</v>
      </c>
    </row>
    <row r="5380" spans="1:28" x14ac:dyDescent="0.25">
      <c r="A5380" t="s">
        <v>5384</v>
      </c>
      <c r="B5380">
        <v>0.99673306730245903</v>
      </c>
      <c r="C5380">
        <v>1.0142047315599501</v>
      </c>
      <c r="D5380">
        <v>0.88707751990041395</v>
      </c>
      <c r="E5380">
        <v>0.78396740026564804</v>
      </c>
      <c r="F5380">
        <v>0.75208390398645597</v>
      </c>
      <c r="G5380">
        <v>0.42178010686962503</v>
      </c>
      <c r="H5380">
        <v>0.244583708537183</v>
      </c>
      <c r="I5380">
        <v>0.46532217534553899</v>
      </c>
      <c r="J5380">
        <v>0.253193715993005</v>
      </c>
      <c r="K5380">
        <v>0.273092146889512</v>
      </c>
      <c r="L5380">
        <v>807.96281349105698</v>
      </c>
      <c r="M5380">
        <v>15.1011765345316</v>
      </c>
      <c r="N5380">
        <v>56.184722243052398</v>
      </c>
      <c r="O5380">
        <v>52.591383541320802</v>
      </c>
      <c r="P5380">
        <v>-5.3356508424513401E-2</v>
      </c>
      <c r="Q5380">
        <v>0.256795329728156</v>
      </c>
      <c r="R5380">
        <v>0.93342885035531997</v>
      </c>
      <c r="S5380" t="s">
        <v>11832</v>
      </c>
      <c r="T5380" t="s">
        <v>12902</v>
      </c>
      <c r="U5380" t="s">
        <v>12902</v>
      </c>
      <c r="V5380" t="s">
        <v>12902</v>
      </c>
      <c r="W5380" t="s">
        <v>18233</v>
      </c>
      <c r="X5380">
        <v>1</v>
      </c>
      <c r="Y5380" t="s">
        <v>24526</v>
      </c>
      <c r="Z5380" t="s">
        <v>30955</v>
      </c>
      <c r="AA5380">
        <v>0.60681767256350239</v>
      </c>
      <c r="AB5380" t="str">
        <f>HYPERLINK("Melting_Curves/meltCurve_Q9C0C7_6_AMBRA1.pdf", "Melting_Curves/meltCurve_Q9C0C7_6_AMBRA1.pdf")</f>
        <v>Melting_Curves/meltCurve_Q9C0C7_6_AMBRA1.pdf</v>
      </c>
    </row>
    <row r="5381" spans="1:28" x14ac:dyDescent="0.25">
      <c r="A5381" t="s">
        <v>5385</v>
      </c>
      <c r="B5381">
        <v>0.99673306730245903</v>
      </c>
      <c r="C5381">
        <v>0.94634446277357498</v>
      </c>
      <c r="D5381">
        <v>0.89818808066059297</v>
      </c>
      <c r="E5381">
        <v>0.64612088423513903</v>
      </c>
      <c r="F5381">
        <v>0.22701772371019699</v>
      </c>
      <c r="G5381">
        <v>0.136429325684675</v>
      </c>
      <c r="H5381">
        <v>8.2237870299348495E-2</v>
      </c>
      <c r="I5381">
        <v>7.4417507704039904E-2</v>
      </c>
      <c r="J5381">
        <v>7.8922768935432597E-2</v>
      </c>
      <c r="K5381">
        <v>6.5795469617134103E-2</v>
      </c>
      <c r="L5381">
        <v>1281.38124491602</v>
      </c>
      <c r="M5381">
        <v>25.467591691899599</v>
      </c>
      <c r="N5381">
        <v>50.618661603573202</v>
      </c>
      <c r="O5381">
        <v>50.007050427085602</v>
      </c>
      <c r="P5381">
        <v>-0.11827977808272799</v>
      </c>
      <c r="Q5381">
        <v>7.1015648904928702E-2</v>
      </c>
      <c r="R5381">
        <v>0.997052747260189</v>
      </c>
      <c r="S5381" t="s">
        <v>11833</v>
      </c>
      <c r="T5381" t="s">
        <v>12902</v>
      </c>
      <c r="U5381" t="s">
        <v>12902</v>
      </c>
      <c r="V5381" t="s">
        <v>12902</v>
      </c>
      <c r="W5381" t="s">
        <v>18234</v>
      </c>
      <c r="X5381">
        <v>40</v>
      </c>
      <c r="Y5381" t="s">
        <v>20459</v>
      </c>
      <c r="Z5381" t="s">
        <v>30956</v>
      </c>
      <c r="AA5381">
        <v>0.39843368566656961</v>
      </c>
      <c r="AB5381" t="str">
        <f>HYPERLINK("Melting_Curves/meltCurve_Q9C0C9_UBE2O.pdf", "Melting_Curves/meltCurve_Q9C0C9_UBE2O.pdf")</f>
        <v>Melting_Curves/meltCurve_Q9C0C9_UBE2O.pdf</v>
      </c>
    </row>
    <row r="5382" spans="1:28" x14ac:dyDescent="0.25">
      <c r="A5382" t="s">
        <v>5386</v>
      </c>
      <c r="B5382">
        <v>0.99673306730245903</v>
      </c>
      <c r="C5382">
        <v>1.0012399962724901</v>
      </c>
      <c r="D5382">
        <v>1.00409211112904</v>
      </c>
      <c r="E5382">
        <v>0.96830961744294097</v>
      </c>
      <c r="F5382">
        <v>0.54171399035010503</v>
      </c>
      <c r="G5382">
        <v>0.255864411635089</v>
      </c>
      <c r="H5382">
        <v>0.13110424513258101</v>
      </c>
      <c r="I5382">
        <v>0.11443776829626399</v>
      </c>
      <c r="J5382">
        <v>0.117166727691383</v>
      </c>
      <c r="K5382">
        <v>0.11213836076841401</v>
      </c>
      <c r="L5382">
        <v>1757.1070644869201</v>
      </c>
      <c r="M5382">
        <v>32.991665197011599</v>
      </c>
      <c r="N5382">
        <v>53.704141415078503</v>
      </c>
      <c r="O5382">
        <v>53.064578993640403</v>
      </c>
      <c r="P5382">
        <v>-0.13684254015605399</v>
      </c>
      <c r="Q5382">
        <v>0.119600626717494</v>
      </c>
      <c r="R5382">
        <v>0.99763546138866199</v>
      </c>
      <c r="S5382" t="s">
        <v>11834</v>
      </c>
      <c r="T5382" t="s">
        <v>12902</v>
      </c>
      <c r="U5382" t="s">
        <v>12902</v>
      </c>
      <c r="V5382" t="s">
        <v>12902</v>
      </c>
      <c r="W5382" t="s">
        <v>18235</v>
      </c>
      <c r="X5382">
        <v>5</v>
      </c>
      <c r="Y5382" t="s">
        <v>24527</v>
      </c>
      <c r="Z5382" t="s">
        <v>30957</v>
      </c>
      <c r="AA5382">
        <v>0.51346428615451789</v>
      </c>
      <c r="AB5382" t="str">
        <f>HYPERLINK("Melting_Curves/meltCurve_Q9C0D3_ZYG11B.pdf", "Melting_Curves/meltCurve_Q9C0D3_ZYG11B.pdf")</f>
        <v>Melting_Curves/meltCurve_Q9C0D3_ZYG11B.pdf</v>
      </c>
    </row>
    <row r="5383" spans="1:28" x14ac:dyDescent="0.25">
      <c r="A5383" t="s">
        <v>5387</v>
      </c>
      <c r="B5383">
        <v>0.99673306730245903</v>
      </c>
      <c r="C5383">
        <v>0.95209115869620697</v>
      </c>
      <c r="D5383">
        <v>0.86536765526290305</v>
      </c>
      <c r="E5383">
        <v>0.41917345194682598</v>
      </c>
      <c r="F5383">
        <v>0.28264571723821103</v>
      </c>
      <c r="G5383">
        <v>0.23389915885975701</v>
      </c>
      <c r="H5383">
        <v>0.12816156298765</v>
      </c>
      <c r="I5383">
        <v>0.13363994538722301</v>
      </c>
      <c r="J5383">
        <v>0.140578564724366</v>
      </c>
      <c r="K5383">
        <v>0.14176565044412201</v>
      </c>
      <c r="L5383">
        <v>1194.3675097222699</v>
      </c>
      <c r="M5383">
        <v>24.608510472883701</v>
      </c>
      <c r="N5383">
        <v>49.260465016747801</v>
      </c>
      <c r="O5383">
        <v>48.217649892388998</v>
      </c>
      <c r="P5383">
        <v>-0.108192352654732</v>
      </c>
      <c r="Q5383">
        <v>0.152048688395861</v>
      </c>
      <c r="R5383">
        <v>0.99084031407932105</v>
      </c>
      <c r="S5383" t="s">
        <v>11835</v>
      </c>
      <c r="T5383" t="s">
        <v>12902</v>
      </c>
      <c r="U5383" t="s">
        <v>12902</v>
      </c>
      <c r="V5383" t="s">
        <v>12902</v>
      </c>
      <c r="W5383" t="s">
        <v>18236</v>
      </c>
      <c r="X5383">
        <v>10</v>
      </c>
      <c r="Y5383" t="s">
        <v>24528</v>
      </c>
      <c r="Z5383" t="s">
        <v>30958</v>
      </c>
      <c r="AA5383">
        <v>0.40103158491082691</v>
      </c>
      <c r="AB5383" t="str">
        <f>HYPERLINK("Melting_Curves/meltCurve_Q9C0D5_2_TANC1.pdf", "Melting_Curves/meltCurve_Q9C0D5_2_TANC1.pdf")</f>
        <v>Melting_Curves/meltCurve_Q9C0D5_2_TANC1.pdf</v>
      </c>
    </row>
    <row r="5384" spans="1:28" x14ac:dyDescent="0.25">
      <c r="A5384" t="s">
        <v>5388</v>
      </c>
      <c r="B5384">
        <v>0.99673306730245903</v>
      </c>
      <c r="C5384">
        <v>1.00161927704978</v>
      </c>
      <c r="D5384">
        <v>0.98070432723379197</v>
      </c>
      <c r="E5384">
        <v>0.89869605783526396</v>
      </c>
      <c r="F5384">
        <v>0.88338439155706705</v>
      </c>
      <c r="G5384">
        <v>0.69389921773235097</v>
      </c>
      <c r="H5384">
        <v>0.60812251181849797</v>
      </c>
      <c r="I5384">
        <v>0.57854162971420298</v>
      </c>
      <c r="J5384">
        <v>0.38031426795900097</v>
      </c>
      <c r="K5384">
        <v>0.28003299227017098</v>
      </c>
      <c r="L5384">
        <v>560.52054236851302</v>
      </c>
      <c r="M5384">
        <v>8.7722723121623396</v>
      </c>
      <c r="N5384">
        <v>63.896841302688301</v>
      </c>
      <c r="O5384">
        <v>60.837291652128101</v>
      </c>
      <c r="P5384">
        <v>-3.6076941123211102E-2</v>
      </c>
      <c r="Q5384">
        <v>0</v>
      </c>
      <c r="R5384">
        <v>0.97828642535209498</v>
      </c>
      <c r="S5384" t="s">
        <v>11836</v>
      </c>
      <c r="T5384" t="s">
        <v>12902</v>
      </c>
      <c r="U5384" t="s">
        <v>12902</v>
      </c>
      <c r="V5384" t="s">
        <v>12902</v>
      </c>
      <c r="W5384" t="s">
        <v>18237</v>
      </c>
      <c r="X5384">
        <v>4</v>
      </c>
      <c r="Y5384" t="s">
        <v>24529</v>
      </c>
      <c r="Z5384" t="s">
        <v>30959</v>
      </c>
      <c r="AA5384">
        <v>0.74460976888785413</v>
      </c>
      <c r="AB5384" t="str">
        <f>HYPERLINK("Melting_Curves/meltCurve_Q9C0H2_2_TTYH3.pdf", "Melting_Curves/meltCurve_Q9C0H2_2_TTYH3.pdf")</f>
        <v>Melting_Curves/meltCurve_Q9C0H2_2_TTYH3.pdf</v>
      </c>
    </row>
    <row r="5385" spans="1:28" x14ac:dyDescent="0.25">
      <c r="A5385" t="s">
        <v>5389</v>
      </c>
      <c r="B5385">
        <v>0.99673306730245903</v>
      </c>
      <c r="C5385">
        <v>1.03917690555469</v>
      </c>
      <c r="D5385">
        <v>1.02842019851871</v>
      </c>
      <c r="E5385">
        <v>1.1012981513795901</v>
      </c>
      <c r="F5385">
        <v>0.98693638475768997</v>
      </c>
      <c r="G5385">
        <v>0.81226828928901496</v>
      </c>
      <c r="H5385">
        <v>0.34123092622894202</v>
      </c>
      <c r="I5385">
        <v>0.100342690262208</v>
      </c>
      <c r="J5385">
        <v>6.5430284738844796E-2</v>
      </c>
      <c r="K5385">
        <v>4.6861027941479602E-2</v>
      </c>
      <c r="L5385">
        <v>1985.98935754269</v>
      </c>
      <c r="M5385">
        <v>33.490003970935298</v>
      </c>
      <c r="N5385">
        <v>59.446622344471599</v>
      </c>
      <c r="O5385">
        <v>59.090722509572402</v>
      </c>
      <c r="P5385">
        <v>-0.13610874668055101</v>
      </c>
      <c r="Q5385">
        <v>3.93874390058985E-2</v>
      </c>
      <c r="R5385">
        <v>0.99281171405860502</v>
      </c>
      <c r="S5385" t="s">
        <v>11837</v>
      </c>
      <c r="T5385" t="s">
        <v>12902</v>
      </c>
      <c r="U5385" t="s">
        <v>12902</v>
      </c>
      <c r="V5385" t="s">
        <v>12902</v>
      </c>
      <c r="W5385" t="s">
        <v>18238</v>
      </c>
      <c r="X5385">
        <v>14</v>
      </c>
      <c r="Y5385" t="s">
        <v>24530</v>
      </c>
      <c r="Z5385" t="s">
        <v>30960</v>
      </c>
      <c r="AA5385">
        <v>0.66254390776331507</v>
      </c>
      <c r="AB5385" t="str">
        <f>HYPERLINK("Melting_Curves/meltCurve_Q9C0I1_MTMR12.pdf", "Melting_Curves/meltCurve_Q9C0I1_MTMR12.pdf")</f>
        <v>Melting_Curves/meltCurve_Q9C0I1_MTMR12.pdf</v>
      </c>
    </row>
    <row r="5386" spans="1:28" x14ac:dyDescent="0.25">
      <c r="A5386" t="s">
        <v>5390</v>
      </c>
      <c r="B5386">
        <v>0.99673306730245903</v>
      </c>
      <c r="C5386">
        <v>0.86440910633566503</v>
      </c>
      <c r="D5386">
        <v>0.84385197388824595</v>
      </c>
      <c r="E5386">
        <v>0.69916271903721905</v>
      </c>
      <c r="F5386">
        <v>0.37150356273485602</v>
      </c>
      <c r="G5386">
        <v>0.235393958729398</v>
      </c>
      <c r="H5386">
        <v>0.17574743460323899</v>
      </c>
      <c r="I5386">
        <v>0.22565886385256301</v>
      </c>
      <c r="J5386">
        <v>0.27110759356469899</v>
      </c>
      <c r="K5386">
        <v>0.27242885341890399</v>
      </c>
      <c r="L5386">
        <v>978.28803773408902</v>
      </c>
      <c r="M5386">
        <v>19.6113772475153</v>
      </c>
      <c r="N5386">
        <v>51.373727412114299</v>
      </c>
      <c r="O5386">
        <v>49.373724314650701</v>
      </c>
      <c r="P5386">
        <v>-7.7765263439553506E-2</v>
      </c>
      <c r="Q5386">
        <v>0.216898499560186</v>
      </c>
      <c r="R5386">
        <v>0.968424857951945</v>
      </c>
      <c r="S5386" t="s">
        <v>11838</v>
      </c>
      <c r="T5386" t="s">
        <v>12902</v>
      </c>
      <c r="U5386" t="s">
        <v>12902</v>
      </c>
      <c r="V5386" t="s">
        <v>12902</v>
      </c>
      <c r="W5386" t="s">
        <v>18239</v>
      </c>
      <c r="X5386">
        <v>7</v>
      </c>
      <c r="Y5386" t="s">
        <v>24531</v>
      </c>
      <c r="Z5386" t="s">
        <v>30961</v>
      </c>
      <c r="AA5386">
        <v>0.48623016971747218</v>
      </c>
      <c r="AB5386" t="str">
        <f>HYPERLINK("Melting_Curves/meltCurve_Q9C0J8_WDR33.pdf", "Melting_Curves/meltCurve_Q9C0J8_WDR33.pdf")</f>
        <v>Melting_Curves/meltCurve_Q9C0J8_WDR33.pdf</v>
      </c>
    </row>
    <row r="5387" spans="1:28" x14ac:dyDescent="0.25">
      <c r="A5387" t="s">
        <v>5391</v>
      </c>
      <c r="B5387">
        <v>0.99673306730245903</v>
      </c>
      <c r="C5387">
        <v>1.0160924160874101</v>
      </c>
      <c r="D5387">
        <v>0.94716252413419699</v>
      </c>
      <c r="E5387">
        <v>0.848002912731605</v>
      </c>
      <c r="F5387">
        <v>1.09914906448858</v>
      </c>
      <c r="G5387">
        <v>0.59535658929912205</v>
      </c>
      <c r="H5387">
        <v>0.48719294417241699</v>
      </c>
      <c r="I5387">
        <v>0.42388862290747797</v>
      </c>
      <c r="J5387">
        <v>0.37131276953308301</v>
      </c>
      <c r="K5387">
        <v>0.30682507220771799</v>
      </c>
      <c r="L5387">
        <v>14159.4176841017</v>
      </c>
      <c r="M5387">
        <v>250</v>
      </c>
      <c r="N5387">
        <v>56.998550900416298</v>
      </c>
      <c r="O5387">
        <v>56.634047947328497</v>
      </c>
      <c r="P5387">
        <v>-0.66512019033765202</v>
      </c>
      <c r="Q5387">
        <v>0.39730483821200302</v>
      </c>
      <c r="R5387">
        <v>0.93494043636394497</v>
      </c>
      <c r="S5387" t="s">
        <v>11839</v>
      </c>
      <c r="T5387" t="s">
        <v>12902</v>
      </c>
      <c r="U5387" t="s">
        <v>12902</v>
      </c>
      <c r="V5387" t="s">
        <v>12902</v>
      </c>
      <c r="W5387" t="s">
        <v>18240</v>
      </c>
      <c r="X5387">
        <v>1</v>
      </c>
      <c r="Y5387" t="s">
        <v>24532</v>
      </c>
      <c r="Z5387" t="s">
        <v>30962</v>
      </c>
      <c r="AA5387">
        <v>0.73161286691985261</v>
      </c>
      <c r="AB5387" t="str">
        <f>HYPERLINK("Melting_Curves/meltCurve_Q9C0K1_2_SLC39A8.pdf", "Melting_Curves/meltCurve_Q9C0K1_2_SLC39A8.pdf")</f>
        <v>Melting_Curves/meltCurve_Q9C0K1_2_SLC39A8.pdf</v>
      </c>
    </row>
    <row r="5388" spans="1:28" x14ac:dyDescent="0.25">
      <c r="A5388" t="s">
        <v>5392</v>
      </c>
      <c r="B5388">
        <v>0.99673306730245903</v>
      </c>
      <c r="C5388">
        <v>1.0187119637231901</v>
      </c>
      <c r="D5388">
        <v>0.98798444829559096</v>
      </c>
      <c r="E5388">
        <v>0.93980829651359299</v>
      </c>
      <c r="F5388">
        <v>0.662260199120975</v>
      </c>
      <c r="G5388">
        <v>0.45089646028244801</v>
      </c>
      <c r="H5388">
        <v>0.33565981210537998</v>
      </c>
      <c r="I5388">
        <v>0.46790670645474702</v>
      </c>
      <c r="J5388">
        <v>0.44786689119788697</v>
      </c>
      <c r="K5388">
        <v>0.277884744913034</v>
      </c>
      <c r="L5388">
        <v>1724.8910335697101</v>
      </c>
      <c r="M5388">
        <v>32.592537762282497</v>
      </c>
      <c r="N5388">
        <v>55.365524825779701</v>
      </c>
      <c r="O5388">
        <v>52.724842317852598</v>
      </c>
      <c r="P5388">
        <v>-9.5616185684749097E-2</v>
      </c>
      <c r="Q5388">
        <v>0.38129092884263599</v>
      </c>
      <c r="R5388">
        <v>0.96804355140944998</v>
      </c>
      <c r="S5388" t="s">
        <v>11840</v>
      </c>
      <c r="T5388" t="s">
        <v>12902</v>
      </c>
      <c r="U5388" t="s">
        <v>12902</v>
      </c>
      <c r="V5388" t="s">
        <v>12902</v>
      </c>
      <c r="W5388" t="s">
        <v>18241</v>
      </c>
      <c r="X5388">
        <v>10</v>
      </c>
      <c r="Y5388" t="s">
        <v>24533</v>
      </c>
      <c r="Z5388" t="s">
        <v>30963</v>
      </c>
      <c r="AA5388">
        <v>0.65121128005120454</v>
      </c>
      <c r="AB5388" t="str">
        <f>HYPERLINK("Melting_Curves/meltCurve_Q9GZL7_WDR12.pdf", "Melting_Curves/meltCurve_Q9GZL7_WDR12.pdf")</f>
        <v>Melting_Curves/meltCurve_Q9GZL7_WDR12.pdf</v>
      </c>
    </row>
    <row r="5389" spans="1:28" x14ac:dyDescent="0.25">
      <c r="A5389" t="s">
        <v>5393</v>
      </c>
      <c r="B5389">
        <v>0.99673306730245903</v>
      </c>
      <c r="C5389">
        <v>0.99353747559970595</v>
      </c>
      <c r="D5389">
        <v>0.91153609840459804</v>
      </c>
      <c r="E5389">
        <v>0.84994268259417805</v>
      </c>
      <c r="F5389">
        <v>0.55446245308647202</v>
      </c>
      <c r="G5389">
        <v>0.28551959668121302</v>
      </c>
      <c r="H5389">
        <v>0.12554728211205901</v>
      </c>
      <c r="I5389">
        <v>0.12847506522694199</v>
      </c>
      <c r="J5389">
        <v>0.100373247273798</v>
      </c>
      <c r="K5389">
        <v>7.5810342943628803E-2</v>
      </c>
      <c r="L5389">
        <v>1062.4391233338099</v>
      </c>
      <c r="M5389">
        <v>19.912706245105699</v>
      </c>
      <c r="N5389">
        <v>53.796857043675899</v>
      </c>
      <c r="O5389">
        <v>52.825464376357701</v>
      </c>
      <c r="P5389">
        <v>-8.7129472204785299E-2</v>
      </c>
      <c r="Q5389">
        <v>7.5464032327009906E-2</v>
      </c>
      <c r="R5389">
        <v>0.99713087068520001</v>
      </c>
      <c r="S5389" t="s">
        <v>11841</v>
      </c>
      <c r="T5389" t="s">
        <v>12902</v>
      </c>
      <c r="U5389" t="s">
        <v>12902</v>
      </c>
      <c r="V5389" t="s">
        <v>12902</v>
      </c>
      <c r="W5389" t="s">
        <v>18242</v>
      </c>
      <c r="X5389">
        <v>7</v>
      </c>
      <c r="Y5389" t="s">
        <v>24534</v>
      </c>
      <c r="Z5389" t="s">
        <v>30964</v>
      </c>
      <c r="AA5389">
        <v>0.49979701944655169</v>
      </c>
      <c r="AB5389" t="str">
        <f>HYPERLINK("Melting_Curves/meltCurve_Q9GZN8_C20orf27.pdf", "Melting_Curves/meltCurve_Q9GZN8_C20orf27.pdf")</f>
        <v>Melting_Curves/meltCurve_Q9GZN8_C20orf27.pdf</v>
      </c>
    </row>
    <row r="5390" spans="1:28" x14ac:dyDescent="0.25">
      <c r="A5390" t="s">
        <v>5394</v>
      </c>
      <c r="B5390">
        <v>0.99673306730245903</v>
      </c>
      <c r="C5390">
        <v>0.98503231510518796</v>
      </c>
      <c r="D5390">
        <v>0.94918027879460298</v>
      </c>
      <c r="E5390">
        <v>0.81127091342299096</v>
      </c>
      <c r="F5390">
        <v>0.68633155604953799</v>
      </c>
      <c r="G5390">
        <v>0.63956887269073703</v>
      </c>
      <c r="H5390">
        <v>0.43132923484723901</v>
      </c>
      <c r="I5390">
        <v>0.434629888138307</v>
      </c>
      <c r="J5390">
        <v>0.51938336282640196</v>
      </c>
      <c r="K5390">
        <v>0.48846732952819</v>
      </c>
      <c r="L5390">
        <v>813.64942651474996</v>
      </c>
      <c r="M5390">
        <v>15.5902559865419</v>
      </c>
      <c r="N5390">
        <v>61.652753132708703</v>
      </c>
      <c r="O5390">
        <v>51.353562081070997</v>
      </c>
      <c r="P5390">
        <v>-4.14188323331076E-2</v>
      </c>
      <c r="Q5390">
        <v>0.454320740704447</v>
      </c>
      <c r="R5390">
        <v>0.96569253950630696</v>
      </c>
      <c r="S5390" t="s">
        <v>11842</v>
      </c>
      <c r="T5390" t="s">
        <v>12902</v>
      </c>
      <c r="U5390" t="s">
        <v>12902</v>
      </c>
      <c r="V5390" t="s">
        <v>12902</v>
      </c>
      <c r="W5390" t="s">
        <v>18243</v>
      </c>
      <c r="X5390">
        <v>1</v>
      </c>
      <c r="Y5390" t="s">
        <v>24535</v>
      </c>
      <c r="Z5390" t="s">
        <v>30965</v>
      </c>
      <c r="AA5390">
        <v>0.68746708321304528</v>
      </c>
      <c r="AB5390" t="str">
        <f>HYPERLINK("Melting_Curves/meltCurve_Q9GZP1_NRSN2.pdf", "Melting_Curves/meltCurve_Q9GZP1_NRSN2.pdf")</f>
        <v>Melting_Curves/meltCurve_Q9GZP1_NRSN2.pdf</v>
      </c>
    </row>
    <row r="5391" spans="1:28" x14ac:dyDescent="0.25">
      <c r="A5391" t="s">
        <v>5395</v>
      </c>
      <c r="B5391">
        <v>0.99673306730245903</v>
      </c>
      <c r="C5391">
        <v>1.00034669250499</v>
      </c>
      <c r="D5391">
        <v>1.18795894753572</v>
      </c>
      <c r="E5391">
        <v>0.94508175564999297</v>
      </c>
      <c r="F5391">
        <v>0.77750435110249505</v>
      </c>
      <c r="G5391">
        <v>0.69995859550614004</v>
      </c>
      <c r="H5391">
        <v>0.53637331414504097</v>
      </c>
      <c r="I5391">
        <v>0.64676081077287895</v>
      </c>
      <c r="J5391">
        <v>0.87033581100570501</v>
      </c>
      <c r="K5391">
        <v>0.326501745145933</v>
      </c>
      <c r="L5391">
        <v>1538.29548674688</v>
      </c>
      <c r="M5391">
        <v>28.922947234912801</v>
      </c>
      <c r="O5391">
        <v>52.933669645367402</v>
      </c>
      <c r="P5391">
        <v>-5.4770099610749599E-2</v>
      </c>
      <c r="Q5391">
        <v>0.59905039365814605</v>
      </c>
      <c r="R5391">
        <v>0.66629237243241501</v>
      </c>
      <c r="S5391" t="s">
        <v>11843</v>
      </c>
      <c r="T5391" t="s">
        <v>12902</v>
      </c>
      <c r="U5391" t="s">
        <v>12902</v>
      </c>
      <c r="V5391" t="s">
        <v>12902</v>
      </c>
      <c r="W5391" t="s">
        <v>18244</v>
      </c>
      <c r="X5391">
        <v>10</v>
      </c>
      <c r="Y5391" t="s">
        <v>24536</v>
      </c>
      <c r="Z5391" t="s">
        <v>30966</v>
      </c>
      <c r="AA5391">
        <v>0.77808016083366083</v>
      </c>
      <c r="AB5391" t="str">
        <f>HYPERLINK("Melting_Curves/meltCurve_Q9GZP4_PITHD1.pdf", "Melting_Curves/meltCurve_Q9GZP4_PITHD1.pdf")</f>
        <v>Melting_Curves/meltCurve_Q9GZP4_PITHD1.pdf</v>
      </c>
    </row>
    <row r="5392" spans="1:28" x14ac:dyDescent="0.25">
      <c r="A5392" t="s">
        <v>5396</v>
      </c>
      <c r="B5392">
        <v>0.99673306730245903</v>
      </c>
      <c r="C5392">
        <v>0.91327879603346696</v>
      </c>
      <c r="D5392">
        <v>0.82337630346305002</v>
      </c>
      <c r="E5392">
        <v>0.66651305233954605</v>
      </c>
      <c r="F5392">
        <v>0.57368483883493804</v>
      </c>
      <c r="G5392">
        <v>0.43664693432271701</v>
      </c>
      <c r="H5392">
        <v>0.21756405361786399</v>
      </c>
      <c r="I5392">
        <v>0.140516626960173</v>
      </c>
      <c r="J5392">
        <v>0.13643399710349099</v>
      </c>
      <c r="K5392">
        <v>8.2271714017802297E-2</v>
      </c>
      <c r="L5392">
        <v>528.77401038575101</v>
      </c>
      <c r="M5392">
        <v>9.7950942278111199</v>
      </c>
      <c r="N5392">
        <v>53.983555007141703</v>
      </c>
      <c r="O5392">
        <v>51.8777755761637</v>
      </c>
      <c r="P5392">
        <v>-4.7227595622308299E-2</v>
      </c>
      <c r="Q5392">
        <v>0</v>
      </c>
      <c r="R5392">
        <v>0.99063744100416795</v>
      </c>
      <c r="S5392" t="s">
        <v>11844</v>
      </c>
      <c r="T5392" t="s">
        <v>12902</v>
      </c>
      <c r="U5392" t="s">
        <v>12902</v>
      </c>
      <c r="V5392" t="s">
        <v>12902</v>
      </c>
      <c r="W5392" t="s">
        <v>18245</v>
      </c>
      <c r="X5392">
        <v>3</v>
      </c>
      <c r="Y5392" t="s">
        <v>24537</v>
      </c>
      <c r="Z5392" t="s">
        <v>30967</v>
      </c>
      <c r="AA5392">
        <v>0.49681963241177052</v>
      </c>
      <c r="AB5392" t="str">
        <f>HYPERLINK("Melting_Curves/meltCurve_Q9GZP9_DERL2.pdf", "Melting_Curves/meltCurve_Q9GZP9_DERL2.pdf")</f>
        <v>Melting_Curves/meltCurve_Q9GZP9_DERL2.pdf</v>
      </c>
    </row>
    <row r="5393" spans="1:28" x14ac:dyDescent="0.25">
      <c r="A5393" t="s">
        <v>5397</v>
      </c>
      <c r="B5393">
        <v>0.99673306730245903</v>
      </c>
      <c r="C5393">
        <v>0.98285837298200596</v>
      </c>
      <c r="D5393">
        <v>0.98932925274869699</v>
      </c>
      <c r="E5393">
        <v>1.11420597121895</v>
      </c>
      <c r="F5393">
        <v>0.71597027044957096</v>
      </c>
      <c r="G5393">
        <v>0.34509316306676302</v>
      </c>
      <c r="H5393">
        <v>0.16519548013444699</v>
      </c>
      <c r="I5393">
        <v>0.14670892129379701</v>
      </c>
      <c r="J5393">
        <v>0.15773288485071499</v>
      </c>
      <c r="K5393">
        <v>0.109230413726461</v>
      </c>
      <c r="L5393">
        <v>1901.73635583176</v>
      </c>
      <c r="M5393">
        <v>34.819249673221897</v>
      </c>
      <c r="N5393">
        <v>55.138619211182302</v>
      </c>
      <c r="O5393">
        <v>54.4381701405079</v>
      </c>
      <c r="P5393">
        <v>-0.137479257001071</v>
      </c>
      <c r="Q5393">
        <v>0.140235086876007</v>
      </c>
      <c r="R5393">
        <v>0.98566876437406203</v>
      </c>
      <c r="S5393" t="s">
        <v>11845</v>
      </c>
      <c r="T5393" t="s">
        <v>12902</v>
      </c>
      <c r="U5393" t="s">
        <v>12902</v>
      </c>
      <c r="V5393" t="s">
        <v>12902</v>
      </c>
      <c r="W5393" t="s">
        <v>18246</v>
      </c>
      <c r="X5393">
        <v>3</v>
      </c>
      <c r="Y5393" t="s">
        <v>24538</v>
      </c>
      <c r="Z5393" t="s">
        <v>30968</v>
      </c>
      <c r="AA5393">
        <v>0.56341147305540884</v>
      </c>
      <c r="AB5393" t="str">
        <f>HYPERLINK("Melting_Curves/meltCurve_Q9GZQ3_COMMD5.pdf", "Melting_Curves/meltCurve_Q9GZQ3_COMMD5.pdf")</f>
        <v>Melting_Curves/meltCurve_Q9GZQ3_COMMD5.pdf</v>
      </c>
    </row>
    <row r="5394" spans="1:28" x14ac:dyDescent="0.25">
      <c r="A5394" t="s">
        <v>5398</v>
      </c>
      <c r="B5394">
        <v>0.99673306730245903</v>
      </c>
      <c r="C5394">
        <v>0.844331289101525</v>
      </c>
      <c r="D5394">
        <v>0.491933689096897</v>
      </c>
      <c r="E5394">
        <v>0.227340243468342</v>
      </c>
      <c r="F5394">
        <v>0.149742316204901</v>
      </c>
      <c r="G5394">
        <v>9.430110912471E-2</v>
      </c>
      <c r="H5394">
        <v>6.7517052151766593E-2</v>
      </c>
      <c r="I5394">
        <v>6.8443285708832E-2</v>
      </c>
      <c r="J5394">
        <v>7.2990129390895803E-2</v>
      </c>
      <c r="K5394">
        <v>6.2653543560060102E-2</v>
      </c>
      <c r="L5394">
        <v>1027.8338923864701</v>
      </c>
      <c r="M5394">
        <v>22.446995247265701</v>
      </c>
      <c r="N5394">
        <v>46.129988082310398</v>
      </c>
      <c r="O5394">
        <v>45.4306065974367</v>
      </c>
      <c r="P5394">
        <v>-0.114092381087417</v>
      </c>
      <c r="Q5394">
        <v>7.6369996801792295E-2</v>
      </c>
      <c r="R5394">
        <v>0.99689207141286695</v>
      </c>
      <c r="S5394" t="s">
        <v>11846</v>
      </c>
      <c r="T5394" t="s">
        <v>12902</v>
      </c>
      <c r="U5394" t="s">
        <v>12902</v>
      </c>
      <c r="V5394" t="s">
        <v>12902</v>
      </c>
      <c r="W5394" t="s">
        <v>18247</v>
      </c>
      <c r="X5394">
        <v>7</v>
      </c>
      <c r="Y5394" t="s">
        <v>24539</v>
      </c>
      <c r="Z5394" t="s">
        <v>30969</v>
      </c>
      <c r="AA5394">
        <v>0.26570926821289059</v>
      </c>
      <c r="AB5394" t="str">
        <f>HYPERLINK("Melting_Curves/meltCurve_Q9GZS1_2_POLR1E.pdf", "Melting_Curves/meltCurve_Q9GZS1_2_POLR1E.pdf")</f>
        <v>Melting_Curves/meltCurve_Q9GZS1_2_POLR1E.pdf</v>
      </c>
    </row>
    <row r="5395" spans="1:28" x14ac:dyDescent="0.25">
      <c r="A5395" t="s">
        <v>5399</v>
      </c>
      <c r="B5395">
        <v>0.99673306730245903</v>
      </c>
      <c r="C5395">
        <v>0.93019416183696702</v>
      </c>
      <c r="D5395">
        <v>0.80785038431897604</v>
      </c>
      <c r="E5395">
        <v>0.63513240409692295</v>
      </c>
      <c r="F5395">
        <v>0.52327368049130796</v>
      </c>
      <c r="G5395">
        <v>0.229012757720677</v>
      </c>
      <c r="H5395">
        <v>9.0539930047196196E-2</v>
      </c>
      <c r="I5395">
        <v>7.8466356415855698E-2</v>
      </c>
      <c r="J5395">
        <v>7.94424286234863E-2</v>
      </c>
      <c r="K5395">
        <v>7.4069297680660007E-2</v>
      </c>
      <c r="L5395">
        <v>652.09220652447198</v>
      </c>
      <c r="M5395">
        <v>12.5152136055752</v>
      </c>
      <c r="N5395">
        <v>52.128968542328103</v>
      </c>
      <c r="O5395">
        <v>50.827337181797901</v>
      </c>
      <c r="P5395">
        <v>-6.1385724576528397E-2</v>
      </c>
      <c r="Q5395">
        <v>2.9945405656316799E-3</v>
      </c>
      <c r="R5395">
        <v>0.98836545989743196</v>
      </c>
      <c r="S5395" t="s">
        <v>11847</v>
      </c>
      <c r="T5395" t="s">
        <v>12902</v>
      </c>
      <c r="U5395" t="s">
        <v>12902</v>
      </c>
      <c r="V5395" t="s">
        <v>12902</v>
      </c>
      <c r="W5395" t="s">
        <v>18248</v>
      </c>
      <c r="X5395">
        <v>12</v>
      </c>
      <c r="Y5395" t="s">
        <v>24540</v>
      </c>
      <c r="Z5395" t="s">
        <v>30970</v>
      </c>
      <c r="AA5395">
        <v>0.43394944930901003</v>
      </c>
      <c r="AB5395" t="str">
        <f>HYPERLINK("Melting_Curves/meltCurve_Q9GZS3_WDR61.pdf", "Melting_Curves/meltCurve_Q9GZS3_WDR61.pdf")</f>
        <v>Melting_Curves/meltCurve_Q9GZS3_WDR61.pdf</v>
      </c>
    </row>
    <row r="5396" spans="1:28" x14ac:dyDescent="0.25">
      <c r="A5396" t="s">
        <v>5400</v>
      </c>
      <c r="B5396">
        <v>0.99673306730245903</v>
      </c>
      <c r="C5396">
        <v>0.90574384310623801</v>
      </c>
      <c r="D5396">
        <v>0.58330652013379203</v>
      </c>
      <c r="E5396">
        <v>0.37656161617209799</v>
      </c>
      <c r="F5396">
        <v>0.41855993845179601</v>
      </c>
      <c r="G5396">
        <v>0.315132091312193</v>
      </c>
      <c r="H5396">
        <v>0.21533865179105999</v>
      </c>
      <c r="I5396">
        <v>0.24306523906459301</v>
      </c>
      <c r="J5396">
        <v>0.31819909954553699</v>
      </c>
      <c r="K5396">
        <v>0.37273167227750897</v>
      </c>
      <c r="L5396">
        <v>1238.0308271805</v>
      </c>
      <c r="M5396">
        <v>27.2216763601769</v>
      </c>
      <c r="N5396">
        <v>47.152756827717603</v>
      </c>
      <c r="O5396">
        <v>45.236284326541302</v>
      </c>
      <c r="P5396">
        <v>-0.10385297087692601</v>
      </c>
      <c r="Q5396">
        <v>0.30968579867512602</v>
      </c>
      <c r="R5396">
        <v>0.95844989672671999</v>
      </c>
      <c r="S5396" t="s">
        <v>11848</v>
      </c>
      <c r="T5396" t="s">
        <v>12902</v>
      </c>
      <c r="U5396" t="s">
        <v>12902</v>
      </c>
      <c r="V5396" t="s">
        <v>12902</v>
      </c>
      <c r="W5396" t="s">
        <v>18249</v>
      </c>
      <c r="X5396">
        <v>11</v>
      </c>
      <c r="Y5396" t="s">
        <v>24541</v>
      </c>
      <c r="Z5396" t="s">
        <v>30971</v>
      </c>
      <c r="AA5396">
        <v>0.44116691959014381</v>
      </c>
      <c r="AB5396" t="str">
        <f>HYPERLINK("Melting_Curves/meltCurve_Q9GZT3_SLIRP.pdf", "Melting_Curves/meltCurve_Q9GZT3_SLIRP.pdf")</f>
        <v>Melting_Curves/meltCurve_Q9GZT3_SLIRP.pdf</v>
      </c>
    </row>
    <row r="5397" spans="1:28" x14ac:dyDescent="0.25">
      <c r="A5397" t="s">
        <v>5401</v>
      </c>
      <c r="B5397">
        <v>0.99673306730245903</v>
      </c>
      <c r="C5397">
        <v>0.97779320284928795</v>
      </c>
      <c r="D5397">
        <v>0.95053497414204302</v>
      </c>
      <c r="E5397">
        <v>0.81324358589534795</v>
      </c>
      <c r="F5397">
        <v>0.57649753909907098</v>
      </c>
      <c r="G5397">
        <v>0.38213157095473399</v>
      </c>
      <c r="H5397">
        <v>0.293630841770954</v>
      </c>
      <c r="I5397">
        <v>0.23363195236572801</v>
      </c>
      <c r="J5397">
        <v>0.26769865946878402</v>
      </c>
      <c r="K5397">
        <v>0.243750232248859</v>
      </c>
      <c r="L5397">
        <v>998.208339283638</v>
      </c>
      <c r="M5397">
        <v>18.995583321262501</v>
      </c>
      <c r="N5397">
        <v>54.370102206770397</v>
      </c>
      <c r="O5397">
        <v>51.977477858402899</v>
      </c>
      <c r="P5397">
        <v>-6.9867636299341895E-2</v>
      </c>
      <c r="Q5397">
        <v>0.235316963928625</v>
      </c>
      <c r="R5397">
        <v>0.99868807156054096</v>
      </c>
      <c r="S5397" t="s">
        <v>11849</v>
      </c>
      <c r="T5397" t="s">
        <v>12902</v>
      </c>
      <c r="U5397" t="s">
        <v>12902</v>
      </c>
      <c r="V5397" t="s">
        <v>12902</v>
      </c>
      <c r="W5397" t="s">
        <v>18250</v>
      </c>
      <c r="X5397">
        <v>1</v>
      </c>
      <c r="Y5397" t="s">
        <v>24542</v>
      </c>
      <c r="Z5397" t="s">
        <v>30972</v>
      </c>
      <c r="AA5397">
        <v>0.56672890087521433</v>
      </c>
      <c r="AB5397" t="str">
        <f>HYPERLINK("Melting_Curves/meltCurve_Q9GZT5_WNT10A.pdf", "Melting_Curves/meltCurve_Q9GZT5_WNT10A.pdf")</f>
        <v>Melting_Curves/meltCurve_Q9GZT5_WNT10A.pdf</v>
      </c>
    </row>
    <row r="5398" spans="1:28" x14ac:dyDescent="0.25">
      <c r="A5398" t="s">
        <v>5402</v>
      </c>
      <c r="B5398">
        <v>0.99673306730245903</v>
      </c>
      <c r="C5398">
        <v>1.0233099520131499</v>
      </c>
      <c r="D5398">
        <v>0.94965631747833701</v>
      </c>
      <c r="E5398">
        <v>0.88065623117070202</v>
      </c>
      <c r="F5398">
        <v>0.80271555888213797</v>
      </c>
      <c r="G5398">
        <v>0.73592358468878305</v>
      </c>
      <c r="H5398">
        <v>0.51110354960217197</v>
      </c>
      <c r="I5398">
        <v>0.43311771444663499</v>
      </c>
      <c r="J5398">
        <v>0.41919226864078102</v>
      </c>
      <c r="K5398">
        <v>0.423894317931229</v>
      </c>
      <c r="L5398">
        <v>724.17587067272598</v>
      </c>
      <c r="M5398">
        <v>12.7110980702122</v>
      </c>
      <c r="N5398">
        <v>62.466364682702803</v>
      </c>
      <c r="O5398">
        <v>55.617043937053197</v>
      </c>
      <c r="P5398">
        <v>-3.7915162209103299E-2</v>
      </c>
      <c r="Q5398">
        <v>0.336540925619913</v>
      </c>
      <c r="R5398">
        <v>0.98305184752479002</v>
      </c>
      <c r="S5398" t="s">
        <v>11850</v>
      </c>
      <c r="T5398" t="s">
        <v>12902</v>
      </c>
      <c r="U5398" t="s">
        <v>12902</v>
      </c>
      <c r="V5398" t="s">
        <v>12902</v>
      </c>
      <c r="W5398" t="s">
        <v>18251</v>
      </c>
      <c r="X5398">
        <v>7</v>
      </c>
      <c r="Y5398" t="s">
        <v>24543</v>
      </c>
      <c r="Z5398" t="s">
        <v>30973</v>
      </c>
      <c r="AA5398">
        <v>0.72307800857250681</v>
      </c>
      <c r="AB5398" t="str">
        <f>HYPERLINK("Melting_Curves/meltCurve_Q9GZT6_2_CCDC90B.pdf", "Melting_Curves/meltCurve_Q9GZT6_2_CCDC90B.pdf")</f>
        <v>Melting_Curves/meltCurve_Q9GZT6_2_CCDC90B.pdf</v>
      </c>
    </row>
    <row r="5399" spans="1:28" x14ac:dyDescent="0.25">
      <c r="A5399" t="s">
        <v>5403</v>
      </c>
      <c r="B5399">
        <v>0.99673306730245903</v>
      </c>
      <c r="C5399">
        <v>0.95957551131491103</v>
      </c>
      <c r="D5399">
        <v>1.08804996061899</v>
      </c>
      <c r="E5399">
        <v>1.23048473359698</v>
      </c>
      <c r="F5399">
        <v>1.2833908258714</v>
      </c>
      <c r="G5399">
        <v>1.1796264262938501</v>
      </c>
      <c r="H5399">
        <v>1.1157284280595401</v>
      </c>
      <c r="I5399">
        <v>0.99502523621041195</v>
      </c>
      <c r="J5399">
        <v>0.33064669180017697</v>
      </c>
      <c r="K5399">
        <v>9.4808071632464005E-2</v>
      </c>
      <c r="L5399">
        <v>8695.9272029658696</v>
      </c>
      <c r="M5399">
        <v>130.633397729249</v>
      </c>
      <c r="N5399">
        <v>66.672840555336407</v>
      </c>
      <c r="O5399">
        <v>66.5518148818431</v>
      </c>
      <c r="P5399">
        <v>-0.44492934851127702</v>
      </c>
      <c r="Q5399">
        <v>9.3314401776439695E-2</v>
      </c>
      <c r="R5399">
        <v>0.86567297791699804</v>
      </c>
      <c r="S5399" t="s">
        <v>11851</v>
      </c>
      <c r="T5399" t="s">
        <v>12902</v>
      </c>
      <c r="U5399" t="s">
        <v>12902</v>
      </c>
      <c r="V5399" t="s">
        <v>12902</v>
      </c>
      <c r="W5399" t="s">
        <v>18252</v>
      </c>
      <c r="X5399">
        <v>12</v>
      </c>
      <c r="Y5399" t="s">
        <v>24544</v>
      </c>
      <c r="Z5399" t="s">
        <v>30974</v>
      </c>
      <c r="AA5399">
        <v>0.89661699141597129</v>
      </c>
      <c r="AB5399" t="str">
        <f>HYPERLINK("Melting_Curves/meltCurve_Q9GZT8_2_NIF3L1.pdf", "Melting_Curves/meltCurve_Q9GZT8_2_NIF3L1.pdf")</f>
        <v>Melting_Curves/meltCurve_Q9GZT8_2_NIF3L1.pdf</v>
      </c>
    </row>
    <row r="5400" spans="1:28" x14ac:dyDescent="0.25">
      <c r="A5400" t="s">
        <v>5404</v>
      </c>
      <c r="B5400">
        <v>0.99673306730245903</v>
      </c>
      <c r="C5400">
        <v>0.92446223133444905</v>
      </c>
      <c r="D5400">
        <v>0.84697308961266604</v>
      </c>
      <c r="E5400">
        <v>0.70119800993845705</v>
      </c>
      <c r="F5400">
        <v>0.49176679853822503</v>
      </c>
      <c r="G5400">
        <v>0.38256848921495401</v>
      </c>
      <c r="H5400">
        <v>0.25262640544285497</v>
      </c>
      <c r="I5400">
        <v>0.29244213792837898</v>
      </c>
      <c r="J5400">
        <v>0.33455889143516798</v>
      </c>
      <c r="K5400">
        <v>0.27793389080924302</v>
      </c>
      <c r="L5400">
        <v>771.53372445986895</v>
      </c>
      <c r="M5400">
        <v>15.319677007595899</v>
      </c>
      <c r="N5400">
        <v>53.012175651274397</v>
      </c>
      <c r="O5400">
        <v>49.527529112961197</v>
      </c>
      <c r="P5400">
        <v>-5.6647711867406102E-2</v>
      </c>
      <c r="Q5400">
        <v>0.26751451572039697</v>
      </c>
      <c r="R5400">
        <v>0.98882021883364501</v>
      </c>
      <c r="S5400" t="s">
        <v>11852</v>
      </c>
      <c r="T5400" t="s">
        <v>12902</v>
      </c>
      <c r="U5400" t="s">
        <v>12902</v>
      </c>
      <c r="V5400" t="s">
        <v>12902</v>
      </c>
      <c r="W5400" t="s">
        <v>18253</v>
      </c>
      <c r="X5400">
        <v>14</v>
      </c>
      <c r="Y5400" t="s">
        <v>24545</v>
      </c>
      <c r="Z5400" t="s">
        <v>30975</v>
      </c>
      <c r="AA5400">
        <v>0.53716672064723925</v>
      </c>
      <c r="AB5400" t="str">
        <f>HYPERLINK("Melting_Curves/meltCurve_Q9GZT9_EGLN1.pdf", "Melting_Curves/meltCurve_Q9GZT9_EGLN1.pdf")</f>
        <v>Melting_Curves/meltCurve_Q9GZT9_EGLN1.pdf</v>
      </c>
    </row>
    <row r="5401" spans="1:28" x14ac:dyDescent="0.25">
      <c r="A5401" t="s">
        <v>5405</v>
      </c>
      <c r="B5401">
        <v>0.99673306730245903</v>
      </c>
      <c r="C5401">
        <v>0.92029043339491401</v>
      </c>
      <c r="D5401">
        <v>0.94922990100649096</v>
      </c>
      <c r="E5401">
        <v>0.90876230815950998</v>
      </c>
      <c r="F5401">
        <v>0.80887105502447698</v>
      </c>
      <c r="G5401">
        <v>0.715705697423905</v>
      </c>
      <c r="H5401">
        <v>0.67697528315891897</v>
      </c>
      <c r="I5401">
        <v>0.87702461916498298</v>
      </c>
      <c r="J5401">
        <v>1.2686596767320799</v>
      </c>
      <c r="K5401">
        <v>1.19579901723856</v>
      </c>
      <c r="L5401">
        <v>10123.7904825039</v>
      </c>
      <c r="M5401">
        <v>250</v>
      </c>
      <c r="O5401">
        <v>40.492576599417099</v>
      </c>
      <c r="P5401">
        <v>-0.116393447747041</v>
      </c>
      <c r="Q5401">
        <v>0.92459088182826499</v>
      </c>
      <c r="R5401">
        <v>1.4725184378982599E-2</v>
      </c>
      <c r="S5401" t="s">
        <v>11853</v>
      </c>
      <c r="T5401" t="s">
        <v>12902</v>
      </c>
      <c r="U5401" t="s">
        <v>12902</v>
      </c>
      <c r="V5401" t="s">
        <v>12902</v>
      </c>
      <c r="W5401" t="s">
        <v>18254</v>
      </c>
      <c r="X5401">
        <v>21</v>
      </c>
      <c r="Y5401" t="s">
        <v>24546</v>
      </c>
      <c r="Z5401" t="s">
        <v>30976</v>
      </c>
      <c r="AA5401">
        <v>0.92585835454134546</v>
      </c>
      <c r="AB5401" t="str">
        <f>HYPERLINK("Melting_Curves/meltCurve_Q9GZU8_FAM192A.pdf", "Melting_Curves/meltCurve_Q9GZU8_FAM192A.pdf")</f>
        <v>Melting_Curves/meltCurve_Q9GZU8_FAM192A.pdf</v>
      </c>
    </row>
    <row r="5402" spans="1:28" x14ac:dyDescent="0.25">
      <c r="A5402" t="s">
        <v>5406</v>
      </c>
      <c r="B5402">
        <v>0.99673306730245903</v>
      </c>
      <c r="C5402">
        <v>1.0058167349192</v>
      </c>
      <c r="D5402">
        <v>0.94415874331703598</v>
      </c>
      <c r="E5402">
        <v>0.81644349465884902</v>
      </c>
      <c r="F5402">
        <v>0.66861993671676201</v>
      </c>
      <c r="G5402">
        <v>0.492319739066722</v>
      </c>
      <c r="H5402">
        <v>0.35248633204229102</v>
      </c>
      <c r="I5402">
        <v>0.470643234944295</v>
      </c>
      <c r="J5402">
        <v>0.59818686680254296</v>
      </c>
      <c r="K5402">
        <v>0.52823174864404798</v>
      </c>
      <c r="L5402">
        <v>1250.83661365034</v>
      </c>
      <c r="M5402">
        <v>24.504511965774299</v>
      </c>
      <c r="N5402">
        <v>59.331608699027399</v>
      </c>
      <c r="O5402">
        <v>50.708850022099099</v>
      </c>
      <c r="P5402">
        <v>-6.2377128019210103E-2</v>
      </c>
      <c r="Q5402">
        <v>0.48368263020916402</v>
      </c>
      <c r="R5402">
        <v>0.92407333546000103</v>
      </c>
      <c r="S5402" t="s">
        <v>11854</v>
      </c>
      <c r="T5402" t="s">
        <v>12902</v>
      </c>
      <c r="U5402" t="s">
        <v>12902</v>
      </c>
      <c r="V5402" t="s">
        <v>12902</v>
      </c>
      <c r="W5402" t="s">
        <v>18255</v>
      </c>
      <c r="X5402">
        <v>4</v>
      </c>
      <c r="Y5402" t="s">
        <v>24547</v>
      </c>
      <c r="Z5402" t="s">
        <v>30977</v>
      </c>
      <c r="AA5402">
        <v>0.67862982519939996</v>
      </c>
      <c r="AB5402" t="str">
        <f>HYPERLINK("Melting_Curves/meltCurve_Q9GZX9_TWSG1.pdf", "Melting_Curves/meltCurve_Q9GZX9_TWSG1.pdf")</f>
        <v>Melting_Curves/meltCurve_Q9GZX9_TWSG1.pdf</v>
      </c>
    </row>
    <row r="5403" spans="1:28" x14ac:dyDescent="0.25">
      <c r="A5403" t="s">
        <v>5407</v>
      </c>
      <c r="B5403">
        <v>0.99673306730245903</v>
      </c>
      <c r="C5403">
        <v>0.91144632998679898</v>
      </c>
      <c r="D5403">
        <v>0.74936549797458196</v>
      </c>
      <c r="E5403">
        <v>0.53881796970618401</v>
      </c>
      <c r="F5403">
        <v>0.38972983553561102</v>
      </c>
      <c r="G5403">
        <v>0.26889979445161</v>
      </c>
      <c r="H5403">
        <v>0.19422531114363201</v>
      </c>
      <c r="I5403">
        <v>0.20001619139610599</v>
      </c>
      <c r="J5403">
        <v>0.35823060424531</v>
      </c>
      <c r="K5403">
        <v>0.25361051673789903</v>
      </c>
      <c r="L5403">
        <v>831.47406236461404</v>
      </c>
      <c r="M5403">
        <v>17.278984038511901</v>
      </c>
      <c r="N5403">
        <v>50.043034119144103</v>
      </c>
      <c r="O5403">
        <v>47.489902050373203</v>
      </c>
      <c r="P5403">
        <v>-6.8902221672126701E-2</v>
      </c>
      <c r="Q5403">
        <v>0.24255530688072999</v>
      </c>
      <c r="R5403">
        <v>0.97321673547295795</v>
      </c>
      <c r="S5403" t="s">
        <v>11855</v>
      </c>
      <c r="T5403" t="s">
        <v>12902</v>
      </c>
      <c r="U5403" t="s">
        <v>12902</v>
      </c>
      <c r="V5403" t="s">
        <v>12902</v>
      </c>
      <c r="W5403" t="s">
        <v>18256</v>
      </c>
      <c r="X5403">
        <v>8</v>
      </c>
      <c r="Y5403" t="s">
        <v>24548</v>
      </c>
      <c r="Z5403" t="s">
        <v>30978</v>
      </c>
      <c r="AA5403">
        <v>0.46215681808381642</v>
      </c>
      <c r="AB5403" t="str">
        <f>HYPERLINK("Melting_Curves/meltCurve_Q9GZY8_2_MFF.pdf", "Melting_Curves/meltCurve_Q9GZY8_2_MFF.pdf")</f>
        <v>Melting_Curves/meltCurve_Q9GZY8_2_MFF.pdf</v>
      </c>
    </row>
    <row r="5404" spans="1:28" x14ac:dyDescent="0.25">
      <c r="A5404" t="s">
        <v>5408</v>
      </c>
      <c r="B5404">
        <v>0.99673306730245903</v>
      </c>
      <c r="C5404">
        <v>0.96662026684565905</v>
      </c>
      <c r="D5404">
        <v>0.91782019965057204</v>
      </c>
      <c r="E5404">
        <v>0.84407825634424105</v>
      </c>
      <c r="F5404">
        <v>0.58810462774143002</v>
      </c>
      <c r="G5404">
        <v>0.33123939737083102</v>
      </c>
      <c r="H5404">
        <v>0.24272311060111701</v>
      </c>
      <c r="I5404">
        <v>0.256011166908654</v>
      </c>
      <c r="J5404">
        <v>0.21718553264241899</v>
      </c>
      <c r="K5404">
        <v>0.27174159194755099</v>
      </c>
      <c r="L5404">
        <v>1163.6480068743699</v>
      </c>
      <c r="M5404">
        <v>22.128302631969799</v>
      </c>
      <c r="N5404">
        <v>54.090606065463902</v>
      </c>
      <c r="O5404">
        <v>52.162595411322798</v>
      </c>
      <c r="P5404">
        <v>-8.1687327096433504E-2</v>
      </c>
      <c r="Q5404">
        <v>0.229777335802375</v>
      </c>
      <c r="R5404">
        <v>0.99302633696260201</v>
      </c>
      <c r="S5404" t="s">
        <v>11856</v>
      </c>
      <c r="T5404" t="s">
        <v>12902</v>
      </c>
      <c r="U5404" t="s">
        <v>12902</v>
      </c>
      <c r="V5404" t="s">
        <v>12902</v>
      </c>
      <c r="W5404" t="s">
        <v>18257</v>
      </c>
      <c r="X5404">
        <v>6</v>
      </c>
      <c r="Y5404" t="s">
        <v>24548</v>
      </c>
      <c r="Z5404" t="s">
        <v>30979</v>
      </c>
      <c r="AA5404">
        <v>0.56179415856969017</v>
      </c>
      <c r="AB5404" t="str">
        <f>HYPERLINK("Melting_Curves/meltCurve_Q9GZY8_5_MFF.pdf", "Melting_Curves/meltCurve_Q9GZY8_5_MFF.pdf")</f>
        <v>Melting_Curves/meltCurve_Q9GZY8_5_MFF.pdf</v>
      </c>
    </row>
    <row r="5405" spans="1:28" x14ac:dyDescent="0.25">
      <c r="A5405" t="s">
        <v>5409</v>
      </c>
      <c r="B5405">
        <v>0.99673306730245903</v>
      </c>
      <c r="C5405">
        <v>1.0128731629307</v>
      </c>
      <c r="D5405">
        <v>0.97493416008961398</v>
      </c>
      <c r="E5405">
        <v>0.89804792333604699</v>
      </c>
      <c r="F5405">
        <v>0.68687164780603505</v>
      </c>
      <c r="G5405">
        <v>0.29990009469379503</v>
      </c>
      <c r="H5405">
        <v>0.149386498424461</v>
      </c>
      <c r="I5405">
        <v>0.12656375807866299</v>
      </c>
      <c r="J5405">
        <v>0.105819010985904</v>
      </c>
      <c r="K5405">
        <v>8.9694277724308394E-2</v>
      </c>
      <c r="L5405">
        <v>1383.21517183936</v>
      </c>
      <c r="M5405">
        <v>25.472657132818799</v>
      </c>
      <c r="N5405">
        <v>54.754338299590003</v>
      </c>
      <c r="O5405">
        <v>53.970608552197703</v>
      </c>
      <c r="P5405">
        <v>-0.10679790092966999</v>
      </c>
      <c r="Q5405">
        <v>9.4892202823534499E-2</v>
      </c>
      <c r="R5405">
        <v>0.99850511528547503</v>
      </c>
      <c r="S5405" t="s">
        <v>11857</v>
      </c>
      <c r="T5405" t="s">
        <v>12902</v>
      </c>
      <c r="U5405" t="s">
        <v>12902</v>
      </c>
      <c r="V5405" t="s">
        <v>12902</v>
      </c>
      <c r="W5405" t="s">
        <v>18258</v>
      </c>
      <c r="X5405">
        <v>10</v>
      </c>
      <c r="Y5405" t="s">
        <v>24549</v>
      </c>
      <c r="Z5405" t="s">
        <v>30980</v>
      </c>
      <c r="AA5405">
        <v>0.53448730991995241</v>
      </c>
      <c r="AB5405" t="str">
        <f>HYPERLINK("Melting_Curves/meltCurve_Q9GZZ9_UBA5.pdf", "Melting_Curves/meltCurve_Q9GZZ9_UBA5.pdf")</f>
        <v>Melting_Curves/meltCurve_Q9GZZ9_UBA5.pdf</v>
      </c>
    </row>
    <row r="5406" spans="1:28" x14ac:dyDescent="0.25">
      <c r="A5406" t="s">
        <v>5410</v>
      </c>
      <c r="B5406">
        <v>0.99673306730245903</v>
      </c>
      <c r="C5406">
        <v>0.89005143474341597</v>
      </c>
      <c r="D5406">
        <v>0.81699341947068904</v>
      </c>
      <c r="E5406">
        <v>0.79669567439976496</v>
      </c>
      <c r="F5406">
        <v>0.71002367374501796</v>
      </c>
      <c r="G5406">
        <v>0.48671249334007899</v>
      </c>
      <c r="H5406">
        <v>0.26790256038757798</v>
      </c>
      <c r="I5406">
        <v>8.9818240960913898E-2</v>
      </c>
      <c r="J5406">
        <v>8.5351936549067198E-2</v>
      </c>
      <c r="K5406">
        <v>8.3336417213592404E-2</v>
      </c>
      <c r="L5406">
        <v>672.29581895429897</v>
      </c>
      <c r="M5406">
        <v>12.064459210574499</v>
      </c>
      <c r="N5406">
        <v>55.725331837120898</v>
      </c>
      <c r="O5406">
        <v>54.260528354564599</v>
      </c>
      <c r="P5406">
        <v>-5.5598923138818701E-2</v>
      </c>
      <c r="Q5406">
        <v>0</v>
      </c>
      <c r="R5406">
        <v>0.97119021796580196</v>
      </c>
      <c r="S5406" t="s">
        <v>11858</v>
      </c>
      <c r="T5406" t="s">
        <v>12902</v>
      </c>
      <c r="U5406" t="s">
        <v>12902</v>
      </c>
      <c r="V5406" t="s">
        <v>12902</v>
      </c>
      <c r="W5406" t="s">
        <v>18259</v>
      </c>
      <c r="X5406">
        <v>6</v>
      </c>
      <c r="Y5406" t="s">
        <v>24550</v>
      </c>
      <c r="Z5406" t="s">
        <v>30981</v>
      </c>
      <c r="AA5406">
        <v>0.54539366404433098</v>
      </c>
      <c r="AB5406" t="str">
        <f>HYPERLINK("Melting_Curves/meltCurve_Q9H008_LHPP.pdf", "Melting_Curves/meltCurve_Q9H008_LHPP.pdf")</f>
        <v>Melting_Curves/meltCurve_Q9H008_LHPP.pdf</v>
      </c>
    </row>
    <row r="5407" spans="1:28" x14ac:dyDescent="0.25">
      <c r="A5407" t="s">
        <v>5411</v>
      </c>
      <c r="B5407">
        <v>0.99673306730245903</v>
      </c>
      <c r="C5407">
        <v>0.93251476319590398</v>
      </c>
      <c r="D5407">
        <v>0.75475126332682296</v>
      </c>
      <c r="E5407">
        <v>0.46231451306077898</v>
      </c>
      <c r="F5407">
        <v>0.215786395577199</v>
      </c>
      <c r="G5407">
        <v>0.109984346761882</v>
      </c>
      <c r="H5407">
        <v>7.3796776503468303E-2</v>
      </c>
      <c r="I5407">
        <v>6.2664488767686294E-2</v>
      </c>
      <c r="J5407">
        <v>7.7349248524217804E-2</v>
      </c>
      <c r="K5407">
        <v>0.100196380960107</v>
      </c>
      <c r="L5407">
        <v>935.46922360350095</v>
      </c>
      <c r="M5407">
        <v>19.234607707520301</v>
      </c>
      <c r="N5407">
        <v>49.004762755282698</v>
      </c>
      <c r="O5407">
        <v>48.118148138380903</v>
      </c>
      <c r="P5407">
        <v>-9.3182352466965199E-2</v>
      </c>
      <c r="Q5407">
        <v>6.7598907548042306E-2</v>
      </c>
      <c r="R5407">
        <v>0.99847964982496695</v>
      </c>
      <c r="S5407" t="s">
        <v>11859</v>
      </c>
      <c r="T5407" t="s">
        <v>12902</v>
      </c>
      <c r="U5407" t="s">
        <v>12902</v>
      </c>
      <c r="V5407" t="s">
        <v>12902</v>
      </c>
      <c r="W5407" t="s">
        <v>18260</v>
      </c>
      <c r="X5407">
        <v>4</v>
      </c>
      <c r="Y5407" t="s">
        <v>24551</v>
      </c>
      <c r="Z5407" t="s">
        <v>30982</v>
      </c>
      <c r="AA5407">
        <v>0.35017568526469572</v>
      </c>
      <c r="AB5407" t="str">
        <f>HYPERLINK("Melting_Curves/meltCurve_Q9H019_3_MTFR1L.pdf", "Melting_Curves/meltCurve_Q9H019_3_MTFR1L.pdf")</f>
        <v>Melting_Curves/meltCurve_Q9H019_3_MTFR1L.pdf</v>
      </c>
    </row>
    <row r="5408" spans="1:28" x14ac:dyDescent="0.25">
      <c r="A5408" t="s">
        <v>5412</v>
      </c>
      <c r="B5408">
        <v>0.99673306730245903</v>
      </c>
      <c r="C5408">
        <v>0.97577787370436697</v>
      </c>
      <c r="D5408">
        <v>0.89696057894915304</v>
      </c>
      <c r="E5408">
        <v>0.80545692358610699</v>
      </c>
      <c r="F5408">
        <v>0.61374842301587895</v>
      </c>
      <c r="G5408">
        <v>0.60955436099701299</v>
      </c>
      <c r="H5408">
        <v>0.296458710489655</v>
      </c>
      <c r="I5408">
        <v>0.25493511212706299</v>
      </c>
      <c r="J5408">
        <v>0.28874221364229102</v>
      </c>
      <c r="K5408">
        <v>0.25277571659398101</v>
      </c>
      <c r="L5408">
        <v>624.024611025338</v>
      </c>
      <c r="M5408">
        <v>11.3903479413349</v>
      </c>
      <c r="N5408">
        <v>56.8032056464452</v>
      </c>
      <c r="O5408">
        <v>53.178264885581797</v>
      </c>
      <c r="P5408">
        <v>-4.4651509701736501E-2</v>
      </c>
      <c r="Q5408">
        <v>0.16638553659522801</v>
      </c>
      <c r="R5408">
        <v>0.97305590573756295</v>
      </c>
      <c r="S5408" t="s">
        <v>11860</v>
      </c>
      <c r="T5408" t="s">
        <v>12902</v>
      </c>
      <c r="U5408" t="s">
        <v>12902</v>
      </c>
      <c r="V5408" t="s">
        <v>12902</v>
      </c>
      <c r="W5408" t="s">
        <v>18261</v>
      </c>
      <c r="X5408">
        <v>2</v>
      </c>
      <c r="Y5408" t="s">
        <v>24552</v>
      </c>
      <c r="Z5408" t="s">
        <v>30983</v>
      </c>
      <c r="AA5408">
        <v>0.59802957994477701</v>
      </c>
      <c r="AB5408" t="str">
        <f>HYPERLINK("Melting_Curves/meltCurve_Q9H061_TMEM126A.pdf", "Melting_Curves/meltCurve_Q9H061_TMEM126A.pdf")</f>
        <v>Melting_Curves/meltCurve_Q9H061_TMEM126A.pdf</v>
      </c>
    </row>
    <row r="5409" spans="1:28" x14ac:dyDescent="0.25">
      <c r="A5409" t="s">
        <v>5413</v>
      </c>
      <c r="B5409">
        <v>0.99673306730245903</v>
      </c>
      <c r="C5409">
        <v>0.97420664568569604</v>
      </c>
      <c r="D5409">
        <v>0.86355335057587101</v>
      </c>
      <c r="E5409">
        <v>0.87436900444042598</v>
      </c>
      <c r="F5409">
        <v>0.22826618386170799</v>
      </c>
      <c r="G5409">
        <v>0.14066060160641</v>
      </c>
      <c r="H5409">
        <v>8.3629434413912698E-2</v>
      </c>
      <c r="I5409">
        <v>7.7228572578886198E-2</v>
      </c>
      <c r="J5409">
        <v>7.0460655101945296E-2</v>
      </c>
      <c r="K5409">
        <v>6.0340513503448198E-2</v>
      </c>
      <c r="L5409">
        <v>2426.3132952412998</v>
      </c>
      <c r="M5409">
        <v>47.185411304872297</v>
      </c>
      <c r="N5409">
        <v>51.618198500098899</v>
      </c>
      <c r="O5409">
        <v>51.328733470922501</v>
      </c>
      <c r="P5409">
        <v>-0.21085184547028599</v>
      </c>
      <c r="Q5409">
        <v>8.2534567819851606E-2</v>
      </c>
      <c r="R5409">
        <v>0.98682672834733198</v>
      </c>
      <c r="S5409" t="s">
        <v>11861</v>
      </c>
      <c r="T5409" t="s">
        <v>12902</v>
      </c>
      <c r="U5409" t="s">
        <v>12902</v>
      </c>
      <c r="V5409" t="s">
        <v>12902</v>
      </c>
      <c r="W5409" t="s">
        <v>18262</v>
      </c>
      <c r="X5409">
        <v>8</v>
      </c>
      <c r="Y5409" t="s">
        <v>24553</v>
      </c>
      <c r="Z5409" t="s">
        <v>30984</v>
      </c>
      <c r="AA5409">
        <v>0.43414670771374447</v>
      </c>
      <c r="AB5409" t="str">
        <f>HYPERLINK("Melting_Curves/meltCurve_Q9H074_PAIP1.pdf", "Melting_Curves/meltCurve_Q9H074_PAIP1.pdf")</f>
        <v>Melting_Curves/meltCurve_Q9H074_PAIP1.pdf</v>
      </c>
    </row>
    <row r="5410" spans="1:28" x14ac:dyDescent="0.25">
      <c r="A5410" t="s">
        <v>5414</v>
      </c>
      <c r="B5410">
        <v>0.99673306730245903</v>
      </c>
      <c r="C5410">
        <v>0.96049270931614295</v>
      </c>
      <c r="D5410">
        <v>0.91997418660258001</v>
      </c>
      <c r="E5410">
        <v>0.95092947576862596</v>
      </c>
      <c r="F5410">
        <v>0.523506811850458</v>
      </c>
      <c r="G5410">
        <v>0.17817125323904601</v>
      </c>
      <c r="H5410">
        <v>0.113011160179787</v>
      </c>
      <c r="I5410">
        <v>0.100646607678223</v>
      </c>
      <c r="J5410">
        <v>0.112981236898993</v>
      </c>
      <c r="K5410">
        <v>9.8059050858728597E-2</v>
      </c>
      <c r="L5410">
        <v>1987.52706913153</v>
      </c>
      <c r="M5410">
        <v>37.472077730190598</v>
      </c>
      <c r="N5410">
        <v>53.3743543912462</v>
      </c>
      <c r="O5410">
        <v>52.889839042460501</v>
      </c>
      <c r="P5410">
        <v>-0.15860562654247501</v>
      </c>
      <c r="Q5410">
        <v>0.10454896464105499</v>
      </c>
      <c r="R5410">
        <v>0.99497764070445804</v>
      </c>
      <c r="S5410" t="s">
        <v>11862</v>
      </c>
      <c r="T5410" t="s">
        <v>12902</v>
      </c>
      <c r="U5410" t="s">
        <v>12902</v>
      </c>
      <c r="V5410" t="s">
        <v>12902</v>
      </c>
      <c r="W5410" t="s">
        <v>18263</v>
      </c>
      <c r="X5410">
        <v>32</v>
      </c>
      <c r="Y5410" t="s">
        <v>24554</v>
      </c>
      <c r="Z5410" t="s">
        <v>30985</v>
      </c>
      <c r="AA5410">
        <v>0.4975157844402544</v>
      </c>
      <c r="AB5410" t="str">
        <f>HYPERLINK("Melting_Curves/meltCurve_Q9H078_2_CLPB.pdf", "Melting_Curves/meltCurve_Q9H078_2_CLPB.pdf")</f>
        <v>Melting_Curves/meltCurve_Q9H078_2_CLPB.pdf</v>
      </c>
    </row>
    <row r="5411" spans="1:28" x14ac:dyDescent="0.25">
      <c r="A5411" t="s">
        <v>5415</v>
      </c>
      <c r="B5411">
        <v>0.99673306730245903</v>
      </c>
      <c r="C5411">
        <v>0.95026535543490398</v>
      </c>
      <c r="D5411">
        <v>0.88953247811883496</v>
      </c>
      <c r="E5411">
        <v>0.74736972508743804</v>
      </c>
      <c r="F5411">
        <v>0.95030565502091802</v>
      </c>
      <c r="G5411">
        <v>0.55137062895035505</v>
      </c>
      <c r="H5411">
        <v>0.26618487908354999</v>
      </c>
      <c r="I5411">
        <v>0.134543724278158</v>
      </c>
      <c r="J5411">
        <v>0.102780877079876</v>
      </c>
      <c r="K5411">
        <v>7.7381373604020698E-2</v>
      </c>
      <c r="L5411">
        <v>1028.99294755857</v>
      </c>
      <c r="M5411">
        <v>17.8890530689672</v>
      </c>
      <c r="N5411">
        <v>57.650603247149398</v>
      </c>
      <c r="O5411">
        <v>56.816473109347498</v>
      </c>
      <c r="P5411">
        <v>-7.7164581655973799E-2</v>
      </c>
      <c r="Q5411">
        <v>1.9736180650454401E-2</v>
      </c>
      <c r="R5411">
        <v>0.94640735717251401</v>
      </c>
      <c r="S5411" t="s">
        <v>11863</v>
      </c>
      <c r="T5411" t="s">
        <v>12902</v>
      </c>
      <c r="U5411" t="s">
        <v>12902</v>
      </c>
      <c r="V5411" t="s">
        <v>12902</v>
      </c>
      <c r="W5411" t="s">
        <v>18264</v>
      </c>
      <c r="X5411">
        <v>4</v>
      </c>
      <c r="Y5411" t="s">
        <v>24555</v>
      </c>
      <c r="Z5411" t="s">
        <v>30986</v>
      </c>
      <c r="AA5411">
        <v>0.60511150905155608</v>
      </c>
      <c r="AB5411" t="str">
        <f>HYPERLINK("Melting_Curves/meltCurve_Q9H082_RAB33B.pdf", "Melting_Curves/meltCurve_Q9H082_RAB33B.pdf")</f>
        <v>Melting_Curves/meltCurve_Q9H082_RAB33B.pdf</v>
      </c>
    </row>
    <row r="5412" spans="1:28" x14ac:dyDescent="0.25">
      <c r="A5412" t="s">
        <v>5416</v>
      </c>
      <c r="B5412">
        <v>0.99673306730245903</v>
      </c>
      <c r="C5412">
        <v>0.90372448104332503</v>
      </c>
      <c r="D5412">
        <v>0.76331485503297603</v>
      </c>
      <c r="E5412">
        <v>0.28452001501895102</v>
      </c>
      <c r="F5412">
        <v>0.19837256189604899</v>
      </c>
      <c r="G5412">
        <v>0.112605315230229</v>
      </c>
      <c r="H5412">
        <v>7.9117658571506502E-2</v>
      </c>
      <c r="I5412">
        <v>7.5497856387898493E-2</v>
      </c>
      <c r="J5412">
        <v>7.3237594662238906E-2</v>
      </c>
      <c r="K5412">
        <v>6.2072980082130802E-2</v>
      </c>
      <c r="L5412">
        <v>1168.6106234226399</v>
      </c>
      <c r="M5412">
        <v>24.544314609777601</v>
      </c>
      <c r="N5412">
        <v>47.954989088979303</v>
      </c>
      <c r="O5412">
        <v>47.299575725356497</v>
      </c>
      <c r="P5412">
        <v>-0.119293959721543</v>
      </c>
      <c r="Q5412">
        <v>8.0443053473892107E-2</v>
      </c>
      <c r="R5412">
        <v>0.99339940628193701</v>
      </c>
      <c r="S5412" t="s">
        <v>11864</v>
      </c>
      <c r="T5412" t="s">
        <v>12902</v>
      </c>
      <c r="U5412" t="s">
        <v>12902</v>
      </c>
      <c r="V5412" t="s">
        <v>12902</v>
      </c>
      <c r="W5412" t="s">
        <v>18265</v>
      </c>
      <c r="X5412">
        <v>20</v>
      </c>
      <c r="Y5412" t="s">
        <v>24556</v>
      </c>
      <c r="Z5412" t="s">
        <v>30987</v>
      </c>
      <c r="AA5412">
        <v>0.32224609852522801</v>
      </c>
      <c r="AB5412" t="str">
        <f>HYPERLINK("Melting_Curves/meltCurve_Q9H089_LSG1.pdf", "Melting_Curves/meltCurve_Q9H089_LSG1.pdf")</f>
        <v>Melting_Curves/meltCurve_Q9H089_LSG1.pdf</v>
      </c>
    </row>
    <row r="5413" spans="1:28" x14ac:dyDescent="0.25">
      <c r="A5413" t="s">
        <v>5417</v>
      </c>
      <c r="B5413">
        <v>0.99673306730245903</v>
      </c>
      <c r="C5413">
        <v>0.94612349921537597</v>
      </c>
      <c r="D5413">
        <v>1.0092107283955301</v>
      </c>
      <c r="E5413">
        <v>0.60847283067529401</v>
      </c>
      <c r="F5413">
        <v>0.217890345027584</v>
      </c>
      <c r="G5413">
        <v>0.155680038744133</v>
      </c>
      <c r="H5413">
        <v>0.118950954741537</v>
      </c>
      <c r="I5413">
        <v>0.130458045961762</v>
      </c>
      <c r="J5413">
        <v>0.13160170744510799</v>
      </c>
      <c r="K5413">
        <v>0.131342234313922</v>
      </c>
      <c r="L5413">
        <v>1970.10145047571</v>
      </c>
      <c r="M5413">
        <v>39.482660001118603</v>
      </c>
      <c r="N5413">
        <v>50.295803852061198</v>
      </c>
      <c r="O5413">
        <v>49.7704018995409</v>
      </c>
      <c r="P5413">
        <v>-0.17172095282687899</v>
      </c>
      <c r="Q5413">
        <v>0.13414122353149099</v>
      </c>
      <c r="R5413">
        <v>0.99647123540953597</v>
      </c>
      <c r="S5413" t="s">
        <v>11865</v>
      </c>
      <c r="T5413" t="s">
        <v>12902</v>
      </c>
      <c r="U5413" t="s">
        <v>12902</v>
      </c>
      <c r="V5413" t="s">
        <v>12902</v>
      </c>
      <c r="W5413" t="s">
        <v>18266</v>
      </c>
      <c r="X5413">
        <v>24</v>
      </c>
      <c r="Y5413" t="s">
        <v>24557</v>
      </c>
      <c r="Z5413" t="s">
        <v>30988</v>
      </c>
      <c r="AA5413">
        <v>0.42288090480520929</v>
      </c>
      <c r="AB5413" t="str">
        <f>HYPERLINK("Melting_Curves/meltCurve_Q9H0B6_KLC2.pdf", "Melting_Curves/meltCurve_Q9H0B6_KLC2.pdf")</f>
        <v>Melting_Curves/meltCurve_Q9H0B6_KLC2.pdf</v>
      </c>
    </row>
    <row r="5414" spans="1:28" x14ac:dyDescent="0.25">
      <c r="A5414" t="s">
        <v>5418</v>
      </c>
      <c r="B5414">
        <v>0.99673306730245903</v>
      </c>
      <c r="C5414">
        <v>0.94601284078522696</v>
      </c>
      <c r="D5414">
        <v>0.80898827555806896</v>
      </c>
      <c r="E5414">
        <v>0.473864609728467</v>
      </c>
      <c r="F5414">
        <v>0.22912598283267899</v>
      </c>
      <c r="G5414">
        <v>0.14900704644263801</v>
      </c>
      <c r="H5414">
        <v>9.6359578787736294E-2</v>
      </c>
      <c r="I5414">
        <v>9.10347098612765E-2</v>
      </c>
      <c r="J5414">
        <v>9.8432568923866606E-2</v>
      </c>
      <c r="K5414">
        <v>8.6119709913237405E-2</v>
      </c>
      <c r="L5414">
        <v>1011.46098163954</v>
      </c>
      <c r="M5414">
        <v>20.6907945433104</v>
      </c>
      <c r="N5414">
        <v>49.348193725422902</v>
      </c>
      <c r="O5414">
        <v>48.434829860485102</v>
      </c>
      <c r="P5414">
        <v>-9.7366703527246398E-2</v>
      </c>
      <c r="Q5414">
        <v>8.8327858607221199E-2</v>
      </c>
      <c r="R5414">
        <v>0.99969709290157105</v>
      </c>
      <c r="S5414" t="s">
        <v>11866</v>
      </c>
      <c r="T5414" t="s">
        <v>12902</v>
      </c>
      <c r="U5414" t="s">
        <v>12902</v>
      </c>
      <c r="V5414" t="s">
        <v>12902</v>
      </c>
      <c r="W5414" t="s">
        <v>18267</v>
      </c>
      <c r="X5414">
        <v>19</v>
      </c>
      <c r="Y5414" t="s">
        <v>24558</v>
      </c>
      <c r="Z5414" t="s">
        <v>30989</v>
      </c>
      <c r="AA5414">
        <v>0.37024871880052501</v>
      </c>
      <c r="AB5414" t="str">
        <f>HYPERLINK("Melting_Curves/meltCurve_Q9H0C8_ILKAP.pdf", "Melting_Curves/meltCurve_Q9H0C8_ILKAP.pdf")</f>
        <v>Melting_Curves/meltCurve_Q9H0C8_ILKAP.pdf</v>
      </c>
    </row>
    <row r="5415" spans="1:28" x14ac:dyDescent="0.25">
      <c r="A5415" t="s">
        <v>5419</v>
      </c>
      <c r="B5415">
        <v>0.99673306730245903</v>
      </c>
      <c r="C5415">
        <v>0.94028774480522004</v>
      </c>
      <c r="D5415">
        <v>0.94819172893251902</v>
      </c>
      <c r="E5415">
        <v>1.01534445146616</v>
      </c>
      <c r="F5415">
        <v>1.0246294759402099</v>
      </c>
      <c r="G5415">
        <v>1.0379834088155899</v>
      </c>
      <c r="H5415">
        <v>0.86429694212570596</v>
      </c>
      <c r="I5415">
        <v>0.52154135034255</v>
      </c>
      <c r="J5415">
        <v>0.21692051506136201</v>
      </c>
      <c r="K5415">
        <v>0.180176724700369</v>
      </c>
      <c r="L5415">
        <v>2585.7079530498399</v>
      </c>
      <c r="M5415">
        <v>40.713239920321598</v>
      </c>
      <c r="N5415">
        <v>64.068123918974905</v>
      </c>
      <c r="O5415">
        <v>63.357600132623297</v>
      </c>
      <c r="P5415">
        <v>-0.13667412577913701</v>
      </c>
      <c r="Q5415">
        <v>0.14923716243672</v>
      </c>
      <c r="R5415">
        <v>0.99026172065533802</v>
      </c>
      <c r="S5415" t="s">
        <v>11867</v>
      </c>
      <c r="T5415" t="s">
        <v>12902</v>
      </c>
      <c r="U5415" t="s">
        <v>12902</v>
      </c>
      <c r="V5415" t="s">
        <v>12902</v>
      </c>
      <c r="W5415" t="s">
        <v>18268</v>
      </c>
      <c r="X5415">
        <v>43</v>
      </c>
      <c r="Y5415" t="s">
        <v>24559</v>
      </c>
      <c r="Z5415" t="s">
        <v>30990</v>
      </c>
      <c r="AA5415">
        <v>0.8182719838750353</v>
      </c>
      <c r="AB5415" t="str">
        <f>HYPERLINK("Melting_Curves/meltCurve_Q9H0D6_XRN2.pdf", "Melting_Curves/meltCurve_Q9H0D6_XRN2.pdf")</f>
        <v>Melting_Curves/meltCurve_Q9H0D6_XRN2.pdf</v>
      </c>
    </row>
    <row r="5416" spans="1:28" x14ac:dyDescent="0.25">
      <c r="A5416" t="s">
        <v>5420</v>
      </c>
      <c r="B5416">
        <v>0.99673306730245903</v>
      </c>
      <c r="C5416">
        <v>0.97371537602937397</v>
      </c>
      <c r="D5416">
        <v>0.91216411953524001</v>
      </c>
      <c r="E5416">
        <v>0.72677953403926898</v>
      </c>
      <c r="F5416">
        <v>0.37480018791886499</v>
      </c>
      <c r="G5416">
        <v>0.151595224094874</v>
      </c>
      <c r="H5416">
        <v>8.08911543716892E-2</v>
      </c>
      <c r="I5416">
        <v>7.1421291759762001E-2</v>
      </c>
      <c r="J5416">
        <v>6.6547281098707098E-2</v>
      </c>
      <c r="K5416">
        <v>5.4661157889268903E-2</v>
      </c>
      <c r="L5416">
        <v>1112.2838467213501</v>
      </c>
      <c r="M5416">
        <v>21.5808242136636</v>
      </c>
      <c r="N5416">
        <v>51.803479540739701</v>
      </c>
      <c r="O5416">
        <v>51.103953233569598</v>
      </c>
      <c r="P5416">
        <v>-0.10009574115730301</v>
      </c>
      <c r="Q5416">
        <v>5.1905606607440001E-2</v>
      </c>
      <c r="R5416">
        <v>0.99925166382742003</v>
      </c>
      <c r="S5416" t="s">
        <v>11868</v>
      </c>
      <c r="T5416" t="s">
        <v>12902</v>
      </c>
      <c r="U5416" t="s">
        <v>12902</v>
      </c>
      <c r="V5416" t="s">
        <v>12902</v>
      </c>
      <c r="W5416" t="s">
        <v>18269</v>
      </c>
      <c r="X5416">
        <v>8</v>
      </c>
      <c r="Y5416" t="s">
        <v>24560</v>
      </c>
      <c r="Z5416" t="s">
        <v>30991</v>
      </c>
      <c r="AA5416">
        <v>0.42803165788980052</v>
      </c>
      <c r="AB5416" t="str">
        <f>HYPERLINK("Melting_Curves/meltCurve_Q9H0E2_TOLLIP.pdf", "Melting_Curves/meltCurve_Q9H0E2_TOLLIP.pdf")</f>
        <v>Melting_Curves/meltCurve_Q9H0E2_TOLLIP.pdf</v>
      </c>
    </row>
    <row r="5417" spans="1:28" x14ac:dyDescent="0.25">
      <c r="A5417" t="s">
        <v>5421</v>
      </c>
      <c r="B5417">
        <v>0.99673306730245903</v>
      </c>
      <c r="C5417">
        <v>0.91825886436877502</v>
      </c>
      <c r="D5417">
        <v>0.73674568709778399</v>
      </c>
      <c r="E5417">
        <v>0.57071557664621198</v>
      </c>
      <c r="F5417">
        <v>0.35868601960270702</v>
      </c>
      <c r="G5417">
        <v>0.214187745204764</v>
      </c>
      <c r="H5417">
        <v>0.12951117886715399</v>
      </c>
      <c r="I5417">
        <v>0.13890443961620799</v>
      </c>
      <c r="J5417">
        <v>0.164305921724473</v>
      </c>
      <c r="K5417">
        <v>0.18434776239647899</v>
      </c>
      <c r="L5417">
        <v>744.71575261429598</v>
      </c>
      <c r="M5417">
        <v>15.134006057380599</v>
      </c>
      <c r="N5417">
        <v>50.220837223628799</v>
      </c>
      <c r="O5417">
        <v>48.372921115391101</v>
      </c>
      <c r="P5417">
        <v>-6.7936065343174395E-2</v>
      </c>
      <c r="Q5417">
        <v>0.13150678572998201</v>
      </c>
      <c r="R5417">
        <v>0.99182838411642904</v>
      </c>
      <c r="S5417" t="s">
        <v>11869</v>
      </c>
      <c r="T5417" t="s">
        <v>12902</v>
      </c>
      <c r="U5417" t="s">
        <v>12902</v>
      </c>
      <c r="V5417" t="s">
        <v>12902</v>
      </c>
      <c r="W5417" t="s">
        <v>18270</v>
      </c>
      <c r="X5417">
        <v>5</v>
      </c>
      <c r="Y5417" t="s">
        <v>24561</v>
      </c>
      <c r="Z5417" t="s">
        <v>30992</v>
      </c>
      <c r="AA5417">
        <v>0.41900234501415351</v>
      </c>
      <c r="AB5417" t="str">
        <f>HYPERLINK("Melting_Curves/meltCurve_Q9H0E9_2_BRD8.pdf", "Melting_Curves/meltCurve_Q9H0E9_2_BRD8.pdf")</f>
        <v>Melting_Curves/meltCurve_Q9H0E9_2_BRD8.pdf</v>
      </c>
    </row>
    <row r="5418" spans="1:28" x14ac:dyDescent="0.25">
      <c r="A5418" t="s">
        <v>5422</v>
      </c>
      <c r="B5418">
        <v>0.99673306730245903</v>
      </c>
      <c r="C5418">
        <v>0.91426081488446798</v>
      </c>
      <c r="D5418">
        <v>0.84429176617502599</v>
      </c>
      <c r="E5418">
        <v>0.62543278617640596</v>
      </c>
      <c r="F5418">
        <v>0.245929817206025</v>
      </c>
      <c r="G5418">
        <v>0.16949594359881601</v>
      </c>
      <c r="H5418">
        <v>0.11209777813772399</v>
      </c>
      <c r="I5418">
        <v>0.114535535215778</v>
      </c>
      <c r="J5418">
        <v>0.14370033702419599</v>
      </c>
      <c r="K5418">
        <v>0.13942099249766701</v>
      </c>
      <c r="L5418">
        <v>1082.7319026095599</v>
      </c>
      <c r="M5418">
        <v>21.753533332646299</v>
      </c>
      <c r="N5418">
        <v>50.381580349438998</v>
      </c>
      <c r="O5418">
        <v>49.3578056004066</v>
      </c>
      <c r="P5418">
        <v>-9.7449034203685503E-2</v>
      </c>
      <c r="Q5418">
        <v>0.11559043964127599</v>
      </c>
      <c r="R5418">
        <v>0.99148965992295202</v>
      </c>
      <c r="S5418" t="s">
        <v>11870</v>
      </c>
      <c r="T5418" t="s">
        <v>12902</v>
      </c>
      <c r="U5418" t="s">
        <v>12902</v>
      </c>
      <c r="V5418" t="s">
        <v>12902</v>
      </c>
      <c r="W5418" t="s">
        <v>18271</v>
      </c>
      <c r="X5418">
        <v>2</v>
      </c>
      <c r="Y5418" t="s">
        <v>24562</v>
      </c>
      <c r="Z5418" t="s">
        <v>30993</v>
      </c>
      <c r="AA5418">
        <v>0.41412435382075491</v>
      </c>
      <c r="AB5418" t="str">
        <f>HYPERLINK("Melting_Curves/meltCurve_Q9H0F7_ARL6.pdf", "Melting_Curves/meltCurve_Q9H0F7_ARL6.pdf")</f>
        <v>Melting_Curves/meltCurve_Q9H0F7_ARL6.pdf</v>
      </c>
    </row>
    <row r="5419" spans="1:28" x14ac:dyDescent="0.25">
      <c r="A5419" t="s">
        <v>5423</v>
      </c>
      <c r="B5419">
        <v>0.99673306730245903</v>
      </c>
      <c r="C5419">
        <v>0.94121242142445205</v>
      </c>
      <c r="D5419">
        <v>0.88956409293183802</v>
      </c>
      <c r="E5419">
        <v>0.902796699300914</v>
      </c>
      <c r="F5419">
        <v>0.71755740687832004</v>
      </c>
      <c r="G5419">
        <v>0.64955010031327498</v>
      </c>
      <c r="H5419">
        <v>0.58198058145056497</v>
      </c>
      <c r="I5419">
        <v>0.81705315347033403</v>
      </c>
      <c r="J5419">
        <v>1.241730131378</v>
      </c>
      <c r="K5419">
        <v>1.2036837736416599</v>
      </c>
      <c r="L5419">
        <v>1568.5755130862401</v>
      </c>
      <c r="M5419">
        <v>36.353261975697599</v>
      </c>
      <c r="O5419">
        <v>43.018172570440697</v>
      </c>
      <c r="P5419">
        <v>-2.6687569660509201E-2</v>
      </c>
      <c r="Q5419">
        <v>0.87367872863529294</v>
      </c>
      <c r="R5419">
        <v>3.71074789446902E-2</v>
      </c>
      <c r="S5419" t="s">
        <v>11871</v>
      </c>
      <c r="T5419" t="s">
        <v>12902</v>
      </c>
      <c r="U5419" t="s">
        <v>12902</v>
      </c>
      <c r="V5419" t="s">
        <v>12902</v>
      </c>
      <c r="W5419" t="s">
        <v>18272</v>
      </c>
      <c r="X5419">
        <v>22</v>
      </c>
      <c r="Y5419" t="s">
        <v>24563</v>
      </c>
      <c r="Z5419" t="s">
        <v>30994</v>
      </c>
      <c r="AA5419">
        <v>0.8876191654237876</v>
      </c>
      <c r="AB5419" t="str">
        <f>HYPERLINK("Melting_Curves/meltCurve_Q9H0G5_NSRP1.pdf", "Melting_Curves/meltCurve_Q9H0G5_NSRP1.pdf")</f>
        <v>Melting_Curves/meltCurve_Q9H0G5_NSRP1.pdf</v>
      </c>
    </row>
    <row r="5420" spans="1:28" x14ac:dyDescent="0.25">
      <c r="A5420" t="s">
        <v>5424</v>
      </c>
      <c r="B5420">
        <v>0.99673306730245903</v>
      </c>
      <c r="C5420">
        <v>0.74827079904220095</v>
      </c>
      <c r="D5420">
        <v>0.55974555179960905</v>
      </c>
      <c r="E5420">
        <v>0.32394725512585498</v>
      </c>
      <c r="F5420">
        <v>0.152313266048764</v>
      </c>
      <c r="G5420">
        <v>0.11114247677446699</v>
      </c>
      <c r="H5420">
        <v>8.1284227099359396E-2</v>
      </c>
      <c r="I5420">
        <v>8.4305491808812902E-2</v>
      </c>
      <c r="J5420">
        <v>0.111991828135315</v>
      </c>
      <c r="K5420">
        <v>0.114056185580657</v>
      </c>
      <c r="L5420">
        <v>783.82316653041596</v>
      </c>
      <c r="M5420">
        <v>17.011657079546701</v>
      </c>
      <c r="N5420">
        <v>46.604251206451302</v>
      </c>
      <c r="O5420">
        <v>45.453091601043702</v>
      </c>
      <c r="P5420">
        <v>-8.5362866924334799E-2</v>
      </c>
      <c r="Q5420">
        <v>8.7739182275094599E-2</v>
      </c>
      <c r="R5420">
        <v>0.99064810969903805</v>
      </c>
      <c r="S5420" t="s">
        <v>11872</v>
      </c>
      <c r="T5420" t="s">
        <v>12902</v>
      </c>
      <c r="U5420" t="s">
        <v>12902</v>
      </c>
      <c r="V5420" t="s">
        <v>12902</v>
      </c>
      <c r="W5420" t="s">
        <v>18273</v>
      </c>
      <c r="X5420">
        <v>7</v>
      </c>
      <c r="Y5420" t="s">
        <v>24564</v>
      </c>
      <c r="Z5420" t="s">
        <v>30995</v>
      </c>
      <c r="AA5420">
        <v>0.29268006487380888</v>
      </c>
      <c r="AB5420" t="str">
        <f>HYPERLINK("Melting_Curves/meltCurve_Q9H0H5_RACGAP1.pdf", "Melting_Curves/meltCurve_Q9H0H5_RACGAP1.pdf")</f>
        <v>Melting_Curves/meltCurve_Q9H0H5_RACGAP1.pdf</v>
      </c>
    </row>
    <row r="5421" spans="1:28" x14ac:dyDescent="0.25">
      <c r="A5421" t="s">
        <v>5425</v>
      </c>
      <c r="B5421">
        <v>0.99673306730245903</v>
      </c>
      <c r="C5421">
        <v>0.89942887514049996</v>
      </c>
      <c r="D5421">
        <v>0.63778863959033305</v>
      </c>
      <c r="E5421">
        <v>0.26288863386323702</v>
      </c>
      <c r="F5421">
        <v>0.180353777145417</v>
      </c>
      <c r="G5421">
        <v>0.15432301671540299</v>
      </c>
      <c r="H5421">
        <v>9.8813803467562494E-2</v>
      </c>
      <c r="I5421">
        <v>0.102176541884772</v>
      </c>
      <c r="J5421">
        <v>4.8493577098786003E-2</v>
      </c>
      <c r="K5421">
        <v>4.3997608934735602E-2</v>
      </c>
      <c r="L5421">
        <v>1036.82762365026</v>
      </c>
      <c r="M5421">
        <v>22.139055753085199</v>
      </c>
      <c r="N5421">
        <v>47.235810891740201</v>
      </c>
      <c r="O5421">
        <v>46.455436785196397</v>
      </c>
      <c r="P5421">
        <v>-0.108883772848753</v>
      </c>
      <c r="Q5421">
        <v>8.6115914760875198E-2</v>
      </c>
      <c r="R5421">
        <v>0.99293141718908995</v>
      </c>
      <c r="S5421" t="s">
        <v>11873</v>
      </c>
      <c r="T5421" t="s">
        <v>12902</v>
      </c>
      <c r="U5421" t="s">
        <v>12902</v>
      </c>
      <c r="V5421" t="s">
        <v>12902</v>
      </c>
      <c r="W5421" t="s">
        <v>18274</v>
      </c>
      <c r="X5421">
        <v>2</v>
      </c>
      <c r="Y5421" t="s">
        <v>24565</v>
      </c>
      <c r="Z5421" t="s">
        <v>30996</v>
      </c>
      <c r="AA5421">
        <v>0.30499304957631701</v>
      </c>
      <c r="AB5421" t="str">
        <f>HYPERLINK("Melting_Curves/meltCurve_Q9H0J9_PARP12.pdf", "Melting_Curves/meltCurve_Q9H0J9_PARP12.pdf")</f>
        <v>Melting_Curves/meltCurve_Q9H0J9_PARP12.pdf</v>
      </c>
    </row>
    <row r="5422" spans="1:28" x14ac:dyDescent="0.25">
      <c r="A5422" t="s">
        <v>5426</v>
      </c>
      <c r="B5422">
        <v>0.99673306730245903</v>
      </c>
      <c r="C5422">
        <v>0.97017172677179397</v>
      </c>
      <c r="D5422">
        <v>0.85115616344456901</v>
      </c>
      <c r="E5422">
        <v>0.65821607181338104</v>
      </c>
      <c r="F5422">
        <v>0.29814229854018398</v>
      </c>
      <c r="G5422">
        <v>0.14335295318906799</v>
      </c>
      <c r="H5422">
        <v>7.7550068566094699E-2</v>
      </c>
      <c r="I5422">
        <v>7.2911050205933303E-2</v>
      </c>
      <c r="J5422">
        <v>8.1133144259790194E-2</v>
      </c>
      <c r="K5422">
        <v>7.9210350491587103E-2</v>
      </c>
      <c r="L5422">
        <v>1033.98255428625</v>
      </c>
      <c r="M5422">
        <v>20.446002236677401</v>
      </c>
      <c r="N5422">
        <v>50.9038769493472</v>
      </c>
      <c r="O5422">
        <v>50.095066552423603</v>
      </c>
      <c r="P5422">
        <v>-9.5660766846686104E-2</v>
      </c>
      <c r="Q5422">
        <v>6.2508265068183105E-2</v>
      </c>
      <c r="R5422">
        <v>0.99744308939941695</v>
      </c>
      <c r="S5422" t="s">
        <v>11874</v>
      </c>
      <c r="T5422" t="s">
        <v>12902</v>
      </c>
      <c r="U5422" t="s">
        <v>12902</v>
      </c>
      <c r="V5422" t="s">
        <v>12902</v>
      </c>
      <c r="W5422" t="s">
        <v>18275</v>
      </c>
      <c r="X5422">
        <v>12</v>
      </c>
      <c r="Y5422" t="s">
        <v>24566</v>
      </c>
      <c r="Z5422" t="s">
        <v>30997</v>
      </c>
      <c r="AA5422">
        <v>0.40535109936761499</v>
      </c>
      <c r="AB5422" t="str">
        <f>HYPERLINK("Melting_Curves/meltCurve_Q9H0K6_PUS7L.pdf", "Melting_Curves/meltCurve_Q9H0K6_PUS7L.pdf")</f>
        <v>Melting_Curves/meltCurve_Q9H0K6_PUS7L.pdf</v>
      </c>
    </row>
    <row r="5423" spans="1:28" x14ac:dyDescent="0.25">
      <c r="A5423" t="s">
        <v>5427</v>
      </c>
      <c r="B5423">
        <v>0.99673306730245903</v>
      </c>
      <c r="C5423">
        <v>0.92244593252872797</v>
      </c>
      <c r="D5423">
        <v>0.88161170664046895</v>
      </c>
      <c r="E5423">
        <v>0.85337422064383295</v>
      </c>
      <c r="F5423">
        <v>0.31254858235218203</v>
      </c>
      <c r="G5423">
        <v>0.15371911349756001</v>
      </c>
      <c r="H5423">
        <v>9.0328751690721507E-2</v>
      </c>
      <c r="I5423">
        <v>8.7948848745754996E-2</v>
      </c>
      <c r="J5423">
        <v>0.10494805748229501</v>
      </c>
      <c r="K5423">
        <v>0.115099961001389</v>
      </c>
      <c r="L5423">
        <v>1875.5815142071899</v>
      </c>
      <c r="M5423">
        <v>36.349618911123201</v>
      </c>
      <c r="N5423">
        <v>51.922626089537097</v>
      </c>
      <c r="O5423">
        <v>51.442959831412303</v>
      </c>
      <c r="P5423">
        <v>-0.15871392782132199</v>
      </c>
      <c r="Q5423">
        <v>0.10153782067178301</v>
      </c>
      <c r="R5423">
        <v>0.98686225294267105</v>
      </c>
      <c r="S5423" t="s">
        <v>11875</v>
      </c>
      <c r="T5423" t="s">
        <v>12902</v>
      </c>
      <c r="U5423" t="s">
        <v>12902</v>
      </c>
      <c r="V5423" t="s">
        <v>12902</v>
      </c>
      <c r="W5423" t="s">
        <v>18276</v>
      </c>
      <c r="X5423">
        <v>15</v>
      </c>
      <c r="Y5423" t="s">
        <v>24567</v>
      </c>
      <c r="Z5423" t="s">
        <v>30998</v>
      </c>
      <c r="AA5423">
        <v>0.45277823589975619</v>
      </c>
      <c r="AB5423" t="str">
        <f>HYPERLINK("Melting_Curves/meltCurve_Q9H0L4_CSTF2T.pdf", "Melting_Curves/meltCurve_Q9H0L4_CSTF2T.pdf")</f>
        <v>Melting_Curves/meltCurve_Q9H0L4_CSTF2T.pdf</v>
      </c>
    </row>
    <row r="5424" spans="1:28" x14ac:dyDescent="0.25">
      <c r="A5424" t="s">
        <v>5428</v>
      </c>
      <c r="B5424">
        <v>0.99673306730245903</v>
      </c>
      <c r="C5424">
        <v>0.95420701894700699</v>
      </c>
      <c r="D5424">
        <v>0.78927285171046402</v>
      </c>
      <c r="E5424">
        <v>0.35663988951582898</v>
      </c>
      <c r="F5424">
        <v>0.155849754130301</v>
      </c>
      <c r="G5424">
        <v>9.0010810381897705E-2</v>
      </c>
      <c r="H5424">
        <v>6.0053400465115002E-2</v>
      </c>
      <c r="I5424">
        <v>4.9514253104071801E-2</v>
      </c>
      <c r="J5424">
        <v>5.06626330839293E-2</v>
      </c>
      <c r="K5424">
        <v>4.9901477985350197E-2</v>
      </c>
      <c r="L5424">
        <v>1190.8369098624801</v>
      </c>
      <c r="M5424">
        <v>24.6982859624495</v>
      </c>
      <c r="N5424">
        <v>48.444512156274598</v>
      </c>
      <c r="O5424">
        <v>47.902615943129703</v>
      </c>
      <c r="P5424">
        <v>-0.121794057758351</v>
      </c>
      <c r="Q5424">
        <v>5.5129318284482601E-2</v>
      </c>
      <c r="R5424">
        <v>0.999408569428067</v>
      </c>
      <c r="S5424" t="s">
        <v>11876</v>
      </c>
      <c r="T5424" t="s">
        <v>12902</v>
      </c>
      <c r="U5424" t="s">
        <v>12902</v>
      </c>
      <c r="V5424" t="s">
        <v>12902</v>
      </c>
      <c r="W5424" t="s">
        <v>18277</v>
      </c>
      <c r="X5424">
        <v>16</v>
      </c>
      <c r="Y5424" t="s">
        <v>24568</v>
      </c>
      <c r="Z5424" t="s">
        <v>30999</v>
      </c>
      <c r="AA5424">
        <v>0.32244395854076352</v>
      </c>
      <c r="AB5424" t="str">
        <f>HYPERLINK("Melting_Curves/meltCurve_Q9H0P0_1_NT5C3A.pdf", "Melting_Curves/meltCurve_Q9H0P0_1_NT5C3A.pdf")</f>
        <v>Melting_Curves/meltCurve_Q9H0P0_1_NT5C3A.pdf</v>
      </c>
    </row>
    <row r="5425" spans="1:28" x14ac:dyDescent="0.25">
      <c r="A5425" t="s">
        <v>5429</v>
      </c>
      <c r="B5425">
        <v>0.99673306730245903</v>
      </c>
      <c r="C5425">
        <v>1.01683350373843</v>
      </c>
      <c r="D5425">
        <v>0.96732629742074405</v>
      </c>
      <c r="E5425">
        <v>0.86603179284103304</v>
      </c>
      <c r="F5425">
        <v>0.72309170411461798</v>
      </c>
      <c r="G5425">
        <v>0.58047718766851197</v>
      </c>
      <c r="H5425">
        <v>0.42967551577625901</v>
      </c>
      <c r="I5425">
        <v>0.58035029614502498</v>
      </c>
      <c r="J5425">
        <v>0.620403906222594</v>
      </c>
      <c r="K5425">
        <v>0.48603964935997201</v>
      </c>
      <c r="L5425">
        <v>1227.6226616266899</v>
      </c>
      <c r="M5425">
        <v>23.646804594867199</v>
      </c>
      <c r="O5425">
        <v>51.547946346551001</v>
      </c>
      <c r="P5425">
        <v>-5.4277916836553301E-2</v>
      </c>
      <c r="Q5425">
        <v>0.52672366879193799</v>
      </c>
      <c r="R5425">
        <v>0.93945212418267598</v>
      </c>
      <c r="S5425" t="s">
        <v>11877</v>
      </c>
      <c r="T5425" t="s">
        <v>12902</v>
      </c>
      <c r="U5425" t="s">
        <v>12902</v>
      </c>
      <c r="V5425" t="s">
        <v>12902</v>
      </c>
      <c r="W5425" t="s">
        <v>18278</v>
      </c>
      <c r="X5425">
        <v>11</v>
      </c>
      <c r="Y5425" t="s">
        <v>24569</v>
      </c>
      <c r="Z5425" t="s">
        <v>31000</v>
      </c>
      <c r="AA5425">
        <v>0.71949509881860485</v>
      </c>
      <c r="AB5425" t="str">
        <f>HYPERLINK("Melting_Curves/meltCurve_Q9H0R4_HDHD2.pdf", "Melting_Curves/meltCurve_Q9H0R4_HDHD2.pdf")</f>
        <v>Melting_Curves/meltCurve_Q9H0R4_HDHD2.pdf</v>
      </c>
    </row>
    <row r="5426" spans="1:28" x14ac:dyDescent="0.25">
      <c r="A5426" t="s">
        <v>5430</v>
      </c>
      <c r="B5426">
        <v>0.99673306730245903</v>
      </c>
      <c r="C5426">
        <v>0.93729581463070499</v>
      </c>
      <c r="D5426">
        <v>0.82492646663236202</v>
      </c>
      <c r="E5426">
        <v>0.44888543681063298</v>
      </c>
      <c r="F5426">
        <v>0.15820923500121101</v>
      </c>
      <c r="G5426">
        <v>0.110309007713578</v>
      </c>
      <c r="H5426">
        <v>7.1849348341121902E-2</v>
      </c>
      <c r="I5426">
        <v>6.0871975160588697E-2</v>
      </c>
      <c r="J5426">
        <v>6.4041017242511294E-2</v>
      </c>
      <c r="K5426">
        <v>5.2901866459107098E-2</v>
      </c>
      <c r="L5426">
        <v>1143.5248183157601</v>
      </c>
      <c r="M5426">
        <v>23.429824020818</v>
      </c>
      <c r="N5426">
        <v>49.071497486373602</v>
      </c>
      <c r="O5426">
        <v>48.455028158598502</v>
      </c>
      <c r="P5426">
        <v>-0.113699780593363</v>
      </c>
      <c r="Q5426">
        <v>5.9450430426669303E-2</v>
      </c>
      <c r="R5426">
        <v>0.998886316997325</v>
      </c>
      <c r="S5426" t="s">
        <v>11878</v>
      </c>
      <c r="T5426" t="s">
        <v>12902</v>
      </c>
      <c r="U5426" t="s">
        <v>12902</v>
      </c>
      <c r="V5426" t="s">
        <v>12902</v>
      </c>
      <c r="W5426" t="s">
        <v>18279</v>
      </c>
      <c r="X5426">
        <v>15</v>
      </c>
      <c r="Y5426" t="s">
        <v>24570</v>
      </c>
      <c r="Z5426" t="s">
        <v>31001</v>
      </c>
      <c r="AA5426">
        <v>0.34506765874417011</v>
      </c>
      <c r="AB5426" t="str">
        <f>HYPERLINK("Melting_Curves/meltCurve_Q9H0R6_QRSL1.pdf", "Melting_Curves/meltCurve_Q9H0R6_QRSL1.pdf")</f>
        <v>Melting_Curves/meltCurve_Q9H0R6_QRSL1.pdf</v>
      </c>
    </row>
    <row r="5427" spans="1:28" x14ac:dyDescent="0.25">
      <c r="A5427" t="s">
        <v>5431</v>
      </c>
      <c r="B5427">
        <v>0.99673306730245903</v>
      </c>
      <c r="C5427">
        <v>0.87660376661735495</v>
      </c>
      <c r="D5427">
        <v>0.92276118531912998</v>
      </c>
      <c r="E5427">
        <v>0.74946007578553497</v>
      </c>
      <c r="F5427">
        <v>0.23916893776300599</v>
      </c>
      <c r="G5427">
        <v>0.10752082054965199</v>
      </c>
      <c r="H5427">
        <v>5.5377053724556799E-2</v>
      </c>
      <c r="I5427">
        <v>4.2070522563267099E-2</v>
      </c>
      <c r="J5427">
        <v>4.9921863134402701E-2</v>
      </c>
      <c r="K5427">
        <v>3.7835214280071597E-2</v>
      </c>
      <c r="L5427">
        <v>1556.8613219219401</v>
      </c>
      <c r="M5427">
        <v>30.4857396728998</v>
      </c>
      <c r="N5427">
        <v>51.228267562160397</v>
      </c>
      <c r="O5427">
        <v>50.850278663942902</v>
      </c>
      <c r="P5427">
        <v>-0.14308422593145501</v>
      </c>
      <c r="Q5427">
        <v>4.5346664773631397E-2</v>
      </c>
      <c r="R5427">
        <v>0.98851326604798595</v>
      </c>
      <c r="S5427" t="s">
        <v>11879</v>
      </c>
      <c r="T5427" t="s">
        <v>12902</v>
      </c>
      <c r="U5427" t="s">
        <v>12902</v>
      </c>
      <c r="V5427" t="s">
        <v>12902</v>
      </c>
      <c r="W5427" t="s">
        <v>18280</v>
      </c>
      <c r="X5427">
        <v>4</v>
      </c>
      <c r="Y5427" t="s">
        <v>24571</v>
      </c>
      <c r="Z5427" t="s">
        <v>31002</v>
      </c>
      <c r="AA5427">
        <v>0.40338522465572357</v>
      </c>
      <c r="AB5427" t="str">
        <f>HYPERLINK("Melting_Curves/meltCurve_Q9H0S4_2_DDX47.pdf", "Melting_Curves/meltCurve_Q9H0S4_2_DDX47.pdf")</f>
        <v>Melting_Curves/meltCurve_Q9H0S4_2_DDX47.pdf</v>
      </c>
    </row>
    <row r="5428" spans="1:28" x14ac:dyDescent="0.25">
      <c r="A5428" t="s">
        <v>5432</v>
      </c>
      <c r="B5428">
        <v>0.99673306730245903</v>
      </c>
      <c r="C5428">
        <v>0.97143456179044396</v>
      </c>
      <c r="D5428">
        <v>0.88296517186047296</v>
      </c>
      <c r="E5428">
        <v>0.71394780328900198</v>
      </c>
      <c r="F5428">
        <v>0.39798277015094202</v>
      </c>
      <c r="G5428">
        <v>0.29447054417795998</v>
      </c>
      <c r="H5428">
        <v>0.37208521623806001</v>
      </c>
      <c r="I5428">
        <v>0.249772105562933</v>
      </c>
      <c r="J5428">
        <v>0.12855280119185999</v>
      </c>
      <c r="K5428">
        <v>0.10566294896553199</v>
      </c>
      <c r="L5428">
        <v>778.01755120973996</v>
      </c>
      <c r="M5428">
        <v>15.187280245201499</v>
      </c>
      <c r="N5428">
        <v>52.592763117634803</v>
      </c>
      <c r="O5428">
        <v>50.364685777986502</v>
      </c>
      <c r="P5428">
        <v>-6.3117031139020202E-2</v>
      </c>
      <c r="Q5428">
        <v>0.16283536092179199</v>
      </c>
      <c r="R5428">
        <v>0.96644170901887205</v>
      </c>
      <c r="S5428" t="s">
        <v>11880</v>
      </c>
      <c r="T5428" t="s">
        <v>12902</v>
      </c>
      <c r="U5428" t="s">
        <v>12902</v>
      </c>
      <c r="V5428" t="s">
        <v>12902</v>
      </c>
      <c r="W5428" t="s">
        <v>18281</v>
      </c>
      <c r="X5428">
        <v>6</v>
      </c>
      <c r="Y5428" t="s">
        <v>24572</v>
      </c>
      <c r="Z5428" t="s">
        <v>31003</v>
      </c>
      <c r="AA5428">
        <v>0.49498262178709518</v>
      </c>
      <c r="AB5428" t="str">
        <f>HYPERLINK("Melting_Curves/meltCurve_Q9H0U3_MAGT1.pdf", "Melting_Curves/meltCurve_Q9H0U3_MAGT1.pdf")</f>
        <v>Melting_Curves/meltCurve_Q9H0U3_MAGT1.pdf</v>
      </c>
    </row>
    <row r="5429" spans="1:28" x14ac:dyDescent="0.25">
      <c r="A5429" t="s">
        <v>5433</v>
      </c>
      <c r="B5429">
        <v>0.99673306730245903</v>
      </c>
      <c r="C5429">
        <v>0.94379005824444295</v>
      </c>
      <c r="D5429">
        <v>0.91293155955499905</v>
      </c>
      <c r="E5429">
        <v>0.80006975441415296</v>
      </c>
      <c r="F5429">
        <v>0.74778501010861198</v>
      </c>
      <c r="G5429">
        <v>0.57278041872006502</v>
      </c>
      <c r="H5429">
        <v>0.424441606146574</v>
      </c>
      <c r="I5429">
        <v>0.343137809927618</v>
      </c>
      <c r="J5429">
        <v>0.14710830977165301</v>
      </c>
      <c r="K5429">
        <v>8.1868463356089896E-2</v>
      </c>
      <c r="L5429">
        <v>596.09606459107999</v>
      </c>
      <c r="M5429">
        <v>10.2424638612477</v>
      </c>
      <c r="N5429">
        <v>58.198501086745601</v>
      </c>
      <c r="O5429">
        <v>56.110922182439502</v>
      </c>
      <c r="P5429">
        <v>-4.5655153029725497E-2</v>
      </c>
      <c r="Q5429">
        <v>0</v>
      </c>
      <c r="R5429">
        <v>0.98207624610330602</v>
      </c>
      <c r="S5429" t="s">
        <v>11881</v>
      </c>
      <c r="T5429" t="s">
        <v>12902</v>
      </c>
      <c r="U5429" t="s">
        <v>12902</v>
      </c>
      <c r="V5429" t="s">
        <v>12902</v>
      </c>
      <c r="W5429" t="s">
        <v>18282</v>
      </c>
      <c r="X5429">
        <v>17</v>
      </c>
      <c r="Y5429" t="s">
        <v>24573</v>
      </c>
      <c r="Z5429" t="s">
        <v>31004</v>
      </c>
      <c r="AA5429">
        <v>0.61581996288879559</v>
      </c>
      <c r="AB5429" t="str">
        <f>HYPERLINK("Melting_Curves/meltCurve_Q9H0U4_RAB1B.pdf", "Melting_Curves/meltCurve_Q9H0U4_RAB1B.pdf")</f>
        <v>Melting_Curves/meltCurve_Q9H0U4_RAB1B.pdf</v>
      </c>
    </row>
    <row r="5430" spans="1:28" x14ac:dyDescent="0.25">
      <c r="A5430" t="s">
        <v>5434</v>
      </c>
      <c r="B5430">
        <v>0.99673306730245903</v>
      </c>
      <c r="C5430">
        <v>1.1681121855174099</v>
      </c>
      <c r="D5430">
        <v>0.86949983981299805</v>
      </c>
      <c r="E5430">
        <v>0.66813358352194496</v>
      </c>
      <c r="F5430">
        <v>0.41737340907341097</v>
      </c>
      <c r="G5430">
        <v>0.24523526154386599</v>
      </c>
      <c r="H5430">
        <v>0.191251166932184</v>
      </c>
      <c r="I5430">
        <v>0.16326135979332901</v>
      </c>
      <c r="J5430">
        <v>0.21581455855582601</v>
      </c>
      <c r="K5430">
        <v>0.168862258435968</v>
      </c>
      <c r="L5430">
        <v>1096.16154056545</v>
      </c>
      <c r="M5430">
        <v>21.639563079532699</v>
      </c>
      <c r="N5430">
        <v>51.703352394849503</v>
      </c>
      <c r="O5430">
        <v>50.228795043692202</v>
      </c>
      <c r="P5430">
        <v>-8.8586598793306506E-2</v>
      </c>
      <c r="Q5430">
        <v>0.17752642472845301</v>
      </c>
      <c r="R5430">
        <v>0.97069747339571399</v>
      </c>
      <c r="S5430" t="s">
        <v>11882</v>
      </c>
      <c r="T5430" t="s">
        <v>12902</v>
      </c>
      <c r="U5430" t="s">
        <v>12902</v>
      </c>
      <c r="V5430" t="s">
        <v>12902</v>
      </c>
      <c r="W5430" t="s">
        <v>18283</v>
      </c>
      <c r="X5430">
        <v>1</v>
      </c>
      <c r="Y5430" t="s">
        <v>24574</v>
      </c>
      <c r="Z5430" t="s">
        <v>31005</v>
      </c>
      <c r="AA5430">
        <v>0.47947792909383352</v>
      </c>
      <c r="AB5430" t="str">
        <f>HYPERLINK("Melting_Curves/meltCurve_Q9H0U6_MRPL18.pdf", "Melting_Curves/meltCurve_Q9H0U6_MRPL18.pdf")</f>
        <v>Melting_Curves/meltCurve_Q9H0U6_MRPL18.pdf</v>
      </c>
    </row>
    <row r="5431" spans="1:28" x14ac:dyDescent="0.25">
      <c r="A5431" t="s">
        <v>5435</v>
      </c>
      <c r="B5431">
        <v>0.99673306730245903</v>
      </c>
      <c r="C5431">
        <v>0.96977368611158798</v>
      </c>
      <c r="D5431">
        <v>0.86641784177327796</v>
      </c>
      <c r="E5431">
        <v>0.68758911499084996</v>
      </c>
      <c r="F5431">
        <v>0.32873258452599402</v>
      </c>
      <c r="G5431">
        <v>0.15841688766730699</v>
      </c>
      <c r="H5431">
        <v>9.6489936483574304E-2</v>
      </c>
      <c r="I5431">
        <v>8.0204815513160194E-2</v>
      </c>
      <c r="J5431">
        <v>8.5792407220282405E-2</v>
      </c>
      <c r="K5431">
        <v>6.8791607919265405E-2</v>
      </c>
      <c r="L5431">
        <v>1029.61689120803</v>
      </c>
      <c r="M5431">
        <v>20.2189134041889</v>
      </c>
      <c r="N5431">
        <v>51.2787705716933</v>
      </c>
      <c r="O5431">
        <v>50.433162561660801</v>
      </c>
      <c r="P5431">
        <v>-9.3677999319533301E-2</v>
      </c>
      <c r="Q5431">
        <v>6.5364132041670103E-2</v>
      </c>
      <c r="R5431">
        <v>0.99794334479606295</v>
      </c>
      <c r="S5431" t="s">
        <v>11883</v>
      </c>
      <c r="T5431" t="s">
        <v>12902</v>
      </c>
      <c r="U5431" t="s">
        <v>12902</v>
      </c>
      <c r="V5431" t="s">
        <v>12902</v>
      </c>
      <c r="W5431" t="s">
        <v>18284</v>
      </c>
      <c r="X5431">
        <v>9</v>
      </c>
      <c r="Y5431" t="s">
        <v>24575</v>
      </c>
      <c r="Z5431" t="s">
        <v>31006</v>
      </c>
      <c r="AA5431">
        <v>0.41839280348935121</v>
      </c>
      <c r="AB5431" t="str">
        <f>HYPERLINK("Melting_Curves/meltCurve_Q9H0V9_LMAN2L.pdf", "Melting_Curves/meltCurve_Q9H0V9_LMAN2L.pdf")</f>
        <v>Melting_Curves/meltCurve_Q9H0V9_LMAN2L.pdf</v>
      </c>
    </row>
    <row r="5432" spans="1:28" x14ac:dyDescent="0.25">
      <c r="A5432" t="s">
        <v>5436</v>
      </c>
      <c r="B5432">
        <v>0.99673306730245903</v>
      </c>
      <c r="C5432">
        <v>0.91940796391763902</v>
      </c>
      <c r="D5432">
        <v>0.79522638436390702</v>
      </c>
      <c r="E5432">
        <v>0.31464084910374901</v>
      </c>
      <c r="F5432">
        <v>0.20092183300347999</v>
      </c>
      <c r="G5432">
        <v>0.12483721626842099</v>
      </c>
      <c r="H5432">
        <v>8.8714220525366497E-2</v>
      </c>
      <c r="I5432">
        <v>9.2171265833075403E-2</v>
      </c>
      <c r="J5432">
        <v>0.121315592205422</v>
      </c>
      <c r="K5432">
        <v>0.119257513872514</v>
      </c>
      <c r="L5432">
        <v>1319.3196643009701</v>
      </c>
      <c r="M5432">
        <v>27.6379152874173</v>
      </c>
      <c r="N5432">
        <v>48.173112159165598</v>
      </c>
      <c r="O5432">
        <v>47.4880484849213</v>
      </c>
      <c r="P5432">
        <v>-0.12935925236145601</v>
      </c>
      <c r="Q5432">
        <v>0.110936884985654</v>
      </c>
      <c r="R5432">
        <v>0.99501870201138298</v>
      </c>
      <c r="S5432" t="s">
        <v>11884</v>
      </c>
      <c r="T5432" t="s">
        <v>12902</v>
      </c>
      <c r="U5432" t="s">
        <v>12902</v>
      </c>
      <c r="V5432" t="s">
        <v>12902</v>
      </c>
      <c r="W5432" t="s">
        <v>18285</v>
      </c>
      <c r="X5432">
        <v>6</v>
      </c>
      <c r="Y5432" t="s">
        <v>24576</v>
      </c>
      <c r="Z5432" t="s">
        <v>31007</v>
      </c>
      <c r="AA5432">
        <v>0.34654314051212348</v>
      </c>
      <c r="AB5432" t="str">
        <f>HYPERLINK("Melting_Curves/meltCurve_Q9H0W8_2_SMG9.pdf", "Melting_Curves/meltCurve_Q9H0W8_2_SMG9.pdf")</f>
        <v>Melting_Curves/meltCurve_Q9H0W8_2_SMG9.pdf</v>
      </c>
    </row>
    <row r="5433" spans="1:28" x14ac:dyDescent="0.25">
      <c r="A5433" t="s">
        <v>5437</v>
      </c>
      <c r="B5433">
        <v>0.99673306730245903</v>
      </c>
      <c r="C5433">
        <v>1.0441018862457501</v>
      </c>
      <c r="D5433">
        <v>1.03003812510658</v>
      </c>
      <c r="E5433">
        <v>0.91853051953290399</v>
      </c>
      <c r="F5433">
        <v>0.74992627314858196</v>
      </c>
      <c r="G5433">
        <v>0.51657071142630495</v>
      </c>
      <c r="H5433">
        <v>0.194357794280719</v>
      </c>
      <c r="I5433">
        <v>0.11979373011479399</v>
      </c>
      <c r="J5433">
        <v>0.10994624475795201</v>
      </c>
      <c r="K5433">
        <v>9.0622619594310394E-2</v>
      </c>
      <c r="L5433">
        <v>1140.5818796260401</v>
      </c>
      <c r="M5433">
        <v>20.3121855042872</v>
      </c>
      <c r="N5433">
        <v>56.527110168085201</v>
      </c>
      <c r="O5433">
        <v>55.616829544191198</v>
      </c>
      <c r="P5433">
        <v>-8.5558735637135896E-2</v>
      </c>
      <c r="Q5433">
        <v>6.2954593956339705E-2</v>
      </c>
      <c r="R5433">
        <v>0.99502187171813306</v>
      </c>
      <c r="S5433" t="s">
        <v>11885</v>
      </c>
      <c r="T5433" t="s">
        <v>12902</v>
      </c>
      <c r="U5433" t="s">
        <v>12902</v>
      </c>
      <c r="V5433" t="s">
        <v>12902</v>
      </c>
      <c r="W5433" t="s">
        <v>18286</v>
      </c>
      <c r="X5433">
        <v>23</v>
      </c>
      <c r="Y5433" t="s">
        <v>24577</v>
      </c>
      <c r="Z5433" t="s">
        <v>31008</v>
      </c>
      <c r="AA5433">
        <v>0.57922350548762103</v>
      </c>
      <c r="AB5433" t="str">
        <f>HYPERLINK("Melting_Curves/meltCurve_Q9H0W9_C11orf54.pdf", "Melting_Curves/meltCurve_Q9H0W9_C11orf54.pdf")</f>
        <v>Melting_Curves/meltCurve_Q9H0W9_C11orf54.pdf</v>
      </c>
    </row>
    <row r="5434" spans="1:28" x14ac:dyDescent="0.25">
      <c r="A5434" t="s">
        <v>5438</v>
      </c>
      <c r="B5434">
        <v>0.99673306730245903</v>
      </c>
      <c r="C5434">
        <v>0.95387452879879797</v>
      </c>
      <c r="D5434">
        <v>1.2125270115517599</v>
      </c>
      <c r="E5434">
        <v>0.83788536625337895</v>
      </c>
      <c r="F5434">
        <v>0.65690390908372898</v>
      </c>
      <c r="G5434">
        <v>0.53011824978475697</v>
      </c>
      <c r="H5434">
        <v>0.51472940512638499</v>
      </c>
      <c r="I5434">
        <v>0.40825552020086903</v>
      </c>
      <c r="J5434">
        <v>0.399651975527263</v>
      </c>
      <c r="K5434">
        <v>0.212966981284057</v>
      </c>
      <c r="L5434">
        <v>878.57025792803097</v>
      </c>
      <c r="M5434">
        <v>16.173820874594501</v>
      </c>
      <c r="N5434">
        <v>58.009736889877701</v>
      </c>
      <c r="O5434">
        <v>53.510466401237899</v>
      </c>
      <c r="P5434">
        <v>-5.1293063836720103E-2</v>
      </c>
      <c r="Q5434">
        <v>0.321246481332498</v>
      </c>
      <c r="R5434">
        <v>0.89415547576827004</v>
      </c>
      <c r="S5434" t="s">
        <v>11886</v>
      </c>
      <c r="T5434" t="s">
        <v>12902</v>
      </c>
      <c r="U5434" t="s">
        <v>12902</v>
      </c>
      <c r="V5434" t="s">
        <v>12902</v>
      </c>
      <c r="W5434" t="s">
        <v>18287</v>
      </c>
      <c r="X5434">
        <v>5</v>
      </c>
      <c r="Y5434" t="s">
        <v>24578</v>
      </c>
      <c r="Z5434" t="s">
        <v>31009</v>
      </c>
      <c r="AA5434">
        <v>0.65770607370908629</v>
      </c>
      <c r="AB5434" t="str">
        <f>HYPERLINK("Melting_Curves/meltCurve_Q9H0X4_ITFG3.pdf", "Melting_Curves/meltCurve_Q9H0X4_ITFG3.pdf")</f>
        <v>Melting_Curves/meltCurve_Q9H0X4_ITFG3.pdf</v>
      </c>
    </row>
    <row r="5435" spans="1:28" x14ac:dyDescent="0.25">
      <c r="A5435" t="s">
        <v>5439</v>
      </c>
      <c r="B5435">
        <v>0.99673306730245903</v>
      </c>
      <c r="C5435">
        <v>1.0509804943315499</v>
      </c>
      <c r="D5435">
        <v>0.85894833233653101</v>
      </c>
      <c r="E5435">
        <v>0.59095982554901905</v>
      </c>
      <c r="F5435">
        <v>0.452568442178439</v>
      </c>
      <c r="G5435">
        <v>0.26126405979322498</v>
      </c>
      <c r="H5435">
        <v>0.19713792116987999</v>
      </c>
      <c r="I5435">
        <v>0.18060030484822301</v>
      </c>
      <c r="J5435">
        <v>0.23098747465921901</v>
      </c>
      <c r="K5435">
        <v>0.13147102683269801</v>
      </c>
      <c r="L5435">
        <v>884.31099466538001</v>
      </c>
      <c r="M5435">
        <v>17.566232185348198</v>
      </c>
      <c r="N5435">
        <v>51.557243520970097</v>
      </c>
      <c r="O5435">
        <v>49.702726063072802</v>
      </c>
      <c r="P5435">
        <v>-7.3377743708854498E-2</v>
      </c>
      <c r="Q5435">
        <v>0.16957152280957499</v>
      </c>
      <c r="R5435">
        <v>0.984670995919112</v>
      </c>
      <c r="S5435" t="s">
        <v>11887</v>
      </c>
      <c r="T5435" t="s">
        <v>12902</v>
      </c>
      <c r="U5435" t="s">
        <v>12902</v>
      </c>
      <c r="V5435" t="s">
        <v>12902</v>
      </c>
      <c r="W5435" t="s">
        <v>18288</v>
      </c>
      <c r="X5435">
        <v>7</v>
      </c>
      <c r="Y5435" t="s">
        <v>24579</v>
      </c>
      <c r="Z5435" t="s">
        <v>31010</v>
      </c>
      <c r="AA5435">
        <v>0.47059003171530023</v>
      </c>
      <c r="AB5435" t="str">
        <f>HYPERLINK("Melting_Curves/meltCurve_Q9H115_NAPB.pdf", "Melting_Curves/meltCurve_Q9H115_NAPB.pdf")</f>
        <v>Melting_Curves/meltCurve_Q9H115_NAPB.pdf</v>
      </c>
    </row>
    <row r="5436" spans="1:28" x14ac:dyDescent="0.25">
      <c r="A5436" t="s">
        <v>5440</v>
      </c>
      <c r="B5436">
        <v>0.99673306730245903</v>
      </c>
      <c r="C5436">
        <v>0.98288477610220903</v>
      </c>
      <c r="D5436">
        <v>0.92845966972222804</v>
      </c>
      <c r="E5436">
        <v>0.68721366088659996</v>
      </c>
      <c r="F5436">
        <v>0.36102639077466198</v>
      </c>
      <c r="G5436">
        <v>0.236064498756278</v>
      </c>
      <c r="H5436">
        <v>0.235086265021511</v>
      </c>
      <c r="I5436">
        <v>0.22650752077765701</v>
      </c>
      <c r="J5436">
        <v>0.23897972065346501</v>
      </c>
      <c r="K5436">
        <v>0.17234297805718399</v>
      </c>
      <c r="L5436">
        <v>1322.9571093786001</v>
      </c>
      <c r="M5436">
        <v>26.291804422234701</v>
      </c>
      <c r="N5436">
        <v>51.394359838556198</v>
      </c>
      <c r="O5436">
        <v>50.029845575452597</v>
      </c>
      <c r="P5436">
        <v>-0.103572009128143</v>
      </c>
      <c r="Q5436">
        <v>0.211673118134421</v>
      </c>
      <c r="R5436">
        <v>0.99723853933833595</v>
      </c>
      <c r="S5436" t="s">
        <v>11888</v>
      </c>
      <c r="T5436" t="s">
        <v>12902</v>
      </c>
      <c r="U5436" t="s">
        <v>12902</v>
      </c>
      <c r="V5436" t="s">
        <v>12902</v>
      </c>
      <c r="W5436" t="s">
        <v>18289</v>
      </c>
      <c r="X5436">
        <v>3</v>
      </c>
      <c r="Y5436" t="s">
        <v>24580</v>
      </c>
      <c r="Z5436" t="s">
        <v>31011</v>
      </c>
      <c r="AA5436">
        <v>0.48920241041070522</v>
      </c>
      <c r="AB5436" t="str">
        <f>HYPERLINK("Melting_Curves/meltCurve_Q9H173_SIL1.pdf", "Melting_Curves/meltCurve_Q9H173_SIL1.pdf")</f>
        <v>Melting_Curves/meltCurve_Q9H173_SIL1.pdf</v>
      </c>
    </row>
    <row r="5437" spans="1:28" x14ac:dyDescent="0.25">
      <c r="A5437" t="s">
        <v>5441</v>
      </c>
      <c r="B5437">
        <v>0.99673306730245903</v>
      </c>
      <c r="C5437">
        <v>0.75189960015772495</v>
      </c>
      <c r="D5437">
        <v>0.47229191633752698</v>
      </c>
      <c r="E5437">
        <v>0.34964559641686299</v>
      </c>
      <c r="F5437">
        <v>0.178527898429024</v>
      </c>
      <c r="G5437">
        <v>0.11307989242038501</v>
      </c>
      <c r="H5437">
        <v>7.2063712123028201E-2</v>
      </c>
      <c r="I5437">
        <v>6.5774246646819204E-2</v>
      </c>
      <c r="J5437">
        <v>8.1490799917964499E-2</v>
      </c>
      <c r="K5437">
        <v>8.5750335414912504E-2</v>
      </c>
      <c r="L5437">
        <v>723.79409411565996</v>
      </c>
      <c r="M5437">
        <v>15.7689291083142</v>
      </c>
      <c r="N5437">
        <v>46.362502228907097</v>
      </c>
      <c r="O5437">
        <v>45.180845310567001</v>
      </c>
      <c r="P5437">
        <v>-8.0911063181434206E-2</v>
      </c>
      <c r="Q5437">
        <v>7.2777161323170997E-2</v>
      </c>
      <c r="R5437">
        <v>0.98553397374915497</v>
      </c>
      <c r="S5437" t="s">
        <v>11889</v>
      </c>
      <c r="T5437" t="s">
        <v>12902</v>
      </c>
      <c r="U5437" t="s">
        <v>12902</v>
      </c>
      <c r="V5437" t="s">
        <v>12902</v>
      </c>
      <c r="W5437" t="s">
        <v>18290</v>
      </c>
      <c r="X5437">
        <v>23</v>
      </c>
      <c r="Y5437" t="s">
        <v>24581</v>
      </c>
      <c r="Z5437" t="s">
        <v>31012</v>
      </c>
      <c r="AA5437">
        <v>0.27968353339136659</v>
      </c>
      <c r="AB5437" t="str">
        <f>HYPERLINK("Melting_Curves/meltCurve_Q9H1B7_IRF2BPL.pdf", "Melting_Curves/meltCurve_Q9H1B7_IRF2BPL.pdf")</f>
        <v>Melting_Curves/meltCurve_Q9H1B7_IRF2BPL.pdf</v>
      </c>
    </row>
    <row r="5438" spans="1:28" x14ac:dyDescent="0.25">
      <c r="A5438" t="s">
        <v>5442</v>
      </c>
      <c r="B5438">
        <v>0.99673306730245903</v>
      </c>
      <c r="C5438">
        <v>0.89130614527218899</v>
      </c>
      <c r="D5438">
        <v>0.92486938528957796</v>
      </c>
      <c r="E5438">
        <v>0.93474199827222204</v>
      </c>
      <c r="F5438">
        <v>0.64450530383847005</v>
      </c>
      <c r="G5438">
        <v>0.40787539277868601</v>
      </c>
      <c r="H5438">
        <v>0.324274110829812</v>
      </c>
      <c r="I5438">
        <v>0.39005592904611802</v>
      </c>
      <c r="J5438">
        <v>0.42455595867656598</v>
      </c>
      <c r="K5438">
        <v>0.38134862389358498</v>
      </c>
      <c r="L5438">
        <v>1892.2159939934299</v>
      </c>
      <c r="M5438">
        <v>35.907923885687602</v>
      </c>
      <c r="N5438">
        <v>54.834352751861999</v>
      </c>
      <c r="O5438">
        <v>52.533705409517403</v>
      </c>
      <c r="P5438">
        <v>-0.106508469896147</v>
      </c>
      <c r="Q5438">
        <v>0.37670961804547998</v>
      </c>
      <c r="R5438">
        <v>0.96660985311525205</v>
      </c>
      <c r="S5438" t="s">
        <v>11890</v>
      </c>
      <c r="T5438" t="s">
        <v>12902</v>
      </c>
      <c r="U5438" t="s">
        <v>12902</v>
      </c>
      <c r="V5438" t="s">
        <v>12902</v>
      </c>
      <c r="W5438" t="s">
        <v>18291</v>
      </c>
      <c r="X5438">
        <v>1</v>
      </c>
      <c r="Y5438" t="s">
        <v>24582</v>
      </c>
      <c r="Z5438" t="s">
        <v>31013</v>
      </c>
      <c r="AA5438">
        <v>0.64330930652995277</v>
      </c>
      <c r="AB5438" t="str">
        <f>HYPERLINK("Melting_Curves/meltCurve_Q9H1C4_UNC93B1.pdf", "Melting_Curves/meltCurve_Q9H1C4_UNC93B1.pdf")</f>
        <v>Melting_Curves/meltCurve_Q9H1C4_UNC93B1.pdf</v>
      </c>
    </row>
    <row r="5439" spans="1:28" x14ac:dyDescent="0.25">
      <c r="A5439" t="s">
        <v>5443</v>
      </c>
      <c r="B5439">
        <v>0.99673306730245903</v>
      </c>
      <c r="C5439">
        <v>1.03119717097479</v>
      </c>
      <c r="D5439">
        <v>1.05492908454984</v>
      </c>
      <c r="E5439">
        <v>1.1707062113547499</v>
      </c>
      <c r="F5439">
        <v>0.98738183350408903</v>
      </c>
      <c r="G5439">
        <v>0.53695047131559803</v>
      </c>
      <c r="H5439">
        <v>0.18229866017754701</v>
      </c>
      <c r="I5439">
        <v>0.160765401861928</v>
      </c>
      <c r="J5439">
        <v>0.17376139278177299</v>
      </c>
      <c r="K5439">
        <v>0.16708839000339201</v>
      </c>
      <c r="L5439">
        <v>3677.7605466831901</v>
      </c>
      <c r="M5439">
        <v>64.976505489750906</v>
      </c>
      <c r="N5439">
        <v>56.9616736873364</v>
      </c>
      <c r="O5439">
        <v>56.5478494456882</v>
      </c>
      <c r="P5439">
        <v>-0.23885997842197701</v>
      </c>
      <c r="Q5439">
        <v>0.16849859236595699</v>
      </c>
      <c r="R5439">
        <v>0.98092569787004402</v>
      </c>
      <c r="S5439" t="s">
        <v>11891</v>
      </c>
      <c r="T5439" t="s">
        <v>12902</v>
      </c>
      <c r="U5439" t="s">
        <v>12902</v>
      </c>
      <c r="V5439" t="s">
        <v>12902</v>
      </c>
      <c r="W5439" t="s">
        <v>18292</v>
      </c>
      <c r="X5439">
        <v>4</v>
      </c>
      <c r="Y5439" t="s">
        <v>24583</v>
      </c>
      <c r="Z5439" t="s">
        <v>31014</v>
      </c>
      <c r="AA5439">
        <v>0.62986091033483904</v>
      </c>
      <c r="AB5439" t="str">
        <f>HYPERLINK("Melting_Curves/meltCurve_Q9H1D9_POLR3F.pdf", "Melting_Curves/meltCurve_Q9H1D9_POLR3F.pdf")</f>
        <v>Melting_Curves/meltCurve_Q9H1D9_POLR3F.pdf</v>
      </c>
    </row>
    <row r="5440" spans="1:28" x14ac:dyDescent="0.25">
      <c r="A5440" t="s">
        <v>5444</v>
      </c>
      <c r="B5440">
        <v>0.99673306730245903</v>
      </c>
      <c r="C5440">
        <v>0.97841095273336298</v>
      </c>
      <c r="D5440">
        <v>1.0609477892464501</v>
      </c>
      <c r="E5440">
        <v>1.0190986818537</v>
      </c>
      <c r="F5440">
        <v>1.12705801869769</v>
      </c>
      <c r="G5440">
        <v>1.08901110010726</v>
      </c>
      <c r="H5440">
        <v>1.17519101487221</v>
      </c>
      <c r="I5440">
        <v>1.9709164974981399</v>
      </c>
      <c r="J5440">
        <v>2.4398451322062602</v>
      </c>
      <c r="K5440">
        <v>2.44266223467995</v>
      </c>
      <c r="L5440">
        <v>15000</v>
      </c>
      <c r="M5440">
        <v>246.093314022957</v>
      </c>
      <c r="O5440">
        <v>60.9484635867124</v>
      </c>
      <c r="P5440">
        <v>0.50471599265620404</v>
      </c>
      <c r="Q5440">
        <v>1.5</v>
      </c>
      <c r="R5440">
        <v>0.38857392373837102</v>
      </c>
      <c r="S5440" t="s">
        <v>11892</v>
      </c>
      <c r="T5440" t="s">
        <v>12902</v>
      </c>
      <c r="U5440" t="s">
        <v>12902</v>
      </c>
      <c r="V5440" t="s">
        <v>12902</v>
      </c>
      <c r="W5440" t="s">
        <v>18293</v>
      </c>
      <c r="X5440">
        <v>12</v>
      </c>
      <c r="Y5440" t="s">
        <v>24584</v>
      </c>
      <c r="Z5440" t="s">
        <v>31015</v>
      </c>
      <c r="AA5440">
        <v>1.1507366537367181</v>
      </c>
      <c r="AB5440" t="str">
        <f>HYPERLINK("Melting_Curves/meltCurve_Q9H1E3_NUCKS1.pdf", "Melting_Curves/meltCurve_Q9H1E3_NUCKS1.pdf")</f>
        <v>Melting_Curves/meltCurve_Q9H1E3_NUCKS1.pdf</v>
      </c>
    </row>
    <row r="5441" spans="1:28" x14ac:dyDescent="0.25">
      <c r="A5441" t="s">
        <v>5445</v>
      </c>
      <c r="B5441">
        <v>0.99673306730245903</v>
      </c>
      <c r="C5441">
        <v>1.0100201005103999</v>
      </c>
      <c r="D5441">
        <v>0.90522802149470305</v>
      </c>
      <c r="E5441">
        <v>0.79979647589718195</v>
      </c>
      <c r="F5441">
        <v>0.50672497346747303</v>
      </c>
      <c r="G5441">
        <v>0.19917474583098799</v>
      </c>
      <c r="H5441">
        <v>0.13534757456728699</v>
      </c>
      <c r="I5441">
        <v>5.0066890191077698E-2</v>
      </c>
      <c r="J5441">
        <v>0.11214835568305299</v>
      </c>
      <c r="K5441">
        <v>0</v>
      </c>
      <c r="L5441">
        <v>1023.32184043666</v>
      </c>
      <c r="M5441">
        <v>19.359805703163701</v>
      </c>
      <c r="N5441">
        <v>53.070142785984103</v>
      </c>
      <c r="O5441">
        <v>52.303780263954103</v>
      </c>
      <c r="P5441">
        <v>-8.9094302805390296E-2</v>
      </c>
      <c r="Q5441">
        <v>3.7222514506250901E-2</v>
      </c>
      <c r="R5441">
        <v>0.99311078566745103</v>
      </c>
      <c r="S5441" t="s">
        <v>11893</v>
      </c>
      <c r="T5441" t="s">
        <v>12902</v>
      </c>
      <c r="U5441" t="s">
        <v>12902</v>
      </c>
      <c r="V5441" t="s">
        <v>12902</v>
      </c>
      <c r="W5441" t="s">
        <v>18294</v>
      </c>
      <c r="X5441">
        <v>1</v>
      </c>
      <c r="Y5441" t="s">
        <v>24585</v>
      </c>
      <c r="Z5441" t="s">
        <v>31016</v>
      </c>
      <c r="AA5441">
        <v>0.46388406628457812</v>
      </c>
      <c r="AB5441" t="str">
        <f>HYPERLINK("Melting_Curves/meltCurve_Q9H1E5_TMX4.pdf", "Melting_Curves/meltCurve_Q9H1E5_TMX4.pdf")</f>
        <v>Melting_Curves/meltCurve_Q9H1E5_TMX4.pdf</v>
      </c>
    </row>
    <row r="5442" spans="1:28" x14ac:dyDescent="0.25">
      <c r="A5442" t="s">
        <v>5446</v>
      </c>
      <c r="B5442">
        <v>0.99673306730245903</v>
      </c>
      <c r="C5442">
        <v>0.98589056419920196</v>
      </c>
      <c r="D5442">
        <v>0.82215699071169401</v>
      </c>
      <c r="E5442">
        <v>0.57368289522594396</v>
      </c>
      <c r="F5442">
        <v>0.76431160331314796</v>
      </c>
      <c r="G5442">
        <v>0.29633209258654197</v>
      </c>
      <c r="H5442">
        <v>0.43115716245230001</v>
      </c>
      <c r="I5442">
        <v>0.51094806769717604</v>
      </c>
      <c r="J5442">
        <v>0.71060412828127595</v>
      </c>
      <c r="K5442">
        <v>0.92167161033170597</v>
      </c>
      <c r="L5442">
        <v>11509.9759275287</v>
      </c>
      <c r="M5442">
        <v>250</v>
      </c>
      <c r="O5442">
        <v>46.036957231364902</v>
      </c>
      <c r="P5442">
        <v>-0.54135319483128397</v>
      </c>
      <c r="Q5442">
        <v>0.60124393643238006</v>
      </c>
      <c r="R5442">
        <v>0.48142801765409998</v>
      </c>
      <c r="S5442" t="s">
        <v>11894</v>
      </c>
      <c r="T5442" t="s">
        <v>12902</v>
      </c>
      <c r="U5442" t="s">
        <v>12902</v>
      </c>
      <c r="V5442" t="s">
        <v>12902</v>
      </c>
      <c r="W5442" t="s">
        <v>18295</v>
      </c>
      <c r="X5442">
        <v>1</v>
      </c>
      <c r="Y5442" t="s">
        <v>24586</v>
      </c>
      <c r="Z5442" t="s">
        <v>31017</v>
      </c>
      <c r="AA5442">
        <v>0.68155776324138584</v>
      </c>
      <c r="AB5442" t="str">
        <f>HYPERLINK("Melting_Curves/meltCurve_Q9H1I8_3_ASCC2.pdf", "Melting_Curves/meltCurve_Q9H1I8_3_ASCC2.pdf")</f>
        <v>Melting_Curves/meltCurve_Q9H1I8_3_ASCC2.pdf</v>
      </c>
    </row>
    <row r="5443" spans="1:28" x14ac:dyDescent="0.25">
      <c r="A5443" t="s">
        <v>5447</v>
      </c>
      <c r="B5443">
        <v>0.99673306730245903</v>
      </c>
      <c r="C5443">
        <v>0.91154855129481505</v>
      </c>
      <c r="D5443">
        <v>0.97876541529600702</v>
      </c>
      <c r="E5443">
        <v>0.838414274137815</v>
      </c>
      <c r="F5443">
        <v>0.75027053165718305</v>
      </c>
      <c r="G5443">
        <v>0.63364406564712605</v>
      </c>
      <c r="H5443">
        <v>0.50307440755023003</v>
      </c>
      <c r="I5443">
        <v>0.77259375997178803</v>
      </c>
      <c r="J5443">
        <v>1.0726419340736399</v>
      </c>
      <c r="K5443">
        <v>1.19006250812537</v>
      </c>
      <c r="L5443">
        <v>2711.2745082439601</v>
      </c>
      <c r="M5443">
        <v>57.020967464395902</v>
      </c>
      <c r="O5443">
        <v>47.490352097488099</v>
      </c>
      <c r="P5443">
        <v>-5.38252468873648E-2</v>
      </c>
      <c r="Q5443">
        <v>0.82068500491779595</v>
      </c>
      <c r="R5443">
        <v>9.6018288679524402E-2</v>
      </c>
      <c r="S5443" t="s">
        <v>11895</v>
      </c>
      <c r="T5443" t="s">
        <v>12902</v>
      </c>
      <c r="U5443" t="s">
        <v>12902</v>
      </c>
      <c r="V5443" t="s">
        <v>12902</v>
      </c>
      <c r="W5443" t="s">
        <v>18296</v>
      </c>
      <c r="X5443">
        <v>9</v>
      </c>
      <c r="Y5443" t="s">
        <v>24587</v>
      </c>
      <c r="Z5443" t="s">
        <v>31018</v>
      </c>
      <c r="AA5443">
        <v>0.86609388944837629</v>
      </c>
      <c r="AB5443" t="str">
        <f>HYPERLINK("Melting_Curves/meltCurve_Q9H1J1_UPF3A.pdf", "Melting_Curves/meltCurve_Q9H1J1_UPF3A.pdf")</f>
        <v>Melting_Curves/meltCurve_Q9H1J1_UPF3A.pdf</v>
      </c>
    </row>
    <row r="5444" spans="1:28" x14ac:dyDescent="0.25">
      <c r="A5444" t="s">
        <v>5448</v>
      </c>
      <c r="B5444">
        <v>0.99673306730245903</v>
      </c>
      <c r="C5444">
        <v>0.89160727875543599</v>
      </c>
      <c r="D5444">
        <v>0.89389351377142001</v>
      </c>
      <c r="E5444">
        <v>0.51163899844278604</v>
      </c>
      <c r="F5444">
        <v>0.29142904594966901</v>
      </c>
      <c r="G5444">
        <v>0.20652331386134101</v>
      </c>
      <c r="H5444">
        <v>0.18465318159302299</v>
      </c>
      <c r="I5444">
        <v>0.204760966197122</v>
      </c>
      <c r="J5444">
        <v>0.274597906094108</v>
      </c>
      <c r="K5444">
        <v>0.27243053680893098</v>
      </c>
      <c r="L5444">
        <v>1370.1968757955899</v>
      </c>
      <c r="M5444">
        <v>28.154687338314499</v>
      </c>
      <c r="N5444">
        <v>49.726476856988398</v>
      </c>
      <c r="O5444">
        <v>48.423210055092198</v>
      </c>
      <c r="P5444">
        <v>-0.11256612309606601</v>
      </c>
      <c r="Q5444">
        <v>0.22559721749087</v>
      </c>
      <c r="R5444">
        <v>0.98268783427744499</v>
      </c>
      <c r="S5444" t="s">
        <v>11896</v>
      </c>
      <c r="T5444" t="s">
        <v>12902</v>
      </c>
      <c r="U5444" t="s">
        <v>12902</v>
      </c>
      <c r="V5444" t="s">
        <v>12902</v>
      </c>
      <c r="W5444" t="s">
        <v>18297</v>
      </c>
      <c r="X5444">
        <v>4</v>
      </c>
      <c r="Y5444" t="s">
        <v>24588</v>
      </c>
      <c r="Z5444" t="s">
        <v>31019</v>
      </c>
      <c r="AA5444">
        <v>0.45466848846330898</v>
      </c>
      <c r="AB5444" t="str">
        <f>HYPERLINK("Melting_Curves/meltCurve_Q9H1K0_ZFYVE20.pdf", "Melting_Curves/meltCurve_Q9H1K0_ZFYVE20.pdf")</f>
        <v>Melting_Curves/meltCurve_Q9H1K0_ZFYVE20.pdf</v>
      </c>
    </row>
    <row r="5445" spans="1:28" x14ac:dyDescent="0.25">
      <c r="A5445" t="s">
        <v>5449</v>
      </c>
      <c r="B5445">
        <v>0.99673306730245903</v>
      </c>
      <c r="C5445">
        <v>1.0376716497862</v>
      </c>
      <c r="D5445">
        <v>0.98109288407653406</v>
      </c>
      <c r="E5445">
        <v>0.92267897951977396</v>
      </c>
      <c r="F5445">
        <v>0.71165571555542995</v>
      </c>
      <c r="G5445">
        <v>0.563872154151004</v>
      </c>
      <c r="H5445">
        <v>0.37489382245159403</v>
      </c>
      <c r="I5445">
        <v>0.42427032666011799</v>
      </c>
      <c r="J5445">
        <v>0.59835434259346598</v>
      </c>
      <c r="K5445">
        <v>0.52795627030297099</v>
      </c>
      <c r="L5445">
        <v>1606.1128832464501</v>
      </c>
      <c r="M5445">
        <v>30.465011694938401</v>
      </c>
      <c r="N5445">
        <v>59.592322210771897</v>
      </c>
      <c r="O5445">
        <v>52.494327999111299</v>
      </c>
      <c r="P5445">
        <v>-7.4705631240491399E-2</v>
      </c>
      <c r="Q5445">
        <v>0.48510145947243</v>
      </c>
      <c r="R5445">
        <v>0.93825351806555701</v>
      </c>
      <c r="S5445" t="s">
        <v>11897</v>
      </c>
      <c r="T5445" t="s">
        <v>12902</v>
      </c>
      <c r="U5445" t="s">
        <v>12902</v>
      </c>
      <c r="V5445" t="s">
        <v>12902</v>
      </c>
      <c r="W5445" t="s">
        <v>18298</v>
      </c>
      <c r="X5445">
        <v>12</v>
      </c>
      <c r="Y5445" t="s">
        <v>24589</v>
      </c>
      <c r="Z5445" t="s">
        <v>31020</v>
      </c>
      <c r="AA5445">
        <v>0.70664364036814642</v>
      </c>
      <c r="AB5445" t="str">
        <f>HYPERLINK("Melting_Curves/meltCurve_Q9H1K1_ISCU.pdf", "Melting_Curves/meltCurve_Q9H1K1_ISCU.pdf")</f>
        <v>Melting_Curves/meltCurve_Q9H1K1_ISCU.pdf</v>
      </c>
    </row>
    <row r="5446" spans="1:28" x14ac:dyDescent="0.25">
      <c r="A5446" t="s">
        <v>5450</v>
      </c>
      <c r="B5446">
        <v>0.99673306730245903</v>
      </c>
      <c r="C5446">
        <v>0.694789324096723</v>
      </c>
      <c r="D5446">
        <v>0.29947481854220398</v>
      </c>
      <c r="E5446">
        <v>0.15403195895079699</v>
      </c>
      <c r="F5446">
        <v>7.9515928232456096E-2</v>
      </c>
      <c r="G5446">
        <v>5.4944266244706497E-2</v>
      </c>
      <c r="H5446">
        <v>4.3463071004617403E-2</v>
      </c>
      <c r="I5446">
        <v>4.4999991089929602E-2</v>
      </c>
      <c r="J5446">
        <v>4.1368374660357997E-2</v>
      </c>
      <c r="K5446">
        <v>5.4467940545257498E-2</v>
      </c>
      <c r="L5446">
        <v>1158.4037230726401</v>
      </c>
      <c r="M5446">
        <v>26.185251586158898</v>
      </c>
      <c r="N5446">
        <v>44.440883844737399</v>
      </c>
      <c r="O5446">
        <v>43.983186461475903</v>
      </c>
      <c r="P5446">
        <v>-0.14048329839183599</v>
      </c>
      <c r="Q5446">
        <v>5.6135183891157001E-2</v>
      </c>
      <c r="R5446">
        <v>0.99417578619650304</v>
      </c>
      <c r="S5446" t="s">
        <v>11898</v>
      </c>
      <c r="T5446" t="s">
        <v>12902</v>
      </c>
      <c r="U5446" t="s">
        <v>12902</v>
      </c>
      <c r="V5446" t="s">
        <v>12902</v>
      </c>
      <c r="W5446" t="s">
        <v>18299</v>
      </c>
      <c r="X5446">
        <v>8</v>
      </c>
      <c r="Y5446" t="s">
        <v>24590</v>
      </c>
      <c r="Z5446" t="s">
        <v>31021</v>
      </c>
      <c r="AA5446">
        <v>0.1987673748625029</v>
      </c>
      <c r="AB5446" t="str">
        <f>HYPERLINK("Melting_Curves/meltCurve_Q9H1P3_2_OSBPL2.pdf", "Melting_Curves/meltCurve_Q9H1P3_2_OSBPL2.pdf")</f>
        <v>Melting_Curves/meltCurve_Q9H1P3_2_OSBPL2.pdf</v>
      </c>
    </row>
    <row r="5447" spans="1:28" x14ac:dyDescent="0.25">
      <c r="A5447" t="s">
        <v>5451</v>
      </c>
      <c r="B5447">
        <v>0.99673306730245903</v>
      </c>
      <c r="C5447">
        <v>0.97347577265701202</v>
      </c>
      <c r="D5447">
        <v>0.88666617488255495</v>
      </c>
      <c r="E5447">
        <v>0.763904528529191</v>
      </c>
      <c r="F5447">
        <v>0.543972361683836</v>
      </c>
      <c r="G5447">
        <v>0.45800792932927098</v>
      </c>
      <c r="H5447">
        <v>0.28794367250946301</v>
      </c>
      <c r="I5447">
        <v>0.20690625010850899</v>
      </c>
      <c r="J5447">
        <v>0.14290525495183901</v>
      </c>
      <c r="K5447">
        <v>9.3083716169822001E-2</v>
      </c>
      <c r="L5447">
        <v>562.15560578314796</v>
      </c>
      <c r="M5447">
        <v>10.1990335000746</v>
      </c>
      <c r="N5447">
        <v>55.165930996505402</v>
      </c>
      <c r="O5447">
        <v>53.125530913121302</v>
      </c>
      <c r="P5447">
        <v>-4.7807088461328397E-2</v>
      </c>
      <c r="Q5447">
        <v>4.36373844785767E-3</v>
      </c>
      <c r="R5447">
        <v>0.99586413472311097</v>
      </c>
      <c r="S5447" t="s">
        <v>11899</v>
      </c>
      <c r="T5447" t="s">
        <v>12902</v>
      </c>
      <c r="U5447" t="s">
        <v>12902</v>
      </c>
      <c r="V5447" t="s">
        <v>12902</v>
      </c>
      <c r="W5447" t="s">
        <v>18300</v>
      </c>
      <c r="X5447">
        <v>4</v>
      </c>
      <c r="Y5447" t="s">
        <v>24591</v>
      </c>
      <c r="Z5447" t="s">
        <v>31022</v>
      </c>
      <c r="AA5447">
        <v>0.53115360937894052</v>
      </c>
      <c r="AB5447" t="str">
        <f>HYPERLINK("Melting_Curves/meltCurve_Q9H1Z4_WDR13.pdf", "Melting_Curves/meltCurve_Q9H1Z4_WDR13.pdf")</f>
        <v>Melting_Curves/meltCurve_Q9H1Z4_WDR13.pdf</v>
      </c>
    </row>
    <row r="5448" spans="1:28" x14ac:dyDescent="0.25">
      <c r="A5448" t="s">
        <v>5452</v>
      </c>
      <c r="B5448">
        <v>0.99673306730245903</v>
      </c>
      <c r="C5448">
        <v>0.81983829300287903</v>
      </c>
      <c r="D5448">
        <v>0.83945975805546202</v>
      </c>
      <c r="E5448">
        <v>0.68734128450456999</v>
      </c>
      <c r="F5448">
        <v>0.76349488730770798</v>
      </c>
      <c r="G5448">
        <v>0.96607266372862699</v>
      </c>
      <c r="H5448">
        <v>0.64145532813932704</v>
      </c>
      <c r="I5448">
        <v>0.64940006695276198</v>
      </c>
      <c r="J5448">
        <v>1.03318437922156</v>
      </c>
      <c r="K5448">
        <v>0.91647252197215201</v>
      </c>
      <c r="L5448">
        <v>4229.2058207438004</v>
      </c>
      <c r="M5448">
        <v>101.720593806251</v>
      </c>
      <c r="O5448">
        <v>41.560630663729903</v>
      </c>
      <c r="P5448">
        <v>-0.114972465112711</v>
      </c>
      <c r="Q5448">
        <v>0.81209988512869802</v>
      </c>
      <c r="R5448">
        <v>0.16178208883214201</v>
      </c>
      <c r="S5448" t="s">
        <v>11900</v>
      </c>
      <c r="T5448" t="s">
        <v>12902</v>
      </c>
      <c r="U5448" t="s">
        <v>12902</v>
      </c>
      <c r="V5448" t="s">
        <v>12902</v>
      </c>
      <c r="W5448" t="s">
        <v>18301</v>
      </c>
      <c r="X5448">
        <v>1</v>
      </c>
      <c r="Y5448" t="s">
        <v>24592</v>
      </c>
      <c r="Z5448" t="s">
        <v>31023</v>
      </c>
      <c r="AA5448">
        <v>0.82209996311230304</v>
      </c>
      <c r="AB5448" t="str">
        <f>HYPERLINK("Melting_Curves/meltCurve_Q9H204_MED28.pdf", "Melting_Curves/meltCurve_Q9H204_MED28.pdf")</f>
        <v>Melting_Curves/meltCurve_Q9H204_MED28.pdf</v>
      </c>
    </row>
    <row r="5449" spans="1:28" x14ac:dyDescent="0.25">
      <c r="A5449" t="s">
        <v>5453</v>
      </c>
      <c r="B5449">
        <v>0.99673306730245903</v>
      </c>
      <c r="C5449">
        <v>1.0237041462745</v>
      </c>
      <c r="D5449">
        <v>0.66495917525191806</v>
      </c>
      <c r="E5449">
        <v>0.77615735701936905</v>
      </c>
      <c r="F5449">
        <v>0.18385777251984101</v>
      </c>
      <c r="G5449">
        <v>0.113268450713444</v>
      </c>
      <c r="H5449">
        <v>6.5002969775541694E-2</v>
      </c>
      <c r="I5449">
        <v>6.2938941677841406E-2</v>
      </c>
      <c r="J5449">
        <v>6.5700339786342696E-2</v>
      </c>
      <c r="K5449">
        <v>5.7541494381721403E-2</v>
      </c>
      <c r="L5449">
        <v>971.77748909780803</v>
      </c>
      <c r="M5449">
        <v>19.281790755667298</v>
      </c>
      <c r="N5449">
        <v>50.592471813456797</v>
      </c>
      <c r="O5449">
        <v>49.866013419553099</v>
      </c>
      <c r="P5449">
        <v>-9.3230814769625095E-2</v>
      </c>
      <c r="Q5449">
        <v>3.5592906254772502E-2</v>
      </c>
      <c r="R5449">
        <v>0.94063930755101099</v>
      </c>
      <c r="S5449" t="s">
        <v>11901</v>
      </c>
      <c r="T5449" t="s">
        <v>12902</v>
      </c>
      <c r="U5449" t="s">
        <v>12902</v>
      </c>
      <c r="V5449" t="s">
        <v>12902</v>
      </c>
      <c r="W5449" t="s">
        <v>18302</v>
      </c>
      <c r="X5449">
        <v>22</v>
      </c>
      <c r="Y5449" t="s">
        <v>24593</v>
      </c>
      <c r="Z5449" t="s">
        <v>31024</v>
      </c>
      <c r="AA5449">
        <v>0.38425761090162541</v>
      </c>
      <c r="AB5449" t="str">
        <f>HYPERLINK("Melting_Curves/meltCurve_Q9H223_EHD4.pdf", "Melting_Curves/meltCurve_Q9H223_EHD4.pdf")</f>
        <v>Melting_Curves/meltCurve_Q9H223_EHD4.pdf</v>
      </c>
    </row>
    <row r="5450" spans="1:28" x14ac:dyDescent="0.25">
      <c r="A5450" t="s">
        <v>5454</v>
      </c>
      <c r="B5450">
        <v>0.99673306730245903</v>
      </c>
      <c r="C5450">
        <v>0.855482000994501</v>
      </c>
      <c r="D5450">
        <v>0.66301436948167802</v>
      </c>
      <c r="E5450">
        <v>0.298848102817315</v>
      </c>
      <c r="F5450">
        <v>0.13380177097017901</v>
      </c>
      <c r="G5450">
        <v>7.5348089978418006E-2</v>
      </c>
      <c r="H5450">
        <v>4.3151824040571198E-2</v>
      </c>
      <c r="I5450">
        <v>4.1598611635413701E-2</v>
      </c>
      <c r="J5450">
        <v>4.9279850882430101E-2</v>
      </c>
      <c r="K5450">
        <v>3.8470026176299903E-2</v>
      </c>
      <c r="L5450">
        <v>931.34820814418299</v>
      </c>
      <c r="M5450">
        <v>19.7140520412649</v>
      </c>
      <c r="N5450">
        <v>47.432957853609501</v>
      </c>
      <c r="O5450">
        <v>46.764806692916601</v>
      </c>
      <c r="P5450">
        <v>-0.101389809597041</v>
      </c>
      <c r="Q5450">
        <v>3.7983370603184699E-2</v>
      </c>
      <c r="R5450">
        <v>0.99842827231957798</v>
      </c>
      <c r="S5450" t="s">
        <v>11902</v>
      </c>
      <c r="T5450" t="s">
        <v>12902</v>
      </c>
      <c r="U5450" t="s">
        <v>12902</v>
      </c>
      <c r="V5450" t="s">
        <v>12902</v>
      </c>
      <c r="W5450" t="s">
        <v>18303</v>
      </c>
      <c r="X5450">
        <v>6</v>
      </c>
      <c r="Y5450" t="s">
        <v>24594</v>
      </c>
      <c r="Z5450" t="s">
        <v>31025</v>
      </c>
      <c r="AA5450">
        <v>0.28464446567696289</v>
      </c>
      <c r="AB5450" t="str">
        <f>HYPERLINK("Melting_Curves/meltCurve_Q9H267_VPS33B.pdf", "Melting_Curves/meltCurve_Q9H267_VPS33B.pdf")</f>
        <v>Melting_Curves/meltCurve_Q9H267_VPS33B.pdf</v>
      </c>
    </row>
    <row r="5451" spans="1:28" x14ac:dyDescent="0.25">
      <c r="A5451" t="s">
        <v>5455</v>
      </c>
      <c r="B5451">
        <v>0.99673306730245903</v>
      </c>
      <c r="C5451">
        <v>0.81808529304112698</v>
      </c>
      <c r="D5451">
        <v>0.72193334914951302</v>
      </c>
      <c r="E5451">
        <v>0.39302957325878202</v>
      </c>
      <c r="F5451">
        <v>0.179725984748348</v>
      </c>
      <c r="G5451">
        <v>0.112085890812509</v>
      </c>
      <c r="H5451">
        <v>7.3585801777454996E-2</v>
      </c>
      <c r="I5451">
        <v>6.2636953912977897E-2</v>
      </c>
      <c r="J5451">
        <v>4.47252613954549E-2</v>
      </c>
      <c r="K5451">
        <v>3.5628305590909799E-2</v>
      </c>
      <c r="L5451">
        <v>781.24487364830804</v>
      </c>
      <c r="M5451">
        <v>16.269449995971598</v>
      </c>
      <c r="N5451">
        <v>48.2424600194243</v>
      </c>
      <c r="O5451">
        <v>47.311244169678503</v>
      </c>
      <c r="P5451">
        <v>-8.2857680553868801E-2</v>
      </c>
      <c r="Q5451">
        <v>3.6276732439384798E-2</v>
      </c>
      <c r="R5451">
        <v>0.99432145169060604</v>
      </c>
      <c r="S5451" t="s">
        <v>11903</v>
      </c>
      <c r="T5451" t="s">
        <v>12902</v>
      </c>
      <c r="U5451" t="s">
        <v>12902</v>
      </c>
      <c r="V5451" t="s">
        <v>12902</v>
      </c>
      <c r="W5451" t="s">
        <v>18304</v>
      </c>
      <c r="X5451">
        <v>6</v>
      </c>
      <c r="Y5451" t="s">
        <v>24595</v>
      </c>
      <c r="Z5451" t="s">
        <v>31026</v>
      </c>
      <c r="AA5451">
        <v>0.31493414072816489</v>
      </c>
      <c r="AB5451" t="str">
        <f>HYPERLINK("Melting_Curves/meltCurve_Q9H269_VPS16.pdf", "Melting_Curves/meltCurve_Q9H269_VPS16.pdf")</f>
        <v>Melting_Curves/meltCurve_Q9H269_VPS16.pdf</v>
      </c>
    </row>
    <row r="5452" spans="1:28" x14ac:dyDescent="0.25">
      <c r="A5452" t="s">
        <v>5456</v>
      </c>
      <c r="B5452">
        <v>0.99673306730245903</v>
      </c>
      <c r="C5452">
        <v>0.92925789511581303</v>
      </c>
      <c r="D5452">
        <v>0.84356712552730195</v>
      </c>
      <c r="E5452">
        <v>0.44992485408559302</v>
      </c>
      <c r="F5452">
        <v>0.24523209706702201</v>
      </c>
      <c r="G5452">
        <v>0.146966378299622</v>
      </c>
      <c r="H5452">
        <v>0.100747008730714</v>
      </c>
      <c r="I5452">
        <v>9.5559644294302096E-2</v>
      </c>
      <c r="J5452">
        <v>9.5802918610522494E-2</v>
      </c>
      <c r="K5452">
        <v>9.3151252314149002E-2</v>
      </c>
      <c r="L5452">
        <v>1060.3449535598099</v>
      </c>
      <c r="M5452">
        <v>21.698761716495799</v>
      </c>
      <c r="N5452">
        <v>49.344876209710499</v>
      </c>
      <c r="O5452">
        <v>48.457260348121103</v>
      </c>
      <c r="P5452">
        <v>-0.101333923336758</v>
      </c>
      <c r="Q5452">
        <v>9.4833644641411197E-2</v>
      </c>
      <c r="R5452">
        <v>0.99777102834778697</v>
      </c>
      <c r="S5452" t="s">
        <v>11904</v>
      </c>
      <c r="T5452" t="s">
        <v>12902</v>
      </c>
      <c r="U5452" t="s">
        <v>12902</v>
      </c>
      <c r="V5452" t="s">
        <v>12902</v>
      </c>
      <c r="W5452" t="s">
        <v>18305</v>
      </c>
      <c r="X5452">
        <v>12</v>
      </c>
      <c r="Y5452" t="s">
        <v>24596</v>
      </c>
      <c r="Z5452" t="s">
        <v>31027</v>
      </c>
      <c r="AA5452">
        <v>0.37309810615198968</v>
      </c>
      <c r="AB5452" t="str">
        <f>HYPERLINK("Melting_Curves/meltCurve_Q9H270_VPS11.pdf", "Melting_Curves/meltCurve_Q9H270_VPS11.pdf")</f>
        <v>Melting_Curves/meltCurve_Q9H270_VPS11.pdf</v>
      </c>
    </row>
    <row r="5453" spans="1:28" x14ac:dyDescent="0.25">
      <c r="A5453" t="s">
        <v>5457</v>
      </c>
      <c r="B5453">
        <v>0.99673306730245903</v>
      </c>
      <c r="C5453">
        <v>0.927853923778864</v>
      </c>
      <c r="D5453">
        <v>0.84517566914909703</v>
      </c>
      <c r="E5453">
        <v>0.48465634658515</v>
      </c>
      <c r="F5453">
        <v>0.36034817681636599</v>
      </c>
      <c r="G5453">
        <v>0.18618993351768201</v>
      </c>
      <c r="H5453">
        <v>0.10555926426609499</v>
      </c>
      <c r="I5453">
        <v>0.102734163616128</v>
      </c>
      <c r="J5453">
        <v>0.115600677865766</v>
      </c>
      <c r="K5453">
        <v>9.8069338551237395E-2</v>
      </c>
      <c r="L5453">
        <v>836.71045395506701</v>
      </c>
      <c r="M5453">
        <v>16.883357737243902</v>
      </c>
      <c r="N5453">
        <v>50.157902010916899</v>
      </c>
      <c r="O5453">
        <v>48.878697219953501</v>
      </c>
      <c r="P5453">
        <v>-7.84671241825078E-2</v>
      </c>
      <c r="Q5453">
        <v>9.1382805295626396E-2</v>
      </c>
      <c r="R5453">
        <v>0.99301016735042702</v>
      </c>
      <c r="S5453" t="s">
        <v>11905</v>
      </c>
      <c r="T5453" t="s">
        <v>12902</v>
      </c>
      <c r="U5453" t="s">
        <v>12902</v>
      </c>
      <c r="V5453" t="s">
        <v>12902</v>
      </c>
      <c r="W5453" t="s">
        <v>18306</v>
      </c>
      <c r="X5453">
        <v>11</v>
      </c>
      <c r="Y5453" t="s">
        <v>24597</v>
      </c>
      <c r="Z5453" t="s">
        <v>31028</v>
      </c>
      <c r="AA5453">
        <v>0.39851186057338889</v>
      </c>
      <c r="AB5453" t="str">
        <f>HYPERLINK("Melting_Curves/meltCurve_Q9H2C0_GAN.pdf", "Melting_Curves/meltCurve_Q9H2C0_GAN.pdf")</f>
        <v>Melting_Curves/meltCurve_Q9H2C0_GAN.pdf</v>
      </c>
    </row>
    <row r="5454" spans="1:28" x14ac:dyDescent="0.25">
      <c r="A5454" t="s">
        <v>5458</v>
      </c>
      <c r="B5454">
        <v>0.99673306730245903</v>
      </c>
      <c r="C5454">
        <v>0.74091537231609494</v>
      </c>
      <c r="D5454">
        <v>0.50060771828397499</v>
      </c>
      <c r="E5454">
        <v>0.35511184240615201</v>
      </c>
      <c r="F5454">
        <v>0.18837101420003</v>
      </c>
      <c r="G5454">
        <v>0.13339147443510599</v>
      </c>
      <c r="H5454">
        <v>8.9971103094336702E-2</v>
      </c>
      <c r="I5454">
        <v>8.4043397556018404E-2</v>
      </c>
      <c r="J5454">
        <v>0.11477348621337501</v>
      </c>
      <c r="K5454">
        <v>9.4643168261662497E-2</v>
      </c>
      <c r="L5454">
        <v>718.86002575974999</v>
      </c>
      <c r="M5454">
        <v>15.6624391181292</v>
      </c>
      <c r="N5454">
        <v>46.492425898993801</v>
      </c>
      <c r="O5454">
        <v>45.168383533293003</v>
      </c>
      <c r="P5454">
        <v>-7.8818764277550898E-2</v>
      </c>
      <c r="Q5454">
        <v>9.0865965230478907E-2</v>
      </c>
      <c r="R5454">
        <v>0.98703311901629798</v>
      </c>
      <c r="S5454" t="s">
        <v>11906</v>
      </c>
      <c r="T5454" t="s">
        <v>12902</v>
      </c>
      <c r="U5454" t="s">
        <v>12902</v>
      </c>
      <c r="V5454" t="s">
        <v>12902</v>
      </c>
      <c r="W5454" t="s">
        <v>18307</v>
      </c>
      <c r="X5454">
        <v>4</v>
      </c>
      <c r="Y5454" t="s">
        <v>24598</v>
      </c>
      <c r="Z5454" t="s">
        <v>31029</v>
      </c>
      <c r="AA5454">
        <v>0.29400552611248171</v>
      </c>
      <c r="AB5454" t="str">
        <f>HYPERLINK("Melting_Curves/meltCurve_Q9H2D6_5_TRIOBP.pdf", "Melting_Curves/meltCurve_Q9H2D6_5_TRIOBP.pdf")</f>
        <v>Melting_Curves/meltCurve_Q9H2D6_5_TRIOBP.pdf</v>
      </c>
    </row>
    <row r="5455" spans="1:28" x14ac:dyDescent="0.25">
      <c r="A5455" t="s">
        <v>5459</v>
      </c>
      <c r="B5455">
        <v>0.99673306730245903</v>
      </c>
      <c r="C5455">
        <v>0.94578648853464298</v>
      </c>
      <c r="D5455">
        <v>0.915648687222818</v>
      </c>
      <c r="E5455">
        <v>0.634208224623942</v>
      </c>
      <c r="F5455">
        <v>0.17430166177460299</v>
      </c>
      <c r="G5455">
        <v>0.12570967247498299</v>
      </c>
      <c r="H5455">
        <v>9.2365685338005002E-2</v>
      </c>
      <c r="I5455">
        <v>8.6538670047499294E-2</v>
      </c>
      <c r="J5455">
        <v>0.102477663239793</v>
      </c>
      <c r="K5455">
        <v>9.5629135203113905E-2</v>
      </c>
      <c r="L5455">
        <v>1667.0965216444499</v>
      </c>
      <c r="M5455">
        <v>33.308875783658003</v>
      </c>
      <c r="N5455">
        <v>50.359139537595397</v>
      </c>
      <c r="O5455">
        <v>49.8702521128344</v>
      </c>
      <c r="P5455">
        <v>-0.15152182378874299</v>
      </c>
      <c r="Q5455">
        <v>9.2566305153638201E-2</v>
      </c>
      <c r="R5455">
        <v>0.99611539323917897</v>
      </c>
      <c r="S5455" t="s">
        <v>11907</v>
      </c>
      <c r="T5455" t="s">
        <v>12902</v>
      </c>
      <c r="U5455" t="s">
        <v>12902</v>
      </c>
      <c r="V5455" t="s">
        <v>12902</v>
      </c>
      <c r="W5455" t="s">
        <v>18308</v>
      </c>
      <c r="X5455">
        <v>39</v>
      </c>
      <c r="Y5455" t="s">
        <v>24599</v>
      </c>
      <c r="Z5455" t="s">
        <v>31030</v>
      </c>
      <c r="AA5455">
        <v>0.40109073683708091</v>
      </c>
      <c r="AB5455" t="str">
        <f>HYPERLINK("Melting_Curves/meltCurve_Q9H2G2_SLK.pdf", "Melting_Curves/meltCurve_Q9H2G2_SLK.pdf")</f>
        <v>Melting_Curves/meltCurve_Q9H2G2_SLK.pdf</v>
      </c>
    </row>
    <row r="5456" spans="1:28" x14ac:dyDescent="0.25">
      <c r="A5456" t="s">
        <v>5460</v>
      </c>
      <c r="B5456">
        <v>0.99673306730245903</v>
      </c>
      <c r="C5456">
        <v>0.95716792001027096</v>
      </c>
      <c r="D5456">
        <v>0.81040026145114896</v>
      </c>
      <c r="E5456">
        <v>0.45302766103883102</v>
      </c>
      <c r="F5456">
        <v>0.176477808665601</v>
      </c>
      <c r="G5456">
        <v>0.107674533707033</v>
      </c>
      <c r="H5456">
        <v>6.8765657916583303E-2</v>
      </c>
      <c r="I5456">
        <v>6.2057689021807499E-2</v>
      </c>
      <c r="J5456">
        <v>7.7239426411223805E-2</v>
      </c>
      <c r="K5456">
        <v>7.71482703359994E-2</v>
      </c>
      <c r="L5456">
        <v>1123.8432241379901</v>
      </c>
      <c r="M5456">
        <v>23.0408687629916</v>
      </c>
      <c r="N5456">
        <v>49.083965855738001</v>
      </c>
      <c r="O5456">
        <v>48.413140729547102</v>
      </c>
      <c r="P5456">
        <v>-0.11097703223621801</v>
      </c>
      <c r="Q5456">
        <v>6.7284426648345094E-2</v>
      </c>
      <c r="R5456">
        <v>0.99961332151538296</v>
      </c>
      <c r="S5456" t="s">
        <v>11908</v>
      </c>
      <c r="T5456" t="s">
        <v>12902</v>
      </c>
      <c r="U5456" t="s">
        <v>12902</v>
      </c>
      <c r="V5456" t="s">
        <v>12902</v>
      </c>
      <c r="W5456" t="s">
        <v>18309</v>
      </c>
      <c r="X5456">
        <v>10</v>
      </c>
      <c r="Y5456" t="s">
        <v>24600</v>
      </c>
      <c r="Z5456" t="s">
        <v>31031</v>
      </c>
      <c r="AA5456">
        <v>0.34991391468992011</v>
      </c>
      <c r="AB5456" t="str">
        <f>HYPERLINK("Melting_Curves/meltCurve_Q9H2H8_PPIL3.pdf", "Melting_Curves/meltCurve_Q9H2H8_PPIL3.pdf")</f>
        <v>Melting_Curves/meltCurve_Q9H2H8_PPIL3.pdf</v>
      </c>
    </row>
    <row r="5457" spans="1:28" x14ac:dyDescent="0.25">
      <c r="A5457" t="s">
        <v>5461</v>
      </c>
      <c r="B5457">
        <v>0.99673306730245903</v>
      </c>
      <c r="C5457">
        <v>0.90798478345037703</v>
      </c>
      <c r="D5457">
        <v>0.91050052309989504</v>
      </c>
      <c r="E5457">
        <v>0.99974923404078997</v>
      </c>
      <c r="F5457">
        <v>0.76786111870028095</v>
      </c>
      <c r="G5457">
        <v>0.65423825009713599</v>
      </c>
      <c r="H5457">
        <v>0.17321841178720501</v>
      </c>
      <c r="I5457">
        <v>0.17003658888709799</v>
      </c>
      <c r="J5457">
        <v>0.157664256995071</v>
      </c>
      <c r="K5457">
        <v>0.17684417072664799</v>
      </c>
      <c r="L5457">
        <v>1386.1064619123099</v>
      </c>
      <c r="M5457">
        <v>24.437652050980802</v>
      </c>
      <c r="N5457">
        <v>57.408956748063801</v>
      </c>
      <c r="O5457">
        <v>56.344410794954001</v>
      </c>
      <c r="P5457">
        <v>-9.4652815309928404E-2</v>
      </c>
      <c r="Q5457">
        <v>0.12707208244804599</v>
      </c>
      <c r="R5457">
        <v>0.964928238591786</v>
      </c>
      <c r="S5457" t="s">
        <v>11909</v>
      </c>
      <c r="T5457" t="s">
        <v>12902</v>
      </c>
      <c r="U5457" t="s">
        <v>12902</v>
      </c>
      <c r="V5457" t="s">
        <v>12902</v>
      </c>
      <c r="W5457" t="s">
        <v>18310</v>
      </c>
      <c r="X5457">
        <v>2</v>
      </c>
      <c r="Y5457" t="s">
        <v>24601</v>
      </c>
      <c r="Z5457" t="s">
        <v>31032</v>
      </c>
      <c r="AA5457">
        <v>0.62179051062789081</v>
      </c>
      <c r="AB5457" t="str">
        <f>HYPERLINK("Melting_Curves/meltCurve_Q9H2J4_PDCL3.pdf", "Melting_Curves/meltCurve_Q9H2J4_PDCL3.pdf")</f>
        <v>Melting_Curves/meltCurve_Q9H2J4_PDCL3.pdf</v>
      </c>
    </row>
    <row r="5458" spans="1:28" x14ac:dyDescent="0.25">
      <c r="A5458" t="s">
        <v>5462</v>
      </c>
      <c r="B5458">
        <v>0.99673306730245903</v>
      </c>
      <c r="C5458">
        <v>0.95376398914191796</v>
      </c>
      <c r="D5458">
        <v>0.83665750849852605</v>
      </c>
      <c r="E5458">
        <v>0.61966987250866701</v>
      </c>
      <c r="F5458">
        <v>0.19444119627961401</v>
      </c>
      <c r="G5458">
        <v>0.122689423864883</v>
      </c>
      <c r="H5458">
        <v>6.6582873310762195E-2</v>
      </c>
      <c r="I5458">
        <v>6.9331779632245003E-2</v>
      </c>
      <c r="J5458">
        <v>6.5527323459567299E-2</v>
      </c>
      <c r="K5458">
        <v>6.3125367275697702E-2</v>
      </c>
      <c r="L5458">
        <v>1135.4365415489699</v>
      </c>
      <c r="M5458">
        <v>22.727851747240901</v>
      </c>
      <c r="N5458">
        <v>50.220574003201101</v>
      </c>
      <c r="O5458">
        <v>49.576000591901497</v>
      </c>
      <c r="P5458">
        <v>-0.10819117210669001</v>
      </c>
      <c r="Q5458">
        <v>5.6033912719562103E-2</v>
      </c>
      <c r="R5458">
        <v>0.99430681719617098</v>
      </c>
      <c r="S5458" t="s">
        <v>11910</v>
      </c>
      <c r="T5458" t="s">
        <v>12902</v>
      </c>
      <c r="U5458" t="s">
        <v>12902</v>
      </c>
      <c r="V5458" t="s">
        <v>12902</v>
      </c>
      <c r="W5458" t="s">
        <v>18311</v>
      </c>
      <c r="X5458">
        <v>2</v>
      </c>
      <c r="Y5458" t="s">
        <v>24602</v>
      </c>
      <c r="Z5458" t="s">
        <v>31033</v>
      </c>
      <c r="AA5458">
        <v>0.37957414085615632</v>
      </c>
      <c r="AB5458" t="str">
        <f>HYPERLINK("Melting_Curves/meltCurve_Q9H2K0_MTIF3.pdf", "Melting_Curves/meltCurve_Q9H2K0_MTIF3.pdf")</f>
        <v>Melting_Curves/meltCurve_Q9H2K0_MTIF3.pdf</v>
      </c>
    </row>
    <row r="5459" spans="1:28" x14ac:dyDescent="0.25">
      <c r="A5459" t="s">
        <v>5463</v>
      </c>
      <c r="B5459">
        <v>0.99673306730245903</v>
      </c>
      <c r="C5459">
        <v>0.93788789813352003</v>
      </c>
      <c r="D5459">
        <v>0.91378118156073196</v>
      </c>
      <c r="E5459">
        <v>0.93580949211084996</v>
      </c>
      <c r="F5459">
        <v>0.24796187890974999</v>
      </c>
      <c r="G5459">
        <v>0.18148177260104401</v>
      </c>
      <c r="H5459">
        <v>0.1045504902303</v>
      </c>
      <c r="I5459">
        <v>0.100356988966932</v>
      </c>
      <c r="J5459">
        <v>7.6914151816105503E-2</v>
      </c>
      <c r="K5459">
        <v>4.9989062950914001E-2</v>
      </c>
      <c r="L5459">
        <v>2946.9167436850798</v>
      </c>
      <c r="M5459">
        <v>56.9686504597396</v>
      </c>
      <c r="N5459">
        <v>51.933108829571601</v>
      </c>
      <c r="O5459">
        <v>51.6651190236581</v>
      </c>
      <c r="P5459">
        <v>-0.24798099728738099</v>
      </c>
      <c r="Q5459">
        <v>0.100420238216775</v>
      </c>
      <c r="R5459">
        <v>0.98775984082604396</v>
      </c>
      <c r="S5459" t="s">
        <v>11911</v>
      </c>
      <c r="T5459" t="s">
        <v>12902</v>
      </c>
      <c r="U5459" t="s">
        <v>12902</v>
      </c>
      <c r="V5459" t="s">
        <v>12902</v>
      </c>
      <c r="W5459" t="s">
        <v>18312</v>
      </c>
      <c r="X5459">
        <v>9</v>
      </c>
      <c r="Y5459" t="s">
        <v>24603</v>
      </c>
      <c r="Z5459" t="s">
        <v>31034</v>
      </c>
      <c r="AA5459">
        <v>0.45369738757856959</v>
      </c>
      <c r="AB5459" t="str">
        <f>HYPERLINK("Melting_Curves/meltCurve_Q9H2K8_TAOK3.pdf", "Melting_Curves/meltCurve_Q9H2K8_TAOK3.pdf")</f>
        <v>Melting_Curves/meltCurve_Q9H2K8_TAOK3.pdf</v>
      </c>
    </row>
    <row r="5460" spans="1:28" x14ac:dyDescent="0.25">
      <c r="A5460" t="s">
        <v>5464</v>
      </c>
      <c r="B5460">
        <v>0.99673306730245903</v>
      </c>
      <c r="C5460">
        <v>0.85676110026638297</v>
      </c>
      <c r="D5460">
        <v>0.60295008580418996</v>
      </c>
      <c r="E5460">
        <v>0.28944405336489898</v>
      </c>
      <c r="F5460">
        <v>0.214853207873204</v>
      </c>
      <c r="G5460">
        <v>0.14864159583049799</v>
      </c>
      <c r="H5460">
        <v>8.75679286508705E-2</v>
      </c>
      <c r="I5460">
        <v>8.0613314865827901E-2</v>
      </c>
      <c r="J5460">
        <v>7.8745630267349903E-2</v>
      </c>
      <c r="K5460">
        <v>6.4935924539245904E-2</v>
      </c>
      <c r="L5460">
        <v>865.93597827967903</v>
      </c>
      <c r="M5460">
        <v>18.533833809929199</v>
      </c>
      <c r="N5460">
        <v>47.19239696172</v>
      </c>
      <c r="O5460">
        <v>46.188152474768401</v>
      </c>
      <c r="P5460">
        <v>-9.1858786149473307E-2</v>
      </c>
      <c r="Q5460">
        <v>8.4355137410542E-2</v>
      </c>
      <c r="R5460">
        <v>0.99480333433000201</v>
      </c>
      <c r="S5460" t="s">
        <v>11912</v>
      </c>
      <c r="T5460" t="s">
        <v>12902</v>
      </c>
      <c r="U5460" t="s">
        <v>12902</v>
      </c>
      <c r="V5460" t="s">
        <v>12902</v>
      </c>
      <c r="W5460" t="s">
        <v>18313</v>
      </c>
      <c r="X5460">
        <v>14</v>
      </c>
      <c r="Y5460" t="s">
        <v>24604</v>
      </c>
      <c r="Z5460" t="s">
        <v>31035</v>
      </c>
      <c r="AA5460">
        <v>0.30558965095203178</v>
      </c>
      <c r="AB5460" t="str">
        <f>HYPERLINK("Melting_Curves/meltCurve_Q9H2M9_RAB3GAP2.pdf", "Melting_Curves/meltCurve_Q9H2M9_RAB3GAP2.pdf")</f>
        <v>Melting_Curves/meltCurve_Q9H2M9_RAB3GAP2.pdf</v>
      </c>
    </row>
    <row r="5461" spans="1:28" x14ac:dyDescent="0.25">
      <c r="A5461" t="s">
        <v>5465</v>
      </c>
      <c r="B5461">
        <v>0.99673306730245903</v>
      </c>
      <c r="C5461">
        <v>0.80457691150085897</v>
      </c>
      <c r="D5461">
        <v>0.57743774298553996</v>
      </c>
      <c r="E5461">
        <v>0.29550556926941002</v>
      </c>
      <c r="F5461">
        <v>0.20261143290745501</v>
      </c>
      <c r="G5461">
        <v>0.12626407515507801</v>
      </c>
      <c r="H5461">
        <v>8.6031513158890599E-2</v>
      </c>
      <c r="I5461">
        <v>7.6656716331695102E-2</v>
      </c>
      <c r="J5461">
        <v>6.6650716680847502E-2</v>
      </c>
      <c r="K5461">
        <v>6.3586791435749204E-2</v>
      </c>
      <c r="L5461">
        <v>789.887891899181</v>
      </c>
      <c r="M5461">
        <v>16.980317315273901</v>
      </c>
      <c r="N5461">
        <v>46.947097552170703</v>
      </c>
      <c r="O5461">
        <v>45.887058023845199</v>
      </c>
      <c r="P5461">
        <v>-8.5865142399747796E-2</v>
      </c>
      <c r="Q5461">
        <v>7.1901135588145204E-2</v>
      </c>
      <c r="R5461">
        <v>0.99555008777205301</v>
      </c>
      <c r="S5461" t="s">
        <v>11913</v>
      </c>
      <c r="T5461" t="s">
        <v>12902</v>
      </c>
      <c r="U5461" t="s">
        <v>12902</v>
      </c>
      <c r="V5461" t="s">
        <v>12902</v>
      </c>
      <c r="W5461" t="s">
        <v>18314</v>
      </c>
      <c r="X5461">
        <v>13</v>
      </c>
      <c r="Y5461" t="s">
        <v>24605</v>
      </c>
      <c r="Z5461" t="s">
        <v>31036</v>
      </c>
      <c r="AA5461">
        <v>0.29352768150642877</v>
      </c>
      <c r="AB5461" t="str">
        <f>HYPERLINK("Melting_Curves/meltCurve_Q9H2P0_ADNP.pdf", "Melting_Curves/meltCurve_Q9H2P0_ADNP.pdf")</f>
        <v>Melting_Curves/meltCurve_Q9H2P0_ADNP.pdf</v>
      </c>
    </row>
    <row r="5462" spans="1:28" x14ac:dyDescent="0.25">
      <c r="A5462" t="s">
        <v>5466</v>
      </c>
      <c r="B5462">
        <v>0.99673306730245903</v>
      </c>
      <c r="C5462">
        <v>0.98980755713896895</v>
      </c>
      <c r="D5462">
        <v>0.97930380323593502</v>
      </c>
      <c r="E5462">
        <v>0.95942048677744396</v>
      </c>
      <c r="F5462">
        <v>0.82294534559057797</v>
      </c>
      <c r="G5462">
        <v>0.57398787149348796</v>
      </c>
      <c r="H5462">
        <v>0.228175931238421</v>
      </c>
      <c r="I5462">
        <v>0.20580702634129</v>
      </c>
      <c r="J5462">
        <v>0.14607408468045799</v>
      </c>
      <c r="K5462">
        <v>0.143056578064027</v>
      </c>
      <c r="L5462">
        <v>1327.1977826504999</v>
      </c>
      <c r="M5462">
        <v>23.458146630390299</v>
      </c>
      <c r="N5462">
        <v>57.3013572805678</v>
      </c>
      <c r="O5462">
        <v>56.170920413749599</v>
      </c>
      <c r="P5462">
        <v>-9.1015111852978503E-2</v>
      </c>
      <c r="Q5462">
        <v>0.12826631538237299</v>
      </c>
      <c r="R5462">
        <v>0.99694501657433199</v>
      </c>
      <c r="S5462" t="s">
        <v>11914</v>
      </c>
      <c r="T5462" t="s">
        <v>12902</v>
      </c>
      <c r="U5462" t="s">
        <v>12902</v>
      </c>
      <c r="V5462" t="s">
        <v>12902</v>
      </c>
      <c r="W5462" t="s">
        <v>18315</v>
      </c>
      <c r="X5462">
        <v>8</v>
      </c>
      <c r="Y5462" t="s">
        <v>24606</v>
      </c>
      <c r="Z5462" t="s">
        <v>31037</v>
      </c>
      <c r="AA5462">
        <v>0.61871946878083461</v>
      </c>
      <c r="AB5462" t="str">
        <f>HYPERLINK("Melting_Curves/meltCurve_Q9H2P9_DPH5.pdf", "Melting_Curves/meltCurve_Q9H2P9_DPH5.pdf")</f>
        <v>Melting_Curves/meltCurve_Q9H2P9_DPH5.pdf</v>
      </c>
    </row>
    <row r="5463" spans="1:28" x14ac:dyDescent="0.25">
      <c r="A5463" t="s">
        <v>5467</v>
      </c>
      <c r="B5463">
        <v>0.99673306730245903</v>
      </c>
      <c r="C5463">
        <v>1.00489376189835</v>
      </c>
      <c r="D5463">
        <v>0.98518295334664496</v>
      </c>
      <c r="E5463">
        <v>1.0161028039278299</v>
      </c>
      <c r="F5463">
        <v>0.886917017623857</v>
      </c>
      <c r="G5463">
        <v>0.78247784721103297</v>
      </c>
      <c r="H5463">
        <v>0.39451429736319998</v>
      </c>
      <c r="I5463">
        <v>0.12430710408080201</v>
      </c>
      <c r="J5463">
        <v>5.9610651130632401E-2</v>
      </c>
      <c r="K5463">
        <v>5.1857060440003599E-2</v>
      </c>
      <c r="L5463">
        <v>1451.94997775976</v>
      </c>
      <c r="M5463">
        <v>24.388759044172801</v>
      </c>
      <c r="N5463">
        <v>59.555214454577701</v>
      </c>
      <c r="O5463">
        <v>59.137645849884898</v>
      </c>
      <c r="P5463">
        <v>-0.102648567529688</v>
      </c>
      <c r="Q5463">
        <v>4.40935164925283E-3</v>
      </c>
      <c r="R5463">
        <v>0.99580077204847295</v>
      </c>
      <c r="S5463" t="s">
        <v>11915</v>
      </c>
      <c r="T5463" t="s">
        <v>12902</v>
      </c>
      <c r="U5463" t="s">
        <v>12902</v>
      </c>
      <c r="V5463" t="s">
        <v>12902</v>
      </c>
      <c r="W5463" t="s">
        <v>18316</v>
      </c>
      <c r="X5463">
        <v>14</v>
      </c>
      <c r="Y5463" t="s">
        <v>24607</v>
      </c>
      <c r="Z5463" t="s">
        <v>31038</v>
      </c>
      <c r="AA5463">
        <v>0.66063951653774544</v>
      </c>
      <c r="AB5463" t="str">
        <f>HYPERLINK("Melting_Curves/meltCurve_Q9H2U2_PPA2.pdf", "Melting_Curves/meltCurve_Q9H2U2_PPA2.pdf")</f>
        <v>Melting_Curves/meltCurve_Q9H2U2_PPA2.pdf</v>
      </c>
    </row>
    <row r="5464" spans="1:28" x14ac:dyDescent="0.25">
      <c r="A5464" t="s">
        <v>5468</v>
      </c>
      <c r="B5464">
        <v>0.99673306730245903</v>
      </c>
      <c r="C5464">
        <v>0.82809583424883304</v>
      </c>
      <c r="D5464">
        <v>0.78869984089920098</v>
      </c>
      <c r="E5464">
        <v>0.71394059449542102</v>
      </c>
      <c r="F5464">
        <v>0.13663756079831599</v>
      </c>
      <c r="G5464">
        <v>8.5281381695595807E-2</v>
      </c>
      <c r="H5464">
        <v>4.9215174165411997E-2</v>
      </c>
      <c r="I5464">
        <v>4.1366205568259699E-2</v>
      </c>
      <c r="J5464">
        <v>5.1587781539293297E-2</v>
      </c>
      <c r="K5464">
        <v>5.8662375818233102E-2</v>
      </c>
      <c r="L5464">
        <v>1135.1933934210999</v>
      </c>
      <c r="M5464">
        <v>22.603675194839401</v>
      </c>
      <c r="N5464">
        <v>50.3577776532345</v>
      </c>
      <c r="O5464">
        <v>49.833501711692897</v>
      </c>
      <c r="P5464">
        <v>-0.11003701948434901</v>
      </c>
      <c r="Q5464">
        <v>2.9640964120137302E-2</v>
      </c>
      <c r="R5464">
        <v>0.956024219169056</v>
      </c>
      <c r="S5464" t="s">
        <v>11916</v>
      </c>
      <c r="T5464" t="s">
        <v>12902</v>
      </c>
      <c r="U5464" t="s">
        <v>12902</v>
      </c>
      <c r="V5464" t="s">
        <v>12902</v>
      </c>
      <c r="W5464" t="s">
        <v>18317</v>
      </c>
      <c r="X5464">
        <v>6</v>
      </c>
      <c r="Y5464" t="s">
        <v>24608</v>
      </c>
      <c r="Z5464" t="s">
        <v>31039</v>
      </c>
      <c r="AA5464">
        <v>0.370885799580005</v>
      </c>
      <c r="AB5464" t="str">
        <f>HYPERLINK("Melting_Curves/meltCurve_Q9H2W6_MRPL46.pdf", "Melting_Curves/meltCurve_Q9H2W6_MRPL46.pdf")</f>
        <v>Melting_Curves/meltCurve_Q9H2W6_MRPL46.pdf</v>
      </c>
    </row>
    <row r="5465" spans="1:28" x14ac:dyDescent="0.25">
      <c r="A5465" t="s">
        <v>5469</v>
      </c>
      <c r="B5465">
        <v>0.99673306730245903</v>
      </c>
      <c r="C5465">
        <v>0.97179052643145103</v>
      </c>
      <c r="D5465">
        <v>1.1060724700194899</v>
      </c>
      <c r="E5465">
        <v>0.75301236351822298</v>
      </c>
      <c r="F5465">
        <v>0.612874432271582</v>
      </c>
      <c r="G5465">
        <v>0.43101151301886098</v>
      </c>
      <c r="H5465">
        <v>0.35966828227203301</v>
      </c>
      <c r="I5465">
        <v>0.50508806073519896</v>
      </c>
      <c r="J5465">
        <v>0.47190781738827198</v>
      </c>
      <c r="K5465">
        <v>0.27642083701401798</v>
      </c>
      <c r="L5465">
        <v>1328.3719574839999</v>
      </c>
      <c r="M5465">
        <v>25.928638281506899</v>
      </c>
      <c r="N5465">
        <v>54.648803679748703</v>
      </c>
      <c r="O5465">
        <v>50.930015028863103</v>
      </c>
      <c r="P5465">
        <v>-7.6217369722213199E-2</v>
      </c>
      <c r="Q5465">
        <v>0.40117077215446301</v>
      </c>
      <c r="R5465">
        <v>0.922849836036994</v>
      </c>
      <c r="S5465" t="s">
        <v>11917</v>
      </c>
      <c r="T5465" t="s">
        <v>12902</v>
      </c>
      <c r="U5465" t="s">
        <v>12902</v>
      </c>
      <c r="V5465" t="s">
        <v>12902</v>
      </c>
      <c r="W5465" t="s">
        <v>18318</v>
      </c>
      <c r="X5465">
        <v>3</v>
      </c>
      <c r="Y5465" t="s">
        <v>24609</v>
      </c>
      <c r="Z5465" t="s">
        <v>31040</v>
      </c>
      <c r="AA5465">
        <v>0.63041797011944289</v>
      </c>
      <c r="AB5465" t="str">
        <f>HYPERLINK("Melting_Curves/meltCurve_Q9H300_PARL.pdf", "Melting_Curves/meltCurve_Q9H300_PARL.pdf")</f>
        <v>Melting_Curves/meltCurve_Q9H300_PARL.pdf</v>
      </c>
    </row>
    <row r="5466" spans="1:28" x14ac:dyDescent="0.25">
      <c r="A5466" t="s">
        <v>5470</v>
      </c>
      <c r="B5466">
        <v>0.99673306730245903</v>
      </c>
      <c r="C5466">
        <v>1.01502226233893</v>
      </c>
      <c r="D5466">
        <v>1.0633981653097999</v>
      </c>
      <c r="E5466">
        <v>1.14004880132703</v>
      </c>
      <c r="F5466">
        <v>0.76932822609811002</v>
      </c>
      <c r="G5466">
        <v>0.50047918559569105</v>
      </c>
      <c r="H5466">
        <v>0.36334907160382701</v>
      </c>
      <c r="I5466">
        <v>0.44277629071223101</v>
      </c>
      <c r="J5466">
        <v>0.67535778412984304</v>
      </c>
      <c r="K5466">
        <v>0.812810719411028</v>
      </c>
      <c r="L5466">
        <v>13295.099702036099</v>
      </c>
      <c r="M5466">
        <v>250</v>
      </c>
      <c r="O5466">
        <v>53.176982697413003</v>
      </c>
      <c r="P5466">
        <v>-0.51836958743955097</v>
      </c>
      <c r="Q5466">
        <v>0.55895460365506699</v>
      </c>
      <c r="R5466">
        <v>0.77230827225283405</v>
      </c>
      <c r="S5466" t="s">
        <v>11918</v>
      </c>
      <c r="T5466" t="s">
        <v>12902</v>
      </c>
      <c r="U5466" t="s">
        <v>12902</v>
      </c>
      <c r="V5466" t="s">
        <v>12902</v>
      </c>
      <c r="W5466" t="s">
        <v>18319</v>
      </c>
      <c r="X5466">
        <v>11</v>
      </c>
      <c r="Y5466" t="s">
        <v>24610</v>
      </c>
      <c r="Z5466" t="s">
        <v>31041</v>
      </c>
      <c r="AA5466">
        <v>0.75276757397324456</v>
      </c>
      <c r="AB5466" t="str">
        <f>HYPERLINK("Melting_Curves/meltCurve_Q9H307_PNN.pdf", "Melting_Curves/meltCurve_Q9H307_PNN.pdf")</f>
        <v>Melting_Curves/meltCurve_Q9H307_PNN.pdf</v>
      </c>
    </row>
    <row r="5467" spans="1:28" x14ac:dyDescent="0.25">
      <c r="A5467" t="s">
        <v>5471</v>
      </c>
      <c r="B5467">
        <v>0.99673306730245903</v>
      </c>
      <c r="C5467">
        <v>0.95608752730107205</v>
      </c>
      <c r="D5467">
        <v>0.91779896741806799</v>
      </c>
      <c r="E5467">
        <v>0.74821000065994303</v>
      </c>
      <c r="F5467">
        <v>0.60421453955076998</v>
      </c>
      <c r="G5467">
        <v>0.49232328266119402</v>
      </c>
      <c r="H5467">
        <v>0.37418445855837301</v>
      </c>
      <c r="I5467">
        <v>0.41748714456199798</v>
      </c>
      <c r="J5467">
        <v>0.34183712541335998</v>
      </c>
      <c r="K5467">
        <v>0.21933683475205101</v>
      </c>
      <c r="L5467">
        <v>593.16752970778805</v>
      </c>
      <c r="M5467">
        <v>11.153177481815</v>
      </c>
      <c r="N5467">
        <v>56.565282290537802</v>
      </c>
      <c r="O5467">
        <v>51.559889904424402</v>
      </c>
      <c r="P5467">
        <v>-4.0933706267272801E-2</v>
      </c>
      <c r="Q5467">
        <v>0.243314263988027</v>
      </c>
      <c r="R5467">
        <v>0.98052954223882205</v>
      </c>
      <c r="S5467" t="s">
        <v>11919</v>
      </c>
      <c r="T5467" t="s">
        <v>12902</v>
      </c>
      <c r="U5467" t="s">
        <v>12902</v>
      </c>
      <c r="V5467" t="s">
        <v>12902</v>
      </c>
      <c r="W5467" t="s">
        <v>18320</v>
      </c>
      <c r="X5467">
        <v>3</v>
      </c>
      <c r="Y5467" t="s">
        <v>24611</v>
      </c>
      <c r="Z5467" t="s">
        <v>31042</v>
      </c>
      <c r="AA5467">
        <v>0.59875206424380067</v>
      </c>
      <c r="AB5467" t="str">
        <f>HYPERLINK("Melting_Curves/meltCurve_Q9H330_2_TMEM245.pdf", "Melting_Curves/meltCurve_Q9H330_2_TMEM245.pdf")</f>
        <v>Melting_Curves/meltCurve_Q9H330_2_TMEM245.pdf</v>
      </c>
    </row>
    <row r="5468" spans="1:28" x14ac:dyDescent="0.25">
      <c r="A5468" t="s">
        <v>5472</v>
      </c>
      <c r="B5468">
        <v>0.99673306730245903</v>
      </c>
      <c r="C5468">
        <v>0.93176210361122902</v>
      </c>
      <c r="D5468">
        <v>0.85843813226791099</v>
      </c>
      <c r="E5468">
        <v>0.88916126069342405</v>
      </c>
      <c r="F5468">
        <v>0.67988054534404696</v>
      </c>
      <c r="G5468">
        <v>0.30031910853597799</v>
      </c>
      <c r="H5468">
        <v>0.102654319572887</v>
      </c>
      <c r="I5468">
        <v>9.0416640912890103E-2</v>
      </c>
      <c r="J5468">
        <v>8.9027051619064601E-2</v>
      </c>
      <c r="K5468">
        <v>8.7696916845628303E-2</v>
      </c>
      <c r="L5468">
        <v>1246.3764297841401</v>
      </c>
      <c r="M5468">
        <v>22.9433680364079</v>
      </c>
      <c r="N5468">
        <v>54.644327728317499</v>
      </c>
      <c r="O5468">
        <v>53.916412937508198</v>
      </c>
      <c r="P5468">
        <v>-9.9692836402286003E-2</v>
      </c>
      <c r="Q5468">
        <v>6.2914101245390097E-2</v>
      </c>
      <c r="R5468">
        <v>0.98331810211659598</v>
      </c>
      <c r="S5468" t="s">
        <v>11920</v>
      </c>
      <c r="T5468" t="s">
        <v>12902</v>
      </c>
      <c r="U5468" t="s">
        <v>12902</v>
      </c>
      <c r="V5468" t="s">
        <v>12902</v>
      </c>
      <c r="W5468" t="s">
        <v>18321</v>
      </c>
      <c r="X5468">
        <v>2</v>
      </c>
      <c r="Y5468" t="s">
        <v>24612</v>
      </c>
      <c r="Z5468" t="s">
        <v>31043</v>
      </c>
      <c r="AA5468">
        <v>0.52043739685519597</v>
      </c>
      <c r="AB5468" t="str">
        <f>HYPERLINK("Melting_Curves/meltCurve_Q9H3C7_GGNBP2.pdf", "Melting_Curves/meltCurve_Q9H3C7_GGNBP2.pdf")</f>
        <v>Melting_Curves/meltCurve_Q9H3C7_GGNBP2.pdf</v>
      </c>
    </row>
    <row r="5469" spans="1:28" x14ac:dyDescent="0.25">
      <c r="A5469" t="s">
        <v>5473</v>
      </c>
      <c r="B5469">
        <v>0.99673306730245903</v>
      </c>
      <c r="C5469">
        <v>0.97658638139112597</v>
      </c>
      <c r="D5469">
        <v>0.95176829366521198</v>
      </c>
      <c r="E5469">
        <v>0.97558522072713605</v>
      </c>
      <c r="F5469">
        <v>0.901313211535685</v>
      </c>
      <c r="G5469">
        <v>0.75241672757992994</v>
      </c>
      <c r="H5469">
        <v>0.459916880990143</v>
      </c>
      <c r="I5469">
        <v>0.40194885060561802</v>
      </c>
      <c r="J5469">
        <v>0.26079700934272998</v>
      </c>
      <c r="K5469">
        <v>0.19760733862549101</v>
      </c>
      <c r="L5469">
        <v>955.344299680826</v>
      </c>
      <c r="M5469">
        <v>15.9927972698595</v>
      </c>
      <c r="N5469">
        <v>60.9304373691444</v>
      </c>
      <c r="O5469">
        <v>58.825336039275697</v>
      </c>
      <c r="P5469">
        <v>-5.8825532269014602E-2</v>
      </c>
      <c r="Q5469">
        <v>0.13457042869835201</v>
      </c>
      <c r="R5469">
        <v>0.99253469851326703</v>
      </c>
      <c r="S5469" t="s">
        <v>11921</v>
      </c>
      <c r="T5469" t="s">
        <v>12902</v>
      </c>
      <c r="U5469" t="s">
        <v>12902</v>
      </c>
      <c r="V5469" t="s">
        <v>12902</v>
      </c>
      <c r="W5469" t="s">
        <v>18322</v>
      </c>
      <c r="X5469">
        <v>5</v>
      </c>
      <c r="Y5469" t="s">
        <v>24613</v>
      </c>
      <c r="Z5469" t="s">
        <v>31044</v>
      </c>
      <c r="AA5469">
        <v>0.71122695849202877</v>
      </c>
      <c r="AB5469" t="str">
        <f>HYPERLINK("Melting_Curves/meltCurve_Q9H3F6_KCTD10.pdf", "Melting_Curves/meltCurve_Q9H3F6_KCTD10.pdf")</f>
        <v>Melting_Curves/meltCurve_Q9H3F6_KCTD10.pdf</v>
      </c>
    </row>
    <row r="5470" spans="1:28" x14ac:dyDescent="0.25">
      <c r="A5470" t="s">
        <v>5474</v>
      </c>
      <c r="B5470">
        <v>0.99673306730245903</v>
      </c>
      <c r="C5470">
        <v>0.92100397043512205</v>
      </c>
      <c r="D5470">
        <v>0.63438918122472898</v>
      </c>
      <c r="E5470">
        <v>0.24815881025561601</v>
      </c>
      <c r="F5470">
        <v>0.14470993001377599</v>
      </c>
      <c r="G5470">
        <v>9.0645866470325395E-2</v>
      </c>
      <c r="H5470">
        <v>6.2868769971535898E-2</v>
      </c>
      <c r="I5470">
        <v>5.8342574610804103E-2</v>
      </c>
      <c r="J5470">
        <v>7.1545707606021594E-2</v>
      </c>
      <c r="K5470">
        <v>6.8476105728031103E-2</v>
      </c>
      <c r="L5470">
        <v>1157.42515429216</v>
      </c>
      <c r="M5470">
        <v>24.7149116839973</v>
      </c>
      <c r="N5470">
        <v>47.121862734276498</v>
      </c>
      <c r="O5470">
        <v>46.527688008980903</v>
      </c>
      <c r="P5470">
        <v>-0.12340538596942401</v>
      </c>
      <c r="Q5470">
        <v>7.0733437688461298E-2</v>
      </c>
      <c r="R5470">
        <v>0.99886109462524197</v>
      </c>
      <c r="S5470" t="s">
        <v>11922</v>
      </c>
      <c r="T5470" t="s">
        <v>12902</v>
      </c>
      <c r="U5470" t="s">
        <v>12902</v>
      </c>
      <c r="V5470" t="s">
        <v>12902</v>
      </c>
      <c r="W5470" t="s">
        <v>18323</v>
      </c>
      <c r="X5470">
        <v>13</v>
      </c>
      <c r="Y5470" t="s">
        <v>24614</v>
      </c>
      <c r="Z5470" t="s">
        <v>31045</v>
      </c>
      <c r="AA5470">
        <v>0.29087128044430682</v>
      </c>
      <c r="AB5470" t="str">
        <f>HYPERLINK("Melting_Curves/meltCurve_Q9H3H1_4_TRIT1.pdf", "Melting_Curves/meltCurve_Q9H3H1_4_TRIT1.pdf")</f>
        <v>Melting_Curves/meltCurve_Q9H3H1_4_TRIT1.pdf</v>
      </c>
    </row>
    <row r="5471" spans="1:28" x14ac:dyDescent="0.25">
      <c r="A5471" t="s">
        <v>5475</v>
      </c>
      <c r="B5471">
        <v>0.99673306730245903</v>
      </c>
      <c r="C5471">
        <v>0.96513730127182895</v>
      </c>
      <c r="D5471">
        <v>0.94243265475072402</v>
      </c>
      <c r="E5471">
        <v>0.96160042393058798</v>
      </c>
      <c r="F5471">
        <v>0.26349805404149002</v>
      </c>
      <c r="G5471">
        <v>0.18276873333891</v>
      </c>
      <c r="H5471">
        <v>8.2150072000339094E-2</v>
      </c>
      <c r="I5471">
        <v>5.81415508070217E-2</v>
      </c>
      <c r="J5471">
        <v>4.0247655165813599E-2</v>
      </c>
      <c r="K5471">
        <v>3.7371831244650898E-2</v>
      </c>
      <c r="L5471">
        <v>3051.2762524786999</v>
      </c>
      <c r="M5471">
        <v>58.678807722792001</v>
      </c>
      <c r="N5471">
        <v>52.149422465061903</v>
      </c>
      <c r="O5471">
        <v>51.939333560926698</v>
      </c>
      <c r="P5471">
        <v>-0.260534817694694</v>
      </c>
      <c r="Q5471">
        <v>7.7554551001515704E-2</v>
      </c>
      <c r="R5471">
        <v>0.99007997053951902</v>
      </c>
      <c r="S5471" t="s">
        <v>11923</v>
      </c>
      <c r="T5471" t="s">
        <v>12902</v>
      </c>
      <c r="U5471" t="s">
        <v>12902</v>
      </c>
      <c r="V5471" t="s">
        <v>12902</v>
      </c>
      <c r="W5471" t="s">
        <v>18324</v>
      </c>
      <c r="X5471">
        <v>5</v>
      </c>
      <c r="Y5471" t="s">
        <v>24615</v>
      </c>
      <c r="Z5471" t="s">
        <v>31046</v>
      </c>
      <c r="AA5471">
        <v>0.44805519817418987</v>
      </c>
      <c r="AB5471" t="str">
        <f>HYPERLINK("Melting_Curves/meltCurve_Q9H3H3_C11orf68.pdf", "Melting_Curves/meltCurve_Q9H3H3_C11orf68.pdf")</f>
        <v>Melting_Curves/meltCurve_Q9H3H3_C11orf68.pdf</v>
      </c>
    </row>
    <row r="5472" spans="1:28" x14ac:dyDescent="0.25">
      <c r="A5472" t="s">
        <v>5476</v>
      </c>
      <c r="B5472">
        <v>0.99673306730245903</v>
      </c>
      <c r="C5472">
        <v>0.92177921725801104</v>
      </c>
      <c r="D5472">
        <v>1.0580788226890001</v>
      </c>
      <c r="E5472">
        <v>0.82961920429605096</v>
      </c>
      <c r="F5472">
        <v>0.80260890601902002</v>
      </c>
      <c r="G5472">
        <v>0.64586989262349503</v>
      </c>
      <c r="H5472">
        <v>0.80702686235332399</v>
      </c>
      <c r="I5472">
        <v>0.90009743974321399</v>
      </c>
      <c r="J5472">
        <v>0.55332226929075701</v>
      </c>
      <c r="K5472">
        <v>0.14286017376861601</v>
      </c>
      <c r="L5472">
        <v>548.96963971945502</v>
      </c>
      <c r="M5472">
        <v>8.1693450364463995</v>
      </c>
      <c r="N5472">
        <v>67.198733311550399</v>
      </c>
      <c r="O5472">
        <v>63.532212590966303</v>
      </c>
      <c r="P5472">
        <v>-3.2180085539376797E-2</v>
      </c>
      <c r="Q5472">
        <v>0</v>
      </c>
      <c r="R5472">
        <v>0.61873869034564999</v>
      </c>
      <c r="S5472" t="s">
        <v>11924</v>
      </c>
      <c r="T5472" t="s">
        <v>12902</v>
      </c>
      <c r="U5472" t="s">
        <v>12902</v>
      </c>
      <c r="V5472" t="s">
        <v>12902</v>
      </c>
      <c r="W5472" t="s">
        <v>18325</v>
      </c>
      <c r="X5472">
        <v>3</v>
      </c>
      <c r="Y5472" t="s">
        <v>24616</v>
      </c>
      <c r="Z5472" t="s">
        <v>31047</v>
      </c>
      <c r="AA5472">
        <v>0.79992423569060178</v>
      </c>
      <c r="AB5472" t="str">
        <f>HYPERLINK("Melting_Curves/meltCurve_Q9H3H5_2_DPAGT1.pdf", "Melting_Curves/meltCurve_Q9H3H5_2_DPAGT1.pdf")</f>
        <v>Melting_Curves/meltCurve_Q9H3H5_2_DPAGT1.pdf</v>
      </c>
    </row>
    <row r="5473" spans="1:28" x14ac:dyDescent="0.25">
      <c r="A5473" t="s">
        <v>5477</v>
      </c>
      <c r="B5473">
        <v>0.99673306730245903</v>
      </c>
      <c r="C5473">
        <v>0.95637759370210196</v>
      </c>
      <c r="D5473">
        <v>0.96817412998888497</v>
      </c>
      <c r="E5473">
        <v>0.92193194258367706</v>
      </c>
      <c r="F5473">
        <v>0.68581440850657904</v>
      </c>
      <c r="G5473">
        <v>0.54575825631921504</v>
      </c>
      <c r="H5473">
        <v>0.47060111571225499</v>
      </c>
      <c r="I5473">
        <v>0.67293070849029701</v>
      </c>
      <c r="J5473">
        <v>0.88554709614099802</v>
      </c>
      <c r="K5473">
        <v>1.00414576258454</v>
      </c>
      <c r="L5473">
        <v>12449.347246162601</v>
      </c>
      <c r="M5473">
        <v>250</v>
      </c>
      <c r="O5473">
        <v>49.794202209816497</v>
      </c>
      <c r="P5473">
        <v>-0.362994627779409</v>
      </c>
      <c r="Q5473">
        <v>0.71079955357182001</v>
      </c>
      <c r="R5473">
        <v>0.42067537490141699</v>
      </c>
      <c r="S5473" t="s">
        <v>11925</v>
      </c>
      <c r="T5473" t="s">
        <v>12902</v>
      </c>
      <c r="U5473" t="s">
        <v>12902</v>
      </c>
      <c r="V5473" t="s">
        <v>12902</v>
      </c>
      <c r="W5473" t="s">
        <v>18326</v>
      </c>
      <c r="X5473">
        <v>3</v>
      </c>
      <c r="Y5473" t="s">
        <v>24617</v>
      </c>
      <c r="Z5473" t="s">
        <v>31048</v>
      </c>
      <c r="AA5473">
        <v>0.80527180345865723</v>
      </c>
      <c r="AB5473" t="str">
        <f>HYPERLINK("Melting_Curves/meltCurve_Q9H3J6_C12orf65.pdf", "Melting_Curves/meltCurve_Q9H3J6_C12orf65.pdf")</f>
        <v>Melting_Curves/meltCurve_Q9H3J6_C12orf65.pdf</v>
      </c>
    </row>
    <row r="5474" spans="1:28" x14ac:dyDescent="0.25">
      <c r="A5474" t="s">
        <v>5478</v>
      </c>
      <c r="B5474">
        <v>0.99673306730245903</v>
      </c>
      <c r="C5474">
        <v>1.0167700652452301</v>
      </c>
      <c r="D5474">
        <v>0.99746769094805698</v>
      </c>
      <c r="E5474">
        <v>0.81846824644787797</v>
      </c>
      <c r="F5474">
        <v>0.488695931391331</v>
      </c>
      <c r="G5474">
        <v>0.30684034766106899</v>
      </c>
      <c r="H5474">
        <v>0.24165897476398299</v>
      </c>
      <c r="I5474">
        <v>0.24538857942287201</v>
      </c>
      <c r="J5474">
        <v>0.25009571256760699</v>
      </c>
      <c r="K5474">
        <v>0.23938899424087601</v>
      </c>
      <c r="L5474">
        <v>1433.1929088807999</v>
      </c>
      <c r="M5474">
        <v>27.679255465899701</v>
      </c>
      <c r="N5474">
        <v>53.039207215833201</v>
      </c>
      <c r="O5474">
        <v>51.510596006765297</v>
      </c>
      <c r="P5474">
        <v>-0.101959998886818</v>
      </c>
      <c r="Q5474">
        <v>0.24102404470595201</v>
      </c>
      <c r="R5474">
        <v>0.99903524955855605</v>
      </c>
      <c r="S5474" t="s">
        <v>11926</v>
      </c>
      <c r="T5474" t="s">
        <v>12902</v>
      </c>
      <c r="U5474" t="s">
        <v>12902</v>
      </c>
      <c r="V5474" t="s">
        <v>12902</v>
      </c>
      <c r="W5474" t="s">
        <v>18327</v>
      </c>
      <c r="X5474">
        <v>6</v>
      </c>
      <c r="Y5474" t="s">
        <v>24618</v>
      </c>
      <c r="Z5474" t="s">
        <v>31049</v>
      </c>
      <c r="AA5474">
        <v>0.54468006198481345</v>
      </c>
      <c r="AB5474" t="str">
        <f>HYPERLINK("Melting_Curves/meltCurve_Q9H3K6_BOLA2.pdf", "Melting_Curves/meltCurve_Q9H3K6_BOLA2.pdf")</f>
        <v>Melting_Curves/meltCurve_Q9H3K6_BOLA2.pdf</v>
      </c>
    </row>
    <row r="5475" spans="1:28" x14ac:dyDescent="0.25">
      <c r="A5475" t="s">
        <v>5479</v>
      </c>
      <c r="B5475">
        <v>0.99673306730245903</v>
      </c>
      <c r="C5475">
        <v>0.98789916336554595</v>
      </c>
      <c r="D5475">
        <v>0.99097028051841096</v>
      </c>
      <c r="E5475">
        <v>0.84537018676636699</v>
      </c>
      <c r="F5475">
        <v>0.59440058986420197</v>
      </c>
      <c r="G5475">
        <v>0.42891858959423401</v>
      </c>
      <c r="H5475">
        <v>0.26085129816319502</v>
      </c>
      <c r="I5475">
        <v>0.23603166056692099</v>
      </c>
      <c r="J5475">
        <v>0.20728807138354899</v>
      </c>
      <c r="K5475">
        <v>0.188795472615161</v>
      </c>
      <c r="L5475">
        <v>959.88436656626004</v>
      </c>
      <c r="M5475">
        <v>17.913496102787999</v>
      </c>
      <c r="N5475">
        <v>55.006859078684499</v>
      </c>
      <c r="O5475">
        <v>52.930040436905301</v>
      </c>
      <c r="P5475">
        <v>-6.8928087293540205E-2</v>
      </c>
      <c r="Q5475">
        <v>0.18537784755140799</v>
      </c>
      <c r="R5475">
        <v>0.99767097975918695</v>
      </c>
      <c r="S5475" t="s">
        <v>11927</v>
      </c>
      <c r="T5475" t="s">
        <v>12902</v>
      </c>
      <c r="U5475" t="s">
        <v>12902</v>
      </c>
      <c r="V5475" t="s">
        <v>12902</v>
      </c>
      <c r="W5475" t="s">
        <v>18328</v>
      </c>
      <c r="X5475">
        <v>12</v>
      </c>
      <c r="Y5475" t="s">
        <v>24619</v>
      </c>
      <c r="Z5475" t="s">
        <v>31050</v>
      </c>
      <c r="AA5475">
        <v>0.56752142019271024</v>
      </c>
      <c r="AB5475" t="str">
        <f>HYPERLINK("Melting_Curves/meltCurve_Q9H3N1_TMX1.pdf", "Melting_Curves/meltCurve_Q9H3N1_TMX1.pdf")</f>
        <v>Melting_Curves/meltCurve_Q9H3N1_TMX1.pdf</v>
      </c>
    </row>
    <row r="5476" spans="1:28" x14ac:dyDescent="0.25">
      <c r="A5476" t="s">
        <v>5480</v>
      </c>
      <c r="B5476">
        <v>0.99673306730245903</v>
      </c>
      <c r="C5476">
        <v>0.91089357074129895</v>
      </c>
      <c r="D5476">
        <v>0.68327354776307203</v>
      </c>
      <c r="E5476">
        <v>0.28465716326074803</v>
      </c>
      <c r="F5476">
        <v>0.14243173062949999</v>
      </c>
      <c r="G5476">
        <v>8.3960215698102206E-2</v>
      </c>
      <c r="H5476">
        <v>5.0259977293951499E-2</v>
      </c>
      <c r="I5476">
        <v>5.45627566467927E-2</v>
      </c>
      <c r="J5476">
        <v>6.9216161598827694E-2</v>
      </c>
      <c r="K5476">
        <v>6.8507864294204093E-2</v>
      </c>
      <c r="L5476">
        <v>1100.8334291809599</v>
      </c>
      <c r="M5476">
        <v>23.292315105724501</v>
      </c>
      <c r="N5476">
        <v>47.529538093081499</v>
      </c>
      <c r="O5476">
        <v>46.917427684182897</v>
      </c>
      <c r="P5476">
        <v>-0.116480467225239</v>
      </c>
      <c r="Q5476">
        <v>6.1515945682210998E-2</v>
      </c>
      <c r="R5476">
        <v>0.999161391506865</v>
      </c>
      <c r="S5476" t="s">
        <v>11928</v>
      </c>
      <c r="T5476" t="s">
        <v>12902</v>
      </c>
      <c r="U5476" t="s">
        <v>12902</v>
      </c>
      <c r="V5476" t="s">
        <v>12902</v>
      </c>
      <c r="W5476" t="s">
        <v>18329</v>
      </c>
      <c r="X5476">
        <v>9</v>
      </c>
      <c r="Y5476" t="s">
        <v>24620</v>
      </c>
      <c r="Z5476" t="s">
        <v>31051</v>
      </c>
      <c r="AA5476">
        <v>0.29842026945902139</v>
      </c>
      <c r="AB5476" t="str">
        <f>HYPERLINK("Melting_Curves/meltCurve_Q9H3P2_NELFA.pdf", "Melting_Curves/meltCurve_Q9H3P2_NELFA.pdf")</f>
        <v>Melting_Curves/meltCurve_Q9H3P2_NELFA.pdf</v>
      </c>
    </row>
    <row r="5477" spans="1:28" x14ac:dyDescent="0.25">
      <c r="A5477" t="s">
        <v>5481</v>
      </c>
      <c r="B5477">
        <v>0.99673306730245903</v>
      </c>
      <c r="C5477">
        <v>0.99689540978249402</v>
      </c>
      <c r="D5477">
        <v>0.88705265043362003</v>
      </c>
      <c r="E5477">
        <v>0.83126964829011196</v>
      </c>
      <c r="F5477">
        <v>0.236756393212364</v>
      </c>
      <c r="G5477">
        <v>0.11044099901896599</v>
      </c>
      <c r="H5477">
        <v>7.1718826667289098E-2</v>
      </c>
      <c r="I5477">
        <v>6.7070928378150305E-2</v>
      </c>
      <c r="J5477">
        <v>7.3611331773142205E-2</v>
      </c>
      <c r="K5477">
        <v>5.8603534184954703E-2</v>
      </c>
      <c r="L5477">
        <v>2080.50179521575</v>
      </c>
      <c r="M5477">
        <v>40.545959181765902</v>
      </c>
      <c r="N5477">
        <v>51.505636172538601</v>
      </c>
      <c r="O5477">
        <v>51.187842064000897</v>
      </c>
      <c r="P5477">
        <v>-0.18403935151442</v>
      </c>
      <c r="Q5477">
        <v>7.06291106011466E-2</v>
      </c>
      <c r="R5477">
        <v>0.99288136953815198</v>
      </c>
      <c r="S5477" t="s">
        <v>11929</v>
      </c>
      <c r="T5477" t="s">
        <v>12902</v>
      </c>
      <c r="U5477" t="s">
        <v>12902</v>
      </c>
      <c r="V5477" t="s">
        <v>12902</v>
      </c>
      <c r="W5477" t="s">
        <v>18330</v>
      </c>
      <c r="X5477">
        <v>8</v>
      </c>
      <c r="Y5477" t="s">
        <v>24621</v>
      </c>
      <c r="Z5477" t="s">
        <v>31052</v>
      </c>
      <c r="AA5477">
        <v>0.42427665330343362</v>
      </c>
      <c r="AB5477" t="str">
        <f>HYPERLINK("Melting_Curves/meltCurve_Q9H3P7_ACBD3.pdf", "Melting_Curves/meltCurve_Q9H3P7_ACBD3.pdf")</f>
        <v>Melting_Curves/meltCurve_Q9H3P7_ACBD3.pdf</v>
      </c>
    </row>
    <row r="5478" spans="1:28" x14ac:dyDescent="0.25">
      <c r="A5478" t="s">
        <v>5482</v>
      </c>
      <c r="B5478">
        <v>0.99673306730245903</v>
      </c>
      <c r="C5478">
        <v>1.0020312016850701</v>
      </c>
      <c r="D5478">
        <v>0.91876508095253895</v>
      </c>
      <c r="E5478">
        <v>0.78748082188059898</v>
      </c>
      <c r="F5478">
        <v>0.53093946884121501</v>
      </c>
      <c r="G5478">
        <v>0.368976375202134</v>
      </c>
      <c r="H5478">
        <v>0.25044430177739202</v>
      </c>
      <c r="I5478">
        <v>0.340319333884127</v>
      </c>
      <c r="J5478">
        <v>0.547784855212059</v>
      </c>
      <c r="K5478">
        <v>0.59465471521421498</v>
      </c>
      <c r="L5478">
        <v>1585.6269566672499</v>
      </c>
      <c r="M5478">
        <v>31.496332784962199</v>
      </c>
      <c r="N5478">
        <v>53.4703148490118</v>
      </c>
      <c r="O5478">
        <v>50.141561137947498</v>
      </c>
      <c r="P5478">
        <v>-9.0964292847969697E-2</v>
      </c>
      <c r="Q5478">
        <v>0.42074915156663401</v>
      </c>
      <c r="R5478">
        <v>0.86952804294946795</v>
      </c>
      <c r="S5478" t="s">
        <v>11930</v>
      </c>
      <c r="T5478" t="s">
        <v>12902</v>
      </c>
      <c r="U5478" t="s">
        <v>12902</v>
      </c>
      <c r="V5478" t="s">
        <v>12902</v>
      </c>
      <c r="W5478" t="s">
        <v>18331</v>
      </c>
      <c r="X5478">
        <v>13</v>
      </c>
      <c r="Y5478" t="s">
        <v>24622</v>
      </c>
      <c r="Z5478" t="s">
        <v>31053</v>
      </c>
      <c r="AA5478">
        <v>0.62372581028383067</v>
      </c>
      <c r="AB5478" t="str">
        <f>HYPERLINK("Melting_Curves/meltCurve_Q9H3Q1_CDC42EP4.pdf", "Melting_Curves/meltCurve_Q9H3Q1_CDC42EP4.pdf")</f>
        <v>Melting_Curves/meltCurve_Q9H3Q1_CDC42EP4.pdf</v>
      </c>
    </row>
    <row r="5479" spans="1:28" x14ac:dyDescent="0.25">
      <c r="A5479" t="s">
        <v>5483</v>
      </c>
      <c r="B5479">
        <v>0.99673306730245903</v>
      </c>
      <c r="C5479">
        <v>0.74427321216071696</v>
      </c>
      <c r="D5479">
        <v>0.48502094344221403</v>
      </c>
      <c r="E5479">
        <v>0.40756090742624201</v>
      </c>
      <c r="F5479">
        <v>0.222731826970336</v>
      </c>
      <c r="G5479">
        <v>0.12188070520118199</v>
      </c>
      <c r="H5479">
        <v>6.7457207133394106E-2</v>
      </c>
      <c r="I5479">
        <v>6.4501026382865007E-2</v>
      </c>
      <c r="J5479">
        <v>5.4932968902269598E-2</v>
      </c>
      <c r="K5479">
        <v>5.2290612790051497E-2</v>
      </c>
      <c r="L5479">
        <v>603.01565049519502</v>
      </c>
      <c r="M5479">
        <v>12.919616792568601</v>
      </c>
      <c r="N5479">
        <v>46.973750804923803</v>
      </c>
      <c r="O5479">
        <v>45.598626994348798</v>
      </c>
      <c r="P5479">
        <v>-6.8046723602384201E-2</v>
      </c>
      <c r="Q5479">
        <v>3.9514636160294603E-2</v>
      </c>
      <c r="R5479">
        <v>0.97899055527107004</v>
      </c>
      <c r="S5479" t="s">
        <v>11931</v>
      </c>
      <c r="T5479" t="s">
        <v>12902</v>
      </c>
      <c r="U5479" t="s">
        <v>12902</v>
      </c>
      <c r="V5479" t="s">
        <v>12902</v>
      </c>
      <c r="W5479" t="s">
        <v>18332</v>
      </c>
      <c r="X5479">
        <v>2</v>
      </c>
      <c r="Y5479" t="s">
        <v>24623</v>
      </c>
      <c r="Z5479" t="s">
        <v>31054</v>
      </c>
      <c r="AA5479">
        <v>0.28916898016028109</v>
      </c>
      <c r="AB5479" t="str">
        <f>HYPERLINK("Melting_Curves/meltCurve_Q9H3R0_4_KDM4C.pdf", "Melting_Curves/meltCurve_Q9H3R0_4_KDM4C.pdf")</f>
        <v>Melting_Curves/meltCurve_Q9H3R0_4_KDM4C.pdf</v>
      </c>
    </row>
    <row r="5480" spans="1:28" x14ac:dyDescent="0.25">
      <c r="A5480" t="s">
        <v>5484</v>
      </c>
      <c r="B5480">
        <v>0.99673306730245903</v>
      </c>
      <c r="C5480">
        <v>0.96549574564941298</v>
      </c>
      <c r="D5480">
        <v>0.865477774891248</v>
      </c>
      <c r="E5480">
        <v>0.34260174218966899</v>
      </c>
      <c r="F5480">
        <v>0.21930031510978701</v>
      </c>
      <c r="G5480">
        <v>0.129494300863327</v>
      </c>
      <c r="H5480">
        <v>8.2557333752998202E-2</v>
      </c>
      <c r="I5480">
        <v>7.9254345986868896E-2</v>
      </c>
      <c r="J5480">
        <v>9.0515182796396601E-2</v>
      </c>
      <c r="K5480">
        <v>8.2823949299658695E-2</v>
      </c>
      <c r="L5480">
        <v>1471.36471511995</v>
      </c>
      <c r="M5480">
        <v>30.468507023513801</v>
      </c>
      <c r="N5480">
        <v>48.645765298485799</v>
      </c>
      <c r="O5480">
        <v>48.084733328460402</v>
      </c>
      <c r="P5480">
        <v>-0.14264313090299899</v>
      </c>
      <c r="Q5480">
        <v>9.9540401876374807E-2</v>
      </c>
      <c r="R5480">
        <v>0.99390421743035495</v>
      </c>
      <c r="S5480" t="s">
        <v>11932</v>
      </c>
      <c r="T5480" t="s">
        <v>12902</v>
      </c>
      <c r="U5480" t="s">
        <v>12902</v>
      </c>
      <c r="V5480" t="s">
        <v>12902</v>
      </c>
      <c r="W5480" t="s">
        <v>18333</v>
      </c>
      <c r="X5480">
        <v>33</v>
      </c>
      <c r="Y5480" t="s">
        <v>24624</v>
      </c>
      <c r="Z5480" t="s">
        <v>31055</v>
      </c>
      <c r="AA5480">
        <v>0.35367049059103522</v>
      </c>
      <c r="AB5480" t="str">
        <f>HYPERLINK("Melting_Curves/meltCurve_Q9H3S7_PTPN23.pdf", "Melting_Curves/meltCurve_Q9H3S7_PTPN23.pdf")</f>
        <v>Melting_Curves/meltCurve_Q9H3S7_PTPN23.pdf</v>
      </c>
    </row>
    <row r="5481" spans="1:28" x14ac:dyDescent="0.25">
      <c r="A5481" t="s">
        <v>5485</v>
      </c>
      <c r="B5481">
        <v>0.99673306730245903</v>
      </c>
      <c r="C5481">
        <v>0.902849215845685</v>
      </c>
      <c r="D5481">
        <v>0.63552519229261095</v>
      </c>
      <c r="E5481">
        <v>0.22600482970857899</v>
      </c>
      <c r="F5481">
        <v>0.143566111609576</v>
      </c>
      <c r="G5481">
        <v>9.1058444822997395E-2</v>
      </c>
      <c r="H5481">
        <v>5.7588869428369001E-2</v>
      </c>
      <c r="I5481">
        <v>5.4016038227406797E-2</v>
      </c>
      <c r="J5481">
        <v>5.4388738614245001E-2</v>
      </c>
      <c r="K5481">
        <v>4.8838556300118803E-2</v>
      </c>
      <c r="L5481">
        <v>1144.44360380182</v>
      </c>
      <c r="M5481">
        <v>24.462156470477399</v>
      </c>
      <c r="N5481">
        <v>47.035758870095499</v>
      </c>
      <c r="O5481">
        <v>46.474961313503002</v>
      </c>
      <c r="P5481">
        <v>-0.123522626411674</v>
      </c>
      <c r="Q5481">
        <v>6.1305209612610802E-2</v>
      </c>
      <c r="R5481">
        <v>0.99792327469894704</v>
      </c>
      <c r="S5481" t="s">
        <v>11933</v>
      </c>
      <c r="T5481" t="s">
        <v>12902</v>
      </c>
      <c r="U5481" t="s">
        <v>12902</v>
      </c>
      <c r="V5481" t="s">
        <v>12902</v>
      </c>
      <c r="W5481" t="s">
        <v>18334</v>
      </c>
      <c r="X5481">
        <v>39</v>
      </c>
      <c r="Y5481" t="s">
        <v>24625</v>
      </c>
      <c r="Z5481" t="s">
        <v>31056</v>
      </c>
      <c r="AA5481">
        <v>0.28242292370139449</v>
      </c>
      <c r="AB5481" t="str">
        <f>HYPERLINK("Melting_Curves/meltCurve_Q9H3U1_UNC45A.pdf", "Melting_Curves/meltCurve_Q9H3U1_UNC45A.pdf")</f>
        <v>Melting_Curves/meltCurve_Q9H3U1_UNC45A.pdf</v>
      </c>
    </row>
    <row r="5482" spans="1:28" x14ac:dyDescent="0.25">
      <c r="A5482" t="s">
        <v>5486</v>
      </c>
      <c r="B5482">
        <v>0.99673306730245903</v>
      </c>
      <c r="C5482">
        <v>0.93957567380844798</v>
      </c>
      <c r="D5482">
        <v>0.89439236556532598</v>
      </c>
      <c r="E5482">
        <v>0.69104837139089703</v>
      </c>
      <c r="F5482">
        <v>0.53977256252856998</v>
      </c>
      <c r="G5482">
        <v>0.494409873070558</v>
      </c>
      <c r="H5482">
        <v>0.49974371843170901</v>
      </c>
      <c r="I5482">
        <v>0.53091678955386401</v>
      </c>
      <c r="J5482">
        <v>0.75497472341272998</v>
      </c>
      <c r="K5482">
        <v>0.58671258591462605</v>
      </c>
      <c r="L5482">
        <v>1440.7994798151201</v>
      </c>
      <c r="M5482">
        <v>30.205453329679099</v>
      </c>
      <c r="O5482">
        <v>47.492368181124498</v>
      </c>
      <c r="P5482">
        <v>-6.8875389795869005E-2</v>
      </c>
      <c r="Q5482">
        <v>0.56682859841732303</v>
      </c>
      <c r="R5482">
        <v>0.84484525908409802</v>
      </c>
      <c r="S5482" t="s">
        <v>11934</v>
      </c>
      <c r="T5482" t="s">
        <v>12902</v>
      </c>
      <c r="U5482" t="s">
        <v>12902</v>
      </c>
      <c r="V5482" t="s">
        <v>12902</v>
      </c>
      <c r="W5482" t="s">
        <v>18335</v>
      </c>
      <c r="X5482">
        <v>1</v>
      </c>
      <c r="Y5482" t="s">
        <v>24626</v>
      </c>
      <c r="Z5482" t="s">
        <v>31057</v>
      </c>
      <c r="AA5482">
        <v>0.68057313293470023</v>
      </c>
      <c r="AB5482" t="str">
        <f>HYPERLINK("Melting_Curves/meltCurve_Q9H3U5_4_MFSD1.pdf", "Melting_Curves/meltCurve_Q9H3U5_4_MFSD1.pdf")</f>
        <v>Melting_Curves/meltCurve_Q9H3U5_4_MFSD1.pdf</v>
      </c>
    </row>
    <row r="5483" spans="1:28" x14ac:dyDescent="0.25">
      <c r="A5483" t="s">
        <v>5487</v>
      </c>
      <c r="B5483">
        <v>0.99673306730245903</v>
      </c>
      <c r="C5483">
        <v>1.11594127424817</v>
      </c>
      <c r="D5483">
        <v>1.3980969954279601</v>
      </c>
      <c r="E5483">
        <v>1.06034400181263</v>
      </c>
      <c r="F5483">
        <v>0.86403971609364005</v>
      </c>
      <c r="G5483">
        <v>0.82945273161892696</v>
      </c>
      <c r="H5483">
        <v>0.48769021569586202</v>
      </c>
      <c r="I5483">
        <v>0.77687756846145595</v>
      </c>
      <c r="J5483">
        <v>1.0266116454263401</v>
      </c>
      <c r="K5483">
        <v>1.12143879671375</v>
      </c>
      <c r="L5483">
        <v>13184.9044799727</v>
      </c>
      <c r="M5483">
        <v>250</v>
      </c>
      <c r="O5483">
        <v>52.736242953198499</v>
      </c>
      <c r="P5483">
        <v>-0.179650909015455</v>
      </c>
      <c r="Q5483">
        <v>0.84841417647877704</v>
      </c>
      <c r="R5483">
        <v>0.227519397733983</v>
      </c>
      <c r="S5483" t="s">
        <v>11935</v>
      </c>
      <c r="T5483" t="s">
        <v>12902</v>
      </c>
      <c r="U5483" t="s">
        <v>12902</v>
      </c>
      <c r="V5483" t="s">
        <v>12902</v>
      </c>
      <c r="W5483" t="s">
        <v>18336</v>
      </c>
      <c r="X5483">
        <v>1</v>
      </c>
      <c r="Y5483" t="s">
        <v>24627</v>
      </c>
      <c r="Z5483" t="s">
        <v>31058</v>
      </c>
      <c r="AA5483">
        <v>0.91279972263055265</v>
      </c>
      <c r="AB5483" t="str">
        <f>HYPERLINK("Melting_Curves/meltCurve_Q9H3Y8_PPDPF.pdf", "Melting_Curves/meltCurve_Q9H3Y8_PPDPF.pdf")</f>
        <v>Melting_Curves/meltCurve_Q9H3Y8_PPDPF.pdf</v>
      </c>
    </row>
    <row r="5484" spans="1:28" x14ac:dyDescent="0.25">
      <c r="A5484" t="s">
        <v>5488</v>
      </c>
      <c r="B5484">
        <v>0.99673306730245903</v>
      </c>
      <c r="C5484">
        <v>0.90435699837259298</v>
      </c>
      <c r="D5484">
        <v>0.90365957987926204</v>
      </c>
      <c r="E5484">
        <v>0.888260300309347</v>
      </c>
      <c r="F5484">
        <v>0.77226732221150496</v>
      </c>
      <c r="G5484">
        <v>0.73150008424833302</v>
      </c>
      <c r="H5484">
        <v>0.49970966664199101</v>
      </c>
      <c r="I5484">
        <v>1.0162359142473301</v>
      </c>
      <c r="J5484">
        <v>0.72205423766990995</v>
      </c>
      <c r="K5484">
        <v>0.88453788009587697</v>
      </c>
      <c r="L5484">
        <v>760.39039032598396</v>
      </c>
      <c r="M5484">
        <v>16.429624353834399</v>
      </c>
      <c r="O5484">
        <v>45.612311190573998</v>
      </c>
      <c r="P5484">
        <v>-2.0542029768650601E-2</v>
      </c>
      <c r="Q5484">
        <v>0.77189904922573105</v>
      </c>
      <c r="R5484">
        <v>0.25396266833185599</v>
      </c>
      <c r="S5484" t="s">
        <v>11936</v>
      </c>
      <c r="T5484" t="s">
        <v>12902</v>
      </c>
      <c r="U5484" t="s">
        <v>12902</v>
      </c>
      <c r="V5484" t="s">
        <v>12902</v>
      </c>
      <c r="W5484" t="s">
        <v>18337</v>
      </c>
      <c r="X5484">
        <v>5</v>
      </c>
      <c r="Y5484" t="s">
        <v>24628</v>
      </c>
      <c r="Z5484" t="s">
        <v>31059</v>
      </c>
      <c r="AA5484">
        <v>0.82502469987073279</v>
      </c>
      <c r="AB5484" t="str">
        <f>HYPERLINK("Melting_Curves/meltCurve_Q9H3Z4_2_DNAJC5.pdf", "Melting_Curves/meltCurve_Q9H3Z4_2_DNAJC5.pdf")</f>
        <v>Melting_Curves/meltCurve_Q9H3Z4_2_DNAJC5.pdf</v>
      </c>
    </row>
    <row r="5485" spans="1:28" x14ac:dyDescent="0.25">
      <c r="A5485" t="s">
        <v>5489</v>
      </c>
      <c r="B5485">
        <v>0.99673306730245903</v>
      </c>
      <c r="C5485">
        <v>0.95800106717588696</v>
      </c>
      <c r="D5485">
        <v>1.01409386927433</v>
      </c>
      <c r="E5485">
        <v>0.43884568209241098</v>
      </c>
      <c r="F5485">
        <v>0.20241877964065899</v>
      </c>
      <c r="G5485">
        <v>0.13239298321148801</v>
      </c>
      <c r="H5485">
        <v>8.0899761873674106E-2</v>
      </c>
      <c r="I5485">
        <v>7.2771505643403595E-2</v>
      </c>
      <c r="J5485">
        <v>9.03578020320875E-2</v>
      </c>
      <c r="K5485">
        <v>7.2662617221172093E-2</v>
      </c>
      <c r="L5485">
        <v>2288.36748085918</v>
      </c>
      <c r="M5485">
        <v>46.5700467549377</v>
      </c>
      <c r="N5485">
        <v>49.381237507761</v>
      </c>
      <c r="O5485">
        <v>49.047831955388901</v>
      </c>
      <c r="P5485">
        <v>-0.21305876105707999</v>
      </c>
      <c r="Q5485">
        <v>0.10242233067359401</v>
      </c>
      <c r="R5485">
        <v>0.99153053418486403</v>
      </c>
      <c r="S5485" t="s">
        <v>11937</v>
      </c>
      <c r="T5485" t="s">
        <v>12902</v>
      </c>
      <c r="U5485" t="s">
        <v>12902</v>
      </c>
      <c r="V5485" t="s">
        <v>12902</v>
      </c>
      <c r="W5485" t="s">
        <v>18338</v>
      </c>
      <c r="X5485">
        <v>4</v>
      </c>
      <c r="Y5485" t="s">
        <v>24629</v>
      </c>
      <c r="Z5485" t="s">
        <v>31060</v>
      </c>
      <c r="AA5485">
        <v>0.37807495855421208</v>
      </c>
      <c r="AB5485" t="str">
        <f>HYPERLINK("Melting_Curves/meltCurve_Q9H410_DSN1.pdf", "Melting_Curves/meltCurve_Q9H410_DSN1.pdf")</f>
        <v>Melting_Curves/meltCurve_Q9H410_DSN1.pdf</v>
      </c>
    </row>
    <row r="5486" spans="1:28" x14ac:dyDescent="0.25">
      <c r="A5486" t="s">
        <v>5490</v>
      </c>
      <c r="B5486">
        <v>0.99673306730245903</v>
      </c>
      <c r="C5486">
        <v>0.98453271839693501</v>
      </c>
      <c r="D5486">
        <v>0.85682165587042503</v>
      </c>
      <c r="E5486">
        <v>0.690195671342971</v>
      </c>
      <c r="F5486">
        <v>0.46879065725376701</v>
      </c>
      <c r="G5486">
        <v>0.33003417735458701</v>
      </c>
      <c r="H5486">
        <v>0.24032619694311</v>
      </c>
      <c r="I5486">
        <v>0.37678861533497399</v>
      </c>
      <c r="J5486">
        <v>0.75155439777751099</v>
      </c>
      <c r="K5486">
        <v>0.88863947501551499</v>
      </c>
      <c r="L5486">
        <v>1457.0092402026901</v>
      </c>
      <c r="M5486">
        <v>30.449380810801099</v>
      </c>
      <c r="O5486">
        <v>47.645244688132898</v>
      </c>
      <c r="P5486">
        <v>-7.8093977013965393E-2</v>
      </c>
      <c r="Q5486">
        <v>0.511217149051994</v>
      </c>
      <c r="R5486">
        <v>0.53590726394536203</v>
      </c>
      <c r="S5486" t="s">
        <v>11938</v>
      </c>
      <c r="T5486" t="s">
        <v>12902</v>
      </c>
      <c r="U5486" t="s">
        <v>12902</v>
      </c>
      <c r="V5486" t="s">
        <v>12902</v>
      </c>
      <c r="W5486" t="s">
        <v>18339</v>
      </c>
      <c r="X5486">
        <v>6</v>
      </c>
      <c r="Y5486" t="s">
        <v>24630</v>
      </c>
      <c r="Z5486" t="s">
        <v>31061</v>
      </c>
      <c r="AA5486">
        <v>0.64196682774604052</v>
      </c>
      <c r="AB5486" t="str">
        <f>HYPERLINK("Melting_Curves/meltCurve_Q9H425_C1orf198.pdf", "Melting_Curves/meltCurve_Q9H425_C1orf198.pdf")</f>
        <v>Melting_Curves/meltCurve_Q9H425_C1orf198.pdf</v>
      </c>
    </row>
    <row r="5487" spans="1:28" x14ac:dyDescent="0.25">
      <c r="A5487" t="s">
        <v>5491</v>
      </c>
      <c r="B5487">
        <v>0.99673306730245903</v>
      </c>
      <c r="C5487">
        <v>1.0160176456144201</v>
      </c>
      <c r="D5487">
        <v>1.0350951809397599</v>
      </c>
      <c r="E5487">
        <v>0.96610346284739501</v>
      </c>
      <c r="F5487">
        <v>0.97127761038718097</v>
      </c>
      <c r="G5487">
        <v>0.88681486539775001</v>
      </c>
      <c r="H5487">
        <v>0.84855508230267995</v>
      </c>
      <c r="I5487">
        <v>1.0116808551829799</v>
      </c>
      <c r="J5487">
        <v>2.22818766417031</v>
      </c>
      <c r="K5487">
        <v>2.1168052510164599</v>
      </c>
      <c r="L5487">
        <v>15000</v>
      </c>
      <c r="M5487">
        <v>231.216263194086</v>
      </c>
      <c r="O5487">
        <v>64.869463032978899</v>
      </c>
      <c r="P5487">
        <v>0.445541335311051</v>
      </c>
      <c r="Q5487">
        <v>1.5</v>
      </c>
      <c r="R5487">
        <v>0.59791791364688696</v>
      </c>
      <c r="S5487" t="s">
        <v>11939</v>
      </c>
      <c r="T5487" t="s">
        <v>12902</v>
      </c>
      <c r="U5487" t="s">
        <v>12902</v>
      </c>
      <c r="V5487" t="s">
        <v>12902</v>
      </c>
      <c r="W5487" t="s">
        <v>18340</v>
      </c>
      <c r="X5487">
        <v>18</v>
      </c>
      <c r="Y5487" t="s">
        <v>24631</v>
      </c>
      <c r="Z5487" t="s">
        <v>31062</v>
      </c>
      <c r="AA5487">
        <v>1.0853612908674319</v>
      </c>
      <c r="AB5487" t="str">
        <f>HYPERLINK("Melting_Curves/meltCurve_Q9H444_CHMP4B.pdf", "Melting_Curves/meltCurve_Q9H444_CHMP4B.pdf")</f>
        <v>Melting_Curves/meltCurve_Q9H444_CHMP4B.pdf</v>
      </c>
    </row>
    <row r="5488" spans="1:28" x14ac:dyDescent="0.25">
      <c r="A5488" t="s">
        <v>5492</v>
      </c>
      <c r="B5488">
        <v>0.99673306730245903</v>
      </c>
      <c r="C5488">
        <v>1.03867840350375</v>
      </c>
      <c r="D5488">
        <v>0.97660895641729295</v>
      </c>
      <c r="E5488">
        <v>0.7152274483637</v>
      </c>
      <c r="F5488">
        <v>0.43823356721317203</v>
      </c>
      <c r="G5488">
        <v>0.278186863351017</v>
      </c>
      <c r="H5488">
        <v>0.175847999533781</v>
      </c>
      <c r="I5488">
        <v>0.23545090659123899</v>
      </c>
      <c r="J5488">
        <v>0.34740832055776</v>
      </c>
      <c r="K5488">
        <v>0.35907196527596502</v>
      </c>
      <c r="L5488">
        <v>1506.04475594256</v>
      </c>
      <c r="M5488">
        <v>29.831666509290802</v>
      </c>
      <c r="N5488">
        <v>51.891036315385101</v>
      </c>
      <c r="O5488">
        <v>50.259538899949497</v>
      </c>
      <c r="P5488">
        <v>-0.10725140177417999</v>
      </c>
      <c r="Q5488">
        <v>0.277228460176633</v>
      </c>
      <c r="R5488">
        <v>0.97285925856906497</v>
      </c>
      <c r="S5488" t="s">
        <v>11940</v>
      </c>
      <c r="T5488" t="s">
        <v>12902</v>
      </c>
      <c r="U5488" t="s">
        <v>12902</v>
      </c>
      <c r="V5488" t="s">
        <v>12902</v>
      </c>
      <c r="W5488" t="s">
        <v>18341</v>
      </c>
      <c r="X5488">
        <v>1</v>
      </c>
      <c r="Y5488" t="s">
        <v>24632</v>
      </c>
      <c r="Z5488" t="s">
        <v>31063</v>
      </c>
      <c r="AA5488">
        <v>0.53438887282842307</v>
      </c>
      <c r="AB5488" t="str">
        <f>HYPERLINK("Melting_Curves/meltCurve_Q9H467_CUEDC2.pdf", "Melting_Curves/meltCurve_Q9H467_CUEDC2.pdf")</f>
        <v>Melting_Curves/meltCurve_Q9H467_CUEDC2.pdf</v>
      </c>
    </row>
    <row r="5489" spans="1:28" x14ac:dyDescent="0.25">
      <c r="A5489" t="s">
        <v>5493</v>
      </c>
      <c r="B5489">
        <v>0.99673306730245903</v>
      </c>
      <c r="C5489">
        <v>1.00087897594785</v>
      </c>
      <c r="D5489">
        <v>1.0090035242095401</v>
      </c>
      <c r="E5489">
        <v>0.95679745196876897</v>
      </c>
      <c r="F5489">
        <v>0.872305911498925</v>
      </c>
      <c r="G5489">
        <v>0.69477715382309002</v>
      </c>
      <c r="H5489">
        <v>0.56289165329800395</v>
      </c>
      <c r="I5489">
        <v>0.60554319860806305</v>
      </c>
      <c r="J5489">
        <v>0.23922203998665501</v>
      </c>
      <c r="K5489">
        <v>0.143083060388876</v>
      </c>
      <c r="L5489">
        <v>731.89566499827799</v>
      </c>
      <c r="M5489">
        <v>11.7262341159272</v>
      </c>
      <c r="N5489">
        <v>62.415235619889302</v>
      </c>
      <c r="O5489">
        <v>60.682966616270903</v>
      </c>
      <c r="P5489">
        <v>-4.8322146196723502E-2</v>
      </c>
      <c r="Q5489">
        <v>0</v>
      </c>
      <c r="R5489">
        <v>0.94867620827578403</v>
      </c>
      <c r="S5489" t="s">
        <v>11941</v>
      </c>
      <c r="T5489" t="s">
        <v>12902</v>
      </c>
      <c r="U5489" t="s">
        <v>12902</v>
      </c>
      <c r="V5489" t="s">
        <v>12902</v>
      </c>
      <c r="W5489" t="s">
        <v>18342</v>
      </c>
      <c r="X5489">
        <v>4</v>
      </c>
      <c r="Y5489" t="s">
        <v>24633</v>
      </c>
      <c r="Z5489" t="s">
        <v>31064</v>
      </c>
      <c r="AA5489">
        <v>0.73129644132155791</v>
      </c>
      <c r="AB5489" t="str">
        <f>HYPERLINK("Melting_Curves/meltCurve_Q9H479_FN3K.pdf", "Melting_Curves/meltCurve_Q9H479_FN3K.pdf")</f>
        <v>Melting_Curves/meltCurve_Q9H479_FN3K.pdf</v>
      </c>
    </row>
    <row r="5490" spans="1:28" x14ac:dyDescent="0.25">
      <c r="A5490" t="s">
        <v>5494</v>
      </c>
      <c r="B5490">
        <v>0.99673306730245903</v>
      </c>
      <c r="C5490">
        <v>0.99773137871557704</v>
      </c>
      <c r="D5490">
        <v>0.96799792119476302</v>
      </c>
      <c r="E5490">
        <v>0.99413123114972002</v>
      </c>
      <c r="F5490">
        <v>0.679544930160357</v>
      </c>
      <c r="G5490">
        <v>0.33659307802429</v>
      </c>
      <c r="H5490">
        <v>0.17357117479483899</v>
      </c>
      <c r="I5490">
        <v>0.14223447378129001</v>
      </c>
      <c r="J5490">
        <v>9.35188206234841E-2</v>
      </c>
      <c r="K5490">
        <v>7.7315116187623503E-2</v>
      </c>
      <c r="L5490">
        <v>1459.32664732887</v>
      </c>
      <c r="M5490">
        <v>26.736931193429101</v>
      </c>
      <c r="N5490">
        <v>55.043154949207</v>
      </c>
      <c r="O5490">
        <v>54.278344951306302</v>
      </c>
      <c r="P5490">
        <v>-0.11076586851713099</v>
      </c>
      <c r="Q5490">
        <v>0.10055106531515</v>
      </c>
      <c r="R5490">
        <v>0.99647802051643797</v>
      </c>
      <c r="S5490" t="s">
        <v>11942</v>
      </c>
      <c r="T5490" t="s">
        <v>12902</v>
      </c>
      <c r="U5490" t="s">
        <v>12902</v>
      </c>
      <c r="V5490" t="s">
        <v>12902</v>
      </c>
      <c r="W5490" t="s">
        <v>18343</v>
      </c>
      <c r="X5490">
        <v>15</v>
      </c>
      <c r="Y5490" t="s">
        <v>24634</v>
      </c>
      <c r="Z5490" t="s">
        <v>31065</v>
      </c>
      <c r="AA5490">
        <v>0.54508663727162088</v>
      </c>
      <c r="AB5490" t="str">
        <f>HYPERLINK("Melting_Curves/meltCurve_Q9H488_POFUT1.pdf", "Melting_Curves/meltCurve_Q9H488_POFUT1.pdf")</f>
        <v>Melting_Curves/meltCurve_Q9H488_POFUT1.pdf</v>
      </c>
    </row>
    <row r="5491" spans="1:28" x14ac:dyDescent="0.25">
      <c r="A5491" t="s">
        <v>5495</v>
      </c>
      <c r="B5491">
        <v>0.99673306730245903</v>
      </c>
      <c r="C5491">
        <v>0.96829368400295801</v>
      </c>
      <c r="D5491">
        <v>0.87278026623827698</v>
      </c>
      <c r="E5491">
        <v>0.72071086072069301</v>
      </c>
      <c r="F5491">
        <v>0.353016794762677</v>
      </c>
      <c r="G5491">
        <v>0.238054307308744</v>
      </c>
      <c r="H5491">
        <v>0.13513220997699599</v>
      </c>
      <c r="I5491">
        <v>0.12186276815144401</v>
      </c>
      <c r="J5491">
        <v>9.0744626522929403E-2</v>
      </c>
      <c r="K5491">
        <v>5.64377267430973E-2</v>
      </c>
      <c r="L5491">
        <v>921.48555472001601</v>
      </c>
      <c r="M5491">
        <v>17.945990153489401</v>
      </c>
      <c r="N5491">
        <v>51.823449222809501</v>
      </c>
      <c r="O5491">
        <v>50.7228637364924</v>
      </c>
      <c r="P5491">
        <v>-8.1737990951777403E-2</v>
      </c>
      <c r="Q5491">
        <v>7.5943327604508198E-2</v>
      </c>
      <c r="R5491">
        <v>0.99554461614231304</v>
      </c>
      <c r="S5491" t="s">
        <v>11943</v>
      </c>
      <c r="T5491" t="s">
        <v>12902</v>
      </c>
      <c r="U5491" t="s">
        <v>12902</v>
      </c>
      <c r="V5491" t="s">
        <v>12902</v>
      </c>
      <c r="W5491" t="s">
        <v>18344</v>
      </c>
      <c r="X5491">
        <v>1</v>
      </c>
      <c r="Y5491" t="s">
        <v>24635</v>
      </c>
      <c r="Z5491" t="s">
        <v>31066</v>
      </c>
      <c r="AA5491">
        <v>0.44106292977569272</v>
      </c>
      <c r="AB5491" t="str">
        <f>HYPERLINK("Melting_Curves/meltCurve_Q9H490_2_PIGU.pdf", "Melting_Curves/meltCurve_Q9H490_2_PIGU.pdf")</f>
        <v>Melting_Curves/meltCurve_Q9H490_2_PIGU.pdf</v>
      </c>
    </row>
    <row r="5492" spans="1:28" x14ac:dyDescent="0.25">
      <c r="A5492" t="s">
        <v>5496</v>
      </c>
      <c r="B5492">
        <v>0.99673306730245903</v>
      </c>
      <c r="C5492">
        <v>0.93194626261673696</v>
      </c>
      <c r="D5492">
        <v>0.83834639476356598</v>
      </c>
      <c r="E5492">
        <v>0.48359569169293998</v>
      </c>
      <c r="F5492">
        <v>0.343430073568193</v>
      </c>
      <c r="G5492">
        <v>0.202446572228697</v>
      </c>
      <c r="H5492">
        <v>0.13646983699106199</v>
      </c>
      <c r="I5492">
        <v>9.2344345958176199E-2</v>
      </c>
      <c r="J5492">
        <v>7.8958788911300704E-2</v>
      </c>
      <c r="K5492">
        <v>6.7737970439403897E-2</v>
      </c>
      <c r="L5492">
        <v>790.328515706752</v>
      </c>
      <c r="M5492">
        <v>15.904143205743701</v>
      </c>
      <c r="N5492">
        <v>50.195663699012997</v>
      </c>
      <c r="O5492">
        <v>48.927505118556098</v>
      </c>
      <c r="P5492">
        <v>-7.5290339234989997E-2</v>
      </c>
      <c r="Q5492">
        <v>7.3581617921572695E-2</v>
      </c>
      <c r="R5492">
        <v>0.99422483575784604</v>
      </c>
      <c r="S5492" t="s">
        <v>11944</v>
      </c>
      <c r="T5492" t="s">
        <v>12902</v>
      </c>
      <c r="U5492" t="s">
        <v>12902</v>
      </c>
      <c r="V5492" t="s">
        <v>12902</v>
      </c>
      <c r="W5492" t="s">
        <v>18345</v>
      </c>
      <c r="X5492">
        <v>3</v>
      </c>
      <c r="Y5492" t="s">
        <v>24636</v>
      </c>
      <c r="Z5492" t="s">
        <v>31067</v>
      </c>
      <c r="AA5492">
        <v>0.39296496100294342</v>
      </c>
      <c r="AB5492" t="str">
        <f>HYPERLINK("Melting_Curves/meltCurve_Q9H496_IFRG15.pdf", "Melting_Curves/meltCurve_Q9H496_IFRG15.pdf")</f>
        <v>Melting_Curves/meltCurve_Q9H496_IFRG15.pdf</v>
      </c>
    </row>
    <row r="5493" spans="1:28" x14ac:dyDescent="0.25">
      <c r="A5493" t="s">
        <v>5497</v>
      </c>
      <c r="B5493">
        <v>0.99673306730245903</v>
      </c>
      <c r="C5493">
        <v>1.0122660710187701</v>
      </c>
      <c r="D5493">
        <v>0.95741345732091798</v>
      </c>
      <c r="E5493">
        <v>0.90625588043725602</v>
      </c>
      <c r="F5493">
        <v>0.26348883702850401</v>
      </c>
      <c r="G5493">
        <v>0.14458055912418699</v>
      </c>
      <c r="H5493">
        <v>8.6418748581288701E-2</v>
      </c>
      <c r="I5493">
        <v>8.3513518721657007E-2</v>
      </c>
      <c r="J5493">
        <v>9.3179910344542094E-2</v>
      </c>
      <c r="K5493">
        <v>8.4109689905045096E-2</v>
      </c>
      <c r="L5493">
        <v>2588.2147831747702</v>
      </c>
      <c r="M5493">
        <v>50.0879149687797</v>
      </c>
      <c r="N5493">
        <v>51.892837793800503</v>
      </c>
      <c r="O5493">
        <v>51.591272972649499</v>
      </c>
      <c r="P5493">
        <v>-0.21955565501722099</v>
      </c>
      <c r="Q5493">
        <v>9.5418900134606494E-2</v>
      </c>
      <c r="R5493">
        <v>0.99780884816062299</v>
      </c>
      <c r="S5493" t="s">
        <v>11945</v>
      </c>
      <c r="T5493" t="s">
        <v>12902</v>
      </c>
      <c r="U5493" t="s">
        <v>12902</v>
      </c>
      <c r="V5493" t="s">
        <v>12902</v>
      </c>
      <c r="W5493" t="s">
        <v>18346</v>
      </c>
      <c r="X5493">
        <v>27</v>
      </c>
      <c r="Y5493" t="s">
        <v>24637</v>
      </c>
      <c r="Z5493" t="s">
        <v>31068</v>
      </c>
      <c r="AA5493">
        <v>0.44945908209673818</v>
      </c>
      <c r="AB5493" t="str">
        <f>HYPERLINK("Melting_Curves/meltCurve_Q9H4A4_RNPEP.pdf", "Melting_Curves/meltCurve_Q9H4A4_RNPEP.pdf")</f>
        <v>Melting_Curves/meltCurve_Q9H4A4_RNPEP.pdf</v>
      </c>
    </row>
    <row r="5494" spans="1:28" x14ac:dyDescent="0.25">
      <c r="A5494" t="s">
        <v>5498</v>
      </c>
      <c r="B5494">
        <v>0.99673306730245903</v>
      </c>
      <c r="C5494">
        <v>1.0002122968854401</v>
      </c>
      <c r="D5494">
        <v>0.84876372235243303</v>
      </c>
      <c r="E5494">
        <v>0.60648692296345796</v>
      </c>
      <c r="F5494">
        <v>0.39799587117791302</v>
      </c>
      <c r="G5494">
        <v>0.127812436811192</v>
      </c>
      <c r="H5494">
        <v>3.8767794087532802E-2</v>
      </c>
      <c r="I5494">
        <v>3.2045276958838603E-2</v>
      </c>
      <c r="J5494">
        <v>3.2154124554477199E-2</v>
      </c>
      <c r="K5494">
        <v>2.9772329252885199E-2</v>
      </c>
      <c r="L5494">
        <v>859.736550635973</v>
      </c>
      <c r="M5494">
        <v>16.803552587497599</v>
      </c>
      <c r="N5494">
        <v>51.171351260335101</v>
      </c>
      <c r="O5494">
        <v>50.455830442075303</v>
      </c>
      <c r="P5494">
        <v>-8.31634002020816E-2</v>
      </c>
      <c r="Q5494">
        <v>1.20955930183508E-3</v>
      </c>
      <c r="R5494">
        <v>0.99525635960926295</v>
      </c>
      <c r="S5494" t="s">
        <v>11946</v>
      </c>
      <c r="T5494" t="s">
        <v>12902</v>
      </c>
      <c r="U5494" t="s">
        <v>12902</v>
      </c>
      <c r="V5494" t="s">
        <v>12902</v>
      </c>
      <c r="W5494" t="s">
        <v>18347</v>
      </c>
      <c r="X5494">
        <v>5</v>
      </c>
      <c r="Y5494" t="s">
        <v>24638</v>
      </c>
      <c r="Z5494" t="s">
        <v>31069</v>
      </c>
      <c r="AA5494">
        <v>0.39185193340841679</v>
      </c>
      <c r="AB5494" t="str">
        <f>HYPERLINK("Melting_Curves/meltCurve_Q9H4A5_GOLPH3L.pdf", "Melting_Curves/meltCurve_Q9H4A5_GOLPH3L.pdf")</f>
        <v>Melting_Curves/meltCurve_Q9H4A5_GOLPH3L.pdf</v>
      </c>
    </row>
    <row r="5495" spans="1:28" x14ac:dyDescent="0.25">
      <c r="A5495" t="s">
        <v>5499</v>
      </c>
      <c r="B5495">
        <v>0.99673306730245903</v>
      </c>
      <c r="C5495">
        <v>0.98100725531259803</v>
      </c>
      <c r="D5495">
        <v>0.92392823046918404</v>
      </c>
      <c r="E5495">
        <v>0.84242002665350202</v>
      </c>
      <c r="F5495">
        <v>0.50068983382029497</v>
      </c>
      <c r="G5495">
        <v>0.19787303605270001</v>
      </c>
      <c r="H5495">
        <v>0.11761422032866301</v>
      </c>
      <c r="I5495">
        <v>0.100508387249401</v>
      </c>
      <c r="J5495">
        <v>7.1581946515498193E-2</v>
      </c>
      <c r="K5495">
        <v>5.0910858087367901E-2</v>
      </c>
      <c r="L5495">
        <v>1215.86441771928</v>
      </c>
      <c r="M5495">
        <v>23.018273570429798</v>
      </c>
      <c r="N5495">
        <v>53.138085421419198</v>
      </c>
      <c r="O5495">
        <v>52.427880882923098</v>
      </c>
      <c r="P5495">
        <v>-0.10273483207922</v>
      </c>
      <c r="Q5495">
        <v>6.4036069390719999E-2</v>
      </c>
      <c r="R5495">
        <v>0.99752831298393296</v>
      </c>
      <c r="S5495" t="s">
        <v>11947</v>
      </c>
      <c r="T5495" t="s">
        <v>12902</v>
      </c>
      <c r="U5495" t="s">
        <v>12902</v>
      </c>
      <c r="V5495" t="s">
        <v>12902</v>
      </c>
      <c r="W5495" t="s">
        <v>18348</v>
      </c>
      <c r="X5495">
        <v>6</v>
      </c>
      <c r="Y5495" t="s">
        <v>24639</v>
      </c>
      <c r="Z5495" t="s">
        <v>31070</v>
      </c>
      <c r="AA5495">
        <v>0.47409433105117049</v>
      </c>
      <c r="AB5495" t="str">
        <f>HYPERLINK("Melting_Curves/meltCurve_Q9H4A6_GOLPH3.pdf", "Melting_Curves/meltCurve_Q9H4A6_GOLPH3.pdf")</f>
        <v>Melting_Curves/meltCurve_Q9H4A6_GOLPH3.pdf</v>
      </c>
    </row>
    <row r="5496" spans="1:28" x14ac:dyDescent="0.25">
      <c r="A5496" t="s">
        <v>5500</v>
      </c>
      <c r="B5496">
        <v>0.99673306730245903</v>
      </c>
      <c r="C5496">
        <v>1.02646924588468</v>
      </c>
      <c r="D5496">
        <v>0.89908023485329502</v>
      </c>
      <c r="E5496">
        <v>0.70343542526207603</v>
      </c>
      <c r="F5496">
        <v>0.207919086281625</v>
      </c>
      <c r="G5496">
        <v>0.13271414058619799</v>
      </c>
      <c r="H5496">
        <v>7.1905300933090305E-2</v>
      </c>
      <c r="I5496">
        <v>4.3875713045437699E-2</v>
      </c>
      <c r="J5496">
        <v>6.0638626800173297E-2</v>
      </c>
      <c r="K5496">
        <v>4.5862248406859499E-2</v>
      </c>
      <c r="L5496">
        <v>1508.65758721374</v>
      </c>
      <c r="M5496">
        <v>29.771626298012698</v>
      </c>
      <c r="N5496">
        <v>50.882968500822798</v>
      </c>
      <c r="O5496">
        <v>50.4473614093504</v>
      </c>
      <c r="P5496">
        <v>-0.13906232030518501</v>
      </c>
      <c r="Q5496">
        <v>5.7454268924210003E-2</v>
      </c>
      <c r="R5496">
        <v>0.99514166539460203</v>
      </c>
      <c r="S5496" t="s">
        <v>11948</v>
      </c>
      <c r="T5496" t="s">
        <v>12902</v>
      </c>
      <c r="U5496" t="s">
        <v>12902</v>
      </c>
      <c r="V5496" t="s">
        <v>12902</v>
      </c>
      <c r="W5496" t="s">
        <v>18349</v>
      </c>
      <c r="X5496">
        <v>9</v>
      </c>
      <c r="Y5496" t="s">
        <v>24640</v>
      </c>
      <c r="Z5496" t="s">
        <v>31071</v>
      </c>
      <c r="AA5496">
        <v>0.39880854000551369</v>
      </c>
      <c r="AB5496" t="str">
        <f>HYPERLINK("Melting_Curves/meltCurve_Q9H4B0_OSGEPL1.pdf", "Melting_Curves/meltCurve_Q9H4B0_OSGEPL1.pdf")</f>
        <v>Melting_Curves/meltCurve_Q9H4B0_OSGEPL1.pdf</v>
      </c>
    </row>
    <row r="5497" spans="1:28" x14ac:dyDescent="0.25">
      <c r="A5497" t="s">
        <v>5501</v>
      </c>
      <c r="B5497">
        <v>0.99673306730245903</v>
      </c>
      <c r="C5497">
        <v>0.89780476656428199</v>
      </c>
      <c r="D5497">
        <v>0.74723211760282204</v>
      </c>
      <c r="E5497">
        <v>0.39579456323670098</v>
      </c>
      <c r="F5497">
        <v>0.23878348381363099</v>
      </c>
      <c r="G5497">
        <v>0.157862674916143</v>
      </c>
      <c r="H5497">
        <v>0.12183361561108801</v>
      </c>
      <c r="I5497">
        <v>0.14212780864705399</v>
      </c>
      <c r="J5497">
        <v>0.238962112564437</v>
      </c>
      <c r="K5497">
        <v>0.225496498944595</v>
      </c>
      <c r="L5497">
        <v>1098.36894097392</v>
      </c>
      <c r="M5497">
        <v>23.143944002010802</v>
      </c>
      <c r="N5497">
        <v>48.3460624263315</v>
      </c>
      <c r="O5497">
        <v>47.108080714611802</v>
      </c>
      <c r="P5497">
        <v>-0.10156073237732299</v>
      </c>
      <c r="Q5497">
        <v>0.173132081423711</v>
      </c>
      <c r="R5497">
        <v>0.98612940959943396</v>
      </c>
      <c r="S5497" t="s">
        <v>11949</v>
      </c>
      <c r="T5497" t="s">
        <v>12902</v>
      </c>
      <c r="U5497" t="s">
        <v>12902</v>
      </c>
      <c r="V5497" t="s">
        <v>12902</v>
      </c>
      <c r="W5497" t="s">
        <v>18350</v>
      </c>
      <c r="X5497">
        <v>1</v>
      </c>
      <c r="Y5497" t="s">
        <v>24641</v>
      </c>
      <c r="Z5497" t="s">
        <v>31072</v>
      </c>
      <c r="AA5497">
        <v>0.3873656225614116</v>
      </c>
      <c r="AB5497" t="str">
        <f>HYPERLINK("Melting_Curves/meltCurve_Q9H4I2_ZHX3.pdf", "Melting_Curves/meltCurve_Q9H4I2_ZHX3.pdf")</f>
        <v>Melting_Curves/meltCurve_Q9H4I2_ZHX3.pdf</v>
      </c>
    </row>
    <row r="5498" spans="1:28" x14ac:dyDescent="0.25">
      <c r="A5498" t="s">
        <v>5502</v>
      </c>
      <c r="B5498">
        <v>0.99673306730245903</v>
      </c>
      <c r="C5498">
        <v>0.86332629844509101</v>
      </c>
      <c r="D5498">
        <v>0.52778958556724698</v>
      </c>
      <c r="E5498">
        <v>0.27885260637914699</v>
      </c>
      <c r="F5498">
        <v>0.17335459397771499</v>
      </c>
      <c r="G5498">
        <v>0.10867576156664201</v>
      </c>
      <c r="H5498">
        <v>9.6597447694284494E-2</v>
      </c>
      <c r="I5498">
        <v>7.5766893046483305E-2</v>
      </c>
      <c r="J5498">
        <v>5.6903321329740499E-2</v>
      </c>
      <c r="K5498">
        <v>3.8027175517642897E-2</v>
      </c>
      <c r="L5498">
        <v>911.68286703475599</v>
      </c>
      <c r="M5498">
        <v>19.6947161238026</v>
      </c>
      <c r="N5498">
        <v>46.663428950291198</v>
      </c>
      <c r="O5498">
        <v>45.821423265873698</v>
      </c>
      <c r="P5498">
        <v>-9.9637082087052298E-2</v>
      </c>
      <c r="Q5498">
        <v>7.2775932791049006E-2</v>
      </c>
      <c r="R5498">
        <v>0.99410688778452805</v>
      </c>
      <c r="S5498" t="s">
        <v>11950</v>
      </c>
      <c r="T5498" t="s">
        <v>12902</v>
      </c>
      <c r="U5498" t="s">
        <v>12902</v>
      </c>
      <c r="V5498" t="s">
        <v>12902</v>
      </c>
      <c r="W5498" t="s">
        <v>18351</v>
      </c>
      <c r="X5498">
        <v>2</v>
      </c>
      <c r="Y5498" t="s">
        <v>24642</v>
      </c>
      <c r="Z5498" t="s">
        <v>31073</v>
      </c>
      <c r="AA5498">
        <v>0.28176903098598782</v>
      </c>
      <c r="AB5498" t="str">
        <f>HYPERLINK("Melting_Curves/meltCurve_Q9H4K7_GTPBP5.pdf", "Melting_Curves/meltCurve_Q9H4K7_GTPBP5.pdf")</f>
        <v>Melting_Curves/meltCurve_Q9H4K7_GTPBP5.pdf</v>
      </c>
    </row>
    <row r="5499" spans="1:28" x14ac:dyDescent="0.25">
      <c r="A5499" t="s">
        <v>5503</v>
      </c>
      <c r="B5499">
        <v>0.99673306730245903</v>
      </c>
      <c r="C5499">
        <v>0.63853642919738196</v>
      </c>
      <c r="D5499">
        <v>0.19072637042447901</v>
      </c>
      <c r="E5499">
        <v>0.109827532895464</v>
      </c>
      <c r="F5499">
        <v>0.15337955424073499</v>
      </c>
      <c r="G5499">
        <v>8.3550887859381806E-2</v>
      </c>
      <c r="H5499">
        <v>2.51031273876446E-2</v>
      </c>
      <c r="I5499">
        <v>1.7946959724702002E-2</v>
      </c>
      <c r="J5499">
        <v>2.3333368990713099E-2</v>
      </c>
      <c r="K5499">
        <v>0</v>
      </c>
      <c r="L5499">
        <v>1482.7655187620601</v>
      </c>
      <c r="M5499">
        <v>34.0351095147481</v>
      </c>
      <c r="N5499">
        <v>43.7189291264311</v>
      </c>
      <c r="O5499">
        <v>43.416196656701601</v>
      </c>
      <c r="P5499">
        <v>-0.18496780730837301</v>
      </c>
      <c r="Q5499">
        <v>5.6202203577258601E-2</v>
      </c>
      <c r="R5499">
        <v>0.97989239829739005</v>
      </c>
      <c r="S5499" t="s">
        <v>11951</v>
      </c>
      <c r="T5499" t="s">
        <v>12902</v>
      </c>
      <c r="U5499" t="s">
        <v>12902</v>
      </c>
      <c r="V5499" t="s">
        <v>12902</v>
      </c>
      <c r="W5499" t="s">
        <v>18352</v>
      </c>
      <c r="X5499">
        <v>2</v>
      </c>
      <c r="Y5499" t="s">
        <v>24643</v>
      </c>
      <c r="Z5499" t="s">
        <v>31074</v>
      </c>
      <c r="AA5499">
        <v>0.17383559877561339</v>
      </c>
      <c r="AB5499" t="str">
        <f>HYPERLINK("Melting_Curves/meltCurve_Q9H4L5_2_OSBPL3.pdf", "Melting_Curves/meltCurve_Q9H4L5_2_OSBPL3.pdf")</f>
        <v>Melting_Curves/meltCurve_Q9H4L5_2_OSBPL3.pdf</v>
      </c>
    </row>
    <row r="5500" spans="1:28" x14ac:dyDescent="0.25">
      <c r="A5500" t="s">
        <v>5504</v>
      </c>
      <c r="B5500">
        <v>0.99673306730245903</v>
      </c>
      <c r="C5500">
        <v>0.93393647245445</v>
      </c>
      <c r="D5500">
        <v>0.78675701334171</v>
      </c>
      <c r="E5500">
        <v>0.42467031813246098</v>
      </c>
      <c r="F5500">
        <v>0.167584816335657</v>
      </c>
      <c r="G5500">
        <v>0.11688488804698</v>
      </c>
      <c r="H5500">
        <v>8.6039346415181003E-2</v>
      </c>
      <c r="I5500">
        <v>0.106184778107968</v>
      </c>
      <c r="J5500">
        <v>0.108584449264313</v>
      </c>
      <c r="K5500">
        <v>0.108202193252613</v>
      </c>
      <c r="L5500">
        <v>1139.8941857225</v>
      </c>
      <c r="M5500">
        <v>23.604811211932301</v>
      </c>
      <c r="N5500">
        <v>48.729375352930703</v>
      </c>
      <c r="O5500">
        <v>47.948181585902503</v>
      </c>
      <c r="P5500">
        <v>-0.111297313225766</v>
      </c>
      <c r="Q5500">
        <v>9.5707631588597394E-2</v>
      </c>
      <c r="R5500">
        <v>0.99866870579298495</v>
      </c>
      <c r="S5500" t="s">
        <v>11952</v>
      </c>
      <c r="T5500" t="s">
        <v>12902</v>
      </c>
      <c r="U5500" t="s">
        <v>12902</v>
      </c>
      <c r="V5500" t="s">
        <v>12902</v>
      </c>
      <c r="W5500" t="s">
        <v>18353</v>
      </c>
      <c r="X5500">
        <v>10</v>
      </c>
      <c r="Y5500" t="s">
        <v>24644</v>
      </c>
      <c r="Z5500" t="s">
        <v>31075</v>
      </c>
      <c r="AA5500">
        <v>0.35463493005132241</v>
      </c>
      <c r="AB5500" t="str">
        <f>HYPERLINK("Melting_Curves/meltCurve_Q9H4L7_2_SMARCAD1.pdf", "Melting_Curves/meltCurve_Q9H4L7_2_SMARCAD1.pdf")</f>
        <v>Melting_Curves/meltCurve_Q9H4L7_2_SMARCAD1.pdf</v>
      </c>
    </row>
    <row r="5501" spans="1:28" x14ac:dyDescent="0.25">
      <c r="A5501" t="s">
        <v>5505</v>
      </c>
      <c r="B5501">
        <v>0.99673306730245903</v>
      </c>
      <c r="C5501">
        <v>0.96676863581415995</v>
      </c>
      <c r="D5501">
        <v>0.92646361706139702</v>
      </c>
      <c r="E5501">
        <v>0.79415619481361999</v>
      </c>
      <c r="F5501">
        <v>0.28688215790709598</v>
      </c>
      <c r="G5501">
        <v>0.16456978639450401</v>
      </c>
      <c r="H5501">
        <v>0.10269244351404</v>
      </c>
      <c r="I5501">
        <v>0.10480650212498099</v>
      </c>
      <c r="J5501">
        <v>0.105083812265392</v>
      </c>
      <c r="K5501">
        <v>0.108732551359807</v>
      </c>
      <c r="L5501">
        <v>1733.0250702329299</v>
      </c>
      <c r="M5501">
        <v>33.8424674987264</v>
      </c>
      <c r="N5501">
        <v>51.5782846693049</v>
      </c>
      <c r="O5501">
        <v>51.030779986588698</v>
      </c>
      <c r="P5501">
        <v>-0.14793944234731399</v>
      </c>
      <c r="Q5501">
        <v>0.107696912072059</v>
      </c>
      <c r="R5501">
        <v>0.99638944968672105</v>
      </c>
      <c r="S5501" t="s">
        <v>11953</v>
      </c>
      <c r="T5501" t="s">
        <v>12902</v>
      </c>
      <c r="U5501" t="s">
        <v>12902</v>
      </c>
      <c r="V5501" t="s">
        <v>12902</v>
      </c>
      <c r="W5501" t="s">
        <v>18354</v>
      </c>
      <c r="X5501">
        <v>18</v>
      </c>
      <c r="Y5501" t="s">
        <v>24645</v>
      </c>
      <c r="Z5501" t="s">
        <v>31076</v>
      </c>
      <c r="AA5501">
        <v>0.44549990677285051</v>
      </c>
      <c r="AB5501" t="str">
        <f>HYPERLINK("Melting_Curves/meltCurve_Q9H4M9_EHD1.pdf", "Melting_Curves/meltCurve_Q9H4M9_EHD1.pdf")</f>
        <v>Melting_Curves/meltCurve_Q9H4M9_EHD1.pdf</v>
      </c>
    </row>
    <row r="5502" spans="1:28" x14ac:dyDescent="0.25">
      <c r="A5502" t="s">
        <v>5506</v>
      </c>
      <c r="B5502">
        <v>0.99673306730245903</v>
      </c>
      <c r="C5502">
        <v>0.94716335366849103</v>
      </c>
      <c r="D5502">
        <v>0.83521175013768101</v>
      </c>
      <c r="E5502">
        <v>0.647361594705815</v>
      </c>
      <c r="F5502">
        <v>0.29031460177503199</v>
      </c>
      <c r="G5502">
        <v>9.3445947535995305E-2</v>
      </c>
      <c r="H5502">
        <v>7.3168895833418401E-2</v>
      </c>
      <c r="I5502">
        <v>4.0473105145574402E-2</v>
      </c>
      <c r="J5502">
        <v>2.2128760255519599E-2</v>
      </c>
      <c r="K5502">
        <v>4.4155894108924301E-2</v>
      </c>
      <c r="L5502">
        <v>968.73668748097396</v>
      </c>
      <c r="M5502">
        <v>19.132884134371398</v>
      </c>
      <c r="N5502">
        <v>50.742966080876698</v>
      </c>
      <c r="O5502">
        <v>50.088641061626099</v>
      </c>
      <c r="P5502">
        <v>-9.3542646779097793E-2</v>
      </c>
      <c r="Q5502">
        <v>2.04838264782627E-2</v>
      </c>
      <c r="R5502">
        <v>0.99617629334374602</v>
      </c>
      <c r="S5502" t="s">
        <v>11954</v>
      </c>
      <c r="T5502" t="s">
        <v>12902</v>
      </c>
      <c r="U5502" t="s">
        <v>12902</v>
      </c>
      <c r="V5502" t="s">
        <v>12902</v>
      </c>
      <c r="W5502" t="s">
        <v>18355</v>
      </c>
      <c r="X5502">
        <v>2</v>
      </c>
      <c r="Y5502" t="s">
        <v>24646</v>
      </c>
      <c r="Z5502" t="s">
        <v>31077</v>
      </c>
      <c r="AA5502">
        <v>0.38242327192473458</v>
      </c>
      <c r="AB5502" t="str">
        <f>HYPERLINK("Melting_Curves/meltCurve_Q9H4P4_2_RNF41.pdf", "Melting_Curves/meltCurve_Q9H4P4_2_RNF41.pdf")</f>
        <v>Melting_Curves/meltCurve_Q9H4P4_2_RNF41.pdf</v>
      </c>
    </row>
    <row r="5503" spans="1:28" x14ac:dyDescent="0.25">
      <c r="A5503" t="s">
        <v>5507</v>
      </c>
      <c r="B5503">
        <v>0.99673306730245903</v>
      </c>
      <c r="C5503">
        <v>0.99061395182692202</v>
      </c>
      <c r="D5503">
        <v>0.91328729271779396</v>
      </c>
      <c r="E5503">
        <v>0.57350982016094598</v>
      </c>
      <c r="F5503">
        <v>0.20155219363656801</v>
      </c>
      <c r="G5503">
        <v>0.119889359629785</v>
      </c>
      <c r="H5503">
        <v>7.8460865572153302E-2</v>
      </c>
      <c r="I5503">
        <v>8.56883190903589E-2</v>
      </c>
      <c r="J5503">
        <v>0.111572235711388</v>
      </c>
      <c r="K5503">
        <v>0.115207826465778</v>
      </c>
      <c r="L5503">
        <v>1475.7440933634</v>
      </c>
      <c r="M5503">
        <v>29.6729889010448</v>
      </c>
      <c r="N5503">
        <v>50.092060547841399</v>
      </c>
      <c r="O5503">
        <v>49.509343359488703</v>
      </c>
      <c r="P5503">
        <v>-0.135502374477832</v>
      </c>
      <c r="Q5503">
        <v>9.5664014166559799E-2</v>
      </c>
      <c r="R5503">
        <v>0.99899894592548699</v>
      </c>
      <c r="S5503" t="s">
        <v>11955</v>
      </c>
      <c r="T5503" t="s">
        <v>12902</v>
      </c>
      <c r="U5503" t="s">
        <v>12902</v>
      </c>
      <c r="V5503" t="s">
        <v>12902</v>
      </c>
      <c r="W5503" t="s">
        <v>18356</v>
      </c>
      <c r="X5503">
        <v>11</v>
      </c>
      <c r="Y5503" t="s">
        <v>24647</v>
      </c>
      <c r="Z5503" t="s">
        <v>31078</v>
      </c>
      <c r="AA5503">
        <v>0.39477326103561639</v>
      </c>
      <c r="AB5503" t="str">
        <f>HYPERLINK("Melting_Curves/meltCurve_Q9H4Z3_PCIF1.pdf", "Melting_Curves/meltCurve_Q9H4Z3_PCIF1.pdf")</f>
        <v>Melting_Curves/meltCurve_Q9H4Z3_PCIF1.pdf</v>
      </c>
    </row>
    <row r="5504" spans="1:28" x14ac:dyDescent="0.25">
      <c r="A5504" t="s">
        <v>5508</v>
      </c>
      <c r="B5504">
        <v>0.99673306730245903</v>
      </c>
      <c r="C5504">
        <v>0.68691524481283495</v>
      </c>
      <c r="D5504">
        <v>0.62974097877610702</v>
      </c>
      <c r="E5504">
        <v>0.50652993747807495</v>
      </c>
      <c r="F5504">
        <v>0.26514009525139098</v>
      </c>
      <c r="G5504">
        <v>0.19477325384084301</v>
      </c>
      <c r="H5504">
        <v>0.18230582672119</v>
      </c>
      <c r="I5504">
        <v>0.18698210089961001</v>
      </c>
      <c r="J5504">
        <v>0.24340160012609599</v>
      </c>
      <c r="K5504">
        <v>0.149124183856778</v>
      </c>
      <c r="L5504">
        <v>589.49785037097399</v>
      </c>
      <c r="M5504">
        <v>12.6335639860678</v>
      </c>
      <c r="N5504">
        <v>48.109850889661402</v>
      </c>
      <c r="O5504">
        <v>45.538452717455399</v>
      </c>
      <c r="P5504">
        <v>-5.8395467398212102E-2</v>
      </c>
      <c r="Q5504">
        <v>0.15820609758166401</v>
      </c>
      <c r="R5504">
        <v>0.95462362454721705</v>
      </c>
      <c r="S5504" t="s">
        <v>11956</v>
      </c>
      <c r="T5504" t="s">
        <v>12902</v>
      </c>
      <c r="U5504" t="s">
        <v>12902</v>
      </c>
      <c r="V5504" t="s">
        <v>12902</v>
      </c>
      <c r="W5504" t="s">
        <v>18357</v>
      </c>
      <c r="X5504">
        <v>11</v>
      </c>
      <c r="Y5504" t="s">
        <v>24648</v>
      </c>
      <c r="Z5504" t="s">
        <v>31079</v>
      </c>
      <c r="AA5504">
        <v>0.37805491860483392</v>
      </c>
      <c r="AB5504" t="str">
        <f>HYPERLINK("Melting_Curves/meltCurve_Q9H501_ESF1.pdf", "Melting_Curves/meltCurve_Q9H501_ESF1.pdf")</f>
        <v>Melting_Curves/meltCurve_Q9H501_ESF1.pdf</v>
      </c>
    </row>
    <row r="5505" spans="1:28" x14ac:dyDescent="0.25">
      <c r="A5505" t="s">
        <v>5509</v>
      </c>
      <c r="B5505">
        <v>0.99673306730245903</v>
      </c>
      <c r="C5505">
        <v>1.01431769365254</v>
      </c>
      <c r="D5505">
        <v>0.93406599844132898</v>
      </c>
      <c r="E5505">
        <v>0.73117531753609399</v>
      </c>
      <c r="F5505">
        <v>0.333658591426086</v>
      </c>
      <c r="G5505">
        <v>0.157754308467319</v>
      </c>
      <c r="H5505">
        <v>0.120197430138737</v>
      </c>
      <c r="I5505">
        <v>0.11777490684787401</v>
      </c>
      <c r="J5505">
        <v>0.11645072650732601</v>
      </c>
      <c r="K5505">
        <v>0.12555629540291799</v>
      </c>
      <c r="L5505">
        <v>1396.1444602311301</v>
      </c>
      <c r="M5505">
        <v>27.354338620876</v>
      </c>
      <c r="N5505">
        <v>51.527975943779801</v>
      </c>
      <c r="O5505">
        <v>50.768797494654201</v>
      </c>
      <c r="P5505">
        <v>-0.119310274459664</v>
      </c>
      <c r="Q5505">
        <v>0.114263780509008</v>
      </c>
      <c r="R5505">
        <v>0.99917622342384804</v>
      </c>
      <c r="S5505" t="s">
        <v>11957</v>
      </c>
      <c r="T5505" t="s">
        <v>12902</v>
      </c>
      <c r="U5505" t="s">
        <v>12902</v>
      </c>
      <c r="V5505" t="s">
        <v>12902</v>
      </c>
      <c r="W5505" t="s">
        <v>18358</v>
      </c>
      <c r="X5505">
        <v>11</v>
      </c>
      <c r="Y5505" t="s">
        <v>24649</v>
      </c>
      <c r="Z5505" t="s">
        <v>31080</v>
      </c>
      <c r="AA5505">
        <v>0.44689201871275469</v>
      </c>
      <c r="AB5505" t="str">
        <f>HYPERLINK("Melting_Curves/meltCurve_Q9H553_ALG2.pdf", "Melting_Curves/meltCurve_Q9H553_ALG2.pdf")</f>
        <v>Melting_Curves/meltCurve_Q9H553_ALG2.pdf</v>
      </c>
    </row>
    <row r="5506" spans="1:28" x14ac:dyDescent="0.25">
      <c r="A5506" t="s">
        <v>5510</v>
      </c>
      <c r="B5506">
        <v>0.99673306730245903</v>
      </c>
      <c r="C5506">
        <v>0.92064278365276497</v>
      </c>
      <c r="D5506">
        <v>0.74938178704611802</v>
      </c>
      <c r="E5506">
        <v>0.26565931759654798</v>
      </c>
      <c r="F5506">
        <v>0.18883934909529701</v>
      </c>
      <c r="G5506">
        <v>0.116489794440407</v>
      </c>
      <c r="H5506">
        <v>8.1139012540628497E-2</v>
      </c>
      <c r="I5506">
        <v>7.0062050407760798E-2</v>
      </c>
      <c r="J5506">
        <v>7.5282865098535795E-2</v>
      </c>
      <c r="K5506">
        <v>7.5341603133764798E-2</v>
      </c>
      <c r="L5506">
        <v>1266.0077024418899</v>
      </c>
      <c r="M5506">
        <v>26.687886935460899</v>
      </c>
      <c r="N5506">
        <v>47.77698297301</v>
      </c>
      <c r="O5506">
        <v>47.173611458617799</v>
      </c>
      <c r="P5506">
        <v>-0.12922160946941</v>
      </c>
      <c r="Q5506">
        <v>8.6359343183573994E-2</v>
      </c>
      <c r="R5506">
        <v>0.99468475781807097</v>
      </c>
      <c r="S5506" t="s">
        <v>11958</v>
      </c>
      <c r="T5506" t="s">
        <v>12902</v>
      </c>
      <c r="U5506" t="s">
        <v>12902</v>
      </c>
      <c r="V5506" t="s">
        <v>12902</v>
      </c>
      <c r="W5506" t="s">
        <v>18359</v>
      </c>
      <c r="X5506">
        <v>8</v>
      </c>
      <c r="Y5506" t="s">
        <v>24650</v>
      </c>
      <c r="Z5506" t="s">
        <v>31081</v>
      </c>
      <c r="AA5506">
        <v>0.31990427872237032</v>
      </c>
      <c r="AB5506" t="str">
        <f>HYPERLINK("Melting_Curves/meltCurve_Q9H583_HEATR1.pdf", "Melting_Curves/meltCurve_Q9H583_HEATR1.pdf")</f>
        <v>Melting_Curves/meltCurve_Q9H583_HEATR1.pdf</v>
      </c>
    </row>
    <row r="5507" spans="1:28" x14ac:dyDescent="0.25">
      <c r="A5507" t="s">
        <v>5511</v>
      </c>
      <c r="B5507">
        <v>0.99673306730245903</v>
      </c>
      <c r="C5507">
        <v>0.91170753291047502</v>
      </c>
      <c r="D5507">
        <v>0.75468610096491495</v>
      </c>
      <c r="E5507">
        <v>0.36802032799233197</v>
      </c>
      <c r="F5507">
        <v>0.12896035095677399</v>
      </c>
      <c r="G5507">
        <v>5.6178417791097501E-2</v>
      </c>
      <c r="H5507">
        <v>3.7457910054994499E-2</v>
      </c>
      <c r="I5507">
        <v>3.4754691340750002E-2</v>
      </c>
      <c r="J5507">
        <v>4.2749910577415E-2</v>
      </c>
      <c r="K5507">
        <v>3.5540850821141501E-2</v>
      </c>
      <c r="L5507">
        <v>1060.1563030126199</v>
      </c>
      <c r="M5507">
        <v>22.016095050709499</v>
      </c>
      <c r="N5507">
        <v>48.291926544881797</v>
      </c>
      <c r="O5507">
        <v>47.761691047230997</v>
      </c>
      <c r="P5507">
        <v>-0.111722920408206</v>
      </c>
      <c r="Q5507">
        <v>3.0535272404869501E-2</v>
      </c>
      <c r="R5507">
        <v>0.99919666969393395</v>
      </c>
      <c r="S5507" t="s">
        <v>11959</v>
      </c>
      <c r="T5507" t="s">
        <v>12902</v>
      </c>
      <c r="U5507" t="s">
        <v>12902</v>
      </c>
      <c r="V5507" t="s">
        <v>12902</v>
      </c>
      <c r="W5507" t="s">
        <v>18360</v>
      </c>
      <c r="X5507">
        <v>5</v>
      </c>
      <c r="Y5507" t="s">
        <v>24651</v>
      </c>
      <c r="Z5507" t="s">
        <v>31082</v>
      </c>
      <c r="AA5507">
        <v>0.30523815197230408</v>
      </c>
      <c r="AB5507" t="str">
        <f>HYPERLINK("Melting_Curves/meltCurve_Q9H5K3_SGK196.pdf", "Melting_Curves/meltCurve_Q9H5K3_SGK196.pdf")</f>
        <v>Melting_Curves/meltCurve_Q9H5K3_SGK196.pdf</v>
      </c>
    </row>
    <row r="5508" spans="1:28" x14ac:dyDescent="0.25">
      <c r="A5508" t="s">
        <v>5512</v>
      </c>
      <c r="B5508">
        <v>0.99673306730245903</v>
      </c>
      <c r="C5508">
        <v>0.88117615933496896</v>
      </c>
      <c r="D5508">
        <v>0.364226287661576</v>
      </c>
      <c r="E5508">
        <v>0.18822583069005899</v>
      </c>
      <c r="F5508">
        <v>0.13856730752729701</v>
      </c>
      <c r="G5508">
        <v>9.6591379156972204E-2</v>
      </c>
      <c r="H5508">
        <v>7.4414171663101797E-2</v>
      </c>
      <c r="I5508">
        <v>8.0228601147053102E-2</v>
      </c>
      <c r="J5508">
        <v>8.7647971617416998E-2</v>
      </c>
      <c r="K5508">
        <v>7.8704078585162998E-2</v>
      </c>
      <c r="L5508">
        <v>1596.6264193894101</v>
      </c>
      <c r="M5508">
        <v>35.481467574754198</v>
      </c>
      <c r="N5508">
        <v>45.281151270804202</v>
      </c>
      <c r="O5508">
        <v>44.856665445811601</v>
      </c>
      <c r="P5508">
        <v>-0.17813032747473301</v>
      </c>
      <c r="Q5508">
        <v>9.9213686696150993E-2</v>
      </c>
      <c r="R5508">
        <v>0.99388816257371604</v>
      </c>
      <c r="S5508" t="s">
        <v>11960</v>
      </c>
      <c r="T5508" t="s">
        <v>12902</v>
      </c>
      <c r="U5508" t="s">
        <v>12902</v>
      </c>
      <c r="V5508" t="s">
        <v>12902</v>
      </c>
      <c r="W5508" t="s">
        <v>18361</v>
      </c>
      <c r="X5508">
        <v>15</v>
      </c>
      <c r="Y5508" t="s">
        <v>24652</v>
      </c>
      <c r="Z5508" t="s">
        <v>31083</v>
      </c>
      <c r="AA5508">
        <v>0.25321977672426099</v>
      </c>
      <c r="AB5508" t="str">
        <f>HYPERLINK("Melting_Curves/meltCurve_Q9H5N1_RABEP2.pdf", "Melting_Curves/meltCurve_Q9H5N1_RABEP2.pdf")</f>
        <v>Melting_Curves/meltCurve_Q9H5N1_RABEP2.pdf</v>
      </c>
    </row>
    <row r="5509" spans="1:28" x14ac:dyDescent="0.25">
      <c r="A5509" t="s">
        <v>5513</v>
      </c>
      <c r="B5509">
        <v>0.99673306730245903</v>
      </c>
      <c r="C5509">
        <v>0.92877929944872395</v>
      </c>
      <c r="D5509">
        <v>0.89025522248553701</v>
      </c>
      <c r="E5509">
        <v>0.69367786926960195</v>
      </c>
      <c r="F5509">
        <v>0.271418817983683</v>
      </c>
      <c r="G5509">
        <v>0.19338575948515299</v>
      </c>
      <c r="H5509">
        <v>0.12491128015818399</v>
      </c>
      <c r="I5509">
        <v>7.1429245861953997E-2</v>
      </c>
      <c r="J5509">
        <v>4.0696570584863603E-2</v>
      </c>
      <c r="K5509">
        <v>3.4356994857124498E-2</v>
      </c>
      <c r="L5509">
        <v>1020.39889746352</v>
      </c>
      <c r="M5509">
        <v>20.042700089269701</v>
      </c>
      <c r="N5509">
        <v>51.194946092239498</v>
      </c>
      <c r="O5509">
        <v>50.412560444609703</v>
      </c>
      <c r="P5509">
        <v>-9.4172265283511997E-2</v>
      </c>
      <c r="Q5509">
        <v>5.2560456052880997E-2</v>
      </c>
      <c r="R5509">
        <v>0.99182422941608495</v>
      </c>
      <c r="S5509" t="s">
        <v>11961</v>
      </c>
      <c r="T5509" t="s">
        <v>12902</v>
      </c>
      <c r="U5509" t="s">
        <v>12902</v>
      </c>
      <c r="V5509" t="s">
        <v>12902</v>
      </c>
      <c r="W5509" t="s">
        <v>18362</v>
      </c>
      <c r="X5509">
        <v>9</v>
      </c>
      <c r="Y5509" t="s">
        <v>24653</v>
      </c>
      <c r="Z5509" t="s">
        <v>31084</v>
      </c>
      <c r="AA5509">
        <v>0.41025425953656919</v>
      </c>
      <c r="AB5509" t="str">
        <f>HYPERLINK("Melting_Curves/meltCurve_Q9H5Q4_TFB2M.pdf", "Melting_Curves/meltCurve_Q9H5Q4_TFB2M.pdf")</f>
        <v>Melting_Curves/meltCurve_Q9H5Q4_TFB2M.pdf</v>
      </c>
    </row>
    <row r="5510" spans="1:28" x14ac:dyDescent="0.25">
      <c r="A5510" t="s">
        <v>5514</v>
      </c>
      <c r="B5510">
        <v>0.99673306730245903</v>
      </c>
      <c r="C5510">
        <v>0.96695720468716195</v>
      </c>
      <c r="D5510">
        <v>0.91587669033226204</v>
      </c>
      <c r="E5510">
        <v>0.83227451253479401</v>
      </c>
      <c r="F5510">
        <v>0.67898422366454003</v>
      </c>
      <c r="G5510">
        <v>0.55042180445274203</v>
      </c>
      <c r="H5510">
        <v>0.39932494177</v>
      </c>
      <c r="I5510">
        <v>0.41944068572375698</v>
      </c>
      <c r="J5510">
        <v>0.34348743467227499</v>
      </c>
      <c r="K5510">
        <v>0.255758515348051</v>
      </c>
      <c r="L5510">
        <v>588.84031379559406</v>
      </c>
      <c r="M5510">
        <v>10.663641107039</v>
      </c>
      <c r="N5510">
        <v>58.392549982072602</v>
      </c>
      <c r="O5510">
        <v>53.383717665975901</v>
      </c>
      <c r="P5510">
        <v>-3.8971739415746498E-2</v>
      </c>
      <c r="Q5510">
        <v>0.21990385753629799</v>
      </c>
      <c r="R5510">
        <v>0.99116623211644295</v>
      </c>
      <c r="S5510" t="s">
        <v>11962</v>
      </c>
      <c r="T5510" t="s">
        <v>12902</v>
      </c>
      <c r="U5510" t="s">
        <v>12902</v>
      </c>
      <c r="V5510" t="s">
        <v>12902</v>
      </c>
      <c r="W5510" t="s">
        <v>18363</v>
      </c>
      <c r="X5510">
        <v>9</v>
      </c>
      <c r="Y5510" t="s">
        <v>24654</v>
      </c>
      <c r="Z5510" t="s">
        <v>31085</v>
      </c>
      <c r="AA5510">
        <v>0.63460016068179204</v>
      </c>
      <c r="AB5510" t="str">
        <f>HYPERLINK("Melting_Curves/meltCurve_Q9H5V8_CDCP1.pdf", "Melting_Curves/meltCurve_Q9H5V8_CDCP1.pdf")</f>
        <v>Melting_Curves/meltCurve_Q9H5V8_CDCP1.pdf</v>
      </c>
    </row>
    <row r="5511" spans="1:28" x14ac:dyDescent="0.25">
      <c r="A5511" t="s">
        <v>5515</v>
      </c>
      <c r="B5511">
        <v>0.99673306730245903</v>
      </c>
      <c r="C5511">
        <v>0.97474947135163004</v>
      </c>
      <c r="D5511">
        <v>0.92523693330686896</v>
      </c>
      <c r="E5511">
        <v>0.77719178488040497</v>
      </c>
      <c r="F5511">
        <v>0.34983703117159098</v>
      </c>
      <c r="G5511">
        <v>0.236423139431197</v>
      </c>
      <c r="H5511">
        <v>0.102672796076186</v>
      </c>
      <c r="I5511">
        <v>0.111836519541827</v>
      </c>
      <c r="J5511">
        <v>0.15419665489928699</v>
      </c>
      <c r="K5511">
        <v>0.154086844822171</v>
      </c>
      <c r="L5511">
        <v>1364.9745729568899</v>
      </c>
      <c r="M5511">
        <v>26.596693446335799</v>
      </c>
      <c r="N5511">
        <v>51.920510659901801</v>
      </c>
      <c r="O5511">
        <v>51.033716014756102</v>
      </c>
      <c r="P5511">
        <v>-0.11307020604755499</v>
      </c>
      <c r="Q5511">
        <v>0.132173010543196</v>
      </c>
      <c r="R5511">
        <v>0.99403317651212197</v>
      </c>
      <c r="S5511" t="s">
        <v>11963</v>
      </c>
      <c r="T5511" t="s">
        <v>12902</v>
      </c>
      <c r="U5511" t="s">
        <v>12902</v>
      </c>
      <c r="V5511" t="s">
        <v>12902</v>
      </c>
      <c r="W5511" t="s">
        <v>18364</v>
      </c>
      <c r="X5511">
        <v>6</v>
      </c>
      <c r="Y5511" t="s">
        <v>24655</v>
      </c>
      <c r="Z5511" t="s">
        <v>31086</v>
      </c>
      <c r="AA5511">
        <v>0.46663482178349791</v>
      </c>
      <c r="AB5511" t="str">
        <f>HYPERLINK("Melting_Curves/meltCurve_Q9H5V9_CXorf56.pdf", "Melting_Curves/meltCurve_Q9H5V9_CXorf56.pdf")</f>
        <v>Melting_Curves/meltCurve_Q9H5V9_CXorf56.pdf</v>
      </c>
    </row>
    <row r="5512" spans="1:28" x14ac:dyDescent="0.25">
      <c r="A5512" t="s">
        <v>5516</v>
      </c>
      <c r="B5512">
        <v>0.99673306730245903</v>
      </c>
      <c r="C5512">
        <v>1.02926167246654</v>
      </c>
      <c r="D5512">
        <v>1.00682257327946</v>
      </c>
      <c r="E5512">
        <v>0.93556688397907595</v>
      </c>
      <c r="F5512">
        <v>0.75959547531613902</v>
      </c>
      <c r="G5512">
        <v>0.63570855911662905</v>
      </c>
      <c r="H5512">
        <v>0.31098615119853501</v>
      </c>
      <c r="I5512">
        <v>0.15601761328002001</v>
      </c>
      <c r="J5512">
        <v>7.5198520908231203E-2</v>
      </c>
      <c r="K5512">
        <v>5.6801164430055499E-2</v>
      </c>
      <c r="L5512">
        <v>962.30603389101498</v>
      </c>
      <c r="M5512">
        <v>16.607111226153201</v>
      </c>
      <c r="N5512">
        <v>57.945420505805799</v>
      </c>
      <c r="O5512">
        <v>57.124774689656498</v>
      </c>
      <c r="P5512">
        <v>-7.2684033157377106E-2</v>
      </c>
      <c r="Q5512">
        <v>0</v>
      </c>
      <c r="R5512">
        <v>0.99469101484847799</v>
      </c>
      <c r="S5512" t="s">
        <v>11964</v>
      </c>
      <c r="T5512" t="s">
        <v>12902</v>
      </c>
      <c r="U5512" t="s">
        <v>12902</v>
      </c>
      <c r="V5512" t="s">
        <v>12902</v>
      </c>
      <c r="W5512" t="s">
        <v>18365</v>
      </c>
      <c r="X5512">
        <v>3</v>
      </c>
      <c r="Y5512" t="s">
        <v>24656</v>
      </c>
      <c r="Z5512" t="s">
        <v>31087</v>
      </c>
      <c r="AA5512">
        <v>0.61126886397014413</v>
      </c>
      <c r="AB5512" t="str">
        <f>HYPERLINK("Melting_Curves/meltCurve_Q9H5X1_FAM96A.pdf", "Melting_Curves/meltCurve_Q9H5X1_FAM96A.pdf")</f>
        <v>Melting_Curves/meltCurve_Q9H5X1_FAM96A.pdf</v>
      </c>
    </row>
    <row r="5513" spans="1:28" x14ac:dyDescent="0.25">
      <c r="A5513" t="s">
        <v>5517</v>
      </c>
      <c r="B5513">
        <v>0.99673306730245903</v>
      </c>
      <c r="C5513">
        <v>0.97219457245236096</v>
      </c>
      <c r="D5513">
        <v>0.87654631966832097</v>
      </c>
      <c r="E5513">
        <v>0.61686747278333898</v>
      </c>
      <c r="F5513">
        <v>0.57192450248261395</v>
      </c>
      <c r="G5513">
        <v>0.48611492650604099</v>
      </c>
      <c r="H5513">
        <v>0.19196859290750301</v>
      </c>
      <c r="I5513">
        <v>0.15509010455831401</v>
      </c>
      <c r="J5513">
        <v>5.1415598374251303E-2</v>
      </c>
      <c r="K5513">
        <v>4.7961832739469003E-2</v>
      </c>
      <c r="L5513">
        <v>584.10536797519103</v>
      </c>
      <c r="M5513">
        <v>10.806868757867599</v>
      </c>
      <c r="N5513">
        <v>54.049454892408598</v>
      </c>
      <c r="O5513">
        <v>52.297441207490998</v>
      </c>
      <c r="P5513">
        <v>-5.1679259255915398E-2</v>
      </c>
      <c r="Q5513">
        <v>0</v>
      </c>
      <c r="R5513">
        <v>0.97392089379865499</v>
      </c>
      <c r="S5513" t="s">
        <v>11965</v>
      </c>
      <c r="T5513" t="s">
        <v>12902</v>
      </c>
      <c r="U5513" t="s">
        <v>12902</v>
      </c>
      <c r="V5513" t="s">
        <v>12902</v>
      </c>
      <c r="W5513" t="s">
        <v>18366</v>
      </c>
      <c r="X5513">
        <v>3</v>
      </c>
      <c r="Y5513" t="s">
        <v>24657</v>
      </c>
      <c r="Z5513" t="s">
        <v>31088</v>
      </c>
      <c r="AA5513">
        <v>0.49669871526711762</v>
      </c>
      <c r="AB5513" t="str">
        <f>HYPERLINK("Melting_Curves/meltCurve_Q9H5Y7_SLITRK6.pdf", "Melting_Curves/meltCurve_Q9H5Y7_SLITRK6.pdf")</f>
        <v>Melting_Curves/meltCurve_Q9H5Y7_SLITRK6.pdf</v>
      </c>
    </row>
    <row r="5514" spans="1:28" x14ac:dyDescent="0.25">
      <c r="A5514" t="s">
        <v>5518</v>
      </c>
      <c r="B5514">
        <v>0.99673306730245903</v>
      </c>
      <c r="C5514">
        <v>0.86580362526676302</v>
      </c>
      <c r="D5514">
        <v>0.60223461313030602</v>
      </c>
      <c r="E5514">
        <v>0.30742152930699901</v>
      </c>
      <c r="F5514">
        <v>0.17306224110238799</v>
      </c>
      <c r="G5514">
        <v>0.149167798073022</v>
      </c>
      <c r="H5514">
        <v>7.5268516902191801E-2</v>
      </c>
      <c r="I5514">
        <v>5.8738320530096297E-2</v>
      </c>
      <c r="J5514">
        <v>8.0369508434345094E-2</v>
      </c>
      <c r="K5514">
        <v>7.8828369332841305E-2</v>
      </c>
      <c r="L5514">
        <v>892.445852632222</v>
      </c>
      <c r="M5514">
        <v>19.075277226159699</v>
      </c>
      <c r="N5514">
        <v>47.208599630757902</v>
      </c>
      <c r="O5514">
        <v>46.280385735267302</v>
      </c>
      <c r="P5514">
        <v>-9.49489380130141E-2</v>
      </c>
      <c r="Q5514">
        <v>7.8576740623058E-2</v>
      </c>
      <c r="R5514">
        <v>0.99670372256431194</v>
      </c>
      <c r="S5514" t="s">
        <v>11966</v>
      </c>
      <c r="T5514" t="s">
        <v>12902</v>
      </c>
      <c r="U5514" t="s">
        <v>12902</v>
      </c>
      <c r="V5514" t="s">
        <v>12902</v>
      </c>
      <c r="W5514" t="s">
        <v>18367</v>
      </c>
      <c r="X5514">
        <v>1</v>
      </c>
      <c r="Y5514" t="s">
        <v>24658</v>
      </c>
      <c r="Z5514" t="s">
        <v>31089</v>
      </c>
      <c r="AA5514">
        <v>0.30211136747768602</v>
      </c>
      <c r="AB5514" t="str">
        <f>HYPERLINK("Melting_Curves/meltCurve_Q9H649_NSUN3.pdf", "Melting_Curves/meltCurve_Q9H649_NSUN3.pdf")</f>
        <v>Melting_Curves/meltCurve_Q9H649_NSUN3.pdf</v>
      </c>
    </row>
    <row r="5515" spans="1:28" x14ac:dyDescent="0.25">
      <c r="A5515" t="s">
        <v>5519</v>
      </c>
      <c r="B5515">
        <v>0.99673306730245903</v>
      </c>
      <c r="C5515">
        <v>1.3445511486455499</v>
      </c>
      <c r="D5515">
        <v>1.2328487845892799</v>
      </c>
      <c r="E5515">
        <v>0.77301118375451905</v>
      </c>
      <c r="F5515">
        <v>5.5659431119469902</v>
      </c>
      <c r="G5515">
        <v>0.72605016313789505</v>
      </c>
      <c r="H5515">
        <v>0.58804891373053603</v>
      </c>
      <c r="I5515">
        <v>0.14877431778639799</v>
      </c>
      <c r="J5515">
        <v>0.14081198348339</v>
      </c>
      <c r="K5515">
        <v>4.08152908313483E-2</v>
      </c>
      <c r="L5515">
        <v>3073.42314163834</v>
      </c>
      <c r="M5515">
        <v>50.404677817511597</v>
      </c>
      <c r="N5515">
        <v>61.192472214450902</v>
      </c>
      <c r="O5515">
        <v>60.879210619218298</v>
      </c>
      <c r="P5515">
        <v>-0.19001148069374199</v>
      </c>
      <c r="Q5515">
        <v>8.2010652989999502E-2</v>
      </c>
      <c r="R5515">
        <v>9.8546458005192197E-2</v>
      </c>
      <c r="S5515" t="s">
        <v>11967</v>
      </c>
      <c r="T5515" t="s">
        <v>12902</v>
      </c>
      <c r="U5515" t="s">
        <v>12902</v>
      </c>
      <c r="V5515" t="s">
        <v>12902</v>
      </c>
      <c r="W5515" t="s">
        <v>18368</v>
      </c>
      <c r="X5515">
        <v>1</v>
      </c>
      <c r="Y5515" t="s">
        <v>24659</v>
      </c>
      <c r="Z5515" t="s">
        <v>31090</v>
      </c>
      <c r="AA5515">
        <v>0.72618929781577846</v>
      </c>
      <c r="AB5515" t="str">
        <f>HYPERLINK("Melting_Curves/meltCurve_Q9H6A9_2_PCNXL3.pdf", "Melting_Curves/meltCurve_Q9H6A9_2_PCNXL3.pdf")</f>
        <v>Melting_Curves/meltCurve_Q9H6A9_2_PCNXL3.pdf</v>
      </c>
    </row>
    <row r="5516" spans="1:28" x14ac:dyDescent="0.25">
      <c r="A5516" t="s">
        <v>5520</v>
      </c>
      <c r="B5516">
        <v>0.99673306730245903</v>
      </c>
      <c r="C5516">
        <v>1.0171442955041801</v>
      </c>
      <c r="D5516">
        <v>0.87081161833540399</v>
      </c>
      <c r="E5516">
        <v>0.64469537842362801</v>
      </c>
      <c r="F5516">
        <v>0.27024642456957199</v>
      </c>
      <c r="G5516">
        <v>0.179339258741989</v>
      </c>
      <c r="H5516">
        <v>0.111924857453397</v>
      </c>
      <c r="I5516">
        <v>0.123669098116337</v>
      </c>
      <c r="J5516">
        <v>0.12755168108172599</v>
      </c>
      <c r="K5516">
        <v>0.11660215015277101</v>
      </c>
      <c r="L5516">
        <v>1208.02452805404</v>
      </c>
      <c r="M5516">
        <v>24.078244490505799</v>
      </c>
      <c r="N5516">
        <v>50.722553434528102</v>
      </c>
      <c r="O5516">
        <v>49.828568751580903</v>
      </c>
      <c r="P5516">
        <v>-0.10688878426859</v>
      </c>
      <c r="Q5516">
        <v>0.11521255036965</v>
      </c>
      <c r="R5516">
        <v>0.99678603218211603</v>
      </c>
      <c r="S5516" t="s">
        <v>11968</v>
      </c>
      <c r="T5516" t="s">
        <v>12902</v>
      </c>
      <c r="U5516" t="s">
        <v>12902</v>
      </c>
      <c r="V5516" t="s">
        <v>12902</v>
      </c>
      <c r="W5516" t="s">
        <v>18369</v>
      </c>
      <c r="X5516">
        <v>7</v>
      </c>
      <c r="Y5516" t="s">
        <v>24660</v>
      </c>
      <c r="Z5516" t="s">
        <v>31091</v>
      </c>
      <c r="AA5516">
        <v>0.42371874678774563</v>
      </c>
      <c r="AB5516" t="str">
        <f>HYPERLINK("Melting_Curves/meltCurve_Q9H6E4_CCDC134.pdf", "Melting_Curves/meltCurve_Q9H6E4_CCDC134.pdf")</f>
        <v>Melting_Curves/meltCurve_Q9H6E4_CCDC134.pdf</v>
      </c>
    </row>
    <row r="5517" spans="1:28" x14ac:dyDescent="0.25">
      <c r="A5517" t="s">
        <v>5521</v>
      </c>
      <c r="B5517">
        <v>0.99673306730245903</v>
      </c>
      <c r="C5517">
        <v>0.92734639671011099</v>
      </c>
      <c r="D5517">
        <v>1.0008875949265099</v>
      </c>
      <c r="E5517">
        <v>0.98829175350668197</v>
      </c>
      <c r="F5517">
        <v>0.97396124075062296</v>
      </c>
      <c r="G5517">
        <v>0.676340413958886</v>
      </c>
      <c r="H5517">
        <v>0.405503880886882</v>
      </c>
      <c r="I5517">
        <v>0.44490084991215201</v>
      </c>
      <c r="J5517">
        <v>0.66443797904634005</v>
      </c>
      <c r="K5517">
        <v>0.80138837182927103</v>
      </c>
      <c r="L5517">
        <v>4243.0084732198802</v>
      </c>
      <c r="M5517">
        <v>75.967419933260103</v>
      </c>
      <c r="O5517">
        <v>55.8143330221273</v>
      </c>
      <c r="P5517">
        <v>-0.14302655673922299</v>
      </c>
      <c r="Q5517">
        <v>0.579665557404617</v>
      </c>
      <c r="R5517">
        <v>0.76654861436216604</v>
      </c>
      <c r="S5517" t="s">
        <v>11969</v>
      </c>
      <c r="T5517" t="s">
        <v>12902</v>
      </c>
      <c r="U5517" t="s">
        <v>12902</v>
      </c>
      <c r="V5517" t="s">
        <v>12902</v>
      </c>
      <c r="W5517" t="s">
        <v>18370</v>
      </c>
      <c r="X5517">
        <v>8</v>
      </c>
      <c r="Y5517" t="s">
        <v>24661</v>
      </c>
      <c r="Z5517" t="s">
        <v>31092</v>
      </c>
      <c r="AA5517">
        <v>0.80223150137696231</v>
      </c>
      <c r="AB5517" t="str">
        <f>HYPERLINK("Melting_Curves/meltCurve_Q9H6F5_CCDC86.pdf", "Melting_Curves/meltCurve_Q9H6F5_CCDC86.pdf")</f>
        <v>Melting_Curves/meltCurve_Q9H6F5_CCDC86.pdf</v>
      </c>
    </row>
    <row r="5518" spans="1:28" x14ac:dyDescent="0.25">
      <c r="A5518" t="s">
        <v>5522</v>
      </c>
      <c r="B5518">
        <v>0.99673306730245903</v>
      </c>
      <c r="C5518">
        <v>0.96492176283119302</v>
      </c>
      <c r="D5518">
        <v>0.95044931584135195</v>
      </c>
      <c r="E5518">
        <v>0.83955401387149797</v>
      </c>
      <c r="F5518">
        <v>0.62896983713225396</v>
      </c>
      <c r="G5518">
        <v>0.42292955524037101</v>
      </c>
      <c r="H5518">
        <v>0.26790722524071398</v>
      </c>
      <c r="I5518">
        <v>0.281421814863477</v>
      </c>
      <c r="J5518">
        <v>0.28058918919790998</v>
      </c>
      <c r="K5518">
        <v>0.22757864354537399</v>
      </c>
      <c r="L5518">
        <v>971.48460136759797</v>
      </c>
      <c r="M5518">
        <v>18.246057299241802</v>
      </c>
      <c r="N5518">
        <v>55.144282799624399</v>
      </c>
      <c r="O5518">
        <v>52.616337282059497</v>
      </c>
      <c r="P5518">
        <v>-6.6461298843665306E-2</v>
      </c>
      <c r="Q5518">
        <v>0.23341538570779899</v>
      </c>
      <c r="R5518">
        <v>0.99625455612089298</v>
      </c>
      <c r="S5518" t="s">
        <v>11970</v>
      </c>
      <c r="T5518" t="s">
        <v>12902</v>
      </c>
      <c r="U5518" t="s">
        <v>12902</v>
      </c>
      <c r="V5518" t="s">
        <v>12902</v>
      </c>
      <c r="W5518" t="s">
        <v>18371</v>
      </c>
      <c r="X5518">
        <v>7</v>
      </c>
      <c r="Y5518" t="s">
        <v>24662</v>
      </c>
      <c r="Z5518" t="s">
        <v>31093</v>
      </c>
      <c r="AA5518">
        <v>0.58405085481424435</v>
      </c>
      <c r="AB5518" t="str">
        <f>HYPERLINK("Melting_Curves/meltCurve_Q9H6H4_REEP4.pdf", "Melting_Curves/meltCurve_Q9H6H4_REEP4.pdf")</f>
        <v>Melting_Curves/meltCurve_Q9H6H4_REEP4.pdf</v>
      </c>
    </row>
    <row r="5519" spans="1:28" x14ac:dyDescent="0.25">
      <c r="A5519" t="s">
        <v>5523</v>
      </c>
      <c r="B5519">
        <v>0.99673306730245903</v>
      </c>
      <c r="C5519">
        <v>1.0193045218469099</v>
      </c>
      <c r="D5519">
        <v>0.95500611922477396</v>
      </c>
      <c r="E5519">
        <v>0.90632872498344996</v>
      </c>
      <c r="F5519">
        <v>0.82438386493166205</v>
      </c>
      <c r="G5519">
        <v>0.68033934976284705</v>
      </c>
      <c r="H5519">
        <v>0.44709738040298902</v>
      </c>
      <c r="I5519">
        <v>0.26507744869384697</v>
      </c>
      <c r="J5519">
        <v>0.16611600872806501</v>
      </c>
      <c r="K5519">
        <v>9.9838920908961404E-2</v>
      </c>
      <c r="L5519">
        <v>816.76108104240302</v>
      </c>
      <c r="M5519">
        <v>13.7194689331272</v>
      </c>
      <c r="N5519">
        <v>59.532995578968197</v>
      </c>
      <c r="O5519">
        <v>58.310901940647902</v>
      </c>
      <c r="P5519">
        <v>-5.8828768119560101E-2</v>
      </c>
      <c r="Q5519">
        <v>0</v>
      </c>
      <c r="R5519">
        <v>0.99673122767807698</v>
      </c>
      <c r="S5519" t="s">
        <v>11971</v>
      </c>
      <c r="T5519" t="s">
        <v>12902</v>
      </c>
      <c r="U5519" t="s">
        <v>12902</v>
      </c>
      <c r="V5519" t="s">
        <v>12902</v>
      </c>
      <c r="W5519" t="s">
        <v>18372</v>
      </c>
      <c r="X5519">
        <v>2</v>
      </c>
      <c r="Y5519" t="s">
        <v>24663</v>
      </c>
      <c r="Z5519" t="s">
        <v>31094</v>
      </c>
      <c r="AA5519">
        <v>0.65870302855487073</v>
      </c>
      <c r="AB5519" t="str">
        <f>HYPERLINK("Melting_Curves/meltCurve_Q9H6K4_OPA3.pdf", "Melting_Curves/meltCurve_Q9H6K4_OPA3.pdf")</f>
        <v>Melting_Curves/meltCurve_Q9H6K4_OPA3.pdf</v>
      </c>
    </row>
    <row r="5520" spans="1:28" x14ac:dyDescent="0.25">
      <c r="A5520" t="s">
        <v>5524</v>
      </c>
      <c r="B5520">
        <v>0.99673306730245903</v>
      </c>
      <c r="C5520">
        <v>0.87305966999291595</v>
      </c>
      <c r="D5520">
        <v>0.71696296649403501</v>
      </c>
      <c r="E5520">
        <v>0.71553194836261003</v>
      </c>
      <c r="F5520">
        <v>0.66273775671510105</v>
      </c>
      <c r="G5520">
        <v>0.436838801707362</v>
      </c>
      <c r="H5520">
        <v>0.29731487032083798</v>
      </c>
      <c r="I5520">
        <v>0.27411947656455998</v>
      </c>
      <c r="J5520">
        <v>0.241573032765382</v>
      </c>
      <c r="K5520">
        <v>0.198849453260321</v>
      </c>
      <c r="L5520">
        <v>389.84573214436199</v>
      </c>
      <c r="M5520">
        <v>7.0335371110078402</v>
      </c>
      <c r="N5520">
        <v>55.426697252390397</v>
      </c>
      <c r="O5520">
        <v>51.4685733591229</v>
      </c>
      <c r="P5520">
        <v>-3.4226470404531202E-2</v>
      </c>
      <c r="Q5520">
        <v>0</v>
      </c>
      <c r="R5520">
        <v>0.96765449183419905</v>
      </c>
      <c r="S5520" t="s">
        <v>11972</v>
      </c>
      <c r="T5520" t="s">
        <v>12902</v>
      </c>
      <c r="U5520" t="s">
        <v>12902</v>
      </c>
      <c r="V5520" t="s">
        <v>12902</v>
      </c>
      <c r="W5520" t="s">
        <v>18373</v>
      </c>
      <c r="X5520">
        <v>2</v>
      </c>
      <c r="Y5520" t="s">
        <v>24664</v>
      </c>
      <c r="Z5520" t="s">
        <v>31095</v>
      </c>
      <c r="AA5520">
        <v>0.53747007174321493</v>
      </c>
      <c r="AB5520" t="str">
        <f>HYPERLINK("Melting_Curves/meltCurve_Q9H6L4_ARMC7.pdf", "Melting_Curves/meltCurve_Q9H6L4_ARMC7.pdf")</f>
        <v>Melting_Curves/meltCurve_Q9H6L4_ARMC7.pdf</v>
      </c>
    </row>
    <row r="5521" spans="1:28" x14ac:dyDescent="0.25">
      <c r="A5521" t="s">
        <v>5525</v>
      </c>
      <c r="B5521">
        <v>0.99673306730245903</v>
      </c>
      <c r="C5521">
        <v>1.0357766996995099</v>
      </c>
      <c r="D5521">
        <v>1.0482874522262</v>
      </c>
      <c r="E5521">
        <v>0.94403828232104703</v>
      </c>
      <c r="F5521">
        <v>0.75328631068302099</v>
      </c>
      <c r="G5521">
        <v>0.66385825441313995</v>
      </c>
      <c r="H5521">
        <v>0.57421221340810502</v>
      </c>
      <c r="I5521">
        <v>0.71242653001405098</v>
      </c>
      <c r="J5521">
        <v>0.91000917997911202</v>
      </c>
      <c r="K5521">
        <v>0.90505297837427401</v>
      </c>
      <c r="L5521">
        <v>12460.8625804739</v>
      </c>
      <c r="M5521">
        <v>250</v>
      </c>
      <c r="O5521">
        <v>49.840255945225998</v>
      </c>
      <c r="P5521">
        <v>-0.30956285592253302</v>
      </c>
      <c r="Q5521">
        <v>0.75314090531934197</v>
      </c>
      <c r="R5521">
        <v>0.62764685408537602</v>
      </c>
      <c r="S5521" t="s">
        <v>11973</v>
      </c>
      <c r="T5521" t="s">
        <v>12902</v>
      </c>
      <c r="U5521" t="s">
        <v>12902</v>
      </c>
      <c r="V5521" t="s">
        <v>12902</v>
      </c>
      <c r="W5521" t="s">
        <v>18374</v>
      </c>
      <c r="X5521">
        <v>3</v>
      </c>
      <c r="Y5521" t="s">
        <v>24665</v>
      </c>
      <c r="Z5521" t="s">
        <v>31096</v>
      </c>
      <c r="AA5521">
        <v>0.83416067369008473</v>
      </c>
      <c r="AB5521" t="str">
        <f>HYPERLINK("Melting_Curves/meltCurve_Q9H6L5_FAM134B.pdf", "Melting_Curves/meltCurve_Q9H6L5_FAM134B.pdf")</f>
        <v>Melting_Curves/meltCurve_Q9H6L5_FAM134B.pdf</v>
      </c>
    </row>
    <row r="5522" spans="1:28" x14ac:dyDescent="0.25">
      <c r="A5522" t="s">
        <v>5526</v>
      </c>
      <c r="B5522">
        <v>0.99673306730245903</v>
      </c>
      <c r="C5522">
        <v>0.97938024580949101</v>
      </c>
      <c r="D5522">
        <v>0.940539734064467</v>
      </c>
      <c r="E5522">
        <v>0.88330535068632898</v>
      </c>
      <c r="F5522">
        <v>0.79861795770579802</v>
      </c>
      <c r="G5522">
        <v>0.57508799096524199</v>
      </c>
      <c r="H5522">
        <v>0.49363812607023699</v>
      </c>
      <c r="I5522">
        <v>0.64771250224212695</v>
      </c>
      <c r="J5522">
        <v>0.85739103827263297</v>
      </c>
      <c r="K5522">
        <v>0.85025566188699198</v>
      </c>
      <c r="L5522">
        <v>1529.4433809766999</v>
      </c>
      <c r="M5522">
        <v>30.316011777784201</v>
      </c>
      <c r="O5522">
        <v>50.232026848872501</v>
      </c>
      <c r="P5522">
        <v>-4.6523616066282997E-2</v>
      </c>
      <c r="Q5522">
        <v>0.69165325019492896</v>
      </c>
      <c r="R5522">
        <v>0.57317840494777605</v>
      </c>
      <c r="S5522" t="s">
        <v>11974</v>
      </c>
      <c r="T5522" t="s">
        <v>12902</v>
      </c>
      <c r="U5522" t="s">
        <v>12902</v>
      </c>
      <c r="V5522" t="s">
        <v>12902</v>
      </c>
      <c r="W5522" t="s">
        <v>18375</v>
      </c>
      <c r="X5522">
        <v>5</v>
      </c>
      <c r="Y5522" t="s">
        <v>24666</v>
      </c>
      <c r="Z5522" t="s">
        <v>31097</v>
      </c>
      <c r="AA5522">
        <v>0.80094202179353746</v>
      </c>
      <c r="AB5522" t="str">
        <f>HYPERLINK("Melting_Curves/meltCurve_Q9H6P5_TASP1.pdf", "Melting_Curves/meltCurve_Q9H6P5_TASP1.pdf")</f>
        <v>Melting_Curves/meltCurve_Q9H6P5_TASP1.pdf</v>
      </c>
    </row>
    <row r="5523" spans="1:28" x14ac:dyDescent="0.25">
      <c r="A5523" t="s">
        <v>5527</v>
      </c>
      <c r="B5523">
        <v>0.99673306730245903</v>
      </c>
      <c r="C5523">
        <v>1.00928479075394</v>
      </c>
      <c r="D5523">
        <v>1.0206036126665701</v>
      </c>
      <c r="E5523">
        <v>0.99788616994805901</v>
      </c>
      <c r="F5523">
        <v>0.83038951771477298</v>
      </c>
      <c r="G5523">
        <v>0.44114150828140097</v>
      </c>
      <c r="H5523">
        <v>0.112686953271776</v>
      </c>
      <c r="I5523">
        <v>8.9095474506478506E-2</v>
      </c>
      <c r="J5523">
        <v>8.1587134476030707E-2</v>
      </c>
      <c r="K5523">
        <v>8.0176843770063899E-2</v>
      </c>
      <c r="L5523">
        <v>1762.1912160980601</v>
      </c>
      <c r="M5523">
        <v>31.5037419035861</v>
      </c>
      <c r="N5523">
        <v>56.204629873368503</v>
      </c>
      <c r="O5523">
        <v>55.7119986031609</v>
      </c>
      <c r="P5523">
        <v>-0.13148664742235999</v>
      </c>
      <c r="Q5523">
        <v>6.9907993310311098E-2</v>
      </c>
      <c r="R5523">
        <v>0.99881588917710196</v>
      </c>
      <c r="S5523" t="s">
        <v>11975</v>
      </c>
      <c r="T5523" t="s">
        <v>12902</v>
      </c>
      <c r="U5523" t="s">
        <v>12902</v>
      </c>
      <c r="V5523" t="s">
        <v>12902</v>
      </c>
      <c r="W5523" t="s">
        <v>18376</v>
      </c>
      <c r="X5523">
        <v>6</v>
      </c>
      <c r="Y5523" t="s">
        <v>24667</v>
      </c>
      <c r="Z5523" t="s">
        <v>31098</v>
      </c>
      <c r="AA5523">
        <v>0.5696345428748516</v>
      </c>
      <c r="AB5523" t="str">
        <f>HYPERLINK("Melting_Curves/meltCurve_Q9H6Q4_NARFL.pdf", "Melting_Curves/meltCurve_Q9H6Q4_NARFL.pdf")</f>
        <v>Melting_Curves/meltCurve_Q9H6Q4_NARFL.pdf</v>
      </c>
    </row>
    <row r="5524" spans="1:28" x14ac:dyDescent="0.25">
      <c r="A5524" t="s">
        <v>5528</v>
      </c>
      <c r="B5524">
        <v>0.99673306730245903</v>
      </c>
      <c r="C5524">
        <v>0.95658123539856099</v>
      </c>
      <c r="D5524">
        <v>0.95477926488230302</v>
      </c>
      <c r="E5524">
        <v>0.80453687070519997</v>
      </c>
      <c r="F5524">
        <v>0.586167213485984</v>
      </c>
      <c r="G5524">
        <v>0.42914849157590801</v>
      </c>
      <c r="H5524">
        <v>0.25208155352954098</v>
      </c>
      <c r="I5524">
        <v>0.27984814053694002</v>
      </c>
      <c r="J5524">
        <v>0.35439684108734598</v>
      </c>
      <c r="K5524">
        <v>0.30893117017967198</v>
      </c>
      <c r="L5524">
        <v>1043.7726002976599</v>
      </c>
      <c r="M5524">
        <v>20.0114038224546</v>
      </c>
      <c r="N5524">
        <v>54.5044455093743</v>
      </c>
      <c r="O5524">
        <v>51.646404699924602</v>
      </c>
      <c r="P5524">
        <v>-6.8907272744625395E-2</v>
      </c>
      <c r="Q5524">
        <v>0.28866612557995602</v>
      </c>
      <c r="R5524">
        <v>0.98596995076411498</v>
      </c>
      <c r="S5524" t="s">
        <v>11976</v>
      </c>
      <c r="T5524" t="s">
        <v>12902</v>
      </c>
      <c r="U5524" t="s">
        <v>12902</v>
      </c>
      <c r="V5524" t="s">
        <v>12902</v>
      </c>
      <c r="W5524" t="s">
        <v>18377</v>
      </c>
      <c r="X5524">
        <v>2</v>
      </c>
      <c r="Y5524" t="s">
        <v>24668</v>
      </c>
      <c r="Z5524" t="s">
        <v>31099</v>
      </c>
      <c r="AA5524">
        <v>0.58679418767593061</v>
      </c>
      <c r="AB5524" t="str">
        <f>HYPERLINK("Melting_Curves/meltCurve_Q9H6R0_DHX33.pdf", "Melting_Curves/meltCurve_Q9H6R0_DHX33.pdf")</f>
        <v>Melting_Curves/meltCurve_Q9H6R0_DHX33.pdf</v>
      </c>
    </row>
    <row r="5525" spans="1:28" x14ac:dyDescent="0.25">
      <c r="A5525" t="s">
        <v>5529</v>
      </c>
      <c r="B5525">
        <v>0.99673306730245903</v>
      </c>
      <c r="C5525">
        <v>1.1396008544918601</v>
      </c>
      <c r="D5525">
        <v>1.0217929674606301</v>
      </c>
      <c r="E5525">
        <v>0.756253093272231</v>
      </c>
      <c r="F5525">
        <v>0.33609238720040502</v>
      </c>
      <c r="G5525">
        <v>0.22295191134593201</v>
      </c>
      <c r="H5525">
        <v>0.171722828666343</v>
      </c>
      <c r="I5525">
        <v>0.118103430779537</v>
      </c>
      <c r="J5525">
        <v>0.120963224958964</v>
      </c>
      <c r="K5525">
        <v>7.2804141768268202E-2</v>
      </c>
      <c r="L5525">
        <v>1523.62119485777</v>
      </c>
      <c r="M5525">
        <v>29.7082396202509</v>
      </c>
      <c r="N5525">
        <v>51.796453990966</v>
      </c>
      <c r="O5525">
        <v>51.055451836747501</v>
      </c>
      <c r="P5525">
        <v>-0.12701492383061899</v>
      </c>
      <c r="Q5525">
        <v>0.12687382621790499</v>
      </c>
      <c r="R5525">
        <v>0.98213862527046403</v>
      </c>
      <c r="S5525" t="s">
        <v>11977</v>
      </c>
      <c r="T5525" t="s">
        <v>12902</v>
      </c>
      <c r="U5525" t="s">
        <v>12902</v>
      </c>
      <c r="V5525" t="s">
        <v>12902</v>
      </c>
      <c r="W5525" t="s">
        <v>18378</v>
      </c>
      <c r="X5525">
        <v>3</v>
      </c>
      <c r="Y5525" t="s">
        <v>24669</v>
      </c>
      <c r="Z5525" t="s">
        <v>31100</v>
      </c>
      <c r="AA5525">
        <v>0.46097235826475552</v>
      </c>
      <c r="AB5525" t="str">
        <f>HYPERLINK("Melting_Curves/meltCurve_Q9H6R4_4_NOL6.pdf", "Melting_Curves/meltCurve_Q9H6R4_4_NOL6.pdf")</f>
        <v>Melting_Curves/meltCurve_Q9H6R4_4_NOL6.pdf</v>
      </c>
    </row>
    <row r="5526" spans="1:28" x14ac:dyDescent="0.25">
      <c r="A5526" t="s">
        <v>5530</v>
      </c>
      <c r="B5526">
        <v>0.99673306730245903</v>
      </c>
      <c r="C5526">
        <v>0.87272007481272296</v>
      </c>
      <c r="D5526">
        <v>0.82514133580147297</v>
      </c>
      <c r="E5526">
        <v>0.81198486176305895</v>
      </c>
      <c r="F5526">
        <v>0.66645577572995696</v>
      </c>
      <c r="G5526">
        <v>0.43640933099965701</v>
      </c>
      <c r="H5526">
        <v>0.34032707137551998</v>
      </c>
      <c r="I5526">
        <v>0.25173086756602198</v>
      </c>
      <c r="J5526">
        <v>0.25984724175832702</v>
      </c>
      <c r="K5526">
        <v>0.141762274660854</v>
      </c>
      <c r="L5526">
        <v>470.97293097935</v>
      </c>
      <c r="M5526">
        <v>8.3555737888560806</v>
      </c>
      <c r="N5526">
        <v>56.3663182056602</v>
      </c>
      <c r="O5526">
        <v>53.4148900347775</v>
      </c>
      <c r="P5526">
        <v>-3.9144532026457401E-2</v>
      </c>
      <c r="Q5526">
        <v>0</v>
      </c>
      <c r="R5526">
        <v>0.98010733790098803</v>
      </c>
      <c r="S5526" t="s">
        <v>11978</v>
      </c>
      <c r="T5526" t="s">
        <v>12902</v>
      </c>
      <c r="U5526" t="s">
        <v>12902</v>
      </c>
      <c r="V5526" t="s">
        <v>12902</v>
      </c>
      <c r="W5526" t="s">
        <v>18379</v>
      </c>
      <c r="X5526">
        <v>2</v>
      </c>
      <c r="Y5526" t="s">
        <v>24670</v>
      </c>
      <c r="Z5526" t="s">
        <v>31101</v>
      </c>
      <c r="AA5526">
        <v>0.56318098325883981</v>
      </c>
      <c r="AB5526" t="str">
        <f>HYPERLINK("Melting_Curves/meltCurve_Q9H6R7_2_C2orf44.pdf", "Melting_Curves/meltCurve_Q9H6R7_2_C2orf44.pdf")</f>
        <v>Melting_Curves/meltCurve_Q9H6R7_2_C2orf44.pdf</v>
      </c>
    </row>
    <row r="5527" spans="1:28" x14ac:dyDescent="0.25">
      <c r="A5527" t="s">
        <v>5531</v>
      </c>
      <c r="B5527">
        <v>0.99673306730245903</v>
      </c>
      <c r="C5527">
        <v>0.99438431963748097</v>
      </c>
      <c r="D5527">
        <v>0.88941991501314099</v>
      </c>
      <c r="E5527">
        <v>0.66109346054013995</v>
      </c>
      <c r="F5527">
        <v>0.48319548642396398</v>
      </c>
      <c r="G5527">
        <v>0.36527688198172797</v>
      </c>
      <c r="H5527">
        <v>0.250526209702845</v>
      </c>
      <c r="I5527">
        <v>0.26623210664576902</v>
      </c>
      <c r="J5527">
        <v>0.33227622291847903</v>
      </c>
      <c r="K5527">
        <v>0.27156293293936501</v>
      </c>
      <c r="L5527">
        <v>935.17483826248895</v>
      </c>
      <c r="M5527">
        <v>18.616728684094699</v>
      </c>
      <c r="N5527">
        <v>52.462966879565897</v>
      </c>
      <c r="O5527">
        <v>49.664211016190002</v>
      </c>
      <c r="P5527">
        <v>-6.8097406866922602E-2</v>
      </c>
      <c r="Q5527">
        <v>0.27337248136349801</v>
      </c>
      <c r="R5527">
        <v>0.99154917880756499</v>
      </c>
      <c r="S5527" t="s">
        <v>11979</v>
      </c>
      <c r="T5527" t="s">
        <v>12902</v>
      </c>
      <c r="U5527" t="s">
        <v>12902</v>
      </c>
      <c r="V5527" t="s">
        <v>12902</v>
      </c>
      <c r="W5527" t="s">
        <v>18380</v>
      </c>
      <c r="X5527">
        <v>9</v>
      </c>
      <c r="Y5527" t="s">
        <v>24671</v>
      </c>
      <c r="Z5527" t="s">
        <v>31102</v>
      </c>
      <c r="AA5527">
        <v>0.53282016905040652</v>
      </c>
      <c r="AB5527" t="str">
        <f>HYPERLINK("Melting_Curves/meltCurve_Q9H6S3_EPS8L2.pdf", "Melting_Curves/meltCurve_Q9H6S3_EPS8L2.pdf")</f>
        <v>Melting_Curves/meltCurve_Q9H6S3_EPS8L2.pdf</v>
      </c>
    </row>
    <row r="5528" spans="1:28" x14ac:dyDescent="0.25">
      <c r="A5528" t="s">
        <v>5532</v>
      </c>
      <c r="B5528">
        <v>0.99673306730245903</v>
      </c>
      <c r="C5528">
        <v>0.40920547323402101</v>
      </c>
      <c r="D5528">
        <v>0.28532470256611703</v>
      </c>
      <c r="E5528">
        <v>0.177501154754478</v>
      </c>
      <c r="F5528">
        <v>0.15804938655766801</v>
      </c>
      <c r="G5528">
        <v>9.8950088027688302E-2</v>
      </c>
      <c r="H5528">
        <v>7.2030429583786401E-2</v>
      </c>
      <c r="I5528">
        <v>4.62958492263435E-2</v>
      </c>
      <c r="J5528">
        <v>5.5586323086637697E-2</v>
      </c>
      <c r="K5528">
        <v>4.4162727600134399E-2</v>
      </c>
      <c r="L5528">
        <v>1568.8284873284599</v>
      </c>
      <c r="M5528">
        <v>36.958338025529898</v>
      </c>
      <c r="N5528">
        <v>42.724658455556003</v>
      </c>
      <c r="O5528">
        <v>42.324862605971497</v>
      </c>
      <c r="P5528">
        <v>-0.195112459949458</v>
      </c>
      <c r="Q5528">
        <v>0.10622770909081899</v>
      </c>
      <c r="R5528">
        <v>0.94131252195123105</v>
      </c>
      <c r="S5528" t="s">
        <v>11980</v>
      </c>
      <c r="T5528" t="s">
        <v>12902</v>
      </c>
      <c r="U5528" t="s">
        <v>12902</v>
      </c>
      <c r="V5528" t="s">
        <v>12902</v>
      </c>
      <c r="W5528" t="s">
        <v>18381</v>
      </c>
      <c r="X5528">
        <v>2</v>
      </c>
      <c r="Y5528" t="s">
        <v>24672</v>
      </c>
      <c r="Z5528" t="s">
        <v>31103</v>
      </c>
      <c r="AA5528">
        <v>0.18511671531927279</v>
      </c>
      <c r="AB5528" t="str">
        <f>HYPERLINK("Melting_Curves/meltCurve_Q9H6T0_2_ESRP2.pdf", "Melting_Curves/meltCurve_Q9H6T0_2_ESRP2.pdf")</f>
        <v>Melting_Curves/meltCurve_Q9H6T0_2_ESRP2.pdf</v>
      </c>
    </row>
    <row r="5529" spans="1:28" x14ac:dyDescent="0.25">
      <c r="A5529" t="s">
        <v>5533</v>
      </c>
      <c r="B5529">
        <v>0.99673306730245903</v>
      </c>
      <c r="C5529">
        <v>0.88146547017759302</v>
      </c>
      <c r="D5529">
        <v>0.83116050282214105</v>
      </c>
      <c r="E5529">
        <v>0.62712993095145197</v>
      </c>
      <c r="F5529">
        <v>0.26506880304577501</v>
      </c>
      <c r="G5529">
        <v>0.18538844596764301</v>
      </c>
      <c r="H5529">
        <v>0.10425430100081701</v>
      </c>
      <c r="I5529">
        <v>0.109686381643641</v>
      </c>
      <c r="J5529">
        <v>0.132326657750475</v>
      </c>
      <c r="K5529">
        <v>0.12889990908023799</v>
      </c>
      <c r="L5529">
        <v>932.51211135291601</v>
      </c>
      <c r="M5529">
        <v>18.713953721292601</v>
      </c>
      <c r="N5529">
        <v>50.4440527197482</v>
      </c>
      <c r="O5529">
        <v>49.271230914570197</v>
      </c>
      <c r="P5529">
        <v>-8.5282261080609198E-2</v>
      </c>
      <c r="Q5529">
        <v>0.10189264943274599</v>
      </c>
      <c r="R5529">
        <v>0.98884513100381299</v>
      </c>
      <c r="S5529" t="s">
        <v>11981</v>
      </c>
      <c r="T5529" t="s">
        <v>12902</v>
      </c>
      <c r="U5529" t="s">
        <v>12902</v>
      </c>
      <c r="V5529" t="s">
        <v>12902</v>
      </c>
      <c r="W5529" t="s">
        <v>18382</v>
      </c>
      <c r="X5529">
        <v>17</v>
      </c>
      <c r="Y5529" t="s">
        <v>24673</v>
      </c>
      <c r="Z5529" t="s">
        <v>31104</v>
      </c>
      <c r="AA5529">
        <v>0.41040900689036158</v>
      </c>
      <c r="AB5529" t="str">
        <f>HYPERLINK("Melting_Curves/meltCurve_Q9H6T3_RPAP3.pdf", "Melting_Curves/meltCurve_Q9H6T3_RPAP3.pdf")</f>
        <v>Melting_Curves/meltCurve_Q9H6T3_RPAP3.pdf</v>
      </c>
    </row>
    <row r="5530" spans="1:28" x14ac:dyDescent="0.25">
      <c r="A5530" t="s">
        <v>5534</v>
      </c>
      <c r="B5530">
        <v>0.99673306730245903</v>
      </c>
      <c r="C5530">
        <v>0.93800913432892497</v>
      </c>
      <c r="D5530">
        <v>0.90587498385945397</v>
      </c>
      <c r="E5530">
        <v>0.767948331526627</v>
      </c>
      <c r="F5530">
        <v>0.46239495456302998</v>
      </c>
      <c r="G5530">
        <v>0.224403827180475</v>
      </c>
      <c r="H5530">
        <v>0.115891860982794</v>
      </c>
      <c r="I5530">
        <v>0.12189718647204</v>
      </c>
      <c r="J5530">
        <v>0.13179956769578399</v>
      </c>
      <c r="K5530">
        <v>0.13841893465411201</v>
      </c>
      <c r="L5530">
        <v>1058.79753715779</v>
      </c>
      <c r="M5530">
        <v>20.384249815164502</v>
      </c>
      <c r="N5530">
        <v>52.566173306394496</v>
      </c>
      <c r="O5530">
        <v>51.449794872411097</v>
      </c>
      <c r="P5530">
        <v>-8.8404668296466093E-2</v>
      </c>
      <c r="Q5530">
        <v>0.10749425217870499</v>
      </c>
      <c r="R5530">
        <v>0.99499513081792001</v>
      </c>
      <c r="S5530" t="s">
        <v>11982</v>
      </c>
      <c r="T5530" t="s">
        <v>12902</v>
      </c>
      <c r="U5530" t="s">
        <v>12902</v>
      </c>
      <c r="V5530" t="s">
        <v>12902</v>
      </c>
      <c r="W5530" t="s">
        <v>18383</v>
      </c>
      <c r="X5530">
        <v>6</v>
      </c>
      <c r="Y5530" t="s">
        <v>24674</v>
      </c>
      <c r="Z5530" t="s">
        <v>31105</v>
      </c>
      <c r="AA5530">
        <v>0.4747065534515445</v>
      </c>
      <c r="AB5530" t="str">
        <f>HYPERLINK("Melting_Curves/meltCurve_Q9H6U6_2_BCAS3.pdf", "Melting_Curves/meltCurve_Q9H6U6_2_BCAS3.pdf")</f>
        <v>Melting_Curves/meltCurve_Q9H6U6_2_BCAS3.pdf</v>
      </c>
    </row>
    <row r="5531" spans="1:28" x14ac:dyDescent="0.25">
      <c r="A5531" t="s">
        <v>5535</v>
      </c>
      <c r="B5531">
        <v>0.99673306730245903</v>
      </c>
      <c r="C5531">
        <v>0.88731124015055496</v>
      </c>
      <c r="D5531">
        <v>0.87233162519373497</v>
      </c>
      <c r="E5531">
        <v>0.64698490372205097</v>
      </c>
      <c r="F5531">
        <v>0.33155383201138799</v>
      </c>
      <c r="G5531">
        <v>0.137369879232492</v>
      </c>
      <c r="H5531">
        <v>7.9038375241876194E-2</v>
      </c>
      <c r="I5531">
        <v>7.5415013206146506E-2</v>
      </c>
      <c r="J5531">
        <v>6.4245301294270404E-2</v>
      </c>
      <c r="K5531">
        <v>6.00119984209114E-2</v>
      </c>
      <c r="L5531">
        <v>918.65053364923904</v>
      </c>
      <c r="M5531">
        <v>18.100706968002399</v>
      </c>
      <c r="N5531">
        <v>51.010079304647199</v>
      </c>
      <c r="O5531">
        <v>50.144892786826702</v>
      </c>
      <c r="P5531">
        <v>-8.6300144500087703E-2</v>
      </c>
      <c r="Q5531">
        <v>4.3727378368644397E-2</v>
      </c>
      <c r="R5531">
        <v>0.99414785445356701</v>
      </c>
      <c r="S5531" t="s">
        <v>11983</v>
      </c>
      <c r="T5531" t="s">
        <v>12902</v>
      </c>
      <c r="U5531" t="s">
        <v>12902</v>
      </c>
      <c r="V5531" t="s">
        <v>12902</v>
      </c>
      <c r="W5531" t="s">
        <v>18384</v>
      </c>
      <c r="X5531">
        <v>8</v>
      </c>
      <c r="Y5531" t="s">
        <v>24675</v>
      </c>
      <c r="Z5531" t="s">
        <v>31106</v>
      </c>
      <c r="AA5531">
        <v>0.40245663229733281</v>
      </c>
      <c r="AB5531" t="str">
        <f>HYPERLINK("Melting_Curves/meltCurve_Q9H6U8_ALG9.pdf", "Melting_Curves/meltCurve_Q9H6U8_ALG9.pdf")</f>
        <v>Melting_Curves/meltCurve_Q9H6U8_ALG9.pdf</v>
      </c>
    </row>
    <row r="5532" spans="1:28" x14ac:dyDescent="0.25">
      <c r="A5532" t="s">
        <v>5536</v>
      </c>
      <c r="B5532">
        <v>0.99673306730245903</v>
      </c>
      <c r="C5532">
        <v>1.0541658384216399</v>
      </c>
      <c r="D5532">
        <v>1.07031580747927</v>
      </c>
      <c r="E5532">
        <v>0.91191937085112795</v>
      </c>
      <c r="F5532">
        <v>0.85293730808132195</v>
      </c>
      <c r="G5532">
        <v>0.50881498007605697</v>
      </c>
      <c r="H5532">
        <v>0.37991516816353998</v>
      </c>
      <c r="I5532">
        <v>0.34768448066241697</v>
      </c>
      <c r="J5532">
        <v>0.34274542061339103</v>
      </c>
      <c r="K5532">
        <v>0.223106933956215</v>
      </c>
      <c r="L5532">
        <v>1387.5887896710899</v>
      </c>
      <c r="M5532">
        <v>25.0331459582648</v>
      </c>
      <c r="N5532">
        <v>57.446587476293502</v>
      </c>
      <c r="O5532">
        <v>55.079987999017597</v>
      </c>
      <c r="P5532">
        <v>-8.0406150015793099E-2</v>
      </c>
      <c r="Q5532">
        <v>0.29234484317478798</v>
      </c>
      <c r="R5532">
        <v>0.97846024591327196</v>
      </c>
      <c r="S5532" t="s">
        <v>11984</v>
      </c>
      <c r="T5532" t="s">
        <v>12902</v>
      </c>
      <c r="U5532" t="s">
        <v>12902</v>
      </c>
      <c r="V5532" t="s">
        <v>12902</v>
      </c>
      <c r="W5532" t="s">
        <v>18385</v>
      </c>
      <c r="X5532">
        <v>2</v>
      </c>
      <c r="Y5532" t="s">
        <v>24676</v>
      </c>
      <c r="Z5532" t="s">
        <v>31107</v>
      </c>
      <c r="AA5532">
        <v>0.66283431338115784</v>
      </c>
      <c r="AB5532" t="str">
        <f>HYPERLINK("Melting_Curves/meltCurve_Q9H6Y2_WDR55.pdf", "Melting_Curves/meltCurve_Q9H6Y2_WDR55.pdf")</f>
        <v>Melting_Curves/meltCurve_Q9H6Y2_WDR55.pdf</v>
      </c>
    </row>
    <row r="5533" spans="1:28" x14ac:dyDescent="0.25">
      <c r="A5533" t="s">
        <v>5537</v>
      </c>
      <c r="B5533">
        <v>0.99673306730245903</v>
      </c>
      <c r="C5533">
        <v>1.0246643919457199</v>
      </c>
      <c r="D5533">
        <v>0.98603793699583298</v>
      </c>
      <c r="E5533">
        <v>0.97008934388546897</v>
      </c>
      <c r="F5533">
        <v>0.97377662625924499</v>
      </c>
      <c r="G5533">
        <v>0.83758749158039003</v>
      </c>
      <c r="H5533">
        <v>0.68094826969559497</v>
      </c>
      <c r="I5533">
        <v>0.77135824818434295</v>
      </c>
      <c r="J5533">
        <v>0.47606269398221501</v>
      </c>
      <c r="K5533">
        <v>0.37409154910391301</v>
      </c>
      <c r="L5533">
        <v>709.37438831771203</v>
      </c>
      <c r="M5533">
        <v>10.532186242235399</v>
      </c>
      <c r="N5533">
        <v>67.3530035904909</v>
      </c>
      <c r="O5533">
        <v>65.060819960700101</v>
      </c>
      <c r="P5533">
        <v>-4.0486674982032102E-2</v>
      </c>
      <c r="Q5533">
        <v>0</v>
      </c>
      <c r="R5533">
        <v>0.93880586302809599</v>
      </c>
      <c r="S5533" t="s">
        <v>11985</v>
      </c>
      <c r="T5533" t="s">
        <v>12902</v>
      </c>
      <c r="U5533" t="s">
        <v>12902</v>
      </c>
      <c r="V5533" t="s">
        <v>12902</v>
      </c>
      <c r="W5533" t="s">
        <v>18386</v>
      </c>
      <c r="X5533">
        <v>13</v>
      </c>
      <c r="Y5533" t="s">
        <v>24677</v>
      </c>
      <c r="Z5533" t="s">
        <v>31108</v>
      </c>
      <c r="AA5533">
        <v>0.82949713857193552</v>
      </c>
      <c r="AB5533" t="str">
        <f>HYPERLINK("Melting_Curves/meltCurve_Q9H773_DCTPP1.pdf", "Melting_Curves/meltCurve_Q9H773_DCTPP1.pdf")</f>
        <v>Melting_Curves/meltCurve_Q9H773_DCTPP1.pdf</v>
      </c>
    </row>
    <row r="5534" spans="1:28" x14ac:dyDescent="0.25">
      <c r="A5534" t="s">
        <v>5538</v>
      </c>
      <c r="B5534">
        <v>0.99673306730245903</v>
      </c>
      <c r="C5534">
        <v>0.756379065487227</v>
      </c>
      <c r="D5534">
        <v>0.55158232505695903</v>
      </c>
      <c r="E5534">
        <v>0.239669752034984</v>
      </c>
      <c r="F5534">
        <v>0.185715842659949</v>
      </c>
      <c r="G5534">
        <v>0.225792728767856</v>
      </c>
      <c r="H5534">
        <v>0.101610687801343</v>
      </c>
      <c r="I5534">
        <v>4.0603296628938003E-2</v>
      </c>
      <c r="J5534">
        <v>0</v>
      </c>
      <c r="K5534">
        <v>0</v>
      </c>
      <c r="L5534">
        <v>703.423420725234</v>
      </c>
      <c r="M5534">
        <v>15.1952279750699</v>
      </c>
      <c r="N5534">
        <v>46.592647764135499</v>
      </c>
      <c r="O5534">
        <v>45.512837182448401</v>
      </c>
      <c r="P5534">
        <v>-7.9581421775477598E-2</v>
      </c>
      <c r="Q5534">
        <v>4.6640569806800702E-2</v>
      </c>
      <c r="R5534">
        <v>0.968640748290583</v>
      </c>
      <c r="S5534" t="s">
        <v>11986</v>
      </c>
      <c r="T5534" t="s">
        <v>12902</v>
      </c>
      <c r="U5534" t="s">
        <v>12902</v>
      </c>
      <c r="V5534" t="s">
        <v>12902</v>
      </c>
      <c r="W5534" t="s">
        <v>18387</v>
      </c>
      <c r="X5534">
        <v>1</v>
      </c>
      <c r="Y5534" t="s">
        <v>24678</v>
      </c>
      <c r="Z5534" t="s">
        <v>31109</v>
      </c>
      <c r="AA5534">
        <v>0.27307742097110249</v>
      </c>
      <c r="AB5534" t="str">
        <f>HYPERLINK("Melting_Curves/meltCurve_Q9H788_2_SH2D4A.pdf", "Melting_Curves/meltCurve_Q9H788_2_SH2D4A.pdf")</f>
        <v>Melting_Curves/meltCurve_Q9H788_2_SH2D4A.pdf</v>
      </c>
    </row>
    <row r="5535" spans="1:28" x14ac:dyDescent="0.25">
      <c r="A5535" t="s">
        <v>5539</v>
      </c>
      <c r="B5535">
        <v>0.99673306730245903</v>
      </c>
      <c r="C5535">
        <v>0.92953400118913199</v>
      </c>
      <c r="D5535">
        <v>0.56887383052547202</v>
      </c>
      <c r="E5535">
        <v>0.21050880534043301</v>
      </c>
      <c r="F5535">
        <v>0.13933508679477999</v>
      </c>
      <c r="G5535">
        <v>8.5161638205488499E-2</v>
      </c>
      <c r="H5535">
        <v>4.9775132416239501E-2</v>
      </c>
      <c r="I5535">
        <v>3.5577456329099602E-2</v>
      </c>
      <c r="J5535">
        <v>2.6488406657604401E-2</v>
      </c>
      <c r="K5535">
        <v>2.2945580724848699E-2</v>
      </c>
      <c r="L5535">
        <v>1159.3745675954599</v>
      </c>
      <c r="M5535">
        <v>24.927888039158699</v>
      </c>
      <c r="N5535">
        <v>46.702221984685202</v>
      </c>
      <c r="O5535">
        <v>46.2129435351589</v>
      </c>
      <c r="P5535">
        <v>-0.128252253502287</v>
      </c>
      <c r="Q5535">
        <v>4.89637315150434E-2</v>
      </c>
      <c r="R5535">
        <v>0.995130468114934</v>
      </c>
      <c r="S5535" t="s">
        <v>11987</v>
      </c>
      <c r="T5535" t="s">
        <v>12902</v>
      </c>
      <c r="U5535" t="s">
        <v>12902</v>
      </c>
      <c r="V5535" t="s">
        <v>12902</v>
      </c>
      <c r="W5535" t="s">
        <v>18388</v>
      </c>
      <c r="X5535">
        <v>4</v>
      </c>
      <c r="Y5535" t="s">
        <v>24679</v>
      </c>
      <c r="Z5535" t="s">
        <v>31110</v>
      </c>
      <c r="AA5535">
        <v>0.26396803073119091</v>
      </c>
      <c r="AB5535" t="str">
        <f>HYPERLINK("Melting_Curves/meltCurve_Q9H7B4_SMYD3.pdf", "Melting_Curves/meltCurve_Q9H7B4_SMYD3.pdf")</f>
        <v>Melting_Curves/meltCurve_Q9H7B4_SMYD3.pdf</v>
      </c>
    </row>
    <row r="5536" spans="1:28" x14ac:dyDescent="0.25">
      <c r="A5536" t="s">
        <v>5540</v>
      </c>
      <c r="B5536">
        <v>0.99673306730245903</v>
      </c>
      <c r="C5536">
        <v>1.0494840583110601</v>
      </c>
      <c r="D5536">
        <v>1.0033021464077101</v>
      </c>
      <c r="E5536">
        <v>0.86667503480318098</v>
      </c>
      <c r="F5536">
        <v>0.60179896302307201</v>
      </c>
      <c r="G5536">
        <v>0.48800911964115801</v>
      </c>
      <c r="H5536">
        <v>0.36960623170079399</v>
      </c>
      <c r="I5536">
        <v>0.32376236479806098</v>
      </c>
      <c r="J5536">
        <v>0.33969885192042298</v>
      </c>
      <c r="K5536">
        <v>0.33171727199236201</v>
      </c>
      <c r="L5536">
        <v>1142.5259960569899</v>
      </c>
      <c r="M5536">
        <v>21.674293315722998</v>
      </c>
      <c r="N5536">
        <v>55.4934566746036</v>
      </c>
      <c r="O5536">
        <v>52.270826964686499</v>
      </c>
      <c r="P5536">
        <v>-6.9333153211303594E-2</v>
      </c>
      <c r="Q5536">
        <v>0.33118623325573598</v>
      </c>
      <c r="R5536">
        <v>0.99191117569348297</v>
      </c>
      <c r="S5536" t="s">
        <v>11988</v>
      </c>
      <c r="T5536" t="s">
        <v>12902</v>
      </c>
      <c r="U5536" t="s">
        <v>12902</v>
      </c>
      <c r="V5536" t="s">
        <v>12902</v>
      </c>
      <c r="W5536" t="s">
        <v>18389</v>
      </c>
      <c r="X5536">
        <v>6</v>
      </c>
      <c r="Y5536" t="s">
        <v>24680</v>
      </c>
      <c r="Z5536" t="s">
        <v>31111</v>
      </c>
      <c r="AA5536">
        <v>0.6226155343588663</v>
      </c>
      <c r="AB5536" t="str">
        <f>HYPERLINK("Melting_Curves/meltCurve_Q9H7C9_AAMDC.pdf", "Melting_Curves/meltCurve_Q9H7C9_AAMDC.pdf")</f>
        <v>Melting_Curves/meltCurve_Q9H7C9_AAMDC.pdf</v>
      </c>
    </row>
    <row r="5537" spans="1:28" x14ac:dyDescent="0.25">
      <c r="A5537" t="s">
        <v>5541</v>
      </c>
      <c r="B5537">
        <v>0.99673306730245903</v>
      </c>
      <c r="C5537">
        <v>0.95751877394846197</v>
      </c>
      <c r="D5537">
        <v>0.76587192791539505</v>
      </c>
      <c r="E5537">
        <v>0.59373461985482201</v>
      </c>
      <c r="F5537">
        <v>0.52654694662643198</v>
      </c>
      <c r="G5537">
        <v>0.32961781136937301</v>
      </c>
      <c r="H5537">
        <v>0.34926556424240301</v>
      </c>
      <c r="I5537">
        <v>0.27251486546928499</v>
      </c>
      <c r="J5537">
        <v>0.21974657258929101</v>
      </c>
      <c r="K5537">
        <v>0.13881212150179301</v>
      </c>
      <c r="L5537">
        <v>537.27001225929905</v>
      </c>
      <c r="M5537">
        <v>10.517970111272099</v>
      </c>
      <c r="N5537">
        <v>52.9096203282838</v>
      </c>
      <c r="O5537">
        <v>49.338307792618899</v>
      </c>
      <c r="P5537">
        <v>-4.5192429961214302E-2</v>
      </c>
      <c r="Q5537">
        <v>0.15237472708424801</v>
      </c>
      <c r="R5537">
        <v>0.97626675235340399</v>
      </c>
      <c r="S5537" t="s">
        <v>11989</v>
      </c>
      <c r="T5537" t="s">
        <v>12902</v>
      </c>
      <c r="U5537" t="s">
        <v>12902</v>
      </c>
      <c r="V5537" t="s">
        <v>12902</v>
      </c>
      <c r="W5537" t="s">
        <v>18390</v>
      </c>
      <c r="X5537">
        <v>3</v>
      </c>
      <c r="Y5537" t="s">
        <v>24681</v>
      </c>
      <c r="Z5537" t="s">
        <v>31112</v>
      </c>
      <c r="AA5537">
        <v>0.4983261685305162</v>
      </c>
      <c r="AB5537" t="str">
        <f>HYPERLINK("Melting_Curves/meltCurve_Q9H7D7_2_WDR26.pdf", "Melting_Curves/meltCurve_Q9H7D7_2_WDR26.pdf")</f>
        <v>Melting_Curves/meltCurve_Q9H7D7_2_WDR26.pdf</v>
      </c>
    </row>
    <row r="5538" spans="1:28" x14ac:dyDescent="0.25">
      <c r="A5538" t="s">
        <v>5542</v>
      </c>
      <c r="B5538">
        <v>0.99673306730245903</v>
      </c>
      <c r="C5538">
        <v>0.89008881028164399</v>
      </c>
      <c r="D5538">
        <v>0.937410187664379</v>
      </c>
      <c r="E5538">
        <v>0.80054283908365198</v>
      </c>
      <c r="F5538">
        <v>0.44409962943947301</v>
      </c>
      <c r="G5538">
        <v>0.25922894383244299</v>
      </c>
      <c r="H5538">
        <v>0.14383436252623599</v>
      </c>
      <c r="I5538">
        <v>0.18991062231957401</v>
      </c>
      <c r="J5538">
        <v>0.219625099044506</v>
      </c>
      <c r="K5538">
        <v>0.33226646624302297</v>
      </c>
      <c r="L5538">
        <v>1444.0947930478101</v>
      </c>
      <c r="M5538">
        <v>28.095423705160499</v>
      </c>
      <c r="N5538">
        <v>52.4662978746004</v>
      </c>
      <c r="O5538">
        <v>51.141378907623803</v>
      </c>
      <c r="P5538">
        <v>-0.107460958019479</v>
      </c>
      <c r="Q5538">
        <v>0.217573230440014</v>
      </c>
      <c r="R5538">
        <v>0.96824397083031799</v>
      </c>
      <c r="S5538" t="s">
        <v>11990</v>
      </c>
      <c r="T5538" t="s">
        <v>12902</v>
      </c>
      <c r="U5538" t="s">
        <v>12902</v>
      </c>
      <c r="V5538" t="s">
        <v>12902</v>
      </c>
      <c r="W5538" t="s">
        <v>18391</v>
      </c>
      <c r="X5538">
        <v>4</v>
      </c>
      <c r="Y5538" t="s">
        <v>24682</v>
      </c>
      <c r="Z5538" t="s">
        <v>31113</v>
      </c>
      <c r="AA5538">
        <v>0.52052793349906046</v>
      </c>
      <c r="AB5538" t="str">
        <f>HYPERLINK("Melting_Curves/meltCurve_Q9H7E2_3_TDRD3.pdf", "Melting_Curves/meltCurve_Q9H7E2_3_TDRD3.pdf")</f>
        <v>Melting_Curves/meltCurve_Q9H7E2_3_TDRD3.pdf</v>
      </c>
    </row>
    <row r="5539" spans="1:28" x14ac:dyDescent="0.25">
      <c r="A5539" t="s">
        <v>5543</v>
      </c>
      <c r="B5539">
        <v>0.99673306730245903</v>
      </c>
      <c r="C5539">
        <v>0.91196723770878396</v>
      </c>
      <c r="D5539">
        <v>0.83374361374252504</v>
      </c>
      <c r="E5539">
        <v>0.69284523384256302</v>
      </c>
      <c r="F5539">
        <v>0.52730576578166399</v>
      </c>
      <c r="G5539">
        <v>0.26948396670144298</v>
      </c>
      <c r="H5539">
        <v>0.10993334066343299</v>
      </c>
      <c r="I5539">
        <v>6.7483257912877306E-2</v>
      </c>
      <c r="J5539">
        <v>7.0181567592987507E-2</v>
      </c>
      <c r="K5539">
        <v>5.7053677066815897E-2</v>
      </c>
      <c r="L5539">
        <v>679.06163072721199</v>
      </c>
      <c r="M5539">
        <v>12.8846082029489</v>
      </c>
      <c r="N5539">
        <v>52.7033322814979</v>
      </c>
      <c r="O5539">
        <v>51.482207183833196</v>
      </c>
      <c r="P5539">
        <v>-6.2579702386592995E-2</v>
      </c>
      <c r="Q5539">
        <v>0</v>
      </c>
      <c r="R5539">
        <v>0.99308631523112501</v>
      </c>
      <c r="S5539" t="s">
        <v>11991</v>
      </c>
      <c r="T5539" t="s">
        <v>12902</v>
      </c>
      <c r="U5539" t="s">
        <v>12902</v>
      </c>
      <c r="V5539" t="s">
        <v>12902</v>
      </c>
      <c r="W5539" t="s">
        <v>18392</v>
      </c>
      <c r="X5539">
        <v>9</v>
      </c>
      <c r="Y5539" t="s">
        <v>24683</v>
      </c>
      <c r="Z5539" t="s">
        <v>31114</v>
      </c>
      <c r="AA5539">
        <v>0.4501628163980087</v>
      </c>
      <c r="AB5539" t="str">
        <f>HYPERLINK("Melting_Curves/meltCurve_Q9H7F0_ATP13A3.pdf", "Melting_Curves/meltCurve_Q9H7F0_ATP13A3.pdf")</f>
        <v>Melting_Curves/meltCurve_Q9H7F0_ATP13A3.pdf</v>
      </c>
    </row>
    <row r="5540" spans="1:28" x14ac:dyDescent="0.25">
      <c r="A5540" t="s">
        <v>5544</v>
      </c>
      <c r="B5540">
        <v>0.99673306730245903</v>
      </c>
      <c r="C5540">
        <v>0.96903803035677005</v>
      </c>
      <c r="D5540">
        <v>0.97141601215586904</v>
      </c>
      <c r="E5540">
        <v>0.92656581219082401</v>
      </c>
      <c r="F5540">
        <v>0.49678770921097198</v>
      </c>
      <c r="G5540">
        <v>0.360533987697645</v>
      </c>
      <c r="H5540">
        <v>0.20651545134534499</v>
      </c>
      <c r="I5540">
        <v>0.108598949845853</v>
      </c>
      <c r="J5540">
        <v>0.1208494293205</v>
      </c>
      <c r="K5540">
        <v>0.11545307555300199</v>
      </c>
      <c r="L5540">
        <v>1150.92286001003</v>
      </c>
      <c r="M5540">
        <v>21.561824181382001</v>
      </c>
      <c r="N5540">
        <v>54.045529433773702</v>
      </c>
      <c r="O5540">
        <v>52.925033875907403</v>
      </c>
      <c r="P5540">
        <v>-8.9943450977434503E-2</v>
      </c>
      <c r="Q5540">
        <v>0.116930914516649</v>
      </c>
      <c r="R5540">
        <v>0.98825898826951897</v>
      </c>
      <c r="S5540" t="s">
        <v>11992</v>
      </c>
      <c r="T5540" t="s">
        <v>12902</v>
      </c>
      <c r="U5540" t="s">
        <v>12902</v>
      </c>
      <c r="V5540" t="s">
        <v>12902</v>
      </c>
      <c r="W5540" t="s">
        <v>18393</v>
      </c>
      <c r="X5540">
        <v>5</v>
      </c>
      <c r="Y5540" t="s">
        <v>24684</v>
      </c>
      <c r="Z5540" t="s">
        <v>31115</v>
      </c>
      <c r="AA5540">
        <v>0.52135758020750356</v>
      </c>
      <c r="AB5540" t="str">
        <f>HYPERLINK("Melting_Curves/meltCurve_Q9H7J1_PPP1R3E.pdf", "Melting_Curves/meltCurve_Q9H7J1_PPP1R3E.pdf")</f>
        <v>Melting_Curves/meltCurve_Q9H7J1_PPP1R3E.pdf</v>
      </c>
    </row>
    <row r="5541" spans="1:28" x14ac:dyDescent="0.25">
      <c r="A5541" t="s">
        <v>5545</v>
      </c>
      <c r="B5541">
        <v>0.99673306730245903</v>
      </c>
      <c r="C5541">
        <v>0.87225307922932604</v>
      </c>
      <c r="D5541">
        <v>0.74914410083435901</v>
      </c>
      <c r="E5541">
        <v>0.58639977286503098</v>
      </c>
      <c r="F5541">
        <v>0.31340047928597897</v>
      </c>
      <c r="G5541">
        <v>0.25583877980873598</v>
      </c>
      <c r="H5541">
        <v>0.193019797659715</v>
      </c>
      <c r="I5541">
        <v>0.21820443074135801</v>
      </c>
      <c r="J5541">
        <v>0.277560992640833</v>
      </c>
      <c r="K5541">
        <v>0.23122194161157</v>
      </c>
      <c r="L5541">
        <v>797.77871199688502</v>
      </c>
      <c r="M5541">
        <v>16.500095127856699</v>
      </c>
      <c r="N5541">
        <v>50.019235092377698</v>
      </c>
      <c r="O5541">
        <v>47.6564971636015</v>
      </c>
      <c r="P5541">
        <v>-6.82367111967839E-2</v>
      </c>
      <c r="Q5541">
        <v>0.211714448843695</v>
      </c>
      <c r="R5541">
        <v>0.98345915414450302</v>
      </c>
      <c r="S5541" t="s">
        <v>11993</v>
      </c>
      <c r="T5541" t="s">
        <v>12902</v>
      </c>
      <c r="U5541" t="s">
        <v>12902</v>
      </c>
      <c r="V5541" t="s">
        <v>12902</v>
      </c>
      <c r="W5541" t="s">
        <v>18394</v>
      </c>
      <c r="X5541">
        <v>4</v>
      </c>
      <c r="Y5541" t="s">
        <v>24685</v>
      </c>
      <c r="Z5541" t="s">
        <v>31116</v>
      </c>
      <c r="AA5541">
        <v>0.44765214822156379</v>
      </c>
      <c r="AB5541" t="str">
        <f>HYPERLINK("Melting_Curves/meltCurve_Q9H7L9_SUDS3.pdf", "Melting_Curves/meltCurve_Q9H7L9_SUDS3.pdf")</f>
        <v>Melting_Curves/meltCurve_Q9H7L9_SUDS3.pdf</v>
      </c>
    </row>
    <row r="5542" spans="1:28" x14ac:dyDescent="0.25">
      <c r="A5542" t="s">
        <v>5546</v>
      </c>
      <c r="B5542">
        <v>0.99673306730245903</v>
      </c>
      <c r="C5542">
        <v>0.81927265140106997</v>
      </c>
      <c r="D5542">
        <v>0.72247663996442801</v>
      </c>
      <c r="E5542">
        <v>0.53565626294889002</v>
      </c>
      <c r="F5542">
        <v>0.42740570243200598</v>
      </c>
      <c r="G5542">
        <v>0.27835851026762798</v>
      </c>
      <c r="H5542">
        <v>0.19398276929472999</v>
      </c>
      <c r="I5542">
        <v>0.19259226467749899</v>
      </c>
      <c r="J5542">
        <v>0.210705955959022</v>
      </c>
      <c r="K5542">
        <v>0.22407571136157201</v>
      </c>
      <c r="L5542">
        <v>591.47135452172301</v>
      </c>
      <c r="M5542">
        <v>12.162994906857801</v>
      </c>
      <c r="N5542">
        <v>50.352343736219098</v>
      </c>
      <c r="O5542">
        <v>47.370258892470403</v>
      </c>
      <c r="P5542">
        <v>-5.32732307972755E-2</v>
      </c>
      <c r="Q5542">
        <v>0.17027359581966101</v>
      </c>
      <c r="R5542">
        <v>0.98697544307684903</v>
      </c>
      <c r="S5542" t="s">
        <v>11994</v>
      </c>
      <c r="T5542" t="s">
        <v>12902</v>
      </c>
      <c r="U5542" t="s">
        <v>12902</v>
      </c>
      <c r="V5542" t="s">
        <v>12902</v>
      </c>
      <c r="W5542" t="s">
        <v>18395</v>
      </c>
      <c r="X5542">
        <v>4</v>
      </c>
      <c r="Y5542" t="s">
        <v>24686</v>
      </c>
      <c r="Z5542" t="s">
        <v>31117</v>
      </c>
      <c r="AA5542">
        <v>0.43939553211941579</v>
      </c>
      <c r="AB5542" t="str">
        <f>HYPERLINK("Melting_Curves/meltCurve_Q9H7N4_SCAF1.pdf", "Melting_Curves/meltCurve_Q9H7N4_SCAF1.pdf")</f>
        <v>Melting_Curves/meltCurve_Q9H7N4_SCAF1.pdf</v>
      </c>
    </row>
    <row r="5543" spans="1:28" x14ac:dyDescent="0.25">
      <c r="A5543" t="s">
        <v>5547</v>
      </c>
      <c r="B5543">
        <v>0.99673306730245903</v>
      </c>
      <c r="C5543">
        <v>0.983511156484009</v>
      </c>
      <c r="D5543">
        <v>1.06154056178279</v>
      </c>
      <c r="E5543">
        <v>1.0594902588269299</v>
      </c>
      <c r="F5543">
        <v>1.0753887459218301</v>
      </c>
      <c r="G5543">
        <v>0.93235622124536399</v>
      </c>
      <c r="H5543">
        <v>0.82917976113666503</v>
      </c>
      <c r="I5543">
        <v>0.81602878095076703</v>
      </c>
      <c r="J5543">
        <v>1.2900633567311199</v>
      </c>
      <c r="K5543">
        <v>1.76989648058048</v>
      </c>
      <c r="L5543">
        <v>15000</v>
      </c>
      <c r="M5543">
        <v>223.870693967969</v>
      </c>
      <c r="O5543">
        <v>66.9976130846795</v>
      </c>
      <c r="P5543">
        <v>0.41768406257726698</v>
      </c>
      <c r="Q5543">
        <v>1.5</v>
      </c>
      <c r="R5543">
        <v>0.77763537083299805</v>
      </c>
      <c r="S5543" t="s">
        <v>11995</v>
      </c>
      <c r="T5543" t="s">
        <v>12902</v>
      </c>
      <c r="U5543" t="s">
        <v>12902</v>
      </c>
      <c r="V5543" t="s">
        <v>12902</v>
      </c>
      <c r="W5543" t="s">
        <v>18396</v>
      </c>
      <c r="X5543">
        <v>3</v>
      </c>
      <c r="Y5543" t="s">
        <v>24687</v>
      </c>
      <c r="Z5543" t="s">
        <v>31118</v>
      </c>
      <c r="AA5543">
        <v>1.049877657405341</v>
      </c>
      <c r="AB5543" t="str">
        <f>HYPERLINK("Melting_Curves/meltCurve_Q9H7S9_ZNF703.pdf", "Melting_Curves/meltCurve_Q9H7S9_ZNF703.pdf")</f>
        <v>Melting_Curves/meltCurve_Q9H7S9_ZNF703.pdf</v>
      </c>
    </row>
    <row r="5544" spans="1:28" x14ac:dyDescent="0.25">
      <c r="A5544" t="s">
        <v>5548</v>
      </c>
      <c r="B5544">
        <v>0.99673306730245903</v>
      </c>
      <c r="C5544">
        <v>0.72606148991871</v>
      </c>
      <c r="D5544">
        <v>0.54700906435320995</v>
      </c>
      <c r="E5544">
        <v>0.39954024370268099</v>
      </c>
      <c r="F5544">
        <v>0.26305988244258199</v>
      </c>
      <c r="G5544">
        <v>0.17350713309833801</v>
      </c>
      <c r="H5544">
        <v>0.14601053092313801</v>
      </c>
      <c r="I5544">
        <v>0.18922729363881599</v>
      </c>
      <c r="J5544">
        <v>0.27941299261830799</v>
      </c>
      <c r="K5544">
        <v>0.30676613782971202</v>
      </c>
      <c r="L5544">
        <v>809.50290330595999</v>
      </c>
      <c r="M5544">
        <v>17.9341841856575</v>
      </c>
      <c r="N5544">
        <v>46.634136100405698</v>
      </c>
      <c r="O5544">
        <v>44.587440253969703</v>
      </c>
      <c r="P5544">
        <v>-7.8557059027299606E-2</v>
      </c>
      <c r="Q5544">
        <v>0.21881412435480499</v>
      </c>
      <c r="R5544">
        <v>0.95225702407540902</v>
      </c>
      <c r="S5544" t="s">
        <v>11996</v>
      </c>
      <c r="T5544" t="s">
        <v>12902</v>
      </c>
      <c r="U5544" t="s">
        <v>12902</v>
      </c>
      <c r="V5544" t="s">
        <v>12902</v>
      </c>
      <c r="W5544" t="s">
        <v>18397</v>
      </c>
      <c r="X5544">
        <v>5</v>
      </c>
      <c r="Y5544" t="s">
        <v>24688</v>
      </c>
      <c r="Z5544" t="s">
        <v>31119</v>
      </c>
      <c r="AA5544">
        <v>0.36932352358870257</v>
      </c>
      <c r="AB5544" t="str">
        <f>HYPERLINK("Melting_Curves/meltCurve_Q9H7Z6_KAT8.pdf", "Melting_Curves/meltCurve_Q9H7Z6_KAT8.pdf")</f>
        <v>Melting_Curves/meltCurve_Q9H7Z6_KAT8.pdf</v>
      </c>
    </row>
    <row r="5545" spans="1:28" x14ac:dyDescent="0.25">
      <c r="A5545" t="s">
        <v>5549</v>
      </c>
      <c r="B5545">
        <v>0.99673306730245903</v>
      </c>
      <c r="C5545">
        <v>0.96785381291378603</v>
      </c>
      <c r="D5545">
        <v>0.92103866208761398</v>
      </c>
      <c r="E5545">
        <v>0.79754450682383804</v>
      </c>
      <c r="F5545">
        <v>0.49789148812371797</v>
      </c>
      <c r="G5545">
        <v>0.263565808493058</v>
      </c>
      <c r="H5545">
        <v>0.111576107302424</v>
      </c>
      <c r="I5545">
        <v>9.44973804370033E-2</v>
      </c>
      <c r="J5545">
        <v>9.4306089461161494E-2</v>
      </c>
      <c r="K5545">
        <v>7.9879796539747305E-2</v>
      </c>
      <c r="L5545">
        <v>998.02412830696198</v>
      </c>
      <c r="M5545">
        <v>18.909960109892999</v>
      </c>
      <c r="N5545">
        <v>53.1660632239225</v>
      </c>
      <c r="O5545">
        <v>52.198095079186999</v>
      </c>
      <c r="P5545">
        <v>-8.4729153733566501E-2</v>
      </c>
      <c r="Q5545">
        <v>6.4509758561612202E-2</v>
      </c>
      <c r="R5545">
        <v>0.99860365619924496</v>
      </c>
      <c r="S5545" t="s">
        <v>11997</v>
      </c>
      <c r="T5545" t="s">
        <v>12902</v>
      </c>
      <c r="U5545" t="s">
        <v>12902</v>
      </c>
      <c r="V5545" t="s">
        <v>12902</v>
      </c>
      <c r="W5545" t="s">
        <v>18398</v>
      </c>
      <c r="X5545">
        <v>20</v>
      </c>
      <c r="Y5545" t="s">
        <v>24689</v>
      </c>
      <c r="Z5545" t="s">
        <v>31120</v>
      </c>
      <c r="AA5545">
        <v>0.47713507130845439</v>
      </c>
      <c r="AB5545" t="str">
        <f>HYPERLINK("Melting_Curves/meltCurve_Q9H7Z7_PTGES2.pdf", "Melting_Curves/meltCurve_Q9H7Z7_PTGES2.pdf")</f>
        <v>Melting_Curves/meltCurve_Q9H7Z7_PTGES2.pdf</v>
      </c>
    </row>
    <row r="5546" spans="1:28" x14ac:dyDescent="0.25">
      <c r="A5546" t="s">
        <v>5550</v>
      </c>
      <c r="B5546">
        <v>0.99673306730245903</v>
      </c>
      <c r="C5546">
        <v>0.91655257222852704</v>
      </c>
      <c r="D5546">
        <v>0.89297373324875695</v>
      </c>
      <c r="E5546">
        <v>0.733473538250211</v>
      </c>
      <c r="F5546">
        <v>0.37610011641852698</v>
      </c>
      <c r="G5546">
        <v>0.31003149499403099</v>
      </c>
      <c r="H5546">
        <v>0.27529390113697899</v>
      </c>
      <c r="I5546">
        <v>0.32281288197977898</v>
      </c>
      <c r="J5546">
        <v>0.44137674902840601</v>
      </c>
      <c r="K5546">
        <v>0.43437736648792602</v>
      </c>
      <c r="L5546">
        <v>1763.71982950855</v>
      </c>
      <c r="M5546">
        <v>35.391712812649899</v>
      </c>
      <c r="N5546">
        <v>51.593043385548398</v>
      </c>
      <c r="O5546">
        <v>49.675960400780703</v>
      </c>
      <c r="P5546">
        <v>-0.115707047918588</v>
      </c>
      <c r="Q5546">
        <v>0.35037455312919202</v>
      </c>
      <c r="R5546">
        <v>0.94620098500237204</v>
      </c>
      <c r="S5546" t="s">
        <v>11998</v>
      </c>
      <c r="T5546" t="s">
        <v>12902</v>
      </c>
      <c r="U5546" t="s">
        <v>12902</v>
      </c>
      <c r="V5546" t="s">
        <v>12902</v>
      </c>
      <c r="W5546" t="s">
        <v>18399</v>
      </c>
      <c r="X5546">
        <v>7</v>
      </c>
      <c r="Y5546" t="s">
        <v>24690</v>
      </c>
      <c r="Z5546" t="s">
        <v>31121</v>
      </c>
      <c r="AA5546">
        <v>0.5661944697810839</v>
      </c>
      <c r="AB5546" t="str">
        <f>HYPERLINK("Melting_Curves/meltCurve_Q9H814_PHAX.pdf", "Melting_Curves/meltCurve_Q9H814_PHAX.pdf")</f>
        <v>Melting_Curves/meltCurve_Q9H814_PHAX.pdf</v>
      </c>
    </row>
    <row r="5547" spans="1:28" x14ac:dyDescent="0.25">
      <c r="A5547" t="s">
        <v>5551</v>
      </c>
      <c r="B5547">
        <v>0.99673306730245903</v>
      </c>
      <c r="C5547">
        <v>1.01101353311957</v>
      </c>
      <c r="D5547">
        <v>0.97558433859395299</v>
      </c>
      <c r="E5547">
        <v>0.88964213510772605</v>
      </c>
      <c r="F5547">
        <v>0.36493396134239298</v>
      </c>
      <c r="G5547">
        <v>0.151064037844237</v>
      </c>
      <c r="H5547">
        <v>9.1383157643873406E-2</v>
      </c>
      <c r="I5547">
        <v>8.3591765062609499E-2</v>
      </c>
      <c r="J5547">
        <v>9.3331976569997394E-2</v>
      </c>
      <c r="K5547">
        <v>9.4477768896536404E-2</v>
      </c>
      <c r="L5547">
        <v>1985.51875315711</v>
      </c>
      <c r="M5547">
        <v>38.133768084262698</v>
      </c>
      <c r="N5547">
        <v>52.351652266056099</v>
      </c>
      <c r="O5547">
        <v>51.924638627619203</v>
      </c>
      <c r="P5547">
        <v>-0.16642241633332899</v>
      </c>
      <c r="Q5547">
        <v>9.3569546381770799E-2</v>
      </c>
      <c r="R5547">
        <v>0.99929075910406595</v>
      </c>
      <c r="S5547" t="s">
        <v>11999</v>
      </c>
      <c r="T5547" t="s">
        <v>12902</v>
      </c>
      <c r="U5547" t="s">
        <v>12902</v>
      </c>
      <c r="V5547" t="s">
        <v>12902</v>
      </c>
      <c r="W5547" t="s">
        <v>18400</v>
      </c>
      <c r="X5547">
        <v>15</v>
      </c>
      <c r="Y5547" t="s">
        <v>24691</v>
      </c>
      <c r="Z5547" t="s">
        <v>31122</v>
      </c>
      <c r="AA5547">
        <v>0.4617615877986832</v>
      </c>
      <c r="AB5547" t="str">
        <f>HYPERLINK("Melting_Curves/meltCurve_Q9H832_UBE2Z.pdf", "Melting_Curves/meltCurve_Q9H832_UBE2Z.pdf")</f>
        <v>Melting_Curves/meltCurve_Q9H832_UBE2Z.pdf</v>
      </c>
    </row>
    <row r="5548" spans="1:28" x14ac:dyDescent="0.25">
      <c r="A5548" t="s">
        <v>5552</v>
      </c>
      <c r="B5548">
        <v>0.99673306730245903</v>
      </c>
      <c r="C5548">
        <v>0.97150500968290898</v>
      </c>
      <c r="D5548">
        <v>0.78651820118320703</v>
      </c>
      <c r="E5548">
        <v>0.70741735436789799</v>
      </c>
      <c r="F5548">
        <v>0.64856953707452702</v>
      </c>
      <c r="G5548">
        <v>0.41108568900827502</v>
      </c>
      <c r="H5548">
        <v>0.22275972763941099</v>
      </c>
      <c r="I5548">
        <v>0.117368476786137</v>
      </c>
      <c r="J5548">
        <v>0.15608983214826799</v>
      </c>
      <c r="K5548">
        <v>0.10375055248732799</v>
      </c>
      <c r="L5548">
        <v>559.13345015757398</v>
      </c>
      <c r="M5548">
        <v>10.2570148528376</v>
      </c>
      <c r="N5548">
        <v>54.512297920849797</v>
      </c>
      <c r="O5548">
        <v>52.562151752454099</v>
      </c>
      <c r="P5548">
        <v>-4.8806706127921401E-2</v>
      </c>
      <c r="Q5548">
        <v>0</v>
      </c>
      <c r="R5548">
        <v>0.98001431061829403</v>
      </c>
      <c r="S5548" t="s">
        <v>12000</v>
      </c>
      <c r="T5548" t="s">
        <v>12902</v>
      </c>
      <c r="U5548" t="s">
        <v>12902</v>
      </c>
      <c r="V5548" t="s">
        <v>12902</v>
      </c>
      <c r="W5548" t="s">
        <v>18401</v>
      </c>
      <c r="X5548">
        <v>3</v>
      </c>
      <c r="Y5548" t="s">
        <v>24692</v>
      </c>
      <c r="Z5548" t="s">
        <v>31123</v>
      </c>
      <c r="AA5548">
        <v>0.51138501729292785</v>
      </c>
      <c r="AB5548" t="str">
        <f>HYPERLINK("Melting_Curves/meltCurve_Q9H840_GEMIN7.pdf", "Melting_Curves/meltCurve_Q9H840_GEMIN7.pdf")</f>
        <v>Melting_Curves/meltCurve_Q9H840_GEMIN7.pdf</v>
      </c>
    </row>
    <row r="5549" spans="1:28" x14ac:dyDescent="0.25">
      <c r="A5549" t="s">
        <v>5553</v>
      </c>
      <c r="B5549">
        <v>0.99673306730245903</v>
      </c>
      <c r="C5549">
        <v>0.97896633781921205</v>
      </c>
      <c r="D5549">
        <v>0.93933570675462996</v>
      </c>
      <c r="E5549">
        <v>0.88938416944422904</v>
      </c>
      <c r="F5549">
        <v>0.41287133843729301</v>
      </c>
      <c r="G5549">
        <v>0.27030716023924101</v>
      </c>
      <c r="H5549">
        <v>0.16371502457411699</v>
      </c>
      <c r="I5549">
        <v>0.102587177795852</v>
      </c>
      <c r="J5549">
        <v>0.10134387115634499</v>
      </c>
      <c r="K5549">
        <v>9.0481671194534999E-2</v>
      </c>
      <c r="L5549">
        <v>1391.1457989660601</v>
      </c>
      <c r="M5549">
        <v>26.556110153865799</v>
      </c>
      <c r="N5549">
        <v>52.895038041675001</v>
      </c>
      <c r="O5549">
        <v>52.090803136747198</v>
      </c>
      <c r="P5549">
        <v>-0.113059685978264</v>
      </c>
      <c r="Q5549">
        <v>0.112926180212755</v>
      </c>
      <c r="R5549">
        <v>0.99134685544710999</v>
      </c>
      <c r="S5549" t="s">
        <v>12001</v>
      </c>
      <c r="T5549" t="s">
        <v>12902</v>
      </c>
      <c r="U5549" t="s">
        <v>12902</v>
      </c>
      <c r="V5549" t="s">
        <v>12902</v>
      </c>
      <c r="W5549" t="s">
        <v>18402</v>
      </c>
      <c r="X5549">
        <v>18</v>
      </c>
      <c r="Y5549" t="s">
        <v>24693</v>
      </c>
      <c r="Z5549" t="s">
        <v>31124</v>
      </c>
      <c r="AA5549">
        <v>0.48638126623443623</v>
      </c>
      <c r="AB5549" t="str">
        <f>HYPERLINK("Melting_Curves/meltCurve_Q9H845_ACAD9.pdf", "Melting_Curves/meltCurve_Q9H845_ACAD9.pdf")</f>
        <v>Melting_Curves/meltCurve_Q9H845_ACAD9.pdf</v>
      </c>
    </row>
    <row r="5550" spans="1:28" x14ac:dyDescent="0.25">
      <c r="A5550" t="s">
        <v>5554</v>
      </c>
      <c r="B5550">
        <v>0.99673306730245903</v>
      </c>
      <c r="C5550">
        <v>0.90389162412440105</v>
      </c>
      <c r="D5550">
        <v>0.89700359370751004</v>
      </c>
      <c r="E5550">
        <v>0.77347147087330903</v>
      </c>
      <c r="F5550">
        <v>0.676038065932697</v>
      </c>
      <c r="G5550">
        <v>0.578999395756157</v>
      </c>
      <c r="H5550">
        <v>0.54828792611624599</v>
      </c>
      <c r="I5550">
        <v>0.83763350572077899</v>
      </c>
      <c r="J5550">
        <v>1.3814442938308999</v>
      </c>
      <c r="K5550">
        <v>1.48382637887764</v>
      </c>
      <c r="L5550">
        <v>15000</v>
      </c>
      <c r="M5550">
        <v>224.86075332599401</v>
      </c>
      <c r="O5550">
        <v>66.702680171999603</v>
      </c>
      <c r="P5550">
        <v>0.40780362559827499</v>
      </c>
      <c r="Q5550">
        <v>1.48388332421969</v>
      </c>
      <c r="R5550">
        <v>0.33527130699282698</v>
      </c>
      <c r="S5550" t="s">
        <v>12002</v>
      </c>
      <c r="T5550" t="s">
        <v>12902</v>
      </c>
      <c r="U5550" t="s">
        <v>12902</v>
      </c>
      <c r="V5550" t="s">
        <v>12902</v>
      </c>
      <c r="W5550" t="s">
        <v>18403</v>
      </c>
      <c r="X5550">
        <v>5</v>
      </c>
      <c r="Y5550" t="s">
        <v>24694</v>
      </c>
      <c r="Z5550" t="s">
        <v>31125</v>
      </c>
      <c r="AA5550">
        <v>1.0530290373294839</v>
      </c>
      <c r="AB5550" t="str">
        <f>HYPERLINK("Melting_Curves/meltCurve_Q9H875_PRKRIP1.pdf", "Melting_Curves/meltCurve_Q9H875_PRKRIP1.pdf")</f>
        <v>Melting_Curves/meltCurve_Q9H875_PRKRIP1.pdf</v>
      </c>
    </row>
    <row r="5551" spans="1:28" x14ac:dyDescent="0.25">
      <c r="A5551" t="s">
        <v>5555</v>
      </c>
      <c r="B5551">
        <v>0.99673306730245903</v>
      </c>
      <c r="C5551">
        <v>0.91175545789693302</v>
      </c>
      <c r="D5551">
        <v>0.75787713287227898</v>
      </c>
      <c r="E5551">
        <v>0.60041002180256497</v>
      </c>
      <c r="F5551">
        <v>0.555495758064948</v>
      </c>
      <c r="G5551">
        <v>0.33174380096065098</v>
      </c>
      <c r="H5551">
        <v>0.238303646691122</v>
      </c>
      <c r="I5551">
        <v>0.31511838703089401</v>
      </c>
      <c r="J5551">
        <v>0.48868303273417901</v>
      </c>
      <c r="K5551">
        <v>0.62361660896455995</v>
      </c>
      <c r="L5551">
        <v>877.90800844126704</v>
      </c>
      <c r="M5551">
        <v>18.581690091722699</v>
      </c>
      <c r="N5551">
        <v>51.980748269328103</v>
      </c>
      <c r="O5551">
        <v>46.708867472705499</v>
      </c>
      <c r="P5551">
        <v>-5.8881904597870502E-2</v>
      </c>
      <c r="Q5551">
        <v>0.40797906627540298</v>
      </c>
      <c r="R5551">
        <v>0.80606461968257803</v>
      </c>
      <c r="S5551" t="s">
        <v>12003</v>
      </c>
      <c r="T5551" t="s">
        <v>12902</v>
      </c>
      <c r="U5551" t="s">
        <v>12902</v>
      </c>
      <c r="V5551" t="s">
        <v>12902</v>
      </c>
      <c r="W5551" t="s">
        <v>18404</v>
      </c>
      <c r="X5551">
        <v>5</v>
      </c>
      <c r="Y5551" t="s">
        <v>24695</v>
      </c>
      <c r="Z5551" t="s">
        <v>31126</v>
      </c>
      <c r="AA5551">
        <v>0.56105003436520684</v>
      </c>
      <c r="AB5551" t="str">
        <f>HYPERLINK("Melting_Curves/meltCurve_Q9H8G2_CAAP1.pdf", "Melting_Curves/meltCurve_Q9H8G2_CAAP1.pdf")</f>
        <v>Melting_Curves/meltCurve_Q9H8G2_CAAP1.pdf</v>
      </c>
    </row>
    <row r="5552" spans="1:28" x14ac:dyDescent="0.25">
      <c r="A5552" t="s">
        <v>5556</v>
      </c>
      <c r="B5552">
        <v>0.99673306730245903</v>
      </c>
      <c r="C5552">
        <v>1.01791383306304</v>
      </c>
      <c r="D5552">
        <v>1.34048615304401</v>
      </c>
      <c r="E5552">
        <v>1.93881952567889</v>
      </c>
      <c r="F5552">
        <v>1.3301409830389599</v>
      </c>
      <c r="G5552">
        <v>0.59592688051023701</v>
      </c>
      <c r="H5552">
        <v>0.20836737580730599</v>
      </c>
      <c r="I5552">
        <v>0.18096715398555399</v>
      </c>
      <c r="J5552">
        <v>0.19490821082377899</v>
      </c>
      <c r="K5552">
        <v>0.16468822975078301</v>
      </c>
      <c r="L5552">
        <v>14200.645905900799</v>
      </c>
      <c r="M5552">
        <v>250</v>
      </c>
      <c r="N5552">
        <v>56.9093793320027</v>
      </c>
      <c r="O5552">
        <v>56.798936057299997</v>
      </c>
      <c r="P5552">
        <v>-0.89434674586532004</v>
      </c>
      <c r="Q5552">
        <v>0.18723272224402099</v>
      </c>
      <c r="R5552">
        <v>0.683590387093713</v>
      </c>
      <c r="S5552" t="s">
        <v>12004</v>
      </c>
      <c r="T5552" t="s">
        <v>12902</v>
      </c>
      <c r="U5552" t="s">
        <v>12902</v>
      </c>
      <c r="V5552" t="s">
        <v>12902</v>
      </c>
      <c r="W5552" t="s">
        <v>18405</v>
      </c>
      <c r="X5552">
        <v>15</v>
      </c>
      <c r="Y5552" t="s">
        <v>24696</v>
      </c>
      <c r="Z5552" t="s">
        <v>31127</v>
      </c>
      <c r="AA5552">
        <v>0.64253341680488485</v>
      </c>
      <c r="AB5552" t="str">
        <f>HYPERLINK("Melting_Curves/meltCurve_Q9H8H0_NOL11.pdf", "Melting_Curves/meltCurve_Q9H8H0_NOL11.pdf")</f>
        <v>Melting_Curves/meltCurve_Q9H8H0_NOL11.pdf</v>
      </c>
    </row>
    <row r="5553" spans="1:28" x14ac:dyDescent="0.25">
      <c r="A5553" t="s">
        <v>5557</v>
      </c>
      <c r="B5553">
        <v>0.99673306730245903</v>
      </c>
      <c r="C5553">
        <v>1.0252277003041299</v>
      </c>
      <c r="D5553">
        <v>1.02025104123711</v>
      </c>
      <c r="E5553">
        <v>0.88326076760158201</v>
      </c>
      <c r="F5553">
        <v>0.80730291768255502</v>
      </c>
      <c r="G5553">
        <v>0.73610207800431304</v>
      </c>
      <c r="H5553">
        <v>0.60338226826709995</v>
      </c>
      <c r="I5553">
        <v>0.65805526837098005</v>
      </c>
      <c r="J5553">
        <v>0.65124522112369398</v>
      </c>
      <c r="K5553">
        <v>0.57777216228889405</v>
      </c>
      <c r="L5553">
        <v>923.66050409504999</v>
      </c>
      <c r="M5553">
        <v>17.3217467964643</v>
      </c>
      <c r="O5553">
        <v>52.628269275382301</v>
      </c>
      <c r="P5553">
        <v>-3.2292944165145603E-2</v>
      </c>
      <c r="Q5553">
        <v>0.60756284765686797</v>
      </c>
      <c r="R5553">
        <v>0.96394026849972603</v>
      </c>
      <c r="S5553" t="s">
        <v>12005</v>
      </c>
      <c r="T5553" t="s">
        <v>12902</v>
      </c>
      <c r="U5553" t="s">
        <v>12902</v>
      </c>
      <c r="V5553" t="s">
        <v>12902</v>
      </c>
      <c r="W5553" t="s">
        <v>18406</v>
      </c>
      <c r="X5553">
        <v>4</v>
      </c>
      <c r="Y5553" t="s">
        <v>24697</v>
      </c>
      <c r="Z5553" t="s">
        <v>31128</v>
      </c>
      <c r="AA5553">
        <v>0.78862747406781253</v>
      </c>
      <c r="AB5553" t="str">
        <f>HYPERLINK("Melting_Curves/meltCurve_Q9H8J5_MANSC1.pdf", "Melting_Curves/meltCurve_Q9H8J5_MANSC1.pdf")</f>
        <v>Melting_Curves/meltCurve_Q9H8J5_MANSC1.pdf</v>
      </c>
    </row>
    <row r="5554" spans="1:28" x14ac:dyDescent="0.25">
      <c r="A5554" t="s">
        <v>5558</v>
      </c>
      <c r="B5554">
        <v>0.99673306730245903</v>
      </c>
      <c r="C5554">
        <v>1.0031260825078601</v>
      </c>
      <c r="D5554">
        <v>0.95600475078357205</v>
      </c>
      <c r="E5554">
        <v>0.92021508274040897</v>
      </c>
      <c r="F5554">
        <v>0.58383475779653204</v>
      </c>
      <c r="G5554">
        <v>0.28131731196205001</v>
      </c>
      <c r="H5554">
        <v>0.16444412360914601</v>
      </c>
      <c r="I5554">
        <v>0.140454214018954</v>
      </c>
      <c r="J5554">
        <v>7.3470907052212597E-2</v>
      </c>
      <c r="K5554">
        <v>5.3622589393001997E-2</v>
      </c>
      <c r="L5554">
        <v>1257.4479416234501</v>
      </c>
      <c r="M5554">
        <v>23.3811272786165</v>
      </c>
      <c r="N5554">
        <v>54.197732758333899</v>
      </c>
      <c r="O5554">
        <v>53.391691121794103</v>
      </c>
      <c r="P5554">
        <v>-0.100463288423341</v>
      </c>
      <c r="Q5554">
        <v>8.2369171042638606E-2</v>
      </c>
      <c r="R5554">
        <v>0.99652840486921801</v>
      </c>
      <c r="S5554" t="s">
        <v>12006</v>
      </c>
      <c r="T5554" t="s">
        <v>12902</v>
      </c>
      <c r="U5554" t="s">
        <v>12902</v>
      </c>
      <c r="V5554" t="s">
        <v>12902</v>
      </c>
      <c r="W5554" t="s">
        <v>18407</v>
      </c>
      <c r="X5554">
        <v>2</v>
      </c>
      <c r="Y5554" t="s">
        <v>24698</v>
      </c>
      <c r="Z5554" t="s">
        <v>31129</v>
      </c>
      <c r="AA5554">
        <v>0.51345985634247693</v>
      </c>
      <c r="AB5554" t="str">
        <f>HYPERLINK("Melting_Curves/meltCurve_Q9H8M7_FAM188A.pdf", "Melting_Curves/meltCurve_Q9H8M7_FAM188A.pdf")</f>
        <v>Melting_Curves/meltCurve_Q9H8M7_FAM188A.pdf</v>
      </c>
    </row>
    <row r="5555" spans="1:28" x14ac:dyDescent="0.25">
      <c r="A5555" t="s">
        <v>5559</v>
      </c>
      <c r="B5555">
        <v>0.99673306730245903</v>
      </c>
      <c r="C5555">
        <v>1.0621975772423899</v>
      </c>
      <c r="D5555">
        <v>1.03901922584271</v>
      </c>
      <c r="E5555">
        <v>1.0595261938146301</v>
      </c>
      <c r="F5555">
        <v>0.78335897462357995</v>
      </c>
      <c r="G5555">
        <v>0.40970247477654198</v>
      </c>
      <c r="H5555">
        <v>0.18654201768704401</v>
      </c>
      <c r="I5555">
        <v>0.13240636117773999</v>
      </c>
      <c r="J5555">
        <v>0.12976038215751901</v>
      </c>
      <c r="K5555">
        <v>9.94403433512904E-2</v>
      </c>
      <c r="L5555">
        <v>1691.85025132543</v>
      </c>
      <c r="M5555">
        <v>30.519799800533502</v>
      </c>
      <c r="N5555">
        <v>55.9273925086258</v>
      </c>
      <c r="O5555">
        <v>55.198148546255602</v>
      </c>
      <c r="P5555">
        <v>-0.121929980293252</v>
      </c>
      <c r="Q5555">
        <v>0.117914500348405</v>
      </c>
      <c r="R5555">
        <v>0.99193420073815697</v>
      </c>
      <c r="S5555" t="s">
        <v>12007</v>
      </c>
      <c r="T5555" t="s">
        <v>12902</v>
      </c>
      <c r="U5555" t="s">
        <v>12902</v>
      </c>
      <c r="V5555" t="s">
        <v>12902</v>
      </c>
      <c r="W5555" t="s">
        <v>18408</v>
      </c>
      <c r="X5555">
        <v>5</v>
      </c>
      <c r="Y5555" t="s">
        <v>24699</v>
      </c>
      <c r="Z5555" t="s">
        <v>31130</v>
      </c>
      <c r="AA5555">
        <v>0.5774159988468095</v>
      </c>
      <c r="AB5555" t="str">
        <f>HYPERLINK("Melting_Curves/meltCurve_Q9H8S9_MOB1A.pdf", "Melting_Curves/meltCurve_Q9H8S9_MOB1A.pdf")</f>
        <v>Melting_Curves/meltCurve_Q9H8S9_MOB1A.pdf</v>
      </c>
    </row>
    <row r="5556" spans="1:28" x14ac:dyDescent="0.25">
      <c r="A5556" t="s">
        <v>5560</v>
      </c>
      <c r="B5556">
        <v>0.99673306730245903</v>
      </c>
      <c r="C5556">
        <v>1.0162619514042901</v>
      </c>
      <c r="D5556">
        <v>1.04591676494091</v>
      </c>
      <c r="E5556">
        <v>0.93483026406768899</v>
      </c>
      <c r="F5556">
        <v>0.88757913198133997</v>
      </c>
      <c r="G5556">
        <v>0.76473556498718998</v>
      </c>
      <c r="H5556">
        <v>0.56938002282557199</v>
      </c>
      <c r="I5556">
        <v>0.61542395088169799</v>
      </c>
      <c r="J5556">
        <v>0.71172297540872898</v>
      </c>
      <c r="K5556">
        <v>0.56069660139464095</v>
      </c>
      <c r="L5556">
        <v>1402.6986037269701</v>
      </c>
      <c r="M5556">
        <v>25.451572976692901</v>
      </c>
      <c r="O5556">
        <v>54.775599331006603</v>
      </c>
      <c r="P5556">
        <v>-4.5544849472964798E-2</v>
      </c>
      <c r="Q5556">
        <v>0.60792754468753296</v>
      </c>
      <c r="R5556">
        <v>0.92909514283129901</v>
      </c>
      <c r="S5556" t="s">
        <v>12008</v>
      </c>
      <c r="T5556" t="s">
        <v>12902</v>
      </c>
      <c r="U5556" t="s">
        <v>12902</v>
      </c>
      <c r="V5556" t="s">
        <v>12902</v>
      </c>
      <c r="W5556" t="s">
        <v>18409</v>
      </c>
      <c r="X5556">
        <v>7</v>
      </c>
      <c r="Y5556" t="s">
        <v>24700</v>
      </c>
      <c r="Z5556" t="s">
        <v>31131</v>
      </c>
      <c r="AA5556">
        <v>0.80894729909897023</v>
      </c>
      <c r="AB5556" t="str">
        <f>HYPERLINK("Melting_Curves/meltCurve_Q9H8U3_ZFAND3.pdf", "Melting_Curves/meltCurve_Q9H8U3_ZFAND3.pdf")</f>
        <v>Melting_Curves/meltCurve_Q9H8U3_ZFAND3.pdf</v>
      </c>
    </row>
    <row r="5557" spans="1:28" x14ac:dyDescent="0.25">
      <c r="A5557" t="s">
        <v>5561</v>
      </c>
      <c r="B5557">
        <v>0.99673306730245903</v>
      </c>
      <c r="C5557">
        <v>1.0012363602190499</v>
      </c>
      <c r="D5557">
        <v>0.98901013129702697</v>
      </c>
      <c r="E5557">
        <v>0.67406339473480203</v>
      </c>
      <c r="F5557">
        <v>0.450938415452865</v>
      </c>
      <c r="G5557">
        <v>0.30479453942120099</v>
      </c>
      <c r="H5557">
        <v>0.218570854946704</v>
      </c>
      <c r="I5557">
        <v>0.27147578259702898</v>
      </c>
      <c r="J5557">
        <v>0.402850047780835</v>
      </c>
      <c r="K5557">
        <v>0.40643941556762903</v>
      </c>
      <c r="L5557">
        <v>1571.57485227543</v>
      </c>
      <c r="M5557">
        <v>31.478805952062999</v>
      </c>
      <c r="N5557">
        <v>51.630704753813603</v>
      </c>
      <c r="O5557">
        <v>49.724661304797301</v>
      </c>
      <c r="P5557">
        <v>-0.107102026036192</v>
      </c>
      <c r="Q5557">
        <v>0.32328000279554198</v>
      </c>
      <c r="R5557">
        <v>0.96479819038857995</v>
      </c>
      <c r="S5557" t="s">
        <v>12009</v>
      </c>
      <c r="T5557" t="s">
        <v>12902</v>
      </c>
      <c r="U5557" t="s">
        <v>12902</v>
      </c>
      <c r="V5557" t="s">
        <v>12902</v>
      </c>
      <c r="W5557" t="s">
        <v>18410</v>
      </c>
      <c r="X5557">
        <v>6</v>
      </c>
      <c r="Y5557" t="s">
        <v>24701</v>
      </c>
      <c r="Z5557" t="s">
        <v>31132</v>
      </c>
      <c r="AA5557">
        <v>0.55095064165569663</v>
      </c>
      <c r="AB5557" t="str">
        <f>HYPERLINK("Melting_Curves/meltCurve_Q9H8V3_ECT2.pdf", "Melting_Curves/meltCurve_Q9H8V3_ECT2.pdf")</f>
        <v>Melting_Curves/meltCurve_Q9H8V3_ECT2.pdf</v>
      </c>
    </row>
    <row r="5558" spans="1:28" x14ac:dyDescent="0.25">
      <c r="A5558" t="s">
        <v>5562</v>
      </c>
      <c r="B5558">
        <v>0.99673306730245903</v>
      </c>
      <c r="C5558">
        <v>0.91682555659973697</v>
      </c>
      <c r="D5558">
        <v>0.70596420740163202</v>
      </c>
      <c r="E5558">
        <v>0.27936113758685399</v>
      </c>
      <c r="F5558">
        <v>0.165953485815753</v>
      </c>
      <c r="G5558">
        <v>0.110017828059659</v>
      </c>
      <c r="H5558">
        <v>7.3520272901462597E-2</v>
      </c>
      <c r="I5558">
        <v>5.3226887929659697E-2</v>
      </c>
      <c r="J5558">
        <v>5.9350017285169802E-2</v>
      </c>
      <c r="K5558">
        <v>4.9323489475222602E-2</v>
      </c>
      <c r="L5558">
        <v>1109.1593238559799</v>
      </c>
      <c r="M5558">
        <v>23.411062839907899</v>
      </c>
      <c r="N5558">
        <v>47.6666513999415</v>
      </c>
      <c r="O5558">
        <v>47.035947653500003</v>
      </c>
      <c r="P5558">
        <v>-0.116198738191681</v>
      </c>
      <c r="Q5558">
        <v>6.6181243496833603E-2</v>
      </c>
      <c r="R5558">
        <v>0.99727688988056296</v>
      </c>
      <c r="S5558" t="s">
        <v>12010</v>
      </c>
      <c r="T5558" t="s">
        <v>12902</v>
      </c>
      <c r="U5558" t="s">
        <v>12902</v>
      </c>
      <c r="V5558" t="s">
        <v>12902</v>
      </c>
      <c r="W5558" t="s">
        <v>18411</v>
      </c>
      <c r="X5558">
        <v>11</v>
      </c>
      <c r="Y5558" t="s">
        <v>24702</v>
      </c>
      <c r="Z5558" t="s">
        <v>31133</v>
      </c>
      <c r="AA5558">
        <v>0.30538778248598741</v>
      </c>
      <c r="AB5558" t="str">
        <f>HYPERLINK("Melting_Curves/meltCurve_Q9H8Y5_ANKZF1.pdf", "Melting_Curves/meltCurve_Q9H8Y5_ANKZF1.pdf")</f>
        <v>Melting_Curves/meltCurve_Q9H8Y5_ANKZF1.pdf</v>
      </c>
    </row>
    <row r="5559" spans="1:28" x14ac:dyDescent="0.25">
      <c r="A5559" t="s">
        <v>5563</v>
      </c>
      <c r="B5559">
        <v>0.99673306730245903</v>
      </c>
      <c r="C5559">
        <v>0.91607764735383002</v>
      </c>
      <c r="D5559">
        <v>0.80723827619980704</v>
      </c>
      <c r="E5559">
        <v>0.53639361878333602</v>
      </c>
      <c r="F5559">
        <v>0.28397315903132297</v>
      </c>
      <c r="G5559">
        <v>0.153848911127549</v>
      </c>
      <c r="H5559">
        <v>9.8100721860699194E-2</v>
      </c>
      <c r="I5559">
        <v>9.2480559835216899E-2</v>
      </c>
      <c r="J5559">
        <v>9.3519213962814304E-2</v>
      </c>
      <c r="K5559">
        <v>8.6028471837937701E-2</v>
      </c>
      <c r="L5559">
        <v>862.47008857583103</v>
      </c>
      <c r="M5559">
        <v>17.429954083759998</v>
      </c>
      <c r="N5559">
        <v>49.943306767701998</v>
      </c>
      <c r="O5559">
        <v>48.844506482483098</v>
      </c>
      <c r="P5559">
        <v>-8.2583919975700096E-2</v>
      </c>
      <c r="Q5559">
        <v>7.4341821328614305E-2</v>
      </c>
      <c r="R5559">
        <v>0.99909591944804699</v>
      </c>
      <c r="S5559" t="s">
        <v>12011</v>
      </c>
      <c r="T5559" t="s">
        <v>12902</v>
      </c>
      <c r="U5559" t="s">
        <v>12902</v>
      </c>
      <c r="V5559" t="s">
        <v>12902</v>
      </c>
      <c r="W5559" t="s">
        <v>18412</v>
      </c>
      <c r="X5559">
        <v>8</v>
      </c>
      <c r="Y5559" t="s">
        <v>24703</v>
      </c>
      <c r="Z5559" t="s">
        <v>31134</v>
      </c>
      <c r="AA5559">
        <v>0.38383959745156199</v>
      </c>
      <c r="AB5559" t="str">
        <f>HYPERLINK("Melting_Curves/meltCurve_Q9H8Y8_GORASP2.pdf", "Melting_Curves/meltCurve_Q9H8Y8_GORASP2.pdf")</f>
        <v>Melting_Curves/meltCurve_Q9H8Y8_GORASP2.pdf</v>
      </c>
    </row>
    <row r="5560" spans="1:28" x14ac:dyDescent="0.25">
      <c r="A5560" t="s">
        <v>5564</v>
      </c>
      <c r="B5560">
        <v>0.99673306730245903</v>
      </c>
      <c r="C5560">
        <v>0.95336138233869905</v>
      </c>
      <c r="D5560">
        <v>0.93971628356942805</v>
      </c>
      <c r="E5560">
        <v>0.62416331187716301</v>
      </c>
      <c r="F5560">
        <v>0.43592365422954499</v>
      </c>
      <c r="G5560">
        <v>0.219779644264576</v>
      </c>
      <c r="H5560">
        <v>0.120120775728578</v>
      </c>
      <c r="I5560">
        <v>0.103464060700595</v>
      </c>
      <c r="J5560">
        <v>8.3409363659806002E-2</v>
      </c>
      <c r="K5560">
        <v>7.3535726013785094E-2</v>
      </c>
      <c r="L5560">
        <v>869.07516891461103</v>
      </c>
      <c r="M5560">
        <v>16.897706483921102</v>
      </c>
      <c r="N5560">
        <v>51.861580698913897</v>
      </c>
      <c r="O5560">
        <v>50.727446006356601</v>
      </c>
      <c r="P5560">
        <v>-7.78380257288558E-2</v>
      </c>
      <c r="Q5560">
        <v>6.53706713223597E-2</v>
      </c>
      <c r="R5560">
        <v>0.99529448164936296</v>
      </c>
      <c r="S5560" t="s">
        <v>12012</v>
      </c>
      <c r="T5560" t="s">
        <v>12902</v>
      </c>
      <c r="U5560" t="s">
        <v>12902</v>
      </c>
      <c r="V5560" t="s">
        <v>12902</v>
      </c>
      <c r="W5560" t="s">
        <v>18413</v>
      </c>
      <c r="X5560">
        <v>4</v>
      </c>
      <c r="Y5560" t="s">
        <v>24704</v>
      </c>
      <c r="Z5560" t="s">
        <v>31135</v>
      </c>
      <c r="AA5560">
        <v>0.43899701477777647</v>
      </c>
      <c r="AB5560" t="str">
        <f>HYPERLINK("Melting_Curves/meltCurve_Q9H900_ZWILCH.pdf", "Melting_Curves/meltCurve_Q9H900_ZWILCH.pdf")</f>
        <v>Melting_Curves/meltCurve_Q9H900_ZWILCH.pdf</v>
      </c>
    </row>
    <row r="5561" spans="1:28" x14ac:dyDescent="0.25">
      <c r="A5561" t="s">
        <v>5565</v>
      </c>
      <c r="B5561">
        <v>0.99673306730245903</v>
      </c>
      <c r="C5561">
        <v>1.0040797578179499</v>
      </c>
      <c r="D5561">
        <v>1.2881730431171601</v>
      </c>
      <c r="E5561">
        <v>1.07767333534459</v>
      </c>
      <c r="F5561">
        <v>0.59906237682972596</v>
      </c>
      <c r="G5561">
        <v>0.190051391052285</v>
      </c>
      <c r="H5561">
        <v>0.120085860920986</v>
      </c>
      <c r="I5561">
        <v>5.4418937680549402E-2</v>
      </c>
      <c r="J5561">
        <v>5.1197519373874803E-2</v>
      </c>
      <c r="K5561">
        <v>3.7880363478382903E-2</v>
      </c>
      <c r="L5561">
        <v>2342.3689789417399</v>
      </c>
      <c r="M5561">
        <v>43.640206434606398</v>
      </c>
      <c r="N5561">
        <v>53.865801447327598</v>
      </c>
      <c r="O5561">
        <v>53.562200346244801</v>
      </c>
      <c r="P5561">
        <v>-0.18907355829234501</v>
      </c>
      <c r="Q5561">
        <v>7.1756456634121696E-2</v>
      </c>
      <c r="R5561">
        <v>0.95651245566038601</v>
      </c>
      <c r="S5561" t="s">
        <v>12013</v>
      </c>
      <c r="T5561" t="s">
        <v>12902</v>
      </c>
      <c r="U5561" t="s">
        <v>12902</v>
      </c>
      <c r="V5561" t="s">
        <v>12902</v>
      </c>
      <c r="W5561" t="s">
        <v>18414</v>
      </c>
      <c r="X5561">
        <v>4</v>
      </c>
      <c r="Y5561" t="s">
        <v>24705</v>
      </c>
      <c r="Z5561" t="s">
        <v>31136</v>
      </c>
      <c r="AA5561">
        <v>0.49775470460197768</v>
      </c>
      <c r="AB5561" t="str">
        <f>HYPERLINK("Melting_Curves/meltCurve_Q9H903_1_MTHFD2L.pdf", "Melting_Curves/meltCurve_Q9H903_1_MTHFD2L.pdf")</f>
        <v>Melting_Curves/meltCurve_Q9H903_1_MTHFD2L.pdf</v>
      </c>
    </row>
    <row r="5562" spans="1:28" x14ac:dyDescent="0.25">
      <c r="A5562" t="s">
        <v>5566</v>
      </c>
      <c r="B5562">
        <v>0.99673306730245903</v>
      </c>
      <c r="C5562">
        <v>1.0399304352068099</v>
      </c>
      <c r="D5562">
        <v>1.03955807473545</v>
      </c>
      <c r="E5562">
        <v>1.02334849581208</v>
      </c>
      <c r="F5562">
        <v>0.99605096492298695</v>
      </c>
      <c r="G5562">
        <v>0.89316330890713902</v>
      </c>
      <c r="H5562">
        <v>0.78733959942841603</v>
      </c>
      <c r="I5562">
        <v>1.27788372388734</v>
      </c>
      <c r="J5562">
        <v>2.1054148193449298</v>
      </c>
      <c r="K5562">
        <v>2.09213108708974</v>
      </c>
      <c r="L5562">
        <v>15000</v>
      </c>
      <c r="M5562">
        <v>234.599278278366</v>
      </c>
      <c r="O5562">
        <v>63.934169603978297</v>
      </c>
      <c r="P5562">
        <v>0.45867351059836903</v>
      </c>
      <c r="Q5562">
        <v>1.5</v>
      </c>
      <c r="R5562">
        <v>0.61985314825714299</v>
      </c>
      <c r="S5562" t="s">
        <v>12014</v>
      </c>
      <c r="T5562" t="s">
        <v>12902</v>
      </c>
      <c r="U5562" t="s">
        <v>12902</v>
      </c>
      <c r="V5562" t="s">
        <v>12902</v>
      </c>
      <c r="W5562" t="s">
        <v>18415</v>
      </c>
      <c r="X5562">
        <v>20</v>
      </c>
      <c r="Y5562" t="s">
        <v>24706</v>
      </c>
      <c r="Z5562" t="s">
        <v>31137</v>
      </c>
      <c r="AA5562">
        <v>1.1009560237007039</v>
      </c>
      <c r="AB5562" t="str">
        <f>HYPERLINK("Melting_Curves/meltCurve_Q9H910_HN1L.pdf", "Melting_Curves/meltCurve_Q9H910_HN1L.pdf")</f>
        <v>Melting_Curves/meltCurve_Q9H910_HN1L.pdf</v>
      </c>
    </row>
    <row r="5563" spans="1:28" x14ac:dyDescent="0.25">
      <c r="A5563" t="s">
        <v>5567</v>
      </c>
      <c r="B5563">
        <v>0.99673306730245903</v>
      </c>
      <c r="C5563">
        <v>1.0312083118645501</v>
      </c>
      <c r="D5563">
        <v>1.0549424893480499</v>
      </c>
      <c r="E5563">
        <v>0.95491239205914402</v>
      </c>
      <c r="F5563">
        <v>0.96231837612114601</v>
      </c>
      <c r="G5563">
        <v>0.82268967857832398</v>
      </c>
      <c r="H5563">
        <v>0.73603826898894098</v>
      </c>
      <c r="I5563">
        <v>1.1489603943875</v>
      </c>
      <c r="J5563">
        <v>1.91023123838525</v>
      </c>
      <c r="K5563">
        <v>1.8101004180693001</v>
      </c>
      <c r="L5563">
        <v>15000</v>
      </c>
      <c r="M5563">
        <v>233.51863434055099</v>
      </c>
      <c r="O5563">
        <v>64.229984014905099</v>
      </c>
      <c r="P5563">
        <v>0.45445793730857198</v>
      </c>
      <c r="Q5563">
        <v>1.5</v>
      </c>
      <c r="R5563">
        <v>0.73572829344713597</v>
      </c>
      <c r="S5563" t="s">
        <v>12015</v>
      </c>
      <c r="T5563" t="s">
        <v>12902</v>
      </c>
      <c r="U5563" t="s">
        <v>12902</v>
      </c>
      <c r="V5563" t="s">
        <v>12902</v>
      </c>
      <c r="W5563" t="s">
        <v>18416</v>
      </c>
      <c r="X5563">
        <v>20</v>
      </c>
      <c r="Y5563" t="s">
        <v>24706</v>
      </c>
      <c r="Z5563" t="s">
        <v>31138</v>
      </c>
      <c r="AA5563">
        <v>1.096023687374966</v>
      </c>
      <c r="AB5563" t="str">
        <f>HYPERLINK("Melting_Curves/meltCurve_Q9H910_2_HN1L.pdf", "Melting_Curves/meltCurve_Q9H910_2_HN1L.pdf")</f>
        <v>Melting_Curves/meltCurve_Q9H910_2_HN1L.pdf</v>
      </c>
    </row>
    <row r="5564" spans="1:28" x14ac:dyDescent="0.25">
      <c r="A5564" t="s">
        <v>5568</v>
      </c>
      <c r="B5564">
        <v>0.99673306730245903</v>
      </c>
      <c r="C5564">
        <v>0.98715494208910404</v>
      </c>
      <c r="D5564">
        <v>0.90432124090125299</v>
      </c>
      <c r="E5564">
        <v>0.85994443977831603</v>
      </c>
      <c r="F5564">
        <v>0.71108956551097902</v>
      </c>
      <c r="G5564">
        <v>0.65066511697864704</v>
      </c>
      <c r="H5564">
        <v>0.58645711128321498</v>
      </c>
      <c r="I5564">
        <v>0.51178253608160895</v>
      </c>
      <c r="J5564">
        <v>0.26410065746212802</v>
      </c>
      <c r="K5564">
        <v>0.12178643507373201</v>
      </c>
      <c r="L5564">
        <v>526.41416508700502</v>
      </c>
      <c r="M5564">
        <v>8.6427761387102997</v>
      </c>
      <c r="N5564">
        <v>60.907991570084199</v>
      </c>
      <c r="O5564">
        <v>57.9105333353547</v>
      </c>
      <c r="P5564">
        <v>-3.7342473755942997E-2</v>
      </c>
      <c r="Q5564">
        <v>0</v>
      </c>
      <c r="R5564">
        <v>0.94488933489458604</v>
      </c>
      <c r="S5564" t="s">
        <v>12016</v>
      </c>
      <c r="T5564" t="s">
        <v>12902</v>
      </c>
      <c r="U5564" t="s">
        <v>12902</v>
      </c>
      <c r="V5564" t="s">
        <v>12902</v>
      </c>
      <c r="W5564" t="s">
        <v>18417</v>
      </c>
      <c r="X5564">
        <v>10</v>
      </c>
      <c r="Y5564" t="s">
        <v>24707</v>
      </c>
      <c r="Z5564" t="s">
        <v>31139</v>
      </c>
      <c r="AA5564">
        <v>0.67735067893903589</v>
      </c>
      <c r="AB5564" t="str">
        <f>HYPERLINK("Melting_Curves/meltCurve_Q9H936_SLC25A22.pdf", "Melting_Curves/meltCurve_Q9H936_SLC25A22.pdf")</f>
        <v>Melting_Curves/meltCurve_Q9H936_SLC25A22.pdf</v>
      </c>
    </row>
    <row r="5565" spans="1:28" x14ac:dyDescent="0.25">
      <c r="A5565" t="s">
        <v>5569</v>
      </c>
      <c r="B5565">
        <v>0.99673306730245903</v>
      </c>
      <c r="C5565">
        <v>1.0058865099877501</v>
      </c>
      <c r="D5565">
        <v>0.76777736329352897</v>
      </c>
      <c r="E5565">
        <v>0.53296109241733902</v>
      </c>
      <c r="F5565">
        <v>0.36526553037014298</v>
      </c>
      <c r="G5565">
        <v>0.166213965713395</v>
      </c>
      <c r="H5565">
        <v>0.108603674247418</v>
      </c>
      <c r="I5565">
        <v>8.7527180877270794E-2</v>
      </c>
      <c r="J5565">
        <v>0.10205603148248001</v>
      </c>
      <c r="K5565">
        <v>9.2398240066872001E-2</v>
      </c>
      <c r="L5565">
        <v>808.35637691319403</v>
      </c>
      <c r="M5565">
        <v>16.238251270362301</v>
      </c>
      <c r="N5565">
        <v>50.293194503840397</v>
      </c>
      <c r="O5565">
        <v>49.044382285913699</v>
      </c>
      <c r="P5565">
        <v>-7.6470647199883293E-2</v>
      </c>
      <c r="Q5565">
        <v>7.6211331970012494E-2</v>
      </c>
      <c r="R5565">
        <v>0.99207365599459996</v>
      </c>
      <c r="S5565" t="s">
        <v>12017</v>
      </c>
      <c r="T5565" t="s">
        <v>12902</v>
      </c>
      <c r="U5565" t="s">
        <v>12902</v>
      </c>
      <c r="V5565" t="s">
        <v>12902</v>
      </c>
      <c r="W5565" t="s">
        <v>18418</v>
      </c>
      <c r="X5565">
        <v>1</v>
      </c>
      <c r="Y5565" t="s">
        <v>24708</v>
      </c>
      <c r="Z5565" t="s">
        <v>31140</v>
      </c>
      <c r="AA5565">
        <v>0.39659147078279328</v>
      </c>
      <c r="AB5565" t="str">
        <f>HYPERLINK("Melting_Curves/meltCurve_Q9H939_PSTPIP2.pdf", "Melting_Curves/meltCurve_Q9H939_PSTPIP2.pdf")</f>
        <v>Melting_Curves/meltCurve_Q9H939_PSTPIP2.pdf</v>
      </c>
    </row>
    <row r="5566" spans="1:28" x14ac:dyDescent="0.25">
      <c r="A5566" t="s">
        <v>5570</v>
      </c>
      <c r="B5566">
        <v>0.99673306730245903</v>
      </c>
      <c r="C5566">
        <v>0.87476039690602703</v>
      </c>
      <c r="D5566">
        <v>0.91876694975158502</v>
      </c>
      <c r="E5566">
        <v>0.71092068257484098</v>
      </c>
      <c r="F5566">
        <v>0.511375032370181</v>
      </c>
      <c r="G5566">
        <v>0.33986076216376199</v>
      </c>
      <c r="H5566">
        <v>0.13181118836115099</v>
      </c>
      <c r="I5566">
        <v>0.10244863982012301</v>
      </c>
      <c r="J5566">
        <v>0.115806593440203</v>
      </c>
      <c r="K5566">
        <v>9.77368844632064E-2</v>
      </c>
      <c r="L5566">
        <v>706.59168460698197</v>
      </c>
      <c r="M5566">
        <v>13.3619756177463</v>
      </c>
      <c r="N5566">
        <v>53.213741999752003</v>
      </c>
      <c r="O5566">
        <v>51.738474834278897</v>
      </c>
      <c r="P5566">
        <v>-6.1985464792973802E-2</v>
      </c>
      <c r="Q5566">
        <v>4.0104704436775399E-2</v>
      </c>
      <c r="R5566">
        <v>0.98913042816513197</v>
      </c>
      <c r="S5566" t="s">
        <v>12018</v>
      </c>
      <c r="T5566" t="s">
        <v>12902</v>
      </c>
      <c r="U5566" t="s">
        <v>12902</v>
      </c>
      <c r="V5566" t="s">
        <v>12902</v>
      </c>
      <c r="W5566" t="s">
        <v>18419</v>
      </c>
      <c r="X5566">
        <v>4</v>
      </c>
      <c r="Y5566" t="s">
        <v>24709</v>
      </c>
      <c r="Z5566" t="s">
        <v>31141</v>
      </c>
      <c r="AA5566">
        <v>0.47648014520594639</v>
      </c>
      <c r="AB5566" t="str">
        <f>HYPERLINK("Melting_Curves/meltCurve_Q9H944_MED20.pdf", "Melting_Curves/meltCurve_Q9H944_MED20.pdf")</f>
        <v>Melting_Curves/meltCurve_Q9H944_MED20.pdf</v>
      </c>
    </row>
    <row r="5567" spans="1:28" x14ac:dyDescent="0.25">
      <c r="A5567" t="s">
        <v>5571</v>
      </c>
      <c r="B5567">
        <v>0.99673306730245903</v>
      </c>
      <c r="C5567">
        <v>0.99771393154002397</v>
      </c>
      <c r="D5567">
        <v>1.01211000681659</v>
      </c>
      <c r="E5567">
        <v>1.00554732490332</v>
      </c>
      <c r="F5567">
        <v>0.82795070284292505</v>
      </c>
      <c r="G5567">
        <v>0.49594157674258699</v>
      </c>
      <c r="H5567">
        <v>0.13313918665017499</v>
      </c>
      <c r="I5567">
        <v>0.103498846893242</v>
      </c>
      <c r="J5567">
        <v>8.8642283413342404E-2</v>
      </c>
      <c r="K5567">
        <v>6.7136271498891203E-2</v>
      </c>
      <c r="L5567">
        <v>1622.8099500267599</v>
      </c>
      <c r="M5567">
        <v>28.8266239311832</v>
      </c>
      <c r="N5567">
        <v>56.574971200694598</v>
      </c>
      <c r="O5567">
        <v>56.026694262227998</v>
      </c>
      <c r="P5567">
        <v>-0.120094494524941</v>
      </c>
      <c r="Q5567">
        <v>6.6356689323710902E-2</v>
      </c>
      <c r="R5567">
        <v>0.99814071210978395</v>
      </c>
      <c r="S5567" t="s">
        <v>12019</v>
      </c>
      <c r="T5567" t="s">
        <v>12902</v>
      </c>
      <c r="U5567" t="s">
        <v>12902</v>
      </c>
      <c r="V5567" t="s">
        <v>12902</v>
      </c>
      <c r="W5567" t="s">
        <v>18420</v>
      </c>
      <c r="X5567">
        <v>15</v>
      </c>
      <c r="Y5567" t="s">
        <v>24710</v>
      </c>
      <c r="Z5567" t="s">
        <v>31142</v>
      </c>
      <c r="AA5567">
        <v>0.5801881755426066</v>
      </c>
      <c r="AB5567" t="str">
        <f>HYPERLINK("Melting_Curves/meltCurve_Q9H974_QTRTD1.pdf", "Melting_Curves/meltCurve_Q9H974_QTRTD1.pdf")</f>
        <v>Melting_Curves/meltCurve_Q9H974_QTRTD1.pdf</v>
      </c>
    </row>
    <row r="5568" spans="1:28" x14ac:dyDescent="0.25">
      <c r="A5568" t="s">
        <v>5572</v>
      </c>
      <c r="B5568">
        <v>0.99673306730245903</v>
      </c>
      <c r="C5568">
        <v>0.94965793123450004</v>
      </c>
      <c r="D5568">
        <v>0.84407199516150799</v>
      </c>
      <c r="E5568">
        <v>0.76281587514075999</v>
      </c>
      <c r="F5568">
        <v>0.47401591344249899</v>
      </c>
      <c r="G5568">
        <v>0.29879446848454699</v>
      </c>
      <c r="H5568">
        <v>0.20320026890830201</v>
      </c>
      <c r="I5568">
        <v>0.17005318851465201</v>
      </c>
      <c r="J5568">
        <v>9.4994988423080101E-2</v>
      </c>
      <c r="K5568">
        <v>6.96056484345733E-2</v>
      </c>
      <c r="L5568">
        <v>693.04022711504297</v>
      </c>
      <c r="M5568">
        <v>13.1408175496769</v>
      </c>
      <c r="N5568">
        <v>53.170920613954898</v>
      </c>
      <c r="O5568">
        <v>51.562993830216897</v>
      </c>
      <c r="P5568">
        <v>-6.0500939058720199E-2</v>
      </c>
      <c r="Q5568">
        <v>5.0566882601925899E-2</v>
      </c>
      <c r="R5568">
        <v>0.99464798545392896</v>
      </c>
      <c r="S5568" t="s">
        <v>12020</v>
      </c>
      <c r="T5568" t="s">
        <v>12902</v>
      </c>
      <c r="U5568" t="s">
        <v>12902</v>
      </c>
      <c r="V5568" t="s">
        <v>12902</v>
      </c>
      <c r="W5568" t="s">
        <v>18421</v>
      </c>
      <c r="X5568">
        <v>3</v>
      </c>
      <c r="Y5568" t="s">
        <v>24711</v>
      </c>
      <c r="Z5568" t="s">
        <v>31143</v>
      </c>
      <c r="AA5568">
        <v>0.47843411327223928</v>
      </c>
      <c r="AB5568" t="str">
        <f>HYPERLINK("Melting_Curves/meltCurve_Q9H977_WDR54.pdf", "Melting_Curves/meltCurve_Q9H977_WDR54.pdf")</f>
        <v>Melting_Curves/meltCurve_Q9H977_WDR54.pdf</v>
      </c>
    </row>
    <row r="5569" spans="1:28" x14ac:dyDescent="0.25">
      <c r="A5569" t="s">
        <v>5573</v>
      </c>
      <c r="B5569">
        <v>0.99673306730245903</v>
      </c>
      <c r="C5569">
        <v>0.94199301645565103</v>
      </c>
      <c r="D5569">
        <v>0.57291453389934499</v>
      </c>
      <c r="E5569">
        <v>0.13393658903095901</v>
      </c>
      <c r="F5569">
        <v>8.8563183701906606E-2</v>
      </c>
      <c r="G5569">
        <v>4.8238104774430003E-2</v>
      </c>
      <c r="H5569">
        <v>3.2784774988456403E-2</v>
      </c>
      <c r="I5569">
        <v>3.4696806125104902E-2</v>
      </c>
      <c r="J5569">
        <v>3.3961308699527903E-2</v>
      </c>
      <c r="K5569">
        <v>4.5147910270205899E-2</v>
      </c>
      <c r="L5569">
        <v>1540.1095767964</v>
      </c>
      <c r="M5569">
        <v>33.260140470945203</v>
      </c>
      <c r="N5569">
        <v>46.433266354574997</v>
      </c>
      <c r="O5569">
        <v>46.1385319616884</v>
      </c>
      <c r="P5569">
        <v>-0.17230776107253701</v>
      </c>
      <c r="Q5569">
        <v>4.3901459833323199E-2</v>
      </c>
      <c r="R5569">
        <v>0.99898458512195898</v>
      </c>
      <c r="S5569" t="s">
        <v>12021</v>
      </c>
      <c r="T5569" t="s">
        <v>12902</v>
      </c>
      <c r="U5569" t="s">
        <v>12902</v>
      </c>
      <c r="V5569" t="s">
        <v>12902</v>
      </c>
      <c r="W5569" t="s">
        <v>18422</v>
      </c>
      <c r="X5569">
        <v>5</v>
      </c>
      <c r="Y5569" t="s">
        <v>24712</v>
      </c>
      <c r="Z5569" t="s">
        <v>31144</v>
      </c>
      <c r="AA5569">
        <v>0.2494501991560068</v>
      </c>
      <c r="AB5569" t="str">
        <f>HYPERLINK("Melting_Curves/meltCurve_Q9H993_C6orf211.pdf", "Melting_Curves/meltCurve_Q9H993_C6orf211.pdf")</f>
        <v>Melting_Curves/meltCurve_Q9H993_C6orf211.pdf</v>
      </c>
    </row>
    <row r="5570" spans="1:28" x14ac:dyDescent="0.25">
      <c r="A5570" t="s">
        <v>5574</v>
      </c>
      <c r="B5570">
        <v>0.99673306730245903</v>
      </c>
      <c r="C5570">
        <v>0.84750894693360901</v>
      </c>
      <c r="D5570">
        <v>0.85023213456839197</v>
      </c>
      <c r="E5570">
        <v>0.57741075999955604</v>
      </c>
      <c r="F5570">
        <v>0.14496273004013199</v>
      </c>
      <c r="G5570">
        <v>8.2286182909158498E-2</v>
      </c>
      <c r="H5570">
        <v>4.9647843285337799E-2</v>
      </c>
      <c r="I5570">
        <v>4.79770688081151E-2</v>
      </c>
      <c r="J5570">
        <v>5.8479482965972399E-2</v>
      </c>
      <c r="K5570">
        <v>6.3273299032460498E-2</v>
      </c>
      <c r="L5570">
        <v>1140.4051680647101</v>
      </c>
      <c r="M5570">
        <v>22.9919896325957</v>
      </c>
      <c r="N5570">
        <v>49.782163949539502</v>
      </c>
      <c r="O5570">
        <v>49.229463921201202</v>
      </c>
      <c r="P5570">
        <v>-0.112053372203786</v>
      </c>
      <c r="Q5570">
        <v>4.0322454639619698E-2</v>
      </c>
      <c r="R5570">
        <v>0.982991589524148</v>
      </c>
      <c r="S5570" t="s">
        <v>12022</v>
      </c>
      <c r="T5570" t="s">
        <v>12902</v>
      </c>
      <c r="U5570" t="s">
        <v>12902</v>
      </c>
      <c r="V5570" t="s">
        <v>12902</v>
      </c>
      <c r="W5570" t="s">
        <v>18423</v>
      </c>
      <c r="X5570">
        <v>5</v>
      </c>
      <c r="Y5570" t="s">
        <v>24713</v>
      </c>
      <c r="Z5570" t="s">
        <v>31145</v>
      </c>
      <c r="AA5570">
        <v>0.35754581877697478</v>
      </c>
      <c r="AB5570" t="str">
        <f>HYPERLINK("Melting_Curves/meltCurve_Q9H9A5_2_CNOT10.pdf", "Melting_Curves/meltCurve_Q9H9A5_2_CNOT10.pdf")</f>
        <v>Melting_Curves/meltCurve_Q9H9A5_2_CNOT10.pdf</v>
      </c>
    </row>
    <row r="5571" spans="1:28" x14ac:dyDescent="0.25">
      <c r="A5571" t="s">
        <v>5575</v>
      </c>
      <c r="B5571">
        <v>0.99673306730245903</v>
      </c>
      <c r="C5571">
        <v>1.00794323091844</v>
      </c>
      <c r="D5571">
        <v>0.57959808396270696</v>
      </c>
      <c r="E5571">
        <v>0.32483327397734402</v>
      </c>
      <c r="F5571">
        <v>0.14835585065717399</v>
      </c>
      <c r="G5571">
        <v>9.3433749061525295E-2</v>
      </c>
      <c r="H5571">
        <v>5.33272702253446E-2</v>
      </c>
      <c r="I5571">
        <v>4.57372748887067E-2</v>
      </c>
      <c r="J5571">
        <v>4.3392598603594602E-2</v>
      </c>
      <c r="K5571">
        <v>3.6903002433576498E-2</v>
      </c>
      <c r="L5571">
        <v>1041.6413999090801</v>
      </c>
      <c r="M5571">
        <v>22.086367445353499</v>
      </c>
      <c r="N5571">
        <v>47.405525630827299</v>
      </c>
      <c r="O5571">
        <v>46.780662983642003</v>
      </c>
      <c r="P5571">
        <v>-0.11170855879411801</v>
      </c>
      <c r="Q5571">
        <v>5.35907547129372E-2</v>
      </c>
      <c r="R5571">
        <v>0.98619476343095602</v>
      </c>
      <c r="S5571" t="s">
        <v>12023</v>
      </c>
      <c r="T5571" t="s">
        <v>12902</v>
      </c>
      <c r="U5571" t="s">
        <v>12902</v>
      </c>
      <c r="V5571" t="s">
        <v>12902</v>
      </c>
      <c r="W5571" t="s">
        <v>18424</v>
      </c>
      <c r="X5571">
        <v>21</v>
      </c>
      <c r="Y5571" t="s">
        <v>24714</v>
      </c>
      <c r="Z5571" t="s">
        <v>31146</v>
      </c>
      <c r="AA5571">
        <v>0.29060221115538792</v>
      </c>
      <c r="AB5571" t="str">
        <f>HYPERLINK("Melting_Curves/meltCurve_Q9H9A6_LRRC40.pdf", "Melting_Curves/meltCurve_Q9H9A6_LRRC40.pdf")</f>
        <v>Melting_Curves/meltCurve_Q9H9A6_LRRC40.pdf</v>
      </c>
    </row>
    <row r="5572" spans="1:28" x14ac:dyDescent="0.25">
      <c r="A5572" t="s">
        <v>5576</v>
      </c>
      <c r="B5572">
        <v>0.99673306730245903</v>
      </c>
      <c r="C5572">
        <v>0.80664629220316897</v>
      </c>
      <c r="D5572">
        <v>0.44247756877087702</v>
      </c>
      <c r="E5572">
        <v>0.29689312877888102</v>
      </c>
      <c r="F5572">
        <v>0.23227226221412201</v>
      </c>
      <c r="G5572">
        <v>0.15756792481027501</v>
      </c>
      <c r="H5572">
        <v>0.12254691985095199</v>
      </c>
      <c r="I5572">
        <v>0.11339089584986201</v>
      </c>
      <c r="J5572">
        <v>7.1520735964296395E-2</v>
      </c>
      <c r="K5572">
        <v>5.7493597558294703E-2</v>
      </c>
      <c r="L5572">
        <v>841.86073294897403</v>
      </c>
      <c r="M5572">
        <v>18.4905778062713</v>
      </c>
      <c r="N5572">
        <v>46.1371555343936</v>
      </c>
      <c r="O5572">
        <v>45.006678927101497</v>
      </c>
      <c r="P5572">
        <v>-9.1608620112784797E-2</v>
      </c>
      <c r="Q5572">
        <v>0.108126013866961</v>
      </c>
      <c r="R5572">
        <v>0.97980033483729001</v>
      </c>
      <c r="S5572" t="s">
        <v>12024</v>
      </c>
      <c r="T5572" t="s">
        <v>12902</v>
      </c>
      <c r="U5572" t="s">
        <v>12902</v>
      </c>
      <c r="V5572" t="s">
        <v>12902</v>
      </c>
      <c r="W5572" t="s">
        <v>18425</v>
      </c>
      <c r="X5572">
        <v>1</v>
      </c>
      <c r="Y5572" t="s">
        <v>24715</v>
      </c>
      <c r="Z5572" t="s">
        <v>31147</v>
      </c>
      <c r="AA5572">
        <v>0.28964552464486248</v>
      </c>
      <c r="AB5572" t="str">
        <f>HYPERLINK("Melting_Curves/meltCurve_Q9H9A7_RMI1.pdf", "Melting_Curves/meltCurve_Q9H9A7_RMI1.pdf")</f>
        <v>Melting_Curves/meltCurve_Q9H9A7_RMI1.pdf</v>
      </c>
    </row>
    <row r="5573" spans="1:28" x14ac:dyDescent="0.25">
      <c r="A5573" t="s">
        <v>5577</v>
      </c>
      <c r="B5573">
        <v>0.99673306730245903</v>
      </c>
      <c r="C5573">
        <v>0.96182531972720098</v>
      </c>
      <c r="D5573">
        <v>0.80235027037947704</v>
      </c>
      <c r="E5573">
        <v>0.655514220579545</v>
      </c>
      <c r="F5573">
        <v>0.63183588496474896</v>
      </c>
      <c r="G5573">
        <v>0.43368293356391602</v>
      </c>
      <c r="H5573">
        <v>0.34038712773607599</v>
      </c>
      <c r="I5573">
        <v>0.47659126306324401</v>
      </c>
      <c r="J5573">
        <v>0.70581542877974701</v>
      </c>
      <c r="K5573">
        <v>0.70723722707916203</v>
      </c>
      <c r="L5573">
        <v>1097.5077996881</v>
      </c>
      <c r="M5573">
        <v>23.437878081818301</v>
      </c>
      <c r="O5573">
        <v>46.489357723782199</v>
      </c>
      <c r="P5573">
        <v>-5.74756912400552E-2</v>
      </c>
      <c r="Q5573">
        <v>0.543992583351665</v>
      </c>
      <c r="R5573">
        <v>0.71635110875364605</v>
      </c>
      <c r="S5573" t="s">
        <v>12025</v>
      </c>
      <c r="T5573" t="s">
        <v>12902</v>
      </c>
      <c r="U5573" t="s">
        <v>12902</v>
      </c>
      <c r="V5573" t="s">
        <v>12902</v>
      </c>
      <c r="W5573" t="s">
        <v>18426</v>
      </c>
      <c r="X5573">
        <v>1</v>
      </c>
      <c r="Y5573" t="s">
        <v>24716</v>
      </c>
      <c r="Z5573" t="s">
        <v>31148</v>
      </c>
      <c r="AA5573">
        <v>0.65247193573240991</v>
      </c>
      <c r="AB5573" t="str">
        <f>HYPERLINK("Melting_Curves/meltCurve_Q9H9B1_EHMT1.pdf", "Melting_Curves/meltCurve_Q9H9B1_EHMT1.pdf")</f>
        <v>Melting_Curves/meltCurve_Q9H9B1_EHMT1.pdf</v>
      </c>
    </row>
    <row r="5574" spans="1:28" x14ac:dyDescent="0.25">
      <c r="A5574" t="s">
        <v>5578</v>
      </c>
      <c r="B5574">
        <v>0.99673306730245903</v>
      </c>
      <c r="C5574">
        <v>1.14664760921612</v>
      </c>
      <c r="D5574">
        <v>0.68178663213414403</v>
      </c>
      <c r="E5574">
        <v>0.67686580217248404</v>
      </c>
      <c r="F5574">
        <v>0.59911817591473304</v>
      </c>
      <c r="G5574">
        <v>0.317087393600338</v>
      </c>
      <c r="H5574">
        <v>9.7392706010639707E-2</v>
      </c>
      <c r="I5574">
        <v>8.6566000438382099E-2</v>
      </c>
      <c r="J5574">
        <v>9.7638042963961405E-2</v>
      </c>
      <c r="K5574">
        <v>8.21035973977991E-2</v>
      </c>
      <c r="L5574">
        <v>641.16859126668203</v>
      </c>
      <c r="M5574">
        <v>12.0763023785348</v>
      </c>
      <c r="N5574">
        <v>53.0931195412957</v>
      </c>
      <c r="O5574">
        <v>51.700140307504498</v>
      </c>
      <c r="P5574">
        <v>-5.8409623760078702E-2</v>
      </c>
      <c r="Q5574">
        <v>0</v>
      </c>
      <c r="R5574">
        <v>0.93427115212844802</v>
      </c>
      <c r="S5574" t="s">
        <v>12026</v>
      </c>
      <c r="T5574" t="s">
        <v>12902</v>
      </c>
      <c r="U5574" t="s">
        <v>12902</v>
      </c>
      <c r="V5574" t="s">
        <v>12902</v>
      </c>
      <c r="W5574" t="s">
        <v>18427</v>
      </c>
      <c r="X5574">
        <v>17</v>
      </c>
      <c r="Y5574" t="s">
        <v>24717</v>
      </c>
      <c r="Z5574" t="s">
        <v>31149</v>
      </c>
      <c r="AA5574">
        <v>0.46450289170784448</v>
      </c>
      <c r="AB5574" t="str">
        <f>HYPERLINK("Melting_Curves/meltCurve_Q9H9B4_SFXN1.pdf", "Melting_Curves/meltCurve_Q9H9B4_SFXN1.pdf")</f>
        <v>Melting_Curves/meltCurve_Q9H9B4_SFXN1.pdf</v>
      </c>
    </row>
    <row r="5575" spans="1:28" x14ac:dyDescent="0.25">
      <c r="A5575" t="s">
        <v>5579</v>
      </c>
      <c r="B5575">
        <v>0.99673306730245903</v>
      </c>
      <c r="C5575">
        <v>0.88014902285861996</v>
      </c>
      <c r="D5575">
        <v>0.50112154481094595</v>
      </c>
      <c r="E5575">
        <v>0.32218494536549502</v>
      </c>
      <c r="F5575">
        <v>0.13912808663555601</v>
      </c>
      <c r="G5575">
        <v>9.8090612991838896E-2</v>
      </c>
      <c r="H5575">
        <v>5.1897600905268099E-2</v>
      </c>
      <c r="I5575">
        <v>4.92359918623618E-2</v>
      </c>
      <c r="J5575">
        <v>5.9933386801194997E-2</v>
      </c>
      <c r="K5575">
        <v>6.0895209494207299E-2</v>
      </c>
      <c r="L5575">
        <v>888.35669756369305</v>
      </c>
      <c r="M5575">
        <v>19.141078568266199</v>
      </c>
      <c r="N5575">
        <v>46.717255815796896</v>
      </c>
      <c r="O5575">
        <v>45.913345317488599</v>
      </c>
      <c r="P5575">
        <v>-9.8082471400153304E-2</v>
      </c>
      <c r="Q5575">
        <v>5.8962235788550497E-2</v>
      </c>
      <c r="R5575">
        <v>0.99038395955790004</v>
      </c>
      <c r="S5575" t="s">
        <v>12027</v>
      </c>
      <c r="T5575" t="s">
        <v>12902</v>
      </c>
      <c r="U5575" t="s">
        <v>12902</v>
      </c>
      <c r="V5575" t="s">
        <v>12902</v>
      </c>
      <c r="W5575" t="s">
        <v>18428</v>
      </c>
      <c r="X5575">
        <v>4</v>
      </c>
      <c r="Y5575" t="s">
        <v>24718</v>
      </c>
      <c r="Z5575" t="s">
        <v>31150</v>
      </c>
      <c r="AA5575">
        <v>0.27570837360082617</v>
      </c>
      <c r="AB5575" t="str">
        <f>HYPERLINK("Melting_Curves/meltCurve_Q9H9F9_ACTR5.pdf", "Melting_Curves/meltCurve_Q9H9F9_ACTR5.pdf")</f>
        <v>Melting_Curves/meltCurve_Q9H9F9_ACTR5.pdf</v>
      </c>
    </row>
    <row r="5576" spans="1:28" x14ac:dyDescent="0.25">
      <c r="A5576" t="s">
        <v>5580</v>
      </c>
      <c r="B5576">
        <v>0.99673306730245903</v>
      </c>
      <c r="C5576">
        <v>0.98087859926168997</v>
      </c>
      <c r="D5576">
        <v>1.0296878789967201</v>
      </c>
      <c r="E5576">
        <v>0.95228102660977398</v>
      </c>
      <c r="F5576">
        <v>0.86018603659910498</v>
      </c>
      <c r="G5576">
        <v>0.50523115098265603</v>
      </c>
      <c r="H5576">
        <v>0.27400359917603301</v>
      </c>
      <c r="I5576">
        <v>0.32651565309789699</v>
      </c>
      <c r="J5576">
        <v>0.114878975991211</v>
      </c>
      <c r="K5576">
        <v>6.3533259701478995E-2</v>
      </c>
      <c r="L5576">
        <v>1092.96146523736</v>
      </c>
      <c r="M5576">
        <v>19.1987662606616</v>
      </c>
      <c r="N5576">
        <v>57.569741860222599</v>
      </c>
      <c r="O5576">
        <v>56.321886560316699</v>
      </c>
      <c r="P5576">
        <v>-7.7021098507206703E-2</v>
      </c>
      <c r="Q5576">
        <v>9.6232032663630798E-2</v>
      </c>
      <c r="R5576">
        <v>0.97881260440463702</v>
      </c>
      <c r="S5576" t="s">
        <v>12028</v>
      </c>
      <c r="T5576" t="s">
        <v>12902</v>
      </c>
      <c r="U5576" t="s">
        <v>12902</v>
      </c>
      <c r="V5576" t="s">
        <v>12902</v>
      </c>
      <c r="W5576" t="s">
        <v>18429</v>
      </c>
      <c r="X5576">
        <v>13</v>
      </c>
      <c r="Y5576" t="s">
        <v>24719</v>
      </c>
      <c r="Z5576" t="s">
        <v>31151</v>
      </c>
      <c r="AA5576">
        <v>0.61787222740896841</v>
      </c>
      <c r="AB5576" t="str">
        <f>HYPERLINK("Melting_Curves/meltCurve_Q9H9G7_AGO3.pdf", "Melting_Curves/meltCurve_Q9H9G7_AGO3.pdf")</f>
        <v>Melting_Curves/meltCurve_Q9H9G7_AGO3.pdf</v>
      </c>
    </row>
    <row r="5577" spans="1:28" x14ac:dyDescent="0.25">
      <c r="A5577" t="s">
        <v>5581</v>
      </c>
      <c r="B5577">
        <v>0.99673306730245903</v>
      </c>
      <c r="C5577">
        <v>0.93279522633848</v>
      </c>
      <c r="D5577">
        <v>0.84089631036300405</v>
      </c>
      <c r="E5577">
        <v>0.44915237837654998</v>
      </c>
      <c r="F5577">
        <v>0.133466541265718</v>
      </c>
      <c r="G5577">
        <v>7.3911066364888395E-2</v>
      </c>
      <c r="H5577">
        <v>4.5544106864330601E-2</v>
      </c>
      <c r="I5577">
        <v>4.3782138383744298E-2</v>
      </c>
      <c r="J5577">
        <v>4.2831955979942E-2</v>
      </c>
      <c r="K5577">
        <v>4.1206241361710798E-2</v>
      </c>
      <c r="L5577">
        <v>1216.1319169390799</v>
      </c>
      <c r="M5577">
        <v>24.854891988703699</v>
      </c>
      <c r="N5577">
        <v>49.088016127662698</v>
      </c>
      <c r="O5577">
        <v>48.615840324808801</v>
      </c>
      <c r="P5577">
        <v>-0.122878985963534</v>
      </c>
      <c r="Q5577">
        <v>3.8614536707190103E-2</v>
      </c>
      <c r="R5577">
        <v>0.99861451270763801</v>
      </c>
      <c r="S5577" t="s">
        <v>12029</v>
      </c>
      <c r="T5577" t="s">
        <v>12902</v>
      </c>
      <c r="U5577" t="s">
        <v>12902</v>
      </c>
      <c r="V5577" t="s">
        <v>12902</v>
      </c>
      <c r="W5577" t="s">
        <v>18430</v>
      </c>
      <c r="X5577">
        <v>4</v>
      </c>
      <c r="Y5577" t="s">
        <v>24720</v>
      </c>
      <c r="Z5577" t="s">
        <v>31152</v>
      </c>
      <c r="AA5577">
        <v>0.33338226825070388</v>
      </c>
      <c r="AB5577" t="str">
        <f>HYPERLINK("Melting_Curves/meltCurve_Q9H9H4_VPS37B.pdf", "Melting_Curves/meltCurve_Q9H9H4_VPS37B.pdf")</f>
        <v>Melting_Curves/meltCurve_Q9H9H4_VPS37B.pdf</v>
      </c>
    </row>
    <row r="5578" spans="1:28" x14ac:dyDescent="0.25">
      <c r="A5578" t="s">
        <v>5582</v>
      </c>
      <c r="B5578">
        <v>0.99673306730245903</v>
      </c>
      <c r="C5578">
        <v>1.0387780102411499</v>
      </c>
      <c r="D5578">
        <v>0.94805058386816199</v>
      </c>
      <c r="E5578">
        <v>0.72400816572002602</v>
      </c>
      <c r="F5578">
        <v>1.0973661868840401</v>
      </c>
      <c r="G5578">
        <v>0.49853778034171797</v>
      </c>
      <c r="H5578">
        <v>0.30859488514945299</v>
      </c>
      <c r="I5578">
        <v>0.26429006879462102</v>
      </c>
      <c r="J5578">
        <v>0.32873998644612701</v>
      </c>
      <c r="K5578">
        <v>0.162093818795087</v>
      </c>
      <c r="L5578">
        <v>14156.3677836724</v>
      </c>
      <c r="M5578">
        <v>250</v>
      </c>
      <c r="N5578">
        <v>56.797906489285303</v>
      </c>
      <c r="O5578">
        <v>56.6218628329921</v>
      </c>
      <c r="P5578">
        <v>-0.81027726089872498</v>
      </c>
      <c r="Q5578">
        <v>0.265929672286708</v>
      </c>
      <c r="R5578">
        <v>0.91084449740584705</v>
      </c>
      <c r="S5578" t="s">
        <v>12030</v>
      </c>
      <c r="T5578" t="s">
        <v>12902</v>
      </c>
      <c r="U5578" t="s">
        <v>12902</v>
      </c>
      <c r="V5578" t="s">
        <v>12902</v>
      </c>
      <c r="W5578" t="s">
        <v>18431</v>
      </c>
      <c r="X5578">
        <v>2</v>
      </c>
      <c r="Y5578" t="s">
        <v>24721</v>
      </c>
      <c r="Z5578" t="s">
        <v>31153</v>
      </c>
      <c r="AA5578">
        <v>0.67281145666958797</v>
      </c>
      <c r="AB5578" t="str">
        <f>HYPERLINK("Melting_Curves/meltCurve_Q9H9J2_MRPL44.pdf", "Melting_Curves/meltCurve_Q9H9J2_MRPL44.pdf")</f>
        <v>Melting_Curves/meltCurve_Q9H9J2_MRPL44.pdf</v>
      </c>
    </row>
    <row r="5579" spans="1:28" x14ac:dyDescent="0.25">
      <c r="A5579" t="s">
        <v>5583</v>
      </c>
      <c r="B5579">
        <v>0.99673306730245903</v>
      </c>
      <c r="C5579">
        <v>1.0074857663935699</v>
      </c>
      <c r="D5579">
        <v>0.92266120201440005</v>
      </c>
      <c r="E5579">
        <v>0.88332373871098202</v>
      </c>
      <c r="F5579">
        <v>0.58735088813232905</v>
      </c>
      <c r="G5579">
        <v>0.406155610678333</v>
      </c>
      <c r="H5579">
        <v>0.17008822763759199</v>
      </c>
      <c r="I5579">
        <v>9.5468931120206102E-2</v>
      </c>
      <c r="J5579">
        <v>8.3275858765140501E-2</v>
      </c>
      <c r="K5579">
        <v>6.5986666443794306E-2</v>
      </c>
      <c r="L5579">
        <v>901.06794285672595</v>
      </c>
      <c r="M5579">
        <v>16.485122529296198</v>
      </c>
      <c r="N5579">
        <v>54.880581755517198</v>
      </c>
      <c r="O5579">
        <v>53.874132455216497</v>
      </c>
      <c r="P5579">
        <v>-7.4045510839079301E-2</v>
      </c>
      <c r="Q5579">
        <v>3.21311194830287E-2</v>
      </c>
      <c r="R5579">
        <v>0.99586676140088903</v>
      </c>
      <c r="S5579" t="s">
        <v>12031</v>
      </c>
      <c r="T5579" t="s">
        <v>12902</v>
      </c>
      <c r="U5579" t="s">
        <v>12902</v>
      </c>
      <c r="V5579" t="s">
        <v>12902</v>
      </c>
      <c r="W5579" t="s">
        <v>18432</v>
      </c>
      <c r="X5579">
        <v>16</v>
      </c>
      <c r="Y5579" t="s">
        <v>24722</v>
      </c>
      <c r="Z5579" t="s">
        <v>31154</v>
      </c>
      <c r="AA5579">
        <v>0.52213478930246582</v>
      </c>
      <c r="AB5579" t="str">
        <f>HYPERLINK("Melting_Curves/meltCurve_Q9H9P8_L2HGDH.pdf", "Melting_Curves/meltCurve_Q9H9P8_L2HGDH.pdf")</f>
        <v>Melting_Curves/meltCurve_Q9H9P8_L2HGDH.pdf</v>
      </c>
    </row>
    <row r="5580" spans="1:28" x14ac:dyDescent="0.25">
      <c r="A5580" t="s">
        <v>5584</v>
      </c>
      <c r="B5580">
        <v>0.99673306730245903</v>
      </c>
      <c r="C5580">
        <v>1.00568415910261</v>
      </c>
      <c r="D5580">
        <v>0.90356461839911395</v>
      </c>
      <c r="E5580">
        <v>0.850959901008016</v>
      </c>
      <c r="F5580">
        <v>0.41875111514435698</v>
      </c>
      <c r="G5580">
        <v>0.20532693257440199</v>
      </c>
      <c r="H5580">
        <v>0.123224406847291</v>
      </c>
      <c r="I5580">
        <v>0.104022212536338</v>
      </c>
      <c r="J5580">
        <v>0.13393356568421499</v>
      </c>
      <c r="K5580">
        <v>0.10844406184706699</v>
      </c>
      <c r="L5580">
        <v>1438.9924972485401</v>
      </c>
      <c r="M5580">
        <v>27.617839044740901</v>
      </c>
      <c r="N5580">
        <v>52.588399576148802</v>
      </c>
      <c r="O5580">
        <v>51.8328543834862</v>
      </c>
      <c r="P5580">
        <v>-0.11824018349477899</v>
      </c>
      <c r="Q5580">
        <v>0.112360581639926</v>
      </c>
      <c r="R5580">
        <v>0.995023130812978</v>
      </c>
      <c r="S5580" t="s">
        <v>12032</v>
      </c>
      <c r="T5580" t="s">
        <v>12902</v>
      </c>
      <c r="U5580" t="s">
        <v>12902</v>
      </c>
      <c r="V5580" t="s">
        <v>12902</v>
      </c>
      <c r="W5580" t="s">
        <v>18433</v>
      </c>
      <c r="X5580">
        <v>8</v>
      </c>
      <c r="Y5580" t="s">
        <v>24723</v>
      </c>
      <c r="Z5580" t="s">
        <v>31155</v>
      </c>
      <c r="AA5580">
        <v>0.47717175023981212</v>
      </c>
      <c r="AB5580" t="str">
        <f>HYPERLINK("Melting_Curves/meltCurve_Q9H9S4_CAB39L.pdf", "Melting_Curves/meltCurve_Q9H9S4_CAB39L.pdf")</f>
        <v>Melting_Curves/meltCurve_Q9H9S4_CAB39L.pdf</v>
      </c>
    </row>
    <row r="5581" spans="1:28" x14ac:dyDescent="0.25">
      <c r="A5581" t="s">
        <v>5585</v>
      </c>
      <c r="B5581">
        <v>0.99673306730245903</v>
      </c>
      <c r="C5581">
        <v>0.90450845844217698</v>
      </c>
      <c r="D5581">
        <v>0.89978471713146302</v>
      </c>
      <c r="E5581">
        <v>0.94051089746574801</v>
      </c>
      <c r="F5581">
        <v>0.80673074031269698</v>
      </c>
      <c r="G5581">
        <v>0.42923274258780098</v>
      </c>
      <c r="H5581">
        <v>0.105849620557402</v>
      </c>
      <c r="I5581">
        <v>8.9188892781177406E-2</v>
      </c>
      <c r="J5581">
        <v>8.1653348504472006E-2</v>
      </c>
      <c r="K5581">
        <v>9.0839607073489204E-2</v>
      </c>
      <c r="L5581">
        <v>1576.86426523459</v>
      </c>
      <c r="M5581">
        <v>28.299579836723801</v>
      </c>
      <c r="N5581">
        <v>56.004345169616599</v>
      </c>
      <c r="O5581">
        <v>55.444406670212203</v>
      </c>
      <c r="P5581">
        <v>-0.119076823353612</v>
      </c>
      <c r="Q5581">
        <v>6.6828610728139906E-2</v>
      </c>
      <c r="R5581">
        <v>0.98536306662662898</v>
      </c>
      <c r="S5581" t="s">
        <v>12033</v>
      </c>
      <c r="T5581" t="s">
        <v>12902</v>
      </c>
      <c r="U5581" t="s">
        <v>12902</v>
      </c>
      <c r="V5581" t="s">
        <v>12902</v>
      </c>
      <c r="W5581" t="s">
        <v>18434</v>
      </c>
      <c r="X5581">
        <v>6</v>
      </c>
      <c r="Y5581" t="s">
        <v>24724</v>
      </c>
      <c r="Z5581" t="s">
        <v>31156</v>
      </c>
      <c r="AA5581">
        <v>0.56274034441972298</v>
      </c>
      <c r="AB5581" t="str">
        <f>HYPERLINK("Melting_Curves/meltCurve_Q9H9T3_2_ELP3.pdf", "Melting_Curves/meltCurve_Q9H9T3_2_ELP3.pdf")</f>
        <v>Melting_Curves/meltCurve_Q9H9T3_2_ELP3.pdf</v>
      </c>
    </row>
    <row r="5582" spans="1:28" x14ac:dyDescent="0.25">
      <c r="A5582" t="s">
        <v>5586</v>
      </c>
      <c r="B5582">
        <v>0.99673306730245903</v>
      </c>
      <c r="C5582">
        <v>1.0375093962730899</v>
      </c>
      <c r="D5582">
        <v>0.754707419232309</v>
      </c>
      <c r="E5582">
        <v>0.56747462670750104</v>
      </c>
      <c r="F5582">
        <v>0.35096076122129599</v>
      </c>
      <c r="G5582">
        <v>0.15586750010686801</v>
      </c>
      <c r="H5582">
        <v>9.9448353403809905E-2</v>
      </c>
      <c r="I5582">
        <v>7.7610422200607099E-2</v>
      </c>
      <c r="J5582">
        <v>7.5293132652468994E-2</v>
      </c>
      <c r="K5582">
        <v>4.8226625892741903E-2</v>
      </c>
      <c r="L5582">
        <v>803.966668758472</v>
      </c>
      <c r="M5582">
        <v>16.025376858207299</v>
      </c>
      <c r="N5582">
        <v>50.483355366663901</v>
      </c>
      <c r="O5582">
        <v>49.406644106815499</v>
      </c>
      <c r="P5582">
        <v>-7.7237024276867197E-2</v>
      </c>
      <c r="Q5582">
        <v>4.7579403753000703E-2</v>
      </c>
      <c r="R5582">
        <v>0.98913819268709002</v>
      </c>
      <c r="S5582" t="s">
        <v>12034</v>
      </c>
      <c r="T5582" t="s">
        <v>12902</v>
      </c>
      <c r="U5582" t="s">
        <v>12902</v>
      </c>
      <c r="V5582" t="s">
        <v>12902</v>
      </c>
      <c r="W5582" t="s">
        <v>18435</v>
      </c>
      <c r="X5582">
        <v>2</v>
      </c>
      <c r="Y5582" t="s">
        <v>24725</v>
      </c>
      <c r="Z5582" t="s">
        <v>31157</v>
      </c>
      <c r="AA5582">
        <v>0.39048043525908771</v>
      </c>
      <c r="AB5582" t="str">
        <f>HYPERLINK("Melting_Curves/meltCurve_Q9H9V9_2_JMJD4.pdf", "Melting_Curves/meltCurve_Q9H9V9_2_JMJD4.pdf")</f>
        <v>Melting_Curves/meltCurve_Q9H9V9_2_JMJD4.pdf</v>
      </c>
    </row>
    <row r="5583" spans="1:28" x14ac:dyDescent="0.25">
      <c r="A5583" t="s">
        <v>5587</v>
      </c>
      <c r="B5583">
        <v>0.99673306730245903</v>
      </c>
      <c r="C5583">
        <v>0.99645783194506798</v>
      </c>
      <c r="D5583">
        <v>1.0964183593343</v>
      </c>
      <c r="E5583">
        <v>1.0112058566012101</v>
      </c>
      <c r="F5583">
        <v>0.85294586104719905</v>
      </c>
      <c r="G5583">
        <v>0.69515688360123395</v>
      </c>
      <c r="H5583">
        <v>0.56659605675005198</v>
      </c>
      <c r="I5583">
        <v>0.63334083522872198</v>
      </c>
      <c r="J5583">
        <v>0.81318739543755802</v>
      </c>
      <c r="K5583">
        <v>1.08479298162991</v>
      </c>
      <c r="L5583">
        <v>13276.379679969599</v>
      </c>
      <c r="M5583">
        <v>250</v>
      </c>
      <c r="O5583">
        <v>53.102120977270502</v>
      </c>
      <c r="P5583">
        <v>-0.28410490976574998</v>
      </c>
      <c r="Q5583">
        <v>0.75861483065713997</v>
      </c>
      <c r="R5583">
        <v>0.47058673783963301</v>
      </c>
      <c r="S5583" t="s">
        <v>12035</v>
      </c>
      <c r="T5583" t="s">
        <v>12902</v>
      </c>
      <c r="U5583" t="s">
        <v>12902</v>
      </c>
      <c r="V5583" t="s">
        <v>12902</v>
      </c>
      <c r="W5583" t="s">
        <v>18436</v>
      </c>
      <c r="X5583">
        <v>1</v>
      </c>
      <c r="Y5583" t="s">
        <v>24726</v>
      </c>
      <c r="Z5583" t="s">
        <v>31158</v>
      </c>
      <c r="AA5583">
        <v>0.86408658945095407</v>
      </c>
      <c r="AB5583" t="str">
        <f>HYPERLINK("Melting_Curves/meltCurve_Q9HA38_2_ZMAT3.pdf", "Melting_Curves/meltCurve_Q9HA38_2_ZMAT3.pdf")</f>
        <v>Melting_Curves/meltCurve_Q9HA38_2_ZMAT3.pdf</v>
      </c>
    </row>
    <row r="5584" spans="1:28" x14ac:dyDescent="0.25">
      <c r="A5584" t="s">
        <v>5588</v>
      </c>
      <c r="B5584">
        <v>0.99673306730245903</v>
      </c>
      <c r="C5584">
        <v>0.92908237759193801</v>
      </c>
      <c r="D5584">
        <v>0.90710121285509304</v>
      </c>
      <c r="E5584">
        <v>0.84360294275185099</v>
      </c>
      <c r="F5584">
        <v>0.56288534471409801</v>
      </c>
      <c r="G5584">
        <v>0.38868558038145101</v>
      </c>
      <c r="H5584">
        <v>0.24608117971593901</v>
      </c>
      <c r="I5584">
        <v>0.18058406840536201</v>
      </c>
      <c r="J5584">
        <v>0.19089134847917899</v>
      </c>
      <c r="K5584">
        <v>0.15099953022958201</v>
      </c>
      <c r="L5584">
        <v>825.36186144162696</v>
      </c>
      <c r="M5584">
        <v>15.4355109341353</v>
      </c>
      <c r="N5584">
        <v>54.565069475908302</v>
      </c>
      <c r="O5584">
        <v>52.598265607785201</v>
      </c>
      <c r="P5584">
        <v>-6.3611448305609997E-2</v>
      </c>
      <c r="Q5584">
        <v>0.13302560820381201</v>
      </c>
      <c r="R5584">
        <v>0.99401318444623898</v>
      </c>
      <c r="S5584" t="s">
        <v>12036</v>
      </c>
      <c r="T5584" t="s">
        <v>12902</v>
      </c>
      <c r="U5584" t="s">
        <v>12902</v>
      </c>
      <c r="V5584" t="s">
        <v>12902</v>
      </c>
      <c r="W5584" t="s">
        <v>18437</v>
      </c>
      <c r="X5584">
        <v>2</v>
      </c>
      <c r="Y5584" t="s">
        <v>24727</v>
      </c>
      <c r="Z5584" t="s">
        <v>31159</v>
      </c>
      <c r="AA5584">
        <v>0.53992447227339879</v>
      </c>
      <c r="AB5584" t="str">
        <f>HYPERLINK("Melting_Curves/meltCurve_Q9HA47_3_UCK1.pdf", "Melting_Curves/meltCurve_Q9HA47_3_UCK1.pdf")</f>
        <v>Melting_Curves/meltCurve_Q9HA47_3_UCK1.pdf</v>
      </c>
    </row>
    <row r="5585" spans="1:28" x14ac:dyDescent="0.25">
      <c r="A5585" t="s">
        <v>5589</v>
      </c>
      <c r="B5585">
        <v>0.99673306730245903</v>
      </c>
      <c r="C5585">
        <v>0.99620942668682</v>
      </c>
      <c r="D5585">
        <v>0.96364895307273901</v>
      </c>
      <c r="E5585">
        <v>0.96804575608595</v>
      </c>
      <c r="F5585">
        <v>0.81304032234353696</v>
      </c>
      <c r="G5585">
        <v>0.70765850314402101</v>
      </c>
      <c r="H5585">
        <v>0.49772252947957901</v>
      </c>
      <c r="I5585">
        <v>0.58706554263660304</v>
      </c>
      <c r="J5585">
        <v>0.17337920674338</v>
      </c>
      <c r="K5585">
        <v>0.13486222581809701</v>
      </c>
      <c r="L5585">
        <v>715.56372628043403</v>
      </c>
      <c r="M5585">
        <v>11.6318826885144</v>
      </c>
      <c r="N5585">
        <v>61.517446990634802</v>
      </c>
      <c r="O5585">
        <v>59.783577065265902</v>
      </c>
      <c r="P5585">
        <v>-4.8654861349366897E-2</v>
      </c>
      <c r="Q5585">
        <v>0</v>
      </c>
      <c r="R5585">
        <v>0.94049693604831397</v>
      </c>
      <c r="S5585" t="s">
        <v>12037</v>
      </c>
      <c r="T5585" t="s">
        <v>12902</v>
      </c>
      <c r="U5585" t="s">
        <v>12902</v>
      </c>
      <c r="V5585" t="s">
        <v>12902</v>
      </c>
      <c r="W5585" t="s">
        <v>18438</v>
      </c>
      <c r="X5585">
        <v>12</v>
      </c>
      <c r="Y5585" t="s">
        <v>24728</v>
      </c>
      <c r="Z5585" t="s">
        <v>31160</v>
      </c>
      <c r="AA5585">
        <v>0.70820366708838667</v>
      </c>
      <c r="AB5585" t="str">
        <f>HYPERLINK("Melting_Curves/meltCurve_Q9HA64_FN3KRP.pdf", "Melting_Curves/meltCurve_Q9HA64_FN3KRP.pdf")</f>
        <v>Melting_Curves/meltCurve_Q9HA64_FN3KRP.pdf</v>
      </c>
    </row>
    <row r="5586" spans="1:28" x14ac:dyDescent="0.25">
      <c r="A5586" t="s">
        <v>5590</v>
      </c>
      <c r="B5586">
        <v>0.99673306730245903</v>
      </c>
      <c r="C5586">
        <v>0.97073608970733005</v>
      </c>
      <c r="D5586">
        <v>0.77853679138597198</v>
      </c>
      <c r="E5586">
        <v>0.46434644889230597</v>
      </c>
      <c r="F5586">
        <v>0.22393089598712701</v>
      </c>
      <c r="G5586">
        <v>0.18546606984228101</v>
      </c>
      <c r="H5586">
        <v>0.13969695162326501</v>
      </c>
      <c r="I5586">
        <v>0.16450151401528501</v>
      </c>
      <c r="J5586">
        <v>0.12748446175383901</v>
      </c>
      <c r="K5586">
        <v>9.3511138404690802E-2</v>
      </c>
      <c r="L5586">
        <v>1050.6724811748199</v>
      </c>
      <c r="M5586">
        <v>21.6897687457563</v>
      </c>
      <c r="N5586">
        <v>49.119517162828899</v>
      </c>
      <c r="O5586">
        <v>48.034797765477997</v>
      </c>
      <c r="P5586">
        <v>-9.8273858526286603E-2</v>
      </c>
      <c r="Q5586">
        <v>0.12945990616354699</v>
      </c>
      <c r="R5586">
        <v>0.99692379068549797</v>
      </c>
      <c r="S5586" t="s">
        <v>12038</v>
      </c>
      <c r="T5586" t="s">
        <v>12902</v>
      </c>
      <c r="U5586" t="s">
        <v>12902</v>
      </c>
      <c r="V5586" t="s">
        <v>12902</v>
      </c>
      <c r="W5586" t="s">
        <v>18439</v>
      </c>
      <c r="X5586">
        <v>1</v>
      </c>
      <c r="Y5586" t="s">
        <v>24729</v>
      </c>
      <c r="Z5586" t="s">
        <v>31161</v>
      </c>
      <c r="AA5586">
        <v>0.38476163023505539</v>
      </c>
      <c r="AB5586" t="str">
        <f>HYPERLINK("Melting_Curves/meltCurve_Q9HA65_TBC1D17.pdf", "Melting_Curves/meltCurve_Q9HA65_TBC1D17.pdf")</f>
        <v>Melting_Curves/meltCurve_Q9HA65_TBC1D17.pdf</v>
      </c>
    </row>
    <row r="5587" spans="1:28" x14ac:dyDescent="0.25">
      <c r="A5587" t="s">
        <v>5591</v>
      </c>
      <c r="B5587">
        <v>0.99673306730245903</v>
      </c>
      <c r="C5587">
        <v>0.97461936835616203</v>
      </c>
      <c r="D5587">
        <v>0.99457592823657004</v>
      </c>
      <c r="E5587">
        <v>1.0106595436252399</v>
      </c>
      <c r="F5587">
        <v>0.93821624697192996</v>
      </c>
      <c r="G5587">
        <v>0.69996823463832103</v>
      </c>
      <c r="H5587">
        <v>0.40417117208829101</v>
      </c>
      <c r="I5587">
        <v>0.17320092097758299</v>
      </c>
      <c r="J5587">
        <v>0.12660328278211799</v>
      </c>
      <c r="K5587">
        <v>0.1214011048056</v>
      </c>
      <c r="L5587">
        <v>1379.5373791587299</v>
      </c>
      <c r="M5587">
        <v>23.465357465806601</v>
      </c>
      <c r="N5587">
        <v>59.259831894903698</v>
      </c>
      <c r="O5587">
        <v>58.368401664992099</v>
      </c>
      <c r="P5587">
        <v>-9.1982403768063201E-2</v>
      </c>
      <c r="Q5587">
        <v>8.4817174912478796E-2</v>
      </c>
      <c r="R5587">
        <v>0.99729088797264698</v>
      </c>
      <c r="S5587" t="s">
        <v>12039</v>
      </c>
      <c r="T5587" t="s">
        <v>12902</v>
      </c>
      <c r="U5587" t="s">
        <v>12902</v>
      </c>
      <c r="V5587" t="s">
        <v>12902</v>
      </c>
      <c r="W5587" t="s">
        <v>18440</v>
      </c>
      <c r="X5587">
        <v>20</v>
      </c>
      <c r="Y5587" t="s">
        <v>24730</v>
      </c>
      <c r="Z5587" t="s">
        <v>31162</v>
      </c>
      <c r="AA5587">
        <v>0.66623588343483087</v>
      </c>
      <c r="AB5587" t="str">
        <f>HYPERLINK("Melting_Curves/meltCurve_Q9HA77_CARS2.pdf", "Melting_Curves/meltCurve_Q9HA77_CARS2.pdf")</f>
        <v>Melting_Curves/meltCurve_Q9HA77_CARS2.pdf</v>
      </c>
    </row>
    <row r="5588" spans="1:28" x14ac:dyDescent="0.25">
      <c r="A5588" t="s">
        <v>5592</v>
      </c>
      <c r="B5588">
        <v>0.99673306730245903</v>
      </c>
      <c r="C5588">
        <v>0.95598015341207399</v>
      </c>
      <c r="D5588">
        <v>0.89816842311287204</v>
      </c>
      <c r="E5588">
        <v>0.66078469982579002</v>
      </c>
      <c r="F5588">
        <v>0.533839042386547</v>
      </c>
      <c r="G5588">
        <v>0.38719341914156102</v>
      </c>
      <c r="H5588">
        <v>0.36933921180155199</v>
      </c>
      <c r="I5588">
        <v>0.37256061633717003</v>
      </c>
      <c r="J5588">
        <v>0.53207007798951</v>
      </c>
      <c r="K5588">
        <v>0.44890193542492701</v>
      </c>
      <c r="L5588">
        <v>1147.4714791957299</v>
      </c>
      <c r="M5588">
        <v>23.448466340246899</v>
      </c>
      <c r="N5588">
        <v>53.141052847869503</v>
      </c>
      <c r="O5588">
        <v>48.584136970308101</v>
      </c>
      <c r="P5588">
        <v>-6.9764494252407994E-2</v>
      </c>
      <c r="Q5588">
        <v>0.42181482062782599</v>
      </c>
      <c r="R5588">
        <v>0.95736190755006501</v>
      </c>
      <c r="S5588" t="s">
        <v>12040</v>
      </c>
      <c r="T5588" t="s">
        <v>12902</v>
      </c>
      <c r="U5588" t="s">
        <v>12902</v>
      </c>
      <c r="V5588" t="s">
        <v>12902</v>
      </c>
      <c r="W5588" t="s">
        <v>18441</v>
      </c>
      <c r="X5588">
        <v>1</v>
      </c>
      <c r="Y5588" t="s">
        <v>24731</v>
      </c>
      <c r="Z5588" t="s">
        <v>31163</v>
      </c>
      <c r="AA5588">
        <v>0.59988029122212982</v>
      </c>
      <c r="AB5588" t="str">
        <f>HYPERLINK("Melting_Curves/meltCurve_Q9HA90_EFCC1.pdf", "Melting_Curves/meltCurve_Q9HA90_EFCC1.pdf")</f>
        <v>Melting_Curves/meltCurve_Q9HA90_EFCC1.pdf</v>
      </c>
    </row>
    <row r="5589" spans="1:28" x14ac:dyDescent="0.25">
      <c r="A5589" t="s">
        <v>5593</v>
      </c>
      <c r="B5589">
        <v>0.99673306730245903</v>
      </c>
      <c r="C5589">
        <v>0.93960458927702195</v>
      </c>
      <c r="D5589">
        <v>1.28040043109295</v>
      </c>
      <c r="E5589">
        <v>0.82011550633727404</v>
      </c>
      <c r="F5589">
        <v>0.52514055475406896</v>
      </c>
      <c r="G5589">
        <v>0.30096241152446401</v>
      </c>
      <c r="H5589">
        <v>0.311753093000049</v>
      </c>
      <c r="I5589">
        <v>0.11493538446193401</v>
      </c>
      <c r="J5589">
        <v>9.7118014771524402E-2</v>
      </c>
      <c r="K5589">
        <v>9.4490673373746795E-2</v>
      </c>
      <c r="L5589">
        <v>1260.4155231909599</v>
      </c>
      <c r="M5589">
        <v>23.7357867001122</v>
      </c>
      <c r="N5589">
        <v>53.819987379723301</v>
      </c>
      <c r="O5589">
        <v>52.729289128798598</v>
      </c>
      <c r="P5589">
        <v>-9.7264342407271998E-2</v>
      </c>
      <c r="Q5589">
        <v>0.13571941550220701</v>
      </c>
      <c r="R5589">
        <v>0.92782661086103102</v>
      </c>
      <c r="S5589" t="s">
        <v>12041</v>
      </c>
      <c r="T5589" t="s">
        <v>12902</v>
      </c>
      <c r="U5589" t="s">
        <v>12902</v>
      </c>
      <c r="V5589" t="s">
        <v>12902</v>
      </c>
      <c r="W5589" t="s">
        <v>18442</v>
      </c>
      <c r="X5589">
        <v>1</v>
      </c>
      <c r="Y5589" t="s">
        <v>24732</v>
      </c>
      <c r="Z5589" t="s">
        <v>31164</v>
      </c>
      <c r="AA5589">
        <v>0.52194503034099704</v>
      </c>
      <c r="AB5589" t="str">
        <f>HYPERLINK("Melting_Curves/meltCurve_Q9HA92_RSAD1.pdf", "Melting_Curves/meltCurve_Q9HA92_RSAD1.pdf")</f>
        <v>Melting_Curves/meltCurve_Q9HA92_RSAD1.pdf</v>
      </c>
    </row>
    <row r="5590" spans="1:28" x14ac:dyDescent="0.25">
      <c r="A5590" t="s">
        <v>5594</v>
      </c>
      <c r="B5590">
        <v>0.99673306730245903</v>
      </c>
      <c r="C5590">
        <v>1.03887481661957</v>
      </c>
      <c r="D5590">
        <v>0.99315985918807903</v>
      </c>
      <c r="E5590">
        <v>1.0598152985626501</v>
      </c>
      <c r="F5590">
        <v>0.775145725833984</v>
      </c>
      <c r="G5590">
        <v>0.34400617615954499</v>
      </c>
      <c r="H5590">
        <v>0.10953919454481199</v>
      </c>
      <c r="I5590">
        <v>8.1442059248013898E-2</v>
      </c>
      <c r="J5590">
        <v>6.4652973424660906E-2</v>
      </c>
      <c r="K5590">
        <v>5.6590221562413501E-2</v>
      </c>
      <c r="L5590">
        <v>1828.11985148248</v>
      </c>
      <c r="M5590">
        <v>33.082428591246597</v>
      </c>
      <c r="N5590">
        <v>55.491107897976597</v>
      </c>
      <c r="O5590">
        <v>55.0588003290516</v>
      </c>
      <c r="P5590">
        <v>-0.140529781729412</v>
      </c>
      <c r="Q5590">
        <v>6.4474118835401703E-2</v>
      </c>
      <c r="R5590">
        <v>0.99534553179900298</v>
      </c>
      <c r="S5590" t="s">
        <v>12042</v>
      </c>
      <c r="T5590" t="s">
        <v>12902</v>
      </c>
      <c r="U5590" t="s">
        <v>12902</v>
      </c>
      <c r="V5590" t="s">
        <v>12902</v>
      </c>
      <c r="W5590" t="s">
        <v>18443</v>
      </c>
      <c r="X5590">
        <v>10</v>
      </c>
      <c r="Y5590" t="s">
        <v>24733</v>
      </c>
      <c r="Z5590" t="s">
        <v>31165</v>
      </c>
      <c r="AA5590">
        <v>0.54549242655772479</v>
      </c>
      <c r="AB5590" t="str">
        <f>HYPERLINK("Melting_Curves/meltCurve_Q9HAB8_PPCS.pdf", "Melting_Curves/meltCurve_Q9HAB8_PPCS.pdf")</f>
        <v>Melting_Curves/meltCurve_Q9HAB8_PPCS.pdf</v>
      </c>
    </row>
    <row r="5591" spans="1:28" x14ac:dyDescent="0.25">
      <c r="A5591" t="s">
        <v>5595</v>
      </c>
      <c r="B5591">
        <v>0.99673306730245903</v>
      </c>
      <c r="C5591">
        <v>0.96548770524428196</v>
      </c>
      <c r="D5591">
        <v>1.0210817135005801</v>
      </c>
      <c r="E5591">
        <v>1.2688792628975101</v>
      </c>
      <c r="F5591">
        <v>1.2175043023661201</v>
      </c>
      <c r="G5591">
        <v>0.97983028631150404</v>
      </c>
      <c r="H5591">
        <v>0.80260139356163096</v>
      </c>
      <c r="I5591">
        <v>1.2916955886508299</v>
      </c>
      <c r="J5591">
        <v>1.91317576217865</v>
      </c>
      <c r="K5591">
        <v>2.2860008012532198</v>
      </c>
      <c r="L5591">
        <v>15000</v>
      </c>
      <c r="M5591">
        <v>234.711867265297</v>
      </c>
      <c r="O5591">
        <v>63.903506150896703</v>
      </c>
      <c r="P5591">
        <v>0.459113837817828</v>
      </c>
      <c r="Q5591">
        <v>1.5</v>
      </c>
      <c r="R5591">
        <v>0.52087697486612505</v>
      </c>
      <c r="S5591" t="s">
        <v>12043</v>
      </c>
      <c r="T5591" t="s">
        <v>12902</v>
      </c>
      <c r="U5591" t="s">
        <v>12902</v>
      </c>
      <c r="V5591" t="s">
        <v>12902</v>
      </c>
      <c r="W5591" t="s">
        <v>18444</v>
      </c>
      <c r="X5591">
        <v>4</v>
      </c>
      <c r="Y5591" t="s">
        <v>24734</v>
      </c>
      <c r="Z5591" t="s">
        <v>31166</v>
      </c>
      <c r="AA5591">
        <v>1.10146729577029</v>
      </c>
      <c r="AB5591" t="str">
        <f>HYPERLINK("Melting_Curves/meltCurve_Q9HAF1_2_MEAF6.pdf", "Melting_Curves/meltCurve_Q9HAF1_2_MEAF6.pdf")</f>
        <v>Melting_Curves/meltCurve_Q9HAF1_2_MEAF6.pdf</v>
      </c>
    </row>
    <row r="5592" spans="1:28" x14ac:dyDescent="0.25">
      <c r="A5592" t="s">
        <v>5596</v>
      </c>
      <c r="B5592">
        <v>0.99673306730245903</v>
      </c>
      <c r="C5592">
        <v>0.96198638865327302</v>
      </c>
      <c r="D5592">
        <v>1.00310932470119</v>
      </c>
      <c r="E5592">
        <v>1.10876376398433</v>
      </c>
      <c r="F5592">
        <v>0.99534245981338199</v>
      </c>
      <c r="G5592">
        <v>0.79769037640883</v>
      </c>
      <c r="H5592">
        <v>0.65211383257753297</v>
      </c>
      <c r="I5592">
        <v>0.75075005087112001</v>
      </c>
      <c r="J5592">
        <v>0.54720965941033295</v>
      </c>
      <c r="K5592">
        <v>0.21789046365965101</v>
      </c>
      <c r="L5592">
        <v>838.928473770442</v>
      </c>
      <c r="M5592">
        <v>12.6457827804826</v>
      </c>
      <c r="N5592">
        <v>66.340595734578599</v>
      </c>
      <c r="O5592">
        <v>64.747202874437093</v>
      </c>
      <c r="P5592">
        <v>-4.8837130101535203E-2</v>
      </c>
      <c r="Q5592">
        <v>0</v>
      </c>
      <c r="R5592">
        <v>0.88100157857579098</v>
      </c>
      <c r="S5592" t="s">
        <v>12044</v>
      </c>
      <c r="T5592" t="s">
        <v>12902</v>
      </c>
      <c r="U5592" t="s">
        <v>12902</v>
      </c>
      <c r="V5592" t="s">
        <v>12902</v>
      </c>
      <c r="W5592" t="s">
        <v>18445</v>
      </c>
      <c r="X5592">
        <v>15</v>
      </c>
      <c r="Y5592" t="s">
        <v>24735</v>
      </c>
      <c r="Z5592" t="s">
        <v>31167</v>
      </c>
      <c r="AA5592">
        <v>0.82598726879855855</v>
      </c>
      <c r="AB5592" t="str">
        <f>HYPERLINK("Melting_Curves/meltCurve_Q9HAN9_NMNAT1.pdf", "Melting_Curves/meltCurve_Q9HAN9_NMNAT1.pdf")</f>
        <v>Melting_Curves/meltCurve_Q9HAN9_NMNAT1.pdf</v>
      </c>
    </row>
    <row r="5593" spans="1:28" x14ac:dyDescent="0.25">
      <c r="A5593" t="s">
        <v>5597</v>
      </c>
      <c r="B5593">
        <v>0.99673306730245903</v>
      </c>
      <c r="C5593">
        <v>0.76652435149609399</v>
      </c>
      <c r="D5593">
        <v>0.39459483775805199</v>
      </c>
      <c r="E5593">
        <v>0.26083771074607598</v>
      </c>
      <c r="F5593">
        <v>0.21178656338531501</v>
      </c>
      <c r="G5593">
        <v>0.16004149501144599</v>
      </c>
      <c r="H5593">
        <v>0.110048183183901</v>
      </c>
      <c r="I5593">
        <v>0.11444853158315201</v>
      </c>
      <c r="J5593">
        <v>0.160400293296594</v>
      </c>
      <c r="K5593">
        <v>0.15803253633185599</v>
      </c>
      <c r="L5593">
        <v>1112.4546133281301</v>
      </c>
      <c r="M5593">
        <v>24.956317486146101</v>
      </c>
      <c r="N5593">
        <v>45.2394919339051</v>
      </c>
      <c r="O5593">
        <v>44.2928356195318</v>
      </c>
      <c r="P5593">
        <v>-0.119276139751246</v>
      </c>
      <c r="Q5593">
        <v>0.15323977999977501</v>
      </c>
      <c r="R5593">
        <v>0.98802685850806404</v>
      </c>
      <c r="S5593" t="s">
        <v>12045</v>
      </c>
      <c r="T5593" t="s">
        <v>12902</v>
      </c>
      <c r="U5593" t="s">
        <v>12902</v>
      </c>
      <c r="V5593" t="s">
        <v>12902</v>
      </c>
      <c r="W5593" t="s">
        <v>18446</v>
      </c>
      <c r="X5593">
        <v>19</v>
      </c>
      <c r="Y5593" t="s">
        <v>24736</v>
      </c>
      <c r="Z5593" t="s">
        <v>31168</v>
      </c>
      <c r="AA5593">
        <v>0.29130766671475877</v>
      </c>
      <c r="AB5593" t="str">
        <f>HYPERLINK("Melting_Curves/meltCurve_Q9HAU0_PLEKHA5.pdf", "Melting_Curves/meltCurve_Q9HAU0_PLEKHA5.pdf")</f>
        <v>Melting_Curves/meltCurve_Q9HAU0_PLEKHA5.pdf</v>
      </c>
    </row>
    <row r="5594" spans="1:28" x14ac:dyDescent="0.25">
      <c r="A5594" t="s">
        <v>5598</v>
      </c>
      <c r="B5594">
        <v>0.99673306730245903</v>
      </c>
      <c r="C5594">
        <v>0.93360003101878197</v>
      </c>
      <c r="D5594">
        <v>0.910395490008159</v>
      </c>
      <c r="E5594">
        <v>0.39853391398302002</v>
      </c>
      <c r="F5594">
        <v>0.25965187041743298</v>
      </c>
      <c r="G5594">
        <v>0.17902678042669501</v>
      </c>
      <c r="H5594">
        <v>0.145662278906249</v>
      </c>
      <c r="I5594">
        <v>0.125165695814206</v>
      </c>
      <c r="J5594">
        <v>0.12931082303904001</v>
      </c>
      <c r="K5594">
        <v>0.110684774317371</v>
      </c>
      <c r="L5594">
        <v>1503.6885418286299</v>
      </c>
      <c r="M5594">
        <v>30.973743869630098</v>
      </c>
      <c r="N5594">
        <v>49.083153261898602</v>
      </c>
      <c r="O5594">
        <v>48.346177040125397</v>
      </c>
      <c r="P5594">
        <v>-0.137186912216991</v>
      </c>
      <c r="Q5594">
        <v>0.14347770469756299</v>
      </c>
      <c r="R5594">
        <v>0.99046691137929399</v>
      </c>
      <c r="S5594" t="s">
        <v>12046</v>
      </c>
      <c r="T5594" t="s">
        <v>12902</v>
      </c>
      <c r="U5594" t="s">
        <v>12902</v>
      </c>
      <c r="V5594" t="s">
        <v>12902</v>
      </c>
      <c r="W5594" t="s">
        <v>18447</v>
      </c>
      <c r="X5594">
        <v>16</v>
      </c>
      <c r="Y5594" t="s">
        <v>24737</v>
      </c>
      <c r="Z5594" t="s">
        <v>31169</v>
      </c>
      <c r="AA5594">
        <v>0.39236126188245751</v>
      </c>
      <c r="AB5594" t="str">
        <f>HYPERLINK("Melting_Curves/meltCurve_Q9HAU5_UPF2.pdf", "Melting_Curves/meltCurve_Q9HAU5_UPF2.pdf")</f>
        <v>Melting_Curves/meltCurve_Q9HAU5_UPF2.pdf</v>
      </c>
    </row>
    <row r="5595" spans="1:28" x14ac:dyDescent="0.25">
      <c r="A5595" t="s">
        <v>5599</v>
      </c>
      <c r="B5595">
        <v>0.99673306730245903</v>
      </c>
      <c r="C5595">
        <v>1.07667829926406</v>
      </c>
      <c r="D5595">
        <v>0.60300127991353503</v>
      </c>
      <c r="E5595">
        <v>0.44068722531432403</v>
      </c>
      <c r="F5595">
        <v>0.14801344206194</v>
      </c>
      <c r="G5595">
        <v>8.9021836465039195E-2</v>
      </c>
      <c r="H5595">
        <v>5.1329620397457899E-2</v>
      </c>
      <c r="I5595">
        <v>4.6901300981928198E-2</v>
      </c>
      <c r="J5595">
        <v>4.2654651958574298E-2</v>
      </c>
      <c r="K5595">
        <v>3.8146268006930002E-2</v>
      </c>
      <c r="L5595">
        <v>967.13360819523598</v>
      </c>
      <c r="M5595">
        <v>20.1180452537183</v>
      </c>
      <c r="N5595">
        <v>48.281273089373201</v>
      </c>
      <c r="O5595">
        <v>47.605517032947397</v>
      </c>
      <c r="P5595">
        <v>-0.101260299341476</v>
      </c>
      <c r="Q5595">
        <v>4.1577739443996398E-2</v>
      </c>
      <c r="R5595">
        <v>0.97127200505286104</v>
      </c>
      <c r="S5595" t="s">
        <v>12047</v>
      </c>
      <c r="T5595" t="s">
        <v>12902</v>
      </c>
      <c r="U5595" t="s">
        <v>12902</v>
      </c>
      <c r="V5595" t="s">
        <v>12902</v>
      </c>
      <c r="W5595" t="s">
        <v>18448</v>
      </c>
      <c r="X5595">
        <v>40</v>
      </c>
      <c r="Y5595" t="s">
        <v>24738</v>
      </c>
      <c r="Z5595" t="s">
        <v>31170</v>
      </c>
      <c r="AA5595">
        <v>0.31291958752874749</v>
      </c>
      <c r="AB5595" t="str">
        <f>HYPERLINK("Melting_Curves/meltCurve_Q9HAV4_XPO5.pdf", "Melting_Curves/meltCurve_Q9HAV4_XPO5.pdf")</f>
        <v>Melting_Curves/meltCurve_Q9HAV4_XPO5.pdf</v>
      </c>
    </row>
    <row r="5596" spans="1:28" x14ac:dyDescent="0.25">
      <c r="A5596" t="s">
        <v>5600</v>
      </c>
      <c r="B5596">
        <v>0.99673306730245903</v>
      </c>
      <c r="C5596">
        <v>1.06341504005715</v>
      </c>
      <c r="D5596">
        <v>0.77054362728058401</v>
      </c>
      <c r="E5596">
        <v>1.0240727821514299</v>
      </c>
      <c r="F5596">
        <v>0.25446312226750201</v>
      </c>
      <c r="G5596">
        <v>0.13600905901353599</v>
      </c>
      <c r="H5596">
        <v>8.1840638059483606E-2</v>
      </c>
      <c r="I5596">
        <v>8.1602144057770207E-2</v>
      </c>
      <c r="J5596">
        <v>9.4694389142037497E-2</v>
      </c>
      <c r="K5596">
        <v>8.29706612828989E-2</v>
      </c>
      <c r="L5596">
        <v>13217.808646384099</v>
      </c>
      <c r="M5596">
        <v>250</v>
      </c>
      <c r="N5596">
        <v>52.9160579960785</v>
      </c>
      <c r="O5596">
        <v>52.867865887656002</v>
      </c>
      <c r="P5596">
        <v>-1.06938409914185</v>
      </c>
      <c r="Q5596">
        <v>9.54233694920706E-2</v>
      </c>
      <c r="R5596">
        <v>0.96652753058811403</v>
      </c>
      <c r="S5596" t="s">
        <v>12048</v>
      </c>
      <c r="T5596" t="s">
        <v>12902</v>
      </c>
      <c r="U5596" t="s">
        <v>12902</v>
      </c>
      <c r="V5596" t="s">
        <v>12902</v>
      </c>
      <c r="W5596" t="s">
        <v>18449</v>
      </c>
      <c r="X5596">
        <v>13</v>
      </c>
      <c r="Y5596" t="s">
        <v>24739</v>
      </c>
      <c r="Z5596" t="s">
        <v>31171</v>
      </c>
      <c r="AA5596">
        <v>0.48360790391919128</v>
      </c>
      <c r="AB5596" t="str">
        <f>HYPERLINK("Melting_Curves/meltCurve_Q9HAV7_GRPEL1.pdf", "Melting_Curves/meltCurve_Q9HAV7_GRPEL1.pdf")</f>
        <v>Melting_Curves/meltCurve_Q9HAV7_GRPEL1.pdf</v>
      </c>
    </row>
    <row r="5597" spans="1:28" x14ac:dyDescent="0.25">
      <c r="A5597" t="s">
        <v>5601</v>
      </c>
      <c r="B5597">
        <v>0.99673306730245903</v>
      </c>
      <c r="C5597">
        <v>0.86831145408815202</v>
      </c>
      <c r="D5597">
        <v>0.82801250047285302</v>
      </c>
      <c r="E5597">
        <v>0.74397813050905404</v>
      </c>
      <c r="F5597">
        <v>0.70500027966445999</v>
      </c>
      <c r="G5597">
        <v>0.51680468050406103</v>
      </c>
      <c r="H5597">
        <v>0.41134267045746098</v>
      </c>
      <c r="I5597">
        <v>0.57275528912817497</v>
      </c>
      <c r="J5597">
        <v>0.75934072416905396</v>
      </c>
      <c r="K5597">
        <v>0.84842333751890997</v>
      </c>
      <c r="L5597">
        <v>811.73860805681102</v>
      </c>
      <c r="M5597">
        <v>17.701219916159001</v>
      </c>
      <c r="O5597">
        <v>45.284517261717802</v>
      </c>
      <c r="P5597">
        <v>-3.5941697369694603E-2</v>
      </c>
      <c r="Q5597">
        <v>0.63222497852042303</v>
      </c>
      <c r="R5597">
        <v>0.51478670988555997</v>
      </c>
      <c r="S5597" t="s">
        <v>12049</v>
      </c>
      <c r="T5597" t="s">
        <v>12902</v>
      </c>
      <c r="U5597" t="s">
        <v>12902</v>
      </c>
      <c r="V5597" t="s">
        <v>12902</v>
      </c>
      <c r="W5597" t="s">
        <v>18450</v>
      </c>
      <c r="X5597">
        <v>7</v>
      </c>
      <c r="Y5597" t="s">
        <v>24740</v>
      </c>
      <c r="Z5597" t="s">
        <v>31172</v>
      </c>
      <c r="AA5597">
        <v>0.71161764205293854</v>
      </c>
      <c r="AB5597" t="str">
        <f>HYPERLINK("Melting_Curves/meltCurve_Q9HAW4_3_CLSPN.pdf", "Melting_Curves/meltCurve_Q9HAW4_3_CLSPN.pdf")</f>
        <v>Melting_Curves/meltCurve_Q9HAW4_3_CLSPN.pdf</v>
      </c>
    </row>
    <row r="5598" spans="1:28" x14ac:dyDescent="0.25">
      <c r="A5598" t="s">
        <v>5602</v>
      </c>
      <c r="B5598">
        <v>0.99673306730245903</v>
      </c>
      <c r="C5598">
        <v>0.97418806836221505</v>
      </c>
      <c r="D5598">
        <v>0.761650868247296</v>
      </c>
      <c r="E5598">
        <v>0.692957075155058</v>
      </c>
      <c r="F5598">
        <v>0.42378344118889399</v>
      </c>
      <c r="G5598">
        <v>0.23589441631413999</v>
      </c>
      <c r="H5598">
        <v>0.12180750995166301</v>
      </c>
      <c r="I5598">
        <v>8.2636083277030703E-2</v>
      </c>
      <c r="J5598">
        <v>6.3576968337696299E-2</v>
      </c>
      <c r="K5598">
        <v>5.0803047329459498E-2</v>
      </c>
      <c r="L5598">
        <v>674.47937107003497</v>
      </c>
      <c r="M5598">
        <v>13.0145512345265</v>
      </c>
      <c r="N5598">
        <v>51.893026810961501</v>
      </c>
      <c r="O5598">
        <v>50.647221360797197</v>
      </c>
      <c r="P5598">
        <v>-6.3709193463503705E-2</v>
      </c>
      <c r="Q5598">
        <v>8.4556596404453902E-3</v>
      </c>
      <c r="R5598">
        <v>0.99205455747973104</v>
      </c>
      <c r="S5598" t="s">
        <v>12050</v>
      </c>
      <c r="T5598" t="s">
        <v>12902</v>
      </c>
      <c r="U5598" t="s">
        <v>12902</v>
      </c>
      <c r="V5598" t="s">
        <v>12902</v>
      </c>
      <c r="W5598" t="s">
        <v>18451</v>
      </c>
      <c r="X5598">
        <v>15</v>
      </c>
      <c r="Y5598" t="s">
        <v>24741</v>
      </c>
      <c r="Z5598" t="s">
        <v>31173</v>
      </c>
      <c r="AA5598">
        <v>0.42679146010659091</v>
      </c>
      <c r="AB5598" t="str">
        <f>HYPERLINK("Melting_Curves/meltCurve_Q9HB07_C12orf10.pdf", "Melting_Curves/meltCurve_Q9HB07_C12orf10.pdf")</f>
        <v>Melting_Curves/meltCurve_Q9HB07_C12orf10.pdf</v>
      </c>
    </row>
    <row r="5599" spans="1:28" x14ac:dyDescent="0.25">
      <c r="A5599" t="s">
        <v>5603</v>
      </c>
      <c r="B5599">
        <v>0.99673306730245903</v>
      </c>
      <c r="C5599">
        <v>0.94781115186607001</v>
      </c>
      <c r="D5599">
        <v>0.551796755856372</v>
      </c>
      <c r="E5599">
        <v>0.23586610115899501</v>
      </c>
      <c r="F5599">
        <v>0.15295370072867701</v>
      </c>
      <c r="G5599">
        <v>9.3355948348156997E-2</v>
      </c>
      <c r="H5599">
        <v>6.0278238438136497E-2</v>
      </c>
      <c r="I5599">
        <v>5.2222470843854403E-2</v>
      </c>
      <c r="J5599">
        <v>5.6342565231620401E-2</v>
      </c>
      <c r="K5599">
        <v>4.4932186304606499E-2</v>
      </c>
      <c r="L5599">
        <v>1176.13633858548</v>
      </c>
      <c r="M5599">
        <v>25.3344147610952</v>
      </c>
      <c r="N5599">
        <v>46.6959859475038</v>
      </c>
      <c r="O5599">
        <v>46.138087620661999</v>
      </c>
      <c r="P5599">
        <v>-0.12787482566168601</v>
      </c>
      <c r="Q5599">
        <v>6.8488294273687494E-2</v>
      </c>
      <c r="R5599">
        <v>0.99367962492538897</v>
      </c>
      <c r="S5599" t="s">
        <v>12051</v>
      </c>
      <c r="T5599" t="s">
        <v>12902</v>
      </c>
      <c r="U5599" t="s">
        <v>12902</v>
      </c>
      <c r="V5599" t="s">
        <v>12902</v>
      </c>
      <c r="W5599" t="s">
        <v>18452</v>
      </c>
      <c r="X5599">
        <v>2</v>
      </c>
      <c r="Y5599" t="s">
        <v>24742</v>
      </c>
      <c r="Z5599" t="s">
        <v>31174</v>
      </c>
      <c r="AA5599">
        <v>0.2761686556512194</v>
      </c>
      <c r="AB5599" t="str">
        <f>HYPERLINK("Melting_Curves/meltCurve_Q9HB21_PLEKHA1.pdf", "Melting_Curves/meltCurve_Q9HB21_PLEKHA1.pdf")</f>
        <v>Melting_Curves/meltCurve_Q9HB21_PLEKHA1.pdf</v>
      </c>
    </row>
    <row r="5600" spans="1:28" x14ac:dyDescent="0.25">
      <c r="A5600" t="s">
        <v>5604</v>
      </c>
      <c r="B5600">
        <v>0.99673306730245903</v>
      </c>
      <c r="C5600">
        <v>1.02646248554688</v>
      </c>
      <c r="D5600">
        <v>0.99657754771173901</v>
      </c>
      <c r="E5600">
        <v>1.09347256542935</v>
      </c>
      <c r="F5600">
        <v>0.99068242559086805</v>
      </c>
      <c r="G5600">
        <v>0.85587581508099297</v>
      </c>
      <c r="H5600">
        <v>0.57791104083926503</v>
      </c>
      <c r="I5600">
        <v>0.16044355322041301</v>
      </c>
      <c r="J5600">
        <v>0.131366749546834</v>
      </c>
      <c r="K5600">
        <v>0.11154436867077</v>
      </c>
      <c r="L5600">
        <v>1989.8608881139901</v>
      </c>
      <c r="M5600">
        <v>32.7757392691015</v>
      </c>
      <c r="N5600">
        <v>61.032320481428599</v>
      </c>
      <c r="O5600">
        <v>60.486707133914997</v>
      </c>
      <c r="P5600">
        <v>-0.12474396048029</v>
      </c>
      <c r="Q5600">
        <v>7.9157981646758996E-2</v>
      </c>
      <c r="R5600">
        <v>0.98698996512566795</v>
      </c>
      <c r="S5600" t="s">
        <v>12052</v>
      </c>
      <c r="T5600" t="s">
        <v>12902</v>
      </c>
      <c r="U5600" t="s">
        <v>12902</v>
      </c>
      <c r="V5600" t="s">
        <v>12902</v>
      </c>
      <c r="W5600" t="s">
        <v>18453</v>
      </c>
      <c r="X5600">
        <v>10</v>
      </c>
      <c r="Y5600" t="s">
        <v>24743</v>
      </c>
      <c r="Z5600" t="s">
        <v>31175</v>
      </c>
      <c r="AA5600">
        <v>0.71962433332029352</v>
      </c>
      <c r="AB5600" t="str">
        <f>HYPERLINK("Melting_Curves/meltCurve_Q9HB40_SCPEP1.pdf", "Melting_Curves/meltCurve_Q9HB40_SCPEP1.pdf")</f>
        <v>Melting_Curves/meltCurve_Q9HB40_SCPEP1.pdf</v>
      </c>
    </row>
    <row r="5601" spans="1:28" x14ac:dyDescent="0.25">
      <c r="A5601" t="s">
        <v>5605</v>
      </c>
      <c r="B5601">
        <v>0.99673306730245903</v>
      </c>
      <c r="C5601">
        <v>1.0349125622637401</v>
      </c>
      <c r="D5601">
        <v>0.73750167705929004</v>
      </c>
      <c r="E5601">
        <v>0.90001430947919203</v>
      </c>
      <c r="F5601">
        <v>0.35163392271440602</v>
      </c>
      <c r="G5601">
        <v>0.13771370314967099</v>
      </c>
      <c r="H5601">
        <v>6.7011626213930697E-2</v>
      </c>
      <c r="I5601">
        <v>5.66257983867147E-2</v>
      </c>
      <c r="J5601">
        <v>5.4118793697960299E-2</v>
      </c>
      <c r="K5601">
        <v>4.4155204371337402E-2</v>
      </c>
      <c r="L5601">
        <v>1591.9285485602099</v>
      </c>
      <c r="M5601">
        <v>30.553281658342801</v>
      </c>
      <c r="N5601">
        <v>52.2912852016551</v>
      </c>
      <c r="O5601">
        <v>51.881679185968402</v>
      </c>
      <c r="P5601">
        <v>-0.139571571778487</v>
      </c>
      <c r="Q5601">
        <v>5.1995302211098701E-2</v>
      </c>
      <c r="R5601">
        <v>0.95908037513551803</v>
      </c>
      <c r="S5601" t="s">
        <v>12053</v>
      </c>
      <c r="T5601" t="s">
        <v>12902</v>
      </c>
      <c r="U5601" t="s">
        <v>12902</v>
      </c>
      <c r="V5601" t="s">
        <v>12902</v>
      </c>
      <c r="W5601" t="s">
        <v>18454</v>
      </c>
      <c r="X5601">
        <v>25</v>
      </c>
      <c r="Y5601" t="s">
        <v>24744</v>
      </c>
      <c r="Z5601" t="s">
        <v>31176</v>
      </c>
      <c r="AA5601">
        <v>0.44031427958428432</v>
      </c>
      <c r="AB5601" t="str">
        <f>HYPERLINK("Melting_Curves/meltCurve_Q9HB71_CACYBP.pdf", "Melting_Curves/meltCurve_Q9HB71_CACYBP.pdf")</f>
        <v>Melting_Curves/meltCurve_Q9HB71_CACYBP.pdf</v>
      </c>
    </row>
    <row r="5602" spans="1:28" x14ac:dyDescent="0.25">
      <c r="A5602" t="s">
        <v>5606</v>
      </c>
      <c r="B5602">
        <v>0.99673306730245903</v>
      </c>
      <c r="C5602">
        <v>0.95092697731003495</v>
      </c>
      <c r="D5602">
        <v>0.93344588162106201</v>
      </c>
      <c r="E5602">
        <v>0.98204766073830496</v>
      </c>
      <c r="F5602">
        <v>0.79283792989173096</v>
      </c>
      <c r="G5602">
        <v>0.64134081166587298</v>
      </c>
      <c r="H5602">
        <v>0.46102668560731702</v>
      </c>
      <c r="I5602">
        <v>0.59266695885432397</v>
      </c>
      <c r="J5602">
        <v>0.23694755530285999</v>
      </c>
      <c r="K5602">
        <v>7.7292220680087606E-2</v>
      </c>
      <c r="L5602">
        <v>648.47446826733801</v>
      </c>
      <c r="M5602">
        <v>10.634847283122101</v>
      </c>
      <c r="N5602">
        <v>60.976378048598299</v>
      </c>
      <c r="O5602">
        <v>58.938898575133997</v>
      </c>
      <c r="P5602">
        <v>-4.5126958398620999E-2</v>
      </c>
      <c r="Q5602">
        <v>0</v>
      </c>
      <c r="R5602">
        <v>0.92108466873165096</v>
      </c>
      <c r="S5602" t="s">
        <v>12054</v>
      </c>
      <c r="T5602" t="s">
        <v>12902</v>
      </c>
      <c r="U5602" t="s">
        <v>12902</v>
      </c>
      <c r="V5602" t="s">
        <v>12902</v>
      </c>
      <c r="W5602" t="s">
        <v>18455</v>
      </c>
      <c r="X5602">
        <v>5</v>
      </c>
      <c r="Y5602" t="s">
        <v>24745</v>
      </c>
      <c r="Z5602" t="s">
        <v>31177</v>
      </c>
      <c r="AA5602">
        <v>0.6902866433168201</v>
      </c>
      <c r="AB5602" t="str">
        <f>HYPERLINK("Melting_Curves/meltCurve_Q9HB90_RRAGC.pdf", "Melting_Curves/meltCurve_Q9HB90_RRAGC.pdf")</f>
        <v>Melting_Curves/meltCurve_Q9HB90_RRAGC.pdf</v>
      </c>
    </row>
    <row r="5603" spans="1:28" x14ac:dyDescent="0.25">
      <c r="A5603" t="s">
        <v>5607</v>
      </c>
      <c r="B5603">
        <v>0.99673306730245903</v>
      </c>
      <c r="C5603">
        <v>0.80246668614541505</v>
      </c>
      <c r="D5603">
        <v>0.54289524326510297</v>
      </c>
      <c r="E5603">
        <v>0.35877173546507402</v>
      </c>
      <c r="F5603">
        <v>0.30370024681413699</v>
      </c>
      <c r="G5603">
        <v>0.23595523499766499</v>
      </c>
      <c r="H5603">
        <v>0.201140095590398</v>
      </c>
      <c r="I5603">
        <v>0.18323848494525499</v>
      </c>
      <c r="J5603">
        <v>0.23094803372268799</v>
      </c>
      <c r="K5603">
        <v>0.21064308825352601</v>
      </c>
      <c r="L5603">
        <v>865.59268958980795</v>
      </c>
      <c r="M5603">
        <v>19.031527023298899</v>
      </c>
      <c r="N5603">
        <v>46.858554028353701</v>
      </c>
      <c r="O5603">
        <v>44.988806532125999</v>
      </c>
      <c r="P5603">
        <v>-8.3114655806455398E-2</v>
      </c>
      <c r="Q5603">
        <v>0.21412904328330801</v>
      </c>
      <c r="R5603">
        <v>0.990545418744192</v>
      </c>
      <c r="S5603" t="s">
        <v>12055</v>
      </c>
      <c r="T5603" t="s">
        <v>12902</v>
      </c>
      <c r="U5603" t="s">
        <v>12902</v>
      </c>
      <c r="V5603" t="s">
        <v>12902</v>
      </c>
      <c r="W5603" t="s">
        <v>18456</v>
      </c>
      <c r="X5603">
        <v>14</v>
      </c>
      <c r="Y5603" t="s">
        <v>24746</v>
      </c>
      <c r="Z5603" t="s">
        <v>31178</v>
      </c>
      <c r="AA5603">
        <v>0.37193800948603267</v>
      </c>
      <c r="AB5603" t="str">
        <f>HYPERLINK("Melting_Curves/meltCurve_Q9HBD4_SMARCA4.pdf", "Melting_Curves/meltCurve_Q9HBD4_SMARCA4.pdf")</f>
        <v>Melting_Curves/meltCurve_Q9HBD4_SMARCA4.pdf</v>
      </c>
    </row>
    <row r="5604" spans="1:28" x14ac:dyDescent="0.25">
      <c r="A5604" t="s">
        <v>5608</v>
      </c>
      <c r="B5604">
        <v>0.99673306730245903</v>
      </c>
      <c r="C5604">
        <v>0.83682257470730703</v>
      </c>
      <c r="D5604">
        <v>0.71784764075880303</v>
      </c>
      <c r="E5604">
        <v>0.49425940035350902</v>
      </c>
      <c r="F5604">
        <v>0.31623519680339102</v>
      </c>
      <c r="G5604">
        <v>0.174864017998688</v>
      </c>
      <c r="H5604">
        <v>0.11151027377368899</v>
      </c>
      <c r="I5604">
        <v>9.6383791857256707E-2</v>
      </c>
      <c r="J5604">
        <v>6.7288884274803701E-2</v>
      </c>
      <c r="K5604">
        <v>3.46891719604921E-2</v>
      </c>
      <c r="L5604">
        <v>609.79436455295604</v>
      </c>
      <c r="M5604">
        <v>12.368378168553001</v>
      </c>
      <c r="N5604">
        <v>49.521297568257097</v>
      </c>
      <c r="O5604">
        <v>48.067045685297302</v>
      </c>
      <c r="P5604">
        <v>-6.2633324577381605E-2</v>
      </c>
      <c r="Q5604">
        <v>2.65648986193169E-2</v>
      </c>
      <c r="R5604">
        <v>0.99641053553662995</v>
      </c>
      <c r="S5604" t="s">
        <v>12056</v>
      </c>
      <c r="T5604" t="s">
        <v>12902</v>
      </c>
      <c r="U5604" t="s">
        <v>12902</v>
      </c>
      <c r="V5604" t="s">
        <v>12902</v>
      </c>
      <c r="W5604" t="s">
        <v>18457</v>
      </c>
      <c r="X5604">
        <v>3</v>
      </c>
      <c r="Y5604" t="s">
        <v>24747</v>
      </c>
      <c r="Z5604" t="s">
        <v>31179</v>
      </c>
      <c r="AA5604">
        <v>0.36181679808174599</v>
      </c>
      <c r="AB5604" t="str">
        <f>HYPERLINK("Melting_Curves/meltCurve_Q9HBH1_PDF.pdf", "Melting_Curves/meltCurve_Q9HBH1_PDF.pdf")</f>
        <v>Melting_Curves/meltCurve_Q9HBH1_PDF.pdf</v>
      </c>
    </row>
    <row r="5605" spans="1:28" x14ac:dyDescent="0.25">
      <c r="A5605" t="s">
        <v>5609</v>
      </c>
      <c r="B5605">
        <v>0.99673306730245903</v>
      </c>
      <c r="C5605">
        <v>0.97151782014187105</v>
      </c>
      <c r="D5605">
        <v>0.88747776570764703</v>
      </c>
      <c r="E5605">
        <v>0.67278842330706701</v>
      </c>
      <c r="F5605">
        <v>0.211373658925011</v>
      </c>
      <c r="G5605">
        <v>0.140729389037965</v>
      </c>
      <c r="H5605">
        <v>9.40796230232991E-2</v>
      </c>
      <c r="I5605">
        <v>9.4381900731787705E-2</v>
      </c>
      <c r="J5605">
        <v>5.7364546217020099E-2</v>
      </c>
      <c r="K5605">
        <v>4.54644017443223E-2</v>
      </c>
      <c r="L5605">
        <v>1350.49899654259</v>
      </c>
      <c r="M5605">
        <v>26.7833860207889</v>
      </c>
      <c r="N5605">
        <v>50.707487620248997</v>
      </c>
      <c r="O5605">
        <v>50.144437117816302</v>
      </c>
      <c r="P5605">
        <v>-0.124218291226754</v>
      </c>
      <c r="Q5605">
        <v>6.9752827487847294E-2</v>
      </c>
      <c r="R5605">
        <v>0.99479122260437702</v>
      </c>
      <c r="S5605" t="s">
        <v>12057</v>
      </c>
      <c r="T5605" t="s">
        <v>12902</v>
      </c>
      <c r="U5605" t="s">
        <v>12902</v>
      </c>
      <c r="V5605" t="s">
        <v>12902</v>
      </c>
      <c r="W5605" t="s">
        <v>18458</v>
      </c>
      <c r="X5605">
        <v>5</v>
      </c>
      <c r="Y5605" t="s">
        <v>24748</v>
      </c>
      <c r="Z5605" t="s">
        <v>31180</v>
      </c>
      <c r="AA5605">
        <v>0.4002290333800963</v>
      </c>
      <c r="AB5605" t="str">
        <f>HYPERLINK("Melting_Curves/meltCurve_Q9HBH5_RDH14.pdf", "Melting_Curves/meltCurve_Q9HBH5_RDH14.pdf")</f>
        <v>Melting_Curves/meltCurve_Q9HBH5_RDH14.pdf</v>
      </c>
    </row>
    <row r="5606" spans="1:28" x14ac:dyDescent="0.25">
      <c r="A5606" t="s">
        <v>5610</v>
      </c>
      <c r="B5606">
        <v>0.99673306730245903</v>
      </c>
      <c r="C5606">
        <v>0.88990859208146</v>
      </c>
      <c r="D5606">
        <v>0.69203150829795201</v>
      </c>
      <c r="E5606">
        <v>0.30559345400429999</v>
      </c>
      <c r="F5606">
        <v>0.18218948118608999</v>
      </c>
      <c r="G5606">
        <v>0.118822153078814</v>
      </c>
      <c r="H5606">
        <v>7.9669024147138404E-2</v>
      </c>
      <c r="I5606">
        <v>9.1130507360527094E-2</v>
      </c>
      <c r="J5606">
        <v>0.103151615035198</v>
      </c>
      <c r="K5606">
        <v>9.9572751025872E-2</v>
      </c>
      <c r="L5606">
        <v>1044.94088932471</v>
      </c>
      <c r="M5606">
        <v>22.137186606709999</v>
      </c>
      <c r="N5606">
        <v>47.649371481027003</v>
      </c>
      <c r="O5606">
        <v>46.822840532005102</v>
      </c>
      <c r="P5606">
        <v>-0.107129765779073</v>
      </c>
      <c r="Q5606">
        <v>9.3649833681078196E-2</v>
      </c>
      <c r="R5606">
        <v>0.99807737232704097</v>
      </c>
      <c r="S5606" t="s">
        <v>12058</v>
      </c>
      <c r="T5606" t="s">
        <v>12902</v>
      </c>
      <c r="U5606" t="s">
        <v>12902</v>
      </c>
      <c r="V5606" t="s">
        <v>12902</v>
      </c>
      <c r="W5606" t="s">
        <v>18459</v>
      </c>
      <c r="X5606">
        <v>2</v>
      </c>
      <c r="Y5606" t="s">
        <v>24749</v>
      </c>
      <c r="Z5606" t="s">
        <v>31181</v>
      </c>
      <c r="AA5606">
        <v>0.32179616302304948</v>
      </c>
      <c r="AB5606" t="str">
        <f>HYPERLINK("Melting_Curves/meltCurve_Q9HBI0_3_PARVG.pdf", "Melting_Curves/meltCurve_Q9HBI0_3_PARVG.pdf")</f>
        <v>Melting_Curves/meltCurve_Q9HBI0_3_PARVG.pdf</v>
      </c>
    </row>
    <row r="5607" spans="1:28" x14ac:dyDescent="0.25">
      <c r="A5607" t="s">
        <v>5611</v>
      </c>
      <c r="B5607">
        <v>0.99673306730245903</v>
      </c>
      <c r="C5607">
        <v>0.87541284406054498</v>
      </c>
      <c r="D5607">
        <v>0.709968178801335</v>
      </c>
      <c r="E5607">
        <v>0.483273211487109</v>
      </c>
      <c r="F5607">
        <v>0.21492267571589099</v>
      </c>
      <c r="G5607">
        <v>0.114345168777138</v>
      </c>
      <c r="H5607">
        <v>5.9728242630234803E-2</v>
      </c>
      <c r="I5607">
        <v>4.6452455135881698E-2</v>
      </c>
      <c r="J5607">
        <v>5.4935605101991601E-2</v>
      </c>
      <c r="K5607">
        <v>4.5812997135396098E-2</v>
      </c>
      <c r="L5607">
        <v>761.44244327412798</v>
      </c>
      <c r="M5607">
        <v>15.6222386547777</v>
      </c>
      <c r="N5607">
        <v>48.920005238744899</v>
      </c>
      <c r="O5607">
        <v>47.963233811362599</v>
      </c>
      <c r="P5607">
        <v>-7.9172050993819798E-2</v>
      </c>
      <c r="Q5607">
        <v>2.77909382558644E-2</v>
      </c>
      <c r="R5607">
        <v>0.99723555311910494</v>
      </c>
      <c r="S5607" t="s">
        <v>12059</v>
      </c>
      <c r="T5607" t="s">
        <v>12902</v>
      </c>
      <c r="U5607" t="s">
        <v>12902</v>
      </c>
      <c r="V5607" t="s">
        <v>12902</v>
      </c>
      <c r="W5607" t="s">
        <v>18460</v>
      </c>
      <c r="X5607">
        <v>2</v>
      </c>
      <c r="Y5607" t="s">
        <v>24750</v>
      </c>
      <c r="Z5607" t="s">
        <v>31182</v>
      </c>
      <c r="AA5607">
        <v>0.33346980455534703</v>
      </c>
      <c r="AB5607" t="str">
        <f>HYPERLINK("Melting_Curves/meltCurve_Q9HBI1_PARVB.pdf", "Melting_Curves/meltCurve_Q9HBI1_PARVB.pdf")</f>
        <v>Melting_Curves/meltCurve_Q9HBI1_PARVB.pdf</v>
      </c>
    </row>
    <row r="5608" spans="1:28" x14ac:dyDescent="0.25">
      <c r="A5608" t="s">
        <v>5612</v>
      </c>
      <c r="B5608">
        <v>0.99673306730245903</v>
      </c>
      <c r="C5608">
        <v>1.0540535908119</v>
      </c>
      <c r="D5608">
        <v>0.97639788687907503</v>
      </c>
      <c r="E5608">
        <v>1.0034985112144901</v>
      </c>
      <c r="F5608">
        <v>0.78105027233028201</v>
      </c>
      <c r="G5608">
        <v>0.67108591856613697</v>
      </c>
      <c r="H5608">
        <v>0.37214585899024899</v>
      </c>
      <c r="I5608">
        <v>0.60068748662941795</v>
      </c>
      <c r="J5608">
        <v>0.79483907980407897</v>
      </c>
      <c r="K5608">
        <v>0.83766802898014603</v>
      </c>
      <c r="L5608">
        <v>4076.13495048718</v>
      </c>
      <c r="M5608">
        <v>77.165685487242797</v>
      </c>
      <c r="O5608">
        <v>52.787711112319101</v>
      </c>
      <c r="P5608">
        <v>-0.126110578763583</v>
      </c>
      <c r="Q5608">
        <v>0.65491979264715705</v>
      </c>
      <c r="R5608">
        <v>0.66453859691318695</v>
      </c>
      <c r="S5608" t="s">
        <v>12060</v>
      </c>
      <c r="T5608" t="s">
        <v>12902</v>
      </c>
      <c r="U5608" t="s">
        <v>12902</v>
      </c>
      <c r="V5608" t="s">
        <v>12902</v>
      </c>
      <c r="W5608" t="s">
        <v>18461</v>
      </c>
      <c r="X5608">
        <v>2</v>
      </c>
      <c r="Y5608" t="s">
        <v>24751</v>
      </c>
      <c r="Z5608" t="s">
        <v>31183</v>
      </c>
      <c r="AA5608">
        <v>0.80275684112274981</v>
      </c>
      <c r="AB5608" t="str">
        <f>HYPERLINK("Melting_Curves/meltCurve_Q9HBL7_PLGRKT.pdf", "Melting_Curves/meltCurve_Q9HBL7_PLGRKT.pdf")</f>
        <v>Melting_Curves/meltCurve_Q9HBL7_PLGRKT.pdf</v>
      </c>
    </row>
    <row r="5609" spans="1:28" x14ac:dyDescent="0.25">
      <c r="A5609" t="s">
        <v>5613</v>
      </c>
      <c r="B5609">
        <v>0.99673306730245903</v>
      </c>
      <c r="C5609">
        <v>1.0038146281784801</v>
      </c>
      <c r="D5609">
        <v>0.86249277235857302</v>
      </c>
      <c r="E5609">
        <v>0.56489822507731602</v>
      </c>
      <c r="F5609">
        <v>0.210857537409046</v>
      </c>
      <c r="G5609">
        <v>0.144789063371245</v>
      </c>
      <c r="H5609">
        <v>9.2665629421938706E-2</v>
      </c>
      <c r="I5609">
        <v>9.1785110490705202E-2</v>
      </c>
      <c r="J5609">
        <v>0.11174336458263701</v>
      </c>
      <c r="K5609">
        <v>7.9256178109712305E-2</v>
      </c>
      <c r="L5609">
        <v>1231.88972396658</v>
      </c>
      <c r="M5609">
        <v>24.83327774923</v>
      </c>
      <c r="N5609">
        <v>50.010591185469899</v>
      </c>
      <c r="O5609">
        <v>49.288086971629298</v>
      </c>
      <c r="P5609">
        <v>-0.11450913672082701</v>
      </c>
      <c r="Q5609">
        <v>9.0920127572783296E-2</v>
      </c>
      <c r="R5609">
        <v>0.99803981699481803</v>
      </c>
      <c r="S5609" t="s">
        <v>12061</v>
      </c>
      <c r="T5609" t="s">
        <v>12902</v>
      </c>
      <c r="U5609" t="s">
        <v>12902</v>
      </c>
      <c r="V5609" t="s">
        <v>12902</v>
      </c>
      <c r="W5609" t="s">
        <v>18462</v>
      </c>
      <c r="X5609">
        <v>10</v>
      </c>
      <c r="Y5609" t="s">
        <v>24752</v>
      </c>
      <c r="Z5609" t="s">
        <v>31184</v>
      </c>
      <c r="AA5609">
        <v>0.39022483622351639</v>
      </c>
      <c r="AB5609" t="str">
        <f>HYPERLINK("Melting_Curves/meltCurve_Q9HBL8_NMRAL1.pdf", "Melting_Curves/meltCurve_Q9HBL8_NMRAL1.pdf")</f>
        <v>Melting_Curves/meltCurve_Q9HBL8_NMRAL1.pdf</v>
      </c>
    </row>
    <row r="5610" spans="1:28" x14ac:dyDescent="0.25">
      <c r="A5610" t="s">
        <v>5614</v>
      </c>
      <c r="B5610">
        <v>0.99673306730245903</v>
      </c>
      <c r="C5610">
        <v>0.93538858979362005</v>
      </c>
      <c r="D5610">
        <v>0.71962070616905605</v>
      </c>
      <c r="E5610">
        <v>0.38818155967101298</v>
      </c>
      <c r="F5610">
        <v>0.23242736968731501</v>
      </c>
      <c r="G5610">
        <v>0.15121576140465401</v>
      </c>
      <c r="H5610">
        <v>9.7225991116061797E-2</v>
      </c>
      <c r="I5610">
        <v>7.8268810979979994E-2</v>
      </c>
      <c r="J5610">
        <v>9.0783314141064497E-2</v>
      </c>
      <c r="K5610">
        <v>8.0724150536095496E-2</v>
      </c>
      <c r="L5610">
        <v>920.48814420961196</v>
      </c>
      <c r="M5610">
        <v>19.170552254228902</v>
      </c>
      <c r="N5610">
        <v>48.495442822642701</v>
      </c>
      <c r="O5610">
        <v>47.502414831488899</v>
      </c>
      <c r="P5610">
        <v>-9.2181986626691706E-2</v>
      </c>
      <c r="Q5610">
        <v>8.6369884732298396E-2</v>
      </c>
      <c r="R5610">
        <v>0.998082738708721</v>
      </c>
      <c r="S5610" t="s">
        <v>12062</v>
      </c>
      <c r="T5610" t="s">
        <v>12902</v>
      </c>
      <c r="U5610" t="s">
        <v>12902</v>
      </c>
      <c r="V5610" t="s">
        <v>12902</v>
      </c>
      <c r="W5610" t="s">
        <v>18463</v>
      </c>
      <c r="X5610">
        <v>3</v>
      </c>
      <c r="Y5610" t="s">
        <v>24753</v>
      </c>
      <c r="Z5610" t="s">
        <v>31185</v>
      </c>
      <c r="AA5610">
        <v>0.34467949521836883</v>
      </c>
      <c r="AB5610" t="str">
        <f>HYPERLINK("Melting_Curves/meltCurve_Q9HBM1_SPC25.pdf", "Melting_Curves/meltCurve_Q9HBM1_SPC25.pdf")</f>
        <v>Melting_Curves/meltCurve_Q9HBM1_SPC25.pdf</v>
      </c>
    </row>
    <row r="5611" spans="1:28" x14ac:dyDescent="0.25">
      <c r="A5611" t="s">
        <v>5615</v>
      </c>
      <c r="B5611">
        <v>0.99673306730245903</v>
      </c>
      <c r="C5611">
        <v>0.95003562452229595</v>
      </c>
      <c r="D5611">
        <v>0.74813437383113401</v>
      </c>
      <c r="E5611">
        <v>0.581460891462246</v>
      </c>
      <c r="F5611">
        <v>0.42426821937635401</v>
      </c>
      <c r="G5611">
        <v>0.33146562967190402</v>
      </c>
      <c r="H5611">
        <v>0.21188363942268801</v>
      </c>
      <c r="I5611">
        <v>0.26079975258003102</v>
      </c>
      <c r="J5611">
        <v>0.27101201648164702</v>
      </c>
      <c r="K5611">
        <v>0.334115212030414</v>
      </c>
      <c r="L5611">
        <v>800.479612050367</v>
      </c>
      <c r="M5611">
        <v>16.5001870345085</v>
      </c>
      <c r="N5611">
        <v>50.819899492936401</v>
      </c>
      <c r="O5611">
        <v>47.8175954107057</v>
      </c>
      <c r="P5611">
        <v>-6.3534972902891396E-2</v>
      </c>
      <c r="Q5611">
        <v>0.26355317985240201</v>
      </c>
      <c r="R5611">
        <v>0.98204948949343196</v>
      </c>
      <c r="S5611" t="s">
        <v>12063</v>
      </c>
      <c r="T5611" t="s">
        <v>12902</v>
      </c>
      <c r="U5611" t="s">
        <v>12902</v>
      </c>
      <c r="V5611" t="s">
        <v>12902</v>
      </c>
      <c r="W5611" t="s">
        <v>18464</v>
      </c>
      <c r="X5611">
        <v>3</v>
      </c>
      <c r="Y5611" t="s">
        <v>24754</v>
      </c>
      <c r="Z5611" t="s">
        <v>31186</v>
      </c>
      <c r="AA5611">
        <v>0.48790383823826677</v>
      </c>
      <c r="AB5611" t="str">
        <f>HYPERLINK("Melting_Curves/meltCurve_Q9HBM6_TAF9B.pdf", "Melting_Curves/meltCurve_Q9HBM6_TAF9B.pdf")</f>
        <v>Melting_Curves/meltCurve_Q9HBM6_TAF9B.pdf</v>
      </c>
    </row>
    <row r="5612" spans="1:28" x14ac:dyDescent="0.25">
      <c r="A5612" t="s">
        <v>5616</v>
      </c>
      <c r="B5612">
        <v>0.99673306730245903</v>
      </c>
      <c r="C5612">
        <v>0.85022416961785596</v>
      </c>
      <c r="D5612">
        <v>0.95826197018190395</v>
      </c>
      <c r="E5612">
        <v>0.71893325328296098</v>
      </c>
      <c r="F5612">
        <v>0.25658031026864703</v>
      </c>
      <c r="G5612">
        <v>0.16169967304219901</v>
      </c>
      <c r="H5612">
        <v>5.3013175363614301E-2</v>
      </c>
      <c r="I5612">
        <v>3.2074698982408202E-2</v>
      </c>
      <c r="J5612">
        <v>3.2911402215013701E-2</v>
      </c>
      <c r="K5612">
        <v>3.0627070434164801E-2</v>
      </c>
      <c r="L5612">
        <v>1289.2428099303399</v>
      </c>
      <c r="M5612">
        <v>25.2223310598913</v>
      </c>
      <c r="N5612">
        <v>51.271764737825599</v>
      </c>
      <c r="O5612">
        <v>50.797066130955997</v>
      </c>
      <c r="P5612">
        <v>-0.119531830106165</v>
      </c>
      <c r="Q5612">
        <v>3.7077511488699998E-2</v>
      </c>
      <c r="R5612">
        <v>0.98367085727399906</v>
      </c>
      <c r="S5612" t="s">
        <v>12064</v>
      </c>
      <c r="T5612" t="s">
        <v>12902</v>
      </c>
      <c r="U5612" t="s">
        <v>12902</v>
      </c>
      <c r="V5612" t="s">
        <v>12902</v>
      </c>
      <c r="W5612" t="s">
        <v>18465</v>
      </c>
      <c r="X5612">
        <v>6</v>
      </c>
      <c r="Y5612" t="s">
        <v>24755</v>
      </c>
      <c r="Z5612" t="s">
        <v>31187</v>
      </c>
      <c r="AA5612">
        <v>0.40240432546805538</v>
      </c>
      <c r="AB5612" t="str">
        <f>HYPERLINK("Melting_Curves/meltCurve_Q9HBM8_AGPAT1.pdf", "Melting_Curves/meltCurve_Q9HBM8_AGPAT1.pdf")</f>
        <v>Melting_Curves/meltCurve_Q9HBM8_AGPAT1.pdf</v>
      </c>
    </row>
    <row r="5613" spans="1:28" x14ac:dyDescent="0.25">
      <c r="A5613" t="s">
        <v>5617</v>
      </c>
      <c r="B5613">
        <v>0.99673306730245903</v>
      </c>
      <c r="C5613">
        <v>1.02423197960149</v>
      </c>
      <c r="D5613">
        <v>0.90763877506724999</v>
      </c>
      <c r="E5613">
        <v>0.90859402014753099</v>
      </c>
      <c r="F5613">
        <v>0.565255223297079</v>
      </c>
      <c r="G5613">
        <v>0.28680968554886999</v>
      </c>
      <c r="H5613">
        <v>0.12724428705774499</v>
      </c>
      <c r="I5613">
        <v>0.120157536706643</v>
      </c>
      <c r="J5613">
        <v>4.9460829076395797E-2</v>
      </c>
      <c r="K5613">
        <v>5.61265914912061E-2</v>
      </c>
      <c r="L5613">
        <v>1163.30609695405</v>
      </c>
      <c r="M5613">
        <v>21.6367757672237</v>
      </c>
      <c r="N5613">
        <v>54.073910477402599</v>
      </c>
      <c r="O5613">
        <v>53.312275947676802</v>
      </c>
      <c r="P5613">
        <v>-9.5570184486467896E-2</v>
      </c>
      <c r="Q5613">
        <v>5.8095788844647001E-2</v>
      </c>
      <c r="R5613">
        <v>0.99428017461537099</v>
      </c>
      <c r="S5613" t="s">
        <v>12065</v>
      </c>
      <c r="T5613" t="s">
        <v>12902</v>
      </c>
      <c r="U5613" t="s">
        <v>12902</v>
      </c>
      <c r="V5613" t="s">
        <v>12902</v>
      </c>
      <c r="W5613" t="s">
        <v>18466</v>
      </c>
      <c r="X5613">
        <v>4</v>
      </c>
      <c r="Y5613" t="s">
        <v>24756</v>
      </c>
      <c r="Z5613" t="s">
        <v>31188</v>
      </c>
      <c r="AA5613">
        <v>0.50153998703867597</v>
      </c>
      <c r="AB5613" t="str">
        <f>HYPERLINK("Melting_Curves/meltCurve_Q9HBU6_ETNK1.pdf", "Melting_Curves/meltCurve_Q9HBU6_ETNK1.pdf")</f>
        <v>Melting_Curves/meltCurve_Q9HBU6_ETNK1.pdf</v>
      </c>
    </row>
    <row r="5614" spans="1:28" x14ac:dyDescent="0.25">
      <c r="A5614" t="s">
        <v>5618</v>
      </c>
      <c r="B5614">
        <v>0.99673306730245903</v>
      </c>
      <c r="C5614">
        <v>0.91341486705458097</v>
      </c>
      <c r="D5614">
        <v>0.78942591093297299</v>
      </c>
      <c r="E5614">
        <v>0.36242426531452498</v>
      </c>
      <c r="F5614">
        <v>0.19633339980964801</v>
      </c>
      <c r="G5614">
        <v>0.11905150440532</v>
      </c>
      <c r="H5614">
        <v>7.0150863356434695E-2</v>
      </c>
      <c r="I5614">
        <v>6.6041011750429299E-2</v>
      </c>
      <c r="J5614">
        <v>7.4532103680257006E-2</v>
      </c>
      <c r="K5614">
        <v>7.1433458407312106E-2</v>
      </c>
      <c r="L5614">
        <v>1075.13285972829</v>
      </c>
      <c r="M5614">
        <v>22.3207751952392</v>
      </c>
      <c r="N5614">
        <v>48.508449520177003</v>
      </c>
      <c r="O5614">
        <v>47.785761845117499</v>
      </c>
      <c r="P5614">
        <v>-0.108296980150167</v>
      </c>
      <c r="Q5614">
        <v>7.2623196994120107E-2</v>
      </c>
      <c r="R5614">
        <v>0.99714482821084605</v>
      </c>
      <c r="S5614" t="s">
        <v>12066</v>
      </c>
      <c r="T5614" t="s">
        <v>12902</v>
      </c>
      <c r="U5614" t="s">
        <v>12902</v>
      </c>
      <c r="V5614" t="s">
        <v>12902</v>
      </c>
      <c r="W5614" t="s">
        <v>13111</v>
      </c>
      <c r="X5614">
        <v>17</v>
      </c>
      <c r="Y5614" t="s">
        <v>19506</v>
      </c>
      <c r="Z5614" t="s">
        <v>31189</v>
      </c>
      <c r="AA5614">
        <v>0.33551367732154452</v>
      </c>
      <c r="AB5614" t="str">
        <f>HYPERLINK("Melting_Curves/meltCurve_Q9HC35_EML4.pdf", "Melting_Curves/meltCurve_Q9HC35_EML4.pdf")</f>
        <v>Melting_Curves/meltCurve_Q9HC35_EML4.pdf</v>
      </c>
    </row>
    <row r="5615" spans="1:28" x14ac:dyDescent="0.25">
      <c r="A5615" t="s">
        <v>5619</v>
      </c>
      <c r="B5615">
        <v>0.99673306730245903</v>
      </c>
      <c r="C5615">
        <v>0.92585336949388197</v>
      </c>
      <c r="D5615">
        <v>0.86811698876917798</v>
      </c>
      <c r="E5615">
        <v>0.860416127084076</v>
      </c>
      <c r="F5615">
        <v>0.50890131078262302</v>
      </c>
      <c r="G5615">
        <v>0.230359984925503</v>
      </c>
      <c r="H5615">
        <v>9.3633908252178197E-2</v>
      </c>
      <c r="I5615">
        <v>9.7391578039412202E-2</v>
      </c>
      <c r="J5615">
        <v>0.119325623105067</v>
      </c>
      <c r="K5615">
        <v>0.119960261252593</v>
      </c>
      <c r="L5615">
        <v>1217.2104881482801</v>
      </c>
      <c r="M5615">
        <v>23.071106590086899</v>
      </c>
      <c r="N5615">
        <v>53.223255962882597</v>
      </c>
      <c r="O5615">
        <v>52.367495863457897</v>
      </c>
      <c r="P5615">
        <v>-0.100105296662422</v>
      </c>
      <c r="Q5615">
        <v>9.1128578137031097E-2</v>
      </c>
      <c r="R5615">
        <v>0.98619020267170598</v>
      </c>
      <c r="S5615" t="s">
        <v>12067</v>
      </c>
      <c r="T5615" t="s">
        <v>12902</v>
      </c>
      <c r="U5615" t="s">
        <v>12902</v>
      </c>
      <c r="V5615" t="s">
        <v>12902</v>
      </c>
      <c r="W5615" t="s">
        <v>18467</v>
      </c>
      <c r="X5615">
        <v>10</v>
      </c>
      <c r="Y5615" t="s">
        <v>24757</v>
      </c>
      <c r="Z5615" t="s">
        <v>31190</v>
      </c>
      <c r="AA5615">
        <v>0.48737728907103928</v>
      </c>
      <c r="AB5615" t="str">
        <f>HYPERLINK("Melting_Curves/meltCurve_Q9HC36_RNMTL1.pdf", "Melting_Curves/meltCurve_Q9HC36_RNMTL1.pdf")</f>
        <v>Melting_Curves/meltCurve_Q9HC36_RNMTL1.pdf</v>
      </c>
    </row>
    <row r="5616" spans="1:28" x14ac:dyDescent="0.25">
      <c r="A5616" t="s">
        <v>5620</v>
      </c>
      <c r="B5616">
        <v>0.99673306730245903</v>
      </c>
      <c r="C5616">
        <v>1.0177239073925499</v>
      </c>
      <c r="D5616">
        <v>0.64133651589624296</v>
      </c>
      <c r="E5616">
        <v>0.30275925337521598</v>
      </c>
      <c r="F5616">
        <v>0.13138050903425699</v>
      </c>
      <c r="G5616">
        <v>7.8364328103629199E-2</v>
      </c>
      <c r="H5616">
        <v>4.7353493994771498E-2</v>
      </c>
      <c r="I5616">
        <v>4.3639578761016803E-2</v>
      </c>
      <c r="J5616">
        <v>4.5483859303201001E-2</v>
      </c>
      <c r="K5616">
        <v>3.4850667970054497E-2</v>
      </c>
      <c r="L5616">
        <v>1162.64699015063</v>
      </c>
      <c r="M5616">
        <v>24.552959575627099</v>
      </c>
      <c r="N5616">
        <v>47.557450844428502</v>
      </c>
      <c r="O5616">
        <v>47.041859078897097</v>
      </c>
      <c r="P5616">
        <v>-0.123939214684919</v>
      </c>
      <c r="Q5616">
        <v>5.0176117159907101E-2</v>
      </c>
      <c r="R5616">
        <v>0.99228092189242101</v>
      </c>
      <c r="S5616" t="s">
        <v>12068</v>
      </c>
      <c r="T5616" t="s">
        <v>12902</v>
      </c>
      <c r="U5616" t="s">
        <v>12902</v>
      </c>
      <c r="V5616" t="s">
        <v>12902</v>
      </c>
      <c r="W5616" t="s">
        <v>18468</v>
      </c>
      <c r="X5616">
        <v>28</v>
      </c>
      <c r="Y5616" t="s">
        <v>24758</v>
      </c>
      <c r="Z5616" t="s">
        <v>31191</v>
      </c>
      <c r="AA5616">
        <v>0.29173668275567322</v>
      </c>
      <c r="AB5616" t="str">
        <f>HYPERLINK("Melting_Curves/meltCurve_Q9HC38_2_GLOD4.pdf", "Melting_Curves/meltCurve_Q9HC38_2_GLOD4.pdf")</f>
        <v>Melting_Curves/meltCurve_Q9HC38_2_GLOD4.pdf</v>
      </c>
    </row>
    <row r="5617" spans="1:28" x14ac:dyDescent="0.25">
      <c r="A5617" t="s">
        <v>5621</v>
      </c>
      <c r="B5617">
        <v>0.99673306730245903</v>
      </c>
      <c r="C5617">
        <v>0.80326232533990005</v>
      </c>
      <c r="D5617">
        <v>0.61769700488648605</v>
      </c>
      <c r="E5617">
        <v>0.441506009853117</v>
      </c>
      <c r="F5617">
        <v>0.273567775852607</v>
      </c>
      <c r="G5617">
        <v>0.192220669313408</v>
      </c>
      <c r="H5617">
        <v>0.15918768245178799</v>
      </c>
      <c r="I5617">
        <v>0.25104418448872701</v>
      </c>
      <c r="J5617">
        <v>0.38273846677231999</v>
      </c>
      <c r="K5617">
        <v>0.42212737183907501</v>
      </c>
      <c r="L5617">
        <v>935.295975299509</v>
      </c>
      <c r="M5617">
        <v>20.513735700886901</v>
      </c>
      <c r="N5617">
        <v>47.472592980563803</v>
      </c>
      <c r="O5617">
        <v>45.1670049049727</v>
      </c>
      <c r="P5617">
        <v>-8.19811617613668E-2</v>
      </c>
      <c r="Q5617">
        <v>0.27799903536734299</v>
      </c>
      <c r="R5617">
        <v>0.90571701526968795</v>
      </c>
      <c r="S5617" t="s">
        <v>12069</v>
      </c>
      <c r="T5617" t="s">
        <v>12902</v>
      </c>
      <c r="U5617" t="s">
        <v>12902</v>
      </c>
      <c r="V5617" t="s">
        <v>12902</v>
      </c>
      <c r="W5617" t="s">
        <v>18469</v>
      </c>
      <c r="X5617">
        <v>4</v>
      </c>
      <c r="Y5617" t="s">
        <v>24759</v>
      </c>
      <c r="Z5617" t="s">
        <v>31192</v>
      </c>
      <c r="AA5617">
        <v>0.42348405126129118</v>
      </c>
      <c r="AB5617" t="str">
        <f>HYPERLINK("Melting_Curves/meltCurve_Q9HC52_CBX8.pdf", "Melting_Curves/meltCurve_Q9HC52_CBX8.pdf")</f>
        <v>Melting_Curves/meltCurve_Q9HC52_CBX8.pdf</v>
      </c>
    </row>
    <row r="5618" spans="1:28" x14ac:dyDescent="0.25">
      <c r="A5618" t="s">
        <v>5622</v>
      </c>
      <c r="B5618">
        <v>0.99673306730245903</v>
      </c>
      <c r="C5618">
        <v>0.95304393028178502</v>
      </c>
      <c r="D5618">
        <v>0.993833244428447</v>
      </c>
      <c r="E5618">
        <v>1.12236163010853</v>
      </c>
      <c r="F5618">
        <v>1.2923260224676201</v>
      </c>
      <c r="G5618">
        <v>1.2605475314937999</v>
      </c>
      <c r="H5618">
        <v>1.23450231106019</v>
      </c>
      <c r="I5618">
        <v>1.37040580555851</v>
      </c>
      <c r="J5618">
        <v>1.0729046181192201</v>
      </c>
      <c r="K5618">
        <v>0.20533686844847099</v>
      </c>
      <c r="L5618">
        <v>15000</v>
      </c>
      <c r="M5618">
        <v>215.63797107960499</v>
      </c>
      <c r="N5618">
        <v>69.561032978028294</v>
      </c>
      <c r="O5618">
        <v>69.555062058377203</v>
      </c>
      <c r="P5618">
        <v>-0.77506224067211804</v>
      </c>
      <c r="Q5618">
        <v>0</v>
      </c>
      <c r="R5618">
        <v>0.62218755586258501</v>
      </c>
      <c r="S5618" t="s">
        <v>12070</v>
      </c>
      <c r="T5618" t="s">
        <v>12902</v>
      </c>
      <c r="U5618" t="s">
        <v>12902</v>
      </c>
      <c r="V5618" t="s">
        <v>12902</v>
      </c>
      <c r="W5618" t="s">
        <v>18470</v>
      </c>
      <c r="X5618">
        <v>33</v>
      </c>
      <c r="Y5618" t="s">
        <v>24760</v>
      </c>
      <c r="Z5618" t="s">
        <v>31193</v>
      </c>
      <c r="AA5618">
        <v>0.98300181087638239</v>
      </c>
      <c r="AB5618" t="str">
        <f>HYPERLINK("Melting_Curves/meltCurve_Q9HCC0_MCCC2.pdf", "Melting_Curves/meltCurve_Q9HCC0_MCCC2.pdf")</f>
        <v>Melting_Curves/meltCurve_Q9HCC0_MCCC2.pdf</v>
      </c>
    </row>
    <row r="5619" spans="1:28" x14ac:dyDescent="0.25">
      <c r="A5619" t="s">
        <v>5623</v>
      </c>
      <c r="B5619">
        <v>0.99673306730245903</v>
      </c>
      <c r="C5619">
        <v>0.92323795270488496</v>
      </c>
      <c r="D5619">
        <v>0.93160260875401801</v>
      </c>
      <c r="E5619">
        <v>0.66526799612115795</v>
      </c>
      <c r="F5619">
        <v>0.27371764792040898</v>
      </c>
      <c r="G5619">
        <v>0.14451772130281801</v>
      </c>
      <c r="H5619">
        <v>0.10152302895463899</v>
      </c>
      <c r="I5619">
        <v>9.5666942457164297E-2</v>
      </c>
      <c r="J5619">
        <v>0.111720586615801</v>
      </c>
      <c r="K5619">
        <v>9.51898203371698E-2</v>
      </c>
      <c r="L5619">
        <v>1326.35983269915</v>
      </c>
      <c r="M5619">
        <v>26.264333282478098</v>
      </c>
      <c r="N5619">
        <v>50.914438653244197</v>
      </c>
      <c r="O5619">
        <v>50.210383515603503</v>
      </c>
      <c r="P5619">
        <v>-0.118198722693113</v>
      </c>
      <c r="Q5619">
        <v>9.6152563901156105E-2</v>
      </c>
      <c r="R5619">
        <v>0.99632647584317302</v>
      </c>
      <c r="S5619" t="s">
        <v>12071</v>
      </c>
      <c r="T5619" t="s">
        <v>12902</v>
      </c>
      <c r="U5619" t="s">
        <v>12902</v>
      </c>
      <c r="V5619" t="s">
        <v>12902</v>
      </c>
      <c r="W5619" t="s">
        <v>18471</v>
      </c>
      <c r="X5619">
        <v>14</v>
      </c>
      <c r="Y5619" t="s">
        <v>24761</v>
      </c>
      <c r="Z5619" t="s">
        <v>31194</v>
      </c>
      <c r="AA5619">
        <v>0.41987203974869508</v>
      </c>
      <c r="AB5619" t="str">
        <f>HYPERLINK("Melting_Curves/meltCurve_Q9HCD5_NCOA5.pdf", "Melting_Curves/meltCurve_Q9HCD5_NCOA5.pdf")</f>
        <v>Melting_Curves/meltCurve_Q9HCD5_NCOA5.pdf</v>
      </c>
    </row>
    <row r="5620" spans="1:28" x14ac:dyDescent="0.25">
      <c r="A5620" t="s">
        <v>5624</v>
      </c>
      <c r="B5620">
        <v>0.99673306730245903</v>
      </c>
      <c r="C5620">
        <v>0.95373542626293695</v>
      </c>
      <c r="D5620">
        <v>0.84903228948126896</v>
      </c>
      <c r="E5620">
        <v>0.71868890053891699</v>
      </c>
      <c r="F5620">
        <v>0.43227731943199299</v>
      </c>
      <c r="G5620">
        <v>0.31783140389161102</v>
      </c>
      <c r="H5620">
        <v>0.26639953758852802</v>
      </c>
      <c r="I5620">
        <v>0.30366248164410697</v>
      </c>
      <c r="J5620">
        <v>0.32976685121709498</v>
      </c>
      <c r="K5620">
        <v>0.40452144686950298</v>
      </c>
      <c r="L5620">
        <v>1082.6358469248901</v>
      </c>
      <c r="M5620">
        <v>21.762382748398998</v>
      </c>
      <c r="N5620">
        <v>52.101775035590798</v>
      </c>
      <c r="O5620">
        <v>49.333690302052801</v>
      </c>
      <c r="P5620">
        <v>-7.57727748029247E-2</v>
      </c>
      <c r="Q5620">
        <v>0.31293121121516598</v>
      </c>
      <c r="R5620">
        <v>0.97402565945608</v>
      </c>
      <c r="S5620" t="s">
        <v>12072</v>
      </c>
      <c r="T5620" t="s">
        <v>12902</v>
      </c>
      <c r="U5620" t="s">
        <v>12902</v>
      </c>
      <c r="V5620" t="s">
        <v>12902</v>
      </c>
      <c r="W5620" t="s">
        <v>18472</v>
      </c>
      <c r="X5620">
        <v>3</v>
      </c>
      <c r="Y5620" t="s">
        <v>24762</v>
      </c>
      <c r="Z5620" t="s">
        <v>31195</v>
      </c>
      <c r="AA5620">
        <v>0.54428091312122973</v>
      </c>
      <c r="AB5620" t="str">
        <f>HYPERLINK("Melting_Curves/meltCurve_Q9HCE1_MOV10.pdf", "Melting_Curves/meltCurve_Q9HCE1_MOV10.pdf")</f>
        <v>Melting_Curves/meltCurve_Q9HCE1_MOV10.pdf</v>
      </c>
    </row>
    <row r="5621" spans="1:28" x14ac:dyDescent="0.25">
      <c r="A5621" t="s">
        <v>5625</v>
      </c>
      <c r="B5621">
        <v>0.99673306730245903</v>
      </c>
      <c r="C5621">
        <v>0.88299935899075199</v>
      </c>
      <c r="D5621">
        <v>0.86524099147186095</v>
      </c>
      <c r="E5621">
        <v>0.86913557607423697</v>
      </c>
      <c r="F5621">
        <v>0.30297231063290497</v>
      </c>
      <c r="G5621">
        <v>0.15702386168476501</v>
      </c>
      <c r="H5621">
        <v>9.1686338789781996E-2</v>
      </c>
      <c r="I5621">
        <v>8.4895224601363894E-2</v>
      </c>
      <c r="J5621">
        <v>8.4852322089764107E-2</v>
      </c>
      <c r="K5621">
        <v>7.1142692620212805E-2</v>
      </c>
      <c r="L5621">
        <v>1916.82461839749</v>
      </c>
      <c r="M5621">
        <v>37.087466100336201</v>
      </c>
      <c r="N5621">
        <v>51.955789930635198</v>
      </c>
      <c r="O5621">
        <v>51.5343390526699</v>
      </c>
      <c r="P5621">
        <v>-0.16404689541082099</v>
      </c>
      <c r="Q5621">
        <v>8.8207219563995201E-2</v>
      </c>
      <c r="R5621">
        <v>0.97819041853900202</v>
      </c>
      <c r="S5621" t="s">
        <v>12073</v>
      </c>
      <c r="T5621" t="s">
        <v>12902</v>
      </c>
      <c r="U5621" t="s">
        <v>12902</v>
      </c>
      <c r="V5621" t="s">
        <v>12902</v>
      </c>
      <c r="W5621" t="s">
        <v>18473</v>
      </c>
      <c r="X5621">
        <v>14</v>
      </c>
      <c r="Y5621" t="s">
        <v>24763</v>
      </c>
      <c r="Z5621" t="s">
        <v>31196</v>
      </c>
      <c r="AA5621">
        <v>0.4471079520238323</v>
      </c>
      <c r="AB5621" t="str">
        <f>HYPERLINK("Melting_Curves/meltCurve_Q9HCE5_METTL14.pdf", "Melting_Curves/meltCurve_Q9HCE5_METTL14.pdf")</f>
        <v>Melting_Curves/meltCurve_Q9HCE5_METTL14.pdf</v>
      </c>
    </row>
    <row r="5622" spans="1:28" x14ac:dyDescent="0.25">
      <c r="A5622" t="s">
        <v>5626</v>
      </c>
      <c r="B5622">
        <v>0.99673306730245903</v>
      </c>
      <c r="C5622">
        <v>0.95127533267546105</v>
      </c>
      <c r="D5622">
        <v>0.89491113890829599</v>
      </c>
      <c r="E5622">
        <v>0.71173807191794503</v>
      </c>
      <c r="F5622">
        <v>0.27219407605292101</v>
      </c>
      <c r="G5622">
        <v>0.16656216214164399</v>
      </c>
      <c r="H5622">
        <v>8.4022184846351294E-2</v>
      </c>
      <c r="I5622">
        <v>9.9651567693881296E-2</v>
      </c>
      <c r="J5622">
        <v>0.102987152328</v>
      </c>
      <c r="K5622">
        <v>8.7456554941558198E-2</v>
      </c>
      <c r="L5622">
        <v>1300.6534794977399</v>
      </c>
      <c r="M5622">
        <v>25.6242144250864</v>
      </c>
      <c r="N5622">
        <v>51.152922571780401</v>
      </c>
      <c r="O5622">
        <v>50.452648029118798</v>
      </c>
      <c r="P5622">
        <v>-0.11559787998729</v>
      </c>
      <c r="Q5622">
        <v>8.9588028326600094E-2</v>
      </c>
      <c r="R5622">
        <v>0.99521942797350904</v>
      </c>
      <c r="S5622" t="s">
        <v>12074</v>
      </c>
      <c r="T5622" t="s">
        <v>12902</v>
      </c>
      <c r="U5622" t="s">
        <v>12902</v>
      </c>
      <c r="V5622" t="s">
        <v>12902</v>
      </c>
      <c r="W5622" t="s">
        <v>18474</v>
      </c>
      <c r="X5622">
        <v>6</v>
      </c>
      <c r="Y5622" t="s">
        <v>24764</v>
      </c>
      <c r="Z5622" t="s">
        <v>31197</v>
      </c>
      <c r="AA5622">
        <v>0.42389688566343697</v>
      </c>
      <c r="AB5622" t="str">
        <f>HYPERLINK("Melting_Curves/meltCurve_Q9HCG7_GBA2.pdf", "Melting_Curves/meltCurve_Q9HCG7_GBA2.pdf")</f>
        <v>Melting_Curves/meltCurve_Q9HCG7_GBA2.pdf</v>
      </c>
    </row>
    <row r="5623" spans="1:28" x14ac:dyDescent="0.25">
      <c r="A5623" t="s">
        <v>5627</v>
      </c>
      <c r="B5623">
        <v>0.99673306730245903</v>
      </c>
      <c r="C5623">
        <v>0.87274123441954599</v>
      </c>
      <c r="D5623">
        <v>0.64879248447182603</v>
      </c>
      <c r="E5623">
        <v>0.30085733958698002</v>
      </c>
      <c r="F5623">
        <v>0.151559327509904</v>
      </c>
      <c r="G5623">
        <v>8.4939542205445806E-2</v>
      </c>
      <c r="H5623">
        <v>5.1221544679343901E-2</v>
      </c>
      <c r="I5623">
        <v>5.5777043926472203E-2</v>
      </c>
      <c r="J5623">
        <v>7.5089151522896899E-2</v>
      </c>
      <c r="K5623">
        <v>8.1648226797577397E-2</v>
      </c>
      <c r="L5623">
        <v>968.63582935054103</v>
      </c>
      <c r="M5623">
        <v>20.577029824469001</v>
      </c>
      <c r="N5623">
        <v>47.3805805512715</v>
      </c>
      <c r="O5623">
        <v>46.635818381089699</v>
      </c>
      <c r="P5623">
        <v>-0.103427036131402</v>
      </c>
      <c r="Q5623">
        <v>6.2398369996640703E-2</v>
      </c>
      <c r="R5623">
        <v>0.998506711000687</v>
      </c>
      <c r="S5623" t="s">
        <v>12075</v>
      </c>
      <c r="T5623" t="s">
        <v>12902</v>
      </c>
      <c r="U5623" t="s">
        <v>12902</v>
      </c>
      <c r="V5623" t="s">
        <v>12902</v>
      </c>
      <c r="W5623" t="s">
        <v>18475</v>
      </c>
      <c r="X5623">
        <v>4</v>
      </c>
      <c r="Y5623" t="s">
        <v>24765</v>
      </c>
      <c r="Z5623" t="s">
        <v>31198</v>
      </c>
      <c r="AA5623">
        <v>0.29632742178355792</v>
      </c>
      <c r="AB5623" t="str">
        <f>HYPERLINK("Melting_Curves/meltCurve_Q9HCJ3_2_RAVER2.pdf", "Melting_Curves/meltCurve_Q9HCJ3_2_RAVER2.pdf")</f>
        <v>Melting_Curves/meltCurve_Q9HCJ3_2_RAVER2.pdf</v>
      </c>
    </row>
    <row r="5624" spans="1:28" x14ac:dyDescent="0.25">
      <c r="A5624" t="s">
        <v>5628</v>
      </c>
      <c r="B5624">
        <v>0.99673306730245903</v>
      </c>
      <c r="C5624">
        <v>1.0701093637909</v>
      </c>
      <c r="D5624">
        <v>0.93175744831263996</v>
      </c>
      <c r="E5624">
        <v>0.85215183645020598</v>
      </c>
      <c r="F5624">
        <v>0.68189260922936301</v>
      </c>
      <c r="G5624">
        <v>0.528450522915901</v>
      </c>
      <c r="H5624">
        <v>0.461906195917683</v>
      </c>
      <c r="I5624">
        <v>0.377268733799699</v>
      </c>
      <c r="J5624">
        <v>0.22662716984470699</v>
      </c>
      <c r="K5624">
        <v>0.101125946711564</v>
      </c>
      <c r="L5624">
        <v>560.05036368953995</v>
      </c>
      <c r="M5624">
        <v>9.5633335581050005</v>
      </c>
      <c r="N5624">
        <v>58.562252624645502</v>
      </c>
      <c r="O5624">
        <v>56.173293458565702</v>
      </c>
      <c r="P5624">
        <v>-4.2586306757227202E-2</v>
      </c>
      <c r="Q5624">
        <v>0</v>
      </c>
      <c r="R5624">
        <v>0.97408609179593597</v>
      </c>
      <c r="S5624" t="s">
        <v>12076</v>
      </c>
      <c r="T5624" t="s">
        <v>12902</v>
      </c>
      <c r="U5624" t="s">
        <v>12902</v>
      </c>
      <c r="V5624" t="s">
        <v>12902</v>
      </c>
      <c r="W5624" t="s">
        <v>18476</v>
      </c>
      <c r="X5624">
        <v>7</v>
      </c>
      <c r="Y5624" t="s">
        <v>24766</v>
      </c>
      <c r="Z5624" t="s">
        <v>31199</v>
      </c>
      <c r="AA5624">
        <v>0.6237710637575179</v>
      </c>
      <c r="AB5624" t="str">
        <f>HYPERLINK("Melting_Curves/meltCurve_Q9HCK8_2_CHD8.pdf", "Melting_Curves/meltCurve_Q9HCK8_2_CHD8.pdf")</f>
        <v>Melting_Curves/meltCurve_Q9HCK8_2_CHD8.pdf</v>
      </c>
    </row>
    <row r="5625" spans="1:28" x14ac:dyDescent="0.25">
      <c r="A5625" t="s">
        <v>5629</v>
      </c>
      <c r="B5625">
        <v>0.99673306730245903</v>
      </c>
      <c r="C5625">
        <v>1.0087587243595799</v>
      </c>
      <c r="D5625">
        <v>0.99266448684898101</v>
      </c>
      <c r="E5625">
        <v>0.92127258428965297</v>
      </c>
      <c r="F5625">
        <v>0.6305329671505</v>
      </c>
      <c r="G5625">
        <v>0.59752646038238999</v>
      </c>
      <c r="H5625">
        <v>0.63219235257851403</v>
      </c>
      <c r="I5625">
        <v>0.28314566081383902</v>
      </c>
      <c r="J5625">
        <v>0.10278599962912199</v>
      </c>
      <c r="K5625">
        <v>9.8540827604685299E-2</v>
      </c>
      <c r="L5625">
        <v>658.437395446648</v>
      </c>
      <c r="M5625">
        <v>11.1433747722307</v>
      </c>
      <c r="N5625">
        <v>59.087799842868201</v>
      </c>
      <c r="O5625">
        <v>57.280674904677703</v>
      </c>
      <c r="P5625">
        <v>-4.8650576256692502E-2</v>
      </c>
      <c r="Q5625">
        <v>0</v>
      </c>
      <c r="R5625">
        <v>0.93070400106005602</v>
      </c>
      <c r="S5625" t="s">
        <v>12077</v>
      </c>
      <c r="T5625" t="s">
        <v>12902</v>
      </c>
      <c r="U5625" t="s">
        <v>12902</v>
      </c>
      <c r="V5625" t="s">
        <v>12902</v>
      </c>
      <c r="W5625" t="s">
        <v>18477</v>
      </c>
      <c r="X5625">
        <v>2</v>
      </c>
      <c r="Y5625" t="s">
        <v>24767</v>
      </c>
      <c r="Z5625" t="s">
        <v>31200</v>
      </c>
      <c r="AA5625">
        <v>0.6420815857357165</v>
      </c>
      <c r="AB5625" t="str">
        <f>HYPERLINK("Melting_Curves/meltCurve_Q9HCM4_2_EPB41L5.pdf", "Melting_Curves/meltCurve_Q9HCM4_2_EPB41L5.pdf")</f>
        <v>Melting_Curves/meltCurve_Q9HCM4_2_EPB41L5.pdf</v>
      </c>
    </row>
    <row r="5626" spans="1:28" x14ac:dyDescent="0.25">
      <c r="A5626" t="s">
        <v>5630</v>
      </c>
      <c r="B5626">
        <v>0.99673306730245903</v>
      </c>
      <c r="C5626">
        <v>0.89700080467555099</v>
      </c>
      <c r="D5626">
        <v>0.89325774017395398</v>
      </c>
      <c r="E5626">
        <v>0.80954710290669096</v>
      </c>
      <c r="F5626">
        <v>0.68901940341513701</v>
      </c>
      <c r="G5626">
        <v>0.59583229138904803</v>
      </c>
      <c r="H5626">
        <v>0.44651435203383499</v>
      </c>
      <c r="I5626">
        <v>0.34940672582555099</v>
      </c>
      <c r="J5626">
        <v>0.17536880114259501</v>
      </c>
      <c r="K5626">
        <v>0.114839623116298</v>
      </c>
      <c r="L5626">
        <v>526.33731085376803</v>
      </c>
      <c r="M5626">
        <v>9.0402119130156997</v>
      </c>
      <c r="N5626">
        <v>58.221789030542801</v>
      </c>
      <c r="O5626">
        <v>55.584758932827299</v>
      </c>
      <c r="P5626">
        <v>-4.0688614530522797E-2</v>
      </c>
      <c r="Q5626">
        <v>0</v>
      </c>
      <c r="R5626">
        <v>0.97978375566269904</v>
      </c>
      <c r="S5626" t="s">
        <v>12078</v>
      </c>
      <c r="T5626" t="s">
        <v>12902</v>
      </c>
      <c r="U5626" t="s">
        <v>12902</v>
      </c>
      <c r="V5626" t="s">
        <v>12902</v>
      </c>
      <c r="W5626" t="s">
        <v>18478</v>
      </c>
      <c r="X5626">
        <v>5</v>
      </c>
      <c r="Y5626" t="s">
        <v>24768</v>
      </c>
      <c r="Z5626" t="s">
        <v>31201</v>
      </c>
      <c r="AA5626">
        <v>0.61319862748184462</v>
      </c>
      <c r="AB5626" t="str">
        <f>HYPERLINK("Melting_Curves/meltCurve_Q9HCN3_TMEM8A.pdf", "Melting_Curves/meltCurve_Q9HCN3_TMEM8A.pdf")</f>
        <v>Melting_Curves/meltCurve_Q9HCN3_TMEM8A.pdf</v>
      </c>
    </row>
    <row r="5627" spans="1:28" x14ac:dyDescent="0.25">
      <c r="A5627" t="s">
        <v>5631</v>
      </c>
      <c r="B5627">
        <v>0.99673306730245903</v>
      </c>
      <c r="C5627">
        <v>0.92559306208334902</v>
      </c>
      <c r="D5627">
        <v>1.0046087801433801</v>
      </c>
      <c r="E5627">
        <v>1.0221155105017801</v>
      </c>
      <c r="F5627">
        <v>1.1162233992636801</v>
      </c>
      <c r="G5627">
        <v>0.96837430312218298</v>
      </c>
      <c r="H5627">
        <v>0.87346569292112197</v>
      </c>
      <c r="I5627">
        <v>1.13321092972799</v>
      </c>
      <c r="J5627">
        <v>0.73924123509446404</v>
      </c>
      <c r="K5627">
        <v>0.23282900830250899</v>
      </c>
      <c r="L5627">
        <v>15000</v>
      </c>
      <c r="M5627">
        <v>222.88287327870501</v>
      </c>
      <c r="N5627">
        <v>67.489532266129999</v>
      </c>
      <c r="O5627">
        <v>67.294503887336901</v>
      </c>
      <c r="P5627">
        <v>-0.63534535655886104</v>
      </c>
      <c r="Q5627">
        <v>0.232686661556775</v>
      </c>
      <c r="R5627">
        <v>0.911428612058097</v>
      </c>
      <c r="S5627" t="s">
        <v>12079</v>
      </c>
      <c r="T5627" t="s">
        <v>12902</v>
      </c>
      <c r="U5627" t="s">
        <v>12902</v>
      </c>
      <c r="V5627" t="s">
        <v>12902</v>
      </c>
      <c r="W5627" t="s">
        <v>18479</v>
      </c>
      <c r="X5627">
        <v>8</v>
      </c>
      <c r="Y5627" t="s">
        <v>24769</v>
      </c>
      <c r="Z5627" t="s">
        <v>31202</v>
      </c>
      <c r="AA5627">
        <v>0.93105227709681726</v>
      </c>
      <c r="AB5627" t="str">
        <f>HYPERLINK("Melting_Curves/meltCurve_Q9HCN4_GPN1.pdf", "Melting_Curves/meltCurve_Q9HCN4_GPN1.pdf")</f>
        <v>Melting_Curves/meltCurve_Q9HCN4_GPN1.pdf</v>
      </c>
    </row>
    <row r="5628" spans="1:28" x14ac:dyDescent="0.25">
      <c r="A5628" t="s">
        <v>5632</v>
      </c>
      <c r="B5628">
        <v>0.99673306730245903</v>
      </c>
      <c r="C5628">
        <v>0.112271142070094</v>
      </c>
      <c r="D5628">
        <v>0.74734647515862695</v>
      </c>
      <c r="E5628">
        <v>0.671008581272591</v>
      </c>
      <c r="F5628">
        <v>0.49945538656080002</v>
      </c>
      <c r="G5628">
        <v>0.54543042389030705</v>
      </c>
      <c r="H5628">
        <v>0.326643102878799</v>
      </c>
      <c r="I5628">
        <v>0.231895013760999</v>
      </c>
      <c r="J5628">
        <v>0.20828555277268901</v>
      </c>
      <c r="K5628">
        <v>0.17609427235373001</v>
      </c>
      <c r="L5628">
        <v>206.173212558491</v>
      </c>
      <c r="M5628">
        <v>4.0636747052240398</v>
      </c>
      <c r="N5628">
        <v>50.735658762439698</v>
      </c>
      <c r="O5628">
        <v>41.858911681971001</v>
      </c>
      <c r="P5628">
        <v>-2.4566586711108E-2</v>
      </c>
      <c r="Q5628">
        <v>0</v>
      </c>
      <c r="R5628">
        <v>0.38946399050115699</v>
      </c>
      <c r="S5628" t="s">
        <v>12080</v>
      </c>
      <c r="T5628" t="s">
        <v>12902</v>
      </c>
      <c r="U5628" t="s">
        <v>12902</v>
      </c>
      <c r="V5628" t="s">
        <v>12902</v>
      </c>
      <c r="W5628" t="s">
        <v>18480</v>
      </c>
      <c r="X5628">
        <v>4</v>
      </c>
      <c r="Y5628" t="s">
        <v>24770</v>
      </c>
      <c r="Z5628" t="s">
        <v>31203</v>
      </c>
      <c r="AA5628">
        <v>0.44880691187779842</v>
      </c>
      <c r="AB5628" t="str">
        <f>HYPERLINK("Melting_Curves/meltCurve_Q9HCN8_SDF2L1.pdf", "Melting_Curves/meltCurve_Q9HCN8_SDF2L1.pdf")</f>
        <v>Melting_Curves/meltCurve_Q9HCN8_SDF2L1.pdf</v>
      </c>
    </row>
    <row r="5629" spans="1:28" x14ac:dyDescent="0.25">
      <c r="A5629" t="s">
        <v>5633</v>
      </c>
      <c r="B5629">
        <v>0.99673306730245903</v>
      </c>
      <c r="C5629">
        <v>0.90513099079707104</v>
      </c>
      <c r="D5629">
        <v>0.92050289098135596</v>
      </c>
      <c r="E5629">
        <v>0.63491388846788499</v>
      </c>
      <c r="F5629">
        <v>0.51031635642103002</v>
      </c>
      <c r="G5629">
        <v>0.34462823218521699</v>
      </c>
      <c r="H5629">
        <v>0.25682533605707702</v>
      </c>
      <c r="I5629">
        <v>0.25047306255110702</v>
      </c>
      <c r="J5629">
        <v>0.22040660693226599</v>
      </c>
      <c r="K5629">
        <v>0.10779633087611799</v>
      </c>
      <c r="L5629">
        <v>649.62922057585695</v>
      </c>
      <c r="M5629">
        <v>12.545853862018999</v>
      </c>
      <c r="N5629">
        <v>53.168141220858402</v>
      </c>
      <c r="O5629">
        <v>50.517635858715202</v>
      </c>
      <c r="P5629">
        <v>-5.3428581279062803E-2</v>
      </c>
      <c r="Q5629">
        <v>0.13962390566615299</v>
      </c>
      <c r="R5629">
        <v>0.98404080730806898</v>
      </c>
      <c r="S5629" t="s">
        <v>12081</v>
      </c>
      <c r="T5629" t="s">
        <v>12902</v>
      </c>
      <c r="U5629" t="s">
        <v>12902</v>
      </c>
      <c r="V5629" t="s">
        <v>12902</v>
      </c>
      <c r="W5629" t="s">
        <v>18481</v>
      </c>
      <c r="X5629">
        <v>4</v>
      </c>
      <c r="Y5629" t="s">
        <v>24771</v>
      </c>
      <c r="Z5629" t="s">
        <v>31204</v>
      </c>
      <c r="AA5629">
        <v>0.5026442435589531</v>
      </c>
      <c r="AB5629" t="str">
        <f>HYPERLINK("Melting_Curves/meltCurve_Q9HCR9_PDE11A.pdf", "Melting_Curves/meltCurve_Q9HCR9_PDE11A.pdf")</f>
        <v>Melting_Curves/meltCurve_Q9HCR9_PDE11A.pdf</v>
      </c>
    </row>
    <row r="5630" spans="1:28" x14ac:dyDescent="0.25">
      <c r="A5630" t="s">
        <v>5634</v>
      </c>
      <c r="B5630">
        <v>0.99673306730245903</v>
      </c>
      <c r="C5630">
        <v>0.96954373861418597</v>
      </c>
      <c r="D5630">
        <v>0.93869276593023099</v>
      </c>
      <c r="E5630">
        <v>0.69191276937519297</v>
      </c>
      <c r="F5630">
        <v>0.51865255171467495</v>
      </c>
      <c r="G5630">
        <v>0.37010922729285201</v>
      </c>
      <c r="H5630">
        <v>0.17720620783538801</v>
      </c>
      <c r="I5630">
        <v>0.12167106824448</v>
      </c>
      <c r="J5630">
        <v>0.13294213057722101</v>
      </c>
      <c r="K5630">
        <v>7.3425224824756094E-2</v>
      </c>
      <c r="L5630">
        <v>711.91465772027004</v>
      </c>
      <c r="M5630">
        <v>13.395934869431599</v>
      </c>
      <c r="N5630">
        <v>53.562323402736901</v>
      </c>
      <c r="O5630">
        <v>52.001696535709698</v>
      </c>
      <c r="P5630">
        <v>-6.12128568787976E-2</v>
      </c>
      <c r="Q5630">
        <v>4.9660312317126198E-2</v>
      </c>
      <c r="R5630">
        <v>0.99437946003232602</v>
      </c>
      <c r="S5630" t="s">
        <v>12082</v>
      </c>
      <c r="T5630" t="s">
        <v>12902</v>
      </c>
      <c r="U5630" t="s">
        <v>12902</v>
      </c>
      <c r="V5630" t="s">
        <v>12902</v>
      </c>
      <c r="W5630" t="s">
        <v>18482</v>
      </c>
      <c r="X5630">
        <v>18</v>
      </c>
      <c r="Y5630" t="s">
        <v>24772</v>
      </c>
      <c r="Z5630" t="s">
        <v>31205</v>
      </c>
      <c r="AA5630">
        <v>0.48958283306830641</v>
      </c>
      <c r="AB5630" t="str">
        <f>HYPERLINK("Melting_Curves/meltCurve_Q9HCU5_PREB.pdf", "Melting_Curves/meltCurve_Q9HCU5_PREB.pdf")</f>
        <v>Melting_Curves/meltCurve_Q9HCU5_PREB.pdf</v>
      </c>
    </row>
    <row r="5631" spans="1:28" x14ac:dyDescent="0.25">
      <c r="A5631" t="s">
        <v>5635</v>
      </c>
      <c r="B5631">
        <v>0.99673306730245903</v>
      </c>
      <c r="C5631">
        <v>0.94268936175735696</v>
      </c>
      <c r="D5631">
        <v>0.86731610636131795</v>
      </c>
      <c r="E5631">
        <v>0.82640477798581502</v>
      </c>
      <c r="F5631">
        <v>0.61728417115393597</v>
      </c>
      <c r="G5631">
        <v>0.38702133897918001</v>
      </c>
      <c r="H5631">
        <v>0.16366369419305299</v>
      </c>
      <c r="I5631">
        <v>0.121003167574222</v>
      </c>
      <c r="J5631">
        <v>0.118238187026573</v>
      </c>
      <c r="K5631">
        <v>0.10250622915550001</v>
      </c>
      <c r="L5631">
        <v>777.55527779306306</v>
      </c>
      <c r="M5631">
        <v>14.3115506711608</v>
      </c>
      <c r="N5631">
        <v>54.656285723321503</v>
      </c>
      <c r="O5631">
        <v>53.3028622263923</v>
      </c>
      <c r="P5631">
        <v>-6.4388153291688094E-2</v>
      </c>
      <c r="Q5631">
        <v>4.0870907923057302E-2</v>
      </c>
      <c r="R5631">
        <v>0.99169565724494901</v>
      </c>
      <c r="S5631" t="s">
        <v>12083</v>
      </c>
      <c r="T5631" t="s">
        <v>12902</v>
      </c>
      <c r="U5631" t="s">
        <v>12902</v>
      </c>
      <c r="V5631" t="s">
        <v>12902</v>
      </c>
      <c r="W5631" t="s">
        <v>18483</v>
      </c>
      <c r="X5631">
        <v>2</v>
      </c>
      <c r="Y5631" t="s">
        <v>24773</v>
      </c>
      <c r="Z5631" t="s">
        <v>31206</v>
      </c>
      <c r="AA5631">
        <v>0.51942191156251172</v>
      </c>
      <c r="AB5631" t="str">
        <f>HYPERLINK("Melting_Curves/meltCurve_Q9HCU8_POLD4.pdf", "Melting_Curves/meltCurve_Q9HCU8_POLD4.pdf")</f>
        <v>Melting_Curves/meltCurve_Q9HCU8_POLD4.pdf</v>
      </c>
    </row>
    <row r="5632" spans="1:28" x14ac:dyDescent="0.25">
      <c r="A5632" t="s">
        <v>5636</v>
      </c>
      <c r="B5632">
        <v>0.99673306730245903</v>
      </c>
      <c r="C5632">
        <v>1.03002253070634</v>
      </c>
      <c r="D5632">
        <v>0.97670326061428703</v>
      </c>
      <c r="E5632">
        <v>0.94656503760953103</v>
      </c>
      <c r="F5632">
        <v>0.80535860476071597</v>
      </c>
      <c r="G5632">
        <v>0.70619100281999603</v>
      </c>
      <c r="H5632">
        <v>0.53032185926267605</v>
      </c>
      <c r="I5632">
        <v>0.79941819496690802</v>
      </c>
      <c r="J5632">
        <v>0.90414971840977898</v>
      </c>
      <c r="K5632">
        <v>1.0473416913012501</v>
      </c>
      <c r="L5632">
        <v>3350.8289015949099</v>
      </c>
      <c r="M5632">
        <v>66.538863858244596</v>
      </c>
      <c r="O5632">
        <v>50.313542668127099</v>
      </c>
      <c r="P5632">
        <v>-6.6837279340534003E-2</v>
      </c>
      <c r="Q5632">
        <v>0.79784328478175504</v>
      </c>
      <c r="R5632">
        <v>0.36148505511324402</v>
      </c>
      <c r="S5632" t="s">
        <v>12084</v>
      </c>
      <c r="T5632" t="s">
        <v>12902</v>
      </c>
      <c r="U5632" t="s">
        <v>12902</v>
      </c>
      <c r="V5632" t="s">
        <v>12902</v>
      </c>
      <c r="W5632" t="s">
        <v>18484</v>
      </c>
      <c r="X5632">
        <v>9</v>
      </c>
      <c r="Y5632" t="s">
        <v>24774</v>
      </c>
      <c r="Z5632" t="s">
        <v>31207</v>
      </c>
      <c r="AA5632">
        <v>0.8679007718647912</v>
      </c>
      <c r="AB5632" t="str">
        <f>HYPERLINK("Melting_Curves/meltCurve_Q9HCY8_S100A14.pdf", "Melting_Curves/meltCurve_Q9HCY8_S100A14.pdf")</f>
        <v>Melting_Curves/meltCurve_Q9HCY8_S100A14.pdf</v>
      </c>
    </row>
    <row r="5633" spans="1:28" x14ac:dyDescent="0.25">
      <c r="A5633" t="s">
        <v>5637</v>
      </c>
      <c r="B5633">
        <v>0.99673306730245903</v>
      </c>
      <c r="C5633">
        <v>1.0579688323060299</v>
      </c>
      <c r="D5633">
        <v>1.01972282774676</v>
      </c>
      <c r="E5633">
        <v>0.93618632509676702</v>
      </c>
      <c r="F5633">
        <v>0.58730497589203301</v>
      </c>
      <c r="G5633">
        <v>0.29912129247290697</v>
      </c>
      <c r="H5633">
        <v>0.163671342048505</v>
      </c>
      <c r="I5633">
        <v>0.178936642269233</v>
      </c>
      <c r="J5633">
        <v>0.22421414221670199</v>
      </c>
      <c r="K5633">
        <v>0.20559717038522199</v>
      </c>
      <c r="L5633">
        <v>1773.32213233427</v>
      </c>
      <c r="M5633">
        <v>33.346129780987603</v>
      </c>
      <c r="N5633">
        <v>53.968656599350702</v>
      </c>
      <c r="O5633">
        <v>52.989089207945597</v>
      </c>
      <c r="P5633">
        <v>-0.12696225350454099</v>
      </c>
      <c r="Q5633">
        <v>0.19299954948547901</v>
      </c>
      <c r="R5633">
        <v>0.99462703312016199</v>
      </c>
      <c r="S5633" t="s">
        <v>12085</v>
      </c>
      <c r="T5633" t="s">
        <v>12902</v>
      </c>
      <c r="U5633" t="s">
        <v>12902</v>
      </c>
      <c r="V5633" t="s">
        <v>12902</v>
      </c>
      <c r="W5633" t="s">
        <v>18485</v>
      </c>
      <c r="X5633">
        <v>7</v>
      </c>
      <c r="Y5633" t="s">
        <v>24775</v>
      </c>
      <c r="Z5633" t="s">
        <v>31208</v>
      </c>
      <c r="AA5633">
        <v>0.55178161298137995</v>
      </c>
      <c r="AB5633" t="str">
        <f>HYPERLINK("Melting_Curves/meltCurve_Q9HD15_SRA1.pdf", "Melting_Curves/meltCurve_Q9HD15_SRA1.pdf")</f>
        <v>Melting_Curves/meltCurve_Q9HD15_SRA1.pdf</v>
      </c>
    </row>
    <row r="5634" spans="1:28" x14ac:dyDescent="0.25">
      <c r="A5634" t="s">
        <v>5638</v>
      </c>
      <c r="B5634">
        <v>0.99673306730245903</v>
      </c>
      <c r="C5634">
        <v>0.92014046602061605</v>
      </c>
      <c r="D5634">
        <v>0.78828901430042797</v>
      </c>
      <c r="E5634">
        <v>0.61060709013491199</v>
      </c>
      <c r="F5634">
        <v>0.29644718356208299</v>
      </c>
      <c r="G5634">
        <v>0.10871935271673901</v>
      </c>
      <c r="H5634">
        <v>6.0320025958765199E-2</v>
      </c>
      <c r="I5634">
        <v>5.3343385886037001E-2</v>
      </c>
      <c r="J5634">
        <v>5.9939671011293702E-2</v>
      </c>
      <c r="K5634">
        <v>5.2552250318879598E-2</v>
      </c>
      <c r="L5634">
        <v>838.22368028624601</v>
      </c>
      <c r="M5634">
        <v>16.697603656345301</v>
      </c>
      <c r="N5634">
        <v>50.361947222497299</v>
      </c>
      <c r="O5634">
        <v>49.496787657292103</v>
      </c>
      <c r="P5634">
        <v>-8.2140928232411606E-2</v>
      </c>
      <c r="Q5634">
        <v>2.6101511160100298E-2</v>
      </c>
      <c r="R5634">
        <v>0.99488308249199497</v>
      </c>
      <c r="S5634" t="s">
        <v>12086</v>
      </c>
      <c r="T5634" t="s">
        <v>12902</v>
      </c>
      <c r="U5634" t="s">
        <v>12902</v>
      </c>
      <c r="V5634" t="s">
        <v>12902</v>
      </c>
      <c r="W5634" t="s">
        <v>18486</v>
      </c>
      <c r="X5634">
        <v>25</v>
      </c>
      <c r="Y5634" t="s">
        <v>24776</v>
      </c>
      <c r="Z5634" t="s">
        <v>31209</v>
      </c>
      <c r="AA5634">
        <v>0.37627887517875303</v>
      </c>
      <c r="AB5634" t="str">
        <f>HYPERLINK("Melting_Curves/meltCurve_Q9HD20_2_ATP13A1.pdf", "Melting_Curves/meltCurve_Q9HD20_2_ATP13A1.pdf")</f>
        <v>Melting_Curves/meltCurve_Q9HD20_2_ATP13A1.pdf</v>
      </c>
    </row>
    <row r="5635" spans="1:28" x14ac:dyDescent="0.25">
      <c r="A5635" t="s">
        <v>5639</v>
      </c>
      <c r="B5635">
        <v>0.99673306730245903</v>
      </c>
      <c r="C5635">
        <v>1.02779965437562</v>
      </c>
      <c r="D5635">
        <v>1.01467115124223</v>
      </c>
      <c r="E5635">
        <v>0.90797567424204995</v>
      </c>
      <c r="F5635">
        <v>0.81311526336301498</v>
      </c>
      <c r="G5635">
        <v>0.63115036562543203</v>
      </c>
      <c r="H5635">
        <v>0.40067169136544201</v>
      </c>
      <c r="I5635">
        <v>0.25935640596118997</v>
      </c>
      <c r="J5635">
        <v>0.326716569658483</v>
      </c>
      <c r="K5635">
        <v>0.307541089180282</v>
      </c>
      <c r="L5635">
        <v>1098.8762699855899</v>
      </c>
      <c r="M5635">
        <v>19.5338035313227</v>
      </c>
      <c r="N5635">
        <v>58.537023323645499</v>
      </c>
      <c r="O5635">
        <v>55.675486976171001</v>
      </c>
      <c r="P5635">
        <v>-6.4338703546296699E-2</v>
      </c>
      <c r="Q5635">
        <v>0.26651034915307398</v>
      </c>
      <c r="R5635">
        <v>0.98825656661335204</v>
      </c>
      <c r="S5635" t="s">
        <v>12087</v>
      </c>
      <c r="T5635" t="s">
        <v>12902</v>
      </c>
      <c r="U5635" t="s">
        <v>12902</v>
      </c>
      <c r="V5635" t="s">
        <v>12902</v>
      </c>
      <c r="W5635" t="s">
        <v>18487</v>
      </c>
      <c r="X5635">
        <v>1</v>
      </c>
      <c r="Y5635" t="s">
        <v>24777</v>
      </c>
      <c r="Z5635" t="s">
        <v>31210</v>
      </c>
      <c r="AA5635">
        <v>0.67357769027258452</v>
      </c>
      <c r="AB5635" t="str">
        <f>HYPERLINK("Melting_Curves/meltCurve_Q9HD23_2_MRS2.pdf", "Melting_Curves/meltCurve_Q9HD23_2_MRS2.pdf")</f>
        <v>Melting_Curves/meltCurve_Q9HD23_2_MRS2.pdf</v>
      </c>
    </row>
    <row r="5636" spans="1:28" x14ac:dyDescent="0.25">
      <c r="A5636" t="s">
        <v>5640</v>
      </c>
      <c r="B5636">
        <v>0.99673306730245903</v>
      </c>
      <c r="C5636">
        <v>0.93185974093294999</v>
      </c>
      <c r="D5636">
        <v>0.92449858519559303</v>
      </c>
      <c r="E5636">
        <v>0.71635912537133195</v>
      </c>
      <c r="F5636">
        <v>0.63152573485917796</v>
      </c>
      <c r="G5636">
        <v>0.40892141740820698</v>
      </c>
      <c r="H5636">
        <v>0.28004796772291701</v>
      </c>
      <c r="I5636">
        <v>0.246278665184336</v>
      </c>
      <c r="J5636">
        <v>0.30416227791731598</v>
      </c>
      <c r="K5636">
        <v>0.20838763145424699</v>
      </c>
      <c r="L5636">
        <v>697.89478253066397</v>
      </c>
      <c r="M5636">
        <v>13.2262238730249</v>
      </c>
      <c r="N5636">
        <v>54.835767679133703</v>
      </c>
      <c r="O5636">
        <v>51.603511560495797</v>
      </c>
      <c r="P5636">
        <v>-5.1493675783401097E-2</v>
      </c>
      <c r="Q5636">
        <v>0.196500816396561</v>
      </c>
      <c r="R5636">
        <v>0.985611283534927</v>
      </c>
      <c r="S5636" t="s">
        <v>12088</v>
      </c>
      <c r="T5636" t="s">
        <v>12902</v>
      </c>
      <c r="U5636" t="s">
        <v>12902</v>
      </c>
      <c r="V5636" t="s">
        <v>12902</v>
      </c>
      <c r="W5636" t="s">
        <v>18488</v>
      </c>
      <c r="X5636">
        <v>2</v>
      </c>
      <c r="Y5636" t="s">
        <v>24778</v>
      </c>
      <c r="Z5636" t="s">
        <v>31211</v>
      </c>
      <c r="AA5636">
        <v>0.55910724937844714</v>
      </c>
      <c r="AB5636" t="str">
        <f>HYPERLINK("Melting_Curves/meltCurve_Q9HD33_2_MRPL47.pdf", "Melting_Curves/meltCurve_Q9HD33_2_MRPL47.pdf")</f>
        <v>Melting_Curves/meltCurve_Q9HD33_2_MRPL47.pdf</v>
      </c>
    </row>
    <row r="5637" spans="1:28" x14ac:dyDescent="0.25">
      <c r="A5637" t="s">
        <v>5641</v>
      </c>
      <c r="B5637">
        <v>0.99673306730245903</v>
      </c>
      <c r="C5637">
        <v>1.02227428548499</v>
      </c>
      <c r="D5637">
        <v>1.13861101964131</v>
      </c>
      <c r="E5637">
        <v>1.1593322048510999</v>
      </c>
      <c r="F5637">
        <v>0.84403257844192103</v>
      </c>
      <c r="G5637">
        <v>0.54697385892748895</v>
      </c>
      <c r="H5637">
        <v>0.29591530480872902</v>
      </c>
      <c r="I5637">
        <v>0.20695942467037501</v>
      </c>
      <c r="J5637">
        <v>0.20839311886488099</v>
      </c>
      <c r="K5637">
        <v>0.14017342967323301</v>
      </c>
      <c r="L5637">
        <v>1638.95736803008</v>
      </c>
      <c r="M5637">
        <v>29.035135256162899</v>
      </c>
      <c r="N5637">
        <v>57.321000697780399</v>
      </c>
      <c r="O5637">
        <v>56.181652693255202</v>
      </c>
      <c r="P5637">
        <v>-0.106102252879421</v>
      </c>
      <c r="Q5637">
        <v>0.17879415567974499</v>
      </c>
      <c r="R5637">
        <v>0.96551041410678196</v>
      </c>
      <c r="S5637" t="s">
        <v>12089</v>
      </c>
      <c r="T5637" t="s">
        <v>12902</v>
      </c>
      <c r="U5637" t="s">
        <v>12902</v>
      </c>
      <c r="V5637" t="s">
        <v>12902</v>
      </c>
      <c r="W5637" t="s">
        <v>18489</v>
      </c>
      <c r="X5637">
        <v>3</v>
      </c>
      <c r="Y5637" t="s">
        <v>24779</v>
      </c>
      <c r="Z5637" t="s">
        <v>31212</v>
      </c>
      <c r="AA5637">
        <v>0.63482488888264343</v>
      </c>
      <c r="AB5637" t="str">
        <f>HYPERLINK("Melting_Curves/meltCurve_Q9HD34_LYRM4.pdf", "Melting_Curves/meltCurve_Q9HD34_LYRM4.pdf")</f>
        <v>Melting_Curves/meltCurve_Q9HD34_LYRM4.pdf</v>
      </c>
    </row>
    <row r="5638" spans="1:28" x14ac:dyDescent="0.25">
      <c r="A5638" t="s">
        <v>5642</v>
      </c>
      <c r="B5638">
        <v>0.99673306730245903</v>
      </c>
      <c r="C5638">
        <v>1.01162724864802</v>
      </c>
      <c r="D5638">
        <v>1.0172173948380101</v>
      </c>
      <c r="E5638">
        <v>1.20215560911652</v>
      </c>
      <c r="F5638">
        <v>1.20677949865583</v>
      </c>
      <c r="G5638">
        <v>1.1668158812073399</v>
      </c>
      <c r="H5638">
        <v>0.97717613179366902</v>
      </c>
      <c r="I5638">
        <v>0.95148262853711296</v>
      </c>
      <c r="J5638">
        <v>0.59828772045082301</v>
      </c>
      <c r="K5638">
        <v>0.13799314987212999</v>
      </c>
      <c r="L5638">
        <v>3592.0806507172802</v>
      </c>
      <c r="M5638">
        <v>53.138381020747502</v>
      </c>
      <c r="N5638">
        <v>67.598621163357507</v>
      </c>
      <c r="O5638">
        <v>67.5030753945464</v>
      </c>
      <c r="P5638">
        <v>-0.19679998355286701</v>
      </c>
      <c r="Q5638">
        <v>0</v>
      </c>
      <c r="R5638">
        <v>0.88365110699001903</v>
      </c>
      <c r="S5638" t="s">
        <v>12090</v>
      </c>
      <c r="T5638" t="s">
        <v>12902</v>
      </c>
      <c r="U5638" t="s">
        <v>12902</v>
      </c>
      <c r="V5638" t="s">
        <v>12902</v>
      </c>
      <c r="W5638" t="s">
        <v>18490</v>
      </c>
      <c r="X5638">
        <v>3</v>
      </c>
      <c r="Y5638" t="s">
        <v>24780</v>
      </c>
      <c r="Z5638" t="s">
        <v>31213</v>
      </c>
      <c r="AA5638">
        <v>0.9154891634946094</v>
      </c>
      <c r="AB5638" t="str">
        <f>HYPERLINK("Melting_Curves/meltCurve_Q9HD40_3_SEPSECS.pdf", "Melting_Curves/meltCurve_Q9HD40_3_SEPSECS.pdf")</f>
        <v>Melting_Curves/meltCurve_Q9HD40_3_SEPSECS.pdf</v>
      </c>
    </row>
    <row r="5639" spans="1:28" x14ac:dyDescent="0.25">
      <c r="A5639" t="s">
        <v>5643</v>
      </c>
      <c r="B5639">
        <v>0.99673306730245903</v>
      </c>
      <c r="C5639">
        <v>0.98663937095677101</v>
      </c>
      <c r="D5639">
        <v>1.09047781526675</v>
      </c>
      <c r="E5639">
        <v>1.1039844005853401</v>
      </c>
      <c r="F5639">
        <v>0.862010145173848</v>
      </c>
      <c r="G5639">
        <v>0.55565463369753698</v>
      </c>
      <c r="H5639">
        <v>0.32245863055540303</v>
      </c>
      <c r="I5639">
        <v>0.30073909869987903</v>
      </c>
      <c r="J5639">
        <v>0.37133079664021101</v>
      </c>
      <c r="K5639">
        <v>0.39695087269735102</v>
      </c>
      <c r="L5639">
        <v>2137.6739787300498</v>
      </c>
      <c r="M5639">
        <v>38.546115153634197</v>
      </c>
      <c r="N5639">
        <v>57.193763818749098</v>
      </c>
      <c r="O5639">
        <v>55.308955675326601</v>
      </c>
      <c r="P5639">
        <v>-0.11415029602974799</v>
      </c>
      <c r="Q5639">
        <v>0.34483497586712297</v>
      </c>
      <c r="R5639">
        <v>0.97123842248924896</v>
      </c>
      <c r="S5639" t="s">
        <v>12091</v>
      </c>
      <c r="T5639" t="s">
        <v>12902</v>
      </c>
      <c r="U5639" t="s">
        <v>12902</v>
      </c>
      <c r="V5639" t="s">
        <v>12902</v>
      </c>
      <c r="W5639" t="s">
        <v>12939</v>
      </c>
      <c r="X5639">
        <v>10</v>
      </c>
      <c r="Y5639" t="s">
        <v>19333</v>
      </c>
      <c r="Z5639" t="s">
        <v>31214</v>
      </c>
      <c r="AA5639">
        <v>0.68509963977240029</v>
      </c>
      <c r="AB5639" t="str">
        <f>HYPERLINK("Melting_Curves/meltCurve_Q9HD42_CHMP1A.pdf", "Melting_Curves/meltCurve_Q9HD42_CHMP1A.pdf")</f>
        <v>Melting_Curves/meltCurve_Q9HD42_CHMP1A.pdf</v>
      </c>
    </row>
    <row r="5640" spans="1:28" x14ac:dyDescent="0.25">
      <c r="A5640" t="s">
        <v>5644</v>
      </c>
      <c r="B5640">
        <v>0.99673306730245903</v>
      </c>
      <c r="C5640">
        <v>0.827065654505313</v>
      </c>
      <c r="D5640">
        <v>0.75578069436136397</v>
      </c>
      <c r="E5640">
        <v>0.67948972387059403</v>
      </c>
      <c r="F5640">
        <v>0.26657054947969999</v>
      </c>
      <c r="G5640">
        <v>0.153705623984252</v>
      </c>
      <c r="H5640">
        <v>9.0155908801972898E-2</v>
      </c>
      <c r="I5640">
        <v>9.6741743195507296E-2</v>
      </c>
      <c r="J5640">
        <v>0.103497973488513</v>
      </c>
      <c r="K5640">
        <v>9.8024591967469904E-2</v>
      </c>
      <c r="L5640">
        <v>735.37803005215301</v>
      </c>
      <c r="M5640">
        <v>14.7161725785499</v>
      </c>
      <c r="N5640">
        <v>50.369348940875703</v>
      </c>
      <c r="O5640">
        <v>49.075238272669303</v>
      </c>
      <c r="P5640">
        <v>-7.0854415527014297E-2</v>
      </c>
      <c r="Q5640">
        <v>5.4967023792754102E-2</v>
      </c>
      <c r="R5640">
        <v>0.97068982704223705</v>
      </c>
      <c r="S5640" t="s">
        <v>12092</v>
      </c>
      <c r="T5640" t="s">
        <v>12902</v>
      </c>
      <c r="U5640" t="s">
        <v>12902</v>
      </c>
      <c r="V5640" t="s">
        <v>12902</v>
      </c>
      <c r="W5640" t="s">
        <v>18491</v>
      </c>
      <c r="X5640">
        <v>7</v>
      </c>
      <c r="Y5640" t="s">
        <v>24781</v>
      </c>
      <c r="Z5640" t="s">
        <v>31215</v>
      </c>
      <c r="AA5640">
        <v>0.39238737048768468</v>
      </c>
      <c r="AB5640" t="str">
        <f>HYPERLINK("Melting_Curves/meltCurve_Q9HD45_TM9SF3.pdf", "Melting_Curves/meltCurve_Q9HD45_TM9SF3.pdf")</f>
        <v>Melting_Curves/meltCurve_Q9HD45_TM9SF3.pdf</v>
      </c>
    </row>
    <row r="5641" spans="1:28" x14ac:dyDescent="0.25">
      <c r="A5641" t="s">
        <v>5645</v>
      </c>
      <c r="B5641">
        <v>0.99673306730245903</v>
      </c>
      <c r="C5641">
        <v>0.93160094759737999</v>
      </c>
      <c r="D5641">
        <v>0.74695179631940001</v>
      </c>
      <c r="E5641">
        <v>0.73513402700183905</v>
      </c>
      <c r="F5641">
        <v>0.54498114112724405</v>
      </c>
      <c r="G5641">
        <v>0.34545508311803103</v>
      </c>
      <c r="H5641">
        <v>0.18343256041589301</v>
      </c>
      <c r="I5641">
        <v>0.12367113514526</v>
      </c>
      <c r="J5641">
        <v>0.141531188969442</v>
      </c>
      <c r="K5641">
        <v>0.131772863032839</v>
      </c>
      <c r="L5641">
        <v>560.99713125379105</v>
      </c>
      <c r="M5641">
        <v>10.5719192620953</v>
      </c>
      <c r="N5641">
        <v>53.3345997626394</v>
      </c>
      <c r="O5641">
        <v>51.2716936735576</v>
      </c>
      <c r="P5641">
        <v>-5.0226191082177601E-2</v>
      </c>
      <c r="Q5641">
        <v>2.6034516861998501E-2</v>
      </c>
      <c r="R5641">
        <v>0.98288043825357096</v>
      </c>
      <c r="S5641" t="s">
        <v>12093</v>
      </c>
      <c r="T5641" t="s">
        <v>12902</v>
      </c>
      <c r="U5641" t="s">
        <v>12902</v>
      </c>
      <c r="V5641" t="s">
        <v>12902</v>
      </c>
      <c r="W5641" t="s">
        <v>18492</v>
      </c>
      <c r="X5641">
        <v>4</v>
      </c>
      <c r="Y5641" t="s">
        <v>24782</v>
      </c>
      <c r="Z5641" t="s">
        <v>31216</v>
      </c>
      <c r="AA5641">
        <v>0.48161698500986411</v>
      </c>
      <c r="AB5641" t="str">
        <f>HYPERLINK("Melting_Curves/meltCurve_Q9HD47_2_RANGRF.pdf", "Melting_Curves/meltCurve_Q9HD47_2_RANGRF.pdf")</f>
        <v>Melting_Curves/meltCurve_Q9HD47_2_RANGRF.pdf</v>
      </c>
    </row>
    <row r="5642" spans="1:28" x14ac:dyDescent="0.25">
      <c r="A5642" t="s">
        <v>5646</v>
      </c>
      <c r="B5642">
        <v>0.99673306730245903</v>
      </c>
      <c r="C5642">
        <v>0.76353366409884804</v>
      </c>
      <c r="D5642">
        <v>0.485180026530737</v>
      </c>
      <c r="E5642">
        <v>0.35505967108006597</v>
      </c>
      <c r="F5642">
        <v>0.25313937982338602</v>
      </c>
      <c r="G5642">
        <v>0.191264914646501</v>
      </c>
      <c r="H5642">
        <v>0.226678184668721</v>
      </c>
      <c r="I5642">
        <v>0.222026877524756</v>
      </c>
      <c r="J5642">
        <v>0.34436298492584999</v>
      </c>
      <c r="K5642">
        <v>0.30419012999860201</v>
      </c>
      <c r="L5642">
        <v>1080.2077291983501</v>
      </c>
      <c r="M5642">
        <v>24.295025736610398</v>
      </c>
      <c r="N5642">
        <v>45.842117726819701</v>
      </c>
      <c r="O5642">
        <v>44.164147564146198</v>
      </c>
      <c r="P5642">
        <v>-0.101857323722761</v>
      </c>
      <c r="Q5642">
        <v>0.25937536584944199</v>
      </c>
      <c r="R5642">
        <v>0.96661535083787298</v>
      </c>
      <c r="S5642" t="s">
        <v>12094</v>
      </c>
      <c r="T5642" t="s">
        <v>12902</v>
      </c>
      <c r="U5642" t="s">
        <v>12902</v>
      </c>
      <c r="V5642" t="s">
        <v>12902</v>
      </c>
      <c r="W5642" t="s">
        <v>18493</v>
      </c>
      <c r="X5642">
        <v>2</v>
      </c>
      <c r="Y5642" t="s">
        <v>24783</v>
      </c>
      <c r="Z5642" t="s">
        <v>31217</v>
      </c>
      <c r="AA5642">
        <v>0.37797974493311032</v>
      </c>
      <c r="AB5642" t="str">
        <f>HYPERLINK("Melting_Curves/meltCurve_Q9HD67_MYO10.pdf", "Melting_Curves/meltCurve_Q9HD67_MYO10.pdf")</f>
        <v>Melting_Curves/meltCurve_Q9HD67_MYO10.pdf</v>
      </c>
    </row>
    <row r="5643" spans="1:28" x14ac:dyDescent="0.25">
      <c r="A5643" t="s">
        <v>5647</v>
      </c>
      <c r="B5643">
        <v>0.99673306730245903</v>
      </c>
      <c r="C5643">
        <v>0.92811051565056801</v>
      </c>
      <c r="D5643">
        <v>0.87191236468022304</v>
      </c>
      <c r="E5643">
        <v>0.69927808729392904</v>
      </c>
      <c r="F5643">
        <v>0.58245644169292499</v>
      </c>
      <c r="G5643">
        <v>0.50555996896881705</v>
      </c>
      <c r="H5643">
        <v>0.41361049105057102</v>
      </c>
      <c r="I5643">
        <v>0.51394906218101499</v>
      </c>
      <c r="J5643">
        <v>0.57005902375644102</v>
      </c>
      <c r="K5643">
        <v>0.35895408872984802</v>
      </c>
      <c r="L5643">
        <v>786.26367717358096</v>
      </c>
      <c r="M5643">
        <v>16.026336198714301</v>
      </c>
      <c r="N5643">
        <v>57.5524053340867</v>
      </c>
      <c r="O5643">
        <v>48.315924566245798</v>
      </c>
      <c r="P5643">
        <v>-4.5362663848297097E-2</v>
      </c>
      <c r="Q5643">
        <v>0.45300827260930998</v>
      </c>
      <c r="R5643">
        <v>0.93428659756733801</v>
      </c>
      <c r="S5643" t="s">
        <v>12095</v>
      </c>
      <c r="T5643" t="s">
        <v>12902</v>
      </c>
      <c r="U5643" t="s">
        <v>12902</v>
      </c>
      <c r="V5643" t="s">
        <v>12902</v>
      </c>
      <c r="W5643" t="s">
        <v>18494</v>
      </c>
      <c r="X5643">
        <v>7</v>
      </c>
      <c r="Y5643" t="s">
        <v>24784</v>
      </c>
      <c r="Z5643" t="s">
        <v>31218</v>
      </c>
      <c r="AA5643">
        <v>0.63009184478010571</v>
      </c>
      <c r="AB5643" t="str">
        <f>HYPERLINK("Melting_Curves/meltCurve_Q9HDC5_JPH1.pdf", "Melting_Curves/meltCurve_Q9HDC5_JPH1.pdf")</f>
        <v>Melting_Curves/meltCurve_Q9HDC5_JPH1.pdf</v>
      </c>
    </row>
    <row r="5644" spans="1:28" x14ac:dyDescent="0.25">
      <c r="A5644" t="s">
        <v>5648</v>
      </c>
      <c r="B5644">
        <v>0.99673306730245903</v>
      </c>
      <c r="C5644">
        <v>1.0206984386431099</v>
      </c>
      <c r="D5644">
        <v>1.00686501715994</v>
      </c>
      <c r="E5644">
        <v>0.92208484730907103</v>
      </c>
      <c r="F5644">
        <v>0.82603388684964596</v>
      </c>
      <c r="G5644">
        <v>0.66106757047541798</v>
      </c>
      <c r="H5644">
        <v>0.26644165576008</v>
      </c>
      <c r="I5644">
        <v>0.12215104333832801</v>
      </c>
      <c r="J5644">
        <v>0.105148890753157</v>
      </c>
      <c r="K5644">
        <v>8.8795226727080095E-2</v>
      </c>
      <c r="L5644">
        <v>1210.7840286733799</v>
      </c>
      <c r="M5644">
        <v>20.959255639470001</v>
      </c>
      <c r="N5644">
        <v>58.022998414528502</v>
      </c>
      <c r="O5644">
        <v>57.2502953355011</v>
      </c>
      <c r="P5644">
        <v>-8.7507258767209106E-2</v>
      </c>
      <c r="Q5644">
        <v>4.3920079051764399E-2</v>
      </c>
      <c r="R5644">
        <v>0.99356623755474605</v>
      </c>
      <c r="S5644" t="s">
        <v>12096</v>
      </c>
      <c r="T5644" t="s">
        <v>12902</v>
      </c>
      <c r="U5644" t="s">
        <v>12902</v>
      </c>
      <c r="V5644" t="s">
        <v>12902</v>
      </c>
      <c r="W5644" t="s">
        <v>18495</v>
      </c>
      <c r="X5644">
        <v>24</v>
      </c>
      <c r="Y5644" t="s">
        <v>24785</v>
      </c>
      <c r="Z5644" t="s">
        <v>31219</v>
      </c>
      <c r="AA5644">
        <v>0.62071162979394079</v>
      </c>
      <c r="AB5644" t="str">
        <f>HYPERLINK("Melting_Curves/meltCurve_Q9HDC9_APMAP.pdf", "Melting_Curves/meltCurve_Q9HDC9_APMAP.pdf")</f>
        <v>Melting_Curves/meltCurve_Q9HDC9_APMAP.pdf</v>
      </c>
    </row>
    <row r="5645" spans="1:28" x14ac:dyDescent="0.25">
      <c r="A5645" t="s">
        <v>5649</v>
      </c>
      <c r="B5645">
        <v>0.99673306730245903</v>
      </c>
      <c r="C5645">
        <v>0.88757888548586406</v>
      </c>
      <c r="D5645">
        <v>0.888103955837234</v>
      </c>
      <c r="E5645">
        <v>0.66927881021336599</v>
      </c>
      <c r="F5645">
        <v>0.54508730079254397</v>
      </c>
      <c r="G5645">
        <v>0.21135117697533301</v>
      </c>
      <c r="H5645">
        <v>0.12705415542550899</v>
      </c>
      <c r="I5645">
        <v>9.8946285164661002E-2</v>
      </c>
      <c r="J5645">
        <v>0.11587496676869601</v>
      </c>
      <c r="K5645">
        <v>0.10507363365069899</v>
      </c>
      <c r="L5645">
        <v>755.32400423474098</v>
      </c>
      <c r="M5645">
        <v>14.490376951376801</v>
      </c>
      <c r="N5645">
        <v>52.540854906680302</v>
      </c>
      <c r="O5645">
        <v>51.163311690474004</v>
      </c>
      <c r="P5645">
        <v>-6.6984062539608202E-2</v>
      </c>
      <c r="Q5645">
        <v>5.4067366665266799E-2</v>
      </c>
      <c r="R5645">
        <v>0.98381833417522302</v>
      </c>
      <c r="S5645" t="s">
        <v>12097</v>
      </c>
      <c r="T5645" t="s">
        <v>12902</v>
      </c>
      <c r="U5645" t="s">
        <v>12902</v>
      </c>
      <c r="V5645" t="s">
        <v>12902</v>
      </c>
      <c r="W5645" t="s">
        <v>18496</v>
      </c>
      <c r="X5645">
        <v>3</v>
      </c>
      <c r="Y5645" t="s">
        <v>24786</v>
      </c>
      <c r="Z5645" t="s">
        <v>31220</v>
      </c>
      <c r="AA5645">
        <v>0.45857961180571588</v>
      </c>
      <c r="AB5645" t="str">
        <f>HYPERLINK("Melting_Curves/meltCurve_Q9NNW5_WDR6.pdf", "Melting_Curves/meltCurve_Q9NNW5_WDR6.pdf")</f>
        <v>Melting_Curves/meltCurve_Q9NNW5_WDR6.pdf</v>
      </c>
    </row>
    <row r="5646" spans="1:28" x14ac:dyDescent="0.25">
      <c r="A5646" t="s">
        <v>5650</v>
      </c>
      <c r="B5646">
        <v>0.99673306730245903</v>
      </c>
      <c r="C5646">
        <v>0.95518265999815399</v>
      </c>
      <c r="D5646">
        <v>0.85792584967635299</v>
      </c>
      <c r="E5646">
        <v>0.82947217502746495</v>
      </c>
      <c r="F5646">
        <v>0.49826495862253201</v>
      </c>
      <c r="G5646">
        <v>0.28330607495034299</v>
      </c>
      <c r="H5646">
        <v>0.20420617822484399</v>
      </c>
      <c r="I5646">
        <v>0.19688833542780701</v>
      </c>
      <c r="J5646">
        <v>0.26888028590126201</v>
      </c>
      <c r="K5646">
        <v>0.24481717366900799</v>
      </c>
      <c r="L5646">
        <v>1174.3147978034999</v>
      </c>
      <c r="M5646">
        <v>22.676362390648102</v>
      </c>
      <c r="N5646">
        <v>53.101599931578399</v>
      </c>
      <c r="O5646">
        <v>51.388167718268598</v>
      </c>
      <c r="P5646">
        <v>-8.6609641447179003E-2</v>
      </c>
      <c r="Q5646">
        <v>0.21493181647623799</v>
      </c>
      <c r="R5646">
        <v>0.98146187481422997</v>
      </c>
      <c r="S5646" t="s">
        <v>12098</v>
      </c>
      <c r="T5646" t="s">
        <v>12902</v>
      </c>
      <c r="U5646" t="s">
        <v>12902</v>
      </c>
      <c r="V5646" t="s">
        <v>12902</v>
      </c>
      <c r="W5646" t="s">
        <v>18497</v>
      </c>
      <c r="X5646">
        <v>9</v>
      </c>
      <c r="Y5646" t="s">
        <v>24787</v>
      </c>
      <c r="Z5646" t="s">
        <v>31221</v>
      </c>
      <c r="AA5646">
        <v>0.53197343113021678</v>
      </c>
      <c r="AB5646" t="str">
        <f>HYPERLINK("Melting_Curves/meltCurve_Q9NP58_4_ABCB6.pdf", "Melting_Curves/meltCurve_Q9NP58_4_ABCB6.pdf")</f>
        <v>Melting_Curves/meltCurve_Q9NP58_4_ABCB6.pdf</v>
      </c>
    </row>
    <row r="5647" spans="1:28" x14ac:dyDescent="0.25">
      <c r="A5647" t="s">
        <v>5651</v>
      </c>
      <c r="B5647">
        <v>0.99673306730245903</v>
      </c>
      <c r="C5647">
        <v>0.89384378665610897</v>
      </c>
      <c r="D5647">
        <v>1.0550334656303599</v>
      </c>
      <c r="E5647">
        <v>1.1010274093733901</v>
      </c>
      <c r="F5647">
        <v>0.98567498560693501</v>
      </c>
      <c r="G5647">
        <v>0.84169258003792002</v>
      </c>
      <c r="H5647">
        <v>0.67588585763994302</v>
      </c>
      <c r="I5647">
        <v>0.922078215566278</v>
      </c>
      <c r="J5647">
        <v>1.13384829895808</v>
      </c>
      <c r="K5647">
        <v>1.2996956639442001</v>
      </c>
      <c r="L5647">
        <v>15000</v>
      </c>
      <c r="M5647">
        <v>223.33229701494099</v>
      </c>
      <c r="O5647">
        <v>67.1591246309236</v>
      </c>
      <c r="P5647">
        <v>0.24918374753314301</v>
      </c>
      <c r="Q5647">
        <v>1.29973197243844</v>
      </c>
      <c r="R5647">
        <v>0.39903638659706903</v>
      </c>
      <c r="S5647" t="s">
        <v>12099</v>
      </c>
      <c r="T5647" t="s">
        <v>12902</v>
      </c>
      <c r="U5647" t="s">
        <v>12902</v>
      </c>
      <c r="V5647" t="s">
        <v>12902</v>
      </c>
      <c r="W5647" t="s">
        <v>18498</v>
      </c>
      <c r="X5647">
        <v>5</v>
      </c>
      <c r="Y5647" t="s">
        <v>24788</v>
      </c>
      <c r="Z5647" t="s">
        <v>31222</v>
      </c>
      <c r="AA5647">
        <v>1.028285873420907</v>
      </c>
      <c r="AB5647" t="str">
        <f>HYPERLINK("Melting_Curves/meltCurve_Q9NP66_HMG20A.pdf", "Melting_Curves/meltCurve_Q9NP66_HMG20A.pdf")</f>
        <v>Melting_Curves/meltCurve_Q9NP66_HMG20A.pdf</v>
      </c>
    </row>
    <row r="5648" spans="1:28" x14ac:dyDescent="0.25">
      <c r="A5648" t="s">
        <v>5652</v>
      </c>
      <c r="B5648">
        <v>0.99673306730245903</v>
      </c>
      <c r="C5648">
        <v>0.98219905578876798</v>
      </c>
      <c r="D5648">
        <v>0.90483925690767397</v>
      </c>
      <c r="E5648">
        <v>0.76511202415629398</v>
      </c>
      <c r="F5648">
        <v>0.70308846797249402</v>
      </c>
      <c r="G5648">
        <v>0.62186916759203104</v>
      </c>
      <c r="H5648">
        <v>0.44973058932705301</v>
      </c>
      <c r="I5648">
        <v>0.30666000780146602</v>
      </c>
      <c r="J5648">
        <v>0.170739986803223</v>
      </c>
      <c r="K5648">
        <v>0.14568867464142299</v>
      </c>
      <c r="L5648">
        <v>542.42359853554001</v>
      </c>
      <c r="M5648">
        <v>9.3027280937469197</v>
      </c>
      <c r="N5648">
        <v>58.308013754038903</v>
      </c>
      <c r="O5648">
        <v>55.803741706760903</v>
      </c>
      <c r="P5648">
        <v>-4.1702794373026597E-2</v>
      </c>
      <c r="Q5648">
        <v>0</v>
      </c>
      <c r="R5648">
        <v>0.98330288501381502</v>
      </c>
      <c r="S5648" t="s">
        <v>12100</v>
      </c>
      <c r="T5648" t="s">
        <v>12902</v>
      </c>
      <c r="U5648" t="s">
        <v>12902</v>
      </c>
      <c r="V5648" t="s">
        <v>12902</v>
      </c>
      <c r="W5648" t="s">
        <v>18499</v>
      </c>
      <c r="X5648">
        <v>14</v>
      </c>
      <c r="Y5648" t="s">
        <v>24789</v>
      </c>
      <c r="Z5648" t="s">
        <v>31223</v>
      </c>
      <c r="AA5648">
        <v>0.61629174674099318</v>
      </c>
      <c r="AB5648" t="str">
        <f>HYPERLINK("Melting_Curves/meltCurve_Q9NP72_RAB18.pdf", "Melting_Curves/meltCurve_Q9NP72_RAB18.pdf")</f>
        <v>Melting_Curves/meltCurve_Q9NP72_RAB18.pdf</v>
      </c>
    </row>
    <row r="5649" spans="1:28" x14ac:dyDescent="0.25">
      <c r="A5649" t="s">
        <v>5653</v>
      </c>
      <c r="B5649">
        <v>0.99673306730245903</v>
      </c>
      <c r="C5649">
        <v>1.0678218199199301</v>
      </c>
      <c r="D5649">
        <v>0.94515583331740505</v>
      </c>
      <c r="E5649">
        <v>0.75351684270834396</v>
      </c>
      <c r="F5649">
        <v>0.43776043286121202</v>
      </c>
      <c r="G5649">
        <v>0.26149024629788298</v>
      </c>
      <c r="H5649">
        <v>0.104226594967347</v>
      </c>
      <c r="I5649">
        <v>7.0232700292953698E-2</v>
      </c>
      <c r="J5649">
        <v>6.7621321390282402E-2</v>
      </c>
      <c r="K5649">
        <v>5.63748155430914E-2</v>
      </c>
      <c r="L5649">
        <v>1009.20340355399</v>
      </c>
      <c r="M5649">
        <v>19.2617880557797</v>
      </c>
      <c r="N5649">
        <v>52.692165192355503</v>
      </c>
      <c r="O5649">
        <v>51.839140331563399</v>
      </c>
      <c r="P5649">
        <v>-8.8100181529156302E-2</v>
      </c>
      <c r="Q5649">
        <v>5.1621751753569298E-2</v>
      </c>
      <c r="R5649">
        <v>0.99472328717004299</v>
      </c>
      <c r="S5649" t="s">
        <v>12101</v>
      </c>
      <c r="T5649" t="s">
        <v>12902</v>
      </c>
      <c r="U5649" t="s">
        <v>12902</v>
      </c>
      <c r="V5649" t="s">
        <v>12902</v>
      </c>
      <c r="W5649" t="s">
        <v>18500</v>
      </c>
      <c r="X5649">
        <v>5</v>
      </c>
      <c r="Y5649" t="s">
        <v>24790</v>
      </c>
      <c r="Z5649" t="s">
        <v>31224</v>
      </c>
      <c r="AA5649">
        <v>0.45741758403893079</v>
      </c>
      <c r="AB5649" t="str">
        <f>HYPERLINK("Melting_Curves/meltCurve_Q9NP73_2_ALG13.pdf", "Melting_Curves/meltCurve_Q9NP73_2_ALG13.pdf")</f>
        <v>Melting_Curves/meltCurve_Q9NP73_2_ALG13.pdf</v>
      </c>
    </row>
    <row r="5650" spans="1:28" x14ac:dyDescent="0.25">
      <c r="A5650" t="s">
        <v>5654</v>
      </c>
      <c r="B5650">
        <v>0.99673306730245903</v>
      </c>
      <c r="C5650">
        <v>0.91833233198953601</v>
      </c>
      <c r="D5650">
        <v>0.73031015047487602</v>
      </c>
      <c r="E5650">
        <v>0.29216774298839598</v>
      </c>
      <c r="F5650">
        <v>0.179601698591351</v>
      </c>
      <c r="G5650">
        <v>0.116840619384682</v>
      </c>
      <c r="H5650">
        <v>7.0434120501379802E-2</v>
      </c>
      <c r="I5650">
        <v>5.9301175890529398E-2</v>
      </c>
      <c r="J5650">
        <v>6.9738579539588799E-2</v>
      </c>
      <c r="K5650">
        <v>5.7596382775500402E-2</v>
      </c>
      <c r="L5650">
        <v>1117.90200985659</v>
      </c>
      <c r="M5650">
        <v>23.5163110216379</v>
      </c>
      <c r="N5650">
        <v>47.854140770111499</v>
      </c>
      <c r="O5650">
        <v>47.197551753980903</v>
      </c>
      <c r="P5650">
        <v>-0.115585191297849</v>
      </c>
      <c r="Q5650">
        <v>7.2091784994863004E-2</v>
      </c>
      <c r="R5650">
        <v>0.99665677997570801</v>
      </c>
      <c r="S5650" t="s">
        <v>12102</v>
      </c>
      <c r="T5650" t="s">
        <v>12902</v>
      </c>
      <c r="U5650" t="s">
        <v>12902</v>
      </c>
      <c r="V5650" t="s">
        <v>12902</v>
      </c>
      <c r="W5650" t="s">
        <v>18501</v>
      </c>
      <c r="X5650">
        <v>5</v>
      </c>
      <c r="Y5650" t="s">
        <v>24791</v>
      </c>
      <c r="Z5650" t="s">
        <v>31225</v>
      </c>
      <c r="AA5650">
        <v>0.31460882606892182</v>
      </c>
      <c r="AB5650" t="str">
        <f>HYPERLINK("Melting_Curves/meltCurve_Q9NP77_SSU72.pdf", "Melting_Curves/meltCurve_Q9NP77_SSU72.pdf")</f>
        <v>Melting_Curves/meltCurve_Q9NP77_SSU72.pdf</v>
      </c>
    </row>
    <row r="5651" spans="1:28" x14ac:dyDescent="0.25">
      <c r="A5651" t="s">
        <v>5655</v>
      </c>
      <c r="B5651">
        <v>0.99673306730245903</v>
      </c>
      <c r="C5651">
        <v>0.96635324293397395</v>
      </c>
      <c r="D5651">
        <v>0.93049128912034795</v>
      </c>
      <c r="E5651">
        <v>0.80435119134949395</v>
      </c>
      <c r="F5651">
        <v>0.19287444189632699</v>
      </c>
      <c r="G5651">
        <v>0.138269419557639</v>
      </c>
      <c r="H5651">
        <v>8.0477672565108196E-2</v>
      </c>
      <c r="I5651">
        <v>7.42284116888903E-2</v>
      </c>
      <c r="J5651">
        <v>8.27204979442039E-2</v>
      </c>
      <c r="K5651">
        <v>6.9990068745397899E-2</v>
      </c>
      <c r="L5651">
        <v>2308.9105834238699</v>
      </c>
      <c r="M5651">
        <v>45.3000292257192</v>
      </c>
      <c r="N5651">
        <v>51.180956929777999</v>
      </c>
      <c r="O5651">
        <v>50.870270100491602</v>
      </c>
      <c r="P5651">
        <v>-0.20360871442224401</v>
      </c>
      <c r="Q5651">
        <v>8.5420768455581997E-2</v>
      </c>
      <c r="R5651">
        <v>0.99535490028046103</v>
      </c>
      <c r="S5651" t="s">
        <v>12103</v>
      </c>
      <c r="T5651" t="s">
        <v>12902</v>
      </c>
      <c r="U5651" t="s">
        <v>12902</v>
      </c>
      <c r="V5651" t="s">
        <v>12902</v>
      </c>
      <c r="W5651" t="s">
        <v>18502</v>
      </c>
      <c r="X5651">
        <v>10</v>
      </c>
      <c r="Y5651" t="s">
        <v>24792</v>
      </c>
      <c r="Z5651" t="s">
        <v>31226</v>
      </c>
      <c r="AA5651">
        <v>0.42233833881505439</v>
      </c>
      <c r="AB5651" t="str">
        <f>HYPERLINK("Melting_Curves/meltCurve_Q9NP79_VTA1.pdf", "Melting_Curves/meltCurve_Q9NP79_VTA1.pdf")</f>
        <v>Melting_Curves/meltCurve_Q9NP79_VTA1.pdf</v>
      </c>
    </row>
    <row r="5652" spans="1:28" x14ac:dyDescent="0.25">
      <c r="A5652" t="s">
        <v>5656</v>
      </c>
      <c r="B5652">
        <v>0.99673306730245903</v>
      </c>
      <c r="C5652">
        <v>0.98609799398429299</v>
      </c>
      <c r="D5652">
        <v>0.99148518569412403</v>
      </c>
      <c r="E5652">
        <v>0.88812092983786595</v>
      </c>
      <c r="F5652">
        <v>0.75022172365554696</v>
      </c>
      <c r="G5652">
        <v>0.41450011345447701</v>
      </c>
      <c r="H5652">
        <v>0.25584052524909701</v>
      </c>
      <c r="I5652">
        <v>0.193203087593809</v>
      </c>
      <c r="J5652">
        <v>0.110234959720724</v>
      </c>
      <c r="K5652">
        <v>7.1913264388268602E-2</v>
      </c>
      <c r="L5652">
        <v>983.56865709279305</v>
      </c>
      <c r="M5652">
        <v>17.6651464584066</v>
      </c>
      <c r="N5652">
        <v>56.171071709953303</v>
      </c>
      <c r="O5652">
        <v>54.979677983487399</v>
      </c>
      <c r="P5652">
        <v>-7.4565872206940206E-2</v>
      </c>
      <c r="Q5652">
        <v>7.1756444206170597E-2</v>
      </c>
      <c r="R5652">
        <v>0.99605702841669297</v>
      </c>
      <c r="S5652" t="s">
        <v>12104</v>
      </c>
      <c r="T5652" t="s">
        <v>12902</v>
      </c>
      <c r="U5652" t="s">
        <v>12902</v>
      </c>
      <c r="V5652" t="s">
        <v>12902</v>
      </c>
      <c r="W5652" t="s">
        <v>18503</v>
      </c>
      <c r="X5652">
        <v>4</v>
      </c>
      <c r="Y5652" t="s">
        <v>24793</v>
      </c>
      <c r="Z5652" t="s">
        <v>31227</v>
      </c>
      <c r="AA5652">
        <v>0.5711149658249407</v>
      </c>
      <c r="AB5652" t="str">
        <f>HYPERLINK("Melting_Curves/meltCurve_Q9NP80_3_PNPLA8.pdf", "Melting_Curves/meltCurve_Q9NP80_3_PNPLA8.pdf")</f>
        <v>Melting_Curves/meltCurve_Q9NP80_3_PNPLA8.pdf</v>
      </c>
    </row>
    <row r="5653" spans="1:28" x14ac:dyDescent="0.25">
      <c r="A5653" t="s">
        <v>5657</v>
      </c>
      <c r="B5653">
        <v>0.99673306730245903</v>
      </c>
      <c r="C5653">
        <v>0.95777012848602305</v>
      </c>
      <c r="D5653">
        <v>0.91488389209754595</v>
      </c>
      <c r="E5653">
        <v>0.87611721326456204</v>
      </c>
      <c r="F5653">
        <v>0.92786717203040103</v>
      </c>
      <c r="G5653">
        <v>0.72304790315892098</v>
      </c>
      <c r="H5653">
        <v>0.54723856514160796</v>
      </c>
      <c r="I5653">
        <v>0.75908967529594895</v>
      </c>
      <c r="J5653">
        <v>0.71686664362479602</v>
      </c>
      <c r="K5653">
        <v>0.65860126048021395</v>
      </c>
      <c r="L5653">
        <v>710.71082266792905</v>
      </c>
      <c r="M5653">
        <v>13.435951681393099</v>
      </c>
      <c r="O5653">
        <v>51.765670526415001</v>
      </c>
      <c r="P5653">
        <v>-2.2627359601592002E-2</v>
      </c>
      <c r="Q5653">
        <v>0.65134185872004702</v>
      </c>
      <c r="R5653">
        <v>0.75494924210334902</v>
      </c>
      <c r="S5653" t="s">
        <v>12105</v>
      </c>
      <c r="T5653" t="s">
        <v>12902</v>
      </c>
      <c r="U5653" t="s">
        <v>12902</v>
      </c>
      <c r="V5653" t="s">
        <v>12902</v>
      </c>
      <c r="W5653" t="s">
        <v>18504</v>
      </c>
      <c r="X5653">
        <v>1</v>
      </c>
      <c r="Y5653" t="s">
        <v>24794</v>
      </c>
      <c r="Z5653" t="s">
        <v>31228</v>
      </c>
      <c r="AA5653">
        <v>0.80995425201019167</v>
      </c>
      <c r="AB5653" t="str">
        <f>HYPERLINK("Melting_Curves/meltCurve_Q9NP84_TNFRSF12A.pdf", "Melting_Curves/meltCurve_Q9NP84_TNFRSF12A.pdf")</f>
        <v>Melting_Curves/meltCurve_Q9NP84_TNFRSF12A.pdf</v>
      </c>
    </row>
    <row r="5654" spans="1:28" x14ac:dyDescent="0.25">
      <c r="A5654" t="s">
        <v>5658</v>
      </c>
      <c r="B5654">
        <v>0.99673306730245903</v>
      </c>
      <c r="C5654">
        <v>0.83297959704258395</v>
      </c>
      <c r="D5654">
        <v>0.49758170399757101</v>
      </c>
      <c r="E5654">
        <v>0.301245676088013</v>
      </c>
      <c r="F5654">
        <v>0.171385166697368</v>
      </c>
      <c r="G5654">
        <v>9.5831114251228394E-2</v>
      </c>
      <c r="H5654">
        <v>7.9605568288790202E-2</v>
      </c>
      <c r="I5654">
        <v>6.7505699333988103E-2</v>
      </c>
      <c r="J5654">
        <v>8.70380540104745E-2</v>
      </c>
      <c r="K5654">
        <v>9.5536549072000501E-2</v>
      </c>
      <c r="L5654">
        <v>884.74012378714895</v>
      </c>
      <c r="M5654">
        <v>19.229980275353999</v>
      </c>
      <c r="N5654">
        <v>46.452753880777401</v>
      </c>
      <c r="O5654">
        <v>45.519516349381703</v>
      </c>
      <c r="P5654">
        <v>-9.6744572601820095E-2</v>
      </c>
      <c r="Q5654">
        <v>8.4014282973976895E-2</v>
      </c>
      <c r="R5654">
        <v>0.99341574092961504</v>
      </c>
      <c r="S5654" t="s">
        <v>12106</v>
      </c>
      <c r="T5654" t="s">
        <v>12902</v>
      </c>
      <c r="U5654" t="s">
        <v>12902</v>
      </c>
      <c r="V5654" t="s">
        <v>12902</v>
      </c>
      <c r="W5654" t="s">
        <v>18505</v>
      </c>
      <c r="X5654">
        <v>1</v>
      </c>
      <c r="Y5654" t="s">
        <v>24795</v>
      </c>
      <c r="Z5654" t="s">
        <v>31229</v>
      </c>
      <c r="AA5654">
        <v>0.28294554129654759</v>
      </c>
      <c r="AB5654" t="str">
        <f>HYPERLINK("Melting_Curves/meltCurve_Q9NP92_MRPS30.pdf", "Melting_Curves/meltCurve_Q9NP92_MRPS30.pdf")</f>
        <v>Melting_Curves/meltCurve_Q9NP92_MRPS30.pdf</v>
      </c>
    </row>
    <row r="5655" spans="1:28" x14ac:dyDescent="0.25">
      <c r="A5655" t="s">
        <v>5659</v>
      </c>
      <c r="B5655">
        <v>0.99673306730245903</v>
      </c>
      <c r="C5655">
        <v>0.96882573733351995</v>
      </c>
      <c r="D5655">
        <v>0.87179392832938696</v>
      </c>
      <c r="E5655">
        <v>0.75916203105427404</v>
      </c>
      <c r="F5655">
        <v>0.47229286015337602</v>
      </c>
      <c r="G5655">
        <v>0.28829670118478801</v>
      </c>
      <c r="H5655">
        <v>0.15405983024452399</v>
      </c>
      <c r="I5655">
        <v>0.18417738630192201</v>
      </c>
      <c r="J5655">
        <v>0.170229372403263</v>
      </c>
      <c r="K5655">
        <v>0.180639901820735</v>
      </c>
      <c r="L5655">
        <v>934.71012517922395</v>
      </c>
      <c r="M5655">
        <v>18.073794741435499</v>
      </c>
      <c r="N5655">
        <v>52.749137446705902</v>
      </c>
      <c r="O5655">
        <v>51.095676097119998</v>
      </c>
      <c r="P5655">
        <v>-7.5256691439114107E-2</v>
      </c>
      <c r="Q5655">
        <v>0.14902102082162</v>
      </c>
      <c r="R5655">
        <v>0.99459156565677997</v>
      </c>
      <c r="S5655" t="s">
        <v>12107</v>
      </c>
      <c r="T5655" t="s">
        <v>12902</v>
      </c>
      <c r="U5655" t="s">
        <v>12902</v>
      </c>
      <c r="V5655" t="s">
        <v>12902</v>
      </c>
      <c r="W5655" t="s">
        <v>18506</v>
      </c>
      <c r="X5655">
        <v>5</v>
      </c>
      <c r="Y5655" t="s">
        <v>24796</v>
      </c>
      <c r="Z5655" t="s">
        <v>31230</v>
      </c>
      <c r="AA5655">
        <v>0.49547967971695162</v>
      </c>
      <c r="AB5655" t="str">
        <f>HYPERLINK("Melting_Curves/meltCurve_Q9NPA0_EMC7.pdf", "Melting_Curves/meltCurve_Q9NPA0_EMC7.pdf")</f>
        <v>Melting_Curves/meltCurve_Q9NPA0_EMC7.pdf</v>
      </c>
    </row>
    <row r="5656" spans="1:28" x14ac:dyDescent="0.25">
      <c r="A5656" t="s">
        <v>5660</v>
      </c>
      <c r="B5656">
        <v>0.99673306730245903</v>
      </c>
      <c r="C5656">
        <v>0.72599605249156396</v>
      </c>
      <c r="D5656">
        <v>0.30632204939690799</v>
      </c>
      <c r="E5656">
        <v>0.17722372476583501</v>
      </c>
      <c r="F5656">
        <v>0.13164888011074799</v>
      </c>
      <c r="G5656">
        <v>8.2832687497293694E-2</v>
      </c>
      <c r="H5656">
        <v>6.6284293020425197E-2</v>
      </c>
      <c r="I5656">
        <v>0</v>
      </c>
      <c r="J5656">
        <v>0</v>
      </c>
      <c r="K5656">
        <v>5.7702610752614E-2</v>
      </c>
      <c r="L5656">
        <v>1120.1676801378701</v>
      </c>
      <c r="M5656">
        <v>25.208878161574201</v>
      </c>
      <c r="N5656">
        <v>44.654235298527198</v>
      </c>
      <c r="O5656">
        <v>44.158658919036199</v>
      </c>
      <c r="P5656">
        <v>-0.134427378820513</v>
      </c>
      <c r="Q5656">
        <v>5.8101010379027498E-2</v>
      </c>
      <c r="R5656">
        <v>0.98299751371507305</v>
      </c>
      <c r="S5656" t="s">
        <v>12108</v>
      </c>
      <c r="T5656" t="s">
        <v>12902</v>
      </c>
      <c r="U5656" t="s">
        <v>12902</v>
      </c>
      <c r="V5656" t="s">
        <v>12902</v>
      </c>
      <c r="W5656" t="s">
        <v>18507</v>
      </c>
      <c r="X5656">
        <v>1</v>
      </c>
      <c r="Y5656" t="s">
        <v>24797</v>
      </c>
      <c r="Z5656" t="s">
        <v>31231</v>
      </c>
      <c r="AA5656">
        <v>0.20721598830893301</v>
      </c>
      <c r="AB5656" t="str">
        <f>HYPERLINK("Melting_Curves/meltCurve_Q9NPA3_MID1IP1.pdf", "Melting_Curves/meltCurve_Q9NPA3_MID1IP1.pdf")</f>
        <v>Melting_Curves/meltCurve_Q9NPA3_MID1IP1.pdf</v>
      </c>
    </row>
    <row r="5657" spans="1:28" x14ac:dyDescent="0.25">
      <c r="A5657" t="s">
        <v>5661</v>
      </c>
      <c r="B5657">
        <v>0.99673306730245903</v>
      </c>
      <c r="C5657">
        <v>1.0286282266461799</v>
      </c>
      <c r="D5657">
        <v>1.0655453012188301</v>
      </c>
      <c r="E5657">
        <v>1.0387246724372099</v>
      </c>
      <c r="F5657">
        <v>0.84867148491550404</v>
      </c>
      <c r="G5657">
        <v>0.72734589197051802</v>
      </c>
      <c r="H5657">
        <v>0.57832938093792297</v>
      </c>
      <c r="I5657">
        <v>0.73464405605890903</v>
      </c>
      <c r="J5657">
        <v>0.96008731207453002</v>
      </c>
      <c r="K5657">
        <v>0.994269018530336</v>
      </c>
      <c r="L5657">
        <v>13240.803447732</v>
      </c>
      <c r="M5657">
        <v>250</v>
      </c>
      <c r="O5657">
        <v>52.959844960758304</v>
      </c>
      <c r="P5657">
        <v>-0.237284665240792</v>
      </c>
      <c r="Q5657">
        <v>0.79893513213702605</v>
      </c>
      <c r="R5657">
        <v>0.48163381885164003</v>
      </c>
      <c r="S5657" t="s">
        <v>12109</v>
      </c>
      <c r="T5657" t="s">
        <v>12902</v>
      </c>
      <c r="U5657" t="s">
        <v>12902</v>
      </c>
      <c r="V5657" t="s">
        <v>12902</v>
      </c>
      <c r="W5657" t="s">
        <v>18508</v>
      </c>
      <c r="X5657">
        <v>5</v>
      </c>
      <c r="Y5657" t="s">
        <v>24798</v>
      </c>
      <c r="Z5657" t="s">
        <v>31232</v>
      </c>
      <c r="AA5657">
        <v>0.88583538330434841</v>
      </c>
      <c r="AB5657" t="str">
        <f>HYPERLINK("Melting_Curves/meltCurve_Q9NPA8_2_ENY2.pdf", "Melting_Curves/meltCurve_Q9NPA8_2_ENY2.pdf")</f>
        <v>Melting_Curves/meltCurve_Q9NPA8_2_ENY2.pdf</v>
      </c>
    </row>
    <row r="5658" spans="1:28" x14ac:dyDescent="0.25">
      <c r="A5658" t="s">
        <v>5662</v>
      </c>
      <c r="B5658">
        <v>0.99673306730245903</v>
      </c>
      <c r="C5658">
        <v>0.95680484155827805</v>
      </c>
      <c r="D5658">
        <v>0.86798983208219704</v>
      </c>
      <c r="E5658">
        <v>0.43927943505809502</v>
      </c>
      <c r="F5658">
        <v>0.22448940004281401</v>
      </c>
      <c r="G5658">
        <v>0.15157563193613299</v>
      </c>
      <c r="H5658">
        <v>9.1196296569439006E-2</v>
      </c>
      <c r="I5658">
        <v>8.7686226961206606E-2</v>
      </c>
      <c r="J5658">
        <v>5.0646022406228598E-2</v>
      </c>
      <c r="K5658">
        <v>4.4972277074000699E-2</v>
      </c>
      <c r="L5658">
        <v>1128.1396151112299</v>
      </c>
      <c r="M5658">
        <v>23.013216434875499</v>
      </c>
      <c r="N5658">
        <v>49.366340655615403</v>
      </c>
      <c r="O5658">
        <v>48.655728290998702</v>
      </c>
      <c r="P5658">
        <v>-0.109464727201337</v>
      </c>
      <c r="Q5658">
        <v>7.4273439080842704E-2</v>
      </c>
      <c r="R5658">
        <v>0.995581834781464</v>
      </c>
      <c r="S5658" t="s">
        <v>12110</v>
      </c>
      <c r="T5658" t="s">
        <v>12902</v>
      </c>
      <c r="U5658" t="s">
        <v>12902</v>
      </c>
      <c r="V5658" t="s">
        <v>12902</v>
      </c>
      <c r="W5658" t="s">
        <v>18509</v>
      </c>
      <c r="X5658">
        <v>10</v>
      </c>
      <c r="Y5658" t="s">
        <v>24799</v>
      </c>
      <c r="Z5658" t="s">
        <v>31233</v>
      </c>
      <c r="AA5658">
        <v>0.36238016274894602</v>
      </c>
      <c r="AB5658" t="str">
        <f>HYPERLINK("Melting_Curves/meltCurve_Q9NPB8_GPCPD1.pdf", "Melting_Curves/meltCurve_Q9NPB8_GPCPD1.pdf")</f>
        <v>Melting_Curves/meltCurve_Q9NPB8_GPCPD1.pdf</v>
      </c>
    </row>
    <row r="5659" spans="1:28" x14ac:dyDescent="0.25">
      <c r="A5659" t="s">
        <v>5663</v>
      </c>
      <c r="B5659">
        <v>0.99673306730245903</v>
      </c>
      <c r="C5659">
        <v>1.00819544281218</v>
      </c>
      <c r="D5659">
        <v>1.22201718272325</v>
      </c>
      <c r="E5659">
        <v>1.5160187357585799</v>
      </c>
      <c r="F5659">
        <v>1.7234299791594601</v>
      </c>
      <c r="G5659">
        <v>1.51593145968051</v>
      </c>
      <c r="H5659">
        <v>1.0379601142581001</v>
      </c>
      <c r="I5659">
        <v>0.46890020018415701</v>
      </c>
      <c r="J5659">
        <v>0.26410170661425603</v>
      </c>
      <c r="K5659">
        <v>0.26093419539837998</v>
      </c>
      <c r="L5659">
        <v>15000</v>
      </c>
      <c r="M5659">
        <v>235.32018891806999</v>
      </c>
      <c r="N5659">
        <v>63.945269300264599</v>
      </c>
      <c r="O5659">
        <v>63.738356477413099</v>
      </c>
      <c r="P5659">
        <v>-0.68069412252141803</v>
      </c>
      <c r="Q5659">
        <v>0.26251446553623597</v>
      </c>
      <c r="R5659">
        <v>0.55313651868740499</v>
      </c>
      <c r="S5659" t="s">
        <v>12111</v>
      </c>
      <c r="T5659" t="s">
        <v>12902</v>
      </c>
      <c r="U5659" t="s">
        <v>12902</v>
      </c>
      <c r="V5659" t="s">
        <v>12902</v>
      </c>
      <c r="W5659" t="s">
        <v>18510</v>
      </c>
      <c r="X5659">
        <v>9</v>
      </c>
      <c r="Y5659" t="s">
        <v>24800</v>
      </c>
      <c r="Z5659" t="s">
        <v>31234</v>
      </c>
      <c r="AA5659">
        <v>0.84627667186642286</v>
      </c>
      <c r="AB5659" t="str">
        <f>HYPERLINK("Melting_Curves/meltCurve_Q9NPD3_EXOSC4.pdf", "Melting_Curves/meltCurve_Q9NPD3_EXOSC4.pdf")</f>
        <v>Melting_Curves/meltCurve_Q9NPD3_EXOSC4.pdf</v>
      </c>
    </row>
    <row r="5660" spans="1:28" x14ac:dyDescent="0.25">
      <c r="A5660" t="s">
        <v>5664</v>
      </c>
      <c r="B5660">
        <v>0.99673306730245903</v>
      </c>
      <c r="C5660">
        <v>0.99147922413105805</v>
      </c>
      <c r="D5660">
        <v>0.83088322860752895</v>
      </c>
      <c r="E5660">
        <v>0.51713955910266995</v>
      </c>
      <c r="F5660">
        <v>0.210938446564259</v>
      </c>
      <c r="G5660">
        <v>0.14166806618340599</v>
      </c>
      <c r="H5660">
        <v>9.7082469027715598E-2</v>
      </c>
      <c r="I5660">
        <v>7.3797930389510394E-2</v>
      </c>
      <c r="J5660">
        <v>7.8932418297154097E-2</v>
      </c>
      <c r="K5660">
        <v>7.9622592723206501E-2</v>
      </c>
      <c r="L5660">
        <v>1106.74808801414</v>
      </c>
      <c r="M5660">
        <v>22.456124526235101</v>
      </c>
      <c r="N5660">
        <v>49.664342313099603</v>
      </c>
      <c r="O5660">
        <v>48.8990515452709</v>
      </c>
      <c r="P5660">
        <v>-0.105760818447315</v>
      </c>
      <c r="Q5660">
        <v>7.8826116022284204E-2</v>
      </c>
      <c r="R5660">
        <v>0.99888332436289196</v>
      </c>
      <c r="S5660" t="s">
        <v>12112</v>
      </c>
      <c r="T5660" t="s">
        <v>12902</v>
      </c>
      <c r="U5660" t="s">
        <v>12902</v>
      </c>
      <c r="V5660" t="s">
        <v>12902</v>
      </c>
      <c r="W5660" t="s">
        <v>18511</v>
      </c>
      <c r="X5660">
        <v>5</v>
      </c>
      <c r="Y5660" t="s">
        <v>24801</v>
      </c>
      <c r="Z5660" t="s">
        <v>31235</v>
      </c>
      <c r="AA5660">
        <v>0.37410968901449448</v>
      </c>
      <c r="AB5660" t="str">
        <f>HYPERLINK("Melting_Curves/meltCurve_Q9NPD8_UBE2T.pdf", "Melting_Curves/meltCurve_Q9NPD8_UBE2T.pdf")</f>
        <v>Melting_Curves/meltCurve_Q9NPD8_UBE2T.pdf</v>
      </c>
    </row>
    <row r="5661" spans="1:28" x14ac:dyDescent="0.25">
      <c r="A5661" t="s">
        <v>5665</v>
      </c>
      <c r="B5661">
        <v>0.99673306730245903</v>
      </c>
      <c r="C5661">
        <v>1.0428287143759201</v>
      </c>
      <c r="D5661">
        <v>1.06587271865402</v>
      </c>
      <c r="E5661">
        <v>0.95736482176561499</v>
      </c>
      <c r="F5661">
        <v>0.65829074459053305</v>
      </c>
      <c r="G5661">
        <v>0.450694786925527</v>
      </c>
      <c r="H5661">
        <v>0.273782394548927</v>
      </c>
      <c r="I5661">
        <v>0.23636070398675299</v>
      </c>
      <c r="J5661">
        <v>0.36835888175812398</v>
      </c>
      <c r="K5661">
        <v>0.40929294290918</v>
      </c>
      <c r="L5661">
        <v>1753.9032504206</v>
      </c>
      <c r="M5661">
        <v>32.893501718484998</v>
      </c>
      <c r="N5661">
        <v>55.093853574613</v>
      </c>
      <c r="O5661">
        <v>53.124756348435703</v>
      </c>
      <c r="P5661">
        <v>-0.104247413310147</v>
      </c>
      <c r="Q5661">
        <v>0.32654269907941902</v>
      </c>
      <c r="R5661">
        <v>0.97054836360110297</v>
      </c>
      <c r="S5661" t="s">
        <v>12113</v>
      </c>
      <c r="T5661" t="s">
        <v>12902</v>
      </c>
      <c r="U5661" t="s">
        <v>12902</v>
      </c>
      <c r="V5661" t="s">
        <v>12902</v>
      </c>
      <c r="W5661" t="s">
        <v>18512</v>
      </c>
      <c r="X5661">
        <v>3</v>
      </c>
      <c r="Y5661" t="s">
        <v>24802</v>
      </c>
      <c r="Z5661" t="s">
        <v>31236</v>
      </c>
      <c r="AA5661">
        <v>0.62923332335935389</v>
      </c>
      <c r="AB5661" t="str">
        <f>HYPERLINK("Melting_Curves/meltCurve_Q9NPE2_NGRN.pdf", "Melting_Curves/meltCurve_Q9NPE2_NGRN.pdf")</f>
        <v>Melting_Curves/meltCurve_Q9NPE2_NGRN.pdf</v>
      </c>
    </row>
    <row r="5662" spans="1:28" x14ac:dyDescent="0.25">
      <c r="A5662" t="s">
        <v>5666</v>
      </c>
      <c r="B5662">
        <v>0.99673306730245903</v>
      </c>
      <c r="C5662">
        <v>0.89348050687243097</v>
      </c>
      <c r="D5662">
        <v>0.95616638580572899</v>
      </c>
      <c r="E5662">
        <v>0.91250301757310703</v>
      </c>
      <c r="F5662">
        <v>0.873845044072458</v>
      </c>
      <c r="G5662">
        <v>0.78764903200867198</v>
      </c>
      <c r="H5662">
        <v>0.87924434521900996</v>
      </c>
      <c r="I5662">
        <v>0.77744342228004604</v>
      </c>
      <c r="J5662">
        <v>0.58675269808631403</v>
      </c>
      <c r="K5662">
        <v>0.37523262807044999</v>
      </c>
      <c r="L5662">
        <v>657.36287511937098</v>
      </c>
      <c r="M5662">
        <v>9.5060224605747994</v>
      </c>
      <c r="N5662">
        <v>69.152253514319398</v>
      </c>
      <c r="O5662">
        <v>66.299443636576896</v>
      </c>
      <c r="P5662">
        <v>-3.5866180864505902E-2</v>
      </c>
      <c r="Q5662">
        <v>0</v>
      </c>
      <c r="R5662">
        <v>0.81944288299667001</v>
      </c>
      <c r="S5662" t="s">
        <v>12114</v>
      </c>
      <c r="T5662" t="s">
        <v>12902</v>
      </c>
      <c r="U5662" t="s">
        <v>12902</v>
      </c>
      <c r="V5662" t="s">
        <v>12902</v>
      </c>
      <c r="W5662" t="s">
        <v>18513</v>
      </c>
      <c r="X5662">
        <v>4</v>
      </c>
      <c r="Y5662" t="s">
        <v>24803</v>
      </c>
      <c r="Z5662" t="s">
        <v>31237</v>
      </c>
      <c r="AA5662">
        <v>0.84915572507176307</v>
      </c>
      <c r="AB5662" t="str">
        <f>HYPERLINK("Melting_Curves/meltCurve_Q9NPE3_NOP10.pdf", "Melting_Curves/meltCurve_Q9NPE3_NOP10.pdf")</f>
        <v>Melting_Curves/meltCurve_Q9NPE3_NOP10.pdf</v>
      </c>
    </row>
    <row r="5663" spans="1:28" x14ac:dyDescent="0.25">
      <c r="A5663" t="s">
        <v>5667</v>
      </c>
      <c r="B5663">
        <v>0.99673306730245903</v>
      </c>
      <c r="C5663">
        <v>1.0224885194454401</v>
      </c>
      <c r="D5663">
        <v>0.99438381802848397</v>
      </c>
      <c r="E5663">
        <v>0.92785064316218802</v>
      </c>
      <c r="F5663">
        <v>0.82570077795355101</v>
      </c>
      <c r="G5663">
        <v>0.73441647986298797</v>
      </c>
      <c r="H5663">
        <v>0.57539519996316502</v>
      </c>
      <c r="I5663">
        <v>0.86524554692192901</v>
      </c>
      <c r="J5663">
        <v>0.92244348815361799</v>
      </c>
      <c r="K5663">
        <v>0.98725375150524997</v>
      </c>
      <c r="L5663">
        <v>3042.0200704341701</v>
      </c>
      <c r="M5663">
        <v>60.907192200055</v>
      </c>
      <c r="O5663">
        <v>49.891412846446698</v>
      </c>
      <c r="P5663">
        <v>-5.5648658575711399E-2</v>
      </c>
      <c r="Q5663">
        <v>0.81766428403680602</v>
      </c>
      <c r="R5663">
        <v>0.397150501404543</v>
      </c>
      <c r="S5663" t="s">
        <v>12115</v>
      </c>
      <c r="T5663" t="s">
        <v>12902</v>
      </c>
      <c r="U5663" t="s">
        <v>12902</v>
      </c>
      <c r="V5663" t="s">
        <v>12902</v>
      </c>
      <c r="W5663" t="s">
        <v>18514</v>
      </c>
      <c r="X5663">
        <v>5</v>
      </c>
      <c r="Y5663" t="s">
        <v>24804</v>
      </c>
      <c r="Z5663" t="s">
        <v>31238</v>
      </c>
      <c r="AA5663">
        <v>0.87837982549132443</v>
      </c>
      <c r="AB5663" t="str">
        <f>HYPERLINK("Melting_Curves/meltCurve_Q9NPF0_CD320.pdf", "Melting_Curves/meltCurve_Q9NPF0_CD320.pdf")</f>
        <v>Melting_Curves/meltCurve_Q9NPF0_CD320.pdf</v>
      </c>
    </row>
    <row r="5664" spans="1:28" x14ac:dyDescent="0.25">
      <c r="A5664" t="s">
        <v>5668</v>
      </c>
      <c r="B5664">
        <v>0.99673306730245903</v>
      </c>
      <c r="C5664">
        <v>0.99697592762614895</v>
      </c>
      <c r="D5664">
        <v>1.0007188557328299</v>
      </c>
      <c r="E5664">
        <v>1.0345392902922901</v>
      </c>
      <c r="F5664">
        <v>0.90605656042161997</v>
      </c>
      <c r="G5664">
        <v>0.69944093177627797</v>
      </c>
      <c r="H5664">
        <v>0.36154251722493103</v>
      </c>
      <c r="I5664">
        <v>0.14032441637434601</v>
      </c>
      <c r="J5664">
        <v>9.5606385026031707E-2</v>
      </c>
      <c r="K5664">
        <v>7.15709229487905E-2</v>
      </c>
      <c r="L5664">
        <v>1368.19334200454</v>
      </c>
      <c r="M5664">
        <v>23.282903344619001</v>
      </c>
      <c r="N5664">
        <v>58.983056001050699</v>
      </c>
      <c r="O5664">
        <v>58.335515240397498</v>
      </c>
      <c r="P5664">
        <v>-9.5646214854556599E-2</v>
      </c>
      <c r="Q5664">
        <v>4.1447442711857498E-2</v>
      </c>
      <c r="R5664">
        <v>0.99767191082859796</v>
      </c>
      <c r="S5664" t="s">
        <v>12116</v>
      </c>
      <c r="T5664" t="s">
        <v>12902</v>
      </c>
      <c r="U5664" t="s">
        <v>12902</v>
      </c>
      <c r="V5664" t="s">
        <v>12902</v>
      </c>
      <c r="W5664" t="s">
        <v>18515</v>
      </c>
      <c r="X5664">
        <v>15</v>
      </c>
      <c r="Y5664" t="s">
        <v>24805</v>
      </c>
      <c r="Z5664" t="s">
        <v>31239</v>
      </c>
      <c r="AA5664">
        <v>0.64966486195549011</v>
      </c>
      <c r="AB5664" t="str">
        <f>HYPERLINK("Melting_Curves/meltCurve_Q9NPF4_OSGEP.pdf", "Melting_Curves/meltCurve_Q9NPF4_OSGEP.pdf")</f>
        <v>Melting_Curves/meltCurve_Q9NPF4_OSGEP.pdf</v>
      </c>
    </row>
    <row r="5665" spans="1:28" x14ac:dyDescent="0.25">
      <c r="A5665" t="s">
        <v>5669</v>
      </c>
      <c r="B5665">
        <v>0.99673306730245903</v>
      </c>
      <c r="C5665">
        <v>1.04378359147504</v>
      </c>
      <c r="D5665">
        <v>0.93892820413675104</v>
      </c>
      <c r="E5665">
        <v>0.94672585449147595</v>
      </c>
      <c r="F5665">
        <v>0.63994250888609905</v>
      </c>
      <c r="G5665">
        <v>0.31197330585188898</v>
      </c>
      <c r="H5665">
        <v>0.177091564462766</v>
      </c>
      <c r="I5665">
        <v>0.18713029950757501</v>
      </c>
      <c r="J5665">
        <v>0.17869420436321301</v>
      </c>
      <c r="K5665">
        <v>0.14522375674702301</v>
      </c>
      <c r="L5665">
        <v>1570.6654824353</v>
      </c>
      <c r="M5665">
        <v>29.2223915873988</v>
      </c>
      <c r="N5665">
        <v>54.4853419540432</v>
      </c>
      <c r="O5665">
        <v>53.498883913843599</v>
      </c>
      <c r="P5665">
        <v>-0.114272967695457</v>
      </c>
      <c r="Q5665">
        <v>0.16318532292954599</v>
      </c>
      <c r="R5665">
        <v>0.99553950745956898</v>
      </c>
      <c r="S5665" t="s">
        <v>12117</v>
      </c>
      <c r="T5665" t="s">
        <v>12902</v>
      </c>
      <c r="U5665" t="s">
        <v>12902</v>
      </c>
      <c r="V5665" t="s">
        <v>12902</v>
      </c>
      <c r="W5665" t="s">
        <v>18516</v>
      </c>
      <c r="X5665">
        <v>5</v>
      </c>
      <c r="Y5665" t="s">
        <v>24806</v>
      </c>
      <c r="Z5665" t="s">
        <v>31240</v>
      </c>
      <c r="AA5665">
        <v>0.55245468009570398</v>
      </c>
      <c r="AB5665" t="str">
        <f>HYPERLINK("Melting_Curves/meltCurve_Q9NPH0_ACP6.pdf", "Melting_Curves/meltCurve_Q9NPH0_ACP6.pdf")</f>
        <v>Melting_Curves/meltCurve_Q9NPH0_ACP6.pdf</v>
      </c>
    </row>
    <row r="5666" spans="1:28" x14ac:dyDescent="0.25">
      <c r="A5666" t="s">
        <v>5670</v>
      </c>
      <c r="B5666">
        <v>0.99673306730245903</v>
      </c>
      <c r="C5666">
        <v>0.79875658617567402</v>
      </c>
      <c r="D5666">
        <v>0.58038381936360195</v>
      </c>
      <c r="E5666">
        <v>0.46194802958937597</v>
      </c>
      <c r="F5666">
        <v>0.438723231597823</v>
      </c>
      <c r="G5666">
        <v>0.48270601146854403</v>
      </c>
      <c r="H5666">
        <v>0.57447614262698199</v>
      </c>
      <c r="I5666">
        <v>0.69775648750606101</v>
      </c>
      <c r="J5666">
        <v>0.84101528331533404</v>
      </c>
      <c r="K5666">
        <v>0.89692055006462401</v>
      </c>
      <c r="L5666">
        <v>10719.496849097701</v>
      </c>
      <c r="M5666">
        <v>250</v>
      </c>
      <c r="O5666">
        <v>42.875243504057302</v>
      </c>
      <c r="P5666">
        <v>-0.55139454571300095</v>
      </c>
      <c r="Q5666">
        <v>0.62174119394284599</v>
      </c>
      <c r="R5666">
        <v>0.40034953002732698</v>
      </c>
      <c r="S5666" t="s">
        <v>12118</v>
      </c>
      <c r="T5666" t="s">
        <v>12902</v>
      </c>
      <c r="U5666" t="s">
        <v>12902</v>
      </c>
      <c r="V5666" t="s">
        <v>12902</v>
      </c>
      <c r="W5666" t="s">
        <v>18517</v>
      </c>
      <c r="X5666">
        <v>1</v>
      </c>
      <c r="Y5666" t="s">
        <v>24807</v>
      </c>
      <c r="Z5666" t="s">
        <v>31241</v>
      </c>
      <c r="AA5666">
        <v>0.65805712723621723</v>
      </c>
      <c r="AB5666" t="str">
        <f>HYPERLINK("Melting_Curves/meltCurve_Q9NPI1_BRD7.pdf", "Melting_Curves/meltCurve_Q9NPI1_BRD7.pdf")</f>
        <v>Melting_Curves/meltCurve_Q9NPI1_BRD7.pdf</v>
      </c>
    </row>
    <row r="5667" spans="1:28" x14ac:dyDescent="0.25">
      <c r="A5667" t="s">
        <v>5671</v>
      </c>
      <c r="B5667">
        <v>0.99673306730245903</v>
      </c>
      <c r="C5667">
        <v>0.869449476117924</v>
      </c>
      <c r="D5667">
        <v>0.73854577468752802</v>
      </c>
      <c r="E5667">
        <v>0.38469963920087102</v>
      </c>
      <c r="F5667">
        <v>0.208678217564364</v>
      </c>
      <c r="G5667">
        <v>0.150593536373893</v>
      </c>
      <c r="H5667">
        <v>9.4906804140638304E-2</v>
      </c>
      <c r="I5667">
        <v>9.8126717487960105E-2</v>
      </c>
      <c r="J5667">
        <v>0.103805581989832</v>
      </c>
      <c r="K5667">
        <v>7.5748204455441795E-2</v>
      </c>
      <c r="L5667">
        <v>892.99781332771602</v>
      </c>
      <c r="M5667">
        <v>18.649299822886501</v>
      </c>
      <c r="N5667">
        <v>48.382874018347898</v>
      </c>
      <c r="O5667">
        <v>47.343317658082</v>
      </c>
      <c r="P5667">
        <v>-8.9864719677349603E-2</v>
      </c>
      <c r="Q5667">
        <v>8.7512520825898096E-2</v>
      </c>
      <c r="R5667">
        <v>0.99694209444913695</v>
      </c>
      <c r="S5667" t="s">
        <v>12119</v>
      </c>
      <c r="T5667" t="s">
        <v>12902</v>
      </c>
      <c r="U5667" t="s">
        <v>12902</v>
      </c>
      <c r="V5667" t="s">
        <v>12902</v>
      </c>
      <c r="W5667" t="s">
        <v>18518</v>
      </c>
      <c r="X5667">
        <v>6</v>
      </c>
      <c r="Y5667" t="s">
        <v>24808</v>
      </c>
      <c r="Z5667" t="s">
        <v>31242</v>
      </c>
      <c r="AA5667">
        <v>0.34238587788856978</v>
      </c>
      <c r="AB5667" t="str">
        <f>HYPERLINK("Melting_Curves/meltCurve_Q9NPI6_DCP1A.pdf", "Melting_Curves/meltCurve_Q9NPI6_DCP1A.pdf")</f>
        <v>Melting_Curves/meltCurve_Q9NPI6_DCP1A.pdf</v>
      </c>
    </row>
    <row r="5668" spans="1:28" x14ac:dyDescent="0.25">
      <c r="A5668" t="s">
        <v>5672</v>
      </c>
      <c r="B5668">
        <v>0.99673306730245903</v>
      </c>
      <c r="C5668">
        <v>1.0111009446033099</v>
      </c>
      <c r="D5668">
        <v>1.0005881665524301</v>
      </c>
      <c r="E5668">
        <v>1.03447862184963</v>
      </c>
      <c r="F5668">
        <v>0.96600420385195296</v>
      </c>
      <c r="G5668">
        <v>0.91093159604554996</v>
      </c>
      <c r="H5668">
        <v>0.71942862518927597</v>
      </c>
      <c r="I5668">
        <v>0.97736701001632798</v>
      </c>
      <c r="J5668">
        <v>1.0139740687274399</v>
      </c>
      <c r="K5668">
        <v>0.60308504743472702</v>
      </c>
      <c r="L5668">
        <v>561.01077968646496</v>
      </c>
      <c r="M5668">
        <v>6.9124439893019902</v>
      </c>
      <c r="Q5668">
        <v>0</v>
      </c>
      <c r="R5668">
        <v>0.38184836945905698</v>
      </c>
      <c r="S5668" t="s">
        <v>12120</v>
      </c>
      <c r="T5668" t="s">
        <v>12902</v>
      </c>
      <c r="U5668" t="s">
        <v>12902</v>
      </c>
      <c r="V5668" t="s">
        <v>12902</v>
      </c>
      <c r="W5668" t="s">
        <v>18519</v>
      </c>
      <c r="X5668">
        <v>5</v>
      </c>
      <c r="Y5668" t="s">
        <v>24809</v>
      </c>
      <c r="Z5668" t="s">
        <v>31243</v>
      </c>
      <c r="AA5668">
        <v>0.93303416633454617</v>
      </c>
      <c r="AB5668" t="str">
        <f>HYPERLINK("Melting_Curves/meltCurve_Q9NPJ3_ACOT13.pdf", "Melting_Curves/meltCurve_Q9NPJ3_ACOT13.pdf")</f>
        <v>Melting_Curves/meltCurve_Q9NPJ3_ACOT13.pdf</v>
      </c>
    </row>
    <row r="5669" spans="1:28" x14ac:dyDescent="0.25">
      <c r="A5669" t="s">
        <v>5673</v>
      </c>
      <c r="B5669">
        <v>0.99673306730245903</v>
      </c>
      <c r="C5669">
        <v>0.93963874897585897</v>
      </c>
      <c r="D5669">
        <v>0.89262289352691704</v>
      </c>
      <c r="E5669">
        <v>0.92508743394510495</v>
      </c>
      <c r="F5669">
        <v>0.61406561931191495</v>
      </c>
      <c r="G5669">
        <v>0.35262540379423601</v>
      </c>
      <c r="H5669">
        <v>0.18573623546871501</v>
      </c>
      <c r="I5669">
        <v>0.189137085278516</v>
      </c>
      <c r="J5669">
        <v>0.236980712715989</v>
      </c>
      <c r="K5669">
        <v>0.200705212409265</v>
      </c>
      <c r="L5669">
        <v>1365.21254494802</v>
      </c>
      <c r="M5669">
        <v>25.549386635876701</v>
      </c>
      <c r="N5669">
        <v>54.473892859430897</v>
      </c>
      <c r="O5669">
        <v>53.110134696457102</v>
      </c>
      <c r="P5669">
        <v>-9.7061465575572603E-2</v>
      </c>
      <c r="Q5669">
        <v>0.19295379909048399</v>
      </c>
      <c r="R5669">
        <v>0.98518797134686897</v>
      </c>
      <c r="S5669" t="s">
        <v>12121</v>
      </c>
      <c r="T5669" t="s">
        <v>12902</v>
      </c>
      <c r="U5669" t="s">
        <v>12902</v>
      </c>
      <c r="V5669" t="s">
        <v>12902</v>
      </c>
      <c r="W5669" t="s">
        <v>18520</v>
      </c>
      <c r="X5669">
        <v>5</v>
      </c>
      <c r="Y5669" t="s">
        <v>24810</v>
      </c>
      <c r="Z5669" t="s">
        <v>31244</v>
      </c>
      <c r="AA5669">
        <v>0.56151141685584516</v>
      </c>
      <c r="AB5669" t="str">
        <f>HYPERLINK("Melting_Curves/meltCurve_Q9NPJ6_MED4.pdf", "Melting_Curves/meltCurve_Q9NPJ6_MED4.pdf")</f>
        <v>Melting_Curves/meltCurve_Q9NPJ6_MED4.pdf</v>
      </c>
    </row>
    <row r="5670" spans="1:28" x14ac:dyDescent="0.25">
      <c r="A5670" t="s">
        <v>5674</v>
      </c>
      <c r="B5670">
        <v>0.99673306730245903</v>
      </c>
      <c r="C5670">
        <v>0.99227699996212504</v>
      </c>
      <c r="D5670">
        <v>0.95553698170011203</v>
      </c>
      <c r="E5670">
        <v>0.85857697987395298</v>
      </c>
      <c r="F5670">
        <v>0.72961759117285596</v>
      </c>
      <c r="G5670">
        <v>0.56035010108106198</v>
      </c>
      <c r="H5670">
        <v>0.52462107283415504</v>
      </c>
      <c r="I5670">
        <v>0.60082472594462899</v>
      </c>
      <c r="J5670">
        <v>0.70503159123732795</v>
      </c>
      <c r="K5670">
        <v>0.67918746434419097</v>
      </c>
      <c r="L5670">
        <v>1445.82789062343</v>
      </c>
      <c r="M5670">
        <v>28.561324342877001</v>
      </c>
      <c r="O5670">
        <v>50.375655544727202</v>
      </c>
      <c r="P5670">
        <v>-5.4449431096930997E-2</v>
      </c>
      <c r="Q5670">
        <v>0.61585750525782401</v>
      </c>
      <c r="R5670">
        <v>0.90237393874476901</v>
      </c>
      <c r="S5670" t="s">
        <v>12122</v>
      </c>
      <c r="T5670" t="s">
        <v>12902</v>
      </c>
      <c r="U5670" t="s">
        <v>12902</v>
      </c>
      <c r="V5670" t="s">
        <v>12902</v>
      </c>
      <c r="W5670" t="s">
        <v>18521</v>
      </c>
      <c r="X5670">
        <v>12</v>
      </c>
      <c r="Y5670" t="s">
        <v>24811</v>
      </c>
      <c r="Z5670" t="s">
        <v>31245</v>
      </c>
      <c r="AA5670">
        <v>0.75451728571854437</v>
      </c>
      <c r="AB5670" t="str">
        <f>HYPERLINK("Melting_Curves/meltCurve_Q9NPL8_TIMMDC1.pdf", "Melting_Curves/meltCurve_Q9NPL8_TIMMDC1.pdf")</f>
        <v>Melting_Curves/meltCurve_Q9NPL8_TIMMDC1.pdf</v>
      </c>
    </row>
    <row r="5671" spans="1:28" x14ac:dyDescent="0.25">
      <c r="A5671" t="s">
        <v>5675</v>
      </c>
      <c r="B5671">
        <v>0.99673306730245903</v>
      </c>
      <c r="C5671">
        <v>0.92636203179026</v>
      </c>
      <c r="D5671">
        <v>0.68873626535876997</v>
      </c>
      <c r="E5671">
        <v>0.25918029990722202</v>
      </c>
      <c r="F5671">
        <v>0.208510873742593</v>
      </c>
      <c r="G5671">
        <v>0.109001958294002</v>
      </c>
      <c r="H5671">
        <v>6.9969409825161102E-2</v>
      </c>
      <c r="I5671">
        <v>5.8793999454731398E-2</v>
      </c>
      <c r="J5671">
        <v>5.7898735452134101E-2</v>
      </c>
      <c r="K5671">
        <v>5.1661504170094699E-2</v>
      </c>
      <c r="L5671">
        <v>1093.32169201899</v>
      </c>
      <c r="M5671">
        <v>23.140083823217498</v>
      </c>
      <c r="N5671">
        <v>47.565604736696997</v>
      </c>
      <c r="O5671">
        <v>46.8993397550014</v>
      </c>
      <c r="P5671">
        <v>-0.114521577808156</v>
      </c>
      <c r="Q5671">
        <v>7.1587076257059207E-2</v>
      </c>
      <c r="R5671">
        <v>0.99319922903960001</v>
      </c>
      <c r="S5671" t="s">
        <v>12123</v>
      </c>
      <c r="T5671" t="s">
        <v>12902</v>
      </c>
      <c r="U5671" t="s">
        <v>12902</v>
      </c>
      <c r="V5671" t="s">
        <v>12902</v>
      </c>
      <c r="W5671" t="s">
        <v>18522</v>
      </c>
      <c r="X5671">
        <v>12</v>
      </c>
      <c r="Y5671" t="s">
        <v>24812</v>
      </c>
      <c r="Z5671" t="s">
        <v>31246</v>
      </c>
      <c r="AA5671">
        <v>0.3056675197151566</v>
      </c>
      <c r="AB5671" t="str">
        <f>HYPERLINK("Melting_Curves/meltCurve_Q9NPQ8_4_RIC8A.pdf", "Melting_Curves/meltCurve_Q9NPQ8_4_RIC8A.pdf")</f>
        <v>Melting_Curves/meltCurve_Q9NPQ8_4_RIC8A.pdf</v>
      </c>
    </row>
    <row r="5672" spans="1:28" x14ac:dyDescent="0.25">
      <c r="A5672" t="s">
        <v>5676</v>
      </c>
      <c r="B5672">
        <v>0.99673306730245903</v>
      </c>
      <c r="C5672">
        <v>0.83658111402666502</v>
      </c>
      <c r="D5672">
        <v>0.80123350741727595</v>
      </c>
      <c r="E5672">
        <v>0.910743242056131</v>
      </c>
      <c r="F5672">
        <v>0.40933568414968602</v>
      </c>
      <c r="G5672">
        <v>8.1682324188247696E-2</v>
      </c>
      <c r="H5672">
        <v>3.70221011921519E-2</v>
      </c>
      <c r="I5672">
        <v>2.8231965252528201E-2</v>
      </c>
      <c r="J5672">
        <v>3.03422604108383E-2</v>
      </c>
      <c r="K5672">
        <v>2.7104848788365599E-2</v>
      </c>
      <c r="L5672">
        <v>1776.77272994802</v>
      </c>
      <c r="M5672">
        <v>33.821000130275202</v>
      </c>
      <c r="N5672">
        <v>52.6124554505435</v>
      </c>
      <c r="O5672">
        <v>52.351958749492397</v>
      </c>
      <c r="P5672">
        <v>-0.15756632296018599</v>
      </c>
      <c r="Q5672">
        <v>2.4408321256078801E-2</v>
      </c>
      <c r="R5672">
        <v>0.96035863187973702</v>
      </c>
      <c r="S5672" t="s">
        <v>12124</v>
      </c>
      <c r="T5672" t="s">
        <v>12902</v>
      </c>
      <c r="U5672" t="s">
        <v>12902</v>
      </c>
      <c r="V5672" t="s">
        <v>12902</v>
      </c>
      <c r="W5672" t="s">
        <v>18523</v>
      </c>
      <c r="X5672">
        <v>2</v>
      </c>
      <c r="Y5672" t="s">
        <v>24813</v>
      </c>
      <c r="Z5672" t="s">
        <v>31247</v>
      </c>
      <c r="AA5672">
        <v>0.43698424423123061</v>
      </c>
      <c r="AB5672" t="str">
        <f>HYPERLINK("Melting_Curves/meltCurve_Q9NPR9_GPR108.pdf", "Melting_Curves/meltCurve_Q9NPR9_GPR108.pdf")</f>
        <v>Melting_Curves/meltCurve_Q9NPR9_GPR108.pdf</v>
      </c>
    </row>
    <row r="5673" spans="1:28" x14ac:dyDescent="0.25">
      <c r="A5673" t="s">
        <v>5677</v>
      </c>
      <c r="B5673">
        <v>0.99673306730245903</v>
      </c>
      <c r="C5673">
        <v>0.97778968965067004</v>
      </c>
      <c r="D5673">
        <v>0.86841604968090402</v>
      </c>
      <c r="E5673">
        <v>0.88608926694428902</v>
      </c>
      <c r="F5673">
        <v>0.39404275160540098</v>
      </c>
      <c r="G5673">
        <v>0.16767366044038401</v>
      </c>
      <c r="H5673">
        <v>8.7456012681504297E-2</v>
      </c>
      <c r="I5673">
        <v>8.39926376713621E-2</v>
      </c>
      <c r="J5673">
        <v>0.101377231322375</v>
      </c>
      <c r="K5673">
        <v>0.101341832009208</v>
      </c>
      <c r="L5673">
        <v>1690.6783555374</v>
      </c>
      <c r="M5673">
        <v>32.410521143356704</v>
      </c>
      <c r="N5673">
        <v>52.496068016930202</v>
      </c>
      <c r="O5673">
        <v>51.967108951709598</v>
      </c>
      <c r="P5673">
        <v>-0.14148747680179399</v>
      </c>
      <c r="Q5673">
        <v>9.2558952536723194E-2</v>
      </c>
      <c r="R5673">
        <v>0.98917871080490005</v>
      </c>
      <c r="S5673" t="s">
        <v>12125</v>
      </c>
      <c r="T5673" t="s">
        <v>12902</v>
      </c>
      <c r="U5673" t="s">
        <v>12902</v>
      </c>
      <c r="V5673" t="s">
        <v>12902</v>
      </c>
      <c r="W5673" t="s">
        <v>18524</v>
      </c>
      <c r="X5673">
        <v>27</v>
      </c>
      <c r="Y5673" t="s">
        <v>24814</v>
      </c>
      <c r="Z5673" t="s">
        <v>31248</v>
      </c>
      <c r="AA5673">
        <v>0.46549624226895098</v>
      </c>
      <c r="AB5673" t="str">
        <f>HYPERLINK("Melting_Curves/meltCurve_Q9NQ29_LUC7L.pdf", "Melting_Curves/meltCurve_Q9NQ29_LUC7L.pdf")</f>
        <v>Melting_Curves/meltCurve_Q9NQ29_LUC7L.pdf</v>
      </c>
    </row>
    <row r="5674" spans="1:28" x14ac:dyDescent="0.25">
      <c r="A5674" t="s">
        <v>5678</v>
      </c>
      <c r="B5674">
        <v>0.99673306730245903</v>
      </c>
      <c r="C5674">
        <v>1.05028377795641</v>
      </c>
      <c r="D5674">
        <v>0.94866061389963796</v>
      </c>
      <c r="E5674">
        <v>0.73762624398542798</v>
      </c>
      <c r="F5674">
        <v>0.18432771517223101</v>
      </c>
      <c r="G5674">
        <v>0.106583295103998</v>
      </c>
      <c r="H5674">
        <v>5.96811092728321E-2</v>
      </c>
      <c r="I5674">
        <v>5.0950932868197497E-2</v>
      </c>
      <c r="J5674">
        <v>6.0468131731150503E-2</v>
      </c>
      <c r="K5674">
        <v>3.3554166059476503E-2</v>
      </c>
      <c r="L5674">
        <v>1943.27436409605</v>
      </c>
      <c r="M5674">
        <v>38.267751723170299</v>
      </c>
      <c r="N5674">
        <v>50.940907218046803</v>
      </c>
      <c r="O5674">
        <v>50.642917953447103</v>
      </c>
      <c r="P5674">
        <v>-0.178217911626082</v>
      </c>
      <c r="Q5674">
        <v>5.65997162155445E-2</v>
      </c>
      <c r="R5674">
        <v>0.99681954718296895</v>
      </c>
      <c r="S5674" t="s">
        <v>12126</v>
      </c>
      <c r="T5674" t="s">
        <v>12902</v>
      </c>
      <c r="U5674" t="s">
        <v>12902</v>
      </c>
      <c r="V5674" t="s">
        <v>12902</v>
      </c>
      <c r="W5674" t="s">
        <v>18525</v>
      </c>
      <c r="X5674">
        <v>12</v>
      </c>
      <c r="Y5674" t="s">
        <v>24815</v>
      </c>
      <c r="Z5674" t="s">
        <v>31249</v>
      </c>
      <c r="AA5674">
        <v>0.39924660832096992</v>
      </c>
      <c r="AB5674" t="str">
        <f>HYPERLINK("Melting_Curves/meltCurve_Q9NQ88_TIGAR.pdf", "Melting_Curves/meltCurve_Q9NQ88_TIGAR.pdf")</f>
        <v>Melting_Curves/meltCurve_Q9NQ88_TIGAR.pdf</v>
      </c>
    </row>
    <row r="5675" spans="1:28" x14ac:dyDescent="0.25">
      <c r="A5675" t="s">
        <v>5679</v>
      </c>
      <c r="B5675">
        <v>0.99673306730245903</v>
      </c>
      <c r="C5675">
        <v>0.98884713314563899</v>
      </c>
      <c r="D5675">
        <v>0.94791826392658896</v>
      </c>
      <c r="E5675">
        <v>0.96681349151822704</v>
      </c>
      <c r="F5675">
        <v>0.75281785401974999</v>
      </c>
      <c r="G5675">
        <v>0.65364089172079798</v>
      </c>
      <c r="H5675">
        <v>0.44558086356787402</v>
      </c>
      <c r="I5675">
        <v>0.50926176317065197</v>
      </c>
      <c r="J5675">
        <v>0.405681274611293</v>
      </c>
      <c r="K5675">
        <v>0.30945075041280901</v>
      </c>
      <c r="L5675">
        <v>766.76490437228495</v>
      </c>
      <c r="M5675">
        <v>13.5947200622245</v>
      </c>
      <c r="N5675">
        <v>60.843728523218601</v>
      </c>
      <c r="O5675">
        <v>55.223266086727399</v>
      </c>
      <c r="P5675">
        <v>-4.2183892045862002E-2</v>
      </c>
      <c r="Q5675">
        <v>0.31467933050296099</v>
      </c>
      <c r="R5675">
        <v>0.97208474493668096</v>
      </c>
      <c r="S5675" t="s">
        <v>12127</v>
      </c>
      <c r="T5675" t="s">
        <v>12902</v>
      </c>
      <c r="U5675" t="s">
        <v>12902</v>
      </c>
      <c r="V5675" t="s">
        <v>12902</v>
      </c>
      <c r="W5675" t="s">
        <v>18526</v>
      </c>
      <c r="X5675">
        <v>20</v>
      </c>
      <c r="Y5675" t="s">
        <v>24816</v>
      </c>
      <c r="Z5675" t="s">
        <v>31250</v>
      </c>
      <c r="AA5675">
        <v>0.70178116662561407</v>
      </c>
      <c r="AB5675" t="str">
        <f>HYPERLINK("Melting_Curves/meltCurve_Q9NQC3_RTN4.pdf", "Melting_Curves/meltCurve_Q9NQC3_RTN4.pdf")</f>
        <v>Melting_Curves/meltCurve_Q9NQC3_RTN4.pdf</v>
      </c>
    </row>
    <row r="5676" spans="1:28" x14ac:dyDescent="0.25">
      <c r="A5676" t="s">
        <v>5680</v>
      </c>
      <c r="B5676">
        <v>0.99673306730245903</v>
      </c>
      <c r="C5676">
        <v>1.0626389948180499</v>
      </c>
      <c r="D5676">
        <v>0.97832584013678603</v>
      </c>
      <c r="E5676">
        <v>0.92229570588939103</v>
      </c>
      <c r="F5676">
        <v>0.77044996732164495</v>
      </c>
      <c r="G5676">
        <v>0.45553463780083597</v>
      </c>
      <c r="H5676">
        <v>0.26459582246929603</v>
      </c>
      <c r="I5676">
        <v>0.25576887061751602</v>
      </c>
      <c r="J5676">
        <v>0.20484750267532101</v>
      </c>
      <c r="K5676">
        <v>0.13068330637394099</v>
      </c>
      <c r="L5676">
        <v>1175.39770059529</v>
      </c>
      <c r="M5676">
        <v>21.236231576075902</v>
      </c>
      <c r="N5676">
        <v>56.425377704068403</v>
      </c>
      <c r="O5676">
        <v>54.864910559458103</v>
      </c>
      <c r="P5676">
        <v>-8.0648317592642502E-2</v>
      </c>
      <c r="Q5676">
        <v>0.166584909133044</v>
      </c>
      <c r="R5676">
        <v>0.99249798919837395</v>
      </c>
      <c r="S5676" t="s">
        <v>12128</v>
      </c>
      <c r="T5676" t="s">
        <v>12902</v>
      </c>
      <c r="U5676" t="s">
        <v>12902</v>
      </c>
      <c r="V5676" t="s">
        <v>12902</v>
      </c>
      <c r="W5676" t="s">
        <v>18527</v>
      </c>
      <c r="X5676">
        <v>7</v>
      </c>
      <c r="Y5676" t="s">
        <v>24816</v>
      </c>
      <c r="Z5676" t="s">
        <v>31251</v>
      </c>
      <c r="AA5676">
        <v>0.60302556187648881</v>
      </c>
      <c r="AB5676" t="str">
        <f>HYPERLINK("Melting_Curves/meltCurve_Q9NQC3_2_RTN4.pdf", "Melting_Curves/meltCurve_Q9NQC3_2_RTN4.pdf")</f>
        <v>Melting_Curves/meltCurve_Q9NQC3_2_RTN4.pdf</v>
      </c>
    </row>
    <row r="5677" spans="1:28" x14ac:dyDescent="0.25">
      <c r="A5677" t="s">
        <v>5681</v>
      </c>
      <c r="B5677">
        <v>0.99673306730245903</v>
      </c>
      <c r="C5677">
        <v>1.03718733974747</v>
      </c>
      <c r="D5677">
        <v>0.97107432547011197</v>
      </c>
      <c r="E5677">
        <v>0.87720053847470603</v>
      </c>
      <c r="F5677">
        <v>0.73369629541493697</v>
      </c>
      <c r="G5677">
        <v>0.47222963946801799</v>
      </c>
      <c r="H5677">
        <v>0.16388238170980299</v>
      </c>
      <c r="I5677">
        <v>0.107449483014493</v>
      </c>
      <c r="J5677">
        <v>9.4810355688463105E-2</v>
      </c>
      <c r="K5677">
        <v>8.3003738003218502E-2</v>
      </c>
      <c r="L5677">
        <v>1063.7669662488099</v>
      </c>
      <c r="M5677">
        <v>19.083683746895801</v>
      </c>
      <c r="N5677">
        <v>56.022943419128097</v>
      </c>
      <c r="O5677">
        <v>55.140964446391799</v>
      </c>
      <c r="P5677">
        <v>-8.2580344662361693E-2</v>
      </c>
      <c r="Q5677">
        <v>4.5596991849565997E-2</v>
      </c>
      <c r="R5677">
        <v>0.99530355062245401</v>
      </c>
      <c r="S5677" t="s">
        <v>12129</v>
      </c>
      <c r="T5677" t="s">
        <v>12902</v>
      </c>
      <c r="U5677" t="s">
        <v>12902</v>
      </c>
      <c r="V5677" t="s">
        <v>12902</v>
      </c>
      <c r="W5677" t="s">
        <v>18528</v>
      </c>
      <c r="X5677">
        <v>7</v>
      </c>
      <c r="Y5677" t="s">
        <v>24817</v>
      </c>
      <c r="Z5677" t="s">
        <v>31252</v>
      </c>
      <c r="AA5677">
        <v>0.55964751715955097</v>
      </c>
      <c r="AB5677" t="str">
        <f>HYPERLINK("Melting_Curves/meltCurve_Q9NQE9_HINT3.pdf", "Melting_Curves/meltCurve_Q9NQE9_HINT3.pdf")</f>
        <v>Melting_Curves/meltCurve_Q9NQE9_HINT3.pdf</v>
      </c>
    </row>
    <row r="5678" spans="1:28" x14ac:dyDescent="0.25">
      <c r="A5678" t="s">
        <v>5682</v>
      </c>
      <c r="B5678">
        <v>0.99673306730245903</v>
      </c>
      <c r="C5678">
        <v>0.77870787137556197</v>
      </c>
      <c r="D5678">
        <v>0.89071966569808303</v>
      </c>
      <c r="E5678">
        <v>0.80748219060484006</v>
      </c>
      <c r="F5678">
        <v>0.79096553918317103</v>
      </c>
      <c r="G5678">
        <v>0.26157073493619398</v>
      </c>
      <c r="H5678">
        <v>0.194947437547076</v>
      </c>
      <c r="I5678">
        <v>0.67017229172401005</v>
      </c>
      <c r="J5678">
        <v>0.78533512882425704</v>
      </c>
      <c r="K5678">
        <v>0.83538969805039498</v>
      </c>
      <c r="L5678">
        <v>803.81262313404602</v>
      </c>
      <c r="M5678">
        <v>16.823500349133599</v>
      </c>
      <c r="O5678">
        <v>47.119366130125798</v>
      </c>
      <c r="P5678">
        <v>-3.7574519592024201E-2</v>
      </c>
      <c r="Q5678">
        <v>0.57907109454899097</v>
      </c>
      <c r="R5678">
        <v>0.28569225166203099</v>
      </c>
      <c r="S5678" t="s">
        <v>12130</v>
      </c>
      <c r="T5678" t="s">
        <v>12902</v>
      </c>
      <c r="U5678" t="s">
        <v>12902</v>
      </c>
      <c r="V5678" t="s">
        <v>12902</v>
      </c>
      <c r="W5678" t="s">
        <v>18529</v>
      </c>
      <c r="X5678">
        <v>1</v>
      </c>
      <c r="Y5678" t="s">
        <v>24818</v>
      </c>
      <c r="Z5678" t="s">
        <v>31253</v>
      </c>
      <c r="AA5678">
        <v>0.69688468995356323</v>
      </c>
      <c r="AB5678" t="str">
        <f>HYPERLINK("Melting_Curves/meltCurve_Q9NQG1_MANBAL.pdf", "Melting_Curves/meltCurve_Q9NQG1_MANBAL.pdf")</f>
        <v>Melting_Curves/meltCurve_Q9NQG1_MANBAL.pdf</v>
      </c>
    </row>
    <row r="5679" spans="1:28" x14ac:dyDescent="0.25">
      <c r="A5679" t="s">
        <v>5683</v>
      </c>
      <c r="B5679">
        <v>0.99673306730245903</v>
      </c>
      <c r="C5679">
        <v>0.90681607963716404</v>
      </c>
      <c r="D5679">
        <v>0.855275205586147</v>
      </c>
      <c r="E5679">
        <v>0.71234366810051097</v>
      </c>
      <c r="F5679">
        <v>0.262845921766096</v>
      </c>
      <c r="G5679">
        <v>0.17361971457314501</v>
      </c>
      <c r="H5679">
        <v>9.4297178180537497E-2</v>
      </c>
      <c r="I5679">
        <v>8.7573825027115804E-2</v>
      </c>
      <c r="J5679">
        <v>7.4619167163750194E-2</v>
      </c>
      <c r="K5679">
        <v>6.5473757157114704E-2</v>
      </c>
      <c r="L5679">
        <v>1065.2134800927699</v>
      </c>
      <c r="M5679">
        <v>20.994858990822699</v>
      </c>
      <c r="N5679">
        <v>51.083649959741301</v>
      </c>
      <c r="O5679">
        <v>50.2832728161478</v>
      </c>
      <c r="P5679">
        <v>-9.74526192815659E-2</v>
      </c>
      <c r="Q5679">
        <v>6.6417738821544794E-2</v>
      </c>
      <c r="R5679">
        <v>0.98815841180238795</v>
      </c>
      <c r="S5679" t="s">
        <v>12131</v>
      </c>
      <c r="T5679" t="s">
        <v>12902</v>
      </c>
      <c r="U5679" t="s">
        <v>12902</v>
      </c>
      <c r="V5679" t="s">
        <v>12902</v>
      </c>
      <c r="W5679" t="s">
        <v>18530</v>
      </c>
      <c r="X5679">
        <v>17</v>
      </c>
      <c r="Y5679" t="s">
        <v>24819</v>
      </c>
      <c r="Z5679" t="s">
        <v>31254</v>
      </c>
      <c r="AA5679">
        <v>0.41236541119855269</v>
      </c>
      <c r="AB5679" t="str">
        <f>HYPERLINK("Melting_Curves/meltCurve_Q9NQG5_RPRD1B.pdf", "Melting_Curves/meltCurve_Q9NQG5_RPRD1B.pdf")</f>
        <v>Melting_Curves/meltCurve_Q9NQG5_RPRD1B.pdf</v>
      </c>
    </row>
    <row r="5680" spans="1:28" x14ac:dyDescent="0.25">
      <c r="A5680" t="s">
        <v>5684</v>
      </c>
      <c r="B5680">
        <v>0.99673306730245903</v>
      </c>
      <c r="C5680">
        <v>0.92223510811222698</v>
      </c>
      <c r="D5680">
        <v>0.78975583232947399</v>
      </c>
      <c r="E5680">
        <v>0.65867333646475801</v>
      </c>
      <c r="F5680">
        <v>0.31869867387421102</v>
      </c>
      <c r="G5680">
        <v>0.205690891287924</v>
      </c>
      <c r="H5680">
        <v>0.13044466184060899</v>
      </c>
      <c r="I5680">
        <v>0.111935364890777</v>
      </c>
      <c r="J5680">
        <v>8.9471433667531894E-2</v>
      </c>
      <c r="K5680">
        <v>0.10120482695453201</v>
      </c>
      <c r="L5680">
        <v>786.13251889579305</v>
      </c>
      <c r="M5680">
        <v>15.6003819245713</v>
      </c>
      <c r="N5680">
        <v>50.921062829375302</v>
      </c>
      <c r="O5680">
        <v>49.585643270923498</v>
      </c>
      <c r="P5680">
        <v>-7.2774216139848399E-2</v>
      </c>
      <c r="Q5680">
        <v>7.4831940851196696E-2</v>
      </c>
      <c r="R5680">
        <v>0.99341607095957096</v>
      </c>
      <c r="S5680" t="s">
        <v>12132</v>
      </c>
      <c r="T5680" t="s">
        <v>12902</v>
      </c>
      <c r="U5680" t="s">
        <v>12902</v>
      </c>
      <c r="V5680" t="s">
        <v>12902</v>
      </c>
      <c r="W5680" t="s">
        <v>18531</v>
      </c>
      <c r="X5680">
        <v>3</v>
      </c>
      <c r="Y5680" t="s">
        <v>24820</v>
      </c>
      <c r="Z5680" t="s">
        <v>31255</v>
      </c>
      <c r="AA5680">
        <v>0.41565445340998802</v>
      </c>
      <c r="AB5680" t="str">
        <f>HYPERLINK("Melting_Curves/meltCurve_Q9NQG7_3_HPS4.pdf", "Melting_Curves/meltCurve_Q9NQG7_3_HPS4.pdf")</f>
        <v>Melting_Curves/meltCurve_Q9NQG7_3_HPS4.pdf</v>
      </c>
    </row>
    <row r="5681" spans="1:28" x14ac:dyDescent="0.25">
      <c r="A5681" t="s">
        <v>5685</v>
      </c>
      <c r="B5681">
        <v>0.99673306730245903</v>
      </c>
      <c r="C5681">
        <v>0.92530946454961205</v>
      </c>
      <c r="D5681">
        <v>0.92786039747525695</v>
      </c>
      <c r="E5681">
        <v>0.99826237788183703</v>
      </c>
      <c r="F5681">
        <v>0.76006771200122303</v>
      </c>
      <c r="G5681">
        <v>0.45732640825142101</v>
      </c>
      <c r="H5681">
        <v>0.14088621315014699</v>
      </c>
      <c r="I5681">
        <v>9.8631642070072301E-2</v>
      </c>
      <c r="J5681">
        <v>7.3923935012130099E-2</v>
      </c>
      <c r="K5681">
        <v>6.0049642549177697E-2</v>
      </c>
      <c r="L5681">
        <v>1356.0646337098101</v>
      </c>
      <c r="M5681">
        <v>24.264376807015999</v>
      </c>
      <c r="N5681">
        <v>56.135819598972297</v>
      </c>
      <c r="O5681">
        <v>55.511611321170797</v>
      </c>
      <c r="P5681">
        <v>-0.10370790993244999</v>
      </c>
      <c r="Q5681">
        <v>5.0969936709963699E-2</v>
      </c>
      <c r="R5681">
        <v>0.99138447373261795</v>
      </c>
      <c r="S5681" t="s">
        <v>12133</v>
      </c>
      <c r="T5681" t="s">
        <v>12902</v>
      </c>
      <c r="U5681" t="s">
        <v>12902</v>
      </c>
      <c r="V5681" t="s">
        <v>12902</v>
      </c>
      <c r="W5681" t="s">
        <v>18532</v>
      </c>
      <c r="X5681">
        <v>8</v>
      </c>
      <c r="Y5681" t="s">
        <v>24821</v>
      </c>
      <c r="Z5681" t="s">
        <v>31256</v>
      </c>
      <c r="AA5681">
        <v>0.56271239164706921</v>
      </c>
      <c r="AB5681" t="str">
        <f>HYPERLINK("Melting_Curves/meltCurve_Q9NQH7_2_XPNPEP3.pdf", "Melting_Curves/meltCurve_Q9NQH7_2_XPNPEP3.pdf")</f>
        <v>Melting_Curves/meltCurve_Q9NQH7_2_XPNPEP3.pdf</v>
      </c>
    </row>
    <row r="5682" spans="1:28" x14ac:dyDescent="0.25">
      <c r="A5682" t="s">
        <v>5686</v>
      </c>
      <c r="B5682">
        <v>0.99673306730245903</v>
      </c>
      <c r="C5682">
        <v>1.0330360033382999</v>
      </c>
      <c r="D5682">
        <v>1.00741489052688</v>
      </c>
      <c r="E5682">
        <v>1.0146394023610401</v>
      </c>
      <c r="F5682">
        <v>0.81083885434811498</v>
      </c>
      <c r="G5682">
        <v>0.57785146698777901</v>
      </c>
      <c r="H5682">
        <v>0.124074779251849</v>
      </c>
      <c r="I5682">
        <v>9.9397770902002594E-2</v>
      </c>
      <c r="J5682">
        <v>9.7020697606025205E-2</v>
      </c>
      <c r="K5682">
        <v>8.1226370681586904E-2</v>
      </c>
      <c r="L5682">
        <v>1596.22319992194</v>
      </c>
      <c r="M5682">
        <v>28.1389486267548</v>
      </c>
      <c r="N5682">
        <v>57.0003429360968</v>
      </c>
      <c r="O5682">
        <v>56.442289456562499</v>
      </c>
      <c r="P5682">
        <v>-0.116756128624593</v>
      </c>
      <c r="Q5682">
        <v>6.3230416971895201E-2</v>
      </c>
      <c r="R5682">
        <v>0.99202595492032397</v>
      </c>
      <c r="S5682" t="s">
        <v>12134</v>
      </c>
      <c r="T5682" t="s">
        <v>12902</v>
      </c>
      <c r="U5682" t="s">
        <v>12902</v>
      </c>
      <c r="V5682" t="s">
        <v>12902</v>
      </c>
      <c r="W5682" t="s">
        <v>18533</v>
      </c>
      <c r="X5682">
        <v>19</v>
      </c>
      <c r="Y5682" t="s">
        <v>24822</v>
      </c>
      <c r="Z5682" t="s">
        <v>31257</v>
      </c>
      <c r="AA5682">
        <v>0.59251163353238778</v>
      </c>
      <c r="AB5682" t="str">
        <f>HYPERLINK("Melting_Curves/meltCurve_Q9NQR4_NIT2.pdf", "Melting_Curves/meltCurve_Q9NQR4_NIT2.pdf")</f>
        <v>Melting_Curves/meltCurve_Q9NQR4_NIT2.pdf</v>
      </c>
    </row>
    <row r="5683" spans="1:28" x14ac:dyDescent="0.25">
      <c r="A5683" t="s">
        <v>5687</v>
      </c>
      <c r="B5683">
        <v>0.99673306730245903</v>
      </c>
      <c r="C5683">
        <v>0.93177279312257599</v>
      </c>
      <c r="D5683">
        <v>0.98083526842741198</v>
      </c>
      <c r="E5683">
        <v>1.0601956502241201</v>
      </c>
      <c r="F5683">
        <v>0.71877525439138501</v>
      </c>
      <c r="G5683">
        <v>0.39646397870289801</v>
      </c>
      <c r="H5683">
        <v>0.37211524406185698</v>
      </c>
      <c r="I5683">
        <v>0.569435408790953</v>
      </c>
      <c r="J5683">
        <v>0.79117922697328802</v>
      </c>
      <c r="K5683">
        <v>0.78927796295976005</v>
      </c>
      <c r="S5683" t="s">
        <v>12135</v>
      </c>
      <c r="T5683" t="s">
        <v>12902</v>
      </c>
      <c r="U5683" t="s">
        <v>12903</v>
      </c>
      <c r="V5683" t="s">
        <v>12902</v>
      </c>
      <c r="W5683" t="s">
        <v>18534</v>
      </c>
      <c r="X5683">
        <v>10</v>
      </c>
      <c r="Y5683" t="s">
        <v>24823</v>
      </c>
      <c r="Z5683" t="s">
        <v>31258</v>
      </c>
      <c r="AB5683" t="str">
        <f>HYPERLINK("Melting_Curves/meltCurve_Q9NQS1_AVEN.pdf", "Melting_Curves/meltCurve_Q9NQS1_AVEN.pdf")</f>
        <v>Melting_Curves/meltCurve_Q9NQS1_AVEN.pdf</v>
      </c>
    </row>
    <row r="5684" spans="1:28" x14ac:dyDescent="0.25">
      <c r="A5684" t="s">
        <v>5688</v>
      </c>
      <c r="B5684">
        <v>0.99673306730245903</v>
      </c>
      <c r="C5684">
        <v>1.1160841679823199</v>
      </c>
      <c r="D5684">
        <v>1.5601731192336199</v>
      </c>
      <c r="E5684">
        <v>2.0400753253564399</v>
      </c>
      <c r="F5684">
        <v>2.1440636959770498</v>
      </c>
      <c r="G5684">
        <v>1.4247662185047401</v>
      </c>
      <c r="H5684">
        <v>0.35781900908587499</v>
      </c>
      <c r="I5684">
        <v>0.29353964225066798</v>
      </c>
      <c r="J5684">
        <v>0.284613784745127</v>
      </c>
      <c r="K5684">
        <v>0.25442645973247802</v>
      </c>
      <c r="L5684">
        <v>15000</v>
      </c>
      <c r="M5684">
        <v>248.789701554316</v>
      </c>
      <c r="N5684">
        <v>60.488773010090497</v>
      </c>
      <c r="O5684">
        <v>60.287988780198397</v>
      </c>
      <c r="P5684">
        <v>-0.74535592838803699</v>
      </c>
      <c r="Q5684">
        <v>0.27752620754164098</v>
      </c>
      <c r="R5684">
        <v>0.40286743925497698</v>
      </c>
      <c r="S5684" t="s">
        <v>12136</v>
      </c>
      <c r="T5684" t="s">
        <v>12902</v>
      </c>
      <c r="U5684" t="s">
        <v>12902</v>
      </c>
      <c r="V5684" t="s">
        <v>12902</v>
      </c>
      <c r="W5684" t="s">
        <v>18535</v>
      </c>
      <c r="X5684">
        <v>9</v>
      </c>
      <c r="Y5684" t="s">
        <v>24824</v>
      </c>
      <c r="Z5684" t="s">
        <v>31259</v>
      </c>
      <c r="AA5684">
        <v>0.76628189564947702</v>
      </c>
      <c r="AB5684" t="str">
        <f>HYPERLINK("Melting_Curves/meltCurve_Q9NQT4_EXOSC5.pdf", "Melting_Curves/meltCurve_Q9NQT4_EXOSC5.pdf")</f>
        <v>Melting_Curves/meltCurve_Q9NQT4_EXOSC5.pdf</v>
      </c>
    </row>
    <row r="5685" spans="1:28" x14ac:dyDescent="0.25">
      <c r="A5685" t="s">
        <v>5689</v>
      </c>
      <c r="B5685">
        <v>0.99673306730245903</v>
      </c>
      <c r="C5685">
        <v>1.0276048828519</v>
      </c>
      <c r="D5685">
        <v>1.4345963161731199</v>
      </c>
      <c r="E5685">
        <v>1.30837324711946</v>
      </c>
      <c r="F5685">
        <v>0.52108418989359095</v>
      </c>
      <c r="G5685">
        <v>0.29597781702922799</v>
      </c>
      <c r="H5685">
        <v>0.19538705869235001</v>
      </c>
      <c r="I5685">
        <v>0.16465645651612601</v>
      </c>
      <c r="J5685">
        <v>0.130491404310177</v>
      </c>
      <c r="K5685">
        <v>0.13243060210096499</v>
      </c>
      <c r="L5685">
        <v>10687.1728529016</v>
      </c>
      <c r="M5685">
        <v>201.23726235549299</v>
      </c>
      <c r="N5685">
        <v>53.228531167170999</v>
      </c>
      <c r="O5685">
        <v>53.1020915000556</v>
      </c>
      <c r="P5685">
        <v>-0.77328535197496595</v>
      </c>
      <c r="Q5685">
        <v>0.183788115248362</v>
      </c>
      <c r="R5685">
        <v>0.87493779569946295</v>
      </c>
      <c r="S5685" t="s">
        <v>12137</v>
      </c>
      <c r="T5685" t="s">
        <v>12902</v>
      </c>
      <c r="U5685" t="s">
        <v>12902</v>
      </c>
      <c r="V5685" t="s">
        <v>12902</v>
      </c>
      <c r="W5685" t="s">
        <v>18536</v>
      </c>
      <c r="X5685">
        <v>4</v>
      </c>
      <c r="Y5685" t="s">
        <v>24825</v>
      </c>
      <c r="Z5685" t="s">
        <v>31260</v>
      </c>
      <c r="AA5685">
        <v>0.54051737254725352</v>
      </c>
      <c r="AB5685" t="str">
        <f>HYPERLINK("Melting_Curves/meltCurve_Q9NQT5_EXOSC3.pdf", "Melting_Curves/meltCurve_Q9NQT5_EXOSC3.pdf")</f>
        <v>Melting_Curves/meltCurve_Q9NQT5_EXOSC3.pdf</v>
      </c>
    </row>
    <row r="5686" spans="1:28" x14ac:dyDescent="0.25">
      <c r="A5686" t="s">
        <v>5690</v>
      </c>
      <c r="B5686">
        <v>0.99673306730245903</v>
      </c>
      <c r="C5686">
        <v>0.91690189824486801</v>
      </c>
      <c r="D5686">
        <v>0.84998781018501501</v>
      </c>
      <c r="E5686">
        <v>0.280380596173334</v>
      </c>
      <c r="F5686">
        <v>0.19704619645282501</v>
      </c>
      <c r="G5686">
        <v>0.13482267890980701</v>
      </c>
      <c r="H5686">
        <v>9.3294293075710799E-2</v>
      </c>
      <c r="I5686">
        <v>0.103270257010687</v>
      </c>
      <c r="J5686">
        <v>0.15008617862934201</v>
      </c>
      <c r="K5686">
        <v>0.14947477533046899</v>
      </c>
      <c r="L5686">
        <v>1831.7357115184</v>
      </c>
      <c r="M5686">
        <v>38.385548981426098</v>
      </c>
      <c r="N5686">
        <v>48.106679563678497</v>
      </c>
      <c r="O5686">
        <v>47.590447498875903</v>
      </c>
      <c r="P5686">
        <v>-0.17484422484280901</v>
      </c>
      <c r="Q5686">
        <v>0.13291383844869001</v>
      </c>
      <c r="R5686">
        <v>0.991235912149111</v>
      </c>
      <c r="S5686" t="s">
        <v>12138</v>
      </c>
      <c r="T5686" t="s">
        <v>12902</v>
      </c>
      <c r="U5686" t="s">
        <v>12902</v>
      </c>
      <c r="V5686" t="s">
        <v>12902</v>
      </c>
      <c r="W5686" t="s">
        <v>18537</v>
      </c>
      <c r="X5686">
        <v>8</v>
      </c>
      <c r="Y5686" t="s">
        <v>24826</v>
      </c>
      <c r="Z5686" t="s">
        <v>31261</v>
      </c>
      <c r="AA5686">
        <v>0.35915019920307739</v>
      </c>
      <c r="AB5686" t="str">
        <f>HYPERLINK("Melting_Curves/meltCurve_Q9NQT8_KIF13B.pdf", "Melting_Curves/meltCurve_Q9NQT8_KIF13B.pdf")</f>
        <v>Melting_Curves/meltCurve_Q9NQT8_KIF13B.pdf</v>
      </c>
    </row>
    <row r="5687" spans="1:28" x14ac:dyDescent="0.25">
      <c r="A5687" t="s">
        <v>5691</v>
      </c>
      <c r="B5687">
        <v>0.99673306730245903</v>
      </c>
      <c r="C5687">
        <v>0.92440238652943296</v>
      </c>
      <c r="D5687">
        <v>0.64618409837879198</v>
      </c>
      <c r="E5687">
        <v>0.32644920574046099</v>
      </c>
      <c r="F5687">
        <v>0.30220746259998899</v>
      </c>
      <c r="G5687">
        <v>0.22734383982515499</v>
      </c>
      <c r="H5687">
        <v>0.179600799669871</v>
      </c>
      <c r="I5687">
        <v>0.108471676264806</v>
      </c>
      <c r="J5687">
        <v>0.142698918799153</v>
      </c>
      <c r="K5687">
        <v>0.13255390303185799</v>
      </c>
      <c r="L5687">
        <v>945.95396101977406</v>
      </c>
      <c r="M5687">
        <v>20.1660565339287</v>
      </c>
      <c r="N5687">
        <v>47.802200511711199</v>
      </c>
      <c r="O5687">
        <v>46.454261990286298</v>
      </c>
      <c r="P5687">
        <v>-9.1481085632931197E-2</v>
      </c>
      <c r="Q5687">
        <v>0.157088062674025</v>
      </c>
      <c r="R5687">
        <v>0.98491616212696897</v>
      </c>
      <c r="S5687" t="s">
        <v>12139</v>
      </c>
      <c r="T5687" t="s">
        <v>12902</v>
      </c>
      <c r="U5687" t="s">
        <v>12902</v>
      </c>
      <c r="V5687" t="s">
        <v>12902</v>
      </c>
      <c r="W5687" t="s">
        <v>18538</v>
      </c>
      <c r="X5687">
        <v>23</v>
      </c>
      <c r="Y5687" t="s">
        <v>24827</v>
      </c>
      <c r="Z5687" t="s">
        <v>31262</v>
      </c>
      <c r="AA5687">
        <v>0.36335045105839742</v>
      </c>
      <c r="AB5687" t="str">
        <f>HYPERLINK("Melting_Curves/meltCurve_Q9NQW6_2_ANLN.pdf", "Melting_Curves/meltCurve_Q9NQW6_2_ANLN.pdf")</f>
        <v>Melting_Curves/meltCurve_Q9NQW6_2_ANLN.pdf</v>
      </c>
    </row>
    <row r="5688" spans="1:28" x14ac:dyDescent="0.25">
      <c r="A5688" t="s">
        <v>5692</v>
      </c>
      <c r="B5688">
        <v>0.99673306730245903</v>
      </c>
      <c r="C5688">
        <v>1.0912576108588401</v>
      </c>
      <c r="D5688">
        <v>1.2696857325019799</v>
      </c>
      <c r="E5688">
        <v>0.93827064844182295</v>
      </c>
      <c r="F5688">
        <v>0.242307745719542</v>
      </c>
      <c r="G5688">
        <v>0.11468738256901299</v>
      </c>
      <c r="H5688">
        <v>5.0337654971679198E-2</v>
      </c>
      <c r="I5688">
        <v>4.0245146209091802E-2</v>
      </c>
      <c r="J5688">
        <v>5.16153380461922E-2</v>
      </c>
      <c r="K5688">
        <v>3.9524214124129903E-2</v>
      </c>
      <c r="L5688">
        <v>2980.1169716880599</v>
      </c>
      <c r="M5688">
        <v>57.408021122789002</v>
      </c>
      <c r="N5688">
        <v>52.021608480370503</v>
      </c>
      <c r="O5688">
        <v>51.848282169072199</v>
      </c>
      <c r="P5688">
        <v>-0.26092466578323997</v>
      </c>
      <c r="Q5688">
        <v>5.7379871888914698E-2</v>
      </c>
      <c r="R5688">
        <v>0.96501153660878303</v>
      </c>
      <c r="S5688" t="s">
        <v>12140</v>
      </c>
      <c r="T5688" t="s">
        <v>12902</v>
      </c>
      <c r="U5688" t="s">
        <v>12902</v>
      </c>
      <c r="V5688" t="s">
        <v>12902</v>
      </c>
      <c r="W5688" t="s">
        <v>18539</v>
      </c>
      <c r="X5688">
        <v>40</v>
      </c>
      <c r="Y5688" t="s">
        <v>24828</v>
      </c>
      <c r="Z5688" t="s">
        <v>31263</v>
      </c>
      <c r="AA5688">
        <v>0.43327159167209678</v>
      </c>
      <c r="AB5688" t="str">
        <f>HYPERLINK("Melting_Curves/meltCurve_Q9NQW7_XPNPEP1.pdf", "Melting_Curves/meltCurve_Q9NQW7_XPNPEP1.pdf")</f>
        <v>Melting_Curves/meltCurve_Q9NQW7_XPNPEP1.pdf</v>
      </c>
    </row>
    <row r="5689" spans="1:28" x14ac:dyDescent="0.25">
      <c r="A5689" t="s">
        <v>5693</v>
      </c>
      <c r="B5689">
        <v>0.99673306730245903</v>
      </c>
      <c r="C5689">
        <v>1.13374699215146</v>
      </c>
      <c r="D5689">
        <v>0.69926923338128599</v>
      </c>
      <c r="E5689">
        <v>0.78029924336394596</v>
      </c>
      <c r="F5689">
        <v>0.28723759645951102</v>
      </c>
      <c r="G5689">
        <v>0.16750650778529</v>
      </c>
      <c r="H5689">
        <v>0.100175194616341</v>
      </c>
      <c r="I5689">
        <v>9.1070868253030401E-2</v>
      </c>
      <c r="J5689">
        <v>6.2565564347819194E-2</v>
      </c>
      <c r="K5689">
        <v>4.7740957579593103E-2</v>
      </c>
      <c r="L5689">
        <v>971.937988799501</v>
      </c>
      <c r="M5689">
        <v>19.0353076689508</v>
      </c>
      <c r="N5689">
        <v>51.348396417817902</v>
      </c>
      <c r="O5689">
        <v>50.506261728701702</v>
      </c>
      <c r="P5689">
        <v>-8.9445296247618794E-2</v>
      </c>
      <c r="Q5689">
        <v>5.0739404599136201E-2</v>
      </c>
      <c r="R5689">
        <v>0.94752397183215897</v>
      </c>
      <c r="S5689" t="s">
        <v>12141</v>
      </c>
      <c r="T5689" t="s">
        <v>12902</v>
      </c>
      <c r="U5689" t="s">
        <v>12902</v>
      </c>
      <c r="V5689" t="s">
        <v>12902</v>
      </c>
      <c r="W5689" t="s">
        <v>18540</v>
      </c>
      <c r="X5689">
        <v>41</v>
      </c>
      <c r="Y5689" t="s">
        <v>24828</v>
      </c>
      <c r="Z5689" t="s">
        <v>31264</v>
      </c>
      <c r="AA5689">
        <v>0.41513067544570081</v>
      </c>
      <c r="AB5689" t="str">
        <f>HYPERLINK("Melting_Curves/meltCurve_Q9NQW7_3_XPNPEP1.pdf", "Melting_Curves/meltCurve_Q9NQW7_3_XPNPEP1.pdf")</f>
        <v>Melting_Curves/meltCurve_Q9NQW7_3_XPNPEP1.pdf</v>
      </c>
    </row>
    <row r="5690" spans="1:28" x14ac:dyDescent="0.25">
      <c r="A5690" t="s">
        <v>5694</v>
      </c>
      <c r="B5690">
        <v>0.99673306730245903</v>
      </c>
      <c r="C5690">
        <v>0.82987267321152702</v>
      </c>
      <c r="D5690">
        <v>0.855652465355902</v>
      </c>
      <c r="E5690">
        <v>0.80438665233314299</v>
      </c>
      <c r="F5690">
        <v>0.96764481968511296</v>
      </c>
      <c r="G5690">
        <v>0.81818065394592698</v>
      </c>
      <c r="H5690">
        <v>0.85457081939766499</v>
      </c>
      <c r="I5690">
        <v>0.71458876267534699</v>
      </c>
      <c r="J5690">
        <v>0.49366817134062002</v>
      </c>
      <c r="K5690">
        <v>0.38963055082129899</v>
      </c>
      <c r="L5690">
        <v>629.94998953530103</v>
      </c>
      <c r="M5690">
        <v>9.2363058303278098</v>
      </c>
      <c r="N5690">
        <v>68.203673695278695</v>
      </c>
      <c r="O5690">
        <v>65.235112718330299</v>
      </c>
      <c r="P5690">
        <v>-3.5419523933220898E-2</v>
      </c>
      <c r="Q5690">
        <v>0</v>
      </c>
      <c r="R5690">
        <v>0.71718306299952095</v>
      </c>
      <c r="S5690" t="s">
        <v>12142</v>
      </c>
      <c r="T5690" t="s">
        <v>12902</v>
      </c>
      <c r="U5690" t="s">
        <v>12902</v>
      </c>
      <c r="V5690" t="s">
        <v>12902</v>
      </c>
      <c r="W5690" t="s">
        <v>18541</v>
      </c>
      <c r="X5690">
        <v>3</v>
      </c>
      <c r="Y5690" t="s">
        <v>24829</v>
      </c>
      <c r="Z5690" t="s">
        <v>31265</v>
      </c>
      <c r="AA5690">
        <v>0.83066891732098402</v>
      </c>
      <c r="AB5690" t="str">
        <f>HYPERLINK("Melting_Curves/meltCurve_Q9NQY0_BIN3.pdf", "Melting_Curves/meltCurve_Q9NQY0_BIN3.pdf")</f>
        <v>Melting_Curves/meltCurve_Q9NQY0_BIN3.pdf</v>
      </c>
    </row>
    <row r="5691" spans="1:28" x14ac:dyDescent="0.25">
      <c r="A5691" t="s">
        <v>5695</v>
      </c>
      <c r="B5691">
        <v>0.99673306730245903</v>
      </c>
      <c r="C5691">
        <v>0.88258520867539303</v>
      </c>
      <c r="D5691">
        <v>1.1975254312063599</v>
      </c>
      <c r="E5691">
        <v>0.89507602217854898</v>
      </c>
      <c r="F5691">
        <v>0.373994133277745</v>
      </c>
      <c r="G5691">
        <v>0.27403078486118099</v>
      </c>
      <c r="H5691">
        <v>0.23737201145709799</v>
      </c>
      <c r="I5691">
        <v>0.28526988067745002</v>
      </c>
      <c r="J5691">
        <v>0.40990887813993998</v>
      </c>
      <c r="K5691">
        <v>0.373276963326447</v>
      </c>
      <c r="L5691">
        <v>3140.2296160691799</v>
      </c>
      <c r="M5691">
        <v>61.549872443400602</v>
      </c>
      <c r="N5691">
        <v>51.865426347149402</v>
      </c>
      <c r="O5691">
        <v>50.965496912401399</v>
      </c>
      <c r="P5691">
        <v>-0.20626445918706701</v>
      </c>
      <c r="Q5691">
        <v>0.31682284729008198</v>
      </c>
      <c r="R5691">
        <v>0.93572878505525903</v>
      </c>
      <c r="S5691" t="s">
        <v>12143</v>
      </c>
      <c r="T5691" t="s">
        <v>12902</v>
      </c>
      <c r="U5691" t="s">
        <v>12902</v>
      </c>
      <c r="V5691" t="s">
        <v>12902</v>
      </c>
      <c r="W5691" t="s">
        <v>18542</v>
      </c>
      <c r="X5691">
        <v>2</v>
      </c>
      <c r="Y5691" t="s">
        <v>24830</v>
      </c>
      <c r="Z5691" t="s">
        <v>31266</v>
      </c>
      <c r="AA5691">
        <v>0.56877264571731478</v>
      </c>
      <c r="AB5691" t="str">
        <f>HYPERLINK("Melting_Curves/meltCurve_Q9NQZ2_UTP3.pdf", "Melting_Curves/meltCurve_Q9NQZ2_UTP3.pdf")</f>
        <v>Melting_Curves/meltCurve_Q9NQZ2_UTP3.pdf</v>
      </c>
    </row>
    <row r="5692" spans="1:28" x14ac:dyDescent="0.25">
      <c r="A5692" t="s">
        <v>5696</v>
      </c>
      <c r="B5692">
        <v>0.99673306730245903</v>
      </c>
      <c r="C5692">
        <v>1.01195702336385</v>
      </c>
      <c r="D5692">
        <v>0.93579181089859598</v>
      </c>
      <c r="E5692">
        <v>0.74965016019617703</v>
      </c>
      <c r="F5692">
        <v>0.33940429119564203</v>
      </c>
      <c r="G5692">
        <v>0.19194804759362799</v>
      </c>
      <c r="H5692">
        <v>0.12755220225093</v>
      </c>
      <c r="I5692">
        <v>0.14199358464360701</v>
      </c>
      <c r="J5692">
        <v>0.143366126186418</v>
      </c>
      <c r="K5692">
        <v>0.131961033033485</v>
      </c>
      <c r="L5692">
        <v>1429.6940746789001</v>
      </c>
      <c r="M5692">
        <v>27.985557883977499</v>
      </c>
      <c r="N5692">
        <v>51.661482937664402</v>
      </c>
      <c r="O5692">
        <v>50.828135881787503</v>
      </c>
      <c r="P5692">
        <v>-0.119238901635614</v>
      </c>
      <c r="Q5692">
        <v>0.13374761937360399</v>
      </c>
      <c r="R5692">
        <v>0.99884465802056199</v>
      </c>
      <c r="S5692" t="s">
        <v>12144</v>
      </c>
      <c r="T5692" t="s">
        <v>12902</v>
      </c>
      <c r="U5692" t="s">
        <v>12902</v>
      </c>
      <c r="V5692" t="s">
        <v>12902</v>
      </c>
      <c r="W5692" t="s">
        <v>18543</v>
      </c>
      <c r="X5692">
        <v>5</v>
      </c>
      <c r="Y5692" t="s">
        <v>24831</v>
      </c>
      <c r="Z5692" t="s">
        <v>31267</v>
      </c>
      <c r="AA5692">
        <v>0.46014752434564188</v>
      </c>
      <c r="AB5692" t="str">
        <f>HYPERLINK("Melting_Curves/meltCurve_Q9NQZ5_STARD7.pdf", "Melting_Curves/meltCurve_Q9NQZ5_STARD7.pdf")</f>
        <v>Melting_Curves/meltCurve_Q9NQZ5_STARD7.pdf</v>
      </c>
    </row>
    <row r="5693" spans="1:28" x14ac:dyDescent="0.25">
      <c r="A5693" t="s">
        <v>5697</v>
      </c>
      <c r="B5693">
        <v>0.99673306730245903</v>
      </c>
      <c r="C5693">
        <v>0.91523501702515697</v>
      </c>
      <c r="D5693">
        <v>0.81874789777786905</v>
      </c>
      <c r="E5693">
        <v>0.58694943777736297</v>
      </c>
      <c r="F5693">
        <v>0.36086229315135698</v>
      </c>
      <c r="G5693">
        <v>0.25128754270707199</v>
      </c>
      <c r="H5693">
        <v>0.149576357361041</v>
      </c>
      <c r="I5693">
        <v>0.162180682382079</v>
      </c>
      <c r="J5693">
        <v>0.209338065621958</v>
      </c>
      <c r="K5693">
        <v>0.19156511246652599</v>
      </c>
      <c r="L5693">
        <v>840.88597459936796</v>
      </c>
      <c r="M5693">
        <v>16.9878191718634</v>
      </c>
      <c r="N5693">
        <v>50.683213031713301</v>
      </c>
      <c r="O5693">
        <v>48.828692646514099</v>
      </c>
      <c r="P5693">
        <v>-7.2737299749814202E-2</v>
      </c>
      <c r="Q5693">
        <v>0.16376619816264301</v>
      </c>
      <c r="R5693">
        <v>0.99454330009365099</v>
      </c>
      <c r="S5693" t="s">
        <v>12145</v>
      </c>
      <c r="T5693" t="s">
        <v>12902</v>
      </c>
      <c r="U5693" t="s">
        <v>12902</v>
      </c>
      <c r="V5693" t="s">
        <v>12902</v>
      </c>
      <c r="W5693" t="s">
        <v>18544</v>
      </c>
      <c r="X5693">
        <v>3</v>
      </c>
      <c r="Y5693" t="s">
        <v>24832</v>
      </c>
      <c r="Z5693" t="s">
        <v>31268</v>
      </c>
      <c r="AA5693">
        <v>0.44461520354151612</v>
      </c>
      <c r="AB5693" t="str">
        <f>HYPERLINK("Melting_Curves/meltCurve_Q9NQZ6_3_ZC4H2.pdf", "Melting_Curves/meltCurve_Q9NQZ6_3_ZC4H2.pdf")</f>
        <v>Melting_Curves/meltCurve_Q9NQZ6_3_ZC4H2.pdf</v>
      </c>
    </row>
    <row r="5694" spans="1:28" x14ac:dyDescent="0.25">
      <c r="A5694" t="s">
        <v>5698</v>
      </c>
      <c r="B5694">
        <v>0.99673306730245903</v>
      </c>
      <c r="C5694">
        <v>0.939546537081003</v>
      </c>
      <c r="D5694">
        <v>1.0726836363914201</v>
      </c>
      <c r="E5694">
        <v>1.0071531973199901</v>
      </c>
      <c r="F5694">
        <v>0.41552555602406199</v>
      </c>
      <c r="G5694">
        <v>0.30239178853957399</v>
      </c>
      <c r="H5694">
        <v>0.20534902660291199</v>
      </c>
      <c r="I5694">
        <v>0.20087108955413899</v>
      </c>
      <c r="J5694">
        <v>0.27473883845875002</v>
      </c>
      <c r="K5694">
        <v>0.22045075504078401</v>
      </c>
      <c r="L5694">
        <v>4759.3358150591403</v>
      </c>
      <c r="M5694">
        <v>90.662056986436497</v>
      </c>
      <c r="N5694">
        <v>52.877868089159598</v>
      </c>
      <c r="O5694">
        <v>52.4698192373951</v>
      </c>
      <c r="P5694">
        <v>-0.32808366083044799</v>
      </c>
      <c r="Q5694">
        <v>0.24049865660029901</v>
      </c>
      <c r="R5694">
        <v>0.98713932868377197</v>
      </c>
      <c r="S5694" t="s">
        <v>12146</v>
      </c>
      <c r="T5694" t="s">
        <v>12902</v>
      </c>
      <c r="U5694" t="s">
        <v>12902</v>
      </c>
      <c r="V5694" t="s">
        <v>12902</v>
      </c>
      <c r="W5694" t="s">
        <v>18545</v>
      </c>
      <c r="X5694">
        <v>7</v>
      </c>
      <c r="Y5694" t="s">
        <v>24833</v>
      </c>
      <c r="Z5694" t="s">
        <v>31269</v>
      </c>
      <c r="AA5694">
        <v>0.55737248870731582</v>
      </c>
      <c r="AB5694" t="str">
        <f>HYPERLINK("Melting_Curves/meltCurve_Q9NR09_BIRC6.pdf", "Melting_Curves/meltCurve_Q9NR09_BIRC6.pdf")</f>
        <v>Melting_Curves/meltCurve_Q9NR09_BIRC6.pdf</v>
      </c>
    </row>
    <row r="5695" spans="1:28" x14ac:dyDescent="0.25">
      <c r="A5695" t="s">
        <v>5699</v>
      </c>
      <c r="B5695">
        <v>0.99673306730245903</v>
      </c>
      <c r="C5695">
        <v>0.95877033507834197</v>
      </c>
      <c r="D5695">
        <v>0.81904281430007597</v>
      </c>
      <c r="E5695">
        <v>0.51676870798240304</v>
      </c>
      <c r="F5695">
        <v>0.22409247720636999</v>
      </c>
      <c r="G5695">
        <v>0.145518284103755</v>
      </c>
      <c r="H5695">
        <v>9.7727669767583E-2</v>
      </c>
      <c r="I5695">
        <v>9.40502722478231E-2</v>
      </c>
      <c r="J5695">
        <v>9.0929506471542701E-2</v>
      </c>
      <c r="K5695">
        <v>7.3302260873078395E-2</v>
      </c>
      <c r="L5695">
        <v>1026.2498875512699</v>
      </c>
      <c r="M5695">
        <v>20.849748690558599</v>
      </c>
      <c r="N5695">
        <v>49.646122872246302</v>
      </c>
      <c r="O5695">
        <v>48.775127551050701</v>
      </c>
      <c r="P5695">
        <v>-9.8136649292392797E-2</v>
      </c>
      <c r="Q5695">
        <v>8.1716420281287006E-2</v>
      </c>
      <c r="R5695">
        <v>0.99940524707124401</v>
      </c>
      <c r="S5695" t="s">
        <v>12147</v>
      </c>
      <c r="T5695" t="s">
        <v>12902</v>
      </c>
      <c r="U5695" t="s">
        <v>12902</v>
      </c>
      <c r="V5695" t="s">
        <v>12902</v>
      </c>
      <c r="W5695" t="s">
        <v>18546</v>
      </c>
      <c r="X5695">
        <v>11</v>
      </c>
      <c r="Y5695" t="s">
        <v>24834</v>
      </c>
      <c r="Z5695" t="s">
        <v>31270</v>
      </c>
      <c r="AA5695">
        <v>0.37577644303755858</v>
      </c>
      <c r="AB5695" t="str">
        <f>HYPERLINK("Melting_Curves/meltCurve_Q9NR12_PDLIM7.pdf", "Melting_Curves/meltCurve_Q9NR12_PDLIM7.pdf")</f>
        <v>Melting_Curves/meltCurve_Q9NR12_PDLIM7.pdf</v>
      </c>
    </row>
    <row r="5696" spans="1:28" x14ac:dyDescent="0.25">
      <c r="A5696" t="s">
        <v>5700</v>
      </c>
      <c r="B5696">
        <v>0.99673306730245903</v>
      </c>
      <c r="C5696">
        <v>1.00572516434448</v>
      </c>
      <c r="D5696">
        <v>0.95345317042197297</v>
      </c>
      <c r="E5696">
        <v>0.89039559149007796</v>
      </c>
      <c r="F5696">
        <v>0.28728455934677599</v>
      </c>
      <c r="G5696">
        <v>0.17288149564208399</v>
      </c>
      <c r="H5696">
        <v>9.0084972182620404E-2</v>
      </c>
      <c r="I5696">
        <v>8.4666154169044702E-2</v>
      </c>
      <c r="J5696">
        <v>0.10221610902638401</v>
      </c>
      <c r="K5696">
        <v>9.6422482494315995E-2</v>
      </c>
      <c r="L5696">
        <v>2317.52771268068</v>
      </c>
      <c r="M5696">
        <v>44.850283643011501</v>
      </c>
      <c r="N5696">
        <v>51.9434990445341</v>
      </c>
      <c r="O5696">
        <v>51.570120132292203</v>
      </c>
      <c r="P5696">
        <v>-0.194747366931671</v>
      </c>
      <c r="Q5696">
        <v>0.104297144149523</v>
      </c>
      <c r="R5696">
        <v>0.99661959563493097</v>
      </c>
      <c r="S5696" t="s">
        <v>12148</v>
      </c>
      <c r="T5696" t="s">
        <v>12902</v>
      </c>
      <c r="U5696" t="s">
        <v>12902</v>
      </c>
      <c r="V5696" t="s">
        <v>12902</v>
      </c>
      <c r="W5696" t="s">
        <v>18547</v>
      </c>
      <c r="X5696">
        <v>8</v>
      </c>
      <c r="Y5696" t="s">
        <v>24835</v>
      </c>
      <c r="Z5696" t="s">
        <v>31271</v>
      </c>
      <c r="AA5696">
        <v>0.45534145821648181</v>
      </c>
      <c r="AB5696" t="str">
        <f>HYPERLINK("Melting_Curves/meltCurve_Q9NR19_ACSS2.pdf", "Melting_Curves/meltCurve_Q9NR19_ACSS2.pdf")</f>
        <v>Melting_Curves/meltCurve_Q9NR19_ACSS2.pdf</v>
      </c>
    </row>
    <row r="5697" spans="1:28" x14ac:dyDescent="0.25">
      <c r="A5697" t="s">
        <v>5701</v>
      </c>
      <c r="B5697">
        <v>0.99673306730245903</v>
      </c>
      <c r="C5697">
        <v>1.2155612249502901</v>
      </c>
      <c r="D5697">
        <v>0.54953283320316104</v>
      </c>
      <c r="E5697">
        <v>1.50424035945612</v>
      </c>
      <c r="F5697">
        <v>0.51637292534858104</v>
      </c>
      <c r="G5697">
        <v>0.738291862557233</v>
      </c>
      <c r="H5697">
        <v>0.55416410326284105</v>
      </c>
      <c r="I5697">
        <v>0.81894085239629399</v>
      </c>
      <c r="J5697">
        <v>0.74161313937296103</v>
      </c>
      <c r="K5697">
        <v>0.38601032242913202</v>
      </c>
      <c r="L5697">
        <v>5053.8525241674897</v>
      </c>
      <c r="M5697">
        <v>97.6912799004227</v>
      </c>
      <c r="O5697">
        <v>51.711203105570299</v>
      </c>
      <c r="P5697">
        <v>-0.17730424170887599</v>
      </c>
      <c r="Q5697">
        <v>0.62458802612513797</v>
      </c>
      <c r="R5697">
        <v>0.40089195505361702</v>
      </c>
      <c r="S5697" t="s">
        <v>12149</v>
      </c>
      <c r="T5697" t="s">
        <v>12902</v>
      </c>
      <c r="U5697" t="s">
        <v>12902</v>
      </c>
      <c r="V5697" t="s">
        <v>12902</v>
      </c>
      <c r="W5697" t="s">
        <v>18548</v>
      </c>
      <c r="X5697">
        <v>10</v>
      </c>
      <c r="Y5697" t="s">
        <v>24836</v>
      </c>
      <c r="Z5697" t="s">
        <v>31272</v>
      </c>
      <c r="AA5697">
        <v>0.771633795681131</v>
      </c>
      <c r="AB5697" t="str">
        <f>HYPERLINK("Melting_Curves/meltCurve_Q9NR28_2_DIABLO.pdf", "Melting_Curves/meltCurve_Q9NR28_2_DIABLO.pdf")</f>
        <v>Melting_Curves/meltCurve_Q9NR28_2_DIABLO.pdf</v>
      </c>
    </row>
    <row r="5698" spans="1:28" x14ac:dyDescent="0.25">
      <c r="A5698" t="s">
        <v>5702</v>
      </c>
      <c r="B5698">
        <v>0.99673306730245903</v>
      </c>
      <c r="C5698">
        <v>0.87968698965377601</v>
      </c>
      <c r="D5698">
        <v>0.77950280909191505</v>
      </c>
      <c r="E5698">
        <v>0.54147943092282402</v>
      </c>
      <c r="F5698">
        <v>0.33762379682722798</v>
      </c>
      <c r="G5698">
        <v>0.26021796847852102</v>
      </c>
      <c r="H5698">
        <v>0.19989099688429501</v>
      </c>
      <c r="I5698">
        <v>0.25717144012854798</v>
      </c>
      <c r="J5698">
        <v>0.35022966344176598</v>
      </c>
      <c r="K5698">
        <v>0.33957133836519399</v>
      </c>
      <c r="L5698">
        <v>951.41603618851298</v>
      </c>
      <c r="M5698">
        <v>19.906977370599499</v>
      </c>
      <c r="N5698">
        <v>49.763220256952401</v>
      </c>
      <c r="O5698">
        <v>47.318647109485198</v>
      </c>
      <c r="P5698">
        <v>-7.6501662868745296E-2</v>
      </c>
      <c r="Q5698">
        <v>0.27264996523408103</v>
      </c>
      <c r="R5698">
        <v>0.96893250879580195</v>
      </c>
      <c r="S5698" t="s">
        <v>12150</v>
      </c>
      <c r="T5698" t="s">
        <v>12902</v>
      </c>
      <c r="U5698" t="s">
        <v>12902</v>
      </c>
      <c r="V5698" t="s">
        <v>12902</v>
      </c>
      <c r="W5698" t="s">
        <v>18549</v>
      </c>
      <c r="X5698">
        <v>21</v>
      </c>
      <c r="Y5698" t="s">
        <v>24837</v>
      </c>
      <c r="Z5698" t="s">
        <v>31273</v>
      </c>
      <c r="AA5698">
        <v>0.47208201548925688</v>
      </c>
      <c r="AB5698" t="str">
        <f>HYPERLINK("Melting_Curves/meltCurve_Q9NR30_DDX21.pdf", "Melting_Curves/meltCurve_Q9NR30_DDX21.pdf")</f>
        <v>Melting_Curves/meltCurve_Q9NR30_DDX21.pdf</v>
      </c>
    </row>
    <row r="5699" spans="1:28" x14ac:dyDescent="0.25">
      <c r="A5699" t="s">
        <v>5703</v>
      </c>
      <c r="B5699">
        <v>0.99673306730245903</v>
      </c>
      <c r="C5699">
        <v>0.97416733061973404</v>
      </c>
      <c r="D5699">
        <v>0.92721347662124098</v>
      </c>
      <c r="E5699">
        <v>0.85470209856705004</v>
      </c>
      <c r="F5699">
        <v>0.51332139613016503</v>
      </c>
      <c r="G5699">
        <v>0.20355481684325499</v>
      </c>
      <c r="H5699">
        <v>7.3856605225440505E-2</v>
      </c>
      <c r="I5699">
        <v>4.90731318470932E-2</v>
      </c>
      <c r="J5699">
        <v>4.6117531861409197E-2</v>
      </c>
      <c r="K5699">
        <v>4.1069124334326003E-2</v>
      </c>
      <c r="L5699">
        <v>1225.8067920747101</v>
      </c>
      <c r="M5699">
        <v>23.0701386465445</v>
      </c>
      <c r="N5699">
        <v>53.285865730075599</v>
      </c>
      <c r="O5699">
        <v>52.739517200233898</v>
      </c>
      <c r="P5699">
        <v>-0.105879415485338</v>
      </c>
      <c r="Q5699">
        <v>3.1834873325051499E-2</v>
      </c>
      <c r="R5699">
        <v>0.99820424876471703</v>
      </c>
      <c r="S5699" t="s">
        <v>12151</v>
      </c>
      <c r="T5699" t="s">
        <v>12902</v>
      </c>
      <c r="U5699" t="s">
        <v>12902</v>
      </c>
      <c r="V5699" t="s">
        <v>12902</v>
      </c>
      <c r="W5699" t="s">
        <v>18550</v>
      </c>
      <c r="X5699">
        <v>11</v>
      </c>
      <c r="Y5699" t="s">
        <v>24838</v>
      </c>
      <c r="Z5699" t="s">
        <v>31274</v>
      </c>
      <c r="AA5699">
        <v>0.46604196714668372</v>
      </c>
      <c r="AB5699" t="str">
        <f>HYPERLINK("Melting_Curves/meltCurve_Q9NR31_SAR1A.pdf", "Melting_Curves/meltCurve_Q9NR31_SAR1A.pdf")</f>
        <v>Melting_Curves/meltCurve_Q9NR31_SAR1A.pdf</v>
      </c>
    </row>
    <row r="5700" spans="1:28" x14ac:dyDescent="0.25">
      <c r="A5700" t="s">
        <v>5704</v>
      </c>
      <c r="B5700">
        <v>0.99673306730245903</v>
      </c>
      <c r="C5700">
        <v>1.03397006097305</v>
      </c>
      <c r="D5700">
        <v>0.96580899103240903</v>
      </c>
      <c r="E5700">
        <v>0.67406022440744695</v>
      </c>
      <c r="F5700">
        <v>0.36759733356503699</v>
      </c>
      <c r="G5700">
        <v>0.237259974490477</v>
      </c>
      <c r="H5700">
        <v>0.14969533781903999</v>
      </c>
      <c r="I5700">
        <v>0.16286279218855501</v>
      </c>
      <c r="J5700">
        <v>0.197704138446611</v>
      </c>
      <c r="K5700">
        <v>0.193805034253651</v>
      </c>
      <c r="L5700">
        <v>1328.2920010468799</v>
      </c>
      <c r="M5700">
        <v>26.263676584711799</v>
      </c>
      <c r="N5700">
        <v>51.434147026969697</v>
      </c>
      <c r="O5700">
        <v>50.284769996567</v>
      </c>
      <c r="P5700">
        <v>-0.107395892228297</v>
      </c>
      <c r="Q5700">
        <v>0.17752291544061399</v>
      </c>
      <c r="R5700">
        <v>0.99586146749539095</v>
      </c>
      <c r="S5700" t="s">
        <v>12152</v>
      </c>
      <c r="T5700" t="s">
        <v>12902</v>
      </c>
      <c r="U5700" t="s">
        <v>12902</v>
      </c>
      <c r="V5700" t="s">
        <v>12902</v>
      </c>
      <c r="W5700" t="s">
        <v>18551</v>
      </c>
      <c r="X5700">
        <v>7</v>
      </c>
      <c r="Y5700" t="s">
        <v>24839</v>
      </c>
      <c r="Z5700" t="s">
        <v>31275</v>
      </c>
      <c r="AA5700">
        <v>0.47415730560889252</v>
      </c>
      <c r="AB5700" t="str">
        <f>HYPERLINK("Melting_Curves/meltCurve_Q9NR33_POLE4.pdf", "Melting_Curves/meltCurve_Q9NR33_POLE4.pdf")</f>
        <v>Melting_Curves/meltCurve_Q9NR33_POLE4.pdf</v>
      </c>
    </row>
    <row r="5701" spans="1:28" x14ac:dyDescent="0.25">
      <c r="A5701" t="s">
        <v>5705</v>
      </c>
      <c r="B5701">
        <v>0.99673306730245903</v>
      </c>
      <c r="C5701">
        <v>0.93450067641704204</v>
      </c>
      <c r="D5701">
        <v>0.94945397292824496</v>
      </c>
      <c r="E5701">
        <v>0.92688440732112098</v>
      </c>
      <c r="F5701">
        <v>0.38996737140489002</v>
      </c>
      <c r="G5701">
        <v>0.159740892818825</v>
      </c>
      <c r="H5701">
        <v>8.3048137860033996E-2</v>
      </c>
      <c r="I5701">
        <v>7.2411387529297697E-2</v>
      </c>
      <c r="J5701">
        <v>6.1747233237643299E-2</v>
      </c>
      <c r="K5701">
        <v>4.9512378023888498E-2</v>
      </c>
      <c r="L5701">
        <v>1990.7142915013901</v>
      </c>
      <c r="M5701">
        <v>37.991314834695601</v>
      </c>
      <c r="N5701">
        <v>52.6165835605984</v>
      </c>
      <c r="O5701">
        <v>52.254628704224103</v>
      </c>
      <c r="P5701">
        <v>-0.168559182778135</v>
      </c>
      <c r="Q5701">
        <v>7.2632478017619795E-2</v>
      </c>
      <c r="R5701">
        <v>0.99429779453703004</v>
      </c>
      <c r="S5701" t="s">
        <v>12153</v>
      </c>
      <c r="T5701" t="s">
        <v>12902</v>
      </c>
      <c r="U5701" t="s">
        <v>12902</v>
      </c>
      <c r="V5701" t="s">
        <v>12902</v>
      </c>
      <c r="W5701" t="s">
        <v>18552</v>
      </c>
      <c r="X5701">
        <v>26</v>
      </c>
      <c r="Y5701" t="s">
        <v>24840</v>
      </c>
      <c r="Z5701" t="s">
        <v>31276</v>
      </c>
      <c r="AA5701">
        <v>0.45964200719177339</v>
      </c>
      <c r="AB5701" t="str">
        <f>HYPERLINK("Melting_Curves/meltCurve_Q9NR45_NANS.pdf", "Melting_Curves/meltCurve_Q9NR45_NANS.pdf")</f>
        <v>Melting_Curves/meltCurve_Q9NR45_NANS.pdf</v>
      </c>
    </row>
    <row r="5702" spans="1:28" x14ac:dyDescent="0.25">
      <c r="A5702" t="s">
        <v>5706</v>
      </c>
      <c r="B5702">
        <v>0.99673306730245903</v>
      </c>
      <c r="C5702">
        <v>0.99265547315740199</v>
      </c>
      <c r="D5702">
        <v>0.84145849601573197</v>
      </c>
      <c r="E5702">
        <v>0.85851442800655398</v>
      </c>
      <c r="F5702">
        <v>0.93833291228607296</v>
      </c>
      <c r="G5702">
        <v>0.73015712098323104</v>
      </c>
      <c r="H5702">
        <v>0.31628354316833801</v>
      </c>
      <c r="I5702">
        <v>9.2828453005775094E-2</v>
      </c>
      <c r="J5702">
        <v>8.1306007040253203E-2</v>
      </c>
      <c r="K5702">
        <v>5.5798357881751401E-2</v>
      </c>
      <c r="L5702">
        <v>1544.3848361346199</v>
      </c>
      <c r="M5702">
        <v>26.304230745978501</v>
      </c>
      <c r="N5702">
        <v>58.854271472361397</v>
      </c>
      <c r="O5702">
        <v>58.376223736590298</v>
      </c>
      <c r="P5702">
        <v>-0.109190213446013</v>
      </c>
      <c r="Q5702">
        <v>3.07198015755255E-2</v>
      </c>
      <c r="R5702">
        <v>0.96949293398226599</v>
      </c>
      <c r="S5702" t="s">
        <v>12154</v>
      </c>
      <c r="T5702" t="s">
        <v>12902</v>
      </c>
      <c r="U5702" t="s">
        <v>12902</v>
      </c>
      <c r="V5702" t="s">
        <v>12902</v>
      </c>
      <c r="W5702" t="s">
        <v>18553</v>
      </c>
      <c r="X5702">
        <v>2</v>
      </c>
      <c r="Y5702" t="s">
        <v>24841</v>
      </c>
      <c r="Z5702" t="s">
        <v>31277</v>
      </c>
      <c r="AA5702">
        <v>0.64289444558066</v>
      </c>
      <c r="AB5702" t="str">
        <f>HYPERLINK("Melting_Curves/meltCurve_Q9NR48_2_ASH1L.pdf", "Melting_Curves/meltCurve_Q9NR48_2_ASH1L.pdf")</f>
        <v>Melting_Curves/meltCurve_Q9NR48_2_ASH1L.pdf</v>
      </c>
    </row>
    <row r="5703" spans="1:28" x14ac:dyDescent="0.25">
      <c r="A5703" t="s">
        <v>5707</v>
      </c>
      <c r="B5703">
        <v>0.99673306730245903</v>
      </c>
      <c r="C5703">
        <v>0.85982966214524004</v>
      </c>
      <c r="D5703">
        <v>0.84769273553272795</v>
      </c>
      <c r="E5703">
        <v>0.87513467932241695</v>
      </c>
      <c r="F5703">
        <v>0.27950827139527301</v>
      </c>
      <c r="G5703">
        <v>0.16888230199875001</v>
      </c>
      <c r="H5703">
        <v>7.5607268276396106E-2</v>
      </c>
      <c r="I5703">
        <v>5.6211370892578598E-2</v>
      </c>
      <c r="J5703">
        <v>5.7899934811636002E-2</v>
      </c>
      <c r="K5703">
        <v>4.9261888634256602E-2</v>
      </c>
      <c r="L5703">
        <v>1918.1710150512299</v>
      </c>
      <c r="M5703">
        <v>37.110797765360097</v>
      </c>
      <c r="N5703">
        <v>51.899342474279898</v>
      </c>
      <c r="O5703">
        <v>51.538279236372297</v>
      </c>
      <c r="P5703">
        <v>-0.167374243784284</v>
      </c>
      <c r="Q5703">
        <v>7.0226785390319693E-2</v>
      </c>
      <c r="R5703">
        <v>0.96869506865834598</v>
      </c>
      <c r="S5703" t="s">
        <v>12155</v>
      </c>
      <c r="T5703" t="s">
        <v>12902</v>
      </c>
      <c r="U5703" t="s">
        <v>12902</v>
      </c>
      <c r="V5703" t="s">
        <v>12902</v>
      </c>
      <c r="W5703" t="s">
        <v>18554</v>
      </c>
      <c r="X5703">
        <v>21</v>
      </c>
      <c r="Y5703" t="s">
        <v>24842</v>
      </c>
      <c r="Z5703" t="s">
        <v>31278</v>
      </c>
      <c r="AA5703">
        <v>0.43631773779760052</v>
      </c>
      <c r="AB5703" t="str">
        <f>HYPERLINK("Melting_Curves/meltCurve_Q9NR50_EIF2B3.pdf", "Melting_Curves/meltCurve_Q9NR50_EIF2B3.pdf")</f>
        <v>Melting_Curves/meltCurve_Q9NR50_EIF2B3.pdf</v>
      </c>
    </row>
    <row r="5704" spans="1:28" x14ac:dyDescent="0.25">
      <c r="A5704" t="s">
        <v>5708</v>
      </c>
      <c r="B5704">
        <v>0.99673306730245903</v>
      </c>
      <c r="C5704">
        <v>1.0927133224928001</v>
      </c>
      <c r="D5704">
        <v>0</v>
      </c>
      <c r="E5704">
        <v>0.39025039743329598</v>
      </c>
      <c r="F5704">
        <v>8.67319337080662E-2</v>
      </c>
      <c r="G5704">
        <v>3.93693427596793E-2</v>
      </c>
      <c r="H5704">
        <v>2.06907736950151E-2</v>
      </c>
      <c r="I5704">
        <v>2.1247970645188199E-2</v>
      </c>
      <c r="J5704">
        <v>2.28918209539858E-2</v>
      </c>
      <c r="K5704">
        <v>1.99717426353213E-2</v>
      </c>
      <c r="L5704">
        <v>11105.181158325</v>
      </c>
      <c r="M5704">
        <v>250</v>
      </c>
      <c r="N5704">
        <v>44.449681523710602</v>
      </c>
      <c r="O5704">
        <v>44.417882019359901</v>
      </c>
      <c r="P5704">
        <v>-1.3013818286593899</v>
      </c>
      <c r="Q5704">
        <v>7.5126009014208794E-2</v>
      </c>
      <c r="R5704">
        <v>0.92214241723255896</v>
      </c>
      <c r="S5704" t="s">
        <v>12156</v>
      </c>
      <c r="T5704" t="s">
        <v>12902</v>
      </c>
      <c r="U5704" t="s">
        <v>12902</v>
      </c>
      <c r="V5704" t="s">
        <v>12902</v>
      </c>
      <c r="W5704" t="s">
        <v>18555</v>
      </c>
      <c r="X5704">
        <v>3</v>
      </c>
      <c r="Y5704" t="s">
        <v>24843</v>
      </c>
      <c r="Z5704" t="s">
        <v>31279</v>
      </c>
      <c r="AA5704">
        <v>0.21148521786685109</v>
      </c>
      <c r="AB5704" t="str">
        <f>HYPERLINK("Melting_Curves/meltCurve_Q9NRD5_PICK1.pdf", "Melting_Curves/meltCurve_Q9NRD5_PICK1.pdf")</f>
        <v>Melting_Curves/meltCurve_Q9NRD5_PICK1.pdf</v>
      </c>
    </row>
    <row r="5705" spans="1:28" x14ac:dyDescent="0.25">
      <c r="A5705" t="s">
        <v>5709</v>
      </c>
      <c r="B5705">
        <v>0.99673306730245903</v>
      </c>
      <c r="C5705">
        <v>0.96462369829487005</v>
      </c>
      <c r="D5705">
        <v>1.0202355579451301</v>
      </c>
      <c r="E5705">
        <v>1.02217175763867</v>
      </c>
      <c r="F5705">
        <v>0.96833622442918199</v>
      </c>
      <c r="G5705">
        <v>0.88377089163341804</v>
      </c>
      <c r="H5705">
        <v>0.67688818363650205</v>
      </c>
      <c r="I5705">
        <v>0.27905472098515</v>
      </c>
      <c r="J5705">
        <v>0.143169283288131</v>
      </c>
      <c r="K5705">
        <v>0.104152331661076</v>
      </c>
      <c r="L5705">
        <v>1817.4471068315299</v>
      </c>
      <c r="M5705">
        <v>29.4262457033395</v>
      </c>
      <c r="N5705">
        <v>62.044295641768002</v>
      </c>
      <c r="O5705">
        <v>61.479660110683199</v>
      </c>
      <c r="P5705">
        <v>-0.112181648455124</v>
      </c>
      <c r="Q5705">
        <v>6.2491203517283302E-2</v>
      </c>
      <c r="R5705">
        <v>0.99407273051047995</v>
      </c>
      <c r="S5705" t="s">
        <v>12157</v>
      </c>
      <c r="T5705" t="s">
        <v>12902</v>
      </c>
      <c r="U5705" t="s">
        <v>12902</v>
      </c>
      <c r="V5705" t="s">
        <v>12902</v>
      </c>
      <c r="W5705" t="s">
        <v>18556</v>
      </c>
      <c r="X5705">
        <v>22</v>
      </c>
      <c r="Y5705" t="s">
        <v>24844</v>
      </c>
      <c r="Z5705" t="s">
        <v>31280</v>
      </c>
      <c r="AA5705">
        <v>0.74720938078856258</v>
      </c>
      <c r="AB5705" t="str">
        <f>HYPERLINK("Melting_Curves/meltCurve_Q9NRF8_CTPS2.pdf", "Melting_Curves/meltCurve_Q9NRF8_CTPS2.pdf")</f>
        <v>Melting_Curves/meltCurve_Q9NRF8_CTPS2.pdf</v>
      </c>
    </row>
    <row r="5706" spans="1:28" x14ac:dyDescent="0.25">
      <c r="A5706" t="s">
        <v>5710</v>
      </c>
      <c r="B5706">
        <v>0.99673306730245903</v>
      </c>
      <c r="C5706">
        <v>1.0119414265200399</v>
      </c>
      <c r="D5706">
        <v>0.92509421678605597</v>
      </c>
      <c r="E5706">
        <v>0.71580810816207696</v>
      </c>
      <c r="F5706">
        <v>0.53313874224187296</v>
      </c>
      <c r="G5706">
        <v>0.33015345583533701</v>
      </c>
      <c r="H5706">
        <v>0.19452230515982799</v>
      </c>
      <c r="I5706">
        <v>0.20213518939328401</v>
      </c>
      <c r="J5706">
        <v>0.24508797749446801</v>
      </c>
      <c r="K5706">
        <v>0.23718692841142</v>
      </c>
      <c r="L5706">
        <v>955.90235389724899</v>
      </c>
      <c r="M5706">
        <v>18.512167617154599</v>
      </c>
      <c r="N5706">
        <v>53.134740770988302</v>
      </c>
      <c r="O5706">
        <v>51.045202778530502</v>
      </c>
      <c r="P5706">
        <v>-7.2233115393056602E-2</v>
      </c>
      <c r="Q5706">
        <v>0.20333669181928199</v>
      </c>
      <c r="R5706">
        <v>0.99207378912291</v>
      </c>
      <c r="S5706" t="s">
        <v>12158</v>
      </c>
      <c r="T5706" t="s">
        <v>12902</v>
      </c>
      <c r="U5706" t="s">
        <v>12902</v>
      </c>
      <c r="V5706" t="s">
        <v>12902</v>
      </c>
      <c r="W5706" t="s">
        <v>18557</v>
      </c>
      <c r="X5706">
        <v>6</v>
      </c>
      <c r="Y5706" t="s">
        <v>24845</v>
      </c>
      <c r="Z5706" t="s">
        <v>31281</v>
      </c>
      <c r="AA5706">
        <v>0.52502884278379081</v>
      </c>
      <c r="AB5706" t="str">
        <f>HYPERLINK("Melting_Curves/meltCurve_Q9NRF9_POLE3.pdf", "Melting_Curves/meltCurve_Q9NRF9_POLE3.pdf")</f>
        <v>Melting_Curves/meltCurve_Q9NRF9_POLE3.pdf</v>
      </c>
    </row>
    <row r="5707" spans="1:28" x14ac:dyDescent="0.25">
      <c r="A5707" t="s">
        <v>5711</v>
      </c>
      <c r="B5707">
        <v>0.99673306730245903</v>
      </c>
      <c r="C5707">
        <v>1.01102697508425</v>
      </c>
      <c r="D5707">
        <v>0.96738871050931896</v>
      </c>
      <c r="E5707">
        <v>0.94189375603853198</v>
      </c>
      <c r="F5707">
        <v>0.55890827552648403</v>
      </c>
      <c r="G5707">
        <v>0.27334624620993903</v>
      </c>
      <c r="H5707">
        <v>0.123522306876646</v>
      </c>
      <c r="I5707">
        <v>0.10623833943748399</v>
      </c>
      <c r="J5707">
        <v>8.9195600206721404E-2</v>
      </c>
      <c r="K5707">
        <v>8.2558567664965304E-2</v>
      </c>
      <c r="L5707">
        <v>1448.91086067534</v>
      </c>
      <c r="M5707">
        <v>27.058543948898201</v>
      </c>
      <c r="N5707">
        <v>53.944914001366598</v>
      </c>
      <c r="O5707">
        <v>53.257375550277999</v>
      </c>
      <c r="P5707">
        <v>-0.115534769405473</v>
      </c>
      <c r="Q5707">
        <v>9.0414387108858796E-2</v>
      </c>
      <c r="R5707">
        <v>0.99791305631444505</v>
      </c>
      <c r="S5707" t="s">
        <v>12159</v>
      </c>
      <c r="T5707" t="s">
        <v>12902</v>
      </c>
      <c r="U5707" t="s">
        <v>12902</v>
      </c>
      <c r="V5707" t="s">
        <v>12902</v>
      </c>
      <c r="W5707" t="s">
        <v>18558</v>
      </c>
      <c r="X5707">
        <v>3</v>
      </c>
      <c r="Y5707" t="s">
        <v>24846</v>
      </c>
      <c r="Z5707" t="s">
        <v>31282</v>
      </c>
      <c r="AA5707">
        <v>0.50840577903984963</v>
      </c>
      <c r="AB5707" t="str">
        <f>HYPERLINK("Melting_Curves/meltCurve_Q9NRG0_CHRAC1.pdf", "Melting_Curves/meltCurve_Q9NRG0_CHRAC1.pdf")</f>
        <v>Melting_Curves/meltCurve_Q9NRG0_CHRAC1.pdf</v>
      </c>
    </row>
    <row r="5708" spans="1:28" x14ac:dyDescent="0.25">
      <c r="A5708" t="s">
        <v>5712</v>
      </c>
      <c r="B5708">
        <v>0.99673306730245903</v>
      </c>
      <c r="C5708">
        <v>1.0103173650762101</v>
      </c>
      <c r="D5708">
        <v>1.0329522844521</v>
      </c>
      <c r="E5708">
        <v>1.0162835951399201</v>
      </c>
      <c r="F5708">
        <v>0.90516565425372597</v>
      </c>
      <c r="G5708">
        <v>0.84785042631894003</v>
      </c>
      <c r="H5708">
        <v>0.73582096187241897</v>
      </c>
      <c r="I5708">
        <v>0.93558262459672403</v>
      </c>
      <c r="J5708">
        <v>1.12835300492744</v>
      </c>
      <c r="K5708">
        <v>0.936330887157101</v>
      </c>
      <c r="L5708">
        <v>6144.98475032854</v>
      </c>
      <c r="M5708">
        <v>119.459371265146</v>
      </c>
      <c r="O5708">
        <v>51.425544460831198</v>
      </c>
      <c r="P5708">
        <v>-4.9517466309088001E-2</v>
      </c>
      <c r="Q5708">
        <v>0.914733769683301</v>
      </c>
      <c r="R5708">
        <v>0.21197023818482999</v>
      </c>
      <c r="S5708" t="s">
        <v>12160</v>
      </c>
      <c r="T5708" t="s">
        <v>12902</v>
      </c>
      <c r="U5708" t="s">
        <v>12902</v>
      </c>
      <c r="V5708" t="s">
        <v>12902</v>
      </c>
      <c r="W5708" t="s">
        <v>18559</v>
      </c>
      <c r="X5708">
        <v>14</v>
      </c>
      <c r="Y5708" t="s">
        <v>24847</v>
      </c>
      <c r="Z5708" t="s">
        <v>31283</v>
      </c>
      <c r="AA5708">
        <v>0.94728223694667402</v>
      </c>
      <c r="AB5708" t="str">
        <f>HYPERLINK("Melting_Curves/meltCurve_Q9NRG1_PRTFDC1.pdf", "Melting_Curves/meltCurve_Q9NRG1_PRTFDC1.pdf")</f>
        <v>Melting_Curves/meltCurve_Q9NRG1_PRTFDC1.pdf</v>
      </c>
    </row>
    <row r="5709" spans="1:28" x14ac:dyDescent="0.25">
      <c r="A5709" t="s">
        <v>5713</v>
      </c>
      <c r="B5709">
        <v>0.99673306730245903</v>
      </c>
      <c r="C5709">
        <v>0.973036702538155</v>
      </c>
      <c r="D5709">
        <v>0.76495464837821203</v>
      </c>
      <c r="E5709">
        <v>0.30993178423971501</v>
      </c>
      <c r="F5709">
        <v>0.18762894995983501</v>
      </c>
      <c r="G5709">
        <v>0.11494245263111801</v>
      </c>
      <c r="H5709">
        <v>7.4344012892679306E-2</v>
      </c>
      <c r="I5709">
        <v>7.7879999417634405E-2</v>
      </c>
      <c r="J5709">
        <v>7.6246232377888801E-2</v>
      </c>
      <c r="K5709">
        <v>6.5332848145575995E-2</v>
      </c>
      <c r="L5709">
        <v>1270.9534540217301</v>
      </c>
      <c r="M5709">
        <v>26.6012882487383</v>
      </c>
      <c r="N5709">
        <v>48.109697230659698</v>
      </c>
      <c r="O5709">
        <v>47.510335770118601</v>
      </c>
      <c r="P5709">
        <v>-0.12824629777537799</v>
      </c>
      <c r="Q5709">
        <v>8.3809704278434205E-2</v>
      </c>
      <c r="R5709">
        <v>0.99706987961332105</v>
      </c>
      <c r="S5709" t="s">
        <v>12161</v>
      </c>
      <c r="T5709" t="s">
        <v>12902</v>
      </c>
      <c r="U5709" t="s">
        <v>12902</v>
      </c>
      <c r="V5709" t="s">
        <v>12902</v>
      </c>
      <c r="W5709" t="s">
        <v>18560</v>
      </c>
      <c r="X5709">
        <v>12</v>
      </c>
      <c r="Y5709" t="s">
        <v>24848</v>
      </c>
      <c r="Z5709" t="s">
        <v>31284</v>
      </c>
      <c r="AA5709">
        <v>0.32844262046463552</v>
      </c>
      <c r="AB5709" t="str">
        <f>HYPERLINK("Melting_Curves/meltCurve_Q9NRG4_SMYD2.pdf", "Melting_Curves/meltCurve_Q9NRG4_SMYD2.pdf")</f>
        <v>Melting_Curves/meltCurve_Q9NRG4_SMYD2.pdf</v>
      </c>
    </row>
    <row r="5710" spans="1:28" x14ac:dyDescent="0.25">
      <c r="A5710" t="s">
        <v>5714</v>
      </c>
      <c r="B5710">
        <v>0.99673306730245903</v>
      </c>
      <c r="C5710">
        <v>0.95118668917377502</v>
      </c>
      <c r="D5710">
        <v>0.78721668152750501</v>
      </c>
      <c r="E5710">
        <v>0.43738286138406601</v>
      </c>
      <c r="F5710">
        <v>0.191828450199511</v>
      </c>
      <c r="G5710">
        <v>0.13740990203744399</v>
      </c>
      <c r="H5710">
        <v>5.8419284852303001E-2</v>
      </c>
      <c r="I5710">
        <v>5.4728197882016598E-2</v>
      </c>
      <c r="J5710">
        <v>4.7588996241738402E-2</v>
      </c>
      <c r="K5710">
        <v>3.5895344702690998E-2</v>
      </c>
      <c r="L5710">
        <v>982.78602904738102</v>
      </c>
      <c r="M5710">
        <v>20.144366608144999</v>
      </c>
      <c r="N5710">
        <v>49.031902407236899</v>
      </c>
      <c r="O5710">
        <v>48.3140010537184</v>
      </c>
      <c r="P5710">
        <v>-9.9253796549365697E-2</v>
      </c>
      <c r="Q5710">
        <v>4.7834002737235801E-2</v>
      </c>
      <c r="R5710">
        <v>0.99865009625055801</v>
      </c>
      <c r="S5710" t="s">
        <v>12162</v>
      </c>
      <c r="T5710" t="s">
        <v>12902</v>
      </c>
      <c r="U5710" t="s">
        <v>12902</v>
      </c>
      <c r="V5710" t="s">
        <v>12902</v>
      </c>
      <c r="W5710" t="s">
        <v>18561</v>
      </c>
      <c r="X5710">
        <v>5</v>
      </c>
      <c r="Y5710" t="s">
        <v>24849</v>
      </c>
      <c r="Z5710" t="s">
        <v>31285</v>
      </c>
      <c r="AA5710">
        <v>0.33989881678034539</v>
      </c>
      <c r="AB5710" t="str">
        <f>HYPERLINK("Melting_Curves/meltCurve_Q9NRG7_2_SDR39U1.pdf", "Melting_Curves/meltCurve_Q9NRG7_2_SDR39U1.pdf")</f>
        <v>Melting_Curves/meltCurve_Q9NRG7_2_SDR39U1.pdf</v>
      </c>
    </row>
    <row r="5711" spans="1:28" x14ac:dyDescent="0.25">
      <c r="A5711" t="s">
        <v>5715</v>
      </c>
      <c r="B5711">
        <v>0.99673306730245903</v>
      </c>
      <c r="C5711">
        <v>0.96263577698415803</v>
      </c>
      <c r="D5711">
        <v>0.89844362950362699</v>
      </c>
      <c r="E5711">
        <v>0.75480971208869097</v>
      </c>
      <c r="F5711">
        <v>0.54822555394081995</v>
      </c>
      <c r="G5711">
        <v>0.233042164925434</v>
      </c>
      <c r="H5711">
        <v>0.12609501846355001</v>
      </c>
      <c r="I5711">
        <v>8.8948110718988199E-2</v>
      </c>
      <c r="J5711">
        <v>6.6314227208303198E-2</v>
      </c>
      <c r="K5711">
        <v>5.6129525145466999E-2</v>
      </c>
      <c r="L5711">
        <v>866.36302882956704</v>
      </c>
      <c r="M5711">
        <v>16.339954767978199</v>
      </c>
      <c r="N5711">
        <v>53.216267109102297</v>
      </c>
      <c r="O5711">
        <v>52.246067658068</v>
      </c>
      <c r="P5711">
        <v>-7.5919713766731206E-2</v>
      </c>
      <c r="Q5711">
        <v>2.9074193168298901E-2</v>
      </c>
      <c r="R5711">
        <v>0.99637675476591203</v>
      </c>
      <c r="S5711" t="s">
        <v>12163</v>
      </c>
      <c r="T5711" t="s">
        <v>12902</v>
      </c>
      <c r="U5711" t="s">
        <v>12902</v>
      </c>
      <c r="V5711" t="s">
        <v>12902</v>
      </c>
      <c r="W5711" t="s">
        <v>18562</v>
      </c>
      <c r="X5711">
        <v>10</v>
      </c>
      <c r="Y5711" t="s">
        <v>24850</v>
      </c>
      <c r="Z5711" t="s">
        <v>31286</v>
      </c>
      <c r="AA5711">
        <v>0.46894737889913651</v>
      </c>
      <c r="AB5711" t="str">
        <f>HYPERLINK("Melting_Curves/meltCurve_Q9NRG9_AAAS.pdf", "Melting_Curves/meltCurve_Q9NRG9_AAAS.pdf")</f>
        <v>Melting_Curves/meltCurve_Q9NRG9_AAAS.pdf</v>
      </c>
    </row>
    <row r="5712" spans="1:28" x14ac:dyDescent="0.25">
      <c r="A5712" t="s">
        <v>5716</v>
      </c>
      <c r="B5712">
        <v>0.99673306730245903</v>
      </c>
      <c r="C5712">
        <v>0.97952730304667202</v>
      </c>
      <c r="D5712">
        <v>0.96956572552425602</v>
      </c>
      <c r="E5712">
        <v>0.85602223674072397</v>
      </c>
      <c r="F5712">
        <v>0.603021114689402</v>
      </c>
      <c r="G5712">
        <v>0.35333334605893102</v>
      </c>
      <c r="H5712">
        <v>0.20535421329327699</v>
      </c>
      <c r="I5712">
        <v>0.21917932258713799</v>
      </c>
      <c r="J5712">
        <v>0.23705631871567101</v>
      </c>
      <c r="K5712">
        <v>0.213420013751729</v>
      </c>
      <c r="L5712">
        <v>1215.55824911843</v>
      </c>
      <c r="M5712">
        <v>22.9035848000381</v>
      </c>
      <c r="N5712">
        <v>54.319701435819702</v>
      </c>
      <c r="O5712">
        <v>52.673206747813801</v>
      </c>
      <c r="P5712">
        <v>-8.6483929350102795E-2</v>
      </c>
      <c r="Q5712">
        <v>0.20443897401386199</v>
      </c>
      <c r="R5712">
        <v>0.99739660370826799</v>
      </c>
      <c r="S5712" t="s">
        <v>12164</v>
      </c>
      <c r="T5712" t="s">
        <v>12902</v>
      </c>
      <c r="U5712" t="s">
        <v>12902</v>
      </c>
      <c r="V5712" t="s">
        <v>12902</v>
      </c>
      <c r="W5712" t="s">
        <v>18563</v>
      </c>
      <c r="X5712">
        <v>5</v>
      </c>
      <c r="Y5712" t="s">
        <v>24851</v>
      </c>
      <c r="Z5712" t="s">
        <v>31287</v>
      </c>
      <c r="AA5712">
        <v>0.55972778771708032</v>
      </c>
      <c r="AB5712" t="str">
        <f>HYPERLINK("Melting_Curves/meltCurve_Q9NRH1_YAE1D1.pdf", "Melting_Curves/meltCurve_Q9NRH1_YAE1D1.pdf")</f>
        <v>Melting_Curves/meltCurve_Q9NRH1_YAE1D1.pdf</v>
      </c>
    </row>
    <row r="5713" spans="1:28" x14ac:dyDescent="0.25">
      <c r="A5713" t="s">
        <v>5717</v>
      </c>
      <c r="B5713">
        <v>0.99673306730245903</v>
      </c>
      <c r="C5713">
        <v>0.95434636279991203</v>
      </c>
      <c r="D5713">
        <v>0.94825609480678097</v>
      </c>
      <c r="E5713">
        <v>0.930347890635839</v>
      </c>
      <c r="F5713">
        <v>0.83940995417011899</v>
      </c>
      <c r="G5713">
        <v>0.68429486359975</v>
      </c>
      <c r="H5713">
        <v>0.50079826719492704</v>
      </c>
      <c r="I5713">
        <v>0.31348313959366497</v>
      </c>
      <c r="J5713">
        <v>0.13964530166396999</v>
      </c>
      <c r="K5713">
        <v>0.111189420092926</v>
      </c>
      <c r="L5713">
        <v>827.45105013720001</v>
      </c>
      <c r="M5713">
        <v>13.7777508494054</v>
      </c>
      <c r="N5713">
        <v>60.057048590783701</v>
      </c>
      <c r="O5713">
        <v>58.834258509833397</v>
      </c>
      <c r="P5713">
        <v>-5.85530138712263E-2</v>
      </c>
      <c r="Q5713">
        <v>0</v>
      </c>
      <c r="R5713">
        <v>0.99232366565949903</v>
      </c>
      <c r="S5713" t="s">
        <v>12165</v>
      </c>
      <c r="T5713" t="s">
        <v>12902</v>
      </c>
      <c r="U5713" t="s">
        <v>12902</v>
      </c>
      <c r="V5713" t="s">
        <v>12902</v>
      </c>
      <c r="W5713" t="s">
        <v>18564</v>
      </c>
      <c r="X5713">
        <v>11</v>
      </c>
      <c r="Y5713" t="s">
        <v>24852</v>
      </c>
      <c r="Z5713" t="s">
        <v>31288</v>
      </c>
      <c r="AA5713">
        <v>0.67385663994162237</v>
      </c>
      <c r="AB5713" t="str">
        <f>HYPERLINK("Melting_Curves/meltCurve_Q9NRK6_ABCB10.pdf", "Melting_Curves/meltCurve_Q9NRK6_ABCB10.pdf")</f>
        <v>Melting_Curves/meltCurve_Q9NRK6_ABCB10.pdf</v>
      </c>
    </row>
    <row r="5714" spans="1:28" x14ac:dyDescent="0.25">
      <c r="A5714" t="s">
        <v>5718</v>
      </c>
      <c r="B5714">
        <v>0.99673306730245903</v>
      </c>
      <c r="C5714">
        <v>0.64183643920568401</v>
      </c>
      <c r="D5714">
        <v>0.48549815711905198</v>
      </c>
      <c r="E5714">
        <v>0.31701800776988798</v>
      </c>
      <c r="F5714">
        <v>0.26915327798472599</v>
      </c>
      <c r="G5714">
        <v>0.19328842793378301</v>
      </c>
      <c r="H5714">
        <v>0.14331081597693399</v>
      </c>
      <c r="I5714">
        <v>0.147915519570401</v>
      </c>
      <c r="J5714">
        <v>0.16798650232113299</v>
      </c>
      <c r="K5714">
        <v>0.14230911878844599</v>
      </c>
      <c r="L5714">
        <v>725.16463054764495</v>
      </c>
      <c r="M5714">
        <v>16.216764460051799</v>
      </c>
      <c r="N5714">
        <v>45.796809147727998</v>
      </c>
      <c r="O5714">
        <v>44.053566921111099</v>
      </c>
      <c r="P5714">
        <v>-7.7412935649900802E-2</v>
      </c>
      <c r="Q5714">
        <v>0.15887952780985401</v>
      </c>
      <c r="R5714">
        <v>0.97017865119011804</v>
      </c>
      <c r="S5714" t="s">
        <v>12166</v>
      </c>
      <c r="T5714" t="s">
        <v>12902</v>
      </c>
      <c r="U5714" t="s">
        <v>12902</v>
      </c>
      <c r="V5714" t="s">
        <v>12902</v>
      </c>
      <c r="W5714" t="s">
        <v>18565</v>
      </c>
      <c r="X5714">
        <v>5</v>
      </c>
      <c r="Y5714" t="s">
        <v>24853</v>
      </c>
      <c r="Z5714" t="s">
        <v>31289</v>
      </c>
      <c r="AA5714">
        <v>0.31475576342985417</v>
      </c>
      <c r="AB5714" t="str">
        <f>HYPERLINK("Melting_Curves/meltCurve_Q9NRL2_2_BAZ1A.pdf", "Melting_Curves/meltCurve_Q9NRL2_2_BAZ1A.pdf")</f>
        <v>Melting_Curves/meltCurve_Q9NRL2_2_BAZ1A.pdf</v>
      </c>
    </row>
    <row r="5715" spans="1:28" x14ac:dyDescent="0.25">
      <c r="A5715" t="s">
        <v>5719</v>
      </c>
      <c r="B5715">
        <v>0.99673306730245903</v>
      </c>
      <c r="C5715">
        <v>0.97782798229783996</v>
      </c>
      <c r="D5715">
        <v>0.94582427748792897</v>
      </c>
      <c r="E5715">
        <v>0.83044088687469397</v>
      </c>
      <c r="F5715">
        <v>0.43570071165826102</v>
      </c>
      <c r="G5715">
        <v>0.27086810721563098</v>
      </c>
      <c r="H5715">
        <v>0.18910408155450301</v>
      </c>
      <c r="I5715">
        <v>0.20289717410474101</v>
      </c>
      <c r="J5715">
        <v>0.159049304623712</v>
      </c>
      <c r="K5715">
        <v>0.104843139817277</v>
      </c>
      <c r="L5715">
        <v>1280.0613383954101</v>
      </c>
      <c r="M5715">
        <v>24.616525235268998</v>
      </c>
      <c r="N5715">
        <v>52.803906822780498</v>
      </c>
      <c r="O5715">
        <v>51.660561314396503</v>
      </c>
      <c r="P5715">
        <v>-0.100512623008965</v>
      </c>
      <c r="Q5715">
        <v>0.15626364911967899</v>
      </c>
      <c r="R5715">
        <v>0.99451073536275203</v>
      </c>
      <c r="S5715" t="s">
        <v>12167</v>
      </c>
      <c r="T5715" t="s">
        <v>12902</v>
      </c>
      <c r="U5715" t="s">
        <v>12902</v>
      </c>
      <c r="V5715" t="s">
        <v>12902</v>
      </c>
      <c r="W5715" t="s">
        <v>18566</v>
      </c>
      <c r="X5715">
        <v>10</v>
      </c>
      <c r="Y5715" t="s">
        <v>24854</v>
      </c>
      <c r="Z5715" t="s">
        <v>31290</v>
      </c>
      <c r="AA5715">
        <v>0.50169518182997996</v>
      </c>
      <c r="AB5715" t="str">
        <f>HYPERLINK("Melting_Curves/meltCurve_Q9NRL3_STRN4.pdf", "Melting_Curves/meltCurve_Q9NRL3_STRN4.pdf")</f>
        <v>Melting_Curves/meltCurve_Q9NRL3_STRN4.pdf</v>
      </c>
    </row>
    <row r="5716" spans="1:28" x14ac:dyDescent="0.25">
      <c r="A5716" t="s">
        <v>5720</v>
      </c>
      <c r="B5716">
        <v>0.99673306730245903</v>
      </c>
      <c r="C5716">
        <v>0.92532307300651595</v>
      </c>
      <c r="D5716">
        <v>0.88683112974844902</v>
      </c>
      <c r="E5716">
        <v>0.62800902534238201</v>
      </c>
      <c r="F5716">
        <v>0.42155106488439198</v>
      </c>
      <c r="G5716">
        <v>0.25154596506403698</v>
      </c>
      <c r="H5716">
        <v>0.15864257926921399</v>
      </c>
      <c r="I5716">
        <v>0.13455698235869601</v>
      </c>
      <c r="J5716">
        <v>0.11946948025746799</v>
      </c>
      <c r="K5716">
        <v>9.9681544816235507E-2</v>
      </c>
      <c r="L5716">
        <v>779.70678672170402</v>
      </c>
      <c r="M5716">
        <v>15.263521978775501</v>
      </c>
      <c r="N5716">
        <v>51.764143205147903</v>
      </c>
      <c r="O5716">
        <v>50.230261888573303</v>
      </c>
      <c r="P5716">
        <v>-6.9062834709558096E-2</v>
      </c>
      <c r="Q5716">
        <v>9.0978619892103998E-2</v>
      </c>
      <c r="R5716">
        <v>0.99810446996020796</v>
      </c>
      <c r="S5716" t="s">
        <v>12168</v>
      </c>
      <c r="T5716" t="s">
        <v>12902</v>
      </c>
      <c r="U5716" t="s">
        <v>12902</v>
      </c>
      <c r="V5716" t="s">
        <v>12902</v>
      </c>
      <c r="W5716" t="s">
        <v>18567</v>
      </c>
      <c r="X5716">
        <v>1</v>
      </c>
      <c r="Y5716" t="s">
        <v>24855</v>
      </c>
      <c r="Z5716" t="s">
        <v>31291</v>
      </c>
      <c r="AA5716">
        <v>0.44715572512454532</v>
      </c>
      <c r="AB5716" t="str">
        <f>HYPERLINK("Melting_Curves/meltCurve_Q9NRM6_IL17RB.pdf", "Melting_Curves/meltCurve_Q9NRM6_IL17RB.pdf")</f>
        <v>Melting_Curves/meltCurve_Q9NRM6_IL17RB.pdf</v>
      </c>
    </row>
    <row r="5717" spans="1:28" x14ac:dyDescent="0.25">
      <c r="A5717" t="s">
        <v>5721</v>
      </c>
      <c r="B5717">
        <v>0.99673306730245903</v>
      </c>
      <c r="C5717">
        <v>1.06574998953581</v>
      </c>
      <c r="D5717">
        <v>1.0217004433544301</v>
      </c>
      <c r="E5717">
        <v>0.90553808834532001</v>
      </c>
      <c r="F5717">
        <v>0.37463033638225801</v>
      </c>
      <c r="G5717">
        <v>0.14685977532653299</v>
      </c>
      <c r="H5717">
        <v>8.4645399200058299E-2</v>
      </c>
      <c r="I5717">
        <v>6.9178003351987497E-2</v>
      </c>
      <c r="J5717">
        <v>6.9610180625504003E-2</v>
      </c>
      <c r="K5717">
        <v>5.7515013605529998E-2</v>
      </c>
      <c r="L5717">
        <v>2025.62787307606</v>
      </c>
      <c r="M5717">
        <v>38.761235105931902</v>
      </c>
      <c r="N5717">
        <v>52.479629738627402</v>
      </c>
      <c r="O5717">
        <v>52.120609173392303</v>
      </c>
      <c r="P5717">
        <v>-0.171949732738475</v>
      </c>
      <c r="Q5717">
        <v>7.5147957220447703E-2</v>
      </c>
      <c r="R5717">
        <v>0.99645080128153896</v>
      </c>
      <c r="S5717" t="s">
        <v>12169</v>
      </c>
      <c r="T5717" t="s">
        <v>12902</v>
      </c>
      <c r="U5717" t="s">
        <v>12902</v>
      </c>
      <c r="V5717" t="s">
        <v>12902</v>
      </c>
      <c r="W5717" t="s">
        <v>18568</v>
      </c>
      <c r="X5717">
        <v>13</v>
      </c>
      <c r="Y5717" t="s">
        <v>24856</v>
      </c>
      <c r="Z5717" t="s">
        <v>31292</v>
      </c>
      <c r="AA5717">
        <v>0.45663359374682899</v>
      </c>
      <c r="AB5717" t="str">
        <f>HYPERLINK("Melting_Curves/meltCurve_Q9NRN7_AASDHPPT.pdf", "Melting_Curves/meltCurve_Q9NRN7_AASDHPPT.pdf")</f>
        <v>Melting_Curves/meltCurve_Q9NRN7_AASDHPPT.pdf</v>
      </c>
    </row>
    <row r="5718" spans="1:28" x14ac:dyDescent="0.25">
      <c r="A5718" t="s">
        <v>5722</v>
      </c>
      <c r="B5718">
        <v>0.99673306730245903</v>
      </c>
      <c r="C5718">
        <v>1.00532868024846</v>
      </c>
      <c r="D5718">
        <v>0.97896594504620305</v>
      </c>
      <c r="E5718">
        <v>0.95729448922309901</v>
      </c>
      <c r="F5718">
        <v>0.96930565882030495</v>
      </c>
      <c r="G5718">
        <v>0.87872052285623903</v>
      </c>
      <c r="H5718">
        <v>0.76987024221831701</v>
      </c>
      <c r="I5718">
        <v>1.0383487638959801</v>
      </c>
      <c r="J5718">
        <v>1.2504895906072699</v>
      </c>
      <c r="K5718">
        <v>0.93074787108732704</v>
      </c>
      <c r="L5718">
        <v>1413.1725168078001</v>
      </c>
      <c r="M5718">
        <v>21.4909973005444</v>
      </c>
      <c r="O5718">
        <v>65.195085032543105</v>
      </c>
      <c r="P5718">
        <v>5.2972537014455796E-3</v>
      </c>
      <c r="Q5718">
        <v>1.0642774168759701</v>
      </c>
      <c r="R5718">
        <v>-2.66150379256813E-3</v>
      </c>
      <c r="S5718" t="s">
        <v>12170</v>
      </c>
      <c r="T5718" t="s">
        <v>12902</v>
      </c>
      <c r="U5718" t="s">
        <v>12902</v>
      </c>
      <c r="V5718" t="s">
        <v>12902</v>
      </c>
      <c r="W5718" t="s">
        <v>18569</v>
      </c>
      <c r="X5718">
        <v>10</v>
      </c>
      <c r="Y5718" t="s">
        <v>24857</v>
      </c>
      <c r="Z5718" t="s">
        <v>31293</v>
      </c>
      <c r="AA5718">
        <v>1.0100667192316291</v>
      </c>
      <c r="AB5718" t="str">
        <f>HYPERLINK("Melting_Curves/meltCurve_Q9NRN9_METTL5.pdf", "Melting_Curves/meltCurve_Q9NRN9_METTL5.pdf")</f>
        <v>Melting_Curves/meltCurve_Q9NRN9_METTL5.pdf</v>
      </c>
    </row>
    <row r="5719" spans="1:28" x14ac:dyDescent="0.25">
      <c r="A5719" t="s">
        <v>5723</v>
      </c>
      <c r="B5719">
        <v>0.99673306730245903</v>
      </c>
      <c r="C5719">
        <v>0.96317155047998604</v>
      </c>
      <c r="D5719">
        <v>0.97164337523590405</v>
      </c>
      <c r="E5719">
        <v>0.85773077081313198</v>
      </c>
      <c r="F5719">
        <v>0.65540017660726002</v>
      </c>
      <c r="G5719">
        <v>0.55054161323324002</v>
      </c>
      <c r="H5719">
        <v>0.46858666382604602</v>
      </c>
      <c r="I5719">
        <v>0.150357078230896</v>
      </c>
      <c r="J5719">
        <v>0.303463921620518</v>
      </c>
      <c r="K5719">
        <v>0.65002389514154402</v>
      </c>
      <c r="L5719">
        <v>1064.6646221162</v>
      </c>
      <c r="M5719">
        <v>20.1901956243554</v>
      </c>
      <c r="N5719">
        <v>56.865914779733998</v>
      </c>
      <c r="O5719">
        <v>52.222640232815799</v>
      </c>
      <c r="P5719">
        <v>-5.9464834191188302E-2</v>
      </c>
      <c r="Q5719">
        <v>0.38478788247210899</v>
      </c>
      <c r="R5719">
        <v>0.81360807112270594</v>
      </c>
      <c r="S5719" t="s">
        <v>12171</v>
      </c>
      <c r="T5719" t="s">
        <v>12902</v>
      </c>
      <c r="U5719" t="s">
        <v>12902</v>
      </c>
      <c r="V5719" t="s">
        <v>12902</v>
      </c>
      <c r="W5719" t="s">
        <v>18570</v>
      </c>
      <c r="X5719">
        <v>1</v>
      </c>
      <c r="Y5719" t="s">
        <v>24858</v>
      </c>
      <c r="Z5719" t="s">
        <v>31294</v>
      </c>
      <c r="AA5719">
        <v>0.65422030397807551</v>
      </c>
      <c r="AB5719" t="str">
        <f>HYPERLINK("Melting_Curves/meltCurve_Q9NRP0_OSTC.pdf", "Melting_Curves/meltCurve_Q9NRP0_OSTC.pdf")</f>
        <v>Melting_Curves/meltCurve_Q9NRP0_OSTC.pdf</v>
      </c>
    </row>
    <row r="5720" spans="1:28" x14ac:dyDescent="0.25">
      <c r="A5720" t="s">
        <v>5724</v>
      </c>
      <c r="B5720">
        <v>0.99673306730245903</v>
      </c>
      <c r="C5720">
        <v>0.96302279414621705</v>
      </c>
      <c r="D5720">
        <v>0.91874972480956196</v>
      </c>
      <c r="E5720">
        <v>0.74948450500501596</v>
      </c>
      <c r="F5720">
        <v>0.51158327740244902</v>
      </c>
      <c r="G5720">
        <v>0.40126553983158503</v>
      </c>
      <c r="H5720">
        <v>0.32360861607131702</v>
      </c>
      <c r="I5720">
        <v>0.43586062895392702</v>
      </c>
      <c r="J5720">
        <v>0.87814386014160295</v>
      </c>
      <c r="K5720">
        <v>0.90499623750243297</v>
      </c>
      <c r="L5720">
        <v>1872.8965001976601</v>
      </c>
      <c r="M5720">
        <v>38.473044637274299</v>
      </c>
      <c r="O5720">
        <v>48.549782621899702</v>
      </c>
      <c r="P5720">
        <v>-8.3861449672818597E-2</v>
      </c>
      <c r="Q5720">
        <v>0.57669633742075599</v>
      </c>
      <c r="R5720">
        <v>0.47385954482922599</v>
      </c>
      <c r="S5720" t="s">
        <v>12172</v>
      </c>
      <c r="T5720" t="s">
        <v>12902</v>
      </c>
      <c r="U5720" t="s">
        <v>12902</v>
      </c>
      <c r="V5720" t="s">
        <v>12902</v>
      </c>
      <c r="W5720" t="s">
        <v>18571</v>
      </c>
      <c r="X5720">
        <v>9</v>
      </c>
      <c r="Y5720" t="s">
        <v>24859</v>
      </c>
      <c r="Z5720" t="s">
        <v>31295</v>
      </c>
      <c r="AA5720">
        <v>0.70072639177385576</v>
      </c>
      <c r="AB5720" t="str">
        <f>HYPERLINK("Melting_Curves/meltCurve_Q9NRP2_CMC2.pdf", "Melting_Curves/meltCurve_Q9NRP2_CMC2.pdf")</f>
        <v>Melting_Curves/meltCurve_Q9NRP2_CMC2.pdf</v>
      </c>
    </row>
    <row r="5721" spans="1:28" x14ac:dyDescent="0.25">
      <c r="A5721" t="s">
        <v>5725</v>
      </c>
      <c r="B5721">
        <v>0.99673306730245903</v>
      </c>
      <c r="C5721">
        <v>1.0120723257707001</v>
      </c>
      <c r="D5721">
        <v>0.92122767782479797</v>
      </c>
      <c r="E5721">
        <v>0.657470639309789</v>
      </c>
      <c r="F5721">
        <v>0.38511640543318598</v>
      </c>
      <c r="G5721">
        <v>0.228944887887508</v>
      </c>
      <c r="H5721">
        <v>0.20440780933840599</v>
      </c>
      <c r="I5721">
        <v>0.21976853514205899</v>
      </c>
      <c r="J5721">
        <v>0.23094182933621801</v>
      </c>
      <c r="K5721">
        <v>0.215204190823886</v>
      </c>
      <c r="L5721">
        <v>1245.7047183268501</v>
      </c>
      <c r="M5721">
        <v>24.817673971819399</v>
      </c>
      <c r="N5721">
        <v>51.327680844706897</v>
      </c>
      <c r="O5721">
        <v>49.871760556468999</v>
      </c>
      <c r="P5721">
        <v>-9.8164420613497894E-2</v>
      </c>
      <c r="Q5721">
        <v>0.21095508958746301</v>
      </c>
      <c r="R5721">
        <v>0.99805245179054902</v>
      </c>
      <c r="S5721" t="s">
        <v>12173</v>
      </c>
      <c r="T5721" t="s">
        <v>12902</v>
      </c>
      <c r="U5721" t="s">
        <v>12902</v>
      </c>
      <c r="V5721" t="s">
        <v>12902</v>
      </c>
      <c r="W5721" t="s">
        <v>18572</v>
      </c>
      <c r="X5721">
        <v>2</v>
      </c>
      <c r="Y5721" t="s">
        <v>24860</v>
      </c>
      <c r="Z5721" t="s">
        <v>31296</v>
      </c>
      <c r="AA5721">
        <v>0.48625002397115852</v>
      </c>
      <c r="AB5721" t="str">
        <f>HYPERLINK("Melting_Curves/meltCurve_Q9NRP4_ACN9.pdf", "Melting_Curves/meltCurve_Q9NRP4_ACN9.pdf")</f>
        <v>Melting_Curves/meltCurve_Q9NRP4_ACN9.pdf</v>
      </c>
    </row>
    <row r="5722" spans="1:28" x14ac:dyDescent="0.25">
      <c r="A5722" t="s">
        <v>5726</v>
      </c>
      <c r="B5722">
        <v>0.99673306730245903</v>
      </c>
      <c r="C5722">
        <v>1.01559568673219</v>
      </c>
      <c r="D5722">
        <v>0.94172376751993503</v>
      </c>
      <c r="E5722">
        <v>0.92540177288397596</v>
      </c>
      <c r="F5722">
        <v>0.81035885754900605</v>
      </c>
      <c r="G5722">
        <v>0.66134021314853297</v>
      </c>
      <c r="H5722">
        <v>0.46327147221801601</v>
      </c>
      <c r="I5722">
        <v>0.63900852833186605</v>
      </c>
      <c r="J5722">
        <v>0.73924204006906002</v>
      </c>
      <c r="K5722">
        <v>0.65106139370128002</v>
      </c>
      <c r="L5722">
        <v>1601.9652821448201</v>
      </c>
      <c r="M5722">
        <v>30.3979453897343</v>
      </c>
      <c r="O5722">
        <v>52.473293966644398</v>
      </c>
      <c r="P5722">
        <v>-5.4446999726864398E-2</v>
      </c>
      <c r="Q5722">
        <v>0.62405411406879496</v>
      </c>
      <c r="R5722">
        <v>0.84674662670346901</v>
      </c>
      <c r="S5722" t="s">
        <v>12174</v>
      </c>
      <c r="T5722" t="s">
        <v>12902</v>
      </c>
      <c r="U5722" t="s">
        <v>12902</v>
      </c>
      <c r="V5722" t="s">
        <v>12902</v>
      </c>
      <c r="W5722" t="s">
        <v>18573</v>
      </c>
      <c r="X5722">
        <v>15</v>
      </c>
      <c r="Y5722" t="s">
        <v>24861</v>
      </c>
      <c r="Z5722" t="s">
        <v>31297</v>
      </c>
      <c r="AA5722">
        <v>0.78556730353404947</v>
      </c>
      <c r="AB5722" t="str">
        <f>HYPERLINK("Melting_Curves/meltCurve_Q9NRR5_UBQLN4.pdf", "Melting_Curves/meltCurve_Q9NRR5_UBQLN4.pdf")</f>
        <v>Melting_Curves/meltCurve_Q9NRR5_UBQLN4.pdf</v>
      </c>
    </row>
    <row r="5723" spans="1:28" x14ac:dyDescent="0.25">
      <c r="A5723" t="s">
        <v>5727</v>
      </c>
      <c r="B5723">
        <v>0.99673306730245903</v>
      </c>
      <c r="C5723">
        <v>0.94138228598847196</v>
      </c>
      <c r="D5723">
        <v>0.92857399670929297</v>
      </c>
      <c r="E5723">
        <v>0.74832094160226403</v>
      </c>
      <c r="F5723">
        <v>0.54076693154829403</v>
      </c>
      <c r="G5723">
        <v>0.35708827174524899</v>
      </c>
      <c r="H5723">
        <v>0.30798631927706099</v>
      </c>
      <c r="I5723">
        <v>0.32538400042400401</v>
      </c>
      <c r="J5723">
        <v>0.345870200848024</v>
      </c>
      <c r="K5723">
        <v>0.29659036269351202</v>
      </c>
      <c r="L5723">
        <v>1006.00143747562</v>
      </c>
      <c r="M5723">
        <v>19.710074530032401</v>
      </c>
      <c r="N5723">
        <v>53.577767587374403</v>
      </c>
      <c r="O5723">
        <v>50.523295682838402</v>
      </c>
      <c r="P5723">
        <v>-6.7938233325157596E-2</v>
      </c>
      <c r="Q5723">
        <v>0.30343358753941801</v>
      </c>
      <c r="R5723">
        <v>0.99333142297461097</v>
      </c>
      <c r="S5723" t="s">
        <v>12175</v>
      </c>
      <c r="T5723" t="s">
        <v>12902</v>
      </c>
      <c r="U5723" t="s">
        <v>12902</v>
      </c>
      <c r="V5723" t="s">
        <v>12902</v>
      </c>
      <c r="W5723" t="s">
        <v>18574</v>
      </c>
      <c r="X5723">
        <v>1</v>
      </c>
      <c r="Y5723" t="s">
        <v>24862</v>
      </c>
      <c r="Z5723" t="s">
        <v>31298</v>
      </c>
      <c r="AA5723">
        <v>0.56970442730737803</v>
      </c>
      <c r="AB5723" t="str">
        <f>HYPERLINK("Melting_Curves/meltCurve_Q9NRR8_CDC42SE1.pdf", "Melting_Curves/meltCurve_Q9NRR8_CDC42SE1.pdf")</f>
        <v>Melting_Curves/meltCurve_Q9NRR8_CDC42SE1.pdf</v>
      </c>
    </row>
    <row r="5724" spans="1:28" x14ac:dyDescent="0.25">
      <c r="A5724" t="s">
        <v>5728</v>
      </c>
      <c r="B5724">
        <v>0.99673306730245903</v>
      </c>
      <c r="C5724">
        <v>1.0184705871778501</v>
      </c>
      <c r="D5724">
        <v>0.93903331848772698</v>
      </c>
      <c r="E5724">
        <v>0.83309303559847203</v>
      </c>
      <c r="F5724">
        <v>0.47742062888532</v>
      </c>
      <c r="G5724">
        <v>0.25092654656224</v>
      </c>
      <c r="H5724">
        <v>0.13278168222374001</v>
      </c>
      <c r="I5724">
        <v>0.14095032298512999</v>
      </c>
      <c r="J5724">
        <v>0.168081982294394</v>
      </c>
      <c r="K5724">
        <v>0.15661908251963799</v>
      </c>
      <c r="L5724">
        <v>1324.75512595537</v>
      </c>
      <c r="M5724">
        <v>25.3425594848662</v>
      </c>
      <c r="N5724">
        <v>52.974996996443998</v>
      </c>
      <c r="O5724">
        <v>51.951697922946302</v>
      </c>
      <c r="P5724">
        <v>-0.104579542368806</v>
      </c>
      <c r="Q5724">
        <v>0.142467744883986</v>
      </c>
      <c r="R5724">
        <v>0.99730629269537396</v>
      </c>
      <c r="S5724" t="s">
        <v>12176</v>
      </c>
      <c r="T5724" t="s">
        <v>12902</v>
      </c>
      <c r="U5724" t="s">
        <v>12902</v>
      </c>
      <c r="V5724" t="s">
        <v>12902</v>
      </c>
      <c r="W5724" t="s">
        <v>18575</v>
      </c>
      <c r="X5724">
        <v>11</v>
      </c>
      <c r="Y5724" t="s">
        <v>24863</v>
      </c>
      <c r="Z5724" t="s">
        <v>31299</v>
      </c>
      <c r="AA5724">
        <v>0.50095748775538418</v>
      </c>
      <c r="AB5724" t="str">
        <f>HYPERLINK("Melting_Curves/meltCurve_Q9NRV9_HEBP1.pdf", "Melting_Curves/meltCurve_Q9NRV9_HEBP1.pdf")</f>
        <v>Melting_Curves/meltCurve_Q9NRV9_HEBP1.pdf</v>
      </c>
    </row>
    <row r="5725" spans="1:28" x14ac:dyDescent="0.25">
      <c r="A5725" t="s">
        <v>5729</v>
      </c>
      <c r="B5725">
        <v>0.99673306730245903</v>
      </c>
      <c r="C5725">
        <v>1.0122541535048899</v>
      </c>
      <c r="D5725">
        <v>0.86106790398653399</v>
      </c>
      <c r="E5725">
        <v>0.77514837677180304</v>
      </c>
      <c r="F5725">
        <v>0.67704961044309897</v>
      </c>
      <c r="G5725">
        <v>0.56497130607211199</v>
      </c>
      <c r="H5725">
        <v>0.43822262427903103</v>
      </c>
      <c r="I5725">
        <v>0.45805545923730301</v>
      </c>
      <c r="J5725">
        <v>0.373234110588821</v>
      </c>
      <c r="K5725">
        <v>0.34357010513596598</v>
      </c>
      <c r="L5725">
        <v>556.08496943880505</v>
      </c>
      <c r="M5725">
        <v>10.3535114260909</v>
      </c>
      <c r="N5725">
        <v>59.010360600186203</v>
      </c>
      <c r="O5725">
        <v>51.821955372256397</v>
      </c>
      <c r="P5725">
        <v>-3.4842102513347302E-2</v>
      </c>
      <c r="Q5725">
        <v>0.30272260304269899</v>
      </c>
      <c r="R5725">
        <v>0.98523846055389197</v>
      </c>
      <c r="S5725" t="s">
        <v>12177</v>
      </c>
      <c r="T5725" t="s">
        <v>12902</v>
      </c>
      <c r="U5725" t="s">
        <v>12902</v>
      </c>
      <c r="V5725" t="s">
        <v>12902</v>
      </c>
      <c r="W5725" t="s">
        <v>18576</v>
      </c>
      <c r="X5725">
        <v>8</v>
      </c>
      <c r="Y5725" t="s">
        <v>24864</v>
      </c>
      <c r="Z5725" t="s">
        <v>31300</v>
      </c>
      <c r="AA5725">
        <v>0.64269254214923843</v>
      </c>
      <c r="AB5725" t="str">
        <f>HYPERLINK("Melting_Curves/meltCurve_Q9NRW1_RAB6B.pdf", "Melting_Curves/meltCurve_Q9NRW1_RAB6B.pdf")</f>
        <v>Melting_Curves/meltCurve_Q9NRW1_RAB6B.pdf</v>
      </c>
    </row>
    <row r="5726" spans="1:28" x14ac:dyDescent="0.25">
      <c r="A5726" t="s">
        <v>5730</v>
      </c>
      <c r="B5726">
        <v>0.99673306730245903</v>
      </c>
      <c r="C5726">
        <v>0.88107136576238698</v>
      </c>
      <c r="D5726">
        <v>0.74831827496242498</v>
      </c>
      <c r="E5726">
        <v>0.381347377123747</v>
      </c>
      <c r="F5726">
        <v>0.231550781913063</v>
      </c>
      <c r="G5726">
        <v>0.162830047547743</v>
      </c>
      <c r="H5726">
        <v>0.113842680091093</v>
      </c>
      <c r="I5726">
        <v>0.10275711057963299</v>
      </c>
      <c r="J5726">
        <v>0.127457536326847</v>
      </c>
      <c r="K5726">
        <v>0.11763004096485601</v>
      </c>
      <c r="L5726">
        <v>939.27471450640599</v>
      </c>
      <c r="M5726">
        <v>19.648203636134799</v>
      </c>
      <c r="N5726">
        <v>48.434394806427797</v>
      </c>
      <c r="O5726">
        <v>47.3176791094047</v>
      </c>
      <c r="P5726">
        <v>-9.2110947926867304E-2</v>
      </c>
      <c r="Q5726">
        <v>0.112728230565543</v>
      </c>
      <c r="R5726">
        <v>0.99673314454237205</v>
      </c>
      <c r="S5726" t="s">
        <v>12178</v>
      </c>
      <c r="T5726" t="s">
        <v>12902</v>
      </c>
      <c r="U5726" t="s">
        <v>12902</v>
      </c>
      <c r="V5726" t="s">
        <v>12902</v>
      </c>
      <c r="W5726" t="s">
        <v>18577</v>
      </c>
      <c r="X5726">
        <v>2</v>
      </c>
      <c r="Y5726" t="s">
        <v>24865</v>
      </c>
      <c r="Z5726" t="s">
        <v>31301</v>
      </c>
      <c r="AA5726">
        <v>0.3567087301764269</v>
      </c>
      <c r="AB5726" t="str">
        <f>HYPERLINK("Melting_Curves/meltCurve_Q9NRW4_DUSP22.pdf", "Melting_Curves/meltCurve_Q9NRW4_DUSP22.pdf")</f>
        <v>Melting_Curves/meltCurve_Q9NRW4_DUSP22.pdf</v>
      </c>
    </row>
    <row r="5727" spans="1:28" x14ac:dyDescent="0.25">
      <c r="A5727" t="s">
        <v>5731</v>
      </c>
      <c r="B5727">
        <v>0.99673306730245903</v>
      </c>
      <c r="C5727">
        <v>0.91493400871113795</v>
      </c>
      <c r="D5727">
        <v>0.80272431729023197</v>
      </c>
      <c r="E5727">
        <v>0.39719647575499401</v>
      </c>
      <c r="F5727">
        <v>0.16524128043206299</v>
      </c>
      <c r="G5727">
        <v>0.107179443783033</v>
      </c>
      <c r="H5727">
        <v>6.9570870731949203E-2</v>
      </c>
      <c r="I5727">
        <v>6.3289289652282296E-2</v>
      </c>
      <c r="J5727">
        <v>6.5421531925627496E-2</v>
      </c>
      <c r="K5727">
        <v>5.8132272860595899E-2</v>
      </c>
      <c r="L5727">
        <v>1101.73355698001</v>
      </c>
      <c r="M5727">
        <v>22.758977983003899</v>
      </c>
      <c r="N5727">
        <v>48.692649261230699</v>
      </c>
      <c r="O5727">
        <v>48.039671070584099</v>
      </c>
      <c r="P5727">
        <v>-0.111081511868463</v>
      </c>
      <c r="Q5727">
        <v>6.2134848167291999E-2</v>
      </c>
      <c r="R5727">
        <v>0.99841096926915895</v>
      </c>
      <c r="S5727" t="s">
        <v>12179</v>
      </c>
      <c r="T5727" t="s">
        <v>12902</v>
      </c>
      <c r="U5727" t="s">
        <v>12902</v>
      </c>
      <c r="V5727" t="s">
        <v>12902</v>
      </c>
      <c r="W5727" t="s">
        <v>18578</v>
      </c>
      <c r="X5727">
        <v>8</v>
      </c>
      <c r="Y5727" t="s">
        <v>24866</v>
      </c>
      <c r="Z5727" t="s">
        <v>31302</v>
      </c>
      <c r="AA5727">
        <v>0.33510534406020948</v>
      </c>
      <c r="AB5727" t="str">
        <f>HYPERLINK("Melting_Curves/meltCurve_Q9NRW7_VPS45.pdf", "Melting_Curves/meltCurve_Q9NRW7_VPS45.pdf")</f>
        <v>Melting_Curves/meltCurve_Q9NRW7_VPS45.pdf</v>
      </c>
    </row>
    <row r="5728" spans="1:28" x14ac:dyDescent="0.25">
      <c r="A5728" t="s">
        <v>5732</v>
      </c>
      <c r="B5728">
        <v>0.99673306730245903</v>
      </c>
      <c r="C5728">
        <v>0.94367520935140603</v>
      </c>
      <c r="D5728">
        <v>0.77000828105300101</v>
      </c>
      <c r="E5728">
        <v>0.29076996329537202</v>
      </c>
      <c r="F5728">
        <v>0.15806158885164601</v>
      </c>
      <c r="G5728">
        <v>0.101910094731036</v>
      </c>
      <c r="H5728">
        <v>6.6818087205401902E-2</v>
      </c>
      <c r="I5728">
        <v>7.4956697690888294E-2</v>
      </c>
      <c r="J5728">
        <v>9.0697588707408905E-2</v>
      </c>
      <c r="K5728">
        <v>8.3767769224705996E-2</v>
      </c>
      <c r="L5728">
        <v>1358.0208082813599</v>
      </c>
      <c r="M5728">
        <v>28.5072839307078</v>
      </c>
      <c r="N5728">
        <v>47.949713300878102</v>
      </c>
      <c r="O5728">
        <v>47.405098460512598</v>
      </c>
      <c r="P5728">
        <v>-0.13761171536884501</v>
      </c>
      <c r="Q5728">
        <v>8.4662564653818495E-2</v>
      </c>
      <c r="R5728">
        <v>0.99829069672426196</v>
      </c>
      <c r="S5728" t="s">
        <v>12180</v>
      </c>
      <c r="T5728" t="s">
        <v>12902</v>
      </c>
      <c r="U5728" t="s">
        <v>12902</v>
      </c>
      <c r="V5728" t="s">
        <v>12902</v>
      </c>
      <c r="W5728" t="s">
        <v>18579</v>
      </c>
      <c r="X5728">
        <v>6</v>
      </c>
      <c r="Y5728" t="s">
        <v>24867</v>
      </c>
      <c r="Z5728" t="s">
        <v>31303</v>
      </c>
      <c r="AA5728">
        <v>0.32381891764276138</v>
      </c>
      <c r="AB5728" t="str">
        <f>HYPERLINK("Melting_Curves/meltCurve_Q9NRX1_PNO1.pdf", "Melting_Curves/meltCurve_Q9NRX1_PNO1.pdf")</f>
        <v>Melting_Curves/meltCurve_Q9NRX1_PNO1.pdf</v>
      </c>
    </row>
    <row r="5729" spans="1:28" x14ac:dyDescent="0.25">
      <c r="A5729" t="s">
        <v>5733</v>
      </c>
      <c r="B5729">
        <v>0.99673306730245903</v>
      </c>
      <c r="C5729">
        <v>0.99355155149567198</v>
      </c>
      <c r="D5729">
        <v>0.91158306162605596</v>
      </c>
      <c r="E5729">
        <v>0.77919764752308596</v>
      </c>
      <c r="F5729">
        <v>0.68534856332459804</v>
      </c>
      <c r="G5729">
        <v>0.68265460485603802</v>
      </c>
      <c r="H5729">
        <v>0.66485578904112497</v>
      </c>
      <c r="I5729">
        <v>0.75743401607571903</v>
      </c>
      <c r="J5729">
        <v>0.95652856433319899</v>
      </c>
      <c r="K5729">
        <v>1.1089318872089899</v>
      </c>
      <c r="L5729">
        <v>11508.598622796801</v>
      </c>
      <c r="M5729">
        <v>250</v>
      </c>
      <c r="O5729">
        <v>46.031448348691903</v>
      </c>
      <c r="P5729">
        <v>-0.26477413282108703</v>
      </c>
      <c r="Q5729">
        <v>0.804993010079466</v>
      </c>
      <c r="R5729">
        <v>0.26378283788360302</v>
      </c>
      <c r="S5729" t="s">
        <v>12181</v>
      </c>
      <c r="T5729" t="s">
        <v>12902</v>
      </c>
      <c r="U5729" t="s">
        <v>12902</v>
      </c>
      <c r="V5729" t="s">
        <v>12902</v>
      </c>
      <c r="W5729" t="s">
        <v>18580</v>
      </c>
      <c r="X5729">
        <v>8</v>
      </c>
      <c r="Y5729" t="s">
        <v>24868</v>
      </c>
      <c r="Z5729" t="s">
        <v>31304</v>
      </c>
      <c r="AA5729">
        <v>0.84423373481577435</v>
      </c>
      <c r="AB5729" t="str">
        <f>HYPERLINK("Melting_Curves/meltCurve_Q9NRX3_NDUFA4L2.pdf", "Melting_Curves/meltCurve_Q9NRX3_NDUFA4L2.pdf")</f>
        <v>Melting_Curves/meltCurve_Q9NRX3_NDUFA4L2.pdf</v>
      </c>
    </row>
    <row r="5730" spans="1:28" x14ac:dyDescent="0.25">
      <c r="A5730" t="s">
        <v>5734</v>
      </c>
      <c r="B5730">
        <v>0.99673306730245903</v>
      </c>
      <c r="C5730">
        <v>1.0300264662298499</v>
      </c>
      <c r="D5730">
        <v>1.04161323622181</v>
      </c>
      <c r="E5730">
        <v>0.96329882448592297</v>
      </c>
      <c r="F5730">
        <v>0.63077387552359299</v>
      </c>
      <c r="G5730">
        <v>0.37228819383063999</v>
      </c>
      <c r="H5730">
        <v>0.160481031760039</v>
      </c>
      <c r="I5730">
        <v>0.170433134385336</v>
      </c>
      <c r="J5730">
        <v>0.20089912595434301</v>
      </c>
      <c r="K5730">
        <v>0.197769230559809</v>
      </c>
      <c r="L5730">
        <v>1555.03152662963</v>
      </c>
      <c r="M5730">
        <v>28.881936644476401</v>
      </c>
      <c r="N5730">
        <v>54.6807859118015</v>
      </c>
      <c r="O5730">
        <v>53.5848391571527</v>
      </c>
      <c r="P5730">
        <v>-0.110611482834577</v>
      </c>
      <c r="Q5730">
        <v>0.179133520815283</v>
      </c>
      <c r="R5730">
        <v>0.99294135026994801</v>
      </c>
      <c r="S5730" t="s">
        <v>12182</v>
      </c>
      <c r="T5730" t="s">
        <v>12902</v>
      </c>
      <c r="U5730" t="s">
        <v>12902</v>
      </c>
      <c r="V5730" t="s">
        <v>12902</v>
      </c>
      <c r="W5730" t="s">
        <v>18581</v>
      </c>
      <c r="X5730">
        <v>8</v>
      </c>
      <c r="Y5730" t="s">
        <v>24869</v>
      </c>
      <c r="Z5730" t="s">
        <v>31305</v>
      </c>
      <c r="AA5730">
        <v>0.56364358411478777</v>
      </c>
      <c r="AB5730" t="str">
        <f>HYPERLINK("Melting_Curves/meltCurve_Q9NRX4_PHPT1.pdf", "Melting_Curves/meltCurve_Q9NRX4_PHPT1.pdf")</f>
        <v>Melting_Curves/meltCurve_Q9NRX4_PHPT1.pdf</v>
      </c>
    </row>
    <row r="5731" spans="1:28" x14ac:dyDescent="0.25">
      <c r="A5731" t="s">
        <v>5735</v>
      </c>
      <c r="B5731">
        <v>0.99673306730245903</v>
      </c>
      <c r="C5731">
        <v>0.90411727496001904</v>
      </c>
      <c r="D5731">
        <v>0.93741167240864998</v>
      </c>
      <c r="E5731">
        <v>0.54005890350750096</v>
      </c>
      <c r="F5731">
        <v>0.43419714846174901</v>
      </c>
      <c r="G5731">
        <v>0.45672610017960102</v>
      </c>
      <c r="H5731">
        <v>0.59689250660647797</v>
      </c>
      <c r="I5731">
        <v>1.5449907024624701</v>
      </c>
      <c r="J5731">
        <v>2.32652833745906</v>
      </c>
      <c r="K5731">
        <v>2.4689730422435598</v>
      </c>
      <c r="L5731">
        <v>15000</v>
      </c>
      <c r="M5731">
        <v>239.473285423151</v>
      </c>
      <c r="O5731">
        <v>62.633074772369397</v>
      </c>
      <c r="P5731">
        <v>0.47792878517173099</v>
      </c>
      <c r="Q5731">
        <v>1.5</v>
      </c>
      <c r="R5731">
        <v>0.48198018661396702</v>
      </c>
      <c r="S5731" t="s">
        <v>12183</v>
      </c>
      <c r="T5731" t="s">
        <v>12902</v>
      </c>
      <c r="U5731" t="s">
        <v>12902</v>
      </c>
      <c r="V5731" t="s">
        <v>12902</v>
      </c>
      <c r="W5731" t="s">
        <v>18582</v>
      </c>
      <c r="X5731">
        <v>4</v>
      </c>
      <c r="Y5731" t="s">
        <v>24870</v>
      </c>
      <c r="Z5731" t="s">
        <v>31306</v>
      </c>
      <c r="AA5731">
        <v>1.1226489807752491</v>
      </c>
      <c r="AB5731" t="str">
        <f>HYPERLINK("Melting_Curves/meltCurve_Q9NRY2_INIP.pdf", "Melting_Curves/meltCurve_Q9NRY2_INIP.pdf")</f>
        <v>Melting_Curves/meltCurve_Q9NRY2_INIP.pdf</v>
      </c>
    </row>
    <row r="5732" spans="1:28" x14ac:dyDescent="0.25">
      <c r="A5732" t="s">
        <v>5736</v>
      </c>
      <c r="B5732">
        <v>0.99673306730245903</v>
      </c>
      <c r="C5732">
        <v>0.85839367562969404</v>
      </c>
      <c r="D5732">
        <v>0.43829229776061801</v>
      </c>
      <c r="E5732">
        <v>0.24870439413006201</v>
      </c>
      <c r="F5732">
        <v>0.16296322429318499</v>
      </c>
      <c r="G5732">
        <v>0.10880950924848801</v>
      </c>
      <c r="H5732">
        <v>7.5571345497897804E-2</v>
      </c>
      <c r="I5732">
        <v>7.2587920513144194E-2</v>
      </c>
      <c r="J5732">
        <v>7.7507320401564203E-2</v>
      </c>
      <c r="K5732">
        <v>6.4349226362639594E-2</v>
      </c>
      <c r="L5732">
        <v>1069.65424336924</v>
      </c>
      <c r="M5732">
        <v>23.497094312913902</v>
      </c>
      <c r="N5732">
        <v>45.906916861139401</v>
      </c>
      <c r="O5732">
        <v>45.196950418971099</v>
      </c>
      <c r="P5732">
        <v>-0.118374435752792</v>
      </c>
      <c r="Q5732">
        <v>8.9236916906969693E-2</v>
      </c>
      <c r="R5732">
        <v>0.990700658734743</v>
      </c>
      <c r="S5732" t="s">
        <v>12184</v>
      </c>
      <c r="T5732" t="s">
        <v>12902</v>
      </c>
      <c r="U5732" t="s">
        <v>12902</v>
      </c>
      <c r="V5732" t="s">
        <v>12902</v>
      </c>
      <c r="W5732" t="s">
        <v>18583</v>
      </c>
      <c r="X5732">
        <v>8</v>
      </c>
      <c r="Y5732" t="s">
        <v>24871</v>
      </c>
      <c r="Z5732" t="s">
        <v>31307</v>
      </c>
      <c r="AA5732">
        <v>0.26693259105958622</v>
      </c>
      <c r="AB5732" t="str">
        <f>HYPERLINK("Melting_Curves/meltCurve_Q9NRY4_ARHGAP35.pdf", "Melting_Curves/meltCurve_Q9NRY4_ARHGAP35.pdf")</f>
        <v>Melting_Curves/meltCurve_Q9NRY4_ARHGAP35.pdf</v>
      </c>
    </row>
    <row r="5733" spans="1:28" x14ac:dyDescent="0.25">
      <c r="A5733" t="s">
        <v>5737</v>
      </c>
      <c r="B5733">
        <v>0.99673306730245903</v>
      </c>
      <c r="C5733">
        <v>1.0204581899935301</v>
      </c>
      <c r="D5733">
        <v>0.923666119012301</v>
      </c>
      <c r="E5733">
        <v>0.75613539085988002</v>
      </c>
      <c r="F5733">
        <v>0.22529000677685099</v>
      </c>
      <c r="G5733">
        <v>0.15826826638366501</v>
      </c>
      <c r="H5733">
        <v>9.6199400933646095E-2</v>
      </c>
      <c r="I5733">
        <v>8.4711631521173003E-2</v>
      </c>
      <c r="J5733">
        <v>9.6682141196092197E-2</v>
      </c>
      <c r="K5733">
        <v>6.1139228929030703E-2</v>
      </c>
      <c r="L5733">
        <v>1812.41890326669</v>
      </c>
      <c r="M5733">
        <v>35.630697204767799</v>
      </c>
      <c r="N5733">
        <v>51.155453803352202</v>
      </c>
      <c r="O5733">
        <v>50.7073592569689</v>
      </c>
      <c r="P5733">
        <v>-0.15967048450279001</v>
      </c>
      <c r="Q5733">
        <v>9.1071314677010906E-2</v>
      </c>
      <c r="R5733">
        <v>0.995345130795252</v>
      </c>
      <c r="S5733" t="s">
        <v>12185</v>
      </c>
      <c r="T5733" t="s">
        <v>12902</v>
      </c>
      <c r="U5733" t="s">
        <v>12902</v>
      </c>
      <c r="V5733" t="s">
        <v>12902</v>
      </c>
      <c r="W5733" t="s">
        <v>18584</v>
      </c>
      <c r="X5733">
        <v>5</v>
      </c>
      <c r="Y5733" t="s">
        <v>24872</v>
      </c>
      <c r="Z5733" t="s">
        <v>31308</v>
      </c>
      <c r="AA5733">
        <v>0.42434358600635141</v>
      </c>
      <c r="AB5733" t="str">
        <f>HYPERLINK("Melting_Curves/meltCurve_Q9NRY5_FAM114A2.pdf", "Melting_Curves/meltCurve_Q9NRY5_FAM114A2.pdf")</f>
        <v>Melting_Curves/meltCurve_Q9NRY5_FAM114A2.pdf</v>
      </c>
    </row>
    <row r="5734" spans="1:28" x14ac:dyDescent="0.25">
      <c r="A5734" t="s">
        <v>5738</v>
      </c>
      <c r="B5734">
        <v>0.99673306730245903</v>
      </c>
      <c r="C5734">
        <v>0.964037737343579</v>
      </c>
      <c r="D5734">
        <v>0.833997355222722</v>
      </c>
      <c r="E5734">
        <v>0.64852850067664503</v>
      </c>
      <c r="F5734">
        <v>0.250281785932295</v>
      </c>
      <c r="G5734">
        <v>0.149787230217375</v>
      </c>
      <c r="H5734">
        <v>9.7131751083416901E-2</v>
      </c>
      <c r="I5734">
        <v>0.110478022664866</v>
      </c>
      <c r="J5734">
        <v>0.13916594070311</v>
      </c>
      <c r="K5734">
        <v>0.130346433239585</v>
      </c>
      <c r="L5734">
        <v>1142.32864040459</v>
      </c>
      <c r="M5734">
        <v>22.8486572542094</v>
      </c>
      <c r="N5734">
        <v>50.529578053022902</v>
      </c>
      <c r="O5734">
        <v>49.617184669973703</v>
      </c>
      <c r="P5734">
        <v>-0.102775454232055</v>
      </c>
      <c r="Q5734">
        <v>0.10728547996205599</v>
      </c>
      <c r="R5734">
        <v>0.99234302159277299</v>
      </c>
      <c r="S5734" t="s">
        <v>12186</v>
      </c>
      <c r="T5734" t="s">
        <v>12902</v>
      </c>
      <c r="U5734" t="s">
        <v>12902</v>
      </c>
      <c r="V5734" t="s">
        <v>12902</v>
      </c>
      <c r="W5734" t="s">
        <v>18585</v>
      </c>
      <c r="X5734">
        <v>6</v>
      </c>
      <c r="Y5734" t="s">
        <v>24873</v>
      </c>
      <c r="Z5734" t="s">
        <v>31309</v>
      </c>
      <c r="AA5734">
        <v>0.41427577622706607</v>
      </c>
      <c r="AB5734" t="str">
        <f>HYPERLINK("Melting_Curves/meltCurve_Q9NRZ5_AGPAT4.pdf", "Melting_Curves/meltCurve_Q9NRZ5_AGPAT4.pdf")</f>
        <v>Melting_Curves/meltCurve_Q9NRZ5_AGPAT4.pdf</v>
      </c>
    </row>
    <row r="5735" spans="1:28" x14ac:dyDescent="0.25">
      <c r="A5735" t="s">
        <v>5739</v>
      </c>
      <c r="B5735">
        <v>0.99673306730245903</v>
      </c>
      <c r="C5735">
        <v>0.97228091925211801</v>
      </c>
      <c r="D5735">
        <v>0.89536933371932703</v>
      </c>
      <c r="E5735">
        <v>0.69600131834603596</v>
      </c>
      <c r="F5735">
        <v>0.244173095104636</v>
      </c>
      <c r="G5735">
        <v>0.13547047736696199</v>
      </c>
      <c r="H5735">
        <v>7.0654971384996795E-2</v>
      </c>
      <c r="I5735">
        <v>5.6646936589510602E-2</v>
      </c>
      <c r="J5735">
        <v>5.2490769319942003E-2</v>
      </c>
      <c r="K5735">
        <v>4.5551915590384497E-2</v>
      </c>
      <c r="L5735">
        <v>1289.9492433390001</v>
      </c>
      <c r="M5735">
        <v>25.409561161706701</v>
      </c>
      <c r="N5735">
        <v>50.987139321665801</v>
      </c>
      <c r="O5735">
        <v>50.454989632121702</v>
      </c>
      <c r="P5735">
        <v>-0.11934298779213499</v>
      </c>
      <c r="Q5735">
        <v>5.2109070768155102E-2</v>
      </c>
      <c r="R5735">
        <v>0.99691774230021002</v>
      </c>
      <c r="S5735" t="s">
        <v>12187</v>
      </c>
      <c r="T5735" t="s">
        <v>12902</v>
      </c>
      <c r="U5735" t="s">
        <v>12902</v>
      </c>
      <c r="V5735" t="s">
        <v>12902</v>
      </c>
      <c r="W5735" t="s">
        <v>18586</v>
      </c>
      <c r="X5735">
        <v>4</v>
      </c>
      <c r="Y5735" t="s">
        <v>24874</v>
      </c>
      <c r="Z5735" t="s">
        <v>31310</v>
      </c>
      <c r="AA5735">
        <v>0.40055582201453288</v>
      </c>
      <c r="AB5735" t="str">
        <f>HYPERLINK("Melting_Curves/meltCurve_Q9NRZ7_2_AGPAT3.pdf", "Melting_Curves/meltCurve_Q9NRZ7_2_AGPAT3.pdf")</f>
        <v>Melting_Curves/meltCurve_Q9NRZ7_2_AGPAT3.pdf</v>
      </c>
    </row>
    <row r="5736" spans="1:28" x14ac:dyDescent="0.25">
      <c r="A5736" t="s">
        <v>5740</v>
      </c>
      <c r="B5736">
        <v>0.99673306730245903</v>
      </c>
      <c r="C5736">
        <v>0.89082314029002896</v>
      </c>
      <c r="D5736">
        <v>0.46660294640607197</v>
      </c>
      <c r="E5736">
        <v>0.19323822775243699</v>
      </c>
      <c r="F5736">
        <v>0.142238991074501</v>
      </c>
      <c r="G5736">
        <v>8.7427093163725295E-2</v>
      </c>
      <c r="H5736">
        <v>6.2025300930687602E-2</v>
      </c>
      <c r="I5736">
        <v>5.59687131850094E-2</v>
      </c>
      <c r="J5736">
        <v>5.8689066645889798E-2</v>
      </c>
      <c r="K5736">
        <v>5.62443361458278E-2</v>
      </c>
      <c r="L5736">
        <v>1241.4821705367699</v>
      </c>
      <c r="M5736">
        <v>27.176663193416001</v>
      </c>
      <c r="N5736">
        <v>45.953490410697498</v>
      </c>
      <c r="O5736">
        <v>45.436724472548498</v>
      </c>
      <c r="P5736">
        <v>-0.13843859143522899</v>
      </c>
      <c r="Q5736">
        <v>7.4185776713758395E-2</v>
      </c>
      <c r="R5736">
        <v>0.99515474785304303</v>
      </c>
      <c r="S5736" t="s">
        <v>12188</v>
      </c>
      <c r="T5736" t="s">
        <v>12902</v>
      </c>
      <c r="U5736" t="s">
        <v>12902</v>
      </c>
      <c r="V5736" t="s">
        <v>12902</v>
      </c>
      <c r="W5736" t="s">
        <v>18587</v>
      </c>
      <c r="X5736">
        <v>30</v>
      </c>
      <c r="Y5736" t="s">
        <v>24875</v>
      </c>
      <c r="Z5736" t="s">
        <v>31311</v>
      </c>
      <c r="AA5736">
        <v>0.2567038702435066</v>
      </c>
      <c r="AB5736" t="str">
        <f>HYPERLINK("Melting_Curves/meltCurve_Q9NRZ9_2_HELLS.pdf", "Melting_Curves/meltCurve_Q9NRZ9_2_HELLS.pdf")</f>
        <v>Melting_Curves/meltCurve_Q9NRZ9_2_HELLS.pdf</v>
      </c>
    </row>
    <row r="5737" spans="1:28" x14ac:dyDescent="0.25">
      <c r="A5737" t="s">
        <v>5741</v>
      </c>
      <c r="B5737">
        <v>0.99673306730245903</v>
      </c>
      <c r="C5737">
        <v>0.993211142436351</v>
      </c>
      <c r="D5737">
        <v>0.95679785507763904</v>
      </c>
      <c r="E5737">
        <v>0.83899809084116295</v>
      </c>
      <c r="F5737">
        <v>0.59761354476819595</v>
      </c>
      <c r="G5737">
        <v>0.54634458485481097</v>
      </c>
      <c r="H5737">
        <v>0.61477023919171003</v>
      </c>
      <c r="I5737">
        <v>1.0244789146542499</v>
      </c>
      <c r="J5737">
        <v>1.4642770902615401</v>
      </c>
      <c r="K5737">
        <v>1.1178155095508999</v>
      </c>
      <c r="L5737">
        <v>15000</v>
      </c>
      <c r="M5737">
        <v>232.00780611984399</v>
      </c>
      <c r="O5737">
        <v>64.648193308265803</v>
      </c>
      <c r="P5737">
        <v>0.26111810795006501</v>
      </c>
      <c r="Q5737">
        <v>1.2910387221209301</v>
      </c>
      <c r="R5737">
        <v>0.13950242709298</v>
      </c>
      <c r="S5737" t="s">
        <v>12189</v>
      </c>
      <c r="T5737" t="s">
        <v>12902</v>
      </c>
      <c r="U5737" t="s">
        <v>12902</v>
      </c>
      <c r="V5737" t="s">
        <v>12902</v>
      </c>
      <c r="W5737" t="s">
        <v>18588</v>
      </c>
      <c r="X5737">
        <v>2</v>
      </c>
      <c r="Y5737" t="s">
        <v>24876</v>
      </c>
      <c r="Z5737" t="s">
        <v>31312</v>
      </c>
      <c r="AA5737">
        <v>1.051834485956022</v>
      </c>
      <c r="AB5737" t="str">
        <f>HYPERLINK("Melting_Curves/meltCurve_Q9NS18_GLRX2.pdf", "Melting_Curves/meltCurve_Q9NS18_GLRX2.pdf")</f>
        <v>Melting_Curves/meltCurve_Q9NS18_GLRX2.pdf</v>
      </c>
    </row>
    <row r="5738" spans="1:28" x14ac:dyDescent="0.25">
      <c r="A5738" t="s">
        <v>5742</v>
      </c>
      <c r="B5738">
        <v>0.99673306730245903</v>
      </c>
      <c r="C5738">
        <v>1.0688733576162599</v>
      </c>
      <c r="D5738">
        <v>0.92661812185122805</v>
      </c>
      <c r="E5738">
        <v>0.88204413397660597</v>
      </c>
      <c r="F5738">
        <v>0.75713612963028598</v>
      </c>
      <c r="G5738">
        <v>0.64186368454037102</v>
      </c>
      <c r="H5738">
        <v>0.57269681300983899</v>
      </c>
      <c r="I5738">
        <v>0.97791969049446303</v>
      </c>
      <c r="J5738">
        <v>1.1400906897135801</v>
      </c>
      <c r="K5738">
        <v>0.77970504215710101</v>
      </c>
      <c r="L5738">
        <v>1714.46983504881</v>
      </c>
      <c r="M5738">
        <v>36.199867343214301</v>
      </c>
      <c r="O5738">
        <v>47.217383185502399</v>
      </c>
      <c r="P5738">
        <v>-3.5376520678335403E-2</v>
      </c>
      <c r="Q5738">
        <v>0.81542677379858597</v>
      </c>
      <c r="R5738">
        <v>0.23371779574787599</v>
      </c>
      <c r="S5738" t="s">
        <v>12190</v>
      </c>
      <c r="T5738" t="s">
        <v>12902</v>
      </c>
      <c r="U5738" t="s">
        <v>12902</v>
      </c>
      <c r="V5738" t="s">
        <v>12902</v>
      </c>
      <c r="W5738" t="s">
        <v>18589</v>
      </c>
      <c r="X5738">
        <v>3</v>
      </c>
      <c r="Y5738" t="s">
        <v>24877</v>
      </c>
      <c r="Z5738" t="s">
        <v>31313</v>
      </c>
      <c r="AA5738">
        <v>0.86146253565978248</v>
      </c>
      <c r="AB5738" t="str">
        <f>HYPERLINK("Melting_Curves/meltCurve_Q9NS69_TOMM22.pdf", "Melting_Curves/meltCurve_Q9NS69_TOMM22.pdf")</f>
        <v>Melting_Curves/meltCurve_Q9NS69_TOMM22.pdf</v>
      </c>
    </row>
    <row r="5739" spans="1:28" x14ac:dyDescent="0.25">
      <c r="A5739" t="s">
        <v>5743</v>
      </c>
      <c r="B5739">
        <v>0.99673306730245903</v>
      </c>
      <c r="C5739">
        <v>0.892096064107892</v>
      </c>
      <c r="D5739">
        <v>0.80478998826583503</v>
      </c>
      <c r="E5739">
        <v>0.65004003796238696</v>
      </c>
      <c r="F5739">
        <v>0.44232443362351997</v>
      </c>
      <c r="G5739">
        <v>0.20487043404177199</v>
      </c>
      <c r="H5739">
        <v>9.1059918775950002E-2</v>
      </c>
      <c r="I5739">
        <v>7.6694779617258596E-2</v>
      </c>
      <c r="J5739">
        <v>9.8011063704725607E-2</v>
      </c>
      <c r="K5739">
        <v>9.9117978729067996E-2</v>
      </c>
      <c r="L5739">
        <v>695.89779187299303</v>
      </c>
      <c r="M5739">
        <v>13.5782933869217</v>
      </c>
      <c r="N5739">
        <v>51.538827383271901</v>
      </c>
      <c r="O5739">
        <v>50.1774648852005</v>
      </c>
      <c r="P5739">
        <v>-6.5188904521986599E-2</v>
      </c>
      <c r="Q5739">
        <v>3.65430962244064E-2</v>
      </c>
      <c r="R5739">
        <v>0.991011890468948</v>
      </c>
      <c r="S5739" t="s">
        <v>12191</v>
      </c>
      <c r="T5739" t="s">
        <v>12902</v>
      </c>
      <c r="U5739" t="s">
        <v>12902</v>
      </c>
      <c r="V5739" t="s">
        <v>12902</v>
      </c>
      <c r="W5739" t="s">
        <v>18590</v>
      </c>
      <c r="X5739">
        <v>1</v>
      </c>
      <c r="Y5739" t="s">
        <v>24878</v>
      </c>
      <c r="Z5739" t="s">
        <v>31314</v>
      </c>
      <c r="AA5739">
        <v>0.42369596141059462</v>
      </c>
      <c r="AB5739" t="str">
        <f>HYPERLINK("Melting_Curves/meltCurve_Q9NS73_5_MBIP.pdf", "Melting_Curves/meltCurve_Q9NS73_5_MBIP.pdf")</f>
        <v>Melting_Curves/meltCurve_Q9NS73_5_MBIP.pdf</v>
      </c>
    </row>
    <row r="5740" spans="1:28" x14ac:dyDescent="0.25">
      <c r="A5740" t="s">
        <v>5744</v>
      </c>
      <c r="B5740">
        <v>0.99673306730245903</v>
      </c>
      <c r="C5740">
        <v>0.98944376505345</v>
      </c>
      <c r="D5740">
        <v>0.93924058430815804</v>
      </c>
      <c r="E5740">
        <v>0.93577025172035999</v>
      </c>
      <c r="F5740">
        <v>0.78283318024314696</v>
      </c>
      <c r="G5740">
        <v>0.67492194933671401</v>
      </c>
      <c r="H5740">
        <v>0.47045463106357599</v>
      </c>
      <c r="I5740">
        <v>0.29565384576009002</v>
      </c>
      <c r="J5740">
        <v>0.128558615464898</v>
      </c>
      <c r="K5740">
        <v>0.12972791566815101</v>
      </c>
      <c r="L5740">
        <v>773.72209073800195</v>
      </c>
      <c r="M5740">
        <v>12.991120487696</v>
      </c>
      <c r="N5740">
        <v>59.557764309220403</v>
      </c>
      <c r="O5740">
        <v>58.199525473550104</v>
      </c>
      <c r="P5740">
        <v>-5.5814122456964398E-2</v>
      </c>
      <c r="Q5740">
        <v>0</v>
      </c>
      <c r="R5740">
        <v>0.99205874559193297</v>
      </c>
      <c r="S5740" t="s">
        <v>12192</v>
      </c>
      <c r="T5740" t="s">
        <v>12902</v>
      </c>
      <c r="U5740" t="s">
        <v>12902</v>
      </c>
      <c r="V5740" t="s">
        <v>12902</v>
      </c>
      <c r="W5740" t="s">
        <v>18591</v>
      </c>
      <c r="X5740">
        <v>18</v>
      </c>
      <c r="Y5740" t="s">
        <v>24879</v>
      </c>
      <c r="Z5740" t="s">
        <v>31315</v>
      </c>
      <c r="AA5740">
        <v>0.65851989363705377</v>
      </c>
      <c r="AB5740" t="str">
        <f>HYPERLINK("Melting_Curves/meltCurve_Q9NS86_LANCL2.pdf", "Melting_Curves/meltCurve_Q9NS86_LANCL2.pdf")</f>
        <v>Melting_Curves/meltCurve_Q9NS86_LANCL2.pdf</v>
      </c>
    </row>
    <row r="5741" spans="1:28" x14ac:dyDescent="0.25">
      <c r="A5741" t="s">
        <v>5745</v>
      </c>
      <c r="B5741">
        <v>0.99673306730245903</v>
      </c>
      <c r="C5741">
        <v>0.82534964351073903</v>
      </c>
      <c r="D5741">
        <v>0.37274871897117601</v>
      </c>
      <c r="E5741">
        <v>0.30037043611210301</v>
      </c>
      <c r="F5741">
        <v>0.22993055879240101</v>
      </c>
      <c r="G5741">
        <v>0.17680602623925201</v>
      </c>
      <c r="H5741">
        <v>9.4984390391253198E-2</v>
      </c>
      <c r="I5741">
        <v>7.6025351015212295E-2</v>
      </c>
      <c r="J5741">
        <v>8.3517220541294498E-2</v>
      </c>
      <c r="K5741">
        <v>8.0331984096964903E-2</v>
      </c>
      <c r="L5741">
        <v>995.32524232616299</v>
      </c>
      <c r="M5741">
        <v>22.088176818102902</v>
      </c>
      <c r="N5741">
        <v>45.630181825978397</v>
      </c>
      <c r="O5741">
        <v>44.696978217054898</v>
      </c>
      <c r="P5741">
        <v>-0.108680319916605</v>
      </c>
      <c r="Q5741">
        <v>0.12033028455447101</v>
      </c>
      <c r="R5741">
        <v>0.96615920194643201</v>
      </c>
      <c r="S5741" t="s">
        <v>12193</v>
      </c>
      <c r="T5741" t="s">
        <v>12902</v>
      </c>
      <c r="U5741" t="s">
        <v>12902</v>
      </c>
      <c r="V5741" t="s">
        <v>12902</v>
      </c>
      <c r="W5741" t="s">
        <v>18592</v>
      </c>
      <c r="X5741">
        <v>9</v>
      </c>
      <c r="Y5741" t="s">
        <v>24880</v>
      </c>
      <c r="Z5741" t="s">
        <v>31316</v>
      </c>
      <c r="AA5741">
        <v>0.28045100662859379</v>
      </c>
      <c r="AB5741" t="str">
        <f>HYPERLINK("Melting_Curves/meltCurve_Q9NS87_2_KIF15.pdf", "Melting_Curves/meltCurve_Q9NS87_2_KIF15.pdf")</f>
        <v>Melting_Curves/meltCurve_Q9NS87_2_KIF15.pdf</v>
      </c>
    </row>
    <row r="5742" spans="1:28" x14ac:dyDescent="0.25">
      <c r="A5742" t="s">
        <v>5746</v>
      </c>
      <c r="B5742">
        <v>0.99673306730245903</v>
      </c>
      <c r="C5742">
        <v>0.82324939302452405</v>
      </c>
      <c r="D5742">
        <v>0.547962264362298</v>
      </c>
      <c r="E5742">
        <v>0.36355636326356899</v>
      </c>
      <c r="F5742">
        <v>0.195561406857751</v>
      </c>
      <c r="G5742">
        <v>0.13720284735850199</v>
      </c>
      <c r="H5742">
        <v>8.9370032364266799E-2</v>
      </c>
      <c r="I5742">
        <v>0.108963330115907</v>
      </c>
      <c r="J5742">
        <v>0.12809269540336499</v>
      </c>
      <c r="K5742">
        <v>0.107333490809062</v>
      </c>
      <c r="L5742">
        <v>800.05161290896103</v>
      </c>
      <c r="M5742">
        <v>17.242193395524499</v>
      </c>
      <c r="N5742">
        <v>47.038544664453298</v>
      </c>
      <c r="O5742">
        <v>45.790127136812103</v>
      </c>
      <c r="P5742">
        <v>-8.4330348228256594E-2</v>
      </c>
      <c r="Q5742">
        <v>0.10422701088767</v>
      </c>
      <c r="R5742">
        <v>0.99325727526711605</v>
      </c>
      <c r="S5742" t="s">
        <v>12194</v>
      </c>
      <c r="T5742" t="s">
        <v>12902</v>
      </c>
      <c r="U5742" t="s">
        <v>12902</v>
      </c>
      <c r="V5742" t="s">
        <v>12902</v>
      </c>
      <c r="W5742" t="s">
        <v>18593</v>
      </c>
      <c r="X5742">
        <v>5</v>
      </c>
      <c r="Y5742" t="s">
        <v>24881</v>
      </c>
      <c r="Z5742" t="s">
        <v>31317</v>
      </c>
      <c r="AA5742">
        <v>0.3141489721372826</v>
      </c>
      <c r="AB5742" t="str">
        <f>HYPERLINK("Melting_Curves/meltCurve_Q9NS91_RAD18.pdf", "Melting_Curves/meltCurve_Q9NS91_RAD18.pdf")</f>
        <v>Melting_Curves/meltCurve_Q9NS91_RAD18.pdf</v>
      </c>
    </row>
    <row r="5743" spans="1:28" x14ac:dyDescent="0.25">
      <c r="A5743" t="s">
        <v>5747</v>
      </c>
      <c r="B5743">
        <v>0.99673306730245903</v>
      </c>
      <c r="C5743">
        <v>0.85114186171846495</v>
      </c>
      <c r="D5743">
        <v>0.76541672616562195</v>
      </c>
      <c r="E5743">
        <v>0.57975594050238599</v>
      </c>
      <c r="F5743">
        <v>0.38900982232682102</v>
      </c>
      <c r="G5743">
        <v>0.29610394813888602</v>
      </c>
      <c r="H5743">
        <v>0.17779026437967901</v>
      </c>
      <c r="I5743">
        <v>0.132657591105411</v>
      </c>
      <c r="J5743">
        <v>0.103731857481067</v>
      </c>
      <c r="K5743">
        <v>5.8699809301897998E-2</v>
      </c>
      <c r="L5743">
        <v>527.91563345920702</v>
      </c>
      <c r="M5743">
        <v>10.34947896758</v>
      </c>
      <c r="N5743">
        <v>51.221196577907897</v>
      </c>
      <c r="O5743">
        <v>49.2146961939862</v>
      </c>
      <c r="P5743">
        <v>-5.14913968645241E-2</v>
      </c>
      <c r="Q5743">
        <v>2.0993134239226399E-2</v>
      </c>
      <c r="R5743">
        <v>0.99563922842187402</v>
      </c>
      <c r="S5743" t="s">
        <v>12195</v>
      </c>
      <c r="T5743" t="s">
        <v>12902</v>
      </c>
      <c r="U5743" t="s">
        <v>12902</v>
      </c>
      <c r="V5743" t="s">
        <v>12902</v>
      </c>
      <c r="W5743" t="s">
        <v>18594</v>
      </c>
      <c r="X5743">
        <v>3</v>
      </c>
      <c r="Y5743" t="s">
        <v>24882</v>
      </c>
      <c r="Z5743" t="s">
        <v>31318</v>
      </c>
      <c r="AA5743">
        <v>0.41922597195000327</v>
      </c>
      <c r="AB5743" t="str">
        <f>HYPERLINK("Melting_Curves/meltCurve_Q9NS93_TM7SF3.pdf", "Melting_Curves/meltCurve_Q9NS93_TM7SF3.pdf")</f>
        <v>Melting_Curves/meltCurve_Q9NS93_TM7SF3.pdf</v>
      </c>
    </row>
    <row r="5744" spans="1:28" x14ac:dyDescent="0.25">
      <c r="A5744" t="s">
        <v>5748</v>
      </c>
      <c r="B5744">
        <v>0.99673306730245903</v>
      </c>
      <c r="C5744">
        <v>0.97720257737094995</v>
      </c>
      <c r="D5744">
        <v>0.94921576803505803</v>
      </c>
      <c r="E5744">
        <v>0.94727716658860395</v>
      </c>
      <c r="F5744">
        <v>0.78722287556177695</v>
      </c>
      <c r="G5744">
        <v>0.75080099467727701</v>
      </c>
      <c r="H5744">
        <v>0.43561863232632803</v>
      </c>
      <c r="I5744">
        <v>0.49918492883618598</v>
      </c>
      <c r="J5744">
        <v>0.651740217931711</v>
      </c>
      <c r="K5744">
        <v>0.58419617180235694</v>
      </c>
      <c r="L5744">
        <v>1225.8168699134401</v>
      </c>
      <c r="M5744">
        <v>22.6891515322564</v>
      </c>
      <c r="O5744">
        <v>53.612145208476697</v>
      </c>
      <c r="P5744">
        <v>-4.8006195802697597E-2</v>
      </c>
      <c r="Q5744">
        <v>0.54627415922129596</v>
      </c>
      <c r="R5744">
        <v>0.87970078928816697</v>
      </c>
      <c r="S5744" t="s">
        <v>12196</v>
      </c>
      <c r="T5744" t="s">
        <v>12902</v>
      </c>
      <c r="U5744" t="s">
        <v>12902</v>
      </c>
      <c r="V5744" t="s">
        <v>12902</v>
      </c>
      <c r="W5744" t="s">
        <v>18595</v>
      </c>
      <c r="X5744">
        <v>5</v>
      </c>
      <c r="Y5744" t="s">
        <v>24883</v>
      </c>
      <c r="Z5744" t="s">
        <v>31319</v>
      </c>
      <c r="AA5744">
        <v>0.76340481918167369</v>
      </c>
      <c r="AB5744" t="str">
        <f>HYPERLINK("Melting_Curves/meltCurve_Q9NSA3_CTNNBIP1.pdf", "Melting_Curves/meltCurve_Q9NSA3_CTNNBIP1.pdf")</f>
        <v>Melting_Curves/meltCurve_Q9NSA3_CTNNBIP1.pdf</v>
      </c>
    </row>
    <row r="5745" spans="1:28" x14ac:dyDescent="0.25">
      <c r="A5745" t="s">
        <v>5749</v>
      </c>
      <c r="B5745">
        <v>0.99673306730245903</v>
      </c>
      <c r="C5745">
        <v>0.91704546520558206</v>
      </c>
      <c r="D5745">
        <v>0.941199390184706</v>
      </c>
      <c r="E5745">
        <v>0.75069694541224796</v>
      </c>
      <c r="F5745">
        <v>0.26597237558599501</v>
      </c>
      <c r="G5745">
        <v>0.121990799126647</v>
      </c>
      <c r="H5745">
        <v>5.8425537005507899E-2</v>
      </c>
      <c r="I5745">
        <v>4.7601260204477802E-2</v>
      </c>
      <c r="J5745">
        <v>4.4489560023703301E-2</v>
      </c>
      <c r="K5745">
        <v>3.7177177620929001E-2</v>
      </c>
      <c r="L5745">
        <v>1482.41522280147</v>
      </c>
      <c r="M5745">
        <v>28.949975690933801</v>
      </c>
      <c r="N5745">
        <v>51.377889559698197</v>
      </c>
      <c r="O5745">
        <v>50.963631349965098</v>
      </c>
      <c r="P5745">
        <v>-0.13546353339112499</v>
      </c>
      <c r="Q5745">
        <v>4.61253894160236E-2</v>
      </c>
      <c r="R5745">
        <v>0.99485947692871801</v>
      </c>
      <c r="S5745" t="s">
        <v>12197</v>
      </c>
      <c r="T5745" t="s">
        <v>12902</v>
      </c>
      <c r="U5745" t="s">
        <v>12902</v>
      </c>
      <c r="V5745" t="s">
        <v>12902</v>
      </c>
      <c r="W5745" t="s">
        <v>18596</v>
      </c>
      <c r="X5745">
        <v>38</v>
      </c>
      <c r="Y5745" t="s">
        <v>24884</v>
      </c>
      <c r="Z5745" t="s">
        <v>31320</v>
      </c>
      <c r="AA5745">
        <v>0.40889367853962783</v>
      </c>
      <c r="AB5745" t="str">
        <f>HYPERLINK("Melting_Curves/meltCurve_Q9NSD9_FARSB.pdf", "Melting_Curves/meltCurve_Q9NSD9_FARSB.pdf")</f>
        <v>Melting_Curves/meltCurve_Q9NSD9_FARSB.pdf</v>
      </c>
    </row>
    <row r="5746" spans="1:28" x14ac:dyDescent="0.25">
      <c r="A5746" t="s">
        <v>5750</v>
      </c>
      <c r="B5746">
        <v>0.99673306730245903</v>
      </c>
      <c r="C5746">
        <v>0.92332934739656702</v>
      </c>
      <c r="D5746">
        <v>1.0298436632765</v>
      </c>
      <c r="E5746">
        <v>0.994327009162144</v>
      </c>
      <c r="F5746">
        <v>0.752913125117319</v>
      </c>
      <c r="G5746">
        <v>0.45141446303897798</v>
      </c>
      <c r="H5746">
        <v>0.113598446603702</v>
      </c>
      <c r="I5746">
        <v>9.2426128537577396E-2</v>
      </c>
      <c r="J5746">
        <v>8.6549037941275206E-2</v>
      </c>
      <c r="K5746">
        <v>6.8410286003871307E-2</v>
      </c>
      <c r="L5746">
        <v>1445.95270887629</v>
      </c>
      <c r="M5746">
        <v>25.9492051930008</v>
      </c>
      <c r="N5746">
        <v>55.993465137336898</v>
      </c>
      <c r="O5746">
        <v>55.394670798641698</v>
      </c>
      <c r="P5746">
        <v>-0.11020005387869</v>
      </c>
      <c r="Q5746">
        <v>5.9019591233224401E-2</v>
      </c>
      <c r="R5746">
        <v>0.99253590497723398</v>
      </c>
      <c r="S5746" t="s">
        <v>12198</v>
      </c>
      <c r="T5746" t="s">
        <v>12902</v>
      </c>
      <c r="U5746" t="s">
        <v>12902</v>
      </c>
      <c r="V5746" t="s">
        <v>12902</v>
      </c>
      <c r="W5746" t="s">
        <v>18597</v>
      </c>
      <c r="X5746">
        <v>48</v>
      </c>
      <c r="Y5746" t="s">
        <v>24885</v>
      </c>
      <c r="Z5746" t="s">
        <v>31321</v>
      </c>
      <c r="AA5746">
        <v>0.56029984081887141</v>
      </c>
      <c r="AB5746" t="str">
        <f>HYPERLINK("Melting_Curves/meltCurve_Q9NSE4_IARS2.pdf", "Melting_Curves/meltCurve_Q9NSE4_IARS2.pdf")</f>
        <v>Melting_Curves/meltCurve_Q9NSE4_IARS2.pdf</v>
      </c>
    </row>
    <row r="5747" spans="1:28" x14ac:dyDescent="0.25">
      <c r="A5747" t="s">
        <v>5751</v>
      </c>
      <c r="B5747">
        <v>0.99673306730245903</v>
      </c>
      <c r="C5747">
        <v>0.84251064963245603</v>
      </c>
      <c r="D5747">
        <v>0.665318628986862</v>
      </c>
      <c r="E5747">
        <v>0.35715500669998002</v>
      </c>
      <c r="F5747">
        <v>0.354612541310588</v>
      </c>
      <c r="G5747">
        <v>0.237735210399874</v>
      </c>
      <c r="H5747">
        <v>0.13293603180847199</v>
      </c>
      <c r="I5747">
        <v>0.13731407687396599</v>
      </c>
      <c r="J5747">
        <v>0.13028465974802</v>
      </c>
      <c r="K5747">
        <v>0.127815471110409</v>
      </c>
      <c r="L5747">
        <v>688.514379566044</v>
      </c>
      <c r="M5747">
        <v>14.5199403136931</v>
      </c>
      <c r="N5747">
        <v>48.403785941379297</v>
      </c>
      <c r="O5747">
        <v>46.546341415670902</v>
      </c>
      <c r="P5747">
        <v>-6.8016810500826405E-2</v>
      </c>
      <c r="Q5747">
        <v>0.12793863408702699</v>
      </c>
      <c r="R5747">
        <v>0.98248955613103595</v>
      </c>
      <c r="S5747" t="s">
        <v>12199</v>
      </c>
      <c r="T5747" t="s">
        <v>12902</v>
      </c>
      <c r="U5747" t="s">
        <v>12902</v>
      </c>
      <c r="V5747" t="s">
        <v>12902</v>
      </c>
      <c r="W5747" t="s">
        <v>18598</v>
      </c>
      <c r="X5747">
        <v>3</v>
      </c>
      <c r="Y5747" t="s">
        <v>24886</v>
      </c>
      <c r="Z5747" t="s">
        <v>31322</v>
      </c>
      <c r="AA5747">
        <v>0.36826933014419683</v>
      </c>
      <c r="AB5747" t="str">
        <f>HYPERLINK("Melting_Curves/meltCurve_Q9NSI2_2_FAM207A.pdf", "Melting_Curves/meltCurve_Q9NSI2_2_FAM207A.pdf")</f>
        <v>Melting_Curves/meltCurve_Q9NSI2_2_FAM207A.pdf</v>
      </c>
    </row>
    <row r="5748" spans="1:28" x14ac:dyDescent="0.25">
      <c r="A5748" t="s">
        <v>5752</v>
      </c>
      <c r="B5748">
        <v>0.99673306730245903</v>
      </c>
      <c r="C5748">
        <v>1.0279447166334399</v>
      </c>
      <c r="D5748">
        <v>0.95997694668730804</v>
      </c>
      <c r="E5748">
        <v>0.76415100499085897</v>
      </c>
      <c r="F5748">
        <v>0.54974750154498897</v>
      </c>
      <c r="G5748">
        <v>0.36064068914045799</v>
      </c>
      <c r="H5748">
        <v>0.25595778455257201</v>
      </c>
      <c r="I5748">
        <v>0.336675783643683</v>
      </c>
      <c r="J5748">
        <v>0.48409455563654902</v>
      </c>
      <c r="K5748">
        <v>0.57371960052277304</v>
      </c>
      <c r="L5748">
        <v>1518.3799849945599</v>
      </c>
      <c r="M5748">
        <v>30.102806950754299</v>
      </c>
      <c r="N5748">
        <v>53.363581680572203</v>
      </c>
      <c r="O5748">
        <v>50.218790037490002</v>
      </c>
      <c r="P5748">
        <v>-8.9329491886512805E-2</v>
      </c>
      <c r="Q5748">
        <v>0.40391071625167102</v>
      </c>
      <c r="R5748">
        <v>0.90690039483797702</v>
      </c>
      <c r="S5748" t="s">
        <v>12200</v>
      </c>
      <c r="T5748" t="s">
        <v>12902</v>
      </c>
      <c r="U5748" t="s">
        <v>12902</v>
      </c>
      <c r="V5748" t="s">
        <v>12902</v>
      </c>
      <c r="W5748" t="s">
        <v>18599</v>
      </c>
      <c r="X5748">
        <v>1</v>
      </c>
      <c r="Y5748" t="s">
        <v>24887</v>
      </c>
      <c r="Z5748" t="s">
        <v>31323</v>
      </c>
      <c r="AA5748">
        <v>0.61503408305134832</v>
      </c>
      <c r="AB5748" t="str">
        <f>HYPERLINK("Melting_Curves/meltCurve_Q9NSI8_2_SAMSN1.pdf", "Melting_Curves/meltCurve_Q9NSI8_2_SAMSN1.pdf")</f>
        <v>Melting_Curves/meltCurve_Q9NSI8_2_SAMSN1.pdf</v>
      </c>
    </row>
    <row r="5749" spans="1:28" x14ac:dyDescent="0.25">
      <c r="A5749" t="s">
        <v>5753</v>
      </c>
      <c r="B5749">
        <v>0.99673306730245903</v>
      </c>
      <c r="C5749">
        <v>0.91686526302414295</v>
      </c>
      <c r="D5749">
        <v>0.94562864188585005</v>
      </c>
      <c r="E5749">
        <v>0.49071701001567503</v>
      </c>
      <c r="F5749">
        <v>0.23495370878170899</v>
      </c>
      <c r="G5749">
        <v>0.16999238955318999</v>
      </c>
      <c r="H5749">
        <v>0.117572488668862</v>
      </c>
      <c r="I5749">
        <v>0.119963717587121</v>
      </c>
      <c r="J5749">
        <v>0.12696710670737399</v>
      </c>
      <c r="K5749">
        <v>0.112359888909263</v>
      </c>
      <c r="L5749">
        <v>1468.58222447913</v>
      </c>
      <c r="M5749">
        <v>29.839143039680099</v>
      </c>
      <c r="N5749">
        <v>49.707365489597898</v>
      </c>
      <c r="O5749">
        <v>48.997171492992301</v>
      </c>
      <c r="P5749">
        <v>-0.13282591282421699</v>
      </c>
      <c r="Q5749">
        <v>0.12758208882102101</v>
      </c>
      <c r="R5749">
        <v>0.99298601309317702</v>
      </c>
      <c r="S5749" t="s">
        <v>12201</v>
      </c>
      <c r="T5749" t="s">
        <v>12902</v>
      </c>
      <c r="U5749" t="s">
        <v>12902</v>
      </c>
      <c r="V5749" t="s">
        <v>12902</v>
      </c>
      <c r="W5749" t="s">
        <v>18600</v>
      </c>
      <c r="X5749">
        <v>25</v>
      </c>
      <c r="Y5749" t="s">
        <v>24888</v>
      </c>
      <c r="Z5749" t="s">
        <v>31324</v>
      </c>
      <c r="AA5749">
        <v>0.40099658722528159</v>
      </c>
      <c r="AB5749" t="str">
        <f>HYPERLINK("Melting_Curves/meltCurve_Q9NSK0_KLC4.pdf", "Melting_Curves/meltCurve_Q9NSK0_KLC4.pdf")</f>
        <v>Melting_Curves/meltCurve_Q9NSK0_KLC4.pdf</v>
      </c>
    </row>
    <row r="5750" spans="1:28" x14ac:dyDescent="0.25">
      <c r="A5750" t="s">
        <v>5754</v>
      </c>
      <c r="B5750">
        <v>0.99673306730245903</v>
      </c>
      <c r="C5750">
        <v>1.03427061863014</v>
      </c>
      <c r="D5750">
        <v>0.98416872817305301</v>
      </c>
      <c r="E5750">
        <v>0.87782952737455999</v>
      </c>
      <c r="F5750">
        <v>0.46753050169500499</v>
      </c>
      <c r="G5750">
        <v>0.23468277699323001</v>
      </c>
      <c r="H5750">
        <v>0.102573934783259</v>
      </c>
      <c r="I5750">
        <v>7.7751857699757607E-2</v>
      </c>
      <c r="J5750">
        <v>8.3651420495405998E-2</v>
      </c>
      <c r="K5750">
        <v>7.6491408135866107E-2</v>
      </c>
      <c r="L5750">
        <v>1401.09839081409</v>
      </c>
      <c r="M5750">
        <v>26.542201536552</v>
      </c>
      <c r="N5750">
        <v>53.1343405799823</v>
      </c>
      <c r="O5750">
        <v>52.490656162340798</v>
      </c>
      <c r="P5750">
        <v>-0.11636239486170601</v>
      </c>
      <c r="Q5750">
        <v>7.9522655945621606E-2</v>
      </c>
      <c r="R5750">
        <v>0.99787243602141695</v>
      </c>
      <c r="S5750" t="s">
        <v>12202</v>
      </c>
      <c r="T5750" t="s">
        <v>12902</v>
      </c>
      <c r="U5750" t="s">
        <v>12902</v>
      </c>
      <c r="V5750" t="s">
        <v>12902</v>
      </c>
      <c r="W5750" t="s">
        <v>18601</v>
      </c>
      <c r="X5750">
        <v>11</v>
      </c>
      <c r="Y5750" t="s">
        <v>24889</v>
      </c>
      <c r="Z5750" t="s">
        <v>31325</v>
      </c>
      <c r="AA5750">
        <v>0.47942865314113658</v>
      </c>
      <c r="AB5750" t="str">
        <f>HYPERLINK("Melting_Curves/meltCurve_Q9NT62_ATG3.pdf", "Melting_Curves/meltCurve_Q9NT62_ATG3.pdf")</f>
        <v>Melting_Curves/meltCurve_Q9NT62_ATG3.pdf</v>
      </c>
    </row>
    <row r="5751" spans="1:28" x14ac:dyDescent="0.25">
      <c r="A5751" t="s">
        <v>5755</v>
      </c>
      <c r="B5751">
        <v>0.99673306730245903</v>
      </c>
      <c r="C5751">
        <v>0.98631206538041705</v>
      </c>
      <c r="D5751">
        <v>0.86467977789939499</v>
      </c>
      <c r="E5751">
        <v>0.70721975875564402</v>
      </c>
      <c r="F5751">
        <v>0.30122639491293002</v>
      </c>
      <c r="G5751">
        <v>0.135197173389313</v>
      </c>
      <c r="H5751">
        <v>6.6291403257817599E-2</v>
      </c>
      <c r="I5751">
        <v>5.61993090222477E-2</v>
      </c>
      <c r="J5751">
        <v>6.7049390514852203E-2</v>
      </c>
      <c r="K5751">
        <v>5.8302861630377498E-2</v>
      </c>
      <c r="L5751">
        <v>1130.4226443182999</v>
      </c>
      <c r="M5751">
        <v>22.1650952523032</v>
      </c>
      <c r="N5751">
        <v>51.239029299429298</v>
      </c>
      <c r="O5751">
        <v>50.590435100739398</v>
      </c>
      <c r="P5751">
        <v>-0.10415711846257</v>
      </c>
      <c r="Q5751">
        <v>4.9092233229568703E-2</v>
      </c>
      <c r="R5751">
        <v>0.99647412026857896</v>
      </c>
      <c r="S5751" t="s">
        <v>12203</v>
      </c>
      <c r="T5751" t="s">
        <v>12902</v>
      </c>
      <c r="U5751" t="s">
        <v>12902</v>
      </c>
      <c r="V5751" t="s">
        <v>12902</v>
      </c>
      <c r="W5751" t="s">
        <v>18602</v>
      </c>
      <c r="X5751">
        <v>6</v>
      </c>
      <c r="Y5751" t="s">
        <v>24890</v>
      </c>
      <c r="Z5751" t="s">
        <v>31326</v>
      </c>
      <c r="AA5751">
        <v>0.40862169560193667</v>
      </c>
      <c r="AB5751" t="str">
        <f>HYPERLINK("Melting_Curves/meltCurve_Q9NTG7_SIRT3.pdf", "Melting_Curves/meltCurve_Q9NTG7_SIRT3.pdf")</f>
        <v>Melting_Curves/meltCurve_Q9NTG7_SIRT3.pdf</v>
      </c>
    </row>
    <row r="5752" spans="1:28" x14ac:dyDescent="0.25">
      <c r="A5752" t="s">
        <v>5756</v>
      </c>
      <c r="B5752">
        <v>0.99673306730245903</v>
      </c>
      <c r="C5752">
        <v>0.77370005020229604</v>
      </c>
      <c r="D5752">
        <v>0.66862591954223605</v>
      </c>
      <c r="E5752">
        <v>0.28055360136208701</v>
      </c>
      <c r="F5752">
        <v>0.144854868135326</v>
      </c>
      <c r="G5752">
        <v>7.6103375535586298E-2</v>
      </c>
      <c r="H5752">
        <v>4.9289320800936301E-2</v>
      </c>
      <c r="I5752">
        <v>4.4354081687427202E-2</v>
      </c>
      <c r="J5752">
        <v>4.4718861752098903E-2</v>
      </c>
      <c r="K5752">
        <v>3.8465507898727103E-2</v>
      </c>
      <c r="L5752">
        <v>821.813035703423</v>
      </c>
      <c r="M5752">
        <v>17.4782887493588</v>
      </c>
      <c r="N5752">
        <v>47.2030025039357</v>
      </c>
      <c r="O5752">
        <v>46.416526587932502</v>
      </c>
      <c r="P5752">
        <v>-9.1044480549566598E-2</v>
      </c>
      <c r="Q5752">
        <v>3.2917934031797401E-2</v>
      </c>
      <c r="R5752">
        <v>0.99016976009678204</v>
      </c>
      <c r="S5752" t="s">
        <v>12204</v>
      </c>
      <c r="T5752" t="s">
        <v>12902</v>
      </c>
      <c r="U5752" t="s">
        <v>12902</v>
      </c>
      <c r="V5752" t="s">
        <v>12902</v>
      </c>
      <c r="W5752" t="s">
        <v>18603</v>
      </c>
      <c r="X5752">
        <v>29</v>
      </c>
      <c r="Y5752" t="s">
        <v>24891</v>
      </c>
      <c r="Z5752" t="s">
        <v>31327</v>
      </c>
      <c r="AA5752">
        <v>0.27818453460314818</v>
      </c>
      <c r="AB5752" t="str">
        <f>HYPERLINK("Melting_Curves/meltCurve_Q9NTI5_2_PDS5B.pdf", "Melting_Curves/meltCurve_Q9NTI5_2_PDS5B.pdf")</f>
        <v>Melting_Curves/meltCurve_Q9NTI5_2_PDS5B.pdf</v>
      </c>
    </row>
    <row r="5753" spans="1:28" x14ac:dyDescent="0.25">
      <c r="A5753" t="s">
        <v>5757</v>
      </c>
      <c r="B5753">
        <v>0.99673306730245903</v>
      </c>
      <c r="C5753">
        <v>0.87969247357370395</v>
      </c>
      <c r="D5753">
        <v>0.88996256519296002</v>
      </c>
      <c r="E5753">
        <v>0.69915364892056497</v>
      </c>
      <c r="F5753">
        <v>0.16985244728886201</v>
      </c>
      <c r="G5753">
        <v>0.119410112644939</v>
      </c>
      <c r="H5753">
        <v>7.0201915453193903E-2</v>
      </c>
      <c r="I5753">
        <v>5.9311412363943897E-2</v>
      </c>
      <c r="J5753">
        <v>5.7569722985817903E-2</v>
      </c>
      <c r="K5753">
        <v>5.3643418527954102E-2</v>
      </c>
      <c r="L5753">
        <v>1632.9819338325599</v>
      </c>
      <c r="M5753">
        <v>32.337690943803302</v>
      </c>
      <c r="N5753">
        <v>50.6996136100895</v>
      </c>
      <c r="O5753">
        <v>50.305859736733403</v>
      </c>
      <c r="P5753">
        <v>-0.15100076980610599</v>
      </c>
      <c r="Q5753">
        <v>6.0392286692471202E-2</v>
      </c>
      <c r="R5753">
        <v>0.98460510702928195</v>
      </c>
      <c r="S5753" t="s">
        <v>12205</v>
      </c>
      <c r="T5753" t="s">
        <v>12902</v>
      </c>
      <c r="U5753" t="s">
        <v>12902</v>
      </c>
      <c r="V5753" t="s">
        <v>12902</v>
      </c>
      <c r="W5753" t="s">
        <v>18604</v>
      </c>
      <c r="X5753">
        <v>32</v>
      </c>
      <c r="Y5753" t="s">
        <v>24892</v>
      </c>
      <c r="Z5753" t="s">
        <v>31328</v>
      </c>
      <c r="AA5753">
        <v>0.39422275464202983</v>
      </c>
      <c r="AB5753" t="str">
        <f>HYPERLINK("Melting_Curves/meltCurve_Q9NTJ3_SMC4.pdf", "Melting_Curves/meltCurve_Q9NTJ3_SMC4.pdf")</f>
        <v>Melting_Curves/meltCurve_Q9NTJ3_SMC4.pdf</v>
      </c>
    </row>
    <row r="5754" spans="1:28" x14ac:dyDescent="0.25">
      <c r="A5754" t="s">
        <v>5758</v>
      </c>
      <c r="B5754">
        <v>0.99673306730245903</v>
      </c>
      <c r="C5754">
        <v>0.95487203833226997</v>
      </c>
      <c r="D5754">
        <v>1.0374439932250701</v>
      </c>
      <c r="E5754">
        <v>1.30635921589215</v>
      </c>
      <c r="F5754">
        <v>1.24099167820622</v>
      </c>
      <c r="G5754">
        <v>1.0795198191095201</v>
      </c>
      <c r="H5754">
        <v>0.42217449368612098</v>
      </c>
      <c r="I5754">
        <v>0.26472918303459397</v>
      </c>
      <c r="J5754">
        <v>0.24498250770723201</v>
      </c>
      <c r="K5754">
        <v>8.1719966198013305E-2</v>
      </c>
      <c r="L5754">
        <v>7106.0054806834896</v>
      </c>
      <c r="M5754">
        <v>117.812067262184</v>
      </c>
      <c r="N5754">
        <v>60.573425890466801</v>
      </c>
      <c r="O5754">
        <v>60.299077908378401</v>
      </c>
      <c r="P5754">
        <v>-0.39238265685124502</v>
      </c>
      <c r="Q5754">
        <v>0.19667617054817199</v>
      </c>
      <c r="R5754">
        <v>0.90366047127361404</v>
      </c>
      <c r="S5754" t="s">
        <v>12206</v>
      </c>
      <c r="T5754" t="s">
        <v>12902</v>
      </c>
      <c r="U5754" t="s">
        <v>12902</v>
      </c>
      <c r="V5754" t="s">
        <v>12902</v>
      </c>
      <c r="W5754" t="s">
        <v>18605</v>
      </c>
      <c r="X5754">
        <v>3</v>
      </c>
      <c r="Y5754" t="s">
        <v>24893</v>
      </c>
      <c r="Z5754" t="s">
        <v>31329</v>
      </c>
      <c r="AA5754">
        <v>0.74108228470020976</v>
      </c>
      <c r="AB5754" t="str">
        <f>HYPERLINK("Melting_Curves/meltCurve_Q9NTJ4_3_MAN2C1.pdf", "Melting_Curves/meltCurve_Q9NTJ4_3_MAN2C1.pdf")</f>
        <v>Melting_Curves/meltCurve_Q9NTJ4_3_MAN2C1.pdf</v>
      </c>
    </row>
    <row r="5755" spans="1:28" x14ac:dyDescent="0.25">
      <c r="A5755" t="s">
        <v>5759</v>
      </c>
      <c r="B5755">
        <v>0.99673306730245903</v>
      </c>
      <c r="C5755">
        <v>0.85596134811145097</v>
      </c>
      <c r="D5755">
        <v>0.81596866305071802</v>
      </c>
      <c r="E5755">
        <v>0.475804487217031</v>
      </c>
      <c r="F5755">
        <v>0.16407580683148401</v>
      </c>
      <c r="G5755">
        <v>9.64119457360786E-2</v>
      </c>
      <c r="H5755">
        <v>5.5066519328002002E-2</v>
      </c>
      <c r="I5755">
        <v>5.0935334781392901E-2</v>
      </c>
      <c r="J5755">
        <v>5.4733150689759799E-2</v>
      </c>
      <c r="K5755">
        <v>4.9952637356695202E-2</v>
      </c>
      <c r="L5755">
        <v>969.27300613300702</v>
      </c>
      <c r="M5755">
        <v>19.812139407783299</v>
      </c>
      <c r="N5755">
        <v>49.125271763770101</v>
      </c>
      <c r="O5755">
        <v>48.4329388050487</v>
      </c>
      <c r="P5755">
        <v>-9.8267104560025006E-2</v>
      </c>
      <c r="Q5755">
        <v>3.9133784334835303E-2</v>
      </c>
      <c r="R5755">
        <v>0.99214497961381098</v>
      </c>
      <c r="S5755" t="s">
        <v>12207</v>
      </c>
      <c r="T5755" t="s">
        <v>12902</v>
      </c>
      <c r="U5755" t="s">
        <v>12902</v>
      </c>
      <c r="V5755" t="s">
        <v>12902</v>
      </c>
      <c r="W5755" t="s">
        <v>18606</v>
      </c>
      <c r="X5755">
        <v>20</v>
      </c>
      <c r="Y5755" t="s">
        <v>24894</v>
      </c>
      <c r="Z5755" t="s">
        <v>31330</v>
      </c>
      <c r="AA5755">
        <v>0.3386645358156013</v>
      </c>
      <c r="AB5755" t="str">
        <f>HYPERLINK("Melting_Curves/meltCurve_Q9NTJ5_SACM1L.pdf", "Melting_Curves/meltCurve_Q9NTJ5_SACM1L.pdf")</f>
        <v>Melting_Curves/meltCurve_Q9NTJ5_SACM1L.pdf</v>
      </c>
    </row>
    <row r="5756" spans="1:28" x14ac:dyDescent="0.25">
      <c r="A5756" t="s">
        <v>5760</v>
      </c>
      <c r="B5756">
        <v>0.99673306730245903</v>
      </c>
      <c r="C5756">
        <v>0.98846070509756301</v>
      </c>
      <c r="D5756">
        <v>0.85647240600007601</v>
      </c>
      <c r="E5756">
        <v>0.92949987254251198</v>
      </c>
      <c r="F5756">
        <v>0.76461924802471903</v>
      </c>
      <c r="G5756">
        <v>0.66132076483714497</v>
      </c>
      <c r="H5756">
        <v>0.50234924150472005</v>
      </c>
      <c r="I5756">
        <v>1.0310368782161401</v>
      </c>
      <c r="J5756">
        <v>1.01075267980776</v>
      </c>
      <c r="K5756">
        <v>1.09080456576118</v>
      </c>
      <c r="L5756">
        <v>4857.0464010764099</v>
      </c>
      <c r="M5756">
        <v>110.775958149893</v>
      </c>
      <c r="O5756">
        <v>43.831410357679502</v>
      </c>
      <c r="P5756">
        <v>-9.1137147998611195E-2</v>
      </c>
      <c r="Q5756">
        <v>0.855756875230412</v>
      </c>
      <c r="R5756">
        <v>9.4631212871224807E-2</v>
      </c>
      <c r="S5756" t="s">
        <v>12208</v>
      </c>
      <c r="T5756" t="s">
        <v>12902</v>
      </c>
      <c r="U5756" t="s">
        <v>12902</v>
      </c>
      <c r="V5756" t="s">
        <v>12902</v>
      </c>
      <c r="W5756" t="s">
        <v>18607</v>
      </c>
      <c r="X5756">
        <v>18</v>
      </c>
      <c r="Y5756" t="s">
        <v>20347</v>
      </c>
      <c r="Z5756" t="s">
        <v>31331</v>
      </c>
      <c r="AA5756">
        <v>0.87430388889975796</v>
      </c>
      <c r="AB5756" t="str">
        <f>HYPERLINK("Melting_Curves/meltCurve_Q9NTK5_2_OLA1.pdf", "Melting_Curves/meltCurve_Q9NTK5_2_OLA1.pdf")</f>
        <v>Melting_Curves/meltCurve_Q9NTK5_2_OLA1.pdf</v>
      </c>
    </row>
    <row r="5757" spans="1:28" x14ac:dyDescent="0.25">
      <c r="A5757" t="s">
        <v>5761</v>
      </c>
      <c r="B5757">
        <v>0.99673306730245903</v>
      </c>
      <c r="C5757">
        <v>0.95641650260405697</v>
      </c>
      <c r="D5757">
        <v>1.0373566866197099</v>
      </c>
      <c r="E5757">
        <v>0.99101206098224104</v>
      </c>
      <c r="F5757">
        <v>0.81191219247087898</v>
      </c>
      <c r="G5757">
        <v>0.43914035830966702</v>
      </c>
      <c r="H5757">
        <v>0.119803286856014</v>
      </c>
      <c r="I5757">
        <v>8.7457595768408294E-2</v>
      </c>
      <c r="J5757">
        <v>7.1335878412098097E-2</v>
      </c>
      <c r="K5757">
        <v>4.8703920193254098E-2</v>
      </c>
      <c r="L5757">
        <v>1608.5765979565699</v>
      </c>
      <c r="M5757">
        <v>28.7482454876384</v>
      </c>
      <c r="N5757">
        <v>56.172454504715802</v>
      </c>
      <c r="O5757">
        <v>55.685254276758201</v>
      </c>
      <c r="P5757">
        <v>-0.122237725496636</v>
      </c>
      <c r="Q5757">
        <v>5.2911010718102003E-2</v>
      </c>
      <c r="R5757">
        <v>0.99735737805475599</v>
      </c>
      <c r="S5757" t="s">
        <v>12209</v>
      </c>
      <c r="T5757" t="s">
        <v>12902</v>
      </c>
      <c r="U5757" t="s">
        <v>12902</v>
      </c>
      <c r="V5757" t="s">
        <v>12902</v>
      </c>
      <c r="W5757" t="s">
        <v>18608</v>
      </c>
      <c r="X5757">
        <v>8</v>
      </c>
      <c r="Y5757" t="s">
        <v>24895</v>
      </c>
      <c r="Z5757" t="s">
        <v>31332</v>
      </c>
      <c r="AA5757">
        <v>0.56339393381330138</v>
      </c>
      <c r="AB5757" t="str">
        <f>HYPERLINK("Melting_Curves/meltCurve_Q9NTM9_CUTC.pdf", "Melting_Curves/meltCurve_Q9NTM9_CUTC.pdf")</f>
        <v>Melting_Curves/meltCurve_Q9NTM9_CUTC.pdf</v>
      </c>
    </row>
    <row r="5758" spans="1:28" x14ac:dyDescent="0.25">
      <c r="A5758" t="s">
        <v>5762</v>
      </c>
      <c r="B5758">
        <v>0.99673306730245903</v>
      </c>
      <c r="C5758">
        <v>1.0047406922667801</v>
      </c>
      <c r="D5758">
        <v>1.01281896677039</v>
      </c>
      <c r="E5758">
        <v>1.0492867326685</v>
      </c>
      <c r="F5758">
        <v>1.0203421426504899</v>
      </c>
      <c r="G5758">
        <v>0.865362871231806</v>
      </c>
      <c r="H5758">
        <v>0.71981224644148001</v>
      </c>
      <c r="I5758">
        <v>0.93758269992483001</v>
      </c>
      <c r="J5758">
        <v>1.0892580363462001</v>
      </c>
      <c r="K5758">
        <v>0.83975116670049599</v>
      </c>
      <c r="L5758">
        <v>13731.433430195</v>
      </c>
      <c r="M5758">
        <v>250</v>
      </c>
      <c r="O5758">
        <v>54.922206270830401</v>
      </c>
      <c r="P5758">
        <v>-0.12477850181970999</v>
      </c>
      <c r="Q5758">
        <v>0.89035020510686602</v>
      </c>
      <c r="R5758">
        <v>0.33331865809414302</v>
      </c>
      <c r="S5758" t="s">
        <v>12210</v>
      </c>
      <c r="T5758" t="s">
        <v>12902</v>
      </c>
      <c r="U5758" t="s">
        <v>12902</v>
      </c>
      <c r="V5758" t="s">
        <v>12902</v>
      </c>
      <c r="W5758" t="s">
        <v>18609</v>
      </c>
      <c r="X5758">
        <v>14</v>
      </c>
      <c r="Y5758" t="s">
        <v>24896</v>
      </c>
      <c r="Z5758" t="s">
        <v>31333</v>
      </c>
      <c r="AA5758">
        <v>0.94491422937189407</v>
      </c>
      <c r="AB5758" t="str">
        <f>HYPERLINK("Melting_Curves/meltCurve_Q9NTX5_2_ECHDC1.pdf", "Melting_Curves/meltCurve_Q9NTX5_2_ECHDC1.pdf")</f>
        <v>Melting_Curves/meltCurve_Q9NTX5_2_ECHDC1.pdf</v>
      </c>
    </row>
    <row r="5759" spans="1:28" x14ac:dyDescent="0.25">
      <c r="A5759" t="s">
        <v>5763</v>
      </c>
      <c r="B5759">
        <v>0.99673306730245903</v>
      </c>
      <c r="C5759">
        <v>0.99585601082808395</v>
      </c>
      <c r="D5759">
        <v>0.92557930239492403</v>
      </c>
      <c r="E5759">
        <v>0.61470296668185798</v>
      </c>
      <c r="F5759">
        <v>0.37379318784287402</v>
      </c>
      <c r="G5759">
        <v>0.197179756554416</v>
      </c>
      <c r="H5759">
        <v>0.12846237006261299</v>
      </c>
      <c r="I5759">
        <v>8.5360586660461799E-2</v>
      </c>
      <c r="J5759">
        <v>0.119260636747125</v>
      </c>
      <c r="K5759">
        <v>9.9319843338576894E-2</v>
      </c>
      <c r="L5759">
        <v>1013.2593949452601</v>
      </c>
      <c r="M5759">
        <v>19.978429445245499</v>
      </c>
      <c r="N5759">
        <v>51.270151766666601</v>
      </c>
      <c r="O5759">
        <v>50.217727121586599</v>
      </c>
      <c r="P5759">
        <v>-8.9829957454081094E-2</v>
      </c>
      <c r="Q5759">
        <v>9.6844155571833998E-2</v>
      </c>
      <c r="R5759">
        <v>0.99732220333362598</v>
      </c>
      <c r="S5759" t="s">
        <v>12211</v>
      </c>
      <c r="T5759" t="s">
        <v>12902</v>
      </c>
      <c r="U5759" t="s">
        <v>12902</v>
      </c>
      <c r="V5759" t="s">
        <v>12902</v>
      </c>
      <c r="W5759" t="s">
        <v>18610</v>
      </c>
      <c r="X5759">
        <v>2</v>
      </c>
      <c r="Y5759" t="s">
        <v>24897</v>
      </c>
      <c r="Z5759" t="s">
        <v>31334</v>
      </c>
      <c r="AA5759">
        <v>0.43207329083537682</v>
      </c>
      <c r="AB5759" t="str">
        <f>HYPERLINK("Melting_Curves/meltCurve_Q9NTX7_2_RNF146.pdf", "Melting_Curves/meltCurve_Q9NTX7_2_RNF146.pdf")</f>
        <v>Melting_Curves/meltCurve_Q9NTX7_2_RNF146.pdf</v>
      </c>
    </row>
    <row r="5760" spans="1:28" x14ac:dyDescent="0.25">
      <c r="A5760" t="s">
        <v>5764</v>
      </c>
      <c r="B5760">
        <v>0.99673306730245903</v>
      </c>
      <c r="C5760">
        <v>0.992457744460985</v>
      </c>
      <c r="D5760">
        <v>0.55369422760049303</v>
      </c>
      <c r="E5760">
        <v>0.33850674472860298</v>
      </c>
      <c r="F5760">
        <v>0.13720585096243301</v>
      </c>
      <c r="G5760">
        <v>9.4645978161130295E-2</v>
      </c>
      <c r="H5760">
        <v>6.2254789231291498E-2</v>
      </c>
      <c r="I5760">
        <v>5.6984228177280799E-2</v>
      </c>
      <c r="J5760">
        <v>4.94212163686839E-2</v>
      </c>
      <c r="K5760">
        <v>3.99067248905738E-2</v>
      </c>
      <c r="L5760">
        <v>1011.25700257766</v>
      </c>
      <c r="M5760">
        <v>21.509296193595901</v>
      </c>
      <c r="N5760">
        <v>47.286572937060299</v>
      </c>
      <c r="O5760">
        <v>46.614159225615502</v>
      </c>
      <c r="P5760">
        <v>-0.108655437400522</v>
      </c>
      <c r="Q5760">
        <v>5.8126644736034697E-2</v>
      </c>
      <c r="R5760">
        <v>0.98470701550787199</v>
      </c>
      <c r="S5760" t="s">
        <v>12212</v>
      </c>
      <c r="T5760" t="s">
        <v>12902</v>
      </c>
      <c r="U5760" t="s">
        <v>12902</v>
      </c>
      <c r="V5760" t="s">
        <v>12902</v>
      </c>
      <c r="W5760" t="s">
        <v>18611</v>
      </c>
      <c r="X5760">
        <v>20</v>
      </c>
      <c r="Y5760" t="s">
        <v>24898</v>
      </c>
      <c r="Z5760" t="s">
        <v>31335</v>
      </c>
      <c r="AA5760">
        <v>0.29009386635171469</v>
      </c>
      <c r="AB5760" t="str">
        <f>HYPERLINK("Melting_Curves/meltCurve_Q9NTZ6_RBM12.pdf", "Melting_Curves/meltCurve_Q9NTZ6_RBM12.pdf")</f>
        <v>Melting_Curves/meltCurve_Q9NTZ6_RBM12.pdf</v>
      </c>
    </row>
    <row r="5761" spans="1:28" x14ac:dyDescent="0.25">
      <c r="A5761" t="s">
        <v>5765</v>
      </c>
      <c r="B5761">
        <v>0.99673306730245903</v>
      </c>
      <c r="C5761">
        <v>0.99477997208997704</v>
      </c>
      <c r="D5761">
        <v>1.0007317541215399</v>
      </c>
      <c r="E5761">
        <v>0.81674459742690897</v>
      </c>
      <c r="F5761">
        <v>0.453010783346733</v>
      </c>
      <c r="G5761">
        <v>0.28367662257551202</v>
      </c>
      <c r="H5761">
        <v>0.229829936470692</v>
      </c>
      <c r="I5761">
        <v>0.18833259084919199</v>
      </c>
      <c r="J5761">
        <v>0.29172960486201899</v>
      </c>
      <c r="K5761">
        <v>0.26565283574297599</v>
      </c>
      <c r="L5761">
        <v>1602.3434265742601</v>
      </c>
      <c r="M5761">
        <v>31.1105457871341</v>
      </c>
      <c r="N5761">
        <v>52.6288336367383</v>
      </c>
      <c r="O5761">
        <v>51.293411570438003</v>
      </c>
      <c r="P5761">
        <v>-0.114827279170365</v>
      </c>
      <c r="Q5761">
        <v>0.24271962241725401</v>
      </c>
      <c r="R5761">
        <v>0.99395978495332904</v>
      </c>
      <c r="S5761" t="s">
        <v>12213</v>
      </c>
      <c r="T5761" t="s">
        <v>12902</v>
      </c>
      <c r="U5761" t="s">
        <v>12902</v>
      </c>
      <c r="V5761" t="s">
        <v>12902</v>
      </c>
      <c r="W5761" t="s">
        <v>18612</v>
      </c>
      <c r="X5761">
        <v>3</v>
      </c>
      <c r="Y5761" t="s">
        <v>24899</v>
      </c>
      <c r="Z5761" t="s">
        <v>31336</v>
      </c>
      <c r="AA5761">
        <v>0.53759712345192157</v>
      </c>
      <c r="AB5761" t="str">
        <f>HYPERLINK("Melting_Curves/meltCurve_Q9NU19_TBC1D22B.pdf", "Melting_Curves/meltCurve_Q9NU19_TBC1D22B.pdf")</f>
        <v>Melting_Curves/meltCurve_Q9NU19_TBC1D22B.pdf</v>
      </c>
    </row>
    <row r="5762" spans="1:28" x14ac:dyDescent="0.25">
      <c r="A5762" t="s">
        <v>5766</v>
      </c>
      <c r="B5762">
        <v>0.99673306730245903</v>
      </c>
      <c r="C5762">
        <v>0.88013095812104603</v>
      </c>
      <c r="D5762">
        <v>0.82195592456660804</v>
      </c>
      <c r="E5762">
        <v>0.64179256234068105</v>
      </c>
      <c r="F5762">
        <v>0.19891612972442599</v>
      </c>
      <c r="G5762">
        <v>0.13545831217986601</v>
      </c>
      <c r="H5762">
        <v>8.0997596526890897E-2</v>
      </c>
      <c r="I5762">
        <v>6.6701901212807294E-2</v>
      </c>
      <c r="J5762">
        <v>6.71954429431144E-2</v>
      </c>
      <c r="K5762">
        <v>5.8221795015326698E-2</v>
      </c>
      <c r="L5762">
        <v>984.09315573663798</v>
      </c>
      <c r="M5762">
        <v>19.683295406954201</v>
      </c>
      <c r="N5762">
        <v>50.263339521634201</v>
      </c>
      <c r="O5762">
        <v>49.488910065179901</v>
      </c>
      <c r="P5762">
        <v>-9.4500840240244896E-2</v>
      </c>
      <c r="Q5762">
        <v>4.9634850651974802E-2</v>
      </c>
      <c r="R5762">
        <v>0.98534479046509804</v>
      </c>
      <c r="S5762" t="s">
        <v>12214</v>
      </c>
      <c r="T5762" t="s">
        <v>12902</v>
      </c>
      <c r="U5762" t="s">
        <v>12902</v>
      </c>
      <c r="V5762" t="s">
        <v>12902</v>
      </c>
      <c r="W5762" t="s">
        <v>18613</v>
      </c>
      <c r="X5762">
        <v>49</v>
      </c>
      <c r="Y5762" t="s">
        <v>24900</v>
      </c>
      <c r="Z5762" t="s">
        <v>31337</v>
      </c>
      <c r="AA5762">
        <v>0.37995626123278148</v>
      </c>
      <c r="AB5762" t="str">
        <f>HYPERLINK("Melting_Curves/meltCurve_Q9NU22_MDN1.pdf", "Melting_Curves/meltCurve_Q9NU22_MDN1.pdf")</f>
        <v>Melting_Curves/meltCurve_Q9NU22_MDN1.pdf</v>
      </c>
    </row>
    <row r="5763" spans="1:28" x14ac:dyDescent="0.25">
      <c r="A5763" t="s">
        <v>5767</v>
      </c>
      <c r="B5763">
        <v>0.99673306730245903</v>
      </c>
      <c r="C5763">
        <v>1.05543156591632</v>
      </c>
      <c r="D5763">
        <v>0.97706106757948397</v>
      </c>
      <c r="E5763">
        <v>0.98979654436592002</v>
      </c>
      <c r="F5763">
        <v>0.71543799730090796</v>
      </c>
      <c r="G5763">
        <v>0.33420736298708298</v>
      </c>
      <c r="H5763">
        <v>9.9097450366725001E-2</v>
      </c>
      <c r="I5763">
        <v>6.6760838295131103E-2</v>
      </c>
      <c r="J5763">
        <v>6.4707820330731206E-2</v>
      </c>
      <c r="K5763">
        <v>5.9556068827260902E-2</v>
      </c>
      <c r="L5763">
        <v>1567.01093992146</v>
      </c>
      <c r="M5763">
        <v>28.526123985521</v>
      </c>
      <c r="N5763">
        <v>55.154613721049998</v>
      </c>
      <c r="O5763">
        <v>54.664662953574798</v>
      </c>
      <c r="P5763">
        <v>-0.123380535508102</v>
      </c>
      <c r="Q5763">
        <v>5.4270312626027599E-2</v>
      </c>
      <c r="R5763">
        <v>0.99715196749426604</v>
      </c>
      <c r="S5763" t="s">
        <v>12215</v>
      </c>
      <c r="T5763" t="s">
        <v>12902</v>
      </c>
      <c r="U5763" t="s">
        <v>12902</v>
      </c>
      <c r="V5763" t="s">
        <v>12902</v>
      </c>
      <c r="W5763" t="s">
        <v>18614</v>
      </c>
      <c r="X5763">
        <v>11</v>
      </c>
      <c r="Y5763" t="s">
        <v>24901</v>
      </c>
      <c r="Z5763" t="s">
        <v>31338</v>
      </c>
      <c r="AA5763">
        <v>0.53189827341154716</v>
      </c>
      <c r="AB5763" t="str">
        <f>HYPERLINK("Melting_Curves/meltCurve_Q9NU23_LYRM2.pdf", "Melting_Curves/meltCurve_Q9NU23_LYRM2.pdf")</f>
        <v>Melting_Curves/meltCurve_Q9NU23_LYRM2.pdf</v>
      </c>
    </row>
    <row r="5764" spans="1:28" x14ac:dyDescent="0.25">
      <c r="A5764" t="s">
        <v>5768</v>
      </c>
      <c r="B5764">
        <v>0.99673306730245903</v>
      </c>
      <c r="C5764">
        <v>1.02407611190403</v>
      </c>
      <c r="D5764">
        <v>0.97983446806021302</v>
      </c>
      <c r="E5764">
        <v>0.90801817445325195</v>
      </c>
      <c r="F5764">
        <v>0.56368338081017899</v>
      </c>
      <c r="G5764">
        <v>0.252040521464516</v>
      </c>
      <c r="H5764">
        <v>0.109554022737183</v>
      </c>
      <c r="I5764">
        <v>0.10708777490409201</v>
      </c>
      <c r="J5764">
        <v>0.12619874075149701</v>
      </c>
      <c r="K5764">
        <v>0.115324262241879</v>
      </c>
      <c r="L5764">
        <v>1515.21055460555</v>
      </c>
      <c r="M5764">
        <v>28.419287593423501</v>
      </c>
      <c r="N5764">
        <v>53.7739064367913</v>
      </c>
      <c r="O5764">
        <v>53.054379894952902</v>
      </c>
      <c r="P5764">
        <v>-0.119532506804005</v>
      </c>
      <c r="Q5764">
        <v>0.10741298549912499</v>
      </c>
      <c r="R5764">
        <v>0.99881956959969098</v>
      </c>
      <c r="S5764" t="s">
        <v>12216</v>
      </c>
      <c r="T5764" t="s">
        <v>12902</v>
      </c>
      <c r="U5764" t="s">
        <v>12902</v>
      </c>
      <c r="V5764" t="s">
        <v>12902</v>
      </c>
      <c r="W5764" t="s">
        <v>18615</v>
      </c>
      <c r="X5764">
        <v>18</v>
      </c>
      <c r="Y5764" t="s">
        <v>24902</v>
      </c>
      <c r="Z5764" t="s">
        <v>31339</v>
      </c>
      <c r="AA5764">
        <v>0.51006798592196412</v>
      </c>
      <c r="AB5764" t="str">
        <f>HYPERLINK("Melting_Curves/meltCurve_Q9NUB1_2_ACSS1.pdf", "Melting_Curves/meltCurve_Q9NUB1_2_ACSS1.pdf")</f>
        <v>Melting_Curves/meltCurve_Q9NUB1_2_ACSS1.pdf</v>
      </c>
    </row>
    <row r="5765" spans="1:28" x14ac:dyDescent="0.25">
      <c r="A5765" t="s">
        <v>5769</v>
      </c>
      <c r="B5765">
        <v>0.99673306730245903</v>
      </c>
      <c r="C5765">
        <v>1.02820370469603</v>
      </c>
      <c r="D5765">
        <v>1.1058945656169199</v>
      </c>
      <c r="E5765">
        <v>0.97567582633723005</v>
      </c>
      <c r="F5765">
        <v>0.48329057546542298</v>
      </c>
      <c r="G5765">
        <v>0.24589999173510499</v>
      </c>
      <c r="H5765">
        <v>0.15304626526306001</v>
      </c>
      <c r="I5765">
        <v>0.114396585939901</v>
      </c>
      <c r="J5765">
        <v>9.1043937872687303E-2</v>
      </c>
      <c r="K5765">
        <v>0.130559834301578</v>
      </c>
      <c r="L5765">
        <v>2080.9835949326498</v>
      </c>
      <c r="M5765">
        <v>39.381400448690997</v>
      </c>
      <c r="N5765">
        <v>53.257097961044003</v>
      </c>
      <c r="O5765">
        <v>52.706081761881201</v>
      </c>
      <c r="P5765">
        <v>-0.16210051606470799</v>
      </c>
      <c r="Q5765">
        <v>0.132213240854646</v>
      </c>
      <c r="R5765">
        <v>0.98816785878394198</v>
      </c>
      <c r="S5765" t="s">
        <v>12217</v>
      </c>
      <c r="T5765" t="s">
        <v>12902</v>
      </c>
      <c r="U5765" t="s">
        <v>12902</v>
      </c>
      <c r="V5765" t="s">
        <v>12902</v>
      </c>
      <c r="W5765" t="s">
        <v>18616</v>
      </c>
      <c r="X5765">
        <v>5</v>
      </c>
      <c r="Y5765" t="s">
        <v>24903</v>
      </c>
      <c r="Z5765" t="s">
        <v>31340</v>
      </c>
      <c r="AA5765">
        <v>0.50694492901740151</v>
      </c>
      <c r="AB5765" t="str">
        <f>HYPERLINK("Melting_Curves/meltCurve_Q9NUD5_ZCCHC3.pdf", "Melting_Curves/meltCurve_Q9NUD5_ZCCHC3.pdf")</f>
        <v>Melting_Curves/meltCurve_Q9NUD5_ZCCHC3.pdf</v>
      </c>
    </row>
    <row r="5766" spans="1:28" x14ac:dyDescent="0.25">
      <c r="A5766" t="s">
        <v>5770</v>
      </c>
      <c r="B5766">
        <v>0.99673306730245903</v>
      </c>
      <c r="C5766">
        <v>0.98341687299744396</v>
      </c>
      <c r="D5766">
        <v>0.90983432764636696</v>
      </c>
      <c r="E5766">
        <v>0.78264049858608498</v>
      </c>
      <c r="F5766">
        <v>0.71302572750108795</v>
      </c>
      <c r="G5766">
        <v>0.48318166095394699</v>
      </c>
      <c r="H5766">
        <v>0.21596783026216201</v>
      </c>
      <c r="I5766">
        <v>0.20866124115309301</v>
      </c>
      <c r="J5766">
        <v>0.29366903624114299</v>
      </c>
      <c r="K5766">
        <v>0.231019902344821</v>
      </c>
      <c r="L5766">
        <v>818.99599494662095</v>
      </c>
      <c r="M5766">
        <v>15.1319825117027</v>
      </c>
      <c r="N5766">
        <v>55.806372390950898</v>
      </c>
      <c r="O5766">
        <v>53.204661619403403</v>
      </c>
      <c r="P5766">
        <v>-5.8082985533970503E-2</v>
      </c>
      <c r="Q5766">
        <v>0.18319124808270401</v>
      </c>
      <c r="R5766">
        <v>0.97288247099811298</v>
      </c>
      <c r="S5766" t="s">
        <v>12218</v>
      </c>
      <c r="T5766" t="s">
        <v>12902</v>
      </c>
      <c r="U5766" t="s">
        <v>12902</v>
      </c>
      <c r="V5766" t="s">
        <v>12902</v>
      </c>
      <c r="W5766" t="s">
        <v>18617</v>
      </c>
      <c r="X5766">
        <v>1</v>
      </c>
      <c r="Y5766" t="s">
        <v>24904</v>
      </c>
      <c r="Z5766" t="s">
        <v>31341</v>
      </c>
      <c r="AA5766">
        <v>0.58419951231080047</v>
      </c>
      <c r="AB5766" t="str">
        <f>HYPERLINK("Melting_Curves/meltCurve_Q9NUG6_PDRG1.pdf", "Melting_Curves/meltCurve_Q9NUG6_PDRG1.pdf")</f>
        <v>Melting_Curves/meltCurve_Q9NUG6_PDRG1.pdf</v>
      </c>
    </row>
    <row r="5767" spans="1:28" x14ac:dyDescent="0.25">
      <c r="A5767" t="s">
        <v>5771</v>
      </c>
      <c r="B5767">
        <v>0.99673306730245903</v>
      </c>
      <c r="C5767">
        <v>1.0122973202793599</v>
      </c>
      <c r="D5767">
        <v>0.97956418866351402</v>
      </c>
      <c r="E5767">
        <v>1.01401872781828</v>
      </c>
      <c r="F5767">
        <v>0.95667674488501597</v>
      </c>
      <c r="G5767">
        <v>0.91083635581861599</v>
      </c>
      <c r="H5767">
        <v>0.66443448198097699</v>
      </c>
      <c r="I5767">
        <v>0.668986176287787</v>
      </c>
      <c r="J5767">
        <v>0.29488961754385501</v>
      </c>
      <c r="K5767">
        <v>0.12121731950751199</v>
      </c>
      <c r="L5767">
        <v>1209.8902072190001</v>
      </c>
      <c r="M5767">
        <v>18.772004303206401</v>
      </c>
      <c r="N5767">
        <v>64.451839632233998</v>
      </c>
      <c r="O5767">
        <v>63.7337828128667</v>
      </c>
      <c r="P5767">
        <v>-7.3637510928980507E-2</v>
      </c>
      <c r="Q5767">
        <v>0</v>
      </c>
      <c r="R5767">
        <v>0.96450194483886098</v>
      </c>
      <c r="S5767" t="s">
        <v>12219</v>
      </c>
      <c r="T5767" t="s">
        <v>12902</v>
      </c>
      <c r="U5767" t="s">
        <v>12902</v>
      </c>
      <c r="V5767" t="s">
        <v>12902</v>
      </c>
      <c r="W5767" t="s">
        <v>18618</v>
      </c>
      <c r="X5767">
        <v>17</v>
      </c>
      <c r="Y5767" t="s">
        <v>24905</v>
      </c>
      <c r="Z5767" t="s">
        <v>31342</v>
      </c>
      <c r="AA5767">
        <v>0.80435053655846644</v>
      </c>
      <c r="AB5767" t="str">
        <f>HYPERLINK("Melting_Curves/meltCurve_Q9NUJ1_ABHD10.pdf", "Melting_Curves/meltCurve_Q9NUJ1_ABHD10.pdf")</f>
        <v>Melting_Curves/meltCurve_Q9NUJ1_ABHD10.pdf</v>
      </c>
    </row>
    <row r="5768" spans="1:28" x14ac:dyDescent="0.25">
      <c r="A5768" t="s">
        <v>5772</v>
      </c>
      <c r="B5768">
        <v>0.99673306730245903</v>
      </c>
      <c r="C5768">
        <v>0.969480087609493</v>
      </c>
      <c r="D5768">
        <v>0.92472137629073803</v>
      </c>
      <c r="E5768">
        <v>0.76964310888267096</v>
      </c>
      <c r="F5768">
        <v>0.55423241265884504</v>
      </c>
      <c r="G5768">
        <v>0.36959685571840201</v>
      </c>
      <c r="H5768">
        <v>0.35666032862598601</v>
      </c>
      <c r="I5768">
        <v>0.36641596082429301</v>
      </c>
      <c r="J5768">
        <v>0.54325478174492503</v>
      </c>
      <c r="K5768">
        <v>0.713174629975866</v>
      </c>
      <c r="L5768">
        <v>1583.65695406846</v>
      </c>
      <c r="M5768">
        <v>31.771602981530101</v>
      </c>
      <c r="N5768">
        <v>54.808672485452298</v>
      </c>
      <c r="O5768">
        <v>49.6488221489073</v>
      </c>
      <c r="P5768">
        <v>-8.44935541371689E-2</v>
      </c>
      <c r="Q5768">
        <v>0.471857470450042</v>
      </c>
      <c r="R5768">
        <v>0.82132190613237099</v>
      </c>
      <c r="S5768" t="s">
        <v>12220</v>
      </c>
      <c r="T5768" t="s">
        <v>12902</v>
      </c>
      <c r="U5768" t="s">
        <v>12902</v>
      </c>
      <c r="V5768" t="s">
        <v>12902</v>
      </c>
      <c r="W5768" t="s">
        <v>18619</v>
      </c>
      <c r="X5768">
        <v>1</v>
      </c>
      <c r="Y5768" t="s">
        <v>24906</v>
      </c>
      <c r="Z5768" t="s">
        <v>31343</v>
      </c>
      <c r="AA5768">
        <v>0.64807777633142138</v>
      </c>
      <c r="AB5768" t="str">
        <f>HYPERLINK("Melting_Curves/meltCurve_Q9NUL5_3_C19orf66.pdf", "Melting_Curves/meltCurve_Q9NUL5_3_C19orf66.pdf")</f>
        <v>Melting_Curves/meltCurve_Q9NUL5_3_C19orf66.pdf</v>
      </c>
    </row>
    <row r="5769" spans="1:28" x14ac:dyDescent="0.25">
      <c r="A5769" t="s">
        <v>5773</v>
      </c>
      <c r="B5769">
        <v>0.99673306730245903</v>
      </c>
      <c r="C5769">
        <v>0.90245209964495099</v>
      </c>
      <c r="D5769">
        <v>0.70453504062021</v>
      </c>
      <c r="E5769">
        <v>0.35623571509895502</v>
      </c>
      <c r="F5769">
        <v>0.23161720981454501</v>
      </c>
      <c r="G5769">
        <v>0.135413063686744</v>
      </c>
      <c r="H5769">
        <v>0.12341392899985799</v>
      </c>
      <c r="I5769">
        <v>0.12783425167537399</v>
      </c>
      <c r="J5769">
        <v>7.1316726929219407E-2</v>
      </c>
      <c r="K5769">
        <v>0</v>
      </c>
      <c r="L5769">
        <v>863.23266272843398</v>
      </c>
      <c r="M5769">
        <v>18.056022861665699</v>
      </c>
      <c r="N5769">
        <v>48.2434137336558</v>
      </c>
      <c r="O5769">
        <v>47.233719395366997</v>
      </c>
      <c r="P5769">
        <v>-8.8394855161236102E-2</v>
      </c>
      <c r="Q5769">
        <v>7.50977153664842E-2</v>
      </c>
      <c r="R5769">
        <v>0.99026039157120305</v>
      </c>
      <c r="S5769" t="s">
        <v>12221</v>
      </c>
      <c r="T5769" t="s">
        <v>12902</v>
      </c>
      <c r="U5769" t="s">
        <v>12902</v>
      </c>
      <c r="V5769" t="s">
        <v>12902</v>
      </c>
      <c r="W5769" t="s">
        <v>18620</v>
      </c>
      <c r="X5769">
        <v>1</v>
      </c>
      <c r="Y5769" t="s">
        <v>24907</v>
      </c>
      <c r="Z5769" t="s">
        <v>31344</v>
      </c>
      <c r="AA5769">
        <v>0.33223919874613123</v>
      </c>
      <c r="AB5769" t="str">
        <f>HYPERLINK("Melting_Curves/meltCurve_Q9NUL7_DDX28.pdf", "Melting_Curves/meltCurve_Q9NUL7_DDX28.pdf")</f>
        <v>Melting_Curves/meltCurve_Q9NUL7_DDX28.pdf</v>
      </c>
    </row>
    <row r="5770" spans="1:28" x14ac:dyDescent="0.25">
      <c r="A5770" t="s">
        <v>5774</v>
      </c>
      <c r="B5770">
        <v>0.99673306730245903</v>
      </c>
      <c r="C5770">
        <v>0.97003506247509597</v>
      </c>
      <c r="D5770">
        <v>1.0117855364705099</v>
      </c>
      <c r="E5770">
        <v>0.93498330938039798</v>
      </c>
      <c r="F5770">
        <v>0.74009236017021596</v>
      </c>
      <c r="G5770">
        <v>0.786530345257902</v>
      </c>
      <c r="H5770">
        <v>0.65470864520504402</v>
      </c>
      <c r="I5770">
        <v>0.58272518843487198</v>
      </c>
      <c r="J5770">
        <v>0.40463514498449699</v>
      </c>
      <c r="K5770">
        <v>0.315278378390414</v>
      </c>
      <c r="L5770">
        <v>523.52474221741204</v>
      </c>
      <c r="M5770">
        <v>8.0853541457298892</v>
      </c>
      <c r="N5770">
        <v>64.749758670400496</v>
      </c>
      <c r="O5770">
        <v>61.149731701185701</v>
      </c>
      <c r="P5770">
        <v>-3.3091491205261801E-2</v>
      </c>
      <c r="Q5770">
        <v>0</v>
      </c>
      <c r="R5770">
        <v>0.95976418586316603</v>
      </c>
      <c r="S5770" t="s">
        <v>12222</v>
      </c>
      <c r="T5770" t="s">
        <v>12902</v>
      </c>
      <c r="U5770" t="s">
        <v>12902</v>
      </c>
      <c r="V5770" t="s">
        <v>12902</v>
      </c>
      <c r="W5770" t="s">
        <v>18621</v>
      </c>
      <c r="X5770">
        <v>4</v>
      </c>
      <c r="Y5770" t="s">
        <v>24908</v>
      </c>
      <c r="Z5770" t="s">
        <v>31345</v>
      </c>
      <c r="AA5770">
        <v>0.75408431227934436</v>
      </c>
      <c r="AB5770" t="str">
        <f>HYPERLINK("Melting_Curves/meltCurve_Q9NUM4_TMEM106B.pdf", "Melting_Curves/meltCurve_Q9NUM4_TMEM106B.pdf")</f>
        <v>Melting_Curves/meltCurve_Q9NUM4_TMEM106B.pdf</v>
      </c>
    </row>
    <row r="5771" spans="1:28" x14ac:dyDescent="0.25">
      <c r="A5771" t="s">
        <v>5775</v>
      </c>
      <c r="B5771">
        <v>0.99673306730245903</v>
      </c>
      <c r="C5771">
        <v>0.91829301998499202</v>
      </c>
      <c r="D5771">
        <v>1.1179924335887399</v>
      </c>
      <c r="E5771">
        <v>0.80459051405181203</v>
      </c>
      <c r="F5771">
        <v>0.79543506625411198</v>
      </c>
      <c r="G5771">
        <v>0.68403222980022704</v>
      </c>
      <c r="H5771">
        <v>0.71041551044641904</v>
      </c>
      <c r="I5771">
        <v>0.77632843492758796</v>
      </c>
      <c r="J5771">
        <v>0.71873231413117999</v>
      </c>
      <c r="K5771">
        <v>0.52410993418484797</v>
      </c>
      <c r="L5771">
        <v>7744.6465451725398</v>
      </c>
      <c r="M5771">
        <v>156.781468332608</v>
      </c>
      <c r="O5771">
        <v>49.389656322239098</v>
      </c>
      <c r="P5771">
        <v>-0.236882295626337</v>
      </c>
      <c r="Q5771">
        <v>0.70150704980575695</v>
      </c>
      <c r="R5771">
        <v>0.74000724016459396</v>
      </c>
      <c r="S5771" t="s">
        <v>12223</v>
      </c>
      <c r="T5771" t="s">
        <v>12902</v>
      </c>
      <c r="U5771" t="s">
        <v>12902</v>
      </c>
      <c r="V5771" t="s">
        <v>12902</v>
      </c>
      <c r="W5771" t="s">
        <v>18622</v>
      </c>
      <c r="X5771">
        <v>2</v>
      </c>
      <c r="Y5771" t="s">
        <v>24909</v>
      </c>
      <c r="Z5771" t="s">
        <v>31346</v>
      </c>
      <c r="AA5771">
        <v>0.79507794112593111</v>
      </c>
      <c r="AB5771" t="str">
        <f>HYPERLINK("Melting_Curves/meltCurve_Q9NUN5_3_LMBRD1.pdf", "Melting_Curves/meltCurve_Q9NUN5_3_LMBRD1.pdf")</f>
        <v>Melting_Curves/meltCurve_Q9NUN5_3_LMBRD1.pdf</v>
      </c>
    </row>
    <row r="5772" spans="1:28" x14ac:dyDescent="0.25">
      <c r="A5772" t="s">
        <v>5776</v>
      </c>
      <c r="B5772">
        <v>0.99673306730245903</v>
      </c>
      <c r="C5772">
        <v>1.0123443742596201</v>
      </c>
      <c r="D5772">
        <v>0.94596540047494504</v>
      </c>
      <c r="E5772">
        <v>0.87279531141296096</v>
      </c>
      <c r="F5772">
        <v>0.77122466135495804</v>
      </c>
      <c r="G5772">
        <v>0.45967108351960201</v>
      </c>
      <c r="H5772">
        <v>0.186276001405285</v>
      </c>
      <c r="I5772">
        <v>0.14682371447936499</v>
      </c>
      <c r="J5772">
        <v>0.18170020533967601</v>
      </c>
      <c r="K5772">
        <v>0.14999513916908699</v>
      </c>
      <c r="L5772">
        <v>1205.93897772632</v>
      </c>
      <c r="M5772">
        <v>21.8006820275995</v>
      </c>
      <c r="N5772">
        <v>56.0696957328895</v>
      </c>
      <c r="O5772">
        <v>54.8574432315867</v>
      </c>
      <c r="P5772">
        <v>-8.6743717170037996E-2</v>
      </c>
      <c r="Q5772">
        <v>0.126921259661011</v>
      </c>
      <c r="R5772">
        <v>0.99132616457185496</v>
      </c>
      <c r="S5772" t="s">
        <v>12224</v>
      </c>
      <c r="T5772" t="s">
        <v>12902</v>
      </c>
      <c r="U5772" t="s">
        <v>12902</v>
      </c>
      <c r="V5772" t="s">
        <v>12902</v>
      </c>
      <c r="W5772" t="s">
        <v>18623</v>
      </c>
      <c r="X5772">
        <v>3</v>
      </c>
      <c r="Y5772" t="s">
        <v>24910</v>
      </c>
      <c r="Z5772" t="s">
        <v>31347</v>
      </c>
      <c r="AA5772">
        <v>0.58278493303970602</v>
      </c>
      <c r="AB5772" t="str">
        <f>HYPERLINK("Melting_Curves/meltCurve_Q9NUP1_BLOC1S4.pdf", "Melting_Curves/meltCurve_Q9NUP1_BLOC1S4.pdf")</f>
        <v>Melting_Curves/meltCurve_Q9NUP1_BLOC1S4.pdf</v>
      </c>
    </row>
    <row r="5773" spans="1:28" x14ac:dyDescent="0.25">
      <c r="A5773" t="s">
        <v>5777</v>
      </c>
      <c r="B5773">
        <v>0.99673306730245903</v>
      </c>
      <c r="C5773">
        <v>0.95707013372947003</v>
      </c>
      <c r="D5773">
        <v>0.84742194201349896</v>
      </c>
      <c r="E5773">
        <v>0.56275828818865703</v>
      </c>
      <c r="F5773">
        <v>0.25264086941019698</v>
      </c>
      <c r="G5773">
        <v>0.16744670650629601</v>
      </c>
      <c r="H5773">
        <v>0.116893527136456</v>
      </c>
      <c r="I5773">
        <v>9.1254013660043598E-2</v>
      </c>
      <c r="J5773">
        <v>0.104882642065547</v>
      </c>
      <c r="K5773">
        <v>8.3172431475769498E-2</v>
      </c>
      <c r="L5773">
        <v>1027.0161970450199</v>
      </c>
      <c r="M5773">
        <v>20.687207230229099</v>
      </c>
      <c r="N5773">
        <v>50.130604463014201</v>
      </c>
      <c r="O5773">
        <v>49.188068656485299</v>
      </c>
      <c r="P5773">
        <v>-9.5599464342596696E-2</v>
      </c>
      <c r="Q5773">
        <v>9.0796590167642702E-2</v>
      </c>
      <c r="R5773">
        <v>0.99909064182395702</v>
      </c>
      <c r="S5773" t="s">
        <v>12225</v>
      </c>
      <c r="T5773" t="s">
        <v>12902</v>
      </c>
      <c r="U5773" t="s">
        <v>12902</v>
      </c>
      <c r="V5773" t="s">
        <v>12902</v>
      </c>
      <c r="W5773" t="s">
        <v>18624</v>
      </c>
      <c r="X5773">
        <v>7</v>
      </c>
      <c r="Y5773" t="s">
        <v>24911</v>
      </c>
      <c r="Z5773" t="s">
        <v>31348</v>
      </c>
      <c r="AA5773">
        <v>0.39496038198794547</v>
      </c>
      <c r="AB5773" t="str">
        <f>HYPERLINK("Melting_Curves/meltCurve_Q9NUP7_TRMT13.pdf", "Melting_Curves/meltCurve_Q9NUP7_TRMT13.pdf")</f>
        <v>Melting_Curves/meltCurve_Q9NUP7_TRMT13.pdf</v>
      </c>
    </row>
    <row r="5774" spans="1:28" x14ac:dyDescent="0.25">
      <c r="A5774" t="s">
        <v>5778</v>
      </c>
      <c r="B5774">
        <v>0.99673306730245903</v>
      </c>
      <c r="C5774">
        <v>0.98313743915276997</v>
      </c>
      <c r="D5774">
        <v>0.90470481239092204</v>
      </c>
      <c r="E5774">
        <v>0.72035311406470104</v>
      </c>
      <c r="F5774">
        <v>0.53676867680292595</v>
      </c>
      <c r="G5774">
        <v>0.36030873522494999</v>
      </c>
      <c r="H5774">
        <v>0.21835699361531399</v>
      </c>
      <c r="I5774">
        <v>0.19362038393474601</v>
      </c>
      <c r="J5774">
        <v>0.25384209289217402</v>
      </c>
      <c r="K5774">
        <v>0.21482027419789401</v>
      </c>
      <c r="L5774">
        <v>843.31465620095003</v>
      </c>
      <c r="M5774">
        <v>16.267208285232201</v>
      </c>
      <c r="N5774">
        <v>53.432146350411102</v>
      </c>
      <c r="O5774">
        <v>51.076969339066402</v>
      </c>
      <c r="P5774">
        <v>-6.4343674223222597E-2</v>
      </c>
      <c r="Q5774">
        <v>0.191935885790261</v>
      </c>
      <c r="R5774">
        <v>0.99424544018582295</v>
      </c>
      <c r="S5774" t="s">
        <v>12226</v>
      </c>
      <c r="T5774" t="s">
        <v>12902</v>
      </c>
      <c r="U5774" t="s">
        <v>12902</v>
      </c>
      <c r="V5774" t="s">
        <v>12902</v>
      </c>
      <c r="W5774" t="s">
        <v>18625</v>
      </c>
      <c r="X5774">
        <v>9</v>
      </c>
      <c r="Y5774" t="s">
        <v>24912</v>
      </c>
      <c r="Z5774" t="s">
        <v>31349</v>
      </c>
      <c r="AA5774">
        <v>0.52685702886097507</v>
      </c>
      <c r="AB5774" t="str">
        <f>HYPERLINK("Melting_Curves/meltCurve_Q9NUP9_LIN7C.pdf", "Melting_Curves/meltCurve_Q9NUP9_LIN7C.pdf")</f>
        <v>Melting_Curves/meltCurve_Q9NUP9_LIN7C.pdf</v>
      </c>
    </row>
    <row r="5775" spans="1:28" x14ac:dyDescent="0.25">
      <c r="A5775" t="s">
        <v>5779</v>
      </c>
      <c r="B5775">
        <v>0.99673306730245903</v>
      </c>
      <c r="C5775">
        <v>1.0636537418874099</v>
      </c>
      <c r="D5775">
        <v>0.91079494560739205</v>
      </c>
      <c r="E5775">
        <v>0.78257501798837903</v>
      </c>
      <c r="F5775">
        <v>0.44202979481904697</v>
      </c>
      <c r="G5775">
        <v>0.24822220628362801</v>
      </c>
      <c r="H5775">
        <v>0.147385192574223</v>
      </c>
      <c r="I5775">
        <v>0.13653810635647901</v>
      </c>
      <c r="J5775">
        <v>0.120138319708973</v>
      </c>
      <c r="K5775">
        <v>0.10302830349459401</v>
      </c>
      <c r="L5775">
        <v>1103.18024012572</v>
      </c>
      <c r="M5775">
        <v>21.201928758082001</v>
      </c>
      <c r="N5775">
        <v>52.653051664549601</v>
      </c>
      <c r="O5775">
        <v>51.575821936114203</v>
      </c>
      <c r="P5775">
        <v>-9.1404219114718493E-2</v>
      </c>
      <c r="Q5775">
        <v>0.110623195135192</v>
      </c>
      <c r="R5775">
        <v>0.99482662242293296</v>
      </c>
      <c r="S5775" t="s">
        <v>12227</v>
      </c>
      <c r="T5775" t="s">
        <v>12902</v>
      </c>
      <c r="U5775" t="s">
        <v>12902</v>
      </c>
      <c r="V5775" t="s">
        <v>12902</v>
      </c>
      <c r="W5775" t="s">
        <v>18626</v>
      </c>
      <c r="X5775">
        <v>6</v>
      </c>
      <c r="Y5775" t="s">
        <v>24913</v>
      </c>
      <c r="Z5775" t="s">
        <v>31350</v>
      </c>
      <c r="AA5775">
        <v>0.47839671887942348</v>
      </c>
      <c r="AB5775" t="str">
        <f>HYPERLINK("Melting_Curves/meltCurve_Q9NUQ2_AGPAT5.pdf", "Melting_Curves/meltCurve_Q9NUQ2_AGPAT5.pdf")</f>
        <v>Melting_Curves/meltCurve_Q9NUQ2_AGPAT5.pdf</v>
      </c>
    </row>
    <row r="5776" spans="1:28" x14ac:dyDescent="0.25">
      <c r="A5776" t="s">
        <v>5780</v>
      </c>
      <c r="B5776">
        <v>0.99673306730245903</v>
      </c>
      <c r="C5776">
        <v>1.0147292945203901</v>
      </c>
      <c r="D5776">
        <v>0.98127609781885194</v>
      </c>
      <c r="E5776">
        <v>0.93322312362739002</v>
      </c>
      <c r="F5776">
        <v>0.58458725506801001</v>
      </c>
      <c r="G5776">
        <v>0.237744407088893</v>
      </c>
      <c r="H5776">
        <v>0.14966429996643099</v>
      </c>
      <c r="I5776">
        <v>0.121695088330802</v>
      </c>
      <c r="J5776">
        <v>0.14246718366595601</v>
      </c>
      <c r="K5776">
        <v>0.119719994879891</v>
      </c>
      <c r="L5776">
        <v>1710.0701749311299</v>
      </c>
      <c r="M5776">
        <v>32.043686941047</v>
      </c>
      <c r="N5776">
        <v>53.862144574244603</v>
      </c>
      <c r="O5776">
        <v>53.160296451938798</v>
      </c>
      <c r="P5776">
        <v>-0.13146423468718699</v>
      </c>
      <c r="Q5776">
        <v>0.127610949476891</v>
      </c>
      <c r="R5776">
        <v>0.99946644829735698</v>
      </c>
      <c r="S5776" t="s">
        <v>12228</v>
      </c>
      <c r="T5776" t="s">
        <v>12902</v>
      </c>
      <c r="U5776" t="s">
        <v>12902</v>
      </c>
      <c r="V5776" t="s">
        <v>12902</v>
      </c>
      <c r="W5776" t="s">
        <v>18627</v>
      </c>
      <c r="X5776">
        <v>20</v>
      </c>
      <c r="Y5776" t="s">
        <v>24914</v>
      </c>
      <c r="Z5776" t="s">
        <v>31351</v>
      </c>
      <c r="AA5776">
        <v>0.52131059318204676</v>
      </c>
      <c r="AB5776" t="str">
        <f>HYPERLINK("Melting_Curves/meltCurve_Q9NUQ3_TXLNG.pdf", "Melting_Curves/meltCurve_Q9NUQ3_TXLNG.pdf")</f>
        <v>Melting_Curves/meltCurve_Q9NUQ3_TXLNG.pdf</v>
      </c>
    </row>
    <row r="5777" spans="1:28" x14ac:dyDescent="0.25">
      <c r="A5777" t="s">
        <v>5781</v>
      </c>
      <c r="B5777">
        <v>0.99673306730245903</v>
      </c>
      <c r="C5777">
        <v>0.90012218121425003</v>
      </c>
      <c r="D5777">
        <v>0.72531019570075095</v>
      </c>
      <c r="E5777">
        <v>0.39407415006680802</v>
      </c>
      <c r="F5777">
        <v>0.12581701323898101</v>
      </c>
      <c r="G5777">
        <v>8.7169699910391099E-2</v>
      </c>
      <c r="H5777">
        <v>5.5316775795789301E-2</v>
      </c>
      <c r="I5777">
        <v>5.2375041689708898E-2</v>
      </c>
      <c r="J5777">
        <v>4.3621856227028299E-2</v>
      </c>
      <c r="K5777">
        <v>4.0798393459306297E-2</v>
      </c>
      <c r="L5777">
        <v>971.42250679306198</v>
      </c>
      <c r="M5777">
        <v>20.2084693179707</v>
      </c>
      <c r="N5777">
        <v>48.264451051861002</v>
      </c>
      <c r="O5777">
        <v>47.606779035940797</v>
      </c>
      <c r="P5777">
        <v>-0.101977081479087</v>
      </c>
      <c r="Q5777">
        <v>3.9086310137119898E-2</v>
      </c>
      <c r="R5777">
        <v>0.99832547797025595</v>
      </c>
      <c r="S5777" t="s">
        <v>12229</v>
      </c>
      <c r="T5777" t="s">
        <v>12902</v>
      </c>
      <c r="U5777" t="s">
        <v>12902</v>
      </c>
      <c r="V5777" t="s">
        <v>12902</v>
      </c>
      <c r="W5777" t="s">
        <v>18628</v>
      </c>
      <c r="X5777">
        <v>9</v>
      </c>
      <c r="Y5777" t="s">
        <v>24915</v>
      </c>
      <c r="Z5777" t="s">
        <v>31352</v>
      </c>
      <c r="AA5777">
        <v>0.31091505676559572</v>
      </c>
      <c r="AB5777" t="str">
        <f>HYPERLINK("Melting_Curves/meltCurve_Q9NUQ7_UFSP2.pdf", "Melting_Curves/meltCurve_Q9NUQ7_UFSP2.pdf")</f>
        <v>Melting_Curves/meltCurve_Q9NUQ7_UFSP2.pdf</v>
      </c>
    </row>
    <row r="5778" spans="1:28" x14ac:dyDescent="0.25">
      <c r="A5778" t="s">
        <v>5782</v>
      </c>
      <c r="B5778">
        <v>0.99673306730245903</v>
      </c>
      <c r="C5778">
        <v>0.76441640091890495</v>
      </c>
      <c r="D5778">
        <v>0.22534009216108</v>
      </c>
      <c r="E5778">
        <v>0.13490954442265701</v>
      </c>
      <c r="F5778">
        <v>8.9159529166953799E-2</v>
      </c>
      <c r="G5778">
        <v>5.2997125519707797E-2</v>
      </c>
      <c r="H5778">
        <v>3.3765773086645599E-2</v>
      </c>
      <c r="I5778">
        <v>3.2083184711486398E-2</v>
      </c>
      <c r="J5778">
        <v>3.6410085910247102E-2</v>
      </c>
      <c r="K5778">
        <v>3.1227253227958499E-2</v>
      </c>
      <c r="L5778">
        <v>1593.1098318322599</v>
      </c>
      <c r="M5778">
        <v>36.047111747184204</v>
      </c>
      <c r="N5778">
        <v>44.336025959192099</v>
      </c>
      <c r="O5778">
        <v>44.059874783553497</v>
      </c>
      <c r="P5778">
        <v>-0.19347428859943899</v>
      </c>
      <c r="Q5778">
        <v>5.4079746560517498E-2</v>
      </c>
      <c r="R5778">
        <v>0.99333195336919899</v>
      </c>
      <c r="S5778" t="s">
        <v>12230</v>
      </c>
      <c r="T5778" t="s">
        <v>12902</v>
      </c>
      <c r="U5778" t="s">
        <v>12902</v>
      </c>
      <c r="V5778" t="s">
        <v>12902</v>
      </c>
      <c r="W5778" t="s">
        <v>18629</v>
      </c>
      <c r="X5778">
        <v>11</v>
      </c>
      <c r="Y5778" t="s">
        <v>24916</v>
      </c>
      <c r="Z5778" t="s">
        <v>31353</v>
      </c>
      <c r="AA5778">
        <v>0.19060468141575659</v>
      </c>
      <c r="AB5778" t="str">
        <f>HYPERLINK("Melting_Curves/meltCurve_Q9NUQ8_2_ABCF3.pdf", "Melting_Curves/meltCurve_Q9NUQ8_2_ABCF3.pdf")</f>
        <v>Melting_Curves/meltCurve_Q9NUQ8_2_ABCF3.pdf</v>
      </c>
    </row>
    <row r="5779" spans="1:28" x14ac:dyDescent="0.25">
      <c r="A5779" t="s">
        <v>5783</v>
      </c>
      <c r="B5779">
        <v>0.99673306730245903</v>
      </c>
      <c r="C5779">
        <v>1.02433019790874</v>
      </c>
      <c r="D5779">
        <v>0.96186247864141705</v>
      </c>
      <c r="E5779">
        <v>0.94535534015264699</v>
      </c>
      <c r="F5779">
        <v>0.63955162420970202</v>
      </c>
      <c r="G5779">
        <v>0.31093762680338199</v>
      </c>
      <c r="H5779">
        <v>0.198600318596412</v>
      </c>
      <c r="I5779">
        <v>0.177941614025828</v>
      </c>
      <c r="J5779">
        <v>0.180476913416976</v>
      </c>
      <c r="K5779">
        <v>0.13910020352795199</v>
      </c>
      <c r="L5779">
        <v>1550.6311441928101</v>
      </c>
      <c r="M5779">
        <v>28.846137793771199</v>
      </c>
      <c r="N5779">
        <v>54.504351354132801</v>
      </c>
      <c r="O5779">
        <v>53.4988859713186</v>
      </c>
      <c r="P5779">
        <v>-0.112739336281865</v>
      </c>
      <c r="Q5779">
        <v>0.16364775312916299</v>
      </c>
      <c r="R5779">
        <v>0.99798585249551997</v>
      </c>
      <c r="S5779" t="s">
        <v>12231</v>
      </c>
      <c r="T5779" t="s">
        <v>12902</v>
      </c>
      <c r="U5779" t="s">
        <v>12902</v>
      </c>
      <c r="V5779" t="s">
        <v>12902</v>
      </c>
      <c r="W5779" t="s">
        <v>18630</v>
      </c>
      <c r="X5779">
        <v>14</v>
      </c>
      <c r="Y5779" t="s">
        <v>24917</v>
      </c>
      <c r="Z5779" t="s">
        <v>31354</v>
      </c>
      <c r="AA5779">
        <v>0.55303030163884215</v>
      </c>
      <c r="AB5779" t="str">
        <f>HYPERLINK("Melting_Curves/meltCurve_Q9NUQ9_FAM49B.pdf", "Melting_Curves/meltCurve_Q9NUQ9_FAM49B.pdf")</f>
        <v>Melting_Curves/meltCurve_Q9NUQ9_FAM49B.pdf</v>
      </c>
    </row>
    <row r="5780" spans="1:28" x14ac:dyDescent="0.25">
      <c r="A5780" t="s">
        <v>5784</v>
      </c>
      <c r="B5780">
        <v>0.99673306730245903</v>
      </c>
      <c r="C5780">
        <v>1.0568682268124201</v>
      </c>
      <c r="D5780">
        <v>0.72260177395820602</v>
      </c>
      <c r="E5780">
        <v>0.69544572576879704</v>
      </c>
      <c r="F5780">
        <v>0.173830307973142</v>
      </c>
      <c r="G5780">
        <v>0.109112213253163</v>
      </c>
      <c r="H5780">
        <v>6.1992979084694498E-2</v>
      </c>
      <c r="I5780">
        <v>6.2468933143794203E-2</v>
      </c>
      <c r="J5780">
        <v>6.4598157454011998E-2</v>
      </c>
      <c r="K5780">
        <v>5.72673488985566E-2</v>
      </c>
      <c r="L5780">
        <v>1068.48314184224</v>
      </c>
      <c r="M5780">
        <v>21.324461147528002</v>
      </c>
      <c r="N5780">
        <v>50.320924780598503</v>
      </c>
      <c r="O5780">
        <v>49.671588765137599</v>
      </c>
      <c r="P5780">
        <v>-0.102657915931818</v>
      </c>
      <c r="Q5780">
        <v>4.3529781952401703E-2</v>
      </c>
      <c r="R5780">
        <v>0.96637917702825904</v>
      </c>
      <c r="S5780" t="s">
        <v>12232</v>
      </c>
      <c r="T5780" t="s">
        <v>12902</v>
      </c>
      <c r="U5780" t="s">
        <v>12902</v>
      </c>
      <c r="V5780" t="s">
        <v>12902</v>
      </c>
      <c r="W5780" t="s">
        <v>18631</v>
      </c>
      <c r="X5780">
        <v>31</v>
      </c>
      <c r="Y5780" t="s">
        <v>24918</v>
      </c>
      <c r="Z5780" t="s">
        <v>31355</v>
      </c>
      <c r="AA5780">
        <v>0.37747409045568031</v>
      </c>
      <c r="AB5780" t="str">
        <f>HYPERLINK("Melting_Curves/meltCurve_Q9NUU7_DDX19A.pdf", "Melting_Curves/meltCurve_Q9NUU7_DDX19A.pdf")</f>
        <v>Melting_Curves/meltCurve_Q9NUU7_DDX19A.pdf</v>
      </c>
    </row>
    <row r="5781" spans="1:28" x14ac:dyDescent="0.25">
      <c r="A5781" t="s">
        <v>5785</v>
      </c>
      <c r="B5781">
        <v>0.99673306730245903</v>
      </c>
      <c r="C5781">
        <v>1.00899984217497</v>
      </c>
      <c r="D5781">
        <v>0.84132233972194703</v>
      </c>
      <c r="E5781">
        <v>0.41168409840336601</v>
      </c>
      <c r="F5781">
        <v>0.21156613977678901</v>
      </c>
      <c r="G5781">
        <v>0.13473407185616801</v>
      </c>
      <c r="H5781">
        <v>8.5246642210816806E-2</v>
      </c>
      <c r="I5781">
        <v>7.9429737756696997E-2</v>
      </c>
      <c r="J5781">
        <v>9.7962705124012797E-2</v>
      </c>
      <c r="K5781">
        <v>9.2159740980017002E-2</v>
      </c>
      <c r="L5781">
        <v>1288.81083241596</v>
      </c>
      <c r="M5781">
        <v>26.5106368615162</v>
      </c>
      <c r="N5781">
        <v>49.010053355653802</v>
      </c>
      <c r="O5781">
        <v>48.340752800215398</v>
      </c>
      <c r="P5781">
        <v>-0.12391037140472499</v>
      </c>
      <c r="Q5781">
        <v>9.62331704231877E-2</v>
      </c>
      <c r="R5781">
        <v>0.99744940267576399</v>
      </c>
      <c r="S5781" t="s">
        <v>12233</v>
      </c>
      <c r="T5781" t="s">
        <v>12902</v>
      </c>
      <c r="U5781" t="s">
        <v>12902</v>
      </c>
      <c r="V5781" t="s">
        <v>12902</v>
      </c>
      <c r="W5781" t="s">
        <v>18632</v>
      </c>
      <c r="X5781">
        <v>5</v>
      </c>
      <c r="Y5781" t="s">
        <v>24919</v>
      </c>
      <c r="Z5781" t="s">
        <v>31356</v>
      </c>
      <c r="AA5781">
        <v>0.36283476859060421</v>
      </c>
      <c r="AB5781" t="str">
        <f>HYPERLINK("Melting_Curves/meltCurve_Q9NUW8_TDP1.pdf", "Melting_Curves/meltCurve_Q9NUW8_TDP1.pdf")</f>
        <v>Melting_Curves/meltCurve_Q9NUW8_TDP1.pdf</v>
      </c>
    </row>
    <row r="5782" spans="1:28" x14ac:dyDescent="0.25">
      <c r="A5782" t="s">
        <v>5786</v>
      </c>
      <c r="B5782">
        <v>0.99673306730245903</v>
      </c>
      <c r="C5782">
        <v>0.97002040807202405</v>
      </c>
      <c r="D5782">
        <v>0.86813129807852396</v>
      </c>
      <c r="E5782">
        <v>0.56056927330085504</v>
      </c>
      <c r="F5782">
        <v>0.21191561887562699</v>
      </c>
      <c r="G5782">
        <v>0.14091448877242799</v>
      </c>
      <c r="H5782">
        <v>8.5764835990688404E-2</v>
      </c>
      <c r="I5782">
        <v>6.4523988821122993E-2</v>
      </c>
      <c r="J5782">
        <v>7.2560416925142202E-2</v>
      </c>
      <c r="K5782">
        <v>5.3071966357936901E-2</v>
      </c>
      <c r="L5782">
        <v>1140.9930419614</v>
      </c>
      <c r="M5782">
        <v>22.940452993068199</v>
      </c>
      <c r="N5782">
        <v>50.042059200605998</v>
      </c>
      <c r="O5782">
        <v>49.363843705348003</v>
      </c>
      <c r="P5782">
        <v>-0.108605041381513</v>
      </c>
      <c r="Q5782">
        <v>6.5221445241785997E-2</v>
      </c>
      <c r="R5782">
        <v>0.99879940330961303</v>
      </c>
      <c r="S5782" t="s">
        <v>12234</v>
      </c>
      <c r="T5782" t="s">
        <v>12902</v>
      </c>
      <c r="U5782" t="s">
        <v>12902</v>
      </c>
      <c r="V5782" t="s">
        <v>12902</v>
      </c>
      <c r="W5782" t="s">
        <v>18633</v>
      </c>
      <c r="X5782">
        <v>11</v>
      </c>
      <c r="Y5782" t="s">
        <v>24920</v>
      </c>
      <c r="Z5782" t="s">
        <v>31357</v>
      </c>
      <c r="AA5782">
        <v>0.37853597431484148</v>
      </c>
      <c r="AB5782" t="str">
        <f>HYPERLINK("Melting_Curves/meltCurve_Q9NUY8_TBC1D23.pdf", "Melting_Curves/meltCurve_Q9NUY8_TBC1D23.pdf")</f>
        <v>Melting_Curves/meltCurve_Q9NUY8_TBC1D23.pdf</v>
      </c>
    </row>
    <row r="5783" spans="1:28" x14ac:dyDescent="0.25">
      <c r="A5783" t="s">
        <v>5787</v>
      </c>
      <c r="B5783">
        <v>0.99673306730245903</v>
      </c>
      <c r="C5783">
        <v>1.15607426049536</v>
      </c>
      <c r="D5783">
        <v>1.3597294060980201</v>
      </c>
      <c r="E5783">
        <v>1.3981201140469499</v>
      </c>
      <c r="F5783">
        <v>1.0203230690054901</v>
      </c>
      <c r="G5783">
        <v>0.55698123542710298</v>
      </c>
      <c r="H5783">
        <v>0.26635280705074399</v>
      </c>
      <c r="I5783">
        <v>0.25248545604876499</v>
      </c>
      <c r="J5783">
        <v>0.30037025728087502</v>
      </c>
      <c r="K5783">
        <v>0.229148414090381</v>
      </c>
      <c r="L5783">
        <v>14176.882237514999</v>
      </c>
      <c r="M5783">
        <v>250</v>
      </c>
      <c r="N5783">
        <v>56.876500707120798</v>
      </c>
      <c r="O5783">
        <v>56.703914890314103</v>
      </c>
      <c r="P5783">
        <v>-0.81333776810651504</v>
      </c>
      <c r="Q5783">
        <v>0.26208922399568202</v>
      </c>
      <c r="R5783">
        <v>0.84858591868778099</v>
      </c>
      <c r="S5783" t="s">
        <v>12235</v>
      </c>
      <c r="T5783" t="s">
        <v>12902</v>
      </c>
      <c r="U5783" t="s">
        <v>12902</v>
      </c>
      <c r="V5783" t="s">
        <v>12902</v>
      </c>
      <c r="W5783" t="s">
        <v>18634</v>
      </c>
      <c r="X5783">
        <v>10</v>
      </c>
      <c r="Y5783" t="s">
        <v>24921</v>
      </c>
      <c r="Z5783" t="s">
        <v>31358</v>
      </c>
      <c r="AA5783">
        <v>0.67311818324423733</v>
      </c>
      <c r="AB5783" t="str">
        <f>HYPERLINK("Melting_Curves/meltCurve_Q9NV06_DCAF13.pdf", "Melting_Curves/meltCurve_Q9NV06_DCAF13.pdf")</f>
        <v>Melting_Curves/meltCurve_Q9NV06_DCAF13.pdf</v>
      </c>
    </row>
    <row r="5784" spans="1:28" x14ac:dyDescent="0.25">
      <c r="A5784" t="s">
        <v>5788</v>
      </c>
      <c r="B5784">
        <v>0.99673306730245903</v>
      </c>
      <c r="C5784">
        <v>1.00188472837597</v>
      </c>
      <c r="D5784">
        <v>0.91019206859757795</v>
      </c>
      <c r="E5784">
        <v>0.88277250712398503</v>
      </c>
      <c r="F5784">
        <v>0.54399683859824</v>
      </c>
      <c r="G5784">
        <v>0.303680048868124</v>
      </c>
      <c r="H5784">
        <v>0.118301949325242</v>
      </c>
      <c r="I5784">
        <v>8.9882384033268897E-2</v>
      </c>
      <c r="J5784">
        <v>8.6590329220796194E-2</v>
      </c>
      <c r="K5784">
        <v>6.8445806256531502E-2</v>
      </c>
      <c r="L5784">
        <v>1095.27982048226</v>
      </c>
      <c r="M5784">
        <v>20.441884450452399</v>
      </c>
      <c r="N5784">
        <v>53.920075894139899</v>
      </c>
      <c r="O5784">
        <v>53.075339373598702</v>
      </c>
      <c r="P5784">
        <v>-9.0469137034248803E-2</v>
      </c>
      <c r="Q5784">
        <v>6.0451477322386801E-2</v>
      </c>
      <c r="R5784">
        <v>0.99607693898312899</v>
      </c>
      <c r="S5784" t="s">
        <v>12236</v>
      </c>
      <c r="T5784" t="s">
        <v>12902</v>
      </c>
      <c r="U5784" t="s">
        <v>12902</v>
      </c>
      <c r="V5784" t="s">
        <v>12902</v>
      </c>
      <c r="W5784" t="s">
        <v>18635</v>
      </c>
      <c r="X5784">
        <v>4</v>
      </c>
      <c r="Y5784" t="s">
        <v>24922</v>
      </c>
      <c r="Z5784" t="s">
        <v>31359</v>
      </c>
      <c r="AA5784">
        <v>0.49814558755640198</v>
      </c>
      <c r="AB5784" t="str">
        <f>HYPERLINK("Melting_Curves/meltCurve_Q9NV35_NUDT15.pdf", "Melting_Curves/meltCurve_Q9NV35_NUDT15.pdf")</f>
        <v>Melting_Curves/meltCurve_Q9NV35_NUDT15.pdf</v>
      </c>
    </row>
    <row r="5785" spans="1:28" x14ac:dyDescent="0.25">
      <c r="A5785" t="s">
        <v>5789</v>
      </c>
      <c r="B5785">
        <v>0.99673306730245903</v>
      </c>
      <c r="C5785">
        <v>0.93961664613065199</v>
      </c>
      <c r="D5785">
        <v>0.82571334867122403</v>
      </c>
      <c r="E5785">
        <v>0.65890813756889199</v>
      </c>
      <c r="F5785">
        <v>0.37509121024494602</v>
      </c>
      <c r="G5785">
        <v>0.23219144650710899</v>
      </c>
      <c r="H5785">
        <v>0.13264631676743299</v>
      </c>
      <c r="I5785">
        <v>0.10784333661859</v>
      </c>
      <c r="J5785">
        <v>0.112291711994397</v>
      </c>
      <c r="K5785">
        <v>0.15600306300987499</v>
      </c>
      <c r="L5785">
        <v>825.17885723096902</v>
      </c>
      <c r="M5785">
        <v>16.293624034242502</v>
      </c>
      <c r="N5785">
        <v>51.353043929847303</v>
      </c>
      <c r="O5785">
        <v>49.8998518199922</v>
      </c>
      <c r="P5785">
        <v>-7.3417148065445303E-2</v>
      </c>
      <c r="Q5785">
        <v>0.100694314665396</v>
      </c>
      <c r="R5785">
        <v>0.99552006414517202</v>
      </c>
      <c r="S5785" t="s">
        <v>12237</v>
      </c>
      <c r="T5785" t="s">
        <v>12902</v>
      </c>
      <c r="U5785" t="s">
        <v>12902</v>
      </c>
      <c r="V5785" t="s">
        <v>12902</v>
      </c>
      <c r="W5785" t="s">
        <v>18636</v>
      </c>
      <c r="X5785">
        <v>2</v>
      </c>
      <c r="Y5785" t="s">
        <v>24923</v>
      </c>
      <c r="Z5785" t="s">
        <v>31360</v>
      </c>
      <c r="AA5785">
        <v>0.43798429428524449</v>
      </c>
      <c r="AB5785" t="str">
        <f>HYPERLINK("Melting_Curves/meltCurve_Q9NV56_MRGBP.pdf", "Melting_Curves/meltCurve_Q9NV56_MRGBP.pdf")</f>
        <v>Melting_Curves/meltCurve_Q9NV56_MRGBP.pdf</v>
      </c>
    </row>
    <row r="5786" spans="1:28" x14ac:dyDescent="0.25">
      <c r="A5786" t="s">
        <v>5790</v>
      </c>
      <c r="B5786">
        <v>0.99673306730245903</v>
      </c>
      <c r="C5786">
        <v>0.86608053611981095</v>
      </c>
      <c r="D5786">
        <v>0.82008422373850498</v>
      </c>
      <c r="E5786">
        <v>0.30915287500448702</v>
      </c>
      <c r="F5786">
        <v>0.19559724632554801</v>
      </c>
      <c r="G5786">
        <v>0.113149653227071</v>
      </c>
      <c r="H5786">
        <v>8.4203283575352894E-2</v>
      </c>
      <c r="I5786">
        <v>8.69434099016691E-2</v>
      </c>
      <c r="J5786">
        <v>0.11036575630553901</v>
      </c>
      <c r="K5786">
        <v>9.96830577671695E-2</v>
      </c>
      <c r="L5786">
        <v>1276.42999879435</v>
      </c>
      <c r="M5786">
        <v>26.685883208745999</v>
      </c>
      <c r="N5786">
        <v>48.229100037217897</v>
      </c>
      <c r="O5786">
        <v>47.565478942298398</v>
      </c>
      <c r="P5786">
        <v>-0.12641573782810001</v>
      </c>
      <c r="Q5786">
        <v>9.8705080652688307E-2</v>
      </c>
      <c r="R5786">
        <v>0.98769826721909004</v>
      </c>
      <c r="S5786" t="s">
        <v>12238</v>
      </c>
      <c r="T5786" t="s">
        <v>12902</v>
      </c>
      <c r="U5786" t="s">
        <v>12902</v>
      </c>
      <c r="V5786" t="s">
        <v>12902</v>
      </c>
      <c r="W5786" t="s">
        <v>18637</v>
      </c>
      <c r="X5786">
        <v>11</v>
      </c>
      <c r="Y5786" t="s">
        <v>24924</v>
      </c>
      <c r="Z5786" t="s">
        <v>31361</v>
      </c>
      <c r="AA5786">
        <v>0.34092895231746162</v>
      </c>
      <c r="AB5786" t="str">
        <f>HYPERLINK("Melting_Curves/meltCurve_Q9NV70_EXOC1.pdf", "Melting_Curves/meltCurve_Q9NV70_EXOC1.pdf")</f>
        <v>Melting_Curves/meltCurve_Q9NV70_EXOC1.pdf</v>
      </c>
    </row>
    <row r="5787" spans="1:28" x14ac:dyDescent="0.25">
      <c r="A5787" t="s">
        <v>5791</v>
      </c>
      <c r="B5787">
        <v>0.99673306730245903</v>
      </c>
      <c r="C5787">
        <v>0.97674945597478502</v>
      </c>
      <c r="D5787">
        <v>1.00462783703209</v>
      </c>
      <c r="E5787">
        <v>0.87468978412273701</v>
      </c>
      <c r="F5787">
        <v>0.67862272934294898</v>
      </c>
      <c r="G5787">
        <v>0.41853380860140399</v>
      </c>
      <c r="H5787">
        <v>0.239349038196534</v>
      </c>
      <c r="I5787">
        <v>0.26036821867644799</v>
      </c>
      <c r="J5787">
        <v>0.28663642333001299</v>
      </c>
      <c r="K5787">
        <v>0.26744129040364201</v>
      </c>
      <c r="L5787">
        <v>1276.26867324757</v>
      </c>
      <c r="M5787">
        <v>23.792136720649399</v>
      </c>
      <c r="N5787">
        <v>55.254808855795901</v>
      </c>
      <c r="O5787">
        <v>53.2678089081788</v>
      </c>
      <c r="P5787">
        <v>-8.3717403819002306E-2</v>
      </c>
      <c r="Q5787">
        <v>0.25027842975798598</v>
      </c>
      <c r="R5787">
        <v>0.99398876180458395</v>
      </c>
      <c r="S5787" t="s">
        <v>12239</v>
      </c>
      <c r="T5787" t="s">
        <v>12902</v>
      </c>
      <c r="U5787" t="s">
        <v>12902</v>
      </c>
      <c r="V5787" t="s">
        <v>12902</v>
      </c>
      <c r="W5787" t="s">
        <v>18638</v>
      </c>
      <c r="X5787">
        <v>1</v>
      </c>
      <c r="Y5787" t="s">
        <v>24925</v>
      </c>
      <c r="Z5787" t="s">
        <v>31362</v>
      </c>
      <c r="AA5787">
        <v>0.59879721189415847</v>
      </c>
      <c r="AB5787" t="str">
        <f>HYPERLINK("Melting_Curves/meltCurve_Q9NV96_2_TMEM30A.pdf", "Melting_Curves/meltCurve_Q9NV96_2_TMEM30A.pdf")</f>
        <v>Melting_Curves/meltCurve_Q9NV96_2_TMEM30A.pdf</v>
      </c>
    </row>
    <row r="5788" spans="1:28" x14ac:dyDescent="0.25">
      <c r="A5788" t="s">
        <v>5792</v>
      </c>
      <c r="B5788">
        <v>0.99673306730245903</v>
      </c>
      <c r="C5788">
        <v>1.0148748554004401</v>
      </c>
      <c r="D5788">
        <v>0.918696477663555</v>
      </c>
      <c r="E5788">
        <v>0.919875121133647</v>
      </c>
      <c r="F5788">
        <v>0.64422731541099199</v>
      </c>
      <c r="G5788">
        <v>0.40609738560039299</v>
      </c>
      <c r="H5788">
        <v>0.16454628406355301</v>
      </c>
      <c r="I5788">
        <v>9.5888969361009199E-2</v>
      </c>
      <c r="J5788">
        <v>8.35099091028325E-2</v>
      </c>
      <c r="K5788">
        <v>6.5795032178124505E-2</v>
      </c>
      <c r="L5788">
        <v>1020.7742177741</v>
      </c>
      <c r="M5788">
        <v>18.562753766843201</v>
      </c>
      <c r="N5788">
        <v>55.250868123808097</v>
      </c>
      <c r="O5788">
        <v>54.364178343820797</v>
      </c>
      <c r="P5788">
        <v>-8.1790943476333797E-2</v>
      </c>
      <c r="Q5788">
        <v>4.1887171347518799E-2</v>
      </c>
      <c r="R5788">
        <v>0.99595353519804697</v>
      </c>
      <c r="S5788" t="s">
        <v>12240</v>
      </c>
      <c r="T5788" t="s">
        <v>12902</v>
      </c>
      <c r="U5788" t="s">
        <v>12902</v>
      </c>
      <c r="V5788" t="s">
        <v>12902</v>
      </c>
      <c r="W5788" t="s">
        <v>18639</v>
      </c>
      <c r="X5788">
        <v>9</v>
      </c>
      <c r="Y5788" t="s">
        <v>24926</v>
      </c>
      <c r="Z5788" t="s">
        <v>31363</v>
      </c>
      <c r="AA5788">
        <v>0.53485291684401892</v>
      </c>
      <c r="AB5788" t="str">
        <f>HYPERLINK("Melting_Curves/meltCurve_Q9NVA1_UQCC.pdf", "Melting_Curves/meltCurve_Q9NVA1_UQCC.pdf")</f>
        <v>Melting_Curves/meltCurve_Q9NVA1_UQCC.pdf</v>
      </c>
    </row>
    <row r="5789" spans="1:28" x14ac:dyDescent="0.25">
      <c r="A5789" t="s">
        <v>5793</v>
      </c>
      <c r="B5789">
        <v>0.99673306730245903</v>
      </c>
      <c r="C5789">
        <v>0.94036992424225496</v>
      </c>
      <c r="D5789">
        <v>0.91808558340942403</v>
      </c>
      <c r="E5789">
        <v>0.75573224870141997</v>
      </c>
      <c r="F5789">
        <v>1.1618966908252599</v>
      </c>
      <c r="G5789">
        <v>0.59796954728017404</v>
      </c>
      <c r="H5789">
        <v>0.41875690827050799</v>
      </c>
      <c r="I5789">
        <v>0.54782421083852495</v>
      </c>
      <c r="J5789">
        <v>0.402349522584803</v>
      </c>
      <c r="K5789">
        <v>0.30120808326696702</v>
      </c>
      <c r="L5789">
        <v>14154.4942707016</v>
      </c>
      <c r="M5789">
        <v>250</v>
      </c>
      <c r="N5789">
        <v>57.029094762903497</v>
      </c>
      <c r="O5789">
        <v>56.614336939730002</v>
      </c>
      <c r="P5789">
        <v>-0.64301861391166504</v>
      </c>
      <c r="Q5789">
        <v>0.41753466582715398</v>
      </c>
      <c r="R5789">
        <v>0.83519807670335899</v>
      </c>
      <c r="S5789" t="s">
        <v>12241</v>
      </c>
      <c r="T5789" t="s">
        <v>12902</v>
      </c>
      <c r="U5789" t="s">
        <v>12902</v>
      </c>
      <c r="V5789" t="s">
        <v>12902</v>
      </c>
      <c r="W5789" t="s">
        <v>18640</v>
      </c>
      <c r="X5789">
        <v>1</v>
      </c>
      <c r="Y5789" t="s">
        <v>24927</v>
      </c>
      <c r="Z5789" t="s">
        <v>31364</v>
      </c>
      <c r="AA5789">
        <v>0.74023906088004587</v>
      </c>
      <c r="AB5789" t="str">
        <f>HYPERLINK("Melting_Curves/meltCurve_Q9NVA4_TMEM184C.pdf", "Melting_Curves/meltCurve_Q9NVA4_TMEM184C.pdf")</f>
        <v>Melting_Curves/meltCurve_Q9NVA4_TMEM184C.pdf</v>
      </c>
    </row>
    <row r="5790" spans="1:28" x14ac:dyDescent="0.25">
      <c r="A5790" t="s">
        <v>5794</v>
      </c>
      <c r="B5790">
        <v>0.99673306730245903</v>
      </c>
      <c r="C5790">
        <v>0.98052486502802605</v>
      </c>
      <c r="D5790">
        <v>0.72751812708658103</v>
      </c>
      <c r="E5790">
        <v>0.65219836927331998</v>
      </c>
      <c r="F5790">
        <v>0.44937724780854599</v>
      </c>
      <c r="G5790">
        <v>0.27761760366917099</v>
      </c>
      <c r="H5790">
        <v>0.169781526244634</v>
      </c>
      <c r="I5790">
        <v>0.21214109923714999</v>
      </c>
      <c r="J5790">
        <v>0.13880154744425999</v>
      </c>
      <c r="K5790">
        <v>6.9721932238499498E-2</v>
      </c>
      <c r="L5790">
        <v>607.36331799254799</v>
      </c>
      <c r="M5790">
        <v>11.8543605444305</v>
      </c>
      <c r="N5790">
        <v>51.926172871271</v>
      </c>
      <c r="O5790">
        <v>49.842658921812301</v>
      </c>
      <c r="P5790">
        <v>-5.5135740504282701E-2</v>
      </c>
      <c r="Q5790">
        <v>7.2942840418461302E-2</v>
      </c>
      <c r="R5790">
        <v>0.98286313582662699</v>
      </c>
      <c r="S5790" t="s">
        <v>12242</v>
      </c>
      <c r="T5790" t="s">
        <v>12902</v>
      </c>
      <c r="U5790" t="s">
        <v>12902</v>
      </c>
      <c r="V5790" t="s">
        <v>12902</v>
      </c>
      <c r="W5790" t="s">
        <v>18641</v>
      </c>
      <c r="X5790">
        <v>3</v>
      </c>
      <c r="Y5790" t="s">
        <v>24928</v>
      </c>
      <c r="Z5790" t="s">
        <v>31365</v>
      </c>
      <c r="AA5790">
        <v>0.45045127413053798</v>
      </c>
      <c r="AB5790" t="str">
        <f>HYPERLINK("Melting_Curves/meltCurve_Q9NVC6_MED17.pdf", "Melting_Curves/meltCurve_Q9NVC6_MED17.pdf")</f>
        <v>Melting_Curves/meltCurve_Q9NVC6_MED17.pdf</v>
      </c>
    </row>
    <row r="5791" spans="1:28" x14ac:dyDescent="0.25">
      <c r="A5791" t="s">
        <v>5795</v>
      </c>
      <c r="B5791">
        <v>0.99673306730245903</v>
      </c>
      <c r="C5791">
        <v>0.64322878716697196</v>
      </c>
      <c r="D5791">
        <v>1.13476580122431</v>
      </c>
      <c r="E5791">
        <v>0.91673605367079103</v>
      </c>
      <c r="F5791">
        <v>0.41192236549197497</v>
      </c>
      <c r="G5791">
        <v>0.119134750701786</v>
      </c>
      <c r="H5791">
        <v>6.9409266223182803E-2</v>
      </c>
      <c r="I5791">
        <v>7.0483816056353996E-2</v>
      </c>
      <c r="J5791">
        <v>5.9327878508423901E-2</v>
      </c>
      <c r="K5791">
        <v>5.4397829757129999E-2</v>
      </c>
      <c r="L5791">
        <v>2127.0995244505998</v>
      </c>
      <c r="M5791">
        <v>40.498808152085502</v>
      </c>
      <c r="N5791">
        <v>52.703024909471601</v>
      </c>
      <c r="O5791">
        <v>52.394948074166599</v>
      </c>
      <c r="P5791">
        <v>-0.18072483705807199</v>
      </c>
      <c r="Q5791">
        <v>6.4757683561902493E-2</v>
      </c>
      <c r="R5791">
        <v>0.91538923616782597</v>
      </c>
      <c r="S5791" t="s">
        <v>12243</v>
      </c>
      <c r="T5791" t="s">
        <v>12902</v>
      </c>
      <c r="U5791" t="s">
        <v>12902</v>
      </c>
      <c r="V5791" t="s">
        <v>12902</v>
      </c>
      <c r="W5791" t="s">
        <v>18642</v>
      </c>
      <c r="X5791">
        <v>24</v>
      </c>
      <c r="Y5791" t="s">
        <v>24929</v>
      </c>
      <c r="Z5791" t="s">
        <v>31366</v>
      </c>
      <c r="AA5791">
        <v>0.45845353862815841</v>
      </c>
      <c r="AB5791" t="str">
        <f>HYPERLINK("Melting_Curves/meltCurve_Q9NVE7_PANK4.pdf", "Melting_Curves/meltCurve_Q9NVE7_PANK4.pdf")</f>
        <v>Melting_Curves/meltCurve_Q9NVE7_PANK4.pdf</v>
      </c>
    </row>
    <row r="5792" spans="1:28" x14ac:dyDescent="0.25">
      <c r="A5792" t="s">
        <v>5796</v>
      </c>
      <c r="B5792">
        <v>0.99673306730245903</v>
      </c>
      <c r="C5792">
        <v>1.0223618561788099</v>
      </c>
      <c r="D5792">
        <v>0.94079495977432503</v>
      </c>
      <c r="E5792">
        <v>0.87751907097353798</v>
      </c>
      <c r="F5792">
        <v>0.596179918822073</v>
      </c>
      <c r="G5792">
        <v>0.26940736969092699</v>
      </c>
      <c r="H5792">
        <v>8.5719115201164695E-2</v>
      </c>
      <c r="I5792">
        <v>6.3531136297676594E-2</v>
      </c>
      <c r="J5792">
        <v>6.3365315789413804E-2</v>
      </c>
      <c r="K5792">
        <v>4.8362932685698898E-2</v>
      </c>
      <c r="L5792">
        <v>1217.1936879810401</v>
      </c>
      <c r="M5792">
        <v>22.591681416592898</v>
      </c>
      <c r="N5792">
        <v>54.071266428889999</v>
      </c>
      <c r="O5792">
        <v>53.4611384551839</v>
      </c>
      <c r="P5792">
        <v>-0.101548868307894</v>
      </c>
      <c r="Q5792">
        <v>3.8795043290527402E-2</v>
      </c>
      <c r="R5792">
        <v>0.99824307705632798</v>
      </c>
      <c r="S5792" t="s">
        <v>12244</v>
      </c>
      <c r="T5792" t="s">
        <v>12902</v>
      </c>
      <c r="U5792" t="s">
        <v>12902</v>
      </c>
      <c r="V5792" t="s">
        <v>12902</v>
      </c>
      <c r="W5792" t="s">
        <v>18643</v>
      </c>
      <c r="X5792">
        <v>8</v>
      </c>
      <c r="Y5792" t="s">
        <v>24930</v>
      </c>
      <c r="Z5792" t="s">
        <v>31367</v>
      </c>
      <c r="AA5792">
        <v>0.49410461043183967</v>
      </c>
      <c r="AB5792" t="str">
        <f>HYPERLINK("Melting_Curves/meltCurve_Q9NVG8_TBC1D13.pdf", "Melting_Curves/meltCurve_Q9NVG8_TBC1D13.pdf")</f>
        <v>Melting_Curves/meltCurve_Q9NVG8_TBC1D13.pdf</v>
      </c>
    </row>
    <row r="5793" spans="1:28" x14ac:dyDescent="0.25">
      <c r="A5793" t="s">
        <v>5797</v>
      </c>
      <c r="B5793">
        <v>0.99673306730245903</v>
      </c>
      <c r="C5793">
        <v>0.96947612266677796</v>
      </c>
      <c r="D5793">
        <v>0.762408519537769</v>
      </c>
      <c r="E5793">
        <v>0.38128126566412801</v>
      </c>
      <c r="F5793">
        <v>0.21646043557868899</v>
      </c>
      <c r="G5793">
        <v>0.124103467842732</v>
      </c>
      <c r="H5793">
        <v>7.6802657600440596E-2</v>
      </c>
      <c r="I5793">
        <v>7.3912171107973004E-2</v>
      </c>
      <c r="J5793">
        <v>6.4740462373277005E-2</v>
      </c>
      <c r="K5793">
        <v>5.5457867911441597E-2</v>
      </c>
      <c r="L5793">
        <v>1034.50006079528</v>
      </c>
      <c r="M5793">
        <v>21.4239025158085</v>
      </c>
      <c r="N5793">
        <v>48.633234237469701</v>
      </c>
      <c r="O5793">
        <v>47.8723863273527</v>
      </c>
      <c r="P5793">
        <v>-0.10397354493302</v>
      </c>
      <c r="Q5793">
        <v>7.0694421808073005E-2</v>
      </c>
      <c r="R5793">
        <v>0.99757842892009096</v>
      </c>
      <c r="S5793" t="s">
        <v>12245</v>
      </c>
      <c r="T5793" t="s">
        <v>12902</v>
      </c>
      <c r="U5793" t="s">
        <v>12902</v>
      </c>
      <c r="V5793" t="s">
        <v>12902</v>
      </c>
      <c r="W5793" t="s">
        <v>18644</v>
      </c>
      <c r="X5793">
        <v>10</v>
      </c>
      <c r="Y5793" t="s">
        <v>24931</v>
      </c>
      <c r="Z5793" t="s">
        <v>31368</v>
      </c>
      <c r="AA5793">
        <v>0.33877449856365333</v>
      </c>
      <c r="AB5793" t="str">
        <f>HYPERLINK("Melting_Curves/meltCurve_Q9NVH0_EXD2.pdf", "Melting_Curves/meltCurve_Q9NVH0_EXD2.pdf")</f>
        <v>Melting_Curves/meltCurve_Q9NVH0_EXD2.pdf</v>
      </c>
    </row>
    <row r="5794" spans="1:28" x14ac:dyDescent="0.25">
      <c r="A5794" t="s">
        <v>5798</v>
      </c>
      <c r="B5794">
        <v>0.99673306730245903</v>
      </c>
      <c r="C5794">
        <v>1.07521986581614</v>
      </c>
      <c r="D5794">
        <v>0.94474090772147201</v>
      </c>
      <c r="E5794">
        <v>0.77142874327258304</v>
      </c>
      <c r="F5794">
        <v>0.44883369113087601</v>
      </c>
      <c r="G5794">
        <v>0.197264809584067</v>
      </c>
      <c r="H5794">
        <v>9.3065435789924003E-2</v>
      </c>
      <c r="I5794">
        <v>8.6879612484935101E-2</v>
      </c>
      <c r="J5794">
        <v>9.5020381445577701E-2</v>
      </c>
      <c r="K5794">
        <v>8.4043692590781705E-2</v>
      </c>
      <c r="L5794">
        <v>1189.06072018801</v>
      </c>
      <c r="M5794">
        <v>22.7973394231336</v>
      </c>
      <c r="N5794">
        <v>52.539361572987197</v>
      </c>
      <c r="O5794">
        <v>51.761490691802798</v>
      </c>
      <c r="P5794">
        <v>-0.10171075007637601</v>
      </c>
      <c r="Q5794">
        <v>7.6278090355722E-2</v>
      </c>
      <c r="R5794">
        <v>0.99522539166553403</v>
      </c>
      <c r="S5794" t="s">
        <v>12246</v>
      </c>
      <c r="T5794" t="s">
        <v>12902</v>
      </c>
      <c r="U5794" t="s">
        <v>12902</v>
      </c>
      <c r="V5794" t="s">
        <v>12902</v>
      </c>
      <c r="W5794" t="s">
        <v>18645</v>
      </c>
      <c r="X5794">
        <v>16</v>
      </c>
      <c r="Y5794" t="s">
        <v>24932</v>
      </c>
      <c r="Z5794" t="s">
        <v>31369</v>
      </c>
      <c r="AA5794">
        <v>0.46068576686506513</v>
      </c>
      <c r="AB5794" t="str">
        <f>HYPERLINK("Melting_Curves/meltCurve_Q9NVH1_3_DNAJC11.pdf", "Melting_Curves/meltCurve_Q9NVH1_3_DNAJC11.pdf")</f>
        <v>Melting_Curves/meltCurve_Q9NVH1_3_DNAJC11.pdf</v>
      </c>
    </row>
    <row r="5795" spans="1:28" x14ac:dyDescent="0.25">
      <c r="A5795" t="s">
        <v>5799</v>
      </c>
      <c r="B5795">
        <v>0.99673306730245903</v>
      </c>
      <c r="C5795">
        <v>0.91186594808521304</v>
      </c>
      <c r="D5795">
        <v>0.91254579168757199</v>
      </c>
      <c r="E5795">
        <v>0.80158937445372003</v>
      </c>
      <c r="F5795">
        <v>0.34840175288666397</v>
      </c>
      <c r="G5795">
        <v>0.218650044871088</v>
      </c>
      <c r="H5795">
        <v>0.126640128642764</v>
      </c>
      <c r="I5795">
        <v>0.106172014571146</v>
      </c>
      <c r="J5795">
        <v>0.12808401239547501</v>
      </c>
      <c r="K5795">
        <v>0.10520113746246799</v>
      </c>
      <c r="L5795">
        <v>1337.57955199464</v>
      </c>
      <c r="M5795">
        <v>25.964331365025799</v>
      </c>
      <c r="N5795">
        <v>52.0320510736627</v>
      </c>
      <c r="O5795">
        <v>51.213385933366098</v>
      </c>
      <c r="P5795">
        <v>-0.112360725355487</v>
      </c>
      <c r="Q5795">
        <v>0.11350630629831</v>
      </c>
      <c r="R5795">
        <v>0.98987208763409795</v>
      </c>
      <c r="S5795" t="s">
        <v>12247</v>
      </c>
      <c r="T5795" t="s">
        <v>12902</v>
      </c>
      <c r="U5795" t="s">
        <v>12902</v>
      </c>
      <c r="V5795" t="s">
        <v>12902</v>
      </c>
      <c r="W5795" t="s">
        <v>18646</v>
      </c>
      <c r="X5795">
        <v>2</v>
      </c>
      <c r="Y5795" t="s">
        <v>24933</v>
      </c>
      <c r="Z5795" t="s">
        <v>31370</v>
      </c>
      <c r="AA5795">
        <v>0.4612823870083147</v>
      </c>
      <c r="AB5795" t="str">
        <f>HYPERLINK("Melting_Curves/meltCurve_Q9NVH2_3_INTS7.pdf", "Melting_Curves/meltCurve_Q9NVH2_3_INTS7.pdf")</f>
        <v>Melting_Curves/meltCurve_Q9NVH2_3_INTS7.pdf</v>
      </c>
    </row>
    <row r="5796" spans="1:28" x14ac:dyDescent="0.25">
      <c r="A5796" t="s">
        <v>5800</v>
      </c>
      <c r="B5796">
        <v>0.99673306730245903</v>
      </c>
      <c r="C5796">
        <v>1.0155706883260001</v>
      </c>
      <c r="D5796">
        <v>1.0276172200565601</v>
      </c>
      <c r="E5796">
        <v>1.08533685654603</v>
      </c>
      <c r="F5796">
        <v>0.972933841256862</v>
      </c>
      <c r="G5796">
        <v>0.849360864030685</v>
      </c>
      <c r="H5796">
        <v>0.50890370301729104</v>
      </c>
      <c r="I5796">
        <v>0.234393968985214</v>
      </c>
      <c r="J5796">
        <v>7.0790881438607803E-2</v>
      </c>
      <c r="K5796">
        <v>5.5190898749006199E-2</v>
      </c>
      <c r="L5796">
        <v>1548.3692627810899</v>
      </c>
      <c r="M5796">
        <v>25.459788465029501</v>
      </c>
      <c r="N5796">
        <v>60.855826024985497</v>
      </c>
      <c r="O5796">
        <v>60.444796026138199</v>
      </c>
      <c r="P5796">
        <v>-0.104438914185008</v>
      </c>
      <c r="Q5796">
        <v>8.2071498446631298E-3</v>
      </c>
      <c r="R5796">
        <v>0.99397494533418795</v>
      </c>
      <c r="S5796" t="s">
        <v>12248</v>
      </c>
      <c r="T5796" t="s">
        <v>12902</v>
      </c>
      <c r="U5796" t="s">
        <v>12902</v>
      </c>
      <c r="V5796" t="s">
        <v>12902</v>
      </c>
      <c r="W5796" t="s">
        <v>18647</v>
      </c>
      <c r="X5796">
        <v>5</v>
      </c>
      <c r="Y5796" t="s">
        <v>24934</v>
      </c>
      <c r="Z5796" t="s">
        <v>31371</v>
      </c>
      <c r="AA5796">
        <v>0.70279071647303559</v>
      </c>
      <c r="AB5796" t="str">
        <f>HYPERLINK("Melting_Curves/meltCurve_Q9NVH6_TMLHE.pdf", "Melting_Curves/meltCurve_Q9NVH6_TMLHE.pdf")</f>
        <v>Melting_Curves/meltCurve_Q9NVH6_TMLHE.pdf</v>
      </c>
    </row>
    <row r="5797" spans="1:28" x14ac:dyDescent="0.25">
      <c r="A5797" t="s">
        <v>5801</v>
      </c>
      <c r="B5797">
        <v>0.99673306730245903</v>
      </c>
      <c r="C5797">
        <v>0.87091914133653103</v>
      </c>
      <c r="D5797">
        <v>0.54958567226562705</v>
      </c>
      <c r="E5797">
        <v>0.23113343024555799</v>
      </c>
      <c r="F5797">
        <v>0.15445958915905</v>
      </c>
      <c r="G5797">
        <v>9.0201408523870194E-2</v>
      </c>
      <c r="H5797">
        <v>5.86688634197765E-2</v>
      </c>
      <c r="I5797">
        <v>6.1394984923643897E-2</v>
      </c>
      <c r="J5797">
        <v>6.4221810052836101E-2</v>
      </c>
      <c r="K5797">
        <v>5.62339330628433E-2</v>
      </c>
      <c r="L5797">
        <v>1031.1942885399401</v>
      </c>
      <c r="M5797">
        <v>22.2958811322945</v>
      </c>
      <c r="N5797">
        <v>46.5528380157795</v>
      </c>
      <c r="O5797">
        <v>45.8832028116827</v>
      </c>
      <c r="P5797">
        <v>-0.113294540277706</v>
      </c>
      <c r="Q5797">
        <v>6.7414185295809406E-2</v>
      </c>
      <c r="R5797">
        <v>0.99755747968902697</v>
      </c>
      <c r="S5797" t="s">
        <v>12249</v>
      </c>
      <c r="T5797" t="s">
        <v>12902</v>
      </c>
      <c r="U5797" t="s">
        <v>12902</v>
      </c>
      <c r="V5797" t="s">
        <v>12902</v>
      </c>
      <c r="W5797" t="s">
        <v>18648</v>
      </c>
      <c r="X5797">
        <v>6</v>
      </c>
      <c r="Y5797" t="s">
        <v>24935</v>
      </c>
      <c r="Z5797" t="s">
        <v>31372</v>
      </c>
      <c r="AA5797">
        <v>0.27278048425284412</v>
      </c>
      <c r="AB5797" t="str">
        <f>HYPERLINK("Melting_Curves/meltCurve_Q9NVI1_FANCI.pdf", "Melting_Curves/meltCurve_Q9NVI1_FANCI.pdf")</f>
        <v>Melting_Curves/meltCurve_Q9NVI1_FANCI.pdf</v>
      </c>
    </row>
    <row r="5798" spans="1:28" x14ac:dyDescent="0.25">
      <c r="A5798" t="s">
        <v>5802</v>
      </c>
      <c r="B5798">
        <v>0.99673306730245903</v>
      </c>
      <c r="C5798">
        <v>0.88927432552595598</v>
      </c>
      <c r="D5798">
        <v>0.83755476928773298</v>
      </c>
      <c r="E5798">
        <v>0.70059144151464203</v>
      </c>
      <c r="F5798">
        <v>0.23744977069474499</v>
      </c>
      <c r="G5798">
        <v>0.16739191737772899</v>
      </c>
      <c r="H5798">
        <v>0.102596440961938</v>
      </c>
      <c r="I5798">
        <v>0.100554027016332</v>
      </c>
      <c r="J5798">
        <v>0.124189371895193</v>
      </c>
      <c r="K5798">
        <v>0.104266326085141</v>
      </c>
      <c r="L5798">
        <v>1114.0337724672099</v>
      </c>
      <c r="M5798">
        <v>22.137623129682499</v>
      </c>
      <c r="N5798">
        <v>50.803732481144301</v>
      </c>
      <c r="O5798">
        <v>49.917860444716602</v>
      </c>
      <c r="P5798">
        <v>-0.100397577419121</v>
      </c>
      <c r="Q5798">
        <v>9.4478554177347407E-2</v>
      </c>
      <c r="R5798">
        <v>0.981301877493024</v>
      </c>
      <c r="S5798" t="s">
        <v>12250</v>
      </c>
      <c r="T5798" t="s">
        <v>12902</v>
      </c>
      <c r="U5798" t="s">
        <v>12902</v>
      </c>
      <c r="V5798" t="s">
        <v>12902</v>
      </c>
      <c r="W5798" t="s">
        <v>18649</v>
      </c>
      <c r="X5798">
        <v>26</v>
      </c>
      <c r="Y5798" t="s">
        <v>24936</v>
      </c>
      <c r="Z5798" t="s">
        <v>31373</v>
      </c>
      <c r="AA5798">
        <v>0.41640544599259971</v>
      </c>
      <c r="AB5798" t="str">
        <f>HYPERLINK("Melting_Curves/meltCurve_Q9NVI7_2_ATAD3A.pdf", "Melting_Curves/meltCurve_Q9NVI7_2_ATAD3A.pdf")</f>
        <v>Melting_Curves/meltCurve_Q9NVI7_2_ATAD3A.pdf</v>
      </c>
    </row>
    <row r="5799" spans="1:28" x14ac:dyDescent="0.25">
      <c r="A5799" t="s">
        <v>5803</v>
      </c>
      <c r="B5799">
        <v>0.99673306730245903</v>
      </c>
      <c r="C5799">
        <v>0.98447225269370098</v>
      </c>
      <c r="D5799">
        <v>0.92587282420077999</v>
      </c>
      <c r="E5799">
        <v>0.86026371031166504</v>
      </c>
      <c r="F5799">
        <v>0.68041279102862395</v>
      </c>
      <c r="G5799">
        <v>0.55272916720866105</v>
      </c>
      <c r="H5799">
        <v>0.44746266056424</v>
      </c>
      <c r="I5799">
        <v>0.67298489369454695</v>
      </c>
      <c r="J5799">
        <v>0.53774509611834698</v>
      </c>
      <c r="K5799">
        <v>0.38283671701834499</v>
      </c>
      <c r="L5799">
        <v>967.63146506777605</v>
      </c>
      <c r="M5799">
        <v>18.748177471325</v>
      </c>
      <c r="N5799">
        <v>68.178415090917596</v>
      </c>
      <c r="O5799">
        <v>51.035585669804803</v>
      </c>
      <c r="P5799">
        <v>-4.6403882411277103E-2</v>
      </c>
      <c r="Q5799">
        <v>0.49474559270711199</v>
      </c>
      <c r="R5799">
        <v>0.89271510772515505</v>
      </c>
      <c r="S5799" t="s">
        <v>12251</v>
      </c>
      <c r="T5799" t="s">
        <v>12902</v>
      </c>
      <c r="U5799" t="s">
        <v>12902</v>
      </c>
      <c r="V5799" t="s">
        <v>12902</v>
      </c>
      <c r="W5799" t="s">
        <v>18650</v>
      </c>
      <c r="X5799">
        <v>9</v>
      </c>
      <c r="Y5799" t="s">
        <v>24937</v>
      </c>
      <c r="Z5799" t="s">
        <v>31374</v>
      </c>
      <c r="AA5799">
        <v>0.69817934753961486</v>
      </c>
      <c r="AB5799" t="str">
        <f>HYPERLINK("Melting_Curves/meltCurve_Q9NVJ2_ARL8B.pdf", "Melting_Curves/meltCurve_Q9NVJ2_ARL8B.pdf")</f>
        <v>Melting_Curves/meltCurve_Q9NVJ2_ARL8B.pdf</v>
      </c>
    </row>
    <row r="5800" spans="1:28" x14ac:dyDescent="0.25">
      <c r="A5800" t="s">
        <v>5804</v>
      </c>
      <c r="B5800">
        <v>0.99673306730245903</v>
      </c>
      <c r="C5800">
        <v>0.90548939054587696</v>
      </c>
      <c r="D5800">
        <v>0.75820173410299496</v>
      </c>
      <c r="E5800">
        <v>0.58765550618953699</v>
      </c>
      <c r="F5800">
        <v>0.56763645508598504</v>
      </c>
      <c r="G5800">
        <v>0.430518726920257</v>
      </c>
      <c r="H5800">
        <v>0.36530207204445497</v>
      </c>
      <c r="I5800">
        <v>0.46566237058086002</v>
      </c>
      <c r="J5800">
        <v>0.697550367854054</v>
      </c>
      <c r="K5800">
        <v>0.64116561714536302</v>
      </c>
      <c r="L5800">
        <v>1116.7405686821701</v>
      </c>
      <c r="M5800">
        <v>24.394140270769402</v>
      </c>
      <c r="O5800">
        <v>45.474718955175199</v>
      </c>
      <c r="P5800">
        <v>-6.3718535726085795E-2</v>
      </c>
      <c r="Q5800">
        <v>0.5248792607435</v>
      </c>
      <c r="R5800">
        <v>0.77573616649562505</v>
      </c>
      <c r="S5800" t="s">
        <v>12252</v>
      </c>
      <c r="T5800" t="s">
        <v>12902</v>
      </c>
      <c r="U5800" t="s">
        <v>12902</v>
      </c>
      <c r="V5800" t="s">
        <v>12902</v>
      </c>
      <c r="W5800" t="s">
        <v>18651</v>
      </c>
      <c r="X5800">
        <v>7</v>
      </c>
      <c r="Y5800" t="s">
        <v>24938</v>
      </c>
      <c r="Z5800" t="s">
        <v>31375</v>
      </c>
      <c r="AA5800">
        <v>0.62110954179905464</v>
      </c>
      <c r="AB5800" t="str">
        <f>HYPERLINK("Melting_Curves/meltCurve_Q9NVK5_2_FGFR1OP2.pdf", "Melting_Curves/meltCurve_Q9NVK5_2_FGFR1OP2.pdf")</f>
        <v>Melting_Curves/meltCurve_Q9NVK5_2_FGFR1OP2.pdf</v>
      </c>
    </row>
    <row r="5801" spans="1:28" x14ac:dyDescent="0.25">
      <c r="A5801" t="s">
        <v>5805</v>
      </c>
      <c r="B5801">
        <v>0.99673306730245903</v>
      </c>
      <c r="C5801">
        <v>0.85920182247605004</v>
      </c>
      <c r="D5801">
        <v>0.81664237448897303</v>
      </c>
      <c r="E5801">
        <v>0.51774519046349299</v>
      </c>
      <c r="F5801">
        <v>0.43719390306369099</v>
      </c>
      <c r="G5801">
        <v>0.280837971108503</v>
      </c>
      <c r="H5801">
        <v>0.21470678709263499</v>
      </c>
      <c r="I5801">
        <v>0.18453419664246601</v>
      </c>
      <c r="J5801">
        <v>0.20343445072333599</v>
      </c>
      <c r="K5801">
        <v>0.191312886809096</v>
      </c>
      <c r="L5801">
        <v>667.97283593230804</v>
      </c>
      <c r="M5801">
        <v>13.547639779923699</v>
      </c>
      <c r="N5801">
        <v>50.842664690686597</v>
      </c>
      <c r="O5801">
        <v>48.268391155133003</v>
      </c>
      <c r="P5801">
        <v>-5.8385796420713301E-2</v>
      </c>
      <c r="Q5801">
        <v>0.16804266375855501</v>
      </c>
      <c r="R5801">
        <v>0.98860790588776204</v>
      </c>
      <c r="S5801" t="s">
        <v>12253</v>
      </c>
      <c r="T5801" t="s">
        <v>12902</v>
      </c>
      <c r="U5801" t="s">
        <v>12902</v>
      </c>
      <c r="V5801" t="s">
        <v>12902</v>
      </c>
      <c r="W5801" t="s">
        <v>18652</v>
      </c>
      <c r="X5801">
        <v>3</v>
      </c>
      <c r="Y5801" t="s">
        <v>24939</v>
      </c>
      <c r="Z5801" t="s">
        <v>31376</v>
      </c>
      <c r="AA5801">
        <v>0.45050898374249609</v>
      </c>
      <c r="AB5801" t="str">
        <f>HYPERLINK("Melting_Curves/meltCurve_Q9NVM4_3_PRMT7.pdf", "Melting_Curves/meltCurve_Q9NVM4_3_PRMT7.pdf")</f>
        <v>Melting_Curves/meltCurve_Q9NVM4_3_PRMT7.pdf</v>
      </c>
    </row>
    <row r="5802" spans="1:28" x14ac:dyDescent="0.25">
      <c r="A5802" t="s">
        <v>5806</v>
      </c>
      <c r="B5802">
        <v>0.99673306730245903</v>
      </c>
      <c r="C5802">
        <v>1.01081813412338</v>
      </c>
      <c r="D5802">
        <v>0.96557538002468601</v>
      </c>
      <c r="E5802">
        <v>0.78686911339961396</v>
      </c>
      <c r="F5802">
        <v>0.43405779508352799</v>
      </c>
      <c r="G5802">
        <v>0.24389323237339</v>
      </c>
      <c r="H5802">
        <v>0.127912072559655</v>
      </c>
      <c r="I5802">
        <v>0.109700476904524</v>
      </c>
      <c r="J5802">
        <v>0.12533067508683801</v>
      </c>
      <c r="K5802">
        <v>0.105434879366618</v>
      </c>
      <c r="L5802">
        <v>1201.24359235922</v>
      </c>
      <c r="M5802">
        <v>23.073022171688802</v>
      </c>
      <c r="N5802">
        <v>52.616567854253901</v>
      </c>
      <c r="O5802">
        <v>51.6763528167141</v>
      </c>
      <c r="P5802">
        <v>-9.9589408485575806E-2</v>
      </c>
      <c r="Q5802">
        <v>0.107820250002927</v>
      </c>
      <c r="R5802">
        <v>0.999044377212985</v>
      </c>
      <c r="S5802" t="s">
        <v>12254</v>
      </c>
      <c r="T5802" t="s">
        <v>12902</v>
      </c>
      <c r="U5802" t="s">
        <v>12902</v>
      </c>
      <c r="V5802" t="s">
        <v>12902</v>
      </c>
      <c r="W5802" t="s">
        <v>18653</v>
      </c>
      <c r="X5802">
        <v>6</v>
      </c>
      <c r="Y5802" t="s">
        <v>24940</v>
      </c>
      <c r="Z5802" t="s">
        <v>31377</v>
      </c>
      <c r="AA5802">
        <v>0.47604981170597221</v>
      </c>
      <c r="AB5802" t="str">
        <f>HYPERLINK("Melting_Curves/meltCurve_Q9NVM6_DNAJC17.pdf", "Melting_Curves/meltCurve_Q9NVM6_DNAJC17.pdf")</f>
        <v>Melting_Curves/meltCurve_Q9NVM6_DNAJC17.pdf</v>
      </c>
    </row>
    <row r="5803" spans="1:28" x14ac:dyDescent="0.25">
      <c r="A5803" t="s">
        <v>5807</v>
      </c>
      <c r="B5803">
        <v>0.99673306730245903</v>
      </c>
      <c r="C5803">
        <v>0.98203406314462505</v>
      </c>
      <c r="D5803">
        <v>0.56869263146162197</v>
      </c>
      <c r="E5803">
        <v>0.65297954145637305</v>
      </c>
      <c r="F5803">
        <v>0.20118412402410499</v>
      </c>
      <c r="G5803">
        <v>0.12991527501383801</v>
      </c>
      <c r="H5803">
        <v>7.8371251797477601E-2</v>
      </c>
      <c r="I5803">
        <v>7.0335151533846604E-2</v>
      </c>
      <c r="J5803">
        <v>7.9256459399086196E-2</v>
      </c>
      <c r="K5803">
        <v>6.6309469363960094E-2</v>
      </c>
      <c r="L5803">
        <v>723.78477575488205</v>
      </c>
      <c r="M5803">
        <v>14.731587931886899</v>
      </c>
      <c r="N5803">
        <v>49.403615602523999</v>
      </c>
      <c r="O5803">
        <v>48.252786246710698</v>
      </c>
      <c r="P5803">
        <v>-7.3358575573449103E-2</v>
      </c>
      <c r="Q5803">
        <v>3.8970705498979602E-2</v>
      </c>
      <c r="R5803">
        <v>0.94516691332818303</v>
      </c>
      <c r="S5803" t="s">
        <v>12255</v>
      </c>
      <c r="T5803" t="s">
        <v>12902</v>
      </c>
      <c r="U5803" t="s">
        <v>12902</v>
      </c>
      <c r="V5803" t="s">
        <v>12902</v>
      </c>
      <c r="W5803" t="s">
        <v>18654</v>
      </c>
      <c r="X5803">
        <v>16</v>
      </c>
      <c r="Y5803" t="s">
        <v>24941</v>
      </c>
      <c r="Z5803" t="s">
        <v>31378</v>
      </c>
      <c r="AA5803">
        <v>0.35590183452341151</v>
      </c>
      <c r="AB5803" t="str">
        <f>HYPERLINK("Melting_Curves/meltCurve_Q9NVM9_ASUN.pdf", "Melting_Curves/meltCurve_Q9NVM9_ASUN.pdf")</f>
        <v>Melting_Curves/meltCurve_Q9NVM9_ASUN.pdf</v>
      </c>
    </row>
    <row r="5804" spans="1:28" x14ac:dyDescent="0.25">
      <c r="A5804" t="s">
        <v>5808</v>
      </c>
      <c r="B5804">
        <v>0.99673306730245903</v>
      </c>
      <c r="C5804">
        <v>0.87641674118576796</v>
      </c>
      <c r="D5804">
        <v>0.50820763459957297</v>
      </c>
      <c r="E5804">
        <v>0.15675852174391899</v>
      </c>
      <c r="F5804">
        <v>0.115381347620922</v>
      </c>
      <c r="G5804">
        <v>7.8873377863512104E-2</v>
      </c>
      <c r="H5804">
        <v>5.7681950327502299E-2</v>
      </c>
      <c r="I5804">
        <v>3.82607376156242E-2</v>
      </c>
      <c r="J5804">
        <v>3.9638516415319701E-2</v>
      </c>
      <c r="K5804">
        <v>3.5376854635441102E-2</v>
      </c>
      <c r="L5804">
        <v>1229.31755417617</v>
      </c>
      <c r="M5804">
        <v>26.791900325829801</v>
      </c>
      <c r="N5804">
        <v>46.080779514281403</v>
      </c>
      <c r="O5804">
        <v>45.630585187462998</v>
      </c>
      <c r="P5804">
        <v>-0.13885024609441601</v>
      </c>
      <c r="Q5804">
        <v>5.4079303714494403E-2</v>
      </c>
      <c r="R5804">
        <v>0.99756511854070695</v>
      </c>
      <c r="S5804" t="s">
        <v>12256</v>
      </c>
      <c r="T5804" t="s">
        <v>12902</v>
      </c>
      <c r="U5804" t="s">
        <v>12902</v>
      </c>
      <c r="V5804" t="s">
        <v>12902</v>
      </c>
      <c r="W5804" t="s">
        <v>18655</v>
      </c>
      <c r="X5804">
        <v>8</v>
      </c>
      <c r="Y5804" t="s">
        <v>24942</v>
      </c>
      <c r="Z5804" t="s">
        <v>31379</v>
      </c>
      <c r="AA5804">
        <v>0.24709647404127369</v>
      </c>
      <c r="AB5804" t="str">
        <f>HYPERLINK("Melting_Curves/meltCurve_Q9NVN8_GNL3L.pdf", "Melting_Curves/meltCurve_Q9NVN8_GNL3L.pdf")</f>
        <v>Melting_Curves/meltCurve_Q9NVN8_GNL3L.pdf</v>
      </c>
    </row>
    <row r="5805" spans="1:28" x14ac:dyDescent="0.25">
      <c r="A5805" t="s">
        <v>5809</v>
      </c>
      <c r="B5805">
        <v>0.99673306730245903</v>
      </c>
      <c r="C5805">
        <v>0.97748029409625103</v>
      </c>
      <c r="D5805">
        <v>1.0057595235393499</v>
      </c>
      <c r="E5805">
        <v>0.95739457744701095</v>
      </c>
      <c r="F5805">
        <v>0.39869669399992702</v>
      </c>
      <c r="G5805">
        <v>0.23101200413565801</v>
      </c>
      <c r="H5805">
        <v>0.157295863164025</v>
      </c>
      <c r="I5805">
        <v>0.14829810641281799</v>
      </c>
      <c r="J5805">
        <v>0.20028760607568999</v>
      </c>
      <c r="K5805">
        <v>0.15960004608408301</v>
      </c>
      <c r="L5805">
        <v>2685.9284468217602</v>
      </c>
      <c r="M5805">
        <v>51.444358340209803</v>
      </c>
      <c r="N5805">
        <v>52.653718475522098</v>
      </c>
      <c r="O5805">
        <v>52.131646256126302</v>
      </c>
      <c r="P5805">
        <v>-0.20333944826457701</v>
      </c>
      <c r="Q5805">
        <v>0.175776512076637</v>
      </c>
      <c r="R5805">
        <v>0.996948894258609</v>
      </c>
      <c r="S5805" t="s">
        <v>12257</v>
      </c>
      <c r="T5805" t="s">
        <v>12902</v>
      </c>
      <c r="U5805" t="s">
        <v>12902</v>
      </c>
      <c r="V5805" t="s">
        <v>12902</v>
      </c>
      <c r="W5805" t="s">
        <v>18656</v>
      </c>
      <c r="X5805">
        <v>3</v>
      </c>
      <c r="Y5805" t="s">
        <v>24943</v>
      </c>
      <c r="Z5805" t="s">
        <v>31380</v>
      </c>
      <c r="AA5805">
        <v>0.51303779533176685</v>
      </c>
      <c r="AB5805" t="str">
        <f>HYPERLINK("Melting_Curves/meltCurve_Q9NVP1_DDX18.pdf", "Melting_Curves/meltCurve_Q9NVP1_DDX18.pdf")</f>
        <v>Melting_Curves/meltCurve_Q9NVP1_DDX18.pdf</v>
      </c>
    </row>
    <row r="5806" spans="1:28" x14ac:dyDescent="0.25">
      <c r="A5806" t="s">
        <v>5810</v>
      </c>
      <c r="B5806">
        <v>0.99673306730245903</v>
      </c>
      <c r="C5806">
        <v>0.93991392697866305</v>
      </c>
      <c r="D5806">
        <v>0.788264786037561</v>
      </c>
      <c r="E5806">
        <v>0.49727571994915598</v>
      </c>
      <c r="F5806">
        <v>0.24331229781806299</v>
      </c>
      <c r="G5806">
        <v>0.15327303070481199</v>
      </c>
      <c r="H5806">
        <v>5.65924752486359E-2</v>
      </c>
      <c r="I5806">
        <v>3.9346903069050997E-2</v>
      </c>
      <c r="J5806">
        <v>4.3927989960774197E-2</v>
      </c>
      <c r="K5806">
        <v>2.85060224627799E-2</v>
      </c>
      <c r="L5806">
        <v>843.75332077145902</v>
      </c>
      <c r="M5806">
        <v>17.0617718944034</v>
      </c>
      <c r="N5806">
        <v>49.618784168991901</v>
      </c>
      <c r="O5806">
        <v>48.788495754590997</v>
      </c>
      <c r="P5806">
        <v>-8.5008096404012801E-2</v>
      </c>
      <c r="Q5806">
        <v>2.7729474096348801E-2</v>
      </c>
      <c r="R5806">
        <v>0.99899497327369502</v>
      </c>
      <c r="S5806" t="s">
        <v>12258</v>
      </c>
      <c r="T5806" t="s">
        <v>12902</v>
      </c>
      <c r="U5806" t="s">
        <v>12902</v>
      </c>
      <c r="V5806" t="s">
        <v>12902</v>
      </c>
      <c r="W5806" t="s">
        <v>18657</v>
      </c>
      <c r="X5806">
        <v>3</v>
      </c>
      <c r="Y5806" t="s">
        <v>24944</v>
      </c>
      <c r="Z5806" t="s">
        <v>31381</v>
      </c>
      <c r="AA5806">
        <v>0.35262270470368701</v>
      </c>
      <c r="AB5806" t="str">
        <f>HYPERLINK("Melting_Curves/meltCurve_Q9NVP2_ASF1B.pdf", "Melting_Curves/meltCurve_Q9NVP2_ASF1B.pdf")</f>
        <v>Melting_Curves/meltCurve_Q9NVP2_ASF1B.pdf</v>
      </c>
    </row>
    <row r="5807" spans="1:28" x14ac:dyDescent="0.25">
      <c r="A5807" t="s">
        <v>5811</v>
      </c>
      <c r="B5807">
        <v>0.99673306730245903</v>
      </c>
      <c r="C5807">
        <v>0.93309495431374001</v>
      </c>
      <c r="D5807">
        <v>0.69867966506636003</v>
      </c>
      <c r="E5807">
        <v>0.48359253373112199</v>
      </c>
      <c r="F5807">
        <v>0.47623299649727302</v>
      </c>
      <c r="G5807">
        <v>0.32370781946997901</v>
      </c>
      <c r="H5807">
        <v>0.22194766603011901</v>
      </c>
      <c r="I5807">
        <v>0.176158561504202</v>
      </c>
      <c r="J5807">
        <v>0.17096243364154101</v>
      </c>
      <c r="K5807">
        <v>0.14173599816673901</v>
      </c>
      <c r="L5807">
        <v>560.63239630139606</v>
      </c>
      <c r="M5807">
        <v>11.3103088465677</v>
      </c>
      <c r="N5807">
        <v>50.8983580946609</v>
      </c>
      <c r="O5807">
        <v>48.094544919911797</v>
      </c>
      <c r="P5807">
        <v>-5.1285489022619701E-2</v>
      </c>
      <c r="Q5807">
        <v>0.127944288528168</v>
      </c>
      <c r="R5807">
        <v>0.97662090055217898</v>
      </c>
      <c r="S5807" t="s">
        <v>12259</v>
      </c>
      <c r="T5807" t="s">
        <v>12902</v>
      </c>
      <c r="U5807" t="s">
        <v>12902</v>
      </c>
      <c r="V5807" t="s">
        <v>12902</v>
      </c>
      <c r="W5807" t="s">
        <v>18658</v>
      </c>
      <c r="X5807">
        <v>3</v>
      </c>
      <c r="Y5807" t="s">
        <v>24945</v>
      </c>
      <c r="Z5807" t="s">
        <v>31382</v>
      </c>
      <c r="AA5807">
        <v>0.44008341758473551</v>
      </c>
      <c r="AB5807" t="str">
        <f>HYPERLINK("Melting_Curves/meltCurve_Q9NVQ4_FAIM.pdf", "Melting_Curves/meltCurve_Q9NVQ4_FAIM.pdf")</f>
        <v>Melting_Curves/meltCurve_Q9NVQ4_FAIM.pdf</v>
      </c>
    </row>
    <row r="5808" spans="1:28" x14ac:dyDescent="0.25">
      <c r="A5808" t="s">
        <v>5812</v>
      </c>
      <c r="B5808">
        <v>0.99673306730245903</v>
      </c>
      <c r="C5808">
        <v>0.85747864213426495</v>
      </c>
      <c r="D5808">
        <v>0.79398409147271098</v>
      </c>
      <c r="E5808">
        <v>0.61822423133343696</v>
      </c>
      <c r="F5808">
        <v>0.30301758792943601</v>
      </c>
      <c r="G5808">
        <v>0.18767321696988801</v>
      </c>
      <c r="H5808">
        <v>0.124447767857119</v>
      </c>
      <c r="I5808">
        <v>0.14570383194987099</v>
      </c>
      <c r="J5808">
        <v>0.217501606207677</v>
      </c>
      <c r="K5808">
        <v>0.193013971009736</v>
      </c>
      <c r="L5808">
        <v>848.779656977993</v>
      </c>
      <c r="M5808">
        <v>17.228649484319298</v>
      </c>
      <c r="N5808">
        <v>50.286418459959002</v>
      </c>
      <c r="O5808">
        <v>48.616232500936597</v>
      </c>
      <c r="P5808">
        <v>-7.5525971463398095E-2</v>
      </c>
      <c r="Q5808">
        <v>0.147565713130557</v>
      </c>
      <c r="R5808">
        <v>0.97769472329723495</v>
      </c>
      <c r="S5808" t="s">
        <v>12260</v>
      </c>
      <c r="T5808" t="s">
        <v>12902</v>
      </c>
      <c r="U5808" t="s">
        <v>12902</v>
      </c>
      <c r="V5808" t="s">
        <v>12902</v>
      </c>
      <c r="W5808" t="s">
        <v>18659</v>
      </c>
      <c r="X5808">
        <v>4</v>
      </c>
      <c r="Y5808" t="s">
        <v>24946</v>
      </c>
      <c r="Z5808" t="s">
        <v>31383</v>
      </c>
      <c r="AA5808">
        <v>0.42685336036727323</v>
      </c>
      <c r="AB5808" t="str">
        <f>HYPERLINK("Melting_Curves/meltCurve_Q9NVR0_KLHL11.pdf", "Melting_Curves/meltCurve_Q9NVR0_KLHL11.pdf")</f>
        <v>Melting_Curves/meltCurve_Q9NVR0_KLHL11.pdf</v>
      </c>
    </row>
    <row r="5809" spans="1:28" x14ac:dyDescent="0.25">
      <c r="A5809" t="s">
        <v>5813</v>
      </c>
      <c r="B5809">
        <v>0.99673306730245903</v>
      </c>
      <c r="C5809">
        <v>0.87953218364893404</v>
      </c>
      <c r="D5809">
        <v>0.85494841168942304</v>
      </c>
      <c r="E5809">
        <v>0.78040170064557701</v>
      </c>
      <c r="F5809">
        <v>0.24276587225917701</v>
      </c>
      <c r="G5809">
        <v>9.9492283231576301E-2</v>
      </c>
      <c r="H5809">
        <v>6.1323476584301297E-2</v>
      </c>
      <c r="I5809">
        <v>7.5365916191812599E-2</v>
      </c>
      <c r="J5809">
        <v>0.122201932176455</v>
      </c>
      <c r="K5809">
        <v>9.3518428423322295E-2</v>
      </c>
      <c r="L5809">
        <v>1755.9214942409501</v>
      </c>
      <c r="M5809">
        <v>34.424223864673898</v>
      </c>
      <c r="N5809">
        <v>51.276242636439299</v>
      </c>
      <c r="O5809">
        <v>50.837115489153199</v>
      </c>
      <c r="P5809">
        <v>-0.15535294191473201</v>
      </c>
      <c r="Q5809">
        <v>8.23133368771653E-2</v>
      </c>
      <c r="R5809">
        <v>0.97685506278442502</v>
      </c>
      <c r="S5809" t="s">
        <v>12261</v>
      </c>
      <c r="T5809" t="s">
        <v>12902</v>
      </c>
      <c r="U5809" t="s">
        <v>12902</v>
      </c>
      <c r="V5809" t="s">
        <v>12902</v>
      </c>
      <c r="W5809" t="s">
        <v>18660</v>
      </c>
      <c r="X5809">
        <v>4</v>
      </c>
      <c r="Y5809" t="s">
        <v>24947</v>
      </c>
      <c r="Z5809" t="s">
        <v>31384</v>
      </c>
      <c r="AA5809">
        <v>0.42343018907739538</v>
      </c>
      <c r="AB5809" t="str">
        <f>HYPERLINK("Melting_Curves/meltCurve_Q9NVR2_INTS10.pdf", "Melting_Curves/meltCurve_Q9NVR2_INTS10.pdf")</f>
        <v>Melting_Curves/meltCurve_Q9NVR2_INTS10.pdf</v>
      </c>
    </row>
    <row r="5810" spans="1:28" x14ac:dyDescent="0.25">
      <c r="A5810" t="s">
        <v>5814</v>
      </c>
      <c r="B5810">
        <v>0.99673306730245903</v>
      </c>
      <c r="C5810">
        <v>0.96118790149618305</v>
      </c>
      <c r="D5810">
        <v>0.82209655560166695</v>
      </c>
      <c r="E5810">
        <v>0.627034479760473</v>
      </c>
      <c r="F5810">
        <v>0.50743795747877896</v>
      </c>
      <c r="G5810">
        <v>0.25635427644816999</v>
      </c>
      <c r="H5810">
        <v>0.15378354640508099</v>
      </c>
      <c r="I5810">
        <v>0.115404732032588</v>
      </c>
      <c r="J5810">
        <v>0.10382841876605201</v>
      </c>
      <c r="K5810">
        <v>9.6317228662966395E-2</v>
      </c>
      <c r="L5810">
        <v>663.69897035729105</v>
      </c>
      <c r="M5810">
        <v>12.8048494105879</v>
      </c>
      <c r="N5810">
        <v>52.242332767043699</v>
      </c>
      <c r="O5810">
        <v>50.616496254817299</v>
      </c>
      <c r="P5810">
        <v>-6.0228958448320297E-2</v>
      </c>
      <c r="Q5810">
        <v>4.7858311527066599E-2</v>
      </c>
      <c r="R5810">
        <v>0.99393553066887697</v>
      </c>
      <c r="S5810" t="s">
        <v>12262</v>
      </c>
      <c r="T5810" t="s">
        <v>12902</v>
      </c>
      <c r="U5810" t="s">
        <v>12902</v>
      </c>
      <c r="V5810" t="s">
        <v>12902</v>
      </c>
      <c r="W5810" t="s">
        <v>18661</v>
      </c>
      <c r="X5810">
        <v>3</v>
      </c>
      <c r="Y5810" t="s">
        <v>24948</v>
      </c>
      <c r="Z5810" t="s">
        <v>31385</v>
      </c>
      <c r="AA5810">
        <v>0.45037981882420741</v>
      </c>
      <c r="AB5810" t="str">
        <f>HYPERLINK("Melting_Curves/meltCurve_Q9NVR5_DNAAF2.pdf", "Melting_Curves/meltCurve_Q9NVR5_DNAAF2.pdf")</f>
        <v>Melting_Curves/meltCurve_Q9NVR5_DNAAF2.pdf</v>
      </c>
    </row>
    <row r="5811" spans="1:28" x14ac:dyDescent="0.25">
      <c r="A5811" t="s">
        <v>5815</v>
      </c>
      <c r="B5811">
        <v>0.99673306730245903</v>
      </c>
      <c r="C5811">
        <v>1.0125357818977101</v>
      </c>
      <c r="D5811">
        <v>1.0372987495968899</v>
      </c>
      <c r="E5811">
        <v>0.98157058223140703</v>
      </c>
      <c r="F5811">
        <v>0.786446579782902</v>
      </c>
      <c r="G5811">
        <v>0.54216674652261698</v>
      </c>
      <c r="H5811">
        <v>0.24634939040564799</v>
      </c>
      <c r="I5811">
        <v>0.157508139025927</v>
      </c>
      <c r="J5811">
        <v>0.14626053706578401</v>
      </c>
      <c r="K5811">
        <v>0.13563396342263601</v>
      </c>
      <c r="L5811">
        <v>1277.25304471394</v>
      </c>
      <c r="M5811">
        <v>22.669011730143101</v>
      </c>
      <c r="N5811">
        <v>57.012302590288797</v>
      </c>
      <c r="O5811">
        <v>55.910615423424197</v>
      </c>
      <c r="P5811">
        <v>-8.9531236388374402E-2</v>
      </c>
      <c r="Q5811">
        <v>0.11674201683846901</v>
      </c>
      <c r="R5811">
        <v>0.99698918621134103</v>
      </c>
      <c r="S5811" t="s">
        <v>12263</v>
      </c>
      <c r="T5811" t="s">
        <v>12902</v>
      </c>
      <c r="U5811" t="s">
        <v>12902</v>
      </c>
      <c r="V5811" t="s">
        <v>12902</v>
      </c>
      <c r="W5811" t="s">
        <v>18662</v>
      </c>
      <c r="X5811">
        <v>12</v>
      </c>
      <c r="Y5811" t="s">
        <v>24949</v>
      </c>
      <c r="Z5811" t="s">
        <v>31386</v>
      </c>
      <c r="AA5811">
        <v>0.60732890128903327</v>
      </c>
      <c r="AB5811" t="str">
        <f>HYPERLINK("Melting_Curves/meltCurve_Q9NVS9_PNPO.pdf", "Melting_Curves/meltCurve_Q9NVS9_PNPO.pdf")</f>
        <v>Melting_Curves/meltCurve_Q9NVS9_PNPO.pdf</v>
      </c>
    </row>
    <row r="5812" spans="1:28" x14ac:dyDescent="0.25">
      <c r="A5812" t="s">
        <v>5816</v>
      </c>
      <c r="B5812">
        <v>0.99673306730245903</v>
      </c>
      <c r="C5812">
        <v>1.00411722149234</v>
      </c>
      <c r="D5812">
        <v>0.95654046892714994</v>
      </c>
      <c r="E5812">
        <v>0.70075675243310398</v>
      </c>
      <c r="F5812">
        <v>0.23337429523175801</v>
      </c>
      <c r="G5812">
        <v>0.139880239616683</v>
      </c>
      <c r="H5812">
        <v>0.101225913814942</v>
      </c>
      <c r="I5812">
        <v>8.3091588116037104E-2</v>
      </c>
      <c r="J5812">
        <v>7.9371283715475305E-2</v>
      </c>
      <c r="K5812">
        <v>0.110155729174297</v>
      </c>
      <c r="L5812">
        <v>1691.6289787702201</v>
      </c>
      <c r="M5812">
        <v>33.429957095259901</v>
      </c>
      <c r="N5812">
        <v>50.926017601830203</v>
      </c>
      <c r="O5812">
        <v>50.422164843948202</v>
      </c>
      <c r="P5812">
        <v>-0.149880544754669</v>
      </c>
      <c r="Q5812">
        <v>9.5749178362380394E-2</v>
      </c>
      <c r="R5812">
        <v>0.99907171271057804</v>
      </c>
      <c r="S5812" t="s">
        <v>12264</v>
      </c>
      <c r="T5812" t="s">
        <v>12902</v>
      </c>
      <c r="U5812" t="s">
        <v>12902</v>
      </c>
      <c r="V5812" t="s">
        <v>12902</v>
      </c>
      <c r="W5812" t="s">
        <v>18663</v>
      </c>
      <c r="X5812">
        <v>8</v>
      </c>
      <c r="Y5812" t="s">
        <v>24950</v>
      </c>
      <c r="Z5812" t="s">
        <v>31387</v>
      </c>
      <c r="AA5812">
        <v>0.41985901502181128</v>
      </c>
      <c r="AB5812" t="str">
        <f>HYPERLINK("Melting_Curves/meltCurve_Q9NVT9_ARMC1.pdf", "Melting_Curves/meltCurve_Q9NVT9_ARMC1.pdf")</f>
        <v>Melting_Curves/meltCurve_Q9NVT9_ARMC1.pdf</v>
      </c>
    </row>
    <row r="5813" spans="1:28" x14ac:dyDescent="0.25">
      <c r="A5813" t="s">
        <v>5817</v>
      </c>
      <c r="B5813">
        <v>0.99673306730245903</v>
      </c>
      <c r="C5813">
        <v>1.0643253747466499</v>
      </c>
      <c r="D5813">
        <v>0.85040605395064295</v>
      </c>
      <c r="E5813">
        <v>0.51506800358496496</v>
      </c>
      <c r="F5813">
        <v>0.47701236987981399</v>
      </c>
      <c r="G5813">
        <v>0.205693660806469</v>
      </c>
      <c r="H5813">
        <v>9.79011474411461E-2</v>
      </c>
      <c r="I5813">
        <v>0.107902758613869</v>
      </c>
      <c r="J5813">
        <v>0.120757126493578</v>
      </c>
      <c r="K5813">
        <v>7.5026914147392001E-2</v>
      </c>
      <c r="L5813">
        <v>803.34288996936095</v>
      </c>
      <c r="M5813">
        <v>15.842897578731099</v>
      </c>
      <c r="N5813">
        <v>51.235252239961802</v>
      </c>
      <c r="O5813">
        <v>49.919559894634901</v>
      </c>
      <c r="P5813">
        <v>-7.3367681752798702E-2</v>
      </c>
      <c r="Q5813">
        <v>7.5375283983957306E-2</v>
      </c>
      <c r="R5813">
        <v>0.973446262005495</v>
      </c>
      <c r="S5813" t="s">
        <v>12265</v>
      </c>
      <c r="T5813" t="s">
        <v>12902</v>
      </c>
      <c r="U5813" t="s">
        <v>12902</v>
      </c>
      <c r="V5813" t="s">
        <v>12902</v>
      </c>
      <c r="W5813" t="s">
        <v>18664</v>
      </c>
      <c r="X5813">
        <v>2</v>
      </c>
      <c r="Y5813" t="s">
        <v>24951</v>
      </c>
      <c r="Z5813" t="s">
        <v>31388</v>
      </c>
      <c r="AA5813">
        <v>0.42500223523235697</v>
      </c>
      <c r="AB5813" t="str">
        <f>HYPERLINK("Melting_Curves/meltCurve_Q9NVU0_3_POLR3E.pdf", "Melting_Curves/meltCurve_Q9NVU0_3_POLR3E.pdf")</f>
        <v>Melting_Curves/meltCurve_Q9NVU0_3_POLR3E.pdf</v>
      </c>
    </row>
    <row r="5814" spans="1:28" x14ac:dyDescent="0.25">
      <c r="A5814" t="s">
        <v>5818</v>
      </c>
      <c r="B5814">
        <v>0.99673306730245903</v>
      </c>
      <c r="C5814">
        <v>0.89978284203794201</v>
      </c>
      <c r="D5814">
        <v>0.87413881185646802</v>
      </c>
      <c r="E5814">
        <v>0.76371003953225602</v>
      </c>
      <c r="F5814">
        <v>0.179181940532847</v>
      </c>
      <c r="G5814">
        <v>0.11839464117119999</v>
      </c>
      <c r="H5814">
        <v>7.2117747129514506E-2</v>
      </c>
      <c r="I5814">
        <v>5.9961420503890597E-2</v>
      </c>
      <c r="J5814">
        <v>6.6785918951922596E-2</v>
      </c>
      <c r="K5814">
        <v>5.4153114604741301E-2</v>
      </c>
      <c r="L5814">
        <v>1978.6459564921699</v>
      </c>
      <c r="M5814">
        <v>38.938570572112603</v>
      </c>
      <c r="N5814">
        <v>51.003396271669601</v>
      </c>
      <c r="O5814">
        <v>50.681091823711398</v>
      </c>
      <c r="P5814">
        <v>-0.17918244207216799</v>
      </c>
      <c r="Q5814">
        <v>6.7131775385079598E-2</v>
      </c>
      <c r="R5814">
        <v>0.98390097721272696</v>
      </c>
      <c r="S5814" t="s">
        <v>12266</v>
      </c>
      <c r="T5814" t="s">
        <v>12902</v>
      </c>
      <c r="U5814" t="s">
        <v>12902</v>
      </c>
      <c r="V5814" t="s">
        <v>12902</v>
      </c>
      <c r="W5814" t="s">
        <v>18665</v>
      </c>
      <c r="X5814">
        <v>10</v>
      </c>
      <c r="Y5814" t="s">
        <v>24952</v>
      </c>
      <c r="Z5814" t="s">
        <v>31389</v>
      </c>
      <c r="AA5814">
        <v>0.40687593525131838</v>
      </c>
      <c r="AB5814" t="str">
        <f>HYPERLINK("Melting_Curves/meltCurve_Q9NVV4_MTPAP.pdf", "Melting_Curves/meltCurve_Q9NVV4_MTPAP.pdf")</f>
        <v>Melting_Curves/meltCurve_Q9NVV4_MTPAP.pdf</v>
      </c>
    </row>
    <row r="5815" spans="1:28" x14ac:dyDescent="0.25">
      <c r="A5815" t="s">
        <v>5819</v>
      </c>
      <c r="B5815">
        <v>0.99673306730245903</v>
      </c>
      <c r="C5815">
        <v>1.0036311824025199</v>
      </c>
      <c r="D5815">
        <v>0.91546972077994304</v>
      </c>
      <c r="E5815">
        <v>0.90741619598979195</v>
      </c>
      <c r="F5815">
        <v>0.70972080538650295</v>
      </c>
      <c r="G5815">
        <v>0.50307707402596102</v>
      </c>
      <c r="H5815">
        <v>0.32114579194828402</v>
      </c>
      <c r="I5815">
        <v>0.33715111715736001</v>
      </c>
      <c r="J5815">
        <v>0.29750208943842599</v>
      </c>
      <c r="K5815">
        <v>0.19165990872875099</v>
      </c>
      <c r="L5815">
        <v>869.48629375912299</v>
      </c>
      <c r="M5815">
        <v>15.825221602122101</v>
      </c>
      <c r="N5815">
        <v>56.984031085428299</v>
      </c>
      <c r="O5815">
        <v>54.088202096369002</v>
      </c>
      <c r="P5815">
        <v>-5.7326529323231797E-2</v>
      </c>
      <c r="Q5815">
        <v>0.216330949593495</v>
      </c>
      <c r="R5815">
        <v>0.98847820617603299</v>
      </c>
      <c r="S5815" t="s">
        <v>12267</v>
      </c>
      <c r="T5815" t="s">
        <v>12902</v>
      </c>
      <c r="U5815" t="s">
        <v>12902</v>
      </c>
      <c r="V5815" t="s">
        <v>12902</v>
      </c>
      <c r="W5815" t="s">
        <v>18666</v>
      </c>
      <c r="X5815">
        <v>12</v>
      </c>
      <c r="Y5815" t="s">
        <v>24953</v>
      </c>
      <c r="Z5815" t="s">
        <v>31390</v>
      </c>
      <c r="AA5815">
        <v>0.62096952378217229</v>
      </c>
      <c r="AB5815" t="str">
        <f>HYPERLINK("Melting_Curves/meltCurve_Q9NVX2_NLE1.pdf", "Melting_Curves/meltCurve_Q9NVX2_NLE1.pdf")</f>
        <v>Melting_Curves/meltCurve_Q9NVX2_NLE1.pdf</v>
      </c>
    </row>
    <row r="5816" spans="1:28" x14ac:dyDescent="0.25">
      <c r="A5816" t="s">
        <v>5820</v>
      </c>
      <c r="B5816">
        <v>0.99673306730245903</v>
      </c>
      <c r="C5816">
        <v>0.97151634838059697</v>
      </c>
      <c r="D5816">
        <v>0.98229765417839399</v>
      </c>
      <c r="E5816">
        <v>1.0249472848547401</v>
      </c>
      <c r="F5816">
        <v>0.67131827137048194</v>
      </c>
      <c r="G5816">
        <v>0.41538130180292798</v>
      </c>
      <c r="H5816">
        <v>0.17253520939905601</v>
      </c>
      <c r="I5816">
        <v>0.145668658981946</v>
      </c>
      <c r="J5816">
        <v>0.11226300656544801</v>
      </c>
      <c r="K5816">
        <v>0.101567755419674</v>
      </c>
      <c r="L5816">
        <v>1345.1081662172501</v>
      </c>
      <c r="M5816">
        <v>24.4770352398961</v>
      </c>
      <c r="N5816">
        <v>55.493453955805599</v>
      </c>
      <c r="O5816">
        <v>54.591018306124703</v>
      </c>
      <c r="P5816">
        <v>-0.100224199397329</v>
      </c>
      <c r="Q5816">
        <v>0.105894756313222</v>
      </c>
      <c r="R5816">
        <v>0.99201124493491799</v>
      </c>
      <c r="S5816" t="s">
        <v>12268</v>
      </c>
      <c r="T5816" t="s">
        <v>12902</v>
      </c>
      <c r="U5816" t="s">
        <v>12902</v>
      </c>
      <c r="V5816" t="s">
        <v>12902</v>
      </c>
      <c r="W5816" t="s">
        <v>18667</v>
      </c>
      <c r="X5816">
        <v>4</v>
      </c>
      <c r="Y5816" t="s">
        <v>24954</v>
      </c>
      <c r="Z5816" t="s">
        <v>31391</v>
      </c>
      <c r="AA5816">
        <v>0.56015715137142796</v>
      </c>
      <c r="AB5816" t="str">
        <f>HYPERLINK("Melting_Curves/meltCurve_Q9NVX7_KBTBD4.pdf", "Melting_Curves/meltCurve_Q9NVX7_KBTBD4.pdf")</f>
        <v>Melting_Curves/meltCurve_Q9NVX7_KBTBD4.pdf</v>
      </c>
    </row>
    <row r="5817" spans="1:28" x14ac:dyDescent="0.25">
      <c r="A5817" t="s">
        <v>5821</v>
      </c>
      <c r="B5817">
        <v>0.99673306730245903</v>
      </c>
      <c r="C5817">
        <v>0.99664698061055002</v>
      </c>
      <c r="D5817">
        <v>0.92547383877225398</v>
      </c>
      <c r="E5817">
        <v>0.86176429190437598</v>
      </c>
      <c r="F5817">
        <v>0.42250530705654399</v>
      </c>
      <c r="G5817">
        <v>0.195493842982597</v>
      </c>
      <c r="H5817">
        <v>8.9663298693424903E-2</v>
      </c>
      <c r="I5817">
        <v>7.8193703457449096E-2</v>
      </c>
      <c r="J5817">
        <v>7.4411705117326907E-2</v>
      </c>
      <c r="K5817">
        <v>6.9125952182476996E-2</v>
      </c>
      <c r="L5817">
        <v>1412.32793246655</v>
      </c>
      <c r="M5817">
        <v>26.954920686432899</v>
      </c>
      <c r="N5817">
        <v>52.701575125964901</v>
      </c>
      <c r="O5817">
        <v>52.110086195617903</v>
      </c>
      <c r="P5817">
        <v>-0.119960808127753</v>
      </c>
      <c r="Q5817">
        <v>7.2361508046949394E-2</v>
      </c>
      <c r="R5817">
        <v>0.99717747687047598</v>
      </c>
      <c r="S5817" t="s">
        <v>12269</v>
      </c>
      <c r="T5817" t="s">
        <v>12902</v>
      </c>
      <c r="U5817" t="s">
        <v>12902</v>
      </c>
      <c r="V5817" t="s">
        <v>12902</v>
      </c>
      <c r="W5817" t="s">
        <v>18668</v>
      </c>
      <c r="X5817">
        <v>4</v>
      </c>
      <c r="Y5817" t="s">
        <v>24955</v>
      </c>
      <c r="Z5817" t="s">
        <v>31392</v>
      </c>
      <c r="AA5817">
        <v>0.46301281110201059</v>
      </c>
      <c r="AB5817" t="str">
        <f>HYPERLINK("Melting_Curves/meltCurve_Q9NVZ3_NECAP2.pdf", "Melting_Curves/meltCurve_Q9NVZ3_NECAP2.pdf")</f>
        <v>Melting_Curves/meltCurve_Q9NVZ3_NECAP2.pdf</v>
      </c>
    </row>
    <row r="5818" spans="1:28" x14ac:dyDescent="0.25">
      <c r="A5818" t="s">
        <v>5822</v>
      </c>
      <c r="B5818">
        <v>0.99673306730245903</v>
      </c>
      <c r="C5818">
        <v>1.0279101219301401</v>
      </c>
      <c r="D5818">
        <v>1.32807680821281</v>
      </c>
      <c r="E5818">
        <v>0.94287643784122799</v>
      </c>
      <c r="F5818">
        <v>0.68046431364019699</v>
      </c>
      <c r="G5818">
        <v>0.31578594747264999</v>
      </c>
      <c r="H5818">
        <v>0.181613831768628</v>
      </c>
      <c r="I5818">
        <v>0.18032978321158399</v>
      </c>
      <c r="J5818">
        <v>0.27965795928215798</v>
      </c>
      <c r="K5818">
        <v>0.33412963856995997</v>
      </c>
      <c r="L5818">
        <v>2260.0633771929402</v>
      </c>
      <c r="M5818">
        <v>42.184728936294597</v>
      </c>
      <c r="N5818">
        <v>54.441874393369602</v>
      </c>
      <c r="O5818">
        <v>53.455428889208797</v>
      </c>
      <c r="P5818">
        <v>-0.14905154431950601</v>
      </c>
      <c r="Q5818">
        <v>0.244503949608053</v>
      </c>
      <c r="R5818">
        <v>0.919575824479681</v>
      </c>
      <c r="S5818" t="s">
        <v>12270</v>
      </c>
      <c r="T5818" t="s">
        <v>12902</v>
      </c>
      <c r="U5818" t="s">
        <v>12902</v>
      </c>
      <c r="V5818" t="s">
        <v>12902</v>
      </c>
      <c r="W5818" t="s">
        <v>18669</v>
      </c>
      <c r="X5818">
        <v>1</v>
      </c>
      <c r="Y5818" t="s">
        <v>24956</v>
      </c>
      <c r="Z5818" t="s">
        <v>31393</v>
      </c>
      <c r="AA5818">
        <v>0.58888684747748654</v>
      </c>
      <c r="AB5818" t="str">
        <f>HYPERLINK("Melting_Curves/meltCurve_Q9NW07_ZNF358.pdf", "Melting_Curves/meltCurve_Q9NW07_ZNF358.pdf")</f>
        <v>Melting_Curves/meltCurve_Q9NW07_ZNF358.pdf</v>
      </c>
    </row>
    <row r="5819" spans="1:28" x14ac:dyDescent="0.25">
      <c r="A5819" t="s">
        <v>5823</v>
      </c>
      <c r="B5819">
        <v>0.99673306730245903</v>
      </c>
      <c r="C5819">
        <v>0.81160618826148401</v>
      </c>
      <c r="D5819">
        <v>0.69982665482459405</v>
      </c>
      <c r="E5819">
        <v>0.67510295405005305</v>
      </c>
      <c r="F5819">
        <v>0.245677744152273</v>
      </c>
      <c r="G5819">
        <v>6.1012319363846497E-2</v>
      </c>
      <c r="H5819">
        <v>3.3163330548921802E-2</v>
      </c>
      <c r="I5819">
        <v>2.8308026973577299E-2</v>
      </c>
      <c r="J5819">
        <v>3.7667547655177901E-2</v>
      </c>
      <c r="K5819">
        <v>2.1658537872298302E-2</v>
      </c>
      <c r="L5819">
        <v>729.88041983070104</v>
      </c>
      <c r="M5819">
        <v>14.648457108552901</v>
      </c>
      <c r="N5819">
        <v>49.826435394216098</v>
      </c>
      <c r="O5819">
        <v>48.925469907739902</v>
      </c>
      <c r="P5819">
        <v>-7.4859174016844499E-2</v>
      </c>
      <c r="Q5819">
        <v>0</v>
      </c>
      <c r="R5819">
        <v>0.96272413253898703</v>
      </c>
      <c r="S5819" t="s">
        <v>12271</v>
      </c>
      <c r="T5819" t="s">
        <v>12902</v>
      </c>
      <c r="U5819" t="s">
        <v>12902</v>
      </c>
      <c r="V5819" t="s">
        <v>12902</v>
      </c>
      <c r="W5819" t="s">
        <v>18670</v>
      </c>
      <c r="X5819">
        <v>2</v>
      </c>
      <c r="Y5819" t="s">
        <v>24957</v>
      </c>
      <c r="Z5819" t="s">
        <v>31394</v>
      </c>
      <c r="AA5819">
        <v>0.35256384344027408</v>
      </c>
      <c r="AB5819" t="str">
        <f>HYPERLINK("Melting_Curves/meltCurve_Q9NW15_ANO10.pdf", "Melting_Curves/meltCurve_Q9NW15_ANO10.pdf")</f>
        <v>Melting_Curves/meltCurve_Q9NW15_ANO10.pdf</v>
      </c>
    </row>
    <row r="5820" spans="1:28" x14ac:dyDescent="0.25">
      <c r="A5820" t="s">
        <v>5824</v>
      </c>
      <c r="B5820">
        <v>0.99673306730245903</v>
      </c>
      <c r="C5820">
        <v>1.0111349121418101</v>
      </c>
      <c r="D5820">
        <v>0.99888997512636901</v>
      </c>
      <c r="E5820">
        <v>0.72084651604417604</v>
      </c>
      <c r="F5820">
        <v>0.285158860189968</v>
      </c>
      <c r="G5820">
        <v>0.16599104750588101</v>
      </c>
      <c r="H5820">
        <v>9.2738909384528806E-2</v>
      </c>
      <c r="I5820">
        <v>7.9195630744025497E-2</v>
      </c>
      <c r="J5820">
        <v>9.4280498972044602E-2</v>
      </c>
      <c r="K5820">
        <v>8.35877402585882E-2</v>
      </c>
      <c r="L5820">
        <v>1549.3127793463</v>
      </c>
      <c r="M5820">
        <v>30.389681190387101</v>
      </c>
      <c r="N5820">
        <v>51.325385166129003</v>
      </c>
      <c r="O5820">
        <v>50.762313330433798</v>
      </c>
      <c r="P5820">
        <v>-0.135882997534399</v>
      </c>
      <c r="Q5820">
        <v>9.21007382994532E-2</v>
      </c>
      <c r="R5820">
        <v>0.99823774811082</v>
      </c>
      <c r="S5820" t="s">
        <v>12272</v>
      </c>
      <c r="T5820" t="s">
        <v>12902</v>
      </c>
      <c r="U5820" t="s">
        <v>12902</v>
      </c>
      <c r="V5820" t="s">
        <v>12902</v>
      </c>
      <c r="W5820" t="s">
        <v>18671</v>
      </c>
      <c r="X5820">
        <v>10</v>
      </c>
      <c r="Y5820" t="s">
        <v>24958</v>
      </c>
      <c r="Z5820" t="s">
        <v>31395</v>
      </c>
      <c r="AA5820">
        <v>0.42999944016489239</v>
      </c>
      <c r="AB5820" t="str">
        <f>HYPERLINK("Melting_Curves/meltCurve_Q9NW64_RBM22.pdf", "Melting_Curves/meltCurve_Q9NW64_RBM22.pdf")</f>
        <v>Melting_Curves/meltCurve_Q9NW64_RBM22.pdf</v>
      </c>
    </row>
    <row r="5821" spans="1:28" x14ac:dyDescent="0.25">
      <c r="A5821" t="s">
        <v>5825</v>
      </c>
      <c r="B5821">
        <v>0.99673306730245903</v>
      </c>
      <c r="C5821">
        <v>0.98122948668707399</v>
      </c>
      <c r="D5821">
        <v>0.87947062463607995</v>
      </c>
      <c r="E5821">
        <v>0.74322033609279703</v>
      </c>
      <c r="F5821">
        <v>0.55925252608921405</v>
      </c>
      <c r="G5821">
        <v>0.39653566241361898</v>
      </c>
      <c r="H5821">
        <v>0.32592904879307</v>
      </c>
      <c r="I5821">
        <v>0.38798084072641098</v>
      </c>
      <c r="J5821">
        <v>0.83656928254130702</v>
      </c>
      <c r="K5821">
        <v>1.24637983585531</v>
      </c>
      <c r="L5821">
        <v>1553.0378953711299</v>
      </c>
      <c r="M5821">
        <v>32.813809623848897</v>
      </c>
      <c r="O5821">
        <v>47.154057784603303</v>
      </c>
      <c r="P5821">
        <v>-6.4450394463424501E-2</v>
      </c>
      <c r="Q5821">
        <v>0.62953607143219104</v>
      </c>
      <c r="R5821">
        <v>0.253963345879129</v>
      </c>
      <c r="S5821" t="s">
        <v>12273</v>
      </c>
      <c r="T5821" t="s">
        <v>12902</v>
      </c>
      <c r="U5821" t="s">
        <v>12902</v>
      </c>
      <c r="V5821" t="s">
        <v>12902</v>
      </c>
      <c r="W5821" t="s">
        <v>18672</v>
      </c>
      <c r="X5821">
        <v>1</v>
      </c>
      <c r="Y5821" t="s">
        <v>24959</v>
      </c>
      <c r="Z5821" t="s">
        <v>31396</v>
      </c>
      <c r="AA5821">
        <v>0.72187574009648448</v>
      </c>
      <c r="AB5821" t="str">
        <f>HYPERLINK("Melting_Curves/meltCurve_Q9NW75_GPATCH2.pdf", "Melting_Curves/meltCurve_Q9NW75_GPATCH2.pdf")</f>
        <v>Melting_Curves/meltCurve_Q9NW75_GPATCH2.pdf</v>
      </c>
    </row>
    <row r="5822" spans="1:28" x14ac:dyDescent="0.25">
      <c r="A5822" t="s">
        <v>5826</v>
      </c>
      <c r="B5822">
        <v>0.99673306730245903</v>
      </c>
      <c r="C5822">
        <v>0.99063780103325505</v>
      </c>
      <c r="D5822">
        <v>1.02036336993012</v>
      </c>
      <c r="E5822">
        <v>0.95733400979598404</v>
      </c>
      <c r="F5822">
        <v>0.74031977940800298</v>
      </c>
      <c r="G5822">
        <v>0.39257440257555598</v>
      </c>
      <c r="H5822">
        <v>0.121993498914725</v>
      </c>
      <c r="I5822">
        <v>0.109939567687788</v>
      </c>
      <c r="J5822">
        <v>0.114612131116274</v>
      </c>
      <c r="K5822">
        <v>0.10900079195256999</v>
      </c>
      <c r="L5822">
        <v>1511.43236710885</v>
      </c>
      <c r="M5822">
        <v>27.4335499948711</v>
      </c>
      <c r="N5822">
        <v>55.517392332564199</v>
      </c>
      <c r="O5822">
        <v>54.804058530328398</v>
      </c>
      <c r="P5822">
        <v>-0.11334015970568399</v>
      </c>
      <c r="Q5822">
        <v>9.4329072069101405E-2</v>
      </c>
      <c r="R5822">
        <v>0.99813382839096398</v>
      </c>
      <c r="S5822" t="s">
        <v>12274</v>
      </c>
      <c r="T5822" t="s">
        <v>12902</v>
      </c>
      <c r="U5822" t="s">
        <v>12902</v>
      </c>
      <c r="V5822" t="s">
        <v>12902</v>
      </c>
      <c r="W5822" t="s">
        <v>18673</v>
      </c>
      <c r="X5822">
        <v>20</v>
      </c>
      <c r="Y5822" t="s">
        <v>24960</v>
      </c>
      <c r="Z5822" t="s">
        <v>31397</v>
      </c>
      <c r="AA5822">
        <v>0.55710790663684884</v>
      </c>
      <c r="AB5822" t="str">
        <f>HYPERLINK("Melting_Curves/meltCurve_Q9NW82_WDR70.pdf", "Melting_Curves/meltCurve_Q9NW82_WDR70.pdf")</f>
        <v>Melting_Curves/meltCurve_Q9NW82_WDR70.pdf</v>
      </c>
    </row>
    <row r="5823" spans="1:28" x14ac:dyDescent="0.25">
      <c r="A5823" t="s">
        <v>5827</v>
      </c>
      <c r="B5823">
        <v>0.99673306730245903</v>
      </c>
      <c r="C5823">
        <v>1.02248359603002</v>
      </c>
      <c r="D5823">
        <v>1.03591147686667</v>
      </c>
      <c r="E5823">
        <v>1.17064823946241</v>
      </c>
      <c r="F5823">
        <v>1.2711224807641901</v>
      </c>
      <c r="G5823">
        <v>1.2582987797003899</v>
      </c>
      <c r="H5823">
        <v>1.0179602910793599</v>
      </c>
      <c r="I5823">
        <v>1.4247544459697301</v>
      </c>
      <c r="J5823">
        <v>2.18080570524176</v>
      </c>
      <c r="K5823">
        <v>1.9738506204700901</v>
      </c>
      <c r="L5823">
        <v>892.04011017367498</v>
      </c>
      <c r="M5823">
        <v>16.3707782114145</v>
      </c>
      <c r="O5823">
        <v>53.696175264425598</v>
      </c>
      <c r="P5823">
        <v>3.8112471684408601E-2</v>
      </c>
      <c r="Q5823">
        <v>1.5</v>
      </c>
      <c r="R5823">
        <v>0.41791033023673202</v>
      </c>
      <c r="S5823" t="s">
        <v>12275</v>
      </c>
      <c r="T5823" t="s">
        <v>12902</v>
      </c>
      <c r="U5823" t="s">
        <v>12902</v>
      </c>
      <c r="V5823" t="s">
        <v>12902</v>
      </c>
      <c r="W5823" t="s">
        <v>18674</v>
      </c>
      <c r="X5823">
        <v>2</v>
      </c>
      <c r="Y5823" t="s">
        <v>24961</v>
      </c>
      <c r="Z5823" t="s">
        <v>31398</v>
      </c>
      <c r="AA5823">
        <v>1.249541418578173</v>
      </c>
      <c r="AB5823" t="str">
        <f>HYPERLINK("Melting_Curves/meltCurve_Q9NWA0_MED9.pdf", "Melting_Curves/meltCurve_Q9NWA0_MED9.pdf")</f>
        <v>Melting_Curves/meltCurve_Q9NWA0_MED9.pdf</v>
      </c>
    </row>
    <row r="5824" spans="1:28" x14ac:dyDescent="0.25">
      <c r="A5824" t="s">
        <v>5828</v>
      </c>
      <c r="B5824">
        <v>0.99673306730245903</v>
      </c>
      <c r="C5824">
        <v>0.93706135405032298</v>
      </c>
      <c r="D5824">
        <v>0.89942725168730597</v>
      </c>
      <c r="E5824">
        <v>0.76786268628805499</v>
      </c>
      <c r="F5824">
        <v>0.67965011909980699</v>
      </c>
      <c r="G5824">
        <v>0.50793111519955703</v>
      </c>
      <c r="H5824">
        <v>0.35369459128133002</v>
      </c>
      <c r="I5824">
        <v>0.57757895018941696</v>
      </c>
      <c r="J5824">
        <v>1.0890814400473801</v>
      </c>
      <c r="K5824">
        <v>1.19222905065331</v>
      </c>
      <c r="L5824">
        <v>1534.1525974853801</v>
      </c>
      <c r="M5824">
        <v>33.0900953443982</v>
      </c>
      <c r="O5824">
        <v>46.194548392374699</v>
      </c>
      <c r="P5824">
        <v>-4.7571728994518801E-2</v>
      </c>
      <c r="Q5824">
        <v>0.73435617342355197</v>
      </c>
      <c r="R5824">
        <v>0.14048509240043899</v>
      </c>
      <c r="S5824" t="s">
        <v>12276</v>
      </c>
      <c r="T5824" t="s">
        <v>12902</v>
      </c>
      <c r="U5824" t="s">
        <v>12902</v>
      </c>
      <c r="V5824" t="s">
        <v>12902</v>
      </c>
      <c r="W5824" t="s">
        <v>18675</v>
      </c>
      <c r="X5824">
        <v>20</v>
      </c>
      <c r="Y5824" t="s">
        <v>24962</v>
      </c>
      <c r="Z5824" t="s">
        <v>31399</v>
      </c>
      <c r="AA5824">
        <v>0.79199273140540349</v>
      </c>
      <c r="AB5824" t="str">
        <f>HYPERLINK("Melting_Curves/meltCurve_Q9NWB6_ARGLU1.pdf", "Melting_Curves/meltCurve_Q9NWB6_ARGLU1.pdf")</f>
        <v>Melting_Curves/meltCurve_Q9NWB6_ARGLU1.pdf</v>
      </c>
    </row>
    <row r="5825" spans="1:28" x14ac:dyDescent="0.25">
      <c r="A5825" t="s">
        <v>5829</v>
      </c>
      <c r="B5825">
        <v>0.99673306730245903</v>
      </c>
      <c r="C5825">
        <v>1.0833986362158901</v>
      </c>
      <c r="D5825">
        <v>0.98471648993416805</v>
      </c>
      <c r="E5825">
        <v>0.88674078386267396</v>
      </c>
      <c r="F5825">
        <v>1.01415985223598</v>
      </c>
      <c r="G5825">
        <v>0.86005977219382701</v>
      </c>
      <c r="H5825">
        <v>0.64768257171731103</v>
      </c>
      <c r="I5825">
        <v>0.95957421096038897</v>
      </c>
      <c r="J5825">
        <v>1.08385507718689</v>
      </c>
      <c r="K5825">
        <v>1.1505154718350199</v>
      </c>
      <c r="L5825">
        <v>15000</v>
      </c>
      <c r="M5825">
        <v>223.77612420644499</v>
      </c>
      <c r="O5825">
        <v>67.025920503026697</v>
      </c>
      <c r="P5825">
        <v>0.12564018216095499</v>
      </c>
      <c r="Q5825">
        <v>1.1505281152489899</v>
      </c>
      <c r="R5825">
        <v>0.101120740075386</v>
      </c>
      <c r="S5825" t="s">
        <v>12277</v>
      </c>
      <c r="T5825" t="s">
        <v>12902</v>
      </c>
      <c r="U5825" t="s">
        <v>12902</v>
      </c>
      <c r="V5825" t="s">
        <v>12902</v>
      </c>
      <c r="W5825" t="s">
        <v>18676</v>
      </c>
      <c r="X5825">
        <v>2</v>
      </c>
      <c r="Y5825" t="s">
        <v>24963</v>
      </c>
      <c r="Z5825" t="s">
        <v>31400</v>
      </c>
      <c r="AA5825">
        <v>1.0148738841182161</v>
      </c>
      <c r="AB5825" t="str">
        <f>HYPERLINK("Melting_Curves/meltCurve_Q9NWH2_TMEM242.pdf", "Melting_Curves/meltCurve_Q9NWH2_TMEM242.pdf")</f>
        <v>Melting_Curves/meltCurve_Q9NWH2_TMEM242.pdf</v>
      </c>
    </row>
    <row r="5826" spans="1:28" x14ac:dyDescent="0.25">
      <c r="A5826" t="s">
        <v>5830</v>
      </c>
      <c r="B5826">
        <v>0.99673306730245903</v>
      </c>
      <c r="C5826">
        <v>0.94286376462238497</v>
      </c>
      <c r="D5826">
        <v>1.06016696887432</v>
      </c>
      <c r="E5826">
        <v>1.0865792603079301</v>
      </c>
      <c r="F5826">
        <v>1.0644057629119399</v>
      </c>
      <c r="G5826">
        <v>0.72879358283726503</v>
      </c>
      <c r="H5826">
        <v>0.41003319204819599</v>
      </c>
      <c r="I5826">
        <v>0.36244601071865401</v>
      </c>
      <c r="J5826">
        <v>0.53933517418694599</v>
      </c>
      <c r="K5826">
        <v>0.53000412376730499</v>
      </c>
      <c r="L5826">
        <v>14199.3962588595</v>
      </c>
      <c r="M5826">
        <v>250</v>
      </c>
      <c r="N5826">
        <v>57.379912911945802</v>
      </c>
      <c r="O5826">
        <v>56.793932402563399</v>
      </c>
      <c r="P5826">
        <v>-0.59375314103698695</v>
      </c>
      <c r="Q5826">
        <v>0.460454617033562</v>
      </c>
      <c r="R5826">
        <v>0.94510752757308103</v>
      </c>
      <c r="S5826" t="s">
        <v>12278</v>
      </c>
      <c r="T5826" t="s">
        <v>12902</v>
      </c>
      <c r="U5826" t="s">
        <v>12902</v>
      </c>
      <c r="V5826" t="s">
        <v>12902</v>
      </c>
      <c r="W5826" t="s">
        <v>18677</v>
      </c>
      <c r="X5826">
        <v>15</v>
      </c>
      <c r="Y5826" t="s">
        <v>24964</v>
      </c>
      <c r="Z5826" t="s">
        <v>31401</v>
      </c>
      <c r="AA5826">
        <v>0.76261038000706638</v>
      </c>
      <c r="AB5826" t="str">
        <f>HYPERLINK("Melting_Curves/meltCurve_Q9NWH9_SLTM.pdf", "Melting_Curves/meltCurve_Q9NWH9_SLTM.pdf")</f>
        <v>Melting_Curves/meltCurve_Q9NWH9_SLTM.pdf</v>
      </c>
    </row>
    <row r="5827" spans="1:28" x14ac:dyDescent="0.25">
      <c r="A5827" t="s">
        <v>5831</v>
      </c>
      <c r="B5827">
        <v>0.99673306730245903</v>
      </c>
      <c r="C5827">
        <v>0.96203190315607501</v>
      </c>
      <c r="D5827">
        <v>0.79426652289684696</v>
      </c>
      <c r="E5827">
        <v>0.62724957809154702</v>
      </c>
      <c r="F5827">
        <v>0.58417658391048899</v>
      </c>
      <c r="G5827">
        <v>0.33058755419799601</v>
      </c>
      <c r="H5827">
        <v>0.223492498797113</v>
      </c>
      <c r="I5827">
        <v>0.29102783535482102</v>
      </c>
      <c r="J5827">
        <v>0.35377438724282101</v>
      </c>
      <c r="K5827">
        <v>0.34260952100117398</v>
      </c>
      <c r="L5827">
        <v>737.66637916313096</v>
      </c>
      <c r="M5827">
        <v>14.842845028177299</v>
      </c>
      <c r="N5827">
        <v>52.683935494886903</v>
      </c>
      <c r="O5827">
        <v>48.822500540682697</v>
      </c>
      <c r="P5827">
        <v>-5.43954380426281E-2</v>
      </c>
      <c r="Q5827">
        <v>0.28438471318948</v>
      </c>
      <c r="R5827">
        <v>0.95539717288813497</v>
      </c>
      <c r="S5827" t="s">
        <v>12279</v>
      </c>
      <c r="T5827" t="s">
        <v>12902</v>
      </c>
      <c r="U5827" t="s">
        <v>12902</v>
      </c>
      <c r="V5827" t="s">
        <v>12902</v>
      </c>
      <c r="W5827" t="s">
        <v>18678</v>
      </c>
      <c r="X5827">
        <v>4</v>
      </c>
      <c r="Y5827" t="s">
        <v>24965</v>
      </c>
      <c r="Z5827" t="s">
        <v>31402</v>
      </c>
      <c r="AA5827">
        <v>0.53329412522621844</v>
      </c>
      <c r="AB5827" t="str">
        <f>HYPERLINK("Melting_Curves/meltCurve_Q9NWM3_CUEDC1.pdf", "Melting_Curves/meltCurve_Q9NWM3_CUEDC1.pdf")</f>
        <v>Melting_Curves/meltCurve_Q9NWM3_CUEDC1.pdf</v>
      </c>
    </row>
    <row r="5828" spans="1:28" x14ac:dyDescent="0.25">
      <c r="A5828" t="s">
        <v>5832</v>
      </c>
      <c r="B5828">
        <v>0.99673306730245903</v>
      </c>
      <c r="C5828">
        <v>1.0536303454949001</v>
      </c>
      <c r="D5828">
        <v>0.94206308511020898</v>
      </c>
      <c r="E5828">
        <v>0.80555858266033198</v>
      </c>
      <c r="F5828">
        <v>0.52135511560547998</v>
      </c>
      <c r="G5828">
        <v>0.33457818533035899</v>
      </c>
      <c r="H5828">
        <v>0.23656450590443301</v>
      </c>
      <c r="I5828">
        <v>0.246359558655151</v>
      </c>
      <c r="J5828">
        <v>0.30879986891823802</v>
      </c>
      <c r="K5828">
        <v>0.29314944921172598</v>
      </c>
      <c r="L5828">
        <v>1287.04395670293</v>
      </c>
      <c r="M5828">
        <v>24.898473244815399</v>
      </c>
      <c r="N5828">
        <v>53.317708814449603</v>
      </c>
      <c r="O5828">
        <v>51.361694641348997</v>
      </c>
      <c r="P5828">
        <v>-8.8954859702011502E-2</v>
      </c>
      <c r="Q5828">
        <v>0.26600963143821299</v>
      </c>
      <c r="R5828">
        <v>0.99088718089274097</v>
      </c>
      <c r="S5828" t="s">
        <v>12280</v>
      </c>
      <c r="T5828" t="s">
        <v>12902</v>
      </c>
      <c r="U5828" t="s">
        <v>12902</v>
      </c>
      <c r="V5828" t="s">
        <v>12902</v>
      </c>
      <c r="W5828" t="s">
        <v>18679</v>
      </c>
      <c r="X5828">
        <v>2</v>
      </c>
      <c r="Y5828" t="s">
        <v>24966</v>
      </c>
      <c r="Z5828" t="s">
        <v>31403</v>
      </c>
      <c r="AA5828">
        <v>0.55879514968901556</v>
      </c>
      <c r="AB5828" t="str">
        <f>HYPERLINK("Melting_Curves/meltCurve_Q9NWM8_FKBP14.pdf", "Melting_Curves/meltCurve_Q9NWM8_FKBP14.pdf")</f>
        <v>Melting_Curves/meltCurve_Q9NWM8_FKBP14.pdf</v>
      </c>
    </row>
    <row r="5829" spans="1:28" x14ac:dyDescent="0.25">
      <c r="A5829" t="s">
        <v>5833</v>
      </c>
      <c r="B5829">
        <v>0.99673306730245903</v>
      </c>
      <c r="C5829">
        <v>0.93527483862229599</v>
      </c>
      <c r="D5829">
        <v>0.70049028729803797</v>
      </c>
      <c r="E5829">
        <v>0.51974489868101403</v>
      </c>
      <c r="F5829">
        <v>0.43132817892939002</v>
      </c>
      <c r="G5829">
        <v>0.25636353859726702</v>
      </c>
      <c r="H5829">
        <v>0.15206753735548501</v>
      </c>
      <c r="I5829">
        <v>0.16558142137255299</v>
      </c>
      <c r="J5829">
        <v>0.225548348432903</v>
      </c>
      <c r="K5829">
        <v>0.201077279507867</v>
      </c>
      <c r="L5829">
        <v>694.91767588878895</v>
      </c>
      <c r="M5829">
        <v>14.259135004642101</v>
      </c>
      <c r="N5829">
        <v>50.186802373378697</v>
      </c>
      <c r="O5829">
        <v>47.806450767024998</v>
      </c>
      <c r="P5829">
        <v>-6.19722567186307E-2</v>
      </c>
      <c r="Q5829">
        <v>0.16900767632033301</v>
      </c>
      <c r="R5829">
        <v>0.98131176765053296</v>
      </c>
      <c r="S5829" t="s">
        <v>12281</v>
      </c>
      <c r="T5829" t="s">
        <v>12902</v>
      </c>
      <c r="U5829" t="s">
        <v>12902</v>
      </c>
      <c r="V5829" t="s">
        <v>12902</v>
      </c>
      <c r="W5829" t="s">
        <v>18680</v>
      </c>
      <c r="X5829">
        <v>1</v>
      </c>
      <c r="Y5829" t="s">
        <v>24967</v>
      </c>
      <c r="Z5829" t="s">
        <v>31404</v>
      </c>
      <c r="AA5829">
        <v>0.43376039674144068</v>
      </c>
      <c r="AB5829" t="str">
        <f>HYPERLINK("Melting_Curves/meltCurve_Q9NWQ9_C14orf119.pdf", "Melting_Curves/meltCurve_Q9NWQ9_C14orf119.pdf")</f>
        <v>Melting_Curves/meltCurve_Q9NWQ9_C14orf119.pdf</v>
      </c>
    </row>
    <row r="5830" spans="1:28" x14ac:dyDescent="0.25">
      <c r="A5830" t="s">
        <v>5834</v>
      </c>
      <c r="B5830">
        <v>0.99673306730245903</v>
      </c>
      <c r="C5830">
        <v>0.91585189866435202</v>
      </c>
      <c r="D5830">
        <v>0.87455201146650396</v>
      </c>
      <c r="E5830">
        <v>0.63276543415675701</v>
      </c>
      <c r="F5830">
        <v>0.27686116052990001</v>
      </c>
      <c r="G5830">
        <v>0.20792261321998101</v>
      </c>
      <c r="H5830">
        <v>0.136882149574406</v>
      </c>
      <c r="I5830">
        <v>0.13460355233859</v>
      </c>
      <c r="J5830">
        <v>0.107184863317163</v>
      </c>
      <c r="K5830">
        <v>0.102583585547475</v>
      </c>
      <c r="L5830">
        <v>1013.63908722415</v>
      </c>
      <c r="M5830">
        <v>20.223421916130999</v>
      </c>
      <c r="N5830">
        <v>50.740759988007099</v>
      </c>
      <c r="O5830">
        <v>49.6396833914702</v>
      </c>
      <c r="P5830">
        <v>-9.0724362224884794E-2</v>
      </c>
      <c r="Q5830">
        <v>0.109272922862771</v>
      </c>
      <c r="R5830">
        <v>0.99456117922924603</v>
      </c>
      <c r="S5830" t="s">
        <v>12282</v>
      </c>
      <c r="T5830" t="s">
        <v>12902</v>
      </c>
      <c r="U5830" t="s">
        <v>12902</v>
      </c>
      <c r="V5830" t="s">
        <v>12902</v>
      </c>
      <c r="W5830" t="s">
        <v>18681</v>
      </c>
      <c r="X5830">
        <v>8</v>
      </c>
      <c r="Y5830" t="s">
        <v>24968</v>
      </c>
      <c r="Z5830" t="s">
        <v>31405</v>
      </c>
      <c r="AA5830">
        <v>0.42193516157801297</v>
      </c>
      <c r="AB5830" t="str">
        <f>HYPERLINK("Melting_Curves/meltCurve_Q9NWS0_PIH1D1.pdf", "Melting_Curves/meltCurve_Q9NWS0_PIH1D1.pdf")</f>
        <v>Melting_Curves/meltCurve_Q9NWS0_PIH1D1.pdf</v>
      </c>
    </row>
    <row r="5831" spans="1:28" x14ac:dyDescent="0.25">
      <c r="A5831" t="s">
        <v>5835</v>
      </c>
      <c r="B5831">
        <v>0.99673306730245903</v>
      </c>
      <c r="C5831">
        <v>1.09385723028087</v>
      </c>
      <c r="D5831">
        <v>0.88670856263852704</v>
      </c>
      <c r="E5831">
        <v>0.35411007041431902</v>
      </c>
      <c r="F5831">
        <v>0.30305531424743398</v>
      </c>
      <c r="G5831">
        <v>0.109533709092589</v>
      </c>
      <c r="H5831">
        <v>7.87504571606958E-2</v>
      </c>
      <c r="I5831">
        <v>5.5316400311059499E-2</v>
      </c>
      <c r="J5831">
        <v>8.27252906517007E-2</v>
      </c>
      <c r="K5831">
        <v>2.8629783749870501E-2</v>
      </c>
      <c r="L5831">
        <v>1354.38391076976</v>
      </c>
      <c r="M5831">
        <v>27.794414158990602</v>
      </c>
      <c r="N5831">
        <v>49.051704413363503</v>
      </c>
      <c r="O5831">
        <v>48.478485721767498</v>
      </c>
      <c r="P5831">
        <v>-0.13134632412727101</v>
      </c>
      <c r="Q5831">
        <v>8.3641100668001206E-2</v>
      </c>
      <c r="R5831">
        <v>0.97323966688977204</v>
      </c>
      <c r="S5831" t="s">
        <v>12283</v>
      </c>
      <c r="T5831" t="s">
        <v>12902</v>
      </c>
      <c r="U5831" t="s">
        <v>12902</v>
      </c>
      <c r="V5831" t="s">
        <v>12902</v>
      </c>
      <c r="W5831" t="s">
        <v>18682</v>
      </c>
      <c r="X5831">
        <v>2</v>
      </c>
      <c r="Y5831" t="s">
        <v>24969</v>
      </c>
      <c r="Z5831" t="s">
        <v>31406</v>
      </c>
      <c r="AA5831">
        <v>0.35676929593718282</v>
      </c>
      <c r="AB5831" t="str">
        <f>HYPERLINK("Melting_Curves/meltCurve_Q9NWS6_FAM118A.pdf", "Melting_Curves/meltCurve_Q9NWS6_FAM118A.pdf")</f>
        <v>Melting_Curves/meltCurve_Q9NWS6_FAM118A.pdf</v>
      </c>
    </row>
    <row r="5832" spans="1:28" x14ac:dyDescent="0.25">
      <c r="A5832" t="s">
        <v>5836</v>
      </c>
      <c r="B5832">
        <v>0.99673306730245903</v>
      </c>
      <c r="C5832">
        <v>1.1159060945319099</v>
      </c>
      <c r="D5832">
        <v>0.90929615766275196</v>
      </c>
      <c r="E5832">
        <v>0.66508370512827597</v>
      </c>
      <c r="F5832">
        <v>0.34039528645445899</v>
      </c>
      <c r="G5832">
        <v>0.15900333693578</v>
      </c>
      <c r="H5832">
        <v>8.1131545865107596E-2</v>
      </c>
      <c r="I5832">
        <v>0.109620050717392</v>
      </c>
      <c r="J5832">
        <v>7.8043347206153205E-2</v>
      </c>
      <c r="K5832">
        <v>7.8894794211296096E-2</v>
      </c>
      <c r="L5832">
        <v>1181.8181983336101</v>
      </c>
      <c r="M5832">
        <v>23.215183467892899</v>
      </c>
      <c r="N5832">
        <v>51.295268192526201</v>
      </c>
      <c r="O5832">
        <v>50.533898389212297</v>
      </c>
      <c r="P5832">
        <v>-0.105600186760759</v>
      </c>
      <c r="Q5832">
        <v>8.0551171208170902E-2</v>
      </c>
      <c r="R5832">
        <v>0.98897075003248802</v>
      </c>
      <c r="S5832" t="s">
        <v>12284</v>
      </c>
      <c r="T5832" t="s">
        <v>12902</v>
      </c>
      <c r="U5832" t="s">
        <v>12902</v>
      </c>
      <c r="V5832" t="s">
        <v>12902</v>
      </c>
      <c r="W5832" t="s">
        <v>18683</v>
      </c>
      <c r="X5832">
        <v>4</v>
      </c>
      <c r="Y5832" t="s">
        <v>24970</v>
      </c>
      <c r="Z5832" t="s">
        <v>31407</v>
      </c>
      <c r="AA5832">
        <v>0.42443035775651738</v>
      </c>
      <c r="AB5832" t="str">
        <f>HYPERLINK("Melting_Curves/meltCurve_Q9NWS8_RMND1.pdf", "Melting_Curves/meltCurve_Q9NWS8_RMND1.pdf")</f>
        <v>Melting_Curves/meltCurve_Q9NWS8_RMND1.pdf</v>
      </c>
    </row>
    <row r="5833" spans="1:28" x14ac:dyDescent="0.25">
      <c r="A5833" t="s">
        <v>5837</v>
      </c>
      <c r="B5833">
        <v>0.99673306730245903</v>
      </c>
      <c r="C5833">
        <v>0.94465343408687297</v>
      </c>
      <c r="D5833">
        <v>0.87976860185843797</v>
      </c>
      <c r="E5833">
        <v>0.90761411764629596</v>
      </c>
      <c r="F5833">
        <v>0.58719796585324202</v>
      </c>
      <c r="G5833">
        <v>0.31103326763294198</v>
      </c>
      <c r="H5833">
        <v>0.187184962804258</v>
      </c>
      <c r="I5833">
        <v>7.9259229725642005E-2</v>
      </c>
      <c r="J5833">
        <v>6.7637574316468801E-2</v>
      </c>
      <c r="K5833">
        <v>6.4039496503020099E-2</v>
      </c>
      <c r="L5833">
        <v>989.44633846448005</v>
      </c>
      <c r="M5833">
        <v>18.274540271339799</v>
      </c>
      <c r="N5833">
        <v>54.413923129417697</v>
      </c>
      <c r="O5833">
        <v>53.507583450543798</v>
      </c>
      <c r="P5833">
        <v>-8.1679524521072397E-2</v>
      </c>
      <c r="Q5833">
        <v>4.3418707719393199E-2</v>
      </c>
      <c r="R5833">
        <v>0.99002418231468003</v>
      </c>
      <c r="S5833" t="s">
        <v>12285</v>
      </c>
      <c r="T5833" t="s">
        <v>12902</v>
      </c>
      <c r="U5833" t="s">
        <v>12902</v>
      </c>
      <c r="V5833" t="s">
        <v>12902</v>
      </c>
      <c r="W5833" t="s">
        <v>18684</v>
      </c>
      <c r="X5833">
        <v>5</v>
      </c>
      <c r="Y5833" t="s">
        <v>24971</v>
      </c>
      <c r="Z5833" t="s">
        <v>31408</v>
      </c>
      <c r="AA5833">
        <v>0.50930284500828393</v>
      </c>
      <c r="AB5833" t="str">
        <f>HYPERLINK("Melting_Curves/meltCurve_Q9NWT6_HIF1AN.pdf", "Melting_Curves/meltCurve_Q9NWT6_HIF1AN.pdf")</f>
        <v>Melting_Curves/meltCurve_Q9NWT6_HIF1AN.pdf</v>
      </c>
    </row>
    <row r="5834" spans="1:28" x14ac:dyDescent="0.25">
      <c r="A5834" t="s">
        <v>5838</v>
      </c>
      <c r="B5834">
        <v>0.99673306730245903</v>
      </c>
      <c r="C5834">
        <v>1.00921684472783</v>
      </c>
      <c r="D5834">
        <v>0.99983968335330098</v>
      </c>
      <c r="E5834">
        <v>0.98278144012988</v>
      </c>
      <c r="F5834">
        <v>0.94008335601639204</v>
      </c>
      <c r="G5834">
        <v>0.78252658216828497</v>
      </c>
      <c r="H5834">
        <v>0.63437848017425402</v>
      </c>
      <c r="I5834">
        <v>0.78900321578898402</v>
      </c>
      <c r="J5834">
        <v>1.08217146733869</v>
      </c>
      <c r="K5834">
        <v>0.80692573377927701</v>
      </c>
      <c r="L5834">
        <v>13337.4269911228</v>
      </c>
      <c r="M5834">
        <v>250</v>
      </c>
      <c r="O5834">
        <v>53.346297133115797</v>
      </c>
      <c r="P5834">
        <v>-0.212056564446302</v>
      </c>
      <c r="Q5834">
        <v>0.81900109111036001</v>
      </c>
      <c r="R5834">
        <v>0.40446995333767199</v>
      </c>
      <c r="S5834" t="s">
        <v>12286</v>
      </c>
      <c r="T5834" t="s">
        <v>12902</v>
      </c>
      <c r="U5834" t="s">
        <v>12902</v>
      </c>
      <c r="V5834" t="s">
        <v>12902</v>
      </c>
      <c r="W5834" t="s">
        <v>18685</v>
      </c>
      <c r="X5834">
        <v>20</v>
      </c>
      <c r="Y5834" t="s">
        <v>24972</v>
      </c>
      <c r="Z5834" t="s">
        <v>31409</v>
      </c>
      <c r="AA5834">
        <v>0.89956079017834112</v>
      </c>
      <c r="AB5834" t="str">
        <f>HYPERLINK("Melting_Curves/meltCurve_Q9NWU1_OXSM.pdf", "Melting_Curves/meltCurve_Q9NWU1_OXSM.pdf")</f>
        <v>Melting_Curves/meltCurve_Q9NWU1_OXSM.pdf</v>
      </c>
    </row>
    <row r="5835" spans="1:28" x14ac:dyDescent="0.25">
      <c r="A5835" t="s">
        <v>5839</v>
      </c>
      <c r="B5835">
        <v>0.99673306730245903</v>
      </c>
      <c r="C5835">
        <v>1.04614369068711</v>
      </c>
      <c r="D5835">
        <v>1.0217353282925301</v>
      </c>
      <c r="E5835">
        <v>0.96613919696734096</v>
      </c>
      <c r="F5835">
        <v>0.499676776414682</v>
      </c>
      <c r="G5835">
        <v>0.192217386214248</v>
      </c>
      <c r="H5835">
        <v>0.101837232714967</v>
      </c>
      <c r="I5835">
        <v>5.65196591141571E-2</v>
      </c>
      <c r="J5835">
        <v>5.5417616599973699E-2</v>
      </c>
      <c r="K5835">
        <v>4.6779526392598102E-2</v>
      </c>
      <c r="L5835">
        <v>1842.8424657732801</v>
      </c>
      <c r="M5835">
        <v>34.678297689114302</v>
      </c>
      <c r="N5835">
        <v>53.361876433681402</v>
      </c>
      <c r="O5835">
        <v>52.965308677640898</v>
      </c>
      <c r="P5835">
        <v>-0.15274502292907699</v>
      </c>
      <c r="Q5835">
        <v>6.6833413754940105E-2</v>
      </c>
      <c r="R5835">
        <v>0.99606001049281101</v>
      </c>
      <c r="S5835" t="s">
        <v>12287</v>
      </c>
      <c r="T5835" t="s">
        <v>12902</v>
      </c>
      <c r="U5835" t="s">
        <v>12902</v>
      </c>
      <c r="V5835" t="s">
        <v>12902</v>
      </c>
      <c r="W5835" t="s">
        <v>18686</v>
      </c>
      <c r="X5835">
        <v>8</v>
      </c>
      <c r="Y5835" t="s">
        <v>24973</v>
      </c>
      <c r="Z5835" t="s">
        <v>31410</v>
      </c>
      <c r="AA5835">
        <v>0.48014869876180483</v>
      </c>
      <c r="AB5835" t="str">
        <f>HYPERLINK("Melting_Curves/meltCurve_Q9NWV4_C1orf123.pdf", "Melting_Curves/meltCurve_Q9NWV4_C1orf123.pdf")</f>
        <v>Melting_Curves/meltCurve_Q9NWV4_C1orf123.pdf</v>
      </c>
    </row>
    <row r="5836" spans="1:28" x14ac:dyDescent="0.25">
      <c r="A5836" t="s">
        <v>5840</v>
      </c>
      <c r="B5836">
        <v>0.99673306730245903</v>
      </c>
      <c r="C5836">
        <v>0.989167224979138</v>
      </c>
      <c r="D5836">
        <v>0.82014274695873501</v>
      </c>
      <c r="E5836">
        <v>0.50011074241917897</v>
      </c>
      <c r="F5836">
        <v>0.151086565183328</v>
      </c>
      <c r="G5836">
        <v>8.7390126825859504E-2</v>
      </c>
      <c r="H5836">
        <v>4.7582053599409299E-2</v>
      </c>
      <c r="I5836">
        <v>3.2298561337174798E-2</v>
      </c>
      <c r="J5836">
        <v>2.4130270567261601E-2</v>
      </c>
      <c r="K5836">
        <v>2.9110937211266098E-2</v>
      </c>
      <c r="L5836">
        <v>1136.6072167462301</v>
      </c>
      <c r="M5836">
        <v>23.0621342910508</v>
      </c>
      <c r="N5836">
        <v>49.408874257566801</v>
      </c>
      <c r="O5836">
        <v>48.918506613604102</v>
      </c>
      <c r="P5836">
        <v>-0.114540122558455</v>
      </c>
      <c r="Q5836">
        <v>2.8186098821457499E-2</v>
      </c>
      <c r="R5836">
        <v>0.99844123072735702</v>
      </c>
      <c r="S5836" t="s">
        <v>12288</v>
      </c>
      <c r="T5836" t="s">
        <v>12902</v>
      </c>
      <c r="U5836" t="s">
        <v>12902</v>
      </c>
      <c r="V5836" t="s">
        <v>12902</v>
      </c>
      <c r="W5836" t="s">
        <v>18687</v>
      </c>
      <c r="X5836">
        <v>4</v>
      </c>
      <c r="Y5836" t="s">
        <v>24974</v>
      </c>
      <c r="Z5836" t="s">
        <v>31411</v>
      </c>
      <c r="AA5836">
        <v>0.33912381288559063</v>
      </c>
      <c r="AB5836" t="str">
        <f>HYPERLINK("Melting_Curves/meltCurve_Q9NWX5_ASB6.pdf", "Melting_Curves/meltCurve_Q9NWX5_ASB6.pdf")</f>
        <v>Melting_Curves/meltCurve_Q9NWX5_ASB6.pdf</v>
      </c>
    </row>
    <row r="5837" spans="1:28" x14ac:dyDescent="0.25">
      <c r="A5837" t="s">
        <v>5841</v>
      </c>
      <c r="B5837">
        <v>0.99673306730245903</v>
      </c>
      <c r="C5837">
        <v>0.91612195044499101</v>
      </c>
      <c r="D5837">
        <v>0.99822042586672</v>
      </c>
      <c r="E5837">
        <v>1.00430298234532</v>
      </c>
      <c r="F5837">
        <v>0.86193648644308096</v>
      </c>
      <c r="G5837">
        <v>0.62153279339459899</v>
      </c>
      <c r="H5837">
        <v>0.211737320408973</v>
      </c>
      <c r="I5837">
        <v>9.2911982444349006E-2</v>
      </c>
      <c r="J5837">
        <v>9.4147505948377203E-2</v>
      </c>
      <c r="K5837">
        <v>8.8638372713414001E-2</v>
      </c>
      <c r="L5837">
        <v>1582.4731074481599</v>
      </c>
      <c r="M5837">
        <v>27.596386022816102</v>
      </c>
      <c r="N5837">
        <v>57.640180292089099</v>
      </c>
      <c r="O5837">
        <v>57.0449116165723</v>
      </c>
      <c r="P5837">
        <v>-0.112934814422097</v>
      </c>
      <c r="Q5837">
        <v>6.6211350564050003E-2</v>
      </c>
      <c r="R5837">
        <v>0.99308790521023305</v>
      </c>
      <c r="S5837" t="s">
        <v>12289</v>
      </c>
      <c r="T5837" t="s">
        <v>12902</v>
      </c>
      <c r="U5837" t="s">
        <v>12902</v>
      </c>
      <c r="V5837" t="s">
        <v>12902</v>
      </c>
      <c r="W5837" t="s">
        <v>18688</v>
      </c>
      <c r="X5837">
        <v>2</v>
      </c>
      <c r="Y5837" t="s">
        <v>24975</v>
      </c>
      <c r="Z5837" t="s">
        <v>31412</v>
      </c>
      <c r="AA5837">
        <v>0.6131853247632022</v>
      </c>
      <c r="AB5837" t="str">
        <f>HYPERLINK("Melting_Curves/meltCurve_Q9NWX6_THG1L.pdf", "Melting_Curves/meltCurve_Q9NWX6_THG1L.pdf")</f>
        <v>Melting_Curves/meltCurve_Q9NWX6_THG1L.pdf</v>
      </c>
    </row>
    <row r="5838" spans="1:28" x14ac:dyDescent="0.25">
      <c r="A5838" t="s">
        <v>5842</v>
      </c>
      <c r="B5838">
        <v>0.99673306730245903</v>
      </c>
      <c r="C5838">
        <v>0.84087917622702002</v>
      </c>
      <c r="D5838">
        <v>0.42977938182029901</v>
      </c>
      <c r="E5838">
        <v>0.24076231893253799</v>
      </c>
      <c r="F5838">
        <v>0.174681628362023</v>
      </c>
      <c r="G5838">
        <v>0.10403304978915499</v>
      </c>
      <c r="H5838">
        <v>6.5430252572107897E-2</v>
      </c>
      <c r="I5838">
        <v>6.1251227273609002E-2</v>
      </c>
      <c r="J5838">
        <v>6.6838501846641904E-2</v>
      </c>
      <c r="K5838">
        <v>6.3687777552291602E-2</v>
      </c>
      <c r="L5838">
        <v>1028.2123151615299</v>
      </c>
      <c r="M5838">
        <v>22.616103753203401</v>
      </c>
      <c r="N5838">
        <v>45.8302999267109</v>
      </c>
      <c r="O5838">
        <v>45.112749998357003</v>
      </c>
      <c r="P5838">
        <v>-0.114963564934404</v>
      </c>
      <c r="Q5838">
        <v>8.2738779472975005E-2</v>
      </c>
      <c r="R5838">
        <v>0.98935479286247596</v>
      </c>
      <c r="S5838" t="s">
        <v>12290</v>
      </c>
      <c r="T5838" t="s">
        <v>12902</v>
      </c>
      <c r="U5838" t="s">
        <v>12902</v>
      </c>
      <c r="V5838" t="s">
        <v>12902</v>
      </c>
      <c r="W5838" t="s">
        <v>18689</v>
      </c>
      <c r="X5838">
        <v>9</v>
      </c>
      <c r="Y5838" t="s">
        <v>24976</v>
      </c>
      <c r="Z5838" t="s">
        <v>31413</v>
      </c>
      <c r="AA5838">
        <v>0.26090061498972439</v>
      </c>
      <c r="AB5838" t="str">
        <f>HYPERLINK("Melting_Curves/meltCurve_Q9NWY4_C4orf27.pdf", "Melting_Curves/meltCurve_Q9NWY4_C4orf27.pdf")</f>
        <v>Melting_Curves/meltCurve_Q9NWY4_C4orf27.pdf</v>
      </c>
    </row>
    <row r="5839" spans="1:28" x14ac:dyDescent="0.25">
      <c r="A5839" t="s">
        <v>5843</v>
      </c>
      <c r="B5839">
        <v>0.99673306730245903</v>
      </c>
      <c r="C5839">
        <v>1.0318671418946599</v>
      </c>
      <c r="D5839">
        <v>0.78785633422727497</v>
      </c>
      <c r="E5839">
        <v>0.338377966155335</v>
      </c>
      <c r="F5839">
        <v>0.14465380575007</v>
      </c>
      <c r="G5839">
        <v>8.5212547485186696E-2</v>
      </c>
      <c r="H5839">
        <v>4.8368220966778702E-2</v>
      </c>
      <c r="I5839">
        <v>6.7561506965679002E-2</v>
      </c>
      <c r="J5839">
        <v>6.0584574211868102E-2</v>
      </c>
      <c r="K5839">
        <v>5.6980724360041798E-2</v>
      </c>
      <c r="L5839">
        <v>1375.6730801199001</v>
      </c>
      <c r="M5839">
        <v>28.5945196411427</v>
      </c>
      <c r="N5839">
        <v>48.342280347747703</v>
      </c>
      <c r="O5839">
        <v>47.876236739528601</v>
      </c>
      <c r="P5839">
        <v>-0.139719448130913</v>
      </c>
      <c r="Q5839">
        <v>6.4270154868677196E-2</v>
      </c>
      <c r="R5839">
        <v>0.99682056440997402</v>
      </c>
      <c r="S5839" t="s">
        <v>12291</v>
      </c>
      <c r="T5839" t="s">
        <v>12902</v>
      </c>
      <c r="U5839" t="s">
        <v>12902</v>
      </c>
      <c r="V5839" t="s">
        <v>12902</v>
      </c>
      <c r="W5839" t="s">
        <v>18690</v>
      </c>
      <c r="X5839">
        <v>8</v>
      </c>
      <c r="Y5839" t="s">
        <v>24977</v>
      </c>
      <c r="Z5839" t="s">
        <v>31414</v>
      </c>
      <c r="AA5839">
        <v>0.32345076523448368</v>
      </c>
      <c r="AB5839" t="str">
        <f>HYPERLINK("Melting_Curves/meltCurve_Q9NWZ3_IRAK4.pdf", "Melting_Curves/meltCurve_Q9NWZ3_IRAK4.pdf")</f>
        <v>Melting_Curves/meltCurve_Q9NWZ3_IRAK4.pdf</v>
      </c>
    </row>
    <row r="5840" spans="1:28" x14ac:dyDescent="0.25">
      <c r="A5840" t="s">
        <v>5844</v>
      </c>
      <c r="B5840">
        <v>0.99673306730245903</v>
      </c>
      <c r="C5840">
        <v>0.91883792253572005</v>
      </c>
      <c r="D5840">
        <v>0.84289123500844998</v>
      </c>
      <c r="E5840">
        <v>0.77016104650625705</v>
      </c>
      <c r="F5840">
        <v>0.55381364262488997</v>
      </c>
      <c r="G5840">
        <v>0.29597156338962699</v>
      </c>
      <c r="H5840">
        <v>0.113885900139958</v>
      </c>
      <c r="I5840">
        <v>5.5665694638415801E-2</v>
      </c>
      <c r="J5840">
        <v>5.5549698550196799E-2</v>
      </c>
      <c r="K5840">
        <v>4.4227777153018302E-2</v>
      </c>
      <c r="L5840">
        <v>760.85586635255004</v>
      </c>
      <c r="M5840">
        <v>14.2472375116342</v>
      </c>
      <c r="N5840">
        <v>53.403749716851003</v>
      </c>
      <c r="O5840">
        <v>52.384661479197199</v>
      </c>
      <c r="P5840">
        <v>-6.8001744693542296E-2</v>
      </c>
      <c r="Q5840">
        <v>0</v>
      </c>
      <c r="R5840">
        <v>0.99181157931653696</v>
      </c>
      <c r="S5840" t="s">
        <v>12292</v>
      </c>
      <c r="T5840" t="s">
        <v>12902</v>
      </c>
      <c r="U5840" t="s">
        <v>12902</v>
      </c>
      <c r="V5840" t="s">
        <v>12902</v>
      </c>
      <c r="W5840" t="s">
        <v>18691</v>
      </c>
      <c r="X5840">
        <v>5</v>
      </c>
      <c r="Y5840" t="s">
        <v>24978</v>
      </c>
      <c r="Z5840" t="s">
        <v>31415</v>
      </c>
      <c r="AA5840">
        <v>0.46939238108286818</v>
      </c>
      <c r="AB5840" t="str">
        <f>HYPERLINK("Melting_Curves/meltCurve_Q9NWZ5_UCKL1.pdf", "Melting_Curves/meltCurve_Q9NWZ5_UCKL1.pdf")</f>
        <v>Melting_Curves/meltCurve_Q9NWZ5_UCKL1.pdf</v>
      </c>
    </row>
    <row r="5841" spans="1:28" x14ac:dyDescent="0.25">
      <c r="A5841" t="s">
        <v>5845</v>
      </c>
      <c r="B5841">
        <v>0.99673306730245903</v>
      </c>
      <c r="C5841">
        <v>0.99026276117704903</v>
      </c>
      <c r="D5841">
        <v>0.72541216991561097</v>
      </c>
      <c r="E5841">
        <v>1.06228400452297</v>
      </c>
      <c r="F5841">
        <v>1.09480967329401</v>
      </c>
      <c r="G5841">
        <v>1.0394482993676799</v>
      </c>
      <c r="H5841">
        <v>1.0192298341292501</v>
      </c>
      <c r="I5841">
        <v>1.63734647830533</v>
      </c>
      <c r="J5841">
        <v>2.2118139050382699</v>
      </c>
      <c r="K5841">
        <v>2.1621545109496498</v>
      </c>
      <c r="L5841">
        <v>15000</v>
      </c>
      <c r="M5841">
        <v>243.51260370179199</v>
      </c>
      <c r="O5841">
        <v>61.594299862119101</v>
      </c>
      <c r="P5841">
        <v>0.49418656726402199</v>
      </c>
      <c r="Q5841">
        <v>1.5</v>
      </c>
      <c r="R5841">
        <v>0.57009301870898199</v>
      </c>
      <c r="S5841" t="s">
        <v>12293</v>
      </c>
      <c r="T5841" t="s">
        <v>12902</v>
      </c>
      <c r="U5841" t="s">
        <v>12902</v>
      </c>
      <c r="V5841" t="s">
        <v>12902</v>
      </c>
      <c r="W5841" t="s">
        <v>18692</v>
      </c>
      <c r="X5841">
        <v>1</v>
      </c>
      <c r="Y5841" t="s">
        <v>24979</v>
      </c>
      <c r="Z5841" t="s">
        <v>31416</v>
      </c>
      <c r="AA5841">
        <v>1.1399687898182269</v>
      </c>
      <c r="AB5841" t="str">
        <f>HYPERLINK("Melting_Curves/meltCurve_Q9NX00_TMEM160.pdf", "Melting_Curves/meltCurve_Q9NX00_TMEM160.pdf")</f>
        <v>Melting_Curves/meltCurve_Q9NX00_TMEM160.pdf</v>
      </c>
    </row>
    <row r="5842" spans="1:28" x14ac:dyDescent="0.25">
      <c r="A5842" t="s">
        <v>5846</v>
      </c>
      <c r="B5842">
        <v>0.99673306730245903</v>
      </c>
      <c r="C5842">
        <v>1.01998269594525</v>
      </c>
      <c r="D5842">
        <v>0.90691348324145205</v>
      </c>
      <c r="E5842">
        <v>0.58478822721497004</v>
      </c>
      <c r="F5842">
        <v>0.29567805621015902</v>
      </c>
      <c r="G5842">
        <v>0.18914495706314099</v>
      </c>
      <c r="H5842">
        <v>0.13033191324888399</v>
      </c>
      <c r="I5842">
        <v>0.13768995981574</v>
      </c>
      <c r="J5842">
        <v>0.13789067328365401</v>
      </c>
      <c r="K5842">
        <v>0.14597226516826001</v>
      </c>
      <c r="L5842">
        <v>1239.3465999949301</v>
      </c>
      <c r="M5842">
        <v>24.866319619191898</v>
      </c>
      <c r="N5842">
        <v>50.496410219915703</v>
      </c>
      <c r="O5842">
        <v>49.521390689667001</v>
      </c>
      <c r="P5842">
        <v>-0.108206800579672</v>
      </c>
      <c r="Q5842">
        <v>0.13803451644432099</v>
      </c>
      <c r="R5842">
        <v>0.99853626971679199</v>
      </c>
      <c r="S5842" t="s">
        <v>12294</v>
      </c>
      <c r="T5842" t="s">
        <v>12902</v>
      </c>
      <c r="U5842" t="s">
        <v>12902</v>
      </c>
      <c r="V5842" t="s">
        <v>12902</v>
      </c>
      <c r="W5842" t="s">
        <v>18693</v>
      </c>
      <c r="X5842">
        <v>3</v>
      </c>
      <c r="Y5842" t="s">
        <v>24980</v>
      </c>
      <c r="Z5842" t="s">
        <v>31417</v>
      </c>
      <c r="AA5842">
        <v>0.42854532301041959</v>
      </c>
      <c r="AB5842" t="str">
        <f>HYPERLINK("Melting_Curves/meltCurve_Q9NX01_TXNL4B.pdf", "Melting_Curves/meltCurve_Q9NX01_TXNL4B.pdf")</f>
        <v>Melting_Curves/meltCurve_Q9NX01_TXNL4B.pdf</v>
      </c>
    </row>
    <row r="5843" spans="1:28" x14ac:dyDescent="0.25">
      <c r="A5843" t="s">
        <v>5847</v>
      </c>
      <c r="B5843">
        <v>0.99673306730245903</v>
      </c>
      <c r="C5843">
        <v>0.86986079714901698</v>
      </c>
      <c r="D5843">
        <v>0.61765927675664201</v>
      </c>
      <c r="E5843">
        <v>0.402590870426285</v>
      </c>
      <c r="F5843">
        <v>0.28288145049341601</v>
      </c>
      <c r="G5843">
        <v>0.19401726925975701</v>
      </c>
      <c r="H5843">
        <v>0.111146648690866</v>
      </c>
      <c r="I5843">
        <v>0.113078143492782</v>
      </c>
      <c r="J5843">
        <v>0.11941916149685</v>
      </c>
      <c r="K5843">
        <v>0.12751085232179299</v>
      </c>
      <c r="L5843">
        <v>736.07831130893305</v>
      </c>
      <c r="M5843">
        <v>15.5499880013167</v>
      </c>
      <c r="N5843">
        <v>48.127786878117298</v>
      </c>
      <c r="O5843">
        <v>46.574150064129803</v>
      </c>
      <c r="P5843">
        <v>-7.4057847650759706E-2</v>
      </c>
      <c r="Q5843">
        <v>0.11282830001189501</v>
      </c>
      <c r="R5843">
        <v>0.99348888901256904</v>
      </c>
      <c r="S5843" t="s">
        <v>12295</v>
      </c>
      <c r="T5843" t="s">
        <v>12902</v>
      </c>
      <c r="U5843" t="s">
        <v>12902</v>
      </c>
      <c r="V5843" t="s">
        <v>12902</v>
      </c>
      <c r="W5843" t="s">
        <v>18694</v>
      </c>
      <c r="X5843">
        <v>1</v>
      </c>
      <c r="Y5843" t="s">
        <v>24981</v>
      </c>
      <c r="Z5843" t="s">
        <v>31418</v>
      </c>
      <c r="AA5843">
        <v>0.35172592690883703</v>
      </c>
      <c r="AB5843" t="str">
        <f>HYPERLINK("Melting_Curves/meltCurve_Q9NX07_TRNAU1AP.pdf", "Melting_Curves/meltCurve_Q9NX07_TRNAU1AP.pdf")</f>
        <v>Melting_Curves/meltCurve_Q9NX07_TRNAU1AP.pdf</v>
      </c>
    </row>
    <row r="5844" spans="1:28" x14ac:dyDescent="0.25">
      <c r="A5844" t="s">
        <v>5848</v>
      </c>
      <c r="B5844">
        <v>0.99673306730245903</v>
      </c>
      <c r="C5844">
        <v>0.93655841721701105</v>
      </c>
      <c r="D5844">
        <v>0.88153922330856005</v>
      </c>
      <c r="E5844">
        <v>0.77302507014637201</v>
      </c>
      <c r="F5844">
        <v>0.473839944241848</v>
      </c>
      <c r="G5844">
        <v>0.21459177160776399</v>
      </c>
      <c r="H5844">
        <v>0.110186052770952</v>
      </c>
      <c r="I5844">
        <v>0.10883114113013299</v>
      </c>
      <c r="J5844">
        <v>0.13218535960115099</v>
      </c>
      <c r="K5844">
        <v>0.13264911693980799</v>
      </c>
      <c r="L5844">
        <v>1024.6807184394299</v>
      </c>
      <c r="M5844">
        <v>19.6963501826921</v>
      </c>
      <c r="N5844">
        <v>52.602186028886798</v>
      </c>
      <c r="O5844">
        <v>51.496530328444599</v>
      </c>
      <c r="P5844">
        <v>-8.6314431284532103E-2</v>
      </c>
      <c r="Q5844">
        <v>9.7347588858118395E-2</v>
      </c>
      <c r="R5844">
        <v>0.99222943719225498</v>
      </c>
      <c r="S5844" t="s">
        <v>12296</v>
      </c>
      <c r="T5844" t="s">
        <v>12902</v>
      </c>
      <c r="U5844" t="s">
        <v>12902</v>
      </c>
      <c r="V5844" t="s">
        <v>12902</v>
      </c>
      <c r="W5844" t="s">
        <v>18695</v>
      </c>
      <c r="X5844">
        <v>4</v>
      </c>
      <c r="Y5844" t="s">
        <v>24982</v>
      </c>
      <c r="Z5844" t="s">
        <v>31419</v>
      </c>
      <c r="AA5844">
        <v>0.47196328736528759</v>
      </c>
      <c r="AB5844" t="str">
        <f>HYPERLINK("Melting_Curves/meltCurve_Q9NX08_COMMD8.pdf", "Melting_Curves/meltCurve_Q9NX08_COMMD8.pdf")</f>
        <v>Melting_Curves/meltCurve_Q9NX08_COMMD8.pdf</v>
      </c>
    </row>
    <row r="5845" spans="1:28" x14ac:dyDescent="0.25">
      <c r="A5845" t="s">
        <v>5849</v>
      </c>
      <c r="B5845">
        <v>0.99673306730245903</v>
      </c>
      <c r="C5845">
        <v>0.95616843794777695</v>
      </c>
      <c r="D5845">
        <v>0.93680457292409702</v>
      </c>
      <c r="E5845">
        <v>0.77798305753765096</v>
      </c>
      <c r="F5845">
        <v>0.76279124063432502</v>
      </c>
      <c r="G5845">
        <v>0.64812374368460901</v>
      </c>
      <c r="H5845">
        <v>0.88542360723704205</v>
      </c>
      <c r="I5845">
        <v>1.4855444061041501</v>
      </c>
      <c r="J5845">
        <v>2.2555841370201799</v>
      </c>
      <c r="K5845">
        <v>2.5968955924789201</v>
      </c>
      <c r="L5845">
        <v>15000</v>
      </c>
      <c r="M5845">
        <v>237.851123298971</v>
      </c>
      <c r="O5845">
        <v>63.060200617562799</v>
      </c>
      <c r="P5845">
        <v>0.47147630633597498</v>
      </c>
      <c r="Q5845">
        <v>1.5</v>
      </c>
      <c r="R5845">
        <v>0.50437875658501996</v>
      </c>
      <c r="S5845" t="s">
        <v>12297</v>
      </c>
      <c r="T5845" t="s">
        <v>12902</v>
      </c>
      <c r="U5845" t="s">
        <v>12902</v>
      </c>
      <c r="V5845" t="s">
        <v>12902</v>
      </c>
      <c r="W5845" t="s">
        <v>18696</v>
      </c>
      <c r="X5845">
        <v>3</v>
      </c>
      <c r="Y5845" t="s">
        <v>24983</v>
      </c>
      <c r="Z5845" t="s">
        <v>31420</v>
      </c>
      <c r="AA5845">
        <v>1.115527877833012</v>
      </c>
      <c r="AB5845" t="str">
        <f>HYPERLINK("Melting_Curves/meltCurve_Q9NX14_2_NDUFB11.pdf", "Melting_Curves/meltCurve_Q9NX14_2_NDUFB11.pdf")</f>
        <v>Melting_Curves/meltCurve_Q9NX14_2_NDUFB11.pdf</v>
      </c>
    </row>
    <row r="5846" spans="1:28" x14ac:dyDescent="0.25">
      <c r="A5846" t="s">
        <v>5850</v>
      </c>
      <c r="B5846">
        <v>0.99673306730245903</v>
      </c>
      <c r="C5846">
        <v>0.96950889269472995</v>
      </c>
      <c r="D5846">
        <v>0.92556549190100601</v>
      </c>
      <c r="E5846">
        <v>0.878430697484887</v>
      </c>
      <c r="F5846">
        <v>0.92251611987671001</v>
      </c>
      <c r="G5846">
        <v>0.77478715079151295</v>
      </c>
      <c r="H5846">
        <v>0.75060727488549495</v>
      </c>
      <c r="I5846">
        <v>0.93954523676125801</v>
      </c>
      <c r="J5846">
        <v>1.1049373853972699</v>
      </c>
      <c r="K5846">
        <v>0.919761463813903</v>
      </c>
      <c r="L5846">
        <v>1509.1793373328901</v>
      </c>
      <c r="M5846">
        <v>34.210276264886701</v>
      </c>
      <c r="O5846">
        <v>43.964873102765999</v>
      </c>
      <c r="P5846">
        <v>-1.9646446489069901E-2</v>
      </c>
      <c r="Q5846">
        <v>0.89900693194950598</v>
      </c>
      <c r="R5846">
        <v>0.120485693720515</v>
      </c>
      <c r="S5846" t="s">
        <v>12298</v>
      </c>
      <c r="T5846" t="s">
        <v>12902</v>
      </c>
      <c r="U5846" t="s">
        <v>12902</v>
      </c>
      <c r="V5846" t="s">
        <v>12902</v>
      </c>
      <c r="W5846" t="s">
        <v>18697</v>
      </c>
      <c r="X5846">
        <v>5</v>
      </c>
      <c r="Y5846" t="s">
        <v>24984</v>
      </c>
      <c r="Z5846" t="s">
        <v>31421</v>
      </c>
      <c r="AA5846">
        <v>0.91338064675904884</v>
      </c>
      <c r="AB5846" t="str">
        <f>HYPERLINK("Melting_Curves/meltCurve_Q9NX24_NHP2.pdf", "Melting_Curves/meltCurve_Q9NX24_NHP2.pdf")</f>
        <v>Melting_Curves/meltCurve_Q9NX24_NHP2.pdf</v>
      </c>
    </row>
    <row r="5847" spans="1:28" x14ac:dyDescent="0.25">
      <c r="A5847" t="s">
        <v>5851</v>
      </c>
      <c r="B5847">
        <v>0.99673306730245903</v>
      </c>
      <c r="C5847">
        <v>0.92263175850045198</v>
      </c>
      <c r="D5847">
        <v>0.84168178005123195</v>
      </c>
      <c r="E5847">
        <v>0.52362680339636303</v>
      </c>
      <c r="F5847">
        <v>0.31483155901154602</v>
      </c>
      <c r="G5847">
        <v>0.19780104147269001</v>
      </c>
      <c r="H5847">
        <v>0.123476785779856</v>
      </c>
      <c r="I5847">
        <v>0.13077636829100101</v>
      </c>
      <c r="J5847">
        <v>0.113914111482167</v>
      </c>
      <c r="K5847">
        <v>9.5612104416880506E-2</v>
      </c>
      <c r="L5847">
        <v>875.28497893572899</v>
      </c>
      <c r="M5847">
        <v>17.677043408157299</v>
      </c>
      <c r="N5847">
        <v>50.168744837005299</v>
      </c>
      <c r="O5847">
        <v>48.894698652819599</v>
      </c>
      <c r="P5847">
        <v>-8.1094094043689405E-2</v>
      </c>
      <c r="Q5847">
        <v>0.10282239507409301</v>
      </c>
      <c r="R5847">
        <v>0.99805475169078695</v>
      </c>
      <c r="S5847" t="s">
        <v>12299</v>
      </c>
      <c r="T5847" t="s">
        <v>12902</v>
      </c>
      <c r="U5847" t="s">
        <v>12902</v>
      </c>
      <c r="V5847" t="s">
        <v>12902</v>
      </c>
      <c r="W5847" t="s">
        <v>18698</v>
      </c>
      <c r="X5847">
        <v>6</v>
      </c>
      <c r="Y5847" t="s">
        <v>24985</v>
      </c>
      <c r="Z5847" t="s">
        <v>31422</v>
      </c>
      <c r="AA5847">
        <v>0.40334317665931269</v>
      </c>
      <c r="AB5847" t="str">
        <f>HYPERLINK("Melting_Curves/meltCurve_Q9NX38_FAM206A.pdf", "Melting_Curves/meltCurve_Q9NX38_FAM206A.pdf")</f>
        <v>Melting_Curves/meltCurve_Q9NX38_FAM206A.pdf</v>
      </c>
    </row>
    <row r="5848" spans="1:28" x14ac:dyDescent="0.25">
      <c r="A5848" t="s">
        <v>5852</v>
      </c>
      <c r="B5848">
        <v>0.99673306730245903</v>
      </c>
      <c r="C5848">
        <v>1.0476492964281601</v>
      </c>
      <c r="D5848">
        <v>0.95652343817607799</v>
      </c>
      <c r="E5848">
        <v>0.84529931922332802</v>
      </c>
      <c r="F5848">
        <v>0.70838001869737199</v>
      </c>
      <c r="G5848">
        <v>0.57519942290373705</v>
      </c>
      <c r="H5848">
        <v>0.47731671447333901</v>
      </c>
      <c r="I5848">
        <v>0.67795621451487198</v>
      </c>
      <c r="J5848">
        <v>0.86376912916336501</v>
      </c>
      <c r="K5848">
        <v>0.98037232935698704</v>
      </c>
      <c r="L5848">
        <v>2251.1624229159602</v>
      </c>
      <c r="M5848">
        <v>45.652646635442899</v>
      </c>
      <c r="O5848">
        <v>49.2163266463239</v>
      </c>
      <c r="P5848">
        <v>-6.66091071104115E-2</v>
      </c>
      <c r="Q5848">
        <v>0.71276567954148795</v>
      </c>
      <c r="R5848">
        <v>0.487791477932282</v>
      </c>
      <c r="S5848" t="s">
        <v>12300</v>
      </c>
      <c r="T5848" t="s">
        <v>12902</v>
      </c>
      <c r="U5848" t="s">
        <v>12902</v>
      </c>
      <c r="V5848" t="s">
        <v>12902</v>
      </c>
      <c r="W5848" t="s">
        <v>18699</v>
      </c>
      <c r="X5848">
        <v>12</v>
      </c>
      <c r="Y5848" t="s">
        <v>24986</v>
      </c>
      <c r="Z5848" t="s">
        <v>31423</v>
      </c>
      <c r="AA5848">
        <v>0.80266083956391987</v>
      </c>
      <c r="AB5848" t="str">
        <f>HYPERLINK("Melting_Curves/meltCurve_Q9NX40_OCIAD1.pdf", "Melting_Curves/meltCurve_Q9NX40_OCIAD1.pdf")</f>
        <v>Melting_Curves/meltCurve_Q9NX40_OCIAD1.pdf</v>
      </c>
    </row>
    <row r="5849" spans="1:28" x14ac:dyDescent="0.25">
      <c r="A5849" t="s">
        <v>5853</v>
      </c>
      <c r="B5849">
        <v>0.99673306730245903</v>
      </c>
      <c r="C5849">
        <v>1.0005932679710301</v>
      </c>
      <c r="D5849">
        <v>0.96764884670990403</v>
      </c>
      <c r="E5849">
        <v>0.90753498814204003</v>
      </c>
      <c r="F5849">
        <v>0.74090702938104502</v>
      </c>
      <c r="G5849">
        <v>0.54113188987768401</v>
      </c>
      <c r="H5849">
        <v>0.20434410532945399</v>
      </c>
      <c r="I5849">
        <v>0.118470021127504</v>
      </c>
      <c r="J5849">
        <v>0.11289399881255401</v>
      </c>
      <c r="K5849">
        <v>9.3347149836656498E-2</v>
      </c>
      <c r="L5849">
        <v>1030.26174421161</v>
      </c>
      <c r="M5849">
        <v>18.2841993203564</v>
      </c>
      <c r="N5849">
        <v>56.659978278022997</v>
      </c>
      <c r="O5849">
        <v>55.686064249883799</v>
      </c>
      <c r="P5849">
        <v>-7.8148161618303E-2</v>
      </c>
      <c r="Q5849">
        <v>4.8017005935502198E-2</v>
      </c>
      <c r="R5849">
        <v>0.99535422720434097</v>
      </c>
      <c r="S5849" t="s">
        <v>12301</v>
      </c>
      <c r="T5849" t="s">
        <v>12902</v>
      </c>
      <c r="U5849" t="s">
        <v>12902</v>
      </c>
      <c r="V5849" t="s">
        <v>12902</v>
      </c>
      <c r="W5849" t="s">
        <v>18700</v>
      </c>
      <c r="X5849">
        <v>16</v>
      </c>
      <c r="Y5849" t="s">
        <v>24987</v>
      </c>
      <c r="Z5849" t="s">
        <v>31424</v>
      </c>
      <c r="AA5849">
        <v>0.58023725029354323</v>
      </c>
      <c r="AB5849" t="str">
        <f>HYPERLINK("Melting_Curves/meltCurve_Q9NX46_ADPRHL2.pdf", "Melting_Curves/meltCurve_Q9NX46_ADPRHL2.pdf")</f>
        <v>Melting_Curves/meltCurve_Q9NX46_ADPRHL2.pdf</v>
      </c>
    </row>
    <row r="5850" spans="1:28" x14ac:dyDescent="0.25">
      <c r="A5850" t="s">
        <v>5854</v>
      </c>
      <c r="B5850">
        <v>0.99673306730245903</v>
      </c>
      <c r="C5850">
        <v>1.0307700856094699</v>
      </c>
      <c r="D5850">
        <v>1.06287155222647</v>
      </c>
      <c r="E5850">
        <v>0.87368287063672201</v>
      </c>
      <c r="F5850">
        <v>0.76753496917921205</v>
      </c>
      <c r="G5850">
        <v>0.55649786385490196</v>
      </c>
      <c r="H5850">
        <v>0.45451007283522898</v>
      </c>
      <c r="I5850">
        <v>0.32776340426758399</v>
      </c>
      <c r="J5850">
        <v>0.20576310631667399</v>
      </c>
      <c r="K5850">
        <v>0.149967327628338</v>
      </c>
      <c r="L5850">
        <v>698.39353230791301</v>
      </c>
      <c r="M5850">
        <v>11.962916151131701</v>
      </c>
      <c r="N5850">
        <v>58.932149475966298</v>
      </c>
      <c r="O5850">
        <v>56.8202986654155</v>
      </c>
      <c r="P5850">
        <v>-4.9855886235026098E-2</v>
      </c>
      <c r="Q5850">
        <v>5.3028494442713597E-2</v>
      </c>
      <c r="R5850">
        <v>0.98404504347756405</v>
      </c>
      <c r="S5850" t="s">
        <v>12302</v>
      </c>
      <c r="T5850" t="s">
        <v>12902</v>
      </c>
      <c r="U5850" t="s">
        <v>12902</v>
      </c>
      <c r="V5850" t="s">
        <v>12902</v>
      </c>
      <c r="W5850" t="s">
        <v>18701</v>
      </c>
      <c r="X5850">
        <v>5</v>
      </c>
      <c r="Y5850" t="s">
        <v>24988</v>
      </c>
      <c r="Z5850" t="s">
        <v>31425</v>
      </c>
      <c r="AA5850">
        <v>0.64354918372087488</v>
      </c>
      <c r="AB5850" t="str">
        <f>HYPERLINK("Melting_Curves/meltCurve_Q9NX47_MARCH5.pdf", "Melting_Curves/meltCurve_Q9NX47_MARCH5.pdf")</f>
        <v>Melting_Curves/meltCurve_Q9NX47_MARCH5.pdf</v>
      </c>
    </row>
    <row r="5851" spans="1:28" x14ac:dyDescent="0.25">
      <c r="A5851" t="s">
        <v>5855</v>
      </c>
      <c r="B5851">
        <v>0.99673306730245903</v>
      </c>
      <c r="C5851">
        <v>0.96026988717531503</v>
      </c>
      <c r="D5851">
        <v>0.97263494230510805</v>
      </c>
      <c r="E5851">
        <v>0.93562048885364701</v>
      </c>
      <c r="F5851">
        <v>0.81115184829938802</v>
      </c>
      <c r="G5851">
        <v>0.62629114274195197</v>
      </c>
      <c r="H5851">
        <v>0.37580370483537401</v>
      </c>
      <c r="I5851">
        <v>0.54099351110882798</v>
      </c>
      <c r="J5851">
        <v>0.72958003568755203</v>
      </c>
      <c r="K5851">
        <v>0.706198877325804</v>
      </c>
      <c r="L5851">
        <v>2134.5077177346702</v>
      </c>
      <c r="M5851">
        <v>40.090779334966797</v>
      </c>
      <c r="O5851">
        <v>53.109906150956498</v>
      </c>
      <c r="P5851">
        <v>-7.7378376944204796E-2</v>
      </c>
      <c r="Q5851">
        <v>0.58997555552758296</v>
      </c>
      <c r="R5851">
        <v>0.77819955588740397</v>
      </c>
      <c r="S5851" t="s">
        <v>12303</v>
      </c>
      <c r="T5851" t="s">
        <v>12902</v>
      </c>
      <c r="U5851" t="s">
        <v>12902</v>
      </c>
      <c r="V5851" t="s">
        <v>12902</v>
      </c>
      <c r="W5851" t="s">
        <v>18702</v>
      </c>
      <c r="X5851">
        <v>9</v>
      </c>
      <c r="Y5851" t="s">
        <v>24989</v>
      </c>
      <c r="Z5851" t="s">
        <v>31426</v>
      </c>
      <c r="AA5851">
        <v>0.77245871404601163</v>
      </c>
      <c r="AB5851" t="str">
        <f>HYPERLINK("Melting_Curves/meltCurve_Q9NX55_HYPK.pdf", "Melting_Curves/meltCurve_Q9NX55_HYPK.pdf")</f>
        <v>Melting_Curves/meltCurve_Q9NX55_HYPK.pdf</v>
      </c>
    </row>
    <row r="5852" spans="1:28" x14ac:dyDescent="0.25">
      <c r="A5852" t="s">
        <v>5856</v>
      </c>
      <c r="B5852">
        <v>0.99673306730245903</v>
      </c>
      <c r="C5852">
        <v>0.96930028526691303</v>
      </c>
      <c r="D5852">
        <v>0.88866309616805395</v>
      </c>
      <c r="E5852">
        <v>0.82473525764908096</v>
      </c>
      <c r="F5852">
        <v>0.666572688901926</v>
      </c>
      <c r="G5852">
        <v>0.50617286100114001</v>
      </c>
      <c r="H5852">
        <v>0.34524879012957799</v>
      </c>
      <c r="I5852">
        <v>0.16436866326465599</v>
      </c>
      <c r="J5852">
        <v>0.13068588464143599</v>
      </c>
      <c r="K5852">
        <v>0.114410301643689</v>
      </c>
      <c r="L5852">
        <v>629.484858599826</v>
      </c>
      <c r="M5852">
        <v>11.139592295063</v>
      </c>
      <c r="N5852">
        <v>56.5087880458751</v>
      </c>
      <c r="O5852">
        <v>54.779433845245897</v>
      </c>
      <c r="P5852">
        <v>-5.0854727177461999E-2</v>
      </c>
      <c r="Q5852">
        <v>0</v>
      </c>
      <c r="R5852">
        <v>0.994917507876934</v>
      </c>
      <c r="S5852" t="s">
        <v>12304</v>
      </c>
      <c r="T5852" t="s">
        <v>12902</v>
      </c>
      <c r="U5852" t="s">
        <v>12902</v>
      </c>
      <c r="V5852" t="s">
        <v>12902</v>
      </c>
      <c r="W5852" t="s">
        <v>18703</v>
      </c>
      <c r="X5852">
        <v>4</v>
      </c>
      <c r="Y5852" t="s">
        <v>24990</v>
      </c>
      <c r="Z5852" t="s">
        <v>31427</v>
      </c>
      <c r="AA5852">
        <v>0.56907154069867094</v>
      </c>
      <c r="AB5852" t="str">
        <f>HYPERLINK("Melting_Curves/meltCurve_Q9NX57_RAB20.pdf", "Melting_Curves/meltCurve_Q9NX57_RAB20.pdf")</f>
        <v>Melting_Curves/meltCurve_Q9NX57_RAB20.pdf</v>
      </c>
    </row>
    <row r="5853" spans="1:28" x14ac:dyDescent="0.25">
      <c r="A5853" t="s">
        <v>5857</v>
      </c>
      <c r="B5853">
        <v>0.99673306730245903</v>
      </c>
      <c r="C5853">
        <v>0.96561968950315202</v>
      </c>
      <c r="D5853">
        <v>0.95922977017917899</v>
      </c>
      <c r="E5853">
        <v>0.93925823126365504</v>
      </c>
      <c r="F5853">
        <v>0.70905929334255302</v>
      </c>
      <c r="G5853">
        <v>0.40071645220904401</v>
      </c>
      <c r="H5853">
        <v>0.16665144048731401</v>
      </c>
      <c r="I5853">
        <v>0.15787815558102899</v>
      </c>
      <c r="J5853">
        <v>0.13078789862623999</v>
      </c>
      <c r="K5853">
        <v>0.126763365779679</v>
      </c>
      <c r="L5853">
        <v>1303.73781961381</v>
      </c>
      <c r="M5853">
        <v>23.773100861991601</v>
      </c>
      <c r="N5853">
        <v>55.464412640615897</v>
      </c>
      <c r="O5853">
        <v>54.457247224477001</v>
      </c>
      <c r="P5853">
        <v>-9.6340814677514194E-2</v>
      </c>
      <c r="Q5853">
        <v>0.11725942015406</v>
      </c>
      <c r="R5853">
        <v>0.99759155753214701</v>
      </c>
      <c r="S5853" t="s">
        <v>12305</v>
      </c>
      <c r="T5853" t="s">
        <v>12902</v>
      </c>
      <c r="U5853" t="s">
        <v>12902</v>
      </c>
      <c r="V5853" t="s">
        <v>12902</v>
      </c>
      <c r="W5853" t="s">
        <v>18704</v>
      </c>
      <c r="X5853">
        <v>12</v>
      </c>
      <c r="Y5853" t="s">
        <v>24991</v>
      </c>
      <c r="Z5853" t="s">
        <v>31428</v>
      </c>
      <c r="AA5853">
        <v>0.56286605911141974</v>
      </c>
      <c r="AB5853" t="str">
        <f>HYPERLINK("Melting_Curves/meltCurve_Q9NX58_LYAR.pdf", "Melting_Curves/meltCurve_Q9NX58_LYAR.pdf")</f>
        <v>Melting_Curves/meltCurve_Q9NX58_LYAR.pdf</v>
      </c>
    </row>
    <row r="5854" spans="1:28" x14ac:dyDescent="0.25">
      <c r="A5854" t="s">
        <v>5858</v>
      </c>
      <c r="B5854">
        <v>0.99673306730245903</v>
      </c>
      <c r="C5854">
        <v>0.95299805197596599</v>
      </c>
      <c r="D5854">
        <v>0.91616866226053695</v>
      </c>
      <c r="E5854">
        <v>0.76159186717452099</v>
      </c>
      <c r="F5854">
        <v>0.707819173288046</v>
      </c>
      <c r="G5854">
        <v>0.57515069627669602</v>
      </c>
      <c r="H5854">
        <v>0.42786099213064899</v>
      </c>
      <c r="I5854">
        <v>0.29054565542972499</v>
      </c>
      <c r="J5854">
        <v>0.15327545710658699</v>
      </c>
      <c r="K5854">
        <v>0.128661312235307</v>
      </c>
      <c r="L5854">
        <v>551.87288043152796</v>
      </c>
      <c r="M5854">
        <v>9.5522068269948495</v>
      </c>
      <c r="N5854">
        <v>57.774385581611</v>
      </c>
      <c r="O5854">
        <v>55.412418800362197</v>
      </c>
      <c r="P5854">
        <v>-4.3120931156442201E-2</v>
      </c>
      <c r="Q5854">
        <v>0</v>
      </c>
      <c r="R5854">
        <v>0.987386825434314</v>
      </c>
      <c r="S5854" t="s">
        <v>12306</v>
      </c>
      <c r="T5854" t="s">
        <v>12902</v>
      </c>
      <c r="U5854" t="s">
        <v>12902</v>
      </c>
      <c r="V5854" t="s">
        <v>12902</v>
      </c>
      <c r="W5854" t="s">
        <v>18705</v>
      </c>
      <c r="X5854">
        <v>12</v>
      </c>
      <c r="Y5854" t="s">
        <v>24992</v>
      </c>
      <c r="Z5854" t="s">
        <v>31429</v>
      </c>
      <c r="AA5854">
        <v>0.60284808051221062</v>
      </c>
      <c r="AB5854" t="str">
        <f>HYPERLINK("Melting_Curves/meltCurve_Q9NX62_IMPAD1.pdf", "Melting_Curves/meltCurve_Q9NX62_IMPAD1.pdf")</f>
        <v>Melting_Curves/meltCurve_Q9NX62_IMPAD1.pdf</v>
      </c>
    </row>
    <row r="5855" spans="1:28" x14ac:dyDescent="0.25">
      <c r="A5855" t="s">
        <v>5859</v>
      </c>
      <c r="B5855">
        <v>0.99673306730245903</v>
      </c>
      <c r="C5855">
        <v>0.94138469229034005</v>
      </c>
      <c r="D5855">
        <v>0.799728088236349</v>
      </c>
      <c r="E5855">
        <v>0.58798476954842904</v>
      </c>
      <c r="F5855">
        <v>0.50309530385808399</v>
      </c>
      <c r="G5855">
        <v>0.39193960602222799</v>
      </c>
      <c r="H5855">
        <v>0.27124046305374999</v>
      </c>
      <c r="I5855">
        <v>0.28756673469336202</v>
      </c>
      <c r="J5855">
        <v>0.38874252593562397</v>
      </c>
      <c r="K5855">
        <v>0.40569444034001201</v>
      </c>
      <c r="L5855">
        <v>826.35057541826302</v>
      </c>
      <c r="M5855">
        <v>17.059592551675401</v>
      </c>
      <c r="N5855">
        <v>51.851843679236097</v>
      </c>
      <c r="O5855">
        <v>47.788149470325102</v>
      </c>
      <c r="P5855">
        <v>-5.9145002251154703E-2</v>
      </c>
      <c r="Q5855">
        <v>0.33732103675730601</v>
      </c>
      <c r="R5855">
        <v>0.96828185216220097</v>
      </c>
      <c r="S5855" t="s">
        <v>12307</v>
      </c>
      <c r="T5855" t="s">
        <v>12902</v>
      </c>
      <c r="U5855" t="s">
        <v>12902</v>
      </c>
      <c r="V5855" t="s">
        <v>12902</v>
      </c>
      <c r="W5855" t="s">
        <v>18706</v>
      </c>
      <c r="X5855">
        <v>4</v>
      </c>
      <c r="Y5855" t="s">
        <v>24993</v>
      </c>
      <c r="Z5855" t="s">
        <v>31430</v>
      </c>
      <c r="AA5855">
        <v>0.53669176250302431</v>
      </c>
      <c r="AB5855" t="str">
        <f>HYPERLINK("Melting_Curves/meltCurve_Q9NX70_MED29.pdf", "Melting_Curves/meltCurve_Q9NX70_MED29.pdf")</f>
        <v>Melting_Curves/meltCurve_Q9NX70_MED29.pdf</v>
      </c>
    </row>
    <row r="5856" spans="1:28" x14ac:dyDescent="0.25">
      <c r="A5856" t="s">
        <v>5860</v>
      </c>
      <c r="B5856">
        <v>0.99673306730245903</v>
      </c>
      <c r="C5856">
        <v>0.97881284884388797</v>
      </c>
      <c r="D5856">
        <v>0.84851532467920798</v>
      </c>
      <c r="E5856">
        <v>0.58934274428403499</v>
      </c>
      <c r="F5856">
        <v>0.23808248447210201</v>
      </c>
      <c r="G5856">
        <v>0.13117334427541499</v>
      </c>
      <c r="H5856">
        <v>8.5182788206219898E-2</v>
      </c>
      <c r="I5856">
        <v>8.0389719307291496E-2</v>
      </c>
      <c r="J5856">
        <v>8.7474729091147799E-2</v>
      </c>
      <c r="K5856">
        <v>8.2644215715210703E-2</v>
      </c>
      <c r="L5856">
        <v>1108.39012032033</v>
      </c>
      <c r="M5856">
        <v>22.232755772516601</v>
      </c>
      <c r="N5856">
        <v>50.2202925678098</v>
      </c>
      <c r="O5856">
        <v>49.455848037155697</v>
      </c>
      <c r="P5856">
        <v>-0.103975701032767</v>
      </c>
      <c r="Q5856">
        <v>7.4861180078608994E-2</v>
      </c>
      <c r="R5856">
        <v>0.99861151135631498</v>
      </c>
      <c r="S5856" t="s">
        <v>12308</v>
      </c>
      <c r="T5856" t="s">
        <v>12902</v>
      </c>
      <c r="U5856" t="s">
        <v>12902</v>
      </c>
      <c r="V5856" t="s">
        <v>12902</v>
      </c>
      <c r="W5856" t="s">
        <v>18707</v>
      </c>
      <c r="X5856">
        <v>13</v>
      </c>
      <c r="Y5856" t="s">
        <v>24994</v>
      </c>
      <c r="Z5856" t="s">
        <v>31431</v>
      </c>
      <c r="AA5856">
        <v>0.38918598741100402</v>
      </c>
      <c r="AB5856" t="str">
        <f>HYPERLINK("Melting_Curves/meltCurve_Q9NX74_DUS2L.pdf", "Melting_Curves/meltCurve_Q9NX74_DUS2L.pdf")</f>
        <v>Melting_Curves/meltCurve_Q9NX74_DUS2L.pdf</v>
      </c>
    </row>
    <row r="5857" spans="1:28" x14ac:dyDescent="0.25">
      <c r="A5857" t="s">
        <v>5861</v>
      </c>
      <c r="B5857">
        <v>0.99673306730245903</v>
      </c>
      <c r="C5857">
        <v>1.0084668737990099</v>
      </c>
      <c r="D5857">
        <v>0.91244182203621804</v>
      </c>
      <c r="E5857">
        <v>0.687373892140412</v>
      </c>
      <c r="F5857">
        <v>0.20399507798362501</v>
      </c>
      <c r="G5857">
        <v>0.14851517441613801</v>
      </c>
      <c r="H5857">
        <v>8.0175632913387307E-2</v>
      </c>
      <c r="I5857">
        <v>7.4416423255306799E-2</v>
      </c>
      <c r="J5857">
        <v>9.2289211146013295E-2</v>
      </c>
      <c r="K5857">
        <v>8.2366580728297001E-2</v>
      </c>
      <c r="L5857">
        <v>1612.89511604522</v>
      </c>
      <c r="M5857">
        <v>31.964908155610001</v>
      </c>
      <c r="N5857">
        <v>50.756098350315099</v>
      </c>
      <c r="O5857">
        <v>50.262050637835998</v>
      </c>
      <c r="P5857">
        <v>-0.145397846305685</v>
      </c>
      <c r="Q5857">
        <v>8.5502549090685706E-2</v>
      </c>
      <c r="R5857">
        <v>0.99650259409947906</v>
      </c>
      <c r="S5857" t="s">
        <v>12309</v>
      </c>
      <c r="T5857" t="s">
        <v>12902</v>
      </c>
      <c r="U5857" t="s">
        <v>12902</v>
      </c>
      <c r="V5857" t="s">
        <v>12902</v>
      </c>
      <c r="W5857" t="s">
        <v>18708</v>
      </c>
      <c r="X5857">
        <v>13</v>
      </c>
      <c r="Y5857" t="s">
        <v>24995</v>
      </c>
      <c r="Z5857" t="s">
        <v>31432</v>
      </c>
      <c r="AA5857">
        <v>0.40932053298047189</v>
      </c>
      <c r="AB5857" t="str">
        <f>HYPERLINK("Melting_Curves/meltCurve_Q9NXA8_SIRT5.pdf", "Melting_Curves/meltCurve_Q9NXA8_SIRT5.pdf")</f>
        <v>Melting_Curves/meltCurve_Q9NXA8_SIRT5.pdf</v>
      </c>
    </row>
    <row r="5858" spans="1:28" x14ac:dyDescent="0.25">
      <c r="A5858" t="s">
        <v>5862</v>
      </c>
      <c r="B5858">
        <v>0.99673306730245903</v>
      </c>
      <c r="C5858">
        <v>0.94515471250554595</v>
      </c>
      <c r="D5858">
        <v>0.90892983914785896</v>
      </c>
      <c r="E5858">
        <v>0.94672258764741801</v>
      </c>
      <c r="F5858">
        <v>0.72090926367327202</v>
      </c>
      <c r="G5858">
        <v>0.56416925264894002</v>
      </c>
      <c r="H5858">
        <v>0.19853804810526501</v>
      </c>
      <c r="I5858">
        <v>0.14520892810463501</v>
      </c>
      <c r="J5858">
        <v>0.175241212473917</v>
      </c>
      <c r="K5858">
        <v>0.20266471484200699</v>
      </c>
      <c r="L5858">
        <v>1134.6657511692999</v>
      </c>
      <c r="M5858">
        <v>20.364740527806301</v>
      </c>
      <c r="N5858">
        <v>56.590368770632203</v>
      </c>
      <c r="O5858">
        <v>55.188261442292799</v>
      </c>
      <c r="P5858">
        <v>-7.9815955775293004E-2</v>
      </c>
      <c r="Q5858">
        <v>0.13482416335185299</v>
      </c>
      <c r="R5858">
        <v>0.97728902205113699</v>
      </c>
      <c r="S5858" t="s">
        <v>12310</v>
      </c>
      <c r="T5858" t="s">
        <v>12902</v>
      </c>
      <c r="U5858" t="s">
        <v>12902</v>
      </c>
      <c r="V5858" t="s">
        <v>12902</v>
      </c>
      <c r="W5858" t="s">
        <v>18709</v>
      </c>
      <c r="X5858">
        <v>5</v>
      </c>
      <c r="Y5858" t="s">
        <v>24996</v>
      </c>
      <c r="Z5858" t="s">
        <v>31433</v>
      </c>
      <c r="AA5858">
        <v>0.5990772276003451</v>
      </c>
      <c r="AB5858" t="str">
        <f>HYPERLINK("Melting_Curves/meltCurve_Q9NXC5_MIOS.pdf", "Melting_Curves/meltCurve_Q9NXC5_MIOS.pdf")</f>
        <v>Melting_Curves/meltCurve_Q9NXC5_MIOS.pdf</v>
      </c>
    </row>
    <row r="5859" spans="1:28" x14ac:dyDescent="0.25">
      <c r="A5859" t="s">
        <v>5863</v>
      </c>
      <c r="B5859">
        <v>0.99673306730245903</v>
      </c>
      <c r="C5859">
        <v>1.0050105318386799</v>
      </c>
      <c r="D5859">
        <v>1.01905753165489</v>
      </c>
      <c r="E5859">
        <v>0.86974979630166405</v>
      </c>
      <c r="F5859">
        <v>0.76095243723988304</v>
      </c>
      <c r="G5859">
        <v>0.65495548817876104</v>
      </c>
      <c r="H5859">
        <v>0.41083941214473901</v>
      </c>
      <c r="I5859">
        <v>0.458705306484607</v>
      </c>
      <c r="J5859">
        <v>0.802838876544401</v>
      </c>
      <c r="K5859">
        <v>0.90241312709153998</v>
      </c>
      <c r="L5859">
        <v>1587.91126100727</v>
      </c>
      <c r="M5859">
        <v>31.148013474967598</v>
      </c>
      <c r="O5859">
        <v>50.770789012483</v>
      </c>
      <c r="P5859">
        <v>-5.4055497061822298E-2</v>
      </c>
      <c r="Q5859">
        <v>0.64756343589933696</v>
      </c>
      <c r="R5859">
        <v>0.57260119912418905</v>
      </c>
      <c r="S5859" t="s">
        <v>12311</v>
      </c>
      <c r="T5859" t="s">
        <v>12902</v>
      </c>
      <c r="U5859" t="s">
        <v>12902</v>
      </c>
      <c r="V5859" t="s">
        <v>12902</v>
      </c>
      <c r="W5859" t="s">
        <v>18710</v>
      </c>
      <c r="X5859">
        <v>4</v>
      </c>
      <c r="Y5859" t="s">
        <v>24997</v>
      </c>
      <c r="Z5859" t="s">
        <v>31434</v>
      </c>
      <c r="AA5859">
        <v>0.77860425580334403</v>
      </c>
      <c r="AB5859" t="str">
        <f>HYPERLINK("Melting_Curves/meltCurve_Q9NXE8_CWC25.pdf", "Melting_Curves/meltCurve_Q9NXE8_CWC25.pdf")</f>
        <v>Melting_Curves/meltCurve_Q9NXE8_CWC25.pdf</v>
      </c>
    </row>
    <row r="5860" spans="1:28" x14ac:dyDescent="0.25">
      <c r="A5860" t="s">
        <v>5864</v>
      </c>
      <c r="B5860">
        <v>0.99673306730245903</v>
      </c>
      <c r="C5860">
        <v>1.0885898322286001</v>
      </c>
      <c r="D5860">
        <v>1.3108470205006399</v>
      </c>
      <c r="E5860">
        <v>1.8045410369106401</v>
      </c>
      <c r="F5860">
        <v>1.2443472449586299</v>
      </c>
      <c r="G5860">
        <v>0.49513587832724698</v>
      </c>
      <c r="H5860">
        <v>0.182390485036451</v>
      </c>
      <c r="I5860">
        <v>0.14409037902081301</v>
      </c>
      <c r="J5860">
        <v>0.144177892139805</v>
      </c>
      <c r="K5860">
        <v>0.110571470316118</v>
      </c>
      <c r="L5860">
        <v>14179.163126605499</v>
      </c>
      <c r="M5860">
        <v>250</v>
      </c>
      <c r="N5860">
        <v>56.794655505173601</v>
      </c>
      <c r="O5860">
        <v>56.713026729107703</v>
      </c>
      <c r="P5860">
        <v>-0.94190498362173602</v>
      </c>
      <c r="Q5860">
        <v>0.145307536691653</v>
      </c>
      <c r="R5860">
        <v>0.75891185245572201</v>
      </c>
      <c r="S5860" t="s">
        <v>12312</v>
      </c>
      <c r="T5860" t="s">
        <v>12902</v>
      </c>
      <c r="U5860" t="s">
        <v>12902</v>
      </c>
      <c r="V5860" t="s">
        <v>12902</v>
      </c>
      <c r="W5860" t="s">
        <v>18711</v>
      </c>
      <c r="X5860">
        <v>3</v>
      </c>
      <c r="Y5860" t="s">
        <v>24998</v>
      </c>
      <c r="Z5860" t="s">
        <v>31435</v>
      </c>
      <c r="AA5860">
        <v>0.62164584038015946</v>
      </c>
      <c r="AB5860" t="str">
        <f>HYPERLINK("Melting_Curves/meltCurve_Q9NXF1_2_TEX10.pdf", "Melting_Curves/meltCurve_Q9NXF1_2_TEX10.pdf")</f>
        <v>Melting_Curves/meltCurve_Q9NXF1_2_TEX10.pdf</v>
      </c>
    </row>
    <row r="5861" spans="1:28" x14ac:dyDescent="0.25">
      <c r="A5861" t="s">
        <v>5865</v>
      </c>
      <c r="B5861">
        <v>0.99673306730245903</v>
      </c>
      <c r="C5861">
        <v>0.96279440234084701</v>
      </c>
      <c r="D5861">
        <v>0.91707443237131103</v>
      </c>
      <c r="E5861">
        <v>0.64217338619800701</v>
      </c>
      <c r="F5861">
        <v>0.25544548560597202</v>
      </c>
      <c r="G5861">
        <v>0.189162620334512</v>
      </c>
      <c r="H5861">
        <v>0.104073204417094</v>
      </c>
      <c r="I5861">
        <v>0.10741988696631399</v>
      </c>
      <c r="J5861">
        <v>0.12542242477542201</v>
      </c>
      <c r="K5861">
        <v>0.105214324474105</v>
      </c>
      <c r="L5861">
        <v>1301.34136666069</v>
      </c>
      <c r="M5861">
        <v>25.907586057066901</v>
      </c>
      <c r="N5861">
        <v>50.723593192036802</v>
      </c>
      <c r="O5861">
        <v>49.9337244371144</v>
      </c>
      <c r="P5861">
        <v>-0.115262849485993</v>
      </c>
      <c r="Q5861">
        <v>0.111389828700067</v>
      </c>
      <c r="R5861">
        <v>0.99752289443920805</v>
      </c>
      <c r="S5861" t="s">
        <v>12313</v>
      </c>
      <c r="T5861" t="s">
        <v>12902</v>
      </c>
      <c r="U5861" t="s">
        <v>12902</v>
      </c>
      <c r="V5861" t="s">
        <v>12902</v>
      </c>
      <c r="W5861" t="s">
        <v>18712</v>
      </c>
      <c r="X5861">
        <v>4</v>
      </c>
      <c r="Y5861" t="s">
        <v>24999</v>
      </c>
      <c r="Z5861" t="s">
        <v>31436</v>
      </c>
      <c r="AA5861">
        <v>0.42182185540429412</v>
      </c>
      <c r="AB5861" t="str">
        <f>HYPERLINK("Melting_Curves/meltCurve_Q9NXF7_DCAF16.pdf", "Melting_Curves/meltCurve_Q9NXF7_DCAF16.pdf")</f>
        <v>Melting_Curves/meltCurve_Q9NXF7_DCAF16.pdf</v>
      </c>
    </row>
    <row r="5862" spans="1:28" x14ac:dyDescent="0.25">
      <c r="A5862" t="s">
        <v>5866</v>
      </c>
      <c r="B5862">
        <v>0.99673306730245903</v>
      </c>
      <c r="C5862">
        <v>0.90828455015684395</v>
      </c>
      <c r="D5862">
        <v>0.91386995271458804</v>
      </c>
      <c r="E5862">
        <v>0.64481781480159395</v>
      </c>
      <c r="F5862">
        <v>0.46968391363864498</v>
      </c>
      <c r="G5862">
        <v>0.26904623174987402</v>
      </c>
      <c r="H5862">
        <v>0.13280873065556401</v>
      </c>
      <c r="I5862">
        <v>9.9765159139167003E-2</v>
      </c>
      <c r="J5862">
        <v>7.9043870442544295E-2</v>
      </c>
      <c r="K5862">
        <v>5.6088900974849601E-2</v>
      </c>
      <c r="L5862">
        <v>715.51434995147895</v>
      </c>
      <c r="M5862">
        <v>13.7153173201034</v>
      </c>
      <c r="N5862">
        <v>52.3848177679766</v>
      </c>
      <c r="O5862">
        <v>51.097443973362203</v>
      </c>
      <c r="P5862">
        <v>-6.5269784837007599E-2</v>
      </c>
      <c r="Q5862">
        <v>2.7469516827584601E-2</v>
      </c>
      <c r="R5862">
        <v>0.99524578068802905</v>
      </c>
      <c r="S5862" t="s">
        <v>12314</v>
      </c>
      <c r="T5862" t="s">
        <v>12902</v>
      </c>
      <c r="U5862" t="s">
        <v>12902</v>
      </c>
      <c r="V5862" t="s">
        <v>12902</v>
      </c>
      <c r="W5862" t="s">
        <v>18713</v>
      </c>
      <c r="X5862">
        <v>2</v>
      </c>
      <c r="Y5862" t="s">
        <v>25000</v>
      </c>
      <c r="Z5862" t="s">
        <v>31437</v>
      </c>
      <c r="AA5862">
        <v>0.44658510194496231</v>
      </c>
      <c r="AB5862" t="str">
        <f>HYPERLINK("Melting_Curves/meltCurve_Q9NXF8_ZDHHC7.pdf", "Melting_Curves/meltCurve_Q9NXF8_ZDHHC7.pdf")</f>
        <v>Melting_Curves/meltCurve_Q9NXF8_ZDHHC7.pdf</v>
      </c>
    </row>
    <row r="5863" spans="1:28" x14ac:dyDescent="0.25">
      <c r="A5863" t="s">
        <v>5867</v>
      </c>
      <c r="B5863">
        <v>0.99673306730245903</v>
      </c>
      <c r="C5863">
        <v>0.98039948745674499</v>
      </c>
      <c r="D5863">
        <v>0.94626967348597202</v>
      </c>
      <c r="E5863">
        <v>0.83878460963284296</v>
      </c>
      <c r="F5863">
        <v>0.75664229595812005</v>
      </c>
      <c r="G5863">
        <v>0.56879547806930297</v>
      </c>
      <c r="H5863">
        <v>0.44510716677703599</v>
      </c>
      <c r="I5863">
        <v>0.484799036243038</v>
      </c>
      <c r="J5863">
        <v>0.58715359960274605</v>
      </c>
      <c r="K5863">
        <v>0.468571654071963</v>
      </c>
      <c r="L5863">
        <v>960.45641591062395</v>
      </c>
      <c r="M5863">
        <v>18.332015538264201</v>
      </c>
      <c r="N5863">
        <v>64.099918795832707</v>
      </c>
      <c r="O5863">
        <v>51.780778480516901</v>
      </c>
      <c r="P5863">
        <v>-4.5811294670697902E-2</v>
      </c>
      <c r="Q5863">
        <v>0.48242762966517</v>
      </c>
      <c r="R5863">
        <v>0.95663954354130898</v>
      </c>
      <c r="S5863" t="s">
        <v>12315</v>
      </c>
      <c r="T5863" t="s">
        <v>12902</v>
      </c>
      <c r="U5863" t="s">
        <v>12902</v>
      </c>
      <c r="V5863" t="s">
        <v>12902</v>
      </c>
      <c r="W5863" t="s">
        <v>18714</v>
      </c>
      <c r="X5863">
        <v>9</v>
      </c>
      <c r="Y5863" t="s">
        <v>25001</v>
      </c>
      <c r="Z5863" t="s">
        <v>31438</v>
      </c>
      <c r="AA5863">
        <v>0.70453023354178135</v>
      </c>
      <c r="AB5863" t="str">
        <f>HYPERLINK("Melting_Curves/meltCurve_Q9NXG6_P4HTM.pdf", "Melting_Curves/meltCurve_Q9NXG6_P4HTM.pdf")</f>
        <v>Melting_Curves/meltCurve_Q9NXG6_P4HTM.pdf</v>
      </c>
    </row>
    <row r="5864" spans="1:28" x14ac:dyDescent="0.25">
      <c r="A5864" t="s">
        <v>5868</v>
      </c>
      <c r="B5864">
        <v>0.99673306730245903</v>
      </c>
      <c r="C5864">
        <v>0.92762089829024397</v>
      </c>
      <c r="D5864">
        <v>1.02845748404779</v>
      </c>
      <c r="E5864">
        <v>1.03158435374449</v>
      </c>
      <c r="F5864">
        <v>0.98227159935854802</v>
      </c>
      <c r="G5864">
        <v>0.79519866297509501</v>
      </c>
      <c r="H5864">
        <v>0.52017202680255303</v>
      </c>
      <c r="I5864">
        <v>0.150238292767085</v>
      </c>
      <c r="J5864">
        <v>0.14988900892832999</v>
      </c>
      <c r="K5864">
        <v>0.131878028076586</v>
      </c>
      <c r="L5864">
        <v>1642.78606522204</v>
      </c>
      <c r="M5864">
        <v>27.396978492691801</v>
      </c>
      <c r="N5864">
        <v>60.398645859395501</v>
      </c>
      <c r="O5864">
        <v>59.645571981650598</v>
      </c>
      <c r="P5864">
        <v>-0.104523290022318</v>
      </c>
      <c r="Q5864">
        <v>8.9783841407284501E-2</v>
      </c>
      <c r="R5864">
        <v>0.98610713738887701</v>
      </c>
      <c r="S5864" t="s">
        <v>12316</v>
      </c>
      <c r="T5864" t="s">
        <v>12902</v>
      </c>
      <c r="U5864" t="s">
        <v>12902</v>
      </c>
      <c r="V5864" t="s">
        <v>12902</v>
      </c>
      <c r="W5864" t="s">
        <v>18715</v>
      </c>
      <c r="X5864">
        <v>28</v>
      </c>
      <c r="Y5864" t="s">
        <v>25002</v>
      </c>
      <c r="Z5864" t="s">
        <v>31439</v>
      </c>
      <c r="AA5864">
        <v>0.70164095841114882</v>
      </c>
      <c r="AB5864" t="str">
        <f>HYPERLINK("Melting_Curves/meltCurve_Q9NXH9_TRMT1.pdf", "Melting_Curves/meltCurve_Q9NXH9_TRMT1.pdf")</f>
        <v>Melting_Curves/meltCurve_Q9NXH9_TRMT1.pdf</v>
      </c>
    </row>
    <row r="5865" spans="1:28" x14ac:dyDescent="0.25">
      <c r="A5865" t="s">
        <v>5869</v>
      </c>
      <c r="B5865">
        <v>0.99673306730245903</v>
      </c>
      <c r="C5865">
        <v>0.97048722628089001</v>
      </c>
      <c r="D5865">
        <v>0.97676973698285996</v>
      </c>
      <c r="E5865">
        <v>0.857691865262727</v>
      </c>
      <c r="F5865">
        <v>0.61868945489706395</v>
      </c>
      <c r="G5865">
        <v>0.46441441693355801</v>
      </c>
      <c r="H5865">
        <v>0.35342030027443899</v>
      </c>
      <c r="I5865">
        <v>0.56156129445561698</v>
      </c>
      <c r="J5865">
        <v>0.86382523986961501</v>
      </c>
      <c r="K5865">
        <v>1.0166180623572201</v>
      </c>
      <c r="L5865">
        <v>12419.599147741899</v>
      </c>
      <c r="M5865">
        <v>250</v>
      </c>
      <c r="O5865">
        <v>49.675209126778903</v>
      </c>
      <c r="P5865">
        <v>-0.44486285062346898</v>
      </c>
      <c r="Q5865">
        <v>0.64642145843669196</v>
      </c>
      <c r="R5865">
        <v>0.426167490746924</v>
      </c>
      <c r="S5865" t="s">
        <v>12317</v>
      </c>
      <c r="T5865" t="s">
        <v>12902</v>
      </c>
      <c r="U5865" t="s">
        <v>12902</v>
      </c>
      <c r="V5865" t="s">
        <v>12902</v>
      </c>
      <c r="W5865" t="s">
        <v>18716</v>
      </c>
      <c r="X5865">
        <v>15</v>
      </c>
      <c r="Y5865" t="s">
        <v>25003</v>
      </c>
      <c r="Z5865" t="s">
        <v>31440</v>
      </c>
      <c r="AA5865">
        <v>0.76052139682585329</v>
      </c>
      <c r="AB5865" t="str">
        <f>HYPERLINK("Melting_Curves/meltCurve_Q9NXR1_2_NDE1.pdf", "Melting_Curves/meltCurve_Q9NXR1_2_NDE1.pdf")</f>
        <v>Melting_Curves/meltCurve_Q9NXR1_2_NDE1.pdf</v>
      </c>
    </row>
    <row r="5866" spans="1:28" x14ac:dyDescent="0.25">
      <c r="A5866" t="s">
        <v>5870</v>
      </c>
      <c r="B5866">
        <v>0.99673306730245903</v>
      </c>
      <c r="C5866">
        <v>0.93729832448747896</v>
      </c>
      <c r="D5866">
        <v>0.62789963274509197</v>
      </c>
      <c r="E5866">
        <v>0.32102319104514598</v>
      </c>
      <c r="F5866">
        <v>0.168014223526887</v>
      </c>
      <c r="G5866">
        <v>9.7400368801049006E-2</v>
      </c>
      <c r="H5866">
        <v>5.8709703515003202E-2</v>
      </c>
      <c r="I5866">
        <v>5.0564879711388198E-2</v>
      </c>
      <c r="J5866">
        <v>4.7283323914240297E-2</v>
      </c>
      <c r="K5866">
        <v>3.57751445994944E-2</v>
      </c>
      <c r="L5866">
        <v>956.33685362128494</v>
      </c>
      <c r="M5866">
        <v>20.207734476731002</v>
      </c>
      <c r="N5866">
        <v>47.578916441643401</v>
      </c>
      <c r="O5866">
        <v>46.869143761754202</v>
      </c>
      <c r="P5866">
        <v>-0.10228752965879701</v>
      </c>
      <c r="Q5866">
        <v>5.1060545859110802E-2</v>
      </c>
      <c r="R5866">
        <v>0.99662479596964804</v>
      </c>
      <c r="S5866" t="s">
        <v>12318</v>
      </c>
      <c r="T5866" t="s">
        <v>12902</v>
      </c>
      <c r="U5866" t="s">
        <v>12902</v>
      </c>
      <c r="V5866" t="s">
        <v>12902</v>
      </c>
      <c r="W5866" t="s">
        <v>18717</v>
      </c>
      <c r="X5866">
        <v>4</v>
      </c>
      <c r="Y5866" t="s">
        <v>25004</v>
      </c>
      <c r="Z5866" t="s">
        <v>31441</v>
      </c>
      <c r="AA5866">
        <v>0.29619107251013432</v>
      </c>
      <c r="AB5866" t="str">
        <f>HYPERLINK("Melting_Curves/meltCurve_Q9NXR5_ANKRD10.pdf", "Melting_Curves/meltCurve_Q9NXR5_ANKRD10.pdf")</f>
        <v>Melting_Curves/meltCurve_Q9NXR5_ANKRD10.pdf</v>
      </c>
    </row>
    <row r="5867" spans="1:28" x14ac:dyDescent="0.25">
      <c r="A5867" t="s">
        <v>5871</v>
      </c>
      <c r="B5867">
        <v>0.99673306730245903</v>
      </c>
      <c r="C5867">
        <v>0.93776032393893605</v>
      </c>
      <c r="D5867">
        <v>0.99818364224629097</v>
      </c>
      <c r="E5867">
        <v>1.08412486868447</v>
      </c>
      <c r="F5867">
        <v>1.09672568044623</v>
      </c>
      <c r="G5867">
        <v>0.94882433599966498</v>
      </c>
      <c r="H5867">
        <v>0.74901329277890105</v>
      </c>
      <c r="I5867">
        <v>0.35378546993853099</v>
      </c>
      <c r="J5867">
        <v>0.183753626450367</v>
      </c>
      <c r="K5867">
        <v>0.16943573458477201</v>
      </c>
      <c r="L5867">
        <v>2434.5209632300498</v>
      </c>
      <c r="M5867">
        <v>39.197177397651203</v>
      </c>
      <c r="N5867">
        <v>62.681712631738698</v>
      </c>
      <c r="O5867">
        <v>61.9485970127134</v>
      </c>
      <c r="P5867">
        <v>-0.13439669454588199</v>
      </c>
      <c r="Q5867">
        <v>0.150380862305658</v>
      </c>
      <c r="R5867">
        <v>0.98258246367303104</v>
      </c>
      <c r="S5867" t="s">
        <v>12319</v>
      </c>
      <c r="T5867" t="s">
        <v>12902</v>
      </c>
      <c r="U5867" t="s">
        <v>12902</v>
      </c>
      <c r="V5867" t="s">
        <v>12902</v>
      </c>
      <c r="W5867" t="s">
        <v>18718</v>
      </c>
      <c r="X5867">
        <v>12</v>
      </c>
      <c r="Y5867" t="s">
        <v>25005</v>
      </c>
      <c r="Z5867" t="s">
        <v>31442</v>
      </c>
      <c r="AA5867">
        <v>0.7796135478976588</v>
      </c>
      <c r="AB5867" t="str">
        <f>HYPERLINK("Melting_Curves/meltCurve_Q9NXR7_BRE.pdf", "Melting_Curves/meltCurve_Q9NXR7_BRE.pdf")</f>
        <v>Melting_Curves/meltCurve_Q9NXR7_BRE.pdf</v>
      </c>
    </row>
    <row r="5868" spans="1:28" x14ac:dyDescent="0.25">
      <c r="A5868" t="s">
        <v>5872</v>
      </c>
      <c r="B5868">
        <v>0.99673306730245903</v>
      </c>
      <c r="C5868">
        <v>0.91611950447606905</v>
      </c>
      <c r="D5868">
        <v>0.81000233051454595</v>
      </c>
      <c r="E5868">
        <v>0.578950246806474</v>
      </c>
      <c r="F5868">
        <v>0.31751306034988103</v>
      </c>
      <c r="G5868">
        <v>0.16121895037030001</v>
      </c>
      <c r="H5868">
        <v>0.10399364827197601</v>
      </c>
      <c r="I5868">
        <v>7.3303274753594203E-2</v>
      </c>
      <c r="J5868">
        <v>7.5393189348806094E-2</v>
      </c>
      <c r="K5868">
        <v>8.2169473922058395E-2</v>
      </c>
      <c r="L5868">
        <v>808.11435826111801</v>
      </c>
      <c r="M5868">
        <v>16.147304486256399</v>
      </c>
      <c r="N5868">
        <v>50.416439515278299</v>
      </c>
      <c r="O5868">
        <v>49.297691312216301</v>
      </c>
      <c r="P5868">
        <v>-7.7316577722465696E-2</v>
      </c>
      <c r="Q5868">
        <v>5.5881945013103403E-2</v>
      </c>
      <c r="R5868">
        <v>0.99867862007094399</v>
      </c>
      <c r="S5868" t="s">
        <v>12320</v>
      </c>
      <c r="T5868" t="s">
        <v>12902</v>
      </c>
      <c r="U5868" t="s">
        <v>12902</v>
      </c>
      <c r="V5868" t="s">
        <v>12902</v>
      </c>
      <c r="W5868" t="s">
        <v>18719</v>
      </c>
      <c r="X5868">
        <v>4</v>
      </c>
      <c r="Y5868" t="s">
        <v>25006</v>
      </c>
      <c r="Z5868" t="s">
        <v>31443</v>
      </c>
      <c r="AA5868">
        <v>0.39174202501387378</v>
      </c>
      <c r="AB5868" t="str">
        <f>HYPERLINK("Melting_Curves/meltCurve_Q9NXS2_QPCTL.pdf", "Melting_Curves/meltCurve_Q9NXS2_QPCTL.pdf")</f>
        <v>Melting_Curves/meltCurve_Q9NXS2_QPCTL.pdf</v>
      </c>
    </row>
    <row r="5869" spans="1:28" x14ac:dyDescent="0.25">
      <c r="A5869" t="s">
        <v>5873</v>
      </c>
      <c r="B5869">
        <v>0.99673306730245903</v>
      </c>
      <c r="C5869">
        <v>1.00384887144051</v>
      </c>
      <c r="D5869">
        <v>0.92054106327045504</v>
      </c>
      <c r="E5869">
        <v>0.74371023076429399</v>
      </c>
      <c r="F5869">
        <v>0.50652384880464696</v>
      </c>
      <c r="G5869">
        <v>0.25797205615445701</v>
      </c>
      <c r="H5869">
        <v>0.103361029880314</v>
      </c>
      <c r="I5869">
        <v>7.7256120629706507E-2</v>
      </c>
      <c r="J5869">
        <v>6.0276323426754097E-2</v>
      </c>
      <c r="K5869">
        <v>5.87643808055619E-2</v>
      </c>
      <c r="L5869">
        <v>898.21233130043095</v>
      </c>
      <c r="M5869">
        <v>17.001499004105199</v>
      </c>
      <c r="N5869">
        <v>53.034692551727403</v>
      </c>
      <c r="O5869">
        <v>52.116685350023097</v>
      </c>
      <c r="P5869">
        <v>-7.8986829511909995E-2</v>
      </c>
      <c r="Q5869">
        <v>3.1549504679909197E-2</v>
      </c>
      <c r="R5869">
        <v>0.99877591745486605</v>
      </c>
      <c r="S5869" t="s">
        <v>12321</v>
      </c>
      <c r="T5869" t="s">
        <v>12902</v>
      </c>
      <c r="U5869" t="s">
        <v>12902</v>
      </c>
      <c r="V5869" t="s">
        <v>12902</v>
      </c>
      <c r="W5869" t="s">
        <v>18720</v>
      </c>
      <c r="X5869">
        <v>7</v>
      </c>
      <c r="Y5869" t="s">
        <v>25007</v>
      </c>
      <c r="Z5869" t="s">
        <v>31444</v>
      </c>
      <c r="AA5869">
        <v>0.46318461951067907</v>
      </c>
      <c r="AB5869" t="str">
        <f>HYPERLINK("Melting_Curves/meltCurve_Q9NXU5_ARL15.pdf", "Melting_Curves/meltCurve_Q9NXU5_ARL15.pdf")</f>
        <v>Melting_Curves/meltCurve_Q9NXU5_ARL15.pdf</v>
      </c>
    </row>
    <row r="5870" spans="1:28" x14ac:dyDescent="0.25">
      <c r="A5870" t="s">
        <v>5874</v>
      </c>
      <c r="B5870">
        <v>0.99673306730245903</v>
      </c>
      <c r="C5870">
        <v>0.91051598175685799</v>
      </c>
      <c r="D5870">
        <v>1.04665899951415</v>
      </c>
      <c r="E5870">
        <v>0.85225764466310405</v>
      </c>
      <c r="F5870">
        <v>0.74308835648666804</v>
      </c>
      <c r="G5870">
        <v>0.59202954560808996</v>
      </c>
      <c r="H5870">
        <v>0.6138901522554</v>
      </c>
      <c r="I5870">
        <v>0.58469972018169503</v>
      </c>
      <c r="J5870">
        <v>0.54726844919223605</v>
      </c>
      <c r="K5870">
        <v>0.35465538885098702</v>
      </c>
      <c r="L5870">
        <v>544.10675219621805</v>
      </c>
      <c r="M5870">
        <v>9.7151736439547101</v>
      </c>
      <c r="N5870">
        <v>65.508088372392294</v>
      </c>
      <c r="O5870">
        <v>53.787449579235698</v>
      </c>
      <c r="P5870">
        <v>-2.81094143141488E-2</v>
      </c>
      <c r="Q5870">
        <v>0.37783388582912603</v>
      </c>
      <c r="R5870">
        <v>0.90356759379987495</v>
      </c>
      <c r="S5870" t="s">
        <v>12322</v>
      </c>
      <c r="T5870" t="s">
        <v>12902</v>
      </c>
      <c r="U5870" t="s">
        <v>12902</v>
      </c>
      <c r="V5870" t="s">
        <v>12902</v>
      </c>
      <c r="W5870" t="s">
        <v>18721</v>
      </c>
      <c r="X5870">
        <v>3</v>
      </c>
      <c r="Y5870" t="s">
        <v>25008</v>
      </c>
      <c r="Z5870" t="s">
        <v>31445</v>
      </c>
      <c r="AA5870">
        <v>0.72286652040928012</v>
      </c>
      <c r="AB5870" t="str">
        <f>HYPERLINK("Melting_Curves/meltCurve_Q9NXV2_KCTD5.pdf", "Melting_Curves/meltCurve_Q9NXV2_KCTD5.pdf")</f>
        <v>Melting_Curves/meltCurve_Q9NXV2_KCTD5.pdf</v>
      </c>
    </row>
    <row r="5871" spans="1:28" x14ac:dyDescent="0.25">
      <c r="A5871" t="s">
        <v>5875</v>
      </c>
      <c r="B5871">
        <v>0.99673306730245903</v>
      </c>
      <c r="C5871">
        <v>0.93793170266854198</v>
      </c>
      <c r="D5871">
        <v>0.95122924619752802</v>
      </c>
      <c r="E5871">
        <v>0.87939275791558902</v>
      </c>
      <c r="F5871">
        <v>0.43561330161350198</v>
      </c>
      <c r="G5871">
        <v>0.2407677840902</v>
      </c>
      <c r="H5871">
        <v>0.159450775789477</v>
      </c>
      <c r="I5871">
        <v>0.15456637386401401</v>
      </c>
      <c r="J5871">
        <v>0.18342933886968599</v>
      </c>
      <c r="K5871">
        <v>0.164250860728124</v>
      </c>
      <c r="L5871">
        <v>1693.9991421183299</v>
      </c>
      <c r="M5871">
        <v>32.517646955882803</v>
      </c>
      <c r="N5871">
        <v>52.751134459070499</v>
      </c>
      <c r="O5871">
        <v>51.8989297164837</v>
      </c>
      <c r="P5871">
        <v>-0.130578043578469</v>
      </c>
      <c r="Q5871">
        <v>0.166381422033159</v>
      </c>
      <c r="R5871">
        <v>0.99485251043985701</v>
      </c>
      <c r="S5871" t="s">
        <v>12323</v>
      </c>
      <c r="T5871" t="s">
        <v>12902</v>
      </c>
      <c r="U5871" t="s">
        <v>12902</v>
      </c>
      <c r="V5871" t="s">
        <v>12902</v>
      </c>
      <c r="W5871" t="s">
        <v>18722</v>
      </c>
      <c r="X5871">
        <v>16</v>
      </c>
      <c r="Y5871" t="s">
        <v>25009</v>
      </c>
      <c r="Z5871" t="s">
        <v>31446</v>
      </c>
      <c r="AA5871">
        <v>0.50700645174556802</v>
      </c>
      <c r="AB5871" t="str">
        <f>HYPERLINK("Melting_Curves/meltCurve_Q9NXV6_CDKN2AIP.pdf", "Melting_Curves/meltCurve_Q9NXV6_CDKN2AIP.pdf")</f>
        <v>Melting_Curves/meltCurve_Q9NXV6_CDKN2AIP.pdf</v>
      </c>
    </row>
    <row r="5872" spans="1:28" x14ac:dyDescent="0.25">
      <c r="A5872" t="s">
        <v>5876</v>
      </c>
      <c r="B5872">
        <v>0.99673306730245903</v>
      </c>
      <c r="C5872">
        <v>0.97773077111203399</v>
      </c>
      <c r="D5872">
        <v>0.79146489579243795</v>
      </c>
      <c r="E5872">
        <v>0.44392418741523498</v>
      </c>
      <c r="F5872">
        <v>0.357290365743681</v>
      </c>
      <c r="G5872">
        <v>0.22989152148601599</v>
      </c>
      <c r="H5872">
        <v>0.172872841005104</v>
      </c>
      <c r="I5872">
        <v>0.14540147249825899</v>
      </c>
      <c r="J5872">
        <v>9.7147512999842395E-2</v>
      </c>
      <c r="K5872">
        <v>7.17855227782732E-2</v>
      </c>
      <c r="L5872">
        <v>797.29667627208096</v>
      </c>
      <c r="M5872">
        <v>16.231773753441999</v>
      </c>
      <c r="N5872">
        <v>49.887566734268802</v>
      </c>
      <c r="O5872">
        <v>48.392107490398303</v>
      </c>
      <c r="P5872">
        <v>-7.4589818625412599E-2</v>
      </c>
      <c r="Q5872">
        <v>0.110561500106769</v>
      </c>
      <c r="R5872">
        <v>0.98638469485918301</v>
      </c>
      <c r="S5872" t="s">
        <v>12324</v>
      </c>
      <c r="T5872" t="s">
        <v>12902</v>
      </c>
      <c r="U5872" t="s">
        <v>12902</v>
      </c>
      <c r="V5872" t="s">
        <v>12902</v>
      </c>
      <c r="W5872" t="s">
        <v>18723</v>
      </c>
      <c r="X5872">
        <v>9</v>
      </c>
      <c r="Y5872" t="s">
        <v>25010</v>
      </c>
      <c r="Z5872" t="s">
        <v>31447</v>
      </c>
      <c r="AA5872">
        <v>0.3997521303831359</v>
      </c>
      <c r="AB5872" t="str">
        <f>HYPERLINK("Melting_Curves/meltCurve_Q9NXW9_ALKBH4.pdf", "Melting_Curves/meltCurve_Q9NXW9_ALKBH4.pdf")</f>
        <v>Melting_Curves/meltCurve_Q9NXW9_ALKBH4.pdf</v>
      </c>
    </row>
    <row r="5873" spans="1:28" x14ac:dyDescent="0.25">
      <c r="A5873" t="s">
        <v>5877</v>
      </c>
      <c r="B5873">
        <v>0.99673306730245903</v>
      </c>
      <c r="C5873">
        <v>0.92734489002447695</v>
      </c>
      <c r="D5873">
        <v>0.90036963363471301</v>
      </c>
      <c r="E5873">
        <v>0.94365439252859595</v>
      </c>
      <c r="F5873">
        <v>0.36020806924491899</v>
      </c>
      <c r="G5873">
        <v>0.27237837882850202</v>
      </c>
      <c r="H5873">
        <v>0.170053564380517</v>
      </c>
      <c r="I5873">
        <v>0.13473382998494099</v>
      </c>
      <c r="J5873">
        <v>0.108411997161702</v>
      </c>
      <c r="K5873">
        <v>0.109591300576678</v>
      </c>
      <c r="L5873">
        <v>2316.2032579721399</v>
      </c>
      <c r="M5873">
        <v>44.511995136582797</v>
      </c>
      <c r="N5873">
        <v>52.460450486480802</v>
      </c>
      <c r="O5873">
        <v>51.930784936813097</v>
      </c>
      <c r="P5873">
        <v>-0.18185054968963499</v>
      </c>
      <c r="Q5873">
        <v>0.15136322407994099</v>
      </c>
      <c r="R5873">
        <v>0.97824874424879404</v>
      </c>
      <c r="S5873" t="s">
        <v>12325</v>
      </c>
      <c r="T5873" t="s">
        <v>12902</v>
      </c>
      <c r="U5873" t="s">
        <v>12902</v>
      </c>
      <c r="V5873" t="s">
        <v>12902</v>
      </c>
      <c r="W5873" t="s">
        <v>18724</v>
      </c>
      <c r="X5873">
        <v>2</v>
      </c>
      <c r="Y5873" t="s">
        <v>25011</v>
      </c>
      <c r="Z5873" t="s">
        <v>31448</v>
      </c>
      <c r="AA5873">
        <v>0.49428251590662681</v>
      </c>
      <c r="AB5873" t="str">
        <f>HYPERLINK("Melting_Curves/meltCurve_Q9NXX6_NSMCE4A.pdf", "Melting_Curves/meltCurve_Q9NXX6_NSMCE4A.pdf")</f>
        <v>Melting_Curves/meltCurve_Q9NXX6_NSMCE4A.pdf</v>
      </c>
    </row>
    <row r="5874" spans="1:28" x14ac:dyDescent="0.25">
      <c r="A5874" t="s">
        <v>5878</v>
      </c>
      <c r="B5874">
        <v>0.99673306730245903</v>
      </c>
      <c r="C5874">
        <v>0.99857463245877198</v>
      </c>
      <c r="D5874">
        <v>0.982652167190319</v>
      </c>
      <c r="E5874">
        <v>0.82460912210753001</v>
      </c>
      <c r="F5874">
        <v>0.37080659716583197</v>
      </c>
      <c r="G5874">
        <v>0.19056640710182801</v>
      </c>
      <c r="H5874">
        <v>0.100034922625293</v>
      </c>
      <c r="I5874">
        <v>8.1949270020473197E-2</v>
      </c>
      <c r="J5874">
        <v>9.3240801781672794E-2</v>
      </c>
      <c r="K5874">
        <v>8.4612010357605502E-2</v>
      </c>
      <c r="L5874">
        <v>1526.7530388499499</v>
      </c>
      <c r="M5874">
        <v>29.419641240723699</v>
      </c>
      <c r="N5874">
        <v>52.252352021784098</v>
      </c>
      <c r="O5874">
        <v>51.657705595007201</v>
      </c>
      <c r="P5874">
        <v>-0.12942760126782801</v>
      </c>
      <c r="Q5874">
        <v>9.0963076465344503E-2</v>
      </c>
      <c r="R5874">
        <v>0.99892061920573005</v>
      </c>
      <c r="S5874" t="s">
        <v>12326</v>
      </c>
      <c r="T5874" t="s">
        <v>12902</v>
      </c>
      <c r="U5874" t="s">
        <v>12902</v>
      </c>
      <c r="V5874" t="s">
        <v>12902</v>
      </c>
      <c r="W5874" t="s">
        <v>18725</v>
      </c>
      <c r="X5874">
        <v>19</v>
      </c>
      <c r="Y5874" t="s">
        <v>25012</v>
      </c>
      <c r="Z5874" t="s">
        <v>31449</v>
      </c>
      <c r="AA5874">
        <v>0.45744526533366231</v>
      </c>
      <c r="AB5874" t="str">
        <f>HYPERLINK("Melting_Curves/meltCurve_Q9NY27_PPP4R2.pdf", "Melting_Curves/meltCurve_Q9NY27_PPP4R2.pdf")</f>
        <v>Melting_Curves/meltCurve_Q9NY27_PPP4R2.pdf</v>
      </c>
    </row>
    <row r="5875" spans="1:28" x14ac:dyDescent="0.25">
      <c r="A5875" t="s">
        <v>5879</v>
      </c>
      <c r="B5875">
        <v>0.99673306730245903</v>
      </c>
      <c r="C5875">
        <v>0.74584681301533795</v>
      </c>
      <c r="D5875">
        <v>0.38420785380760603</v>
      </c>
      <c r="E5875">
        <v>0.22478368841658899</v>
      </c>
      <c r="F5875">
        <v>0.16677546704361901</v>
      </c>
      <c r="G5875">
        <v>0.121353485499088</v>
      </c>
      <c r="H5875">
        <v>0.101481659300134</v>
      </c>
      <c r="I5875">
        <v>0.13550539709013801</v>
      </c>
      <c r="J5875">
        <v>0.17862113084141301</v>
      </c>
      <c r="K5875">
        <v>0.153275476335614</v>
      </c>
      <c r="L5875">
        <v>1172.0036129666701</v>
      </c>
      <c r="M5875">
        <v>26.387135221186298</v>
      </c>
      <c r="N5875">
        <v>44.995473401474797</v>
      </c>
      <c r="O5875">
        <v>44.162995544838999</v>
      </c>
      <c r="P5875">
        <v>-0.12784856985053</v>
      </c>
      <c r="Q5875">
        <v>0.14411138476751201</v>
      </c>
      <c r="R5875">
        <v>0.99202120560810503</v>
      </c>
      <c r="S5875" t="s">
        <v>12327</v>
      </c>
      <c r="T5875" t="s">
        <v>12902</v>
      </c>
      <c r="U5875" t="s">
        <v>12902</v>
      </c>
      <c r="V5875" t="s">
        <v>12902</v>
      </c>
      <c r="W5875" t="s">
        <v>18726</v>
      </c>
      <c r="X5875">
        <v>2</v>
      </c>
      <c r="Y5875" t="s">
        <v>25013</v>
      </c>
      <c r="Z5875" t="s">
        <v>31450</v>
      </c>
      <c r="AA5875">
        <v>0.27812370783539753</v>
      </c>
      <c r="AB5875" t="str">
        <f>HYPERLINK("Melting_Curves/meltCurve_Q9NY61_AATF.pdf", "Melting_Curves/meltCurve_Q9NY61_AATF.pdf")</f>
        <v>Melting_Curves/meltCurve_Q9NY61_AATF.pdf</v>
      </c>
    </row>
    <row r="5876" spans="1:28" x14ac:dyDescent="0.25">
      <c r="A5876" t="s">
        <v>5880</v>
      </c>
      <c r="B5876">
        <v>0.99673306730245903</v>
      </c>
      <c r="C5876">
        <v>0.94673978062203001</v>
      </c>
      <c r="D5876">
        <v>0.86599673345786199</v>
      </c>
      <c r="E5876">
        <v>0.62517221921495403</v>
      </c>
      <c r="F5876">
        <v>0.37884846474453399</v>
      </c>
      <c r="G5876">
        <v>0.27397631687978602</v>
      </c>
      <c r="H5876">
        <v>0.15540493907326</v>
      </c>
      <c r="I5876">
        <v>0.12707877640425499</v>
      </c>
      <c r="J5876">
        <v>0.16367182075029499</v>
      </c>
      <c r="K5876">
        <v>0.17088912921070101</v>
      </c>
      <c r="L5876">
        <v>868.47970867649099</v>
      </c>
      <c r="M5876">
        <v>17.241311529892702</v>
      </c>
      <c r="N5876">
        <v>51.342431241064503</v>
      </c>
      <c r="O5876">
        <v>49.709041579510902</v>
      </c>
      <c r="P5876">
        <v>-7.4658270458119402E-2</v>
      </c>
      <c r="Q5876">
        <v>0.139050841656776</v>
      </c>
      <c r="R5876">
        <v>0.99678139074237904</v>
      </c>
      <c r="S5876" t="s">
        <v>12328</v>
      </c>
      <c r="T5876" t="s">
        <v>12902</v>
      </c>
      <c r="U5876" t="s">
        <v>12902</v>
      </c>
      <c r="V5876" t="s">
        <v>12902</v>
      </c>
      <c r="W5876" t="s">
        <v>18727</v>
      </c>
      <c r="X5876">
        <v>11</v>
      </c>
      <c r="Y5876" t="s">
        <v>25014</v>
      </c>
      <c r="Z5876" t="s">
        <v>31451</v>
      </c>
      <c r="AA5876">
        <v>0.45253590071995509</v>
      </c>
      <c r="AB5876" t="str">
        <f>HYPERLINK("Melting_Curves/meltCurve_Q9NYB0_TERF2IP.pdf", "Melting_Curves/meltCurve_Q9NYB0_TERF2IP.pdf")</f>
        <v>Melting_Curves/meltCurve_Q9NYB0_TERF2IP.pdf</v>
      </c>
    </row>
    <row r="5877" spans="1:28" x14ac:dyDescent="0.25">
      <c r="A5877" t="s">
        <v>5881</v>
      </c>
      <c r="B5877">
        <v>0.99673306730245903</v>
      </c>
      <c r="C5877">
        <v>0.90823298848610301</v>
      </c>
      <c r="D5877">
        <v>0.91982655004710501</v>
      </c>
      <c r="E5877">
        <v>0.88577117072990597</v>
      </c>
      <c r="F5877">
        <v>0.583586679435251</v>
      </c>
      <c r="G5877">
        <v>0.37366001207671201</v>
      </c>
      <c r="H5877">
        <v>0.29401298345528598</v>
      </c>
      <c r="I5877">
        <v>0.51319327771981005</v>
      </c>
      <c r="J5877">
        <v>0.88770419904939302</v>
      </c>
      <c r="K5877">
        <v>0.89871281951083704</v>
      </c>
      <c r="L5877">
        <v>12446.8838191428</v>
      </c>
      <c r="M5877">
        <v>250</v>
      </c>
      <c r="O5877">
        <v>49.784349148773003</v>
      </c>
      <c r="P5877">
        <v>-0.51244561812445799</v>
      </c>
      <c r="Q5877">
        <v>0.59181165486167397</v>
      </c>
      <c r="R5877">
        <v>0.43658196538674698</v>
      </c>
      <c r="S5877" t="s">
        <v>12329</v>
      </c>
      <c r="T5877" t="s">
        <v>12902</v>
      </c>
      <c r="U5877" t="s">
        <v>12902</v>
      </c>
      <c r="V5877" t="s">
        <v>12902</v>
      </c>
      <c r="W5877" t="s">
        <v>18728</v>
      </c>
      <c r="X5877">
        <v>33</v>
      </c>
      <c r="Y5877" t="s">
        <v>19832</v>
      </c>
      <c r="Z5877" t="s">
        <v>31452</v>
      </c>
      <c r="AA5877">
        <v>0.7250192484534187</v>
      </c>
      <c r="AB5877" t="str">
        <f>HYPERLINK("Melting_Curves/meltCurve_Q9NYF8_2_BCLAF1.pdf", "Melting_Curves/meltCurve_Q9NYF8_2_BCLAF1.pdf")</f>
        <v>Melting_Curves/meltCurve_Q9NYF8_2_BCLAF1.pdf</v>
      </c>
    </row>
    <row r="5878" spans="1:28" x14ac:dyDescent="0.25">
      <c r="A5878" t="s">
        <v>5882</v>
      </c>
      <c r="B5878">
        <v>0.99673306730245903</v>
      </c>
      <c r="C5878">
        <v>0.91764179763764497</v>
      </c>
      <c r="D5878">
        <v>0.82220065312504298</v>
      </c>
      <c r="E5878">
        <v>0.70683404219444401</v>
      </c>
      <c r="F5878">
        <v>0.56385217534365695</v>
      </c>
      <c r="G5878">
        <v>0.28104216779867802</v>
      </c>
      <c r="H5878">
        <v>0.12865221892283801</v>
      </c>
      <c r="I5878">
        <v>8.52391581522009E-2</v>
      </c>
      <c r="J5878">
        <v>5.72269777079717E-2</v>
      </c>
      <c r="K5878">
        <v>4.3169904286746497E-2</v>
      </c>
      <c r="L5878">
        <v>675.24650502633006</v>
      </c>
      <c r="M5878">
        <v>12.7312253775074</v>
      </c>
      <c r="N5878">
        <v>53.038616602984497</v>
      </c>
      <c r="O5878">
        <v>51.781103554979303</v>
      </c>
      <c r="P5878">
        <v>-6.14783391272253E-2</v>
      </c>
      <c r="Q5878">
        <v>0</v>
      </c>
      <c r="R5878">
        <v>0.99119085937557605</v>
      </c>
      <c r="S5878" t="s">
        <v>12330</v>
      </c>
      <c r="T5878" t="s">
        <v>12902</v>
      </c>
      <c r="U5878" t="s">
        <v>12902</v>
      </c>
      <c r="V5878" t="s">
        <v>12902</v>
      </c>
      <c r="W5878" t="s">
        <v>18729</v>
      </c>
      <c r="X5878">
        <v>2</v>
      </c>
      <c r="Y5878" t="s">
        <v>25015</v>
      </c>
      <c r="Z5878" t="s">
        <v>31453</v>
      </c>
      <c r="AA5878">
        <v>0.46114406789909279</v>
      </c>
      <c r="AB5878" t="str">
        <f>HYPERLINK("Melting_Curves/meltCurve_Q9NYG2_ZDHHC3.pdf", "Melting_Curves/meltCurve_Q9NYG2_ZDHHC3.pdf")</f>
        <v>Melting_Curves/meltCurve_Q9NYG2_ZDHHC3.pdf</v>
      </c>
    </row>
    <row r="5879" spans="1:28" x14ac:dyDescent="0.25">
      <c r="A5879" t="s">
        <v>5883</v>
      </c>
      <c r="B5879">
        <v>0.99673306730245903</v>
      </c>
      <c r="C5879">
        <v>0.91104172640252801</v>
      </c>
      <c r="D5879">
        <v>0.78641698074869604</v>
      </c>
      <c r="E5879">
        <v>0.65195999824860695</v>
      </c>
      <c r="F5879">
        <v>0.45940349816922699</v>
      </c>
      <c r="G5879">
        <v>0.326158995257677</v>
      </c>
      <c r="H5879">
        <v>0.25272424332834398</v>
      </c>
      <c r="I5879">
        <v>0.25500171400717497</v>
      </c>
      <c r="J5879">
        <v>0.255971938306223</v>
      </c>
      <c r="K5879">
        <v>0.23842725688650801</v>
      </c>
      <c r="L5879">
        <v>676.18255606766502</v>
      </c>
      <c r="M5879">
        <v>13.546069684615301</v>
      </c>
      <c r="N5879">
        <v>52.078950803407501</v>
      </c>
      <c r="O5879">
        <v>48.867062032101899</v>
      </c>
      <c r="P5879">
        <v>-5.4406252405227701E-2</v>
      </c>
      <c r="Q5879">
        <v>0.21504208506545699</v>
      </c>
      <c r="R5879">
        <v>0.995722445904208</v>
      </c>
      <c r="S5879" t="s">
        <v>12331</v>
      </c>
      <c r="T5879" t="s">
        <v>12902</v>
      </c>
      <c r="U5879" t="s">
        <v>12902</v>
      </c>
      <c r="V5879" t="s">
        <v>12902</v>
      </c>
      <c r="W5879" t="s">
        <v>18730</v>
      </c>
      <c r="X5879">
        <v>1</v>
      </c>
      <c r="Y5879" t="s">
        <v>25016</v>
      </c>
      <c r="Z5879" t="s">
        <v>31454</v>
      </c>
      <c r="AA5879">
        <v>0.49693412235074957</v>
      </c>
      <c r="AB5879" t="str">
        <f>HYPERLINK("Melting_Curves/meltCurve_Q9NYG5_ANAPC11.pdf", "Melting_Curves/meltCurve_Q9NYG5_ANAPC11.pdf")</f>
        <v>Melting_Curves/meltCurve_Q9NYG5_ANAPC11.pdf</v>
      </c>
    </row>
    <row r="5880" spans="1:28" x14ac:dyDescent="0.25">
      <c r="A5880" t="s">
        <v>5884</v>
      </c>
      <c r="B5880">
        <v>0.99673306730245903</v>
      </c>
      <c r="C5880">
        <v>1.0619891556502401</v>
      </c>
      <c r="D5880">
        <v>1.0843193108315401</v>
      </c>
      <c r="E5880">
        <v>0.99731315050146896</v>
      </c>
      <c r="F5880">
        <v>1.0271930876775499</v>
      </c>
      <c r="G5880">
        <v>0.89154996102497397</v>
      </c>
      <c r="H5880">
        <v>0.72193971492066999</v>
      </c>
      <c r="I5880">
        <v>0.57279723384185699</v>
      </c>
      <c r="J5880">
        <v>0.816715353487526</v>
      </c>
      <c r="K5880">
        <v>0.72189414899814697</v>
      </c>
      <c r="L5880">
        <v>4907.4192762169296</v>
      </c>
      <c r="M5880">
        <v>85.864719821353106</v>
      </c>
      <c r="O5880">
        <v>57.121938371889399</v>
      </c>
      <c r="P5880">
        <v>-0.10978350358469401</v>
      </c>
      <c r="Q5880">
        <v>0.70786390946377298</v>
      </c>
      <c r="R5880">
        <v>0.84464872703138105</v>
      </c>
      <c r="S5880" t="s">
        <v>12332</v>
      </c>
      <c r="T5880" t="s">
        <v>12902</v>
      </c>
      <c r="U5880" t="s">
        <v>12902</v>
      </c>
      <c r="V5880" t="s">
        <v>12902</v>
      </c>
      <c r="W5880" t="s">
        <v>18731</v>
      </c>
      <c r="X5880">
        <v>1</v>
      </c>
      <c r="Y5880" t="s">
        <v>25017</v>
      </c>
      <c r="Z5880" t="s">
        <v>31455</v>
      </c>
      <c r="AA5880">
        <v>0.87514559662051261</v>
      </c>
      <c r="AB5880" t="str">
        <f>HYPERLINK("Melting_Curves/meltCurve_Q9NYH9_UTP6.pdf", "Melting_Curves/meltCurve_Q9NYH9_UTP6.pdf")</f>
        <v>Melting_Curves/meltCurve_Q9NYH9_UTP6.pdf</v>
      </c>
    </row>
    <row r="5881" spans="1:28" x14ac:dyDescent="0.25">
      <c r="A5881" t="s">
        <v>5885</v>
      </c>
      <c r="B5881">
        <v>0.99673306730245903</v>
      </c>
      <c r="C5881">
        <v>1.0120356710510201</v>
      </c>
      <c r="D5881">
        <v>0.98952306149886404</v>
      </c>
      <c r="E5881">
        <v>0.89877129283366897</v>
      </c>
      <c r="F5881">
        <v>0.927224898711697</v>
      </c>
      <c r="G5881">
        <v>0.86729756730948904</v>
      </c>
      <c r="H5881">
        <v>0.78650636824786402</v>
      </c>
      <c r="I5881">
        <v>1.0716910410085501</v>
      </c>
      <c r="J5881">
        <v>1.79147741570938</v>
      </c>
      <c r="K5881">
        <v>1.6153138337784001</v>
      </c>
      <c r="L5881">
        <v>15000</v>
      </c>
      <c r="M5881">
        <v>232.59203720058801</v>
      </c>
      <c r="O5881">
        <v>64.485832106810093</v>
      </c>
      <c r="P5881">
        <v>0.45085879725453398</v>
      </c>
      <c r="Q5881">
        <v>1.5</v>
      </c>
      <c r="R5881">
        <v>0.82229887894626097</v>
      </c>
      <c r="S5881" t="s">
        <v>12333</v>
      </c>
      <c r="T5881" t="s">
        <v>12902</v>
      </c>
      <c r="U5881" t="s">
        <v>12902</v>
      </c>
      <c r="V5881" t="s">
        <v>12902</v>
      </c>
      <c r="W5881" t="s">
        <v>18732</v>
      </c>
      <c r="X5881">
        <v>7</v>
      </c>
      <c r="Y5881" t="s">
        <v>25018</v>
      </c>
      <c r="Z5881" t="s">
        <v>31456</v>
      </c>
      <c r="AA5881">
        <v>1.091757955847622</v>
      </c>
      <c r="AB5881" t="str">
        <f>HYPERLINK("Melting_Curves/meltCurve_Q9NYJ1_COA4.pdf", "Melting_Curves/meltCurve_Q9NYJ1_COA4.pdf")</f>
        <v>Melting_Curves/meltCurve_Q9NYJ1_COA4.pdf</v>
      </c>
    </row>
    <row r="5882" spans="1:28" x14ac:dyDescent="0.25">
      <c r="A5882" t="s">
        <v>5886</v>
      </c>
      <c r="B5882">
        <v>0.99673306730245903</v>
      </c>
      <c r="C5882">
        <v>1.10744902193098</v>
      </c>
      <c r="D5882">
        <v>1.2034942756007001</v>
      </c>
      <c r="E5882">
        <v>1.1835719567582099</v>
      </c>
      <c r="F5882">
        <v>0.254191124867301</v>
      </c>
      <c r="G5882">
        <v>0.14038277958863901</v>
      </c>
      <c r="H5882">
        <v>8.0396051157893306E-2</v>
      </c>
      <c r="I5882">
        <v>7.4829389338417096E-2</v>
      </c>
      <c r="J5882">
        <v>7.1581693793665899E-2</v>
      </c>
      <c r="K5882">
        <v>6.0083215905269098E-2</v>
      </c>
      <c r="L5882">
        <v>13220.937871317599</v>
      </c>
      <c r="M5882">
        <v>250</v>
      </c>
      <c r="N5882">
        <v>52.923431619233398</v>
      </c>
      <c r="O5882">
        <v>52.880371352635898</v>
      </c>
      <c r="P5882">
        <v>-1.0809132019815799</v>
      </c>
      <c r="Q5882">
        <v>8.5454607160194596E-2</v>
      </c>
      <c r="R5882">
        <v>0.96371690642955699</v>
      </c>
      <c r="S5882" t="s">
        <v>12334</v>
      </c>
      <c r="T5882" t="s">
        <v>12902</v>
      </c>
      <c r="U5882" t="s">
        <v>12902</v>
      </c>
      <c r="V5882" t="s">
        <v>12902</v>
      </c>
      <c r="W5882" t="s">
        <v>18733</v>
      </c>
      <c r="X5882">
        <v>13</v>
      </c>
      <c r="Y5882" t="s">
        <v>25019</v>
      </c>
      <c r="Z5882" t="s">
        <v>31457</v>
      </c>
      <c r="AA5882">
        <v>0.47829867171006768</v>
      </c>
      <c r="AB5882" t="str">
        <f>HYPERLINK("Melting_Curves/meltCurve_Q9NYK5_MRPL39.pdf", "Melting_Curves/meltCurve_Q9NYK5_MRPL39.pdf")</f>
        <v>Melting_Curves/meltCurve_Q9NYK5_MRPL39.pdf</v>
      </c>
    </row>
    <row r="5883" spans="1:28" x14ac:dyDescent="0.25">
      <c r="A5883" t="s">
        <v>5887</v>
      </c>
      <c r="B5883">
        <v>0.99673306730245903</v>
      </c>
      <c r="C5883">
        <v>0.84843990738939101</v>
      </c>
      <c r="D5883">
        <v>0.57719338309430701</v>
      </c>
      <c r="E5883">
        <v>0.29733459107329502</v>
      </c>
      <c r="F5883">
        <v>0.200337132370006</v>
      </c>
      <c r="G5883">
        <v>0.117577657630711</v>
      </c>
      <c r="H5883">
        <v>7.2284970923511702E-2</v>
      </c>
      <c r="I5883">
        <v>5.6558340764676099E-2</v>
      </c>
      <c r="J5883">
        <v>7.3629515125682096E-2</v>
      </c>
      <c r="K5883">
        <v>7.62748580065266E-2</v>
      </c>
      <c r="L5883">
        <v>849.02089497609995</v>
      </c>
      <c r="M5883">
        <v>18.202234320521899</v>
      </c>
      <c r="N5883">
        <v>47.045769847426698</v>
      </c>
      <c r="O5883">
        <v>46.091736209659899</v>
      </c>
      <c r="P5883">
        <v>-9.1622120918504302E-2</v>
      </c>
      <c r="Q5883">
        <v>7.2021151374282097E-2</v>
      </c>
      <c r="R5883">
        <v>0.99608737959053995</v>
      </c>
      <c r="S5883" t="s">
        <v>12335</v>
      </c>
      <c r="T5883" t="s">
        <v>12902</v>
      </c>
      <c r="U5883" t="s">
        <v>12902</v>
      </c>
      <c r="V5883" t="s">
        <v>12902</v>
      </c>
      <c r="W5883" t="s">
        <v>18734</v>
      </c>
      <c r="X5883">
        <v>1</v>
      </c>
      <c r="Y5883" t="s">
        <v>25020</v>
      </c>
      <c r="Z5883" t="s">
        <v>31458</v>
      </c>
      <c r="AA5883">
        <v>0.29455546735999022</v>
      </c>
      <c r="AB5883" t="str">
        <f>HYPERLINK("Melting_Curves/meltCurve_Q9NYK6_3_EURL.pdf", "Melting_Curves/meltCurve_Q9NYK6_3_EURL.pdf")</f>
        <v>Melting_Curves/meltCurve_Q9NYK6_3_EURL.pdf</v>
      </c>
    </row>
    <row r="5884" spans="1:28" x14ac:dyDescent="0.25">
      <c r="A5884" t="s">
        <v>5888</v>
      </c>
      <c r="B5884">
        <v>0.99673306730245903</v>
      </c>
      <c r="C5884">
        <v>0.97178824441866796</v>
      </c>
      <c r="D5884">
        <v>0.89140021990700702</v>
      </c>
      <c r="E5884">
        <v>0.76156429298569195</v>
      </c>
      <c r="F5884">
        <v>0.37212166283745002</v>
      </c>
      <c r="G5884">
        <v>0.15309575788017499</v>
      </c>
      <c r="H5884">
        <v>7.2179565380283597E-2</v>
      </c>
      <c r="I5884">
        <v>5.9559959711439799E-2</v>
      </c>
      <c r="J5884">
        <v>6.4375683500343006E-2</v>
      </c>
      <c r="K5884">
        <v>6.0108665900297502E-2</v>
      </c>
      <c r="L5884">
        <v>1152.8591513056899</v>
      </c>
      <c r="M5884">
        <v>22.302565683790998</v>
      </c>
      <c r="N5884">
        <v>51.931222701749903</v>
      </c>
      <c r="O5884">
        <v>51.281567568212601</v>
      </c>
      <c r="P5884">
        <v>-0.10341566650692199</v>
      </c>
      <c r="Q5884">
        <v>4.8861842968816502E-2</v>
      </c>
      <c r="R5884">
        <v>0.99726706072010995</v>
      </c>
      <c r="S5884" t="s">
        <v>12336</v>
      </c>
      <c r="T5884" t="s">
        <v>12902</v>
      </c>
      <c r="U5884" t="s">
        <v>12902</v>
      </c>
      <c r="V5884" t="s">
        <v>12902</v>
      </c>
      <c r="W5884" t="s">
        <v>18735</v>
      </c>
      <c r="X5884">
        <v>8</v>
      </c>
      <c r="Y5884" t="s">
        <v>25021</v>
      </c>
      <c r="Z5884" t="s">
        <v>31459</v>
      </c>
      <c r="AA5884">
        <v>0.43031403022885578</v>
      </c>
      <c r="AB5884" t="str">
        <f>HYPERLINK("Melting_Curves/meltCurve_Q9NYL2_2_MLTK.pdf", "Melting_Curves/meltCurve_Q9NYL2_2_MLTK.pdf")</f>
        <v>Melting_Curves/meltCurve_Q9NYL2_2_MLTK.pdf</v>
      </c>
    </row>
    <row r="5885" spans="1:28" x14ac:dyDescent="0.25">
      <c r="A5885" t="s">
        <v>5889</v>
      </c>
      <c r="B5885">
        <v>0.99673306730245903</v>
      </c>
      <c r="C5885">
        <v>0.87177800768695302</v>
      </c>
      <c r="D5885">
        <v>0.81683978112445899</v>
      </c>
      <c r="E5885">
        <v>0.47929967040697102</v>
      </c>
      <c r="F5885">
        <v>0.33459906092424502</v>
      </c>
      <c r="G5885">
        <v>0.263330739756374</v>
      </c>
      <c r="H5885">
        <v>0.22161311897447999</v>
      </c>
      <c r="I5885">
        <v>0.1984040023734</v>
      </c>
      <c r="J5885">
        <v>0.60101188146720497</v>
      </c>
      <c r="K5885">
        <v>0.79627585486063701</v>
      </c>
      <c r="L5885">
        <v>1554.1580411252</v>
      </c>
      <c r="M5885">
        <v>33.1868756013561</v>
      </c>
      <c r="N5885">
        <v>49.235811421421602</v>
      </c>
      <c r="O5885">
        <v>46.661445642572502</v>
      </c>
      <c r="P5885">
        <v>-0.10647535865849</v>
      </c>
      <c r="Q5885">
        <v>0.40117625975781501</v>
      </c>
      <c r="R5885">
        <v>0.61834303412481095</v>
      </c>
      <c r="S5885" t="s">
        <v>12337</v>
      </c>
      <c r="T5885" t="s">
        <v>12902</v>
      </c>
      <c r="U5885" t="s">
        <v>12902</v>
      </c>
      <c r="V5885" t="s">
        <v>12902</v>
      </c>
      <c r="W5885" t="s">
        <v>18736</v>
      </c>
      <c r="X5885">
        <v>9</v>
      </c>
      <c r="Y5885" t="s">
        <v>25022</v>
      </c>
      <c r="Z5885" t="s">
        <v>31460</v>
      </c>
      <c r="AA5885">
        <v>0.54041315909780985</v>
      </c>
      <c r="AB5885" t="str">
        <f>HYPERLINK("Melting_Curves/meltCurve_Q9NYL9_TMOD3.pdf", "Melting_Curves/meltCurve_Q9NYL9_TMOD3.pdf")</f>
        <v>Melting_Curves/meltCurve_Q9NYL9_TMOD3.pdf</v>
      </c>
    </row>
    <row r="5886" spans="1:28" x14ac:dyDescent="0.25">
      <c r="A5886" t="s">
        <v>5890</v>
      </c>
      <c r="B5886">
        <v>0.99673306730245903</v>
      </c>
      <c r="C5886">
        <v>0.94033488443247304</v>
      </c>
      <c r="D5886">
        <v>0.88856885052591505</v>
      </c>
      <c r="E5886">
        <v>0.74347671415572303</v>
      </c>
      <c r="F5886">
        <v>0.65016692156517597</v>
      </c>
      <c r="G5886">
        <v>0.54418000920788601</v>
      </c>
      <c r="H5886">
        <v>0.50156152961566403</v>
      </c>
      <c r="I5886">
        <v>0.65661094246860896</v>
      </c>
      <c r="J5886">
        <v>0.70354711110689905</v>
      </c>
      <c r="K5886">
        <v>0.77093214173350499</v>
      </c>
      <c r="L5886">
        <v>1200.21651940835</v>
      </c>
      <c r="M5886">
        <v>25.325882925015701</v>
      </c>
      <c r="O5886">
        <v>47.098394390109199</v>
      </c>
      <c r="P5886">
        <v>-4.8994476662535001E-2</v>
      </c>
      <c r="Q5886">
        <v>0.63554570352553497</v>
      </c>
      <c r="R5886">
        <v>0.78102186519902905</v>
      </c>
      <c r="S5886" t="s">
        <v>12338</v>
      </c>
      <c r="T5886" t="s">
        <v>12902</v>
      </c>
      <c r="U5886" t="s">
        <v>12902</v>
      </c>
      <c r="V5886" t="s">
        <v>12902</v>
      </c>
      <c r="W5886" t="s">
        <v>18737</v>
      </c>
      <c r="X5886">
        <v>3</v>
      </c>
      <c r="Y5886" t="s">
        <v>25023</v>
      </c>
      <c r="Z5886" t="s">
        <v>31461</v>
      </c>
      <c r="AA5886">
        <v>0.72847863732025264</v>
      </c>
      <c r="AB5886" t="str">
        <f>HYPERLINK("Melting_Curves/meltCurve_Q9NYM9_BET1L.pdf", "Melting_Curves/meltCurve_Q9NYM9_BET1L.pdf")</f>
        <v>Melting_Curves/meltCurve_Q9NYM9_BET1L.pdf</v>
      </c>
    </row>
    <row r="5887" spans="1:28" x14ac:dyDescent="0.25">
      <c r="A5887" t="s">
        <v>5891</v>
      </c>
      <c r="B5887">
        <v>0.99673306730245903</v>
      </c>
      <c r="C5887">
        <v>1.0373169888845399</v>
      </c>
      <c r="D5887">
        <v>1.1479153493679699</v>
      </c>
      <c r="E5887">
        <v>1.0737753971094399</v>
      </c>
      <c r="F5887">
        <v>0.41022286382906997</v>
      </c>
      <c r="G5887">
        <v>0.22988171166056301</v>
      </c>
      <c r="H5887">
        <v>0.15302620631014699</v>
      </c>
      <c r="I5887">
        <v>0.160457087229815</v>
      </c>
      <c r="J5887">
        <v>0.20922640975085299</v>
      </c>
      <c r="K5887">
        <v>0.19727000461963001</v>
      </c>
      <c r="L5887">
        <v>13247.599137286499</v>
      </c>
      <c r="M5887">
        <v>250</v>
      </c>
      <c r="N5887">
        <v>53.091897459860803</v>
      </c>
      <c r="O5887">
        <v>52.987026198953103</v>
      </c>
      <c r="P5887">
        <v>-0.95545563382294896</v>
      </c>
      <c r="Q5887">
        <v>0.189972271999376</v>
      </c>
      <c r="R5887">
        <v>0.98104109251893601</v>
      </c>
      <c r="S5887" t="s">
        <v>12339</v>
      </c>
      <c r="T5887" t="s">
        <v>12902</v>
      </c>
      <c r="U5887" t="s">
        <v>12902</v>
      </c>
      <c r="V5887" t="s">
        <v>12902</v>
      </c>
      <c r="W5887" t="s">
        <v>18738</v>
      </c>
      <c r="X5887">
        <v>2</v>
      </c>
      <c r="Y5887" t="s">
        <v>25024</v>
      </c>
      <c r="Z5887" t="s">
        <v>31462</v>
      </c>
      <c r="AA5887">
        <v>0.54080031582593224</v>
      </c>
      <c r="AB5887" t="str">
        <f>HYPERLINK("Melting_Curves/meltCurve_Q9NYP9_MIS18A.pdf", "Melting_Curves/meltCurve_Q9NYP9_MIS18A.pdf")</f>
        <v>Melting_Curves/meltCurve_Q9NYP9_MIS18A.pdf</v>
      </c>
    </row>
    <row r="5888" spans="1:28" x14ac:dyDescent="0.25">
      <c r="A5888" t="s">
        <v>5892</v>
      </c>
      <c r="B5888">
        <v>0.99673306730245903</v>
      </c>
      <c r="C5888">
        <v>0.91344213326335999</v>
      </c>
      <c r="D5888">
        <v>1.13889653124179</v>
      </c>
      <c r="E5888">
        <v>1.2164903470651001</v>
      </c>
      <c r="F5888">
        <v>1.3091205652774101</v>
      </c>
      <c r="G5888">
        <v>1.02825733762437</v>
      </c>
      <c r="H5888">
        <v>0.77478057855720905</v>
      </c>
      <c r="I5888">
        <v>0.29455478606239199</v>
      </c>
      <c r="J5888">
        <v>0.24660161709877801</v>
      </c>
      <c r="K5888">
        <v>0.20709356584681099</v>
      </c>
      <c r="L5888">
        <v>3921.8974070846998</v>
      </c>
      <c r="M5888">
        <v>63.6025041078003</v>
      </c>
      <c r="N5888">
        <v>62.246247435696297</v>
      </c>
      <c r="O5888">
        <v>61.601754854938797</v>
      </c>
      <c r="P5888">
        <v>-0.20014946184018301</v>
      </c>
      <c r="Q5888">
        <v>0.22458689357494899</v>
      </c>
      <c r="R5888">
        <v>0.89071515639948895</v>
      </c>
      <c r="S5888" t="s">
        <v>12340</v>
      </c>
      <c r="T5888" t="s">
        <v>12902</v>
      </c>
      <c r="U5888" t="s">
        <v>12902</v>
      </c>
      <c r="V5888" t="s">
        <v>12902</v>
      </c>
      <c r="W5888" t="s">
        <v>18739</v>
      </c>
      <c r="X5888">
        <v>3</v>
      </c>
      <c r="Y5888" t="s">
        <v>25025</v>
      </c>
      <c r="Z5888" t="s">
        <v>31463</v>
      </c>
      <c r="AA5888">
        <v>0.78578647737663043</v>
      </c>
      <c r="AB5888" t="str">
        <f>HYPERLINK("Melting_Curves/meltCurve_Q9NYQ6_CELSR1.pdf", "Melting_Curves/meltCurve_Q9NYQ6_CELSR1.pdf")</f>
        <v>Melting_Curves/meltCurve_Q9NYQ6_CELSR1.pdf</v>
      </c>
    </row>
    <row r="5889" spans="1:28" x14ac:dyDescent="0.25">
      <c r="A5889" t="s">
        <v>5893</v>
      </c>
      <c r="B5889">
        <v>0.99673306730245903</v>
      </c>
      <c r="C5889">
        <v>0.90822865957159504</v>
      </c>
      <c r="D5889">
        <v>0.77799345014924404</v>
      </c>
      <c r="E5889">
        <v>0.71549949011837599</v>
      </c>
      <c r="F5889">
        <v>0.43610377267603401</v>
      </c>
      <c r="G5889">
        <v>0.33158951771931</v>
      </c>
      <c r="H5889">
        <v>0.17268981944073</v>
      </c>
      <c r="I5889">
        <v>0.21238521232975799</v>
      </c>
      <c r="J5889">
        <v>0.25902179926166802</v>
      </c>
      <c r="K5889">
        <v>0.23785629022170601</v>
      </c>
      <c r="L5889">
        <v>711.472020284775</v>
      </c>
      <c r="M5889">
        <v>14.1140476341054</v>
      </c>
      <c r="N5889">
        <v>52.167041712208999</v>
      </c>
      <c r="O5889">
        <v>49.429212298139198</v>
      </c>
      <c r="P5889">
        <v>-5.78811477038036E-2</v>
      </c>
      <c r="Q5889">
        <v>0.189274972181806</v>
      </c>
      <c r="R5889">
        <v>0.97700207419348595</v>
      </c>
      <c r="S5889" t="s">
        <v>12341</v>
      </c>
      <c r="T5889" t="s">
        <v>12902</v>
      </c>
      <c r="U5889" t="s">
        <v>12902</v>
      </c>
      <c r="V5889" t="s">
        <v>12902</v>
      </c>
      <c r="W5889" t="s">
        <v>18740</v>
      </c>
      <c r="X5889">
        <v>1</v>
      </c>
      <c r="Y5889" t="s">
        <v>25026</v>
      </c>
      <c r="Z5889" t="s">
        <v>31464</v>
      </c>
      <c r="AA5889">
        <v>0.49172405109570227</v>
      </c>
      <c r="AB5889" t="str">
        <f>HYPERLINK("Melting_Curves/meltCurve_Q9NYQ7_CELSR3.pdf", "Melting_Curves/meltCurve_Q9NYQ7_CELSR3.pdf")</f>
        <v>Melting_Curves/meltCurve_Q9NYQ7_CELSR3.pdf</v>
      </c>
    </row>
    <row r="5890" spans="1:28" x14ac:dyDescent="0.25">
      <c r="A5890" t="s">
        <v>5894</v>
      </c>
      <c r="B5890">
        <v>0.99673306730245903</v>
      </c>
      <c r="C5890">
        <v>0.96276914720731299</v>
      </c>
      <c r="D5890">
        <v>1.0078327921864301</v>
      </c>
      <c r="E5890">
        <v>1.0660290497484699</v>
      </c>
      <c r="F5890">
        <v>0.41466520003229002</v>
      </c>
      <c r="G5890">
        <v>0.22458573865183401</v>
      </c>
      <c r="H5890">
        <v>0.15522508303450999</v>
      </c>
      <c r="I5890">
        <v>0.124840974236286</v>
      </c>
      <c r="J5890">
        <v>0.113297690817095</v>
      </c>
      <c r="K5890">
        <v>8.44742124875041E-2</v>
      </c>
      <c r="L5890">
        <v>8157.9026183992801</v>
      </c>
      <c r="M5890">
        <v>154.102294094852</v>
      </c>
      <c r="N5890">
        <v>53.051796414301997</v>
      </c>
      <c r="O5890">
        <v>52.929337839957398</v>
      </c>
      <c r="P5890">
        <v>-0.62561955878388698</v>
      </c>
      <c r="Q5890">
        <v>0.14047705150211201</v>
      </c>
      <c r="R5890">
        <v>0.98987654779851697</v>
      </c>
      <c r="S5890" t="s">
        <v>12342</v>
      </c>
      <c r="T5890" t="s">
        <v>12902</v>
      </c>
      <c r="U5890" t="s">
        <v>12902</v>
      </c>
      <c r="V5890" t="s">
        <v>12902</v>
      </c>
      <c r="W5890" t="s">
        <v>18741</v>
      </c>
      <c r="X5890">
        <v>42</v>
      </c>
      <c r="Y5890" t="s">
        <v>25027</v>
      </c>
      <c r="Z5890" t="s">
        <v>31465</v>
      </c>
      <c r="AA5890">
        <v>0.5113774668053378</v>
      </c>
      <c r="AB5890" t="str">
        <f>HYPERLINK("Melting_Curves/meltCurve_Q9NYU2_2_UGGT1.pdf", "Melting_Curves/meltCurve_Q9NYU2_2_UGGT1.pdf")</f>
        <v>Melting_Curves/meltCurve_Q9NYU2_2_UGGT1.pdf</v>
      </c>
    </row>
    <row r="5891" spans="1:28" x14ac:dyDescent="0.25">
      <c r="A5891" t="s">
        <v>5895</v>
      </c>
      <c r="B5891">
        <v>0.99673306730245903</v>
      </c>
      <c r="C5891">
        <v>0.92054488323328298</v>
      </c>
      <c r="D5891">
        <v>0.94711918104992598</v>
      </c>
      <c r="E5891">
        <v>0.88788737932178796</v>
      </c>
      <c r="F5891">
        <v>0.59558842270346501</v>
      </c>
      <c r="G5891">
        <v>0.24278047580238901</v>
      </c>
      <c r="H5891">
        <v>9.8384925906186901E-2</v>
      </c>
      <c r="I5891">
        <v>0.118136398653949</v>
      </c>
      <c r="J5891">
        <v>0.141657439902765</v>
      </c>
      <c r="K5891">
        <v>0.13293231939050801</v>
      </c>
      <c r="L5891">
        <v>1492.88429056328</v>
      </c>
      <c r="M5891">
        <v>27.968371585483599</v>
      </c>
      <c r="N5891">
        <v>53.869358674911197</v>
      </c>
      <c r="O5891">
        <v>53.106942830259698</v>
      </c>
      <c r="P5891">
        <v>-0.116827963737857</v>
      </c>
      <c r="Q5891">
        <v>0.11266587447627099</v>
      </c>
      <c r="R5891">
        <v>0.99180736690288995</v>
      </c>
      <c r="S5891" t="s">
        <v>12343</v>
      </c>
      <c r="T5891" t="s">
        <v>12902</v>
      </c>
      <c r="U5891" t="s">
        <v>12902</v>
      </c>
      <c r="V5891" t="s">
        <v>12902</v>
      </c>
      <c r="W5891" t="s">
        <v>18742</v>
      </c>
      <c r="X5891">
        <v>19</v>
      </c>
      <c r="Y5891" t="s">
        <v>25028</v>
      </c>
      <c r="Z5891" t="s">
        <v>31466</v>
      </c>
      <c r="AA5891">
        <v>0.51497002539454317</v>
      </c>
      <c r="AB5891" t="str">
        <f>HYPERLINK("Melting_Curves/meltCurve_Q9NYV4_2_CDK12.pdf", "Melting_Curves/meltCurve_Q9NYV4_2_CDK12.pdf")</f>
        <v>Melting_Curves/meltCurve_Q9NYV4_2_CDK12.pdf</v>
      </c>
    </row>
    <row r="5892" spans="1:28" x14ac:dyDescent="0.25">
      <c r="A5892" t="s">
        <v>5896</v>
      </c>
      <c r="B5892">
        <v>0.99673306730245903</v>
      </c>
      <c r="C5892">
        <v>1.01420774106314</v>
      </c>
      <c r="D5892">
        <v>0.90165134703648298</v>
      </c>
      <c r="E5892">
        <v>0.73720711161484798</v>
      </c>
      <c r="F5892">
        <v>0.292030817948987</v>
      </c>
      <c r="G5892">
        <v>0.174111507839667</v>
      </c>
      <c r="H5892">
        <v>0.10492406609251601</v>
      </c>
      <c r="I5892">
        <v>8.0891476687758396E-2</v>
      </c>
      <c r="J5892">
        <v>8.35417470797645E-2</v>
      </c>
      <c r="K5892">
        <v>6.5336018721765698E-2</v>
      </c>
      <c r="L5892">
        <v>1303.0304241208801</v>
      </c>
      <c r="M5892">
        <v>25.511477846584899</v>
      </c>
      <c r="N5892">
        <v>51.428944278593796</v>
      </c>
      <c r="O5892">
        <v>50.765508870257698</v>
      </c>
      <c r="P5892">
        <v>-0.115552725421422</v>
      </c>
      <c r="Q5892">
        <v>8.0253976206492703E-2</v>
      </c>
      <c r="R5892">
        <v>0.99627055949348298</v>
      </c>
      <c r="S5892" t="s">
        <v>12344</v>
      </c>
      <c r="T5892" t="s">
        <v>12902</v>
      </c>
      <c r="U5892" t="s">
        <v>12902</v>
      </c>
      <c r="V5892" t="s">
        <v>12902</v>
      </c>
      <c r="W5892" t="s">
        <v>18743</v>
      </c>
      <c r="X5892">
        <v>7</v>
      </c>
      <c r="Y5892" t="s">
        <v>25029</v>
      </c>
      <c r="Z5892" t="s">
        <v>31467</v>
      </c>
      <c r="AA5892">
        <v>0.42782267654156952</v>
      </c>
      <c r="AB5892" t="str">
        <f>HYPERLINK("Melting_Curves/meltCurve_Q9NYY8_FASTKD2.pdf", "Melting_Curves/meltCurve_Q9NYY8_FASTKD2.pdf")</f>
        <v>Melting_Curves/meltCurve_Q9NYY8_FASTKD2.pdf</v>
      </c>
    </row>
    <row r="5893" spans="1:28" x14ac:dyDescent="0.25">
      <c r="A5893" t="s">
        <v>5897</v>
      </c>
      <c r="B5893">
        <v>0.99673306730245903</v>
      </c>
      <c r="C5893">
        <v>0.91104741205230599</v>
      </c>
      <c r="D5893">
        <v>0.69000625610283794</v>
      </c>
      <c r="E5893">
        <v>0.63335783788362598</v>
      </c>
      <c r="F5893">
        <v>0.258622423436844</v>
      </c>
      <c r="G5893">
        <v>0.12038972102713801</v>
      </c>
      <c r="H5893">
        <v>5.7926295238128603E-2</v>
      </c>
      <c r="I5893">
        <v>5.0311909263943001E-2</v>
      </c>
      <c r="J5893">
        <v>6.3212168694152901E-2</v>
      </c>
      <c r="K5893">
        <v>4.9455752803336903E-2</v>
      </c>
      <c r="L5893">
        <v>728.07781174587296</v>
      </c>
      <c r="M5893">
        <v>14.6073610822909</v>
      </c>
      <c r="N5893">
        <v>49.943755620216599</v>
      </c>
      <c r="O5893">
        <v>48.937017155592002</v>
      </c>
      <c r="P5893">
        <v>-7.35502923814398E-2</v>
      </c>
      <c r="Q5893">
        <v>1.4489063079100001E-2</v>
      </c>
      <c r="R5893">
        <v>0.98205955466931305</v>
      </c>
      <c r="S5893" t="s">
        <v>12345</v>
      </c>
      <c r="T5893" t="s">
        <v>12902</v>
      </c>
      <c r="U5893" t="s">
        <v>12902</v>
      </c>
      <c r="V5893" t="s">
        <v>12902</v>
      </c>
      <c r="W5893" t="s">
        <v>18744</v>
      </c>
      <c r="X5893">
        <v>9</v>
      </c>
      <c r="Y5893" t="s">
        <v>25030</v>
      </c>
      <c r="Z5893" t="s">
        <v>31468</v>
      </c>
      <c r="AA5893">
        <v>0.36260373682949648</v>
      </c>
      <c r="AB5893" t="str">
        <f>HYPERLINK("Melting_Curves/meltCurve_Q9NZ01_TECR.pdf", "Melting_Curves/meltCurve_Q9NZ01_TECR.pdf")</f>
        <v>Melting_Curves/meltCurve_Q9NZ01_TECR.pdf</v>
      </c>
    </row>
    <row r="5894" spans="1:28" x14ac:dyDescent="0.25">
      <c r="A5894" t="s">
        <v>5898</v>
      </c>
      <c r="B5894">
        <v>0.99673306730245903</v>
      </c>
      <c r="C5894">
        <v>0.974716058120361</v>
      </c>
      <c r="D5894">
        <v>0.80257035814572397</v>
      </c>
      <c r="E5894">
        <v>0.53154394820636297</v>
      </c>
      <c r="F5894">
        <v>0.34679868449354201</v>
      </c>
      <c r="G5894">
        <v>0.19303632330175499</v>
      </c>
      <c r="H5894">
        <v>0.15902695981711801</v>
      </c>
      <c r="I5894">
        <v>0.14375685365459001</v>
      </c>
      <c r="J5894">
        <v>0.14180929405895301</v>
      </c>
      <c r="K5894">
        <v>0.102481561241669</v>
      </c>
      <c r="L5894">
        <v>858.58438008109601</v>
      </c>
      <c r="M5894">
        <v>17.3615377352378</v>
      </c>
      <c r="N5894">
        <v>50.253658552859498</v>
      </c>
      <c r="O5894">
        <v>48.811136112689297</v>
      </c>
      <c r="P5894">
        <v>-7.8185345643231804E-2</v>
      </c>
      <c r="Q5894">
        <v>0.120792519450086</v>
      </c>
      <c r="R5894">
        <v>0.99729778925404899</v>
      </c>
      <c r="S5894" t="s">
        <v>12346</v>
      </c>
      <c r="T5894" t="s">
        <v>12902</v>
      </c>
      <c r="U5894" t="s">
        <v>12902</v>
      </c>
      <c r="V5894" t="s">
        <v>12902</v>
      </c>
      <c r="W5894" t="s">
        <v>18745</v>
      </c>
      <c r="X5894">
        <v>10</v>
      </c>
      <c r="Y5894" t="s">
        <v>25031</v>
      </c>
      <c r="Z5894" t="s">
        <v>31469</v>
      </c>
      <c r="AA5894">
        <v>0.41404610636153549</v>
      </c>
      <c r="AB5894" t="str">
        <f>HYPERLINK("Melting_Curves/meltCurve_Q9NZ08_ERAP1.pdf", "Melting_Curves/meltCurve_Q9NZ08_ERAP1.pdf")</f>
        <v>Melting_Curves/meltCurve_Q9NZ08_ERAP1.pdf</v>
      </c>
    </row>
    <row r="5895" spans="1:28" x14ac:dyDescent="0.25">
      <c r="A5895" t="s">
        <v>5899</v>
      </c>
      <c r="B5895">
        <v>0.99673306730245903</v>
      </c>
      <c r="C5895">
        <v>0.88797461308571801</v>
      </c>
      <c r="D5895">
        <v>0.79928014176538997</v>
      </c>
      <c r="E5895">
        <v>0.252581198096823</v>
      </c>
      <c r="F5895">
        <v>0.101816814935621</v>
      </c>
      <c r="G5895">
        <v>5.0051682680392999E-2</v>
      </c>
      <c r="H5895">
        <v>1.7816443989625001E-2</v>
      </c>
      <c r="I5895">
        <v>1.6961011133696399E-2</v>
      </c>
      <c r="J5895">
        <v>2.25956368325234E-2</v>
      </c>
      <c r="K5895">
        <v>3.8063740864743498E-2</v>
      </c>
      <c r="L5895">
        <v>1394.0674833478799</v>
      </c>
      <c r="M5895">
        <v>29.165540119258601</v>
      </c>
      <c r="N5895">
        <v>47.8955036260665</v>
      </c>
      <c r="O5895">
        <v>47.575416569957298</v>
      </c>
      <c r="P5895">
        <v>-0.14886314579146101</v>
      </c>
      <c r="Q5895">
        <v>2.8692682159983E-2</v>
      </c>
      <c r="R5895">
        <v>0.99376792411769099</v>
      </c>
      <c r="S5895" t="s">
        <v>12347</v>
      </c>
      <c r="T5895" t="s">
        <v>12902</v>
      </c>
      <c r="U5895" t="s">
        <v>12902</v>
      </c>
      <c r="V5895" t="s">
        <v>12902</v>
      </c>
      <c r="W5895" t="s">
        <v>18746</v>
      </c>
      <c r="X5895">
        <v>3</v>
      </c>
      <c r="Y5895" t="s">
        <v>25032</v>
      </c>
      <c r="Z5895" t="s">
        <v>31470</v>
      </c>
      <c r="AA5895">
        <v>0.28737558692056148</v>
      </c>
      <c r="AB5895" t="str">
        <f>HYPERLINK("Melting_Curves/meltCurve_Q9NZ09_2_UBAP1.pdf", "Melting_Curves/meltCurve_Q9NZ09_2_UBAP1.pdf")</f>
        <v>Melting_Curves/meltCurve_Q9NZ09_2_UBAP1.pdf</v>
      </c>
    </row>
    <row r="5896" spans="1:28" x14ac:dyDescent="0.25">
      <c r="A5896" t="s">
        <v>5900</v>
      </c>
      <c r="B5896">
        <v>0.99673306730245903</v>
      </c>
      <c r="C5896">
        <v>0.93673361709703395</v>
      </c>
      <c r="D5896">
        <v>1.0888069039564201</v>
      </c>
      <c r="E5896">
        <v>1.07405152508996</v>
      </c>
      <c r="F5896">
        <v>0.80901693359634896</v>
      </c>
      <c r="G5896">
        <v>0.62716889365458495</v>
      </c>
      <c r="H5896">
        <v>0.59477680113300901</v>
      </c>
      <c r="I5896">
        <v>0.80097703767204198</v>
      </c>
      <c r="J5896">
        <v>0.53944457417053904</v>
      </c>
      <c r="K5896">
        <v>0.13370830839371001</v>
      </c>
      <c r="L5896">
        <v>587.92146556929094</v>
      </c>
      <c r="M5896">
        <v>9.0168109405973293</v>
      </c>
      <c r="N5896">
        <v>65.202812306247694</v>
      </c>
      <c r="O5896">
        <v>62.235383024893203</v>
      </c>
      <c r="P5896">
        <v>-3.62467156330386E-2</v>
      </c>
      <c r="Q5896">
        <v>0</v>
      </c>
      <c r="R5896">
        <v>0.75362239020894295</v>
      </c>
      <c r="S5896" t="s">
        <v>12348</v>
      </c>
      <c r="T5896" t="s">
        <v>12902</v>
      </c>
      <c r="U5896" t="s">
        <v>12902</v>
      </c>
      <c r="V5896" t="s">
        <v>12902</v>
      </c>
      <c r="W5896" t="s">
        <v>18747</v>
      </c>
      <c r="X5896">
        <v>10</v>
      </c>
      <c r="Y5896" t="s">
        <v>25033</v>
      </c>
      <c r="Z5896" t="s">
        <v>31471</v>
      </c>
      <c r="AA5896">
        <v>0.77360652375399497</v>
      </c>
      <c r="AB5896" t="str">
        <f>HYPERLINK("Melting_Curves/meltCurve_Q9NZ32_ACTR10.pdf", "Melting_Curves/meltCurve_Q9NZ32_ACTR10.pdf")</f>
        <v>Melting_Curves/meltCurve_Q9NZ32_ACTR10.pdf</v>
      </c>
    </row>
    <row r="5897" spans="1:28" x14ac:dyDescent="0.25">
      <c r="A5897" t="s">
        <v>5901</v>
      </c>
      <c r="B5897">
        <v>0.99673306730245903</v>
      </c>
      <c r="C5897">
        <v>1.0922861186311099</v>
      </c>
      <c r="D5897">
        <v>1.00073348921553</v>
      </c>
      <c r="E5897">
        <v>0.65255310060209204</v>
      </c>
      <c r="F5897">
        <v>0.48394470707422099</v>
      </c>
      <c r="G5897">
        <v>0.37969922163534298</v>
      </c>
      <c r="H5897">
        <v>0.28683625748229802</v>
      </c>
      <c r="I5897">
        <v>0.33220580307231001</v>
      </c>
      <c r="J5897">
        <v>0.316443086641229</v>
      </c>
      <c r="K5897">
        <v>0.35906755221490599</v>
      </c>
      <c r="L5897">
        <v>1417.1194457776101</v>
      </c>
      <c r="M5897">
        <v>28.375160967591299</v>
      </c>
      <c r="N5897">
        <v>51.968492089077102</v>
      </c>
      <c r="O5897">
        <v>49.696173442150098</v>
      </c>
      <c r="P5897">
        <v>-9.4979739774911504E-2</v>
      </c>
      <c r="Q5897">
        <v>0.33461646674752399</v>
      </c>
      <c r="R5897">
        <v>0.97680799817842001</v>
      </c>
      <c r="S5897" t="s">
        <v>12349</v>
      </c>
      <c r="T5897" t="s">
        <v>12902</v>
      </c>
      <c r="U5897" t="s">
        <v>12902</v>
      </c>
      <c r="V5897" t="s">
        <v>12902</v>
      </c>
      <c r="W5897" t="s">
        <v>18748</v>
      </c>
      <c r="X5897">
        <v>3</v>
      </c>
      <c r="Y5897" t="s">
        <v>25034</v>
      </c>
      <c r="Z5897" t="s">
        <v>31472</v>
      </c>
      <c r="AA5897">
        <v>0.55973245199762856</v>
      </c>
      <c r="AB5897" t="str">
        <f>HYPERLINK("Melting_Curves/meltCurve_Q9NZ43_USE1.pdf", "Melting_Curves/meltCurve_Q9NZ43_USE1.pdf")</f>
        <v>Melting_Curves/meltCurve_Q9NZ43_USE1.pdf</v>
      </c>
    </row>
    <row r="5898" spans="1:28" x14ac:dyDescent="0.25">
      <c r="A5898" t="s">
        <v>5902</v>
      </c>
      <c r="B5898">
        <v>0.99673306730245903</v>
      </c>
      <c r="C5898">
        <v>0.98021117689134496</v>
      </c>
      <c r="D5898">
        <v>0.91019511156774702</v>
      </c>
      <c r="E5898">
        <v>0.79859192968673298</v>
      </c>
      <c r="F5898">
        <v>0.68667782631020802</v>
      </c>
      <c r="G5898">
        <v>0.648942748605708</v>
      </c>
      <c r="H5898">
        <v>0.57419147647104896</v>
      </c>
      <c r="I5898">
        <v>0.72846782713904701</v>
      </c>
      <c r="J5898">
        <v>0.78484961569794698</v>
      </c>
      <c r="K5898">
        <v>0.67562440180602601</v>
      </c>
      <c r="L5898">
        <v>1245.92565923693</v>
      </c>
      <c r="M5898">
        <v>25.954202651007201</v>
      </c>
      <c r="O5898">
        <v>47.722515887418901</v>
      </c>
      <c r="P5898">
        <v>-4.34726307504818E-2</v>
      </c>
      <c r="Q5898">
        <v>0.68026773859768797</v>
      </c>
      <c r="R5898">
        <v>0.85476461119445502</v>
      </c>
      <c r="S5898" t="s">
        <v>12350</v>
      </c>
      <c r="T5898" t="s">
        <v>12902</v>
      </c>
      <c r="U5898" t="s">
        <v>12902</v>
      </c>
      <c r="V5898" t="s">
        <v>12902</v>
      </c>
      <c r="W5898" t="s">
        <v>18749</v>
      </c>
      <c r="X5898">
        <v>11</v>
      </c>
      <c r="Y5898" t="s">
        <v>25035</v>
      </c>
      <c r="Z5898" t="s">
        <v>31473</v>
      </c>
      <c r="AA5898">
        <v>0.76819072733655314</v>
      </c>
      <c r="AB5898" t="str">
        <f>HYPERLINK("Melting_Curves/meltCurve_Q9NZ45_CISD1.pdf", "Melting_Curves/meltCurve_Q9NZ45_CISD1.pdf")</f>
        <v>Melting_Curves/meltCurve_Q9NZ45_CISD1.pdf</v>
      </c>
    </row>
    <row r="5899" spans="1:28" x14ac:dyDescent="0.25">
      <c r="A5899" t="s">
        <v>5903</v>
      </c>
      <c r="B5899">
        <v>0.99673306730245903</v>
      </c>
      <c r="C5899">
        <v>1.0446799758099801</v>
      </c>
      <c r="D5899">
        <v>0.96338180974566601</v>
      </c>
      <c r="E5899">
        <v>0.91644650342336997</v>
      </c>
      <c r="F5899">
        <v>0.84083259530778398</v>
      </c>
      <c r="G5899">
        <v>0.725051358175133</v>
      </c>
      <c r="H5899">
        <v>0.50781460135523304</v>
      </c>
      <c r="I5899">
        <v>0.77653530776353297</v>
      </c>
      <c r="J5899">
        <v>0.72983871550103196</v>
      </c>
      <c r="K5899">
        <v>0.77749117723347805</v>
      </c>
      <c r="L5899">
        <v>1447.33344957345</v>
      </c>
      <c r="M5899">
        <v>27.785512521859399</v>
      </c>
      <c r="O5899">
        <v>51.821926906483398</v>
      </c>
      <c r="P5899">
        <v>-4.0197079903613098E-2</v>
      </c>
      <c r="Q5899">
        <v>0.70012117979109301</v>
      </c>
      <c r="R5899">
        <v>0.75571084114965903</v>
      </c>
      <c r="S5899" t="s">
        <v>12351</v>
      </c>
      <c r="T5899" t="s">
        <v>12902</v>
      </c>
      <c r="U5899" t="s">
        <v>12902</v>
      </c>
      <c r="V5899" t="s">
        <v>12902</v>
      </c>
      <c r="W5899" t="s">
        <v>18750</v>
      </c>
      <c r="X5899">
        <v>6</v>
      </c>
      <c r="Y5899" t="s">
        <v>25036</v>
      </c>
      <c r="Z5899" t="s">
        <v>31474</v>
      </c>
      <c r="AA5899">
        <v>0.82319913162064218</v>
      </c>
      <c r="AB5899" t="str">
        <f>HYPERLINK("Melting_Curves/meltCurve_Q9NZ53_PODXL2.pdf", "Melting_Curves/meltCurve_Q9NZ53_PODXL2.pdf")</f>
        <v>Melting_Curves/meltCurve_Q9NZ53_PODXL2.pdf</v>
      </c>
    </row>
    <row r="5900" spans="1:28" x14ac:dyDescent="0.25">
      <c r="A5900" t="s">
        <v>5904</v>
      </c>
      <c r="B5900">
        <v>0.99673306730245903</v>
      </c>
      <c r="C5900">
        <v>0.95736034364008205</v>
      </c>
      <c r="D5900">
        <v>0.957525630659399</v>
      </c>
      <c r="E5900">
        <v>0.84759207682114002</v>
      </c>
      <c r="F5900">
        <v>0.88976269213589898</v>
      </c>
      <c r="G5900">
        <v>0.69627978424056003</v>
      </c>
      <c r="H5900">
        <v>0.58693012191170901</v>
      </c>
      <c r="I5900">
        <v>0.91135817802880004</v>
      </c>
      <c r="J5900">
        <v>1.27707702460367</v>
      </c>
      <c r="K5900">
        <v>1.30356924264289</v>
      </c>
      <c r="L5900">
        <v>1624.2690828058201</v>
      </c>
      <c r="M5900">
        <v>38.208375582763303</v>
      </c>
      <c r="O5900">
        <v>42.394864167302103</v>
      </c>
      <c r="P5900">
        <v>-1.5101885894068299E-2</v>
      </c>
      <c r="Q5900">
        <v>0.93297377392273095</v>
      </c>
      <c r="R5900">
        <v>8.6575252068936698E-3</v>
      </c>
      <c r="S5900" t="s">
        <v>12352</v>
      </c>
      <c r="T5900" t="s">
        <v>12902</v>
      </c>
      <c r="U5900" t="s">
        <v>12902</v>
      </c>
      <c r="V5900" t="s">
        <v>12902</v>
      </c>
      <c r="W5900" t="s">
        <v>18751</v>
      </c>
      <c r="X5900">
        <v>20</v>
      </c>
      <c r="Y5900" t="s">
        <v>25037</v>
      </c>
      <c r="Z5900" t="s">
        <v>31475</v>
      </c>
      <c r="AA5900">
        <v>0.93898198766403229</v>
      </c>
      <c r="AB5900" t="str">
        <f>HYPERLINK("Melting_Curves/meltCurve_Q9NZ63_C9orf78.pdf", "Melting_Curves/meltCurve_Q9NZ63_C9orf78.pdf")</f>
        <v>Melting_Curves/meltCurve_Q9NZ63_C9orf78.pdf</v>
      </c>
    </row>
    <row r="5901" spans="1:28" x14ac:dyDescent="0.25">
      <c r="A5901" t="s">
        <v>5905</v>
      </c>
      <c r="B5901">
        <v>0.99673306730245903</v>
      </c>
      <c r="C5901">
        <v>0.94538489221208599</v>
      </c>
      <c r="D5901">
        <v>0.970483108869167</v>
      </c>
      <c r="E5901">
        <v>1.0635284313994799</v>
      </c>
      <c r="F5901">
        <v>0.83700685961641996</v>
      </c>
      <c r="G5901">
        <v>0.340471329895571</v>
      </c>
      <c r="H5901">
        <v>0.23065750774409099</v>
      </c>
      <c r="I5901">
        <v>0.23825605828468399</v>
      </c>
      <c r="J5901">
        <v>0.28075929219144702</v>
      </c>
      <c r="K5901">
        <v>0.28556768637938201</v>
      </c>
      <c r="L5901">
        <v>2937.2405127501002</v>
      </c>
      <c r="M5901">
        <v>53.907281013960997</v>
      </c>
      <c r="N5901">
        <v>55.236607802692198</v>
      </c>
      <c r="O5901">
        <v>54.4120787675229</v>
      </c>
      <c r="P5901">
        <v>-0.183420818613697</v>
      </c>
      <c r="Q5901">
        <v>0.25944696333283102</v>
      </c>
      <c r="R5901">
        <v>0.99093303999448401</v>
      </c>
      <c r="S5901" t="s">
        <v>12353</v>
      </c>
      <c r="T5901" t="s">
        <v>12902</v>
      </c>
      <c r="U5901" t="s">
        <v>12902</v>
      </c>
      <c r="V5901" t="s">
        <v>12902</v>
      </c>
      <c r="W5901" t="s">
        <v>18752</v>
      </c>
      <c r="X5901">
        <v>5</v>
      </c>
      <c r="Y5901" t="s">
        <v>25038</v>
      </c>
      <c r="Z5901" t="s">
        <v>31476</v>
      </c>
      <c r="AA5901">
        <v>0.61858722843482261</v>
      </c>
      <c r="AB5901" t="str">
        <f>HYPERLINK("Melting_Curves/meltCurve_Q9NZB2_4_FAM120A.pdf", "Melting_Curves/meltCurve_Q9NZB2_4_FAM120A.pdf")</f>
        <v>Melting_Curves/meltCurve_Q9NZB2_4_FAM120A.pdf</v>
      </c>
    </row>
    <row r="5902" spans="1:28" x14ac:dyDescent="0.25">
      <c r="A5902" t="s">
        <v>5906</v>
      </c>
      <c r="B5902">
        <v>0.99673306730245903</v>
      </c>
      <c r="C5902">
        <v>0.96905349362259197</v>
      </c>
      <c r="D5902">
        <v>1.0094210321622701</v>
      </c>
      <c r="E5902">
        <v>0.85782526145566396</v>
      </c>
      <c r="F5902">
        <v>0.78923848212978198</v>
      </c>
      <c r="G5902">
        <v>0.65606765684620905</v>
      </c>
      <c r="H5902">
        <v>0.460941573693394</v>
      </c>
      <c r="I5902">
        <v>0.14937724253825599</v>
      </c>
      <c r="J5902">
        <v>0.111418821326558</v>
      </c>
      <c r="K5902">
        <v>8.9997396414393999E-2</v>
      </c>
      <c r="L5902">
        <v>854.67652599081305</v>
      </c>
      <c r="M5902">
        <v>14.5481980360493</v>
      </c>
      <c r="N5902">
        <v>58.747930665568802</v>
      </c>
      <c r="O5902">
        <v>57.671397545180596</v>
      </c>
      <c r="P5902">
        <v>-6.3072231543989804E-2</v>
      </c>
      <c r="Q5902">
        <v>0</v>
      </c>
      <c r="R5902">
        <v>0.98134101895305803</v>
      </c>
      <c r="S5902" t="s">
        <v>12354</v>
      </c>
      <c r="T5902" t="s">
        <v>12902</v>
      </c>
      <c r="U5902" t="s">
        <v>12902</v>
      </c>
      <c r="V5902" t="s">
        <v>12902</v>
      </c>
      <c r="W5902" t="s">
        <v>18753</v>
      </c>
      <c r="X5902">
        <v>5</v>
      </c>
      <c r="Y5902" t="s">
        <v>25039</v>
      </c>
      <c r="Z5902" t="s">
        <v>31477</v>
      </c>
      <c r="AA5902">
        <v>0.63609937330120803</v>
      </c>
      <c r="AB5902" t="str">
        <f>HYPERLINK("Melting_Curves/meltCurve_Q9NZC3_GDE1.pdf", "Melting_Curves/meltCurve_Q9NZC3_GDE1.pdf")</f>
        <v>Melting_Curves/meltCurve_Q9NZC3_GDE1.pdf</v>
      </c>
    </row>
    <row r="5903" spans="1:28" x14ac:dyDescent="0.25">
      <c r="A5903" t="s">
        <v>5907</v>
      </c>
      <c r="B5903">
        <v>0.99673306730245903</v>
      </c>
      <c r="C5903">
        <v>0.84929269604931101</v>
      </c>
      <c r="D5903">
        <v>0.61152551472613303</v>
      </c>
      <c r="E5903">
        <v>0.29113102811467301</v>
      </c>
      <c r="F5903">
        <v>0.21940484862315601</v>
      </c>
      <c r="G5903">
        <v>0.14637078067731901</v>
      </c>
      <c r="H5903">
        <v>0.101761722606844</v>
      </c>
      <c r="I5903">
        <v>7.7519949398508398E-2</v>
      </c>
      <c r="J5903">
        <v>4.760651378393E-2</v>
      </c>
      <c r="K5903">
        <v>4.5983272816116201E-2</v>
      </c>
      <c r="L5903">
        <v>819.64686423531498</v>
      </c>
      <c r="M5903">
        <v>17.4823572630768</v>
      </c>
      <c r="N5903">
        <v>47.300855168914701</v>
      </c>
      <c r="O5903">
        <v>46.283667222588598</v>
      </c>
      <c r="P5903">
        <v>-8.7696985913423994E-2</v>
      </c>
      <c r="Q5903">
        <v>7.1357495040199004E-2</v>
      </c>
      <c r="R5903">
        <v>0.99287442901990697</v>
      </c>
      <c r="S5903" t="s">
        <v>12355</v>
      </c>
      <c r="T5903" t="s">
        <v>12902</v>
      </c>
      <c r="U5903" t="s">
        <v>12902</v>
      </c>
      <c r="V5903" t="s">
        <v>12902</v>
      </c>
      <c r="W5903" t="s">
        <v>18754</v>
      </c>
      <c r="X5903">
        <v>3</v>
      </c>
      <c r="Y5903" t="s">
        <v>25040</v>
      </c>
      <c r="Z5903" t="s">
        <v>31478</v>
      </c>
      <c r="AA5903">
        <v>0.30282156852812198</v>
      </c>
      <c r="AB5903" t="str">
        <f>HYPERLINK("Melting_Curves/meltCurve_Q9NZC7_WWOX.pdf", "Melting_Curves/meltCurve_Q9NZC7_WWOX.pdf")</f>
        <v>Melting_Curves/meltCurve_Q9NZC7_WWOX.pdf</v>
      </c>
    </row>
    <row r="5904" spans="1:28" x14ac:dyDescent="0.25">
      <c r="A5904" t="s">
        <v>5908</v>
      </c>
      <c r="B5904">
        <v>0.99673306730245903</v>
      </c>
      <c r="C5904">
        <v>0.99447143678648697</v>
      </c>
      <c r="D5904">
        <v>0.93351456378328801</v>
      </c>
      <c r="E5904">
        <v>0.80538836901233701</v>
      </c>
      <c r="F5904">
        <v>0.33357247557884301</v>
      </c>
      <c r="G5904">
        <v>0.123922641953779</v>
      </c>
      <c r="H5904">
        <v>6.3674283994907793E-2</v>
      </c>
      <c r="I5904">
        <v>5.3559365194308803E-2</v>
      </c>
      <c r="J5904">
        <v>5.8951075376748797E-2</v>
      </c>
      <c r="K5904">
        <v>4.4798678529337999E-2</v>
      </c>
      <c r="L5904">
        <v>1513.88952737719</v>
      </c>
      <c r="M5904">
        <v>29.266711592410701</v>
      </c>
      <c r="N5904">
        <v>51.9207252719075</v>
      </c>
      <c r="O5904">
        <v>51.487650532580098</v>
      </c>
      <c r="P5904">
        <v>-0.13476903068276699</v>
      </c>
      <c r="Q5904">
        <v>5.1633645731857497E-2</v>
      </c>
      <c r="R5904">
        <v>0.99864006021375396</v>
      </c>
      <c r="S5904" t="s">
        <v>12356</v>
      </c>
      <c r="T5904" t="s">
        <v>12902</v>
      </c>
      <c r="U5904" t="s">
        <v>12902</v>
      </c>
      <c r="V5904" t="s">
        <v>12902</v>
      </c>
      <c r="W5904" t="s">
        <v>18755</v>
      </c>
      <c r="X5904">
        <v>5</v>
      </c>
      <c r="Y5904" t="s">
        <v>25041</v>
      </c>
      <c r="Z5904" t="s">
        <v>31479</v>
      </c>
      <c r="AA5904">
        <v>0.42869859851895331</v>
      </c>
      <c r="AB5904" t="str">
        <f>HYPERLINK("Melting_Curves/meltCurve_Q9NZD2_GLTP.pdf", "Melting_Curves/meltCurve_Q9NZD2_GLTP.pdf")</f>
        <v>Melting_Curves/meltCurve_Q9NZD2_GLTP.pdf</v>
      </c>
    </row>
    <row r="5905" spans="1:28" x14ac:dyDescent="0.25">
      <c r="A5905" t="s">
        <v>5909</v>
      </c>
      <c r="B5905">
        <v>0.99673306730245903</v>
      </c>
      <c r="C5905">
        <v>0.999305416366147</v>
      </c>
      <c r="D5905">
        <v>1.0107432418262501</v>
      </c>
      <c r="E5905">
        <v>0.844237425749232</v>
      </c>
      <c r="F5905">
        <v>0.47088986210496397</v>
      </c>
      <c r="G5905">
        <v>0.39582107453043802</v>
      </c>
      <c r="H5905">
        <v>0.29501752753808302</v>
      </c>
      <c r="I5905">
        <v>0.17312774479250201</v>
      </c>
      <c r="J5905">
        <v>0.132739234726234</v>
      </c>
      <c r="K5905">
        <v>0.106245633223538</v>
      </c>
      <c r="L5905">
        <v>916.88286162805196</v>
      </c>
      <c r="M5905">
        <v>17.2249043387562</v>
      </c>
      <c r="N5905">
        <v>54.186355130368099</v>
      </c>
      <c r="O5905">
        <v>52.528171157659898</v>
      </c>
      <c r="P5905">
        <v>-7.1238994743853395E-2</v>
      </c>
      <c r="Q5905">
        <v>0.13106436322026499</v>
      </c>
      <c r="R5905">
        <v>0.98134635576023999</v>
      </c>
      <c r="S5905" t="s">
        <v>12357</v>
      </c>
      <c r="T5905" t="s">
        <v>12902</v>
      </c>
      <c r="U5905" t="s">
        <v>12902</v>
      </c>
      <c r="V5905" t="s">
        <v>12902</v>
      </c>
      <c r="W5905" t="s">
        <v>18756</v>
      </c>
      <c r="X5905">
        <v>2</v>
      </c>
      <c r="Y5905" t="s">
        <v>25042</v>
      </c>
      <c r="Z5905" t="s">
        <v>31480</v>
      </c>
      <c r="AA5905">
        <v>0.52943029993293145</v>
      </c>
      <c r="AB5905" t="str">
        <f>HYPERLINK("Melting_Curves/meltCurve_Q9NZD8_2_SPG21.pdf", "Melting_Curves/meltCurve_Q9NZD8_2_SPG21.pdf")</f>
        <v>Melting_Curves/meltCurve_Q9NZD8_2_SPG21.pdf</v>
      </c>
    </row>
    <row r="5906" spans="1:28" x14ac:dyDescent="0.25">
      <c r="A5906" t="s">
        <v>5910</v>
      </c>
      <c r="B5906">
        <v>0.99673306730245903</v>
      </c>
      <c r="C5906">
        <v>0.95194516276650698</v>
      </c>
      <c r="D5906">
        <v>0.52401753476023205</v>
      </c>
      <c r="E5906">
        <v>0.35541427821161298</v>
      </c>
      <c r="F5906">
        <v>0.24723344069258199</v>
      </c>
      <c r="G5906">
        <v>0.13625141164399601</v>
      </c>
      <c r="H5906">
        <v>9.3839918067763706E-2</v>
      </c>
      <c r="I5906">
        <v>8.3611347998109598E-2</v>
      </c>
      <c r="J5906">
        <v>8.1097181874405996E-2</v>
      </c>
      <c r="K5906">
        <v>8.6944172956649801E-2</v>
      </c>
      <c r="L5906">
        <v>872.42197630984504</v>
      </c>
      <c r="M5906">
        <v>18.638044674746698</v>
      </c>
      <c r="N5906">
        <v>47.347224573347098</v>
      </c>
      <c r="O5906">
        <v>46.279788993053899</v>
      </c>
      <c r="P5906">
        <v>-9.1068325583877896E-2</v>
      </c>
      <c r="Q5906">
        <v>9.5518502016800094E-2</v>
      </c>
      <c r="R5906">
        <v>0.97834741375238998</v>
      </c>
      <c r="S5906" t="s">
        <v>12358</v>
      </c>
      <c r="T5906" t="s">
        <v>12902</v>
      </c>
      <c r="U5906" t="s">
        <v>12902</v>
      </c>
      <c r="V5906" t="s">
        <v>12902</v>
      </c>
      <c r="W5906" t="s">
        <v>18757</v>
      </c>
      <c r="X5906">
        <v>3</v>
      </c>
      <c r="Y5906" t="s">
        <v>25043</v>
      </c>
      <c r="Z5906" t="s">
        <v>31481</v>
      </c>
      <c r="AA5906">
        <v>0.31640516460898638</v>
      </c>
      <c r="AB5906" t="str">
        <f>HYPERLINK("Melting_Curves/meltCurve_Q9NZI7_4_UBP1.pdf", "Melting_Curves/meltCurve_Q9NZI7_4_UBP1.pdf")</f>
        <v>Melting_Curves/meltCurve_Q9NZI7_4_UBP1.pdf</v>
      </c>
    </row>
    <row r="5907" spans="1:28" x14ac:dyDescent="0.25">
      <c r="A5907" t="s">
        <v>5911</v>
      </c>
      <c r="B5907">
        <v>0.99673306730245903</v>
      </c>
      <c r="C5907">
        <v>0.92575281352012495</v>
      </c>
      <c r="D5907">
        <v>0.68634467025902701</v>
      </c>
      <c r="E5907">
        <v>0.324102207727964</v>
      </c>
      <c r="F5907">
        <v>0.199994299686587</v>
      </c>
      <c r="G5907">
        <v>0.14732694977027999</v>
      </c>
      <c r="H5907">
        <v>0.12677111188698501</v>
      </c>
      <c r="I5907">
        <v>0.118234095981136</v>
      </c>
      <c r="J5907">
        <v>8.87545627940724E-2</v>
      </c>
      <c r="K5907">
        <v>7.4627145144322601E-2</v>
      </c>
      <c r="L5907">
        <v>1046.4010875296899</v>
      </c>
      <c r="M5907">
        <v>22.1318613720378</v>
      </c>
      <c r="N5907">
        <v>47.798003559660401</v>
      </c>
      <c r="O5907">
        <v>46.899371862828801</v>
      </c>
      <c r="P5907">
        <v>-0.105404655038001</v>
      </c>
      <c r="Q5907">
        <v>0.106572328468256</v>
      </c>
      <c r="R5907">
        <v>0.99731129452996503</v>
      </c>
      <c r="S5907" t="s">
        <v>12359</v>
      </c>
      <c r="T5907" t="s">
        <v>12902</v>
      </c>
      <c r="U5907" t="s">
        <v>12902</v>
      </c>
      <c r="V5907" t="s">
        <v>12902</v>
      </c>
      <c r="W5907" t="s">
        <v>18758</v>
      </c>
      <c r="X5907">
        <v>3</v>
      </c>
      <c r="Y5907" t="s">
        <v>25044</v>
      </c>
      <c r="Z5907" t="s">
        <v>31482</v>
      </c>
      <c r="AA5907">
        <v>0.33375400037627018</v>
      </c>
      <c r="AB5907" t="str">
        <f>HYPERLINK("Melting_Curves/meltCurve_Q9NZI8_IGF2BP1.pdf", "Melting_Curves/meltCurve_Q9NZI8_IGF2BP1.pdf")</f>
        <v>Melting_Curves/meltCurve_Q9NZI8_IGF2BP1.pdf</v>
      </c>
    </row>
    <row r="5908" spans="1:28" x14ac:dyDescent="0.25">
      <c r="A5908" t="s">
        <v>5912</v>
      </c>
      <c r="B5908">
        <v>0.99673306730245903</v>
      </c>
      <c r="C5908">
        <v>0.85931074536992802</v>
      </c>
      <c r="D5908">
        <v>0.78222070015176803</v>
      </c>
      <c r="E5908">
        <v>0.93071324893387297</v>
      </c>
      <c r="F5908">
        <v>0.48315384398994299</v>
      </c>
      <c r="G5908">
        <v>0.411781763135742</v>
      </c>
      <c r="H5908">
        <v>0.25944406999114999</v>
      </c>
      <c r="I5908">
        <v>0.153074302296518</v>
      </c>
      <c r="J5908">
        <v>5.6759767519161897E-2</v>
      </c>
      <c r="K5908">
        <v>3.33291322055531E-2</v>
      </c>
      <c r="L5908">
        <v>636.92780698273202</v>
      </c>
      <c r="M5908">
        <v>11.6814065780019</v>
      </c>
      <c r="N5908">
        <v>54.524924036003299</v>
      </c>
      <c r="O5908">
        <v>53.000542152855601</v>
      </c>
      <c r="P5908">
        <v>-5.51151520657562E-2</v>
      </c>
      <c r="Q5908">
        <v>0</v>
      </c>
      <c r="R5908">
        <v>0.94777898653484405</v>
      </c>
      <c r="S5908" t="s">
        <v>12360</v>
      </c>
      <c r="T5908" t="s">
        <v>12902</v>
      </c>
      <c r="U5908" t="s">
        <v>12902</v>
      </c>
      <c r="V5908" t="s">
        <v>12902</v>
      </c>
      <c r="W5908" t="s">
        <v>18759</v>
      </c>
      <c r="X5908">
        <v>5</v>
      </c>
      <c r="Y5908" t="s">
        <v>25045</v>
      </c>
      <c r="Z5908" t="s">
        <v>31483</v>
      </c>
      <c r="AA5908">
        <v>0.50945640651593205</v>
      </c>
      <c r="AB5908" t="str">
        <f>HYPERLINK("Melting_Curves/meltCurve_Q9NZJ4_2_SACS.pdf", "Melting_Curves/meltCurve_Q9NZJ4_2_SACS.pdf")</f>
        <v>Melting_Curves/meltCurve_Q9NZJ4_2_SACS.pdf</v>
      </c>
    </row>
    <row r="5909" spans="1:28" x14ac:dyDescent="0.25">
      <c r="A5909" t="s">
        <v>5913</v>
      </c>
      <c r="B5909">
        <v>0.99673306730245903</v>
      </c>
      <c r="C5909">
        <v>0.92553389755394999</v>
      </c>
      <c r="D5909">
        <v>0.83690134881879896</v>
      </c>
      <c r="E5909">
        <v>0.64844401687087105</v>
      </c>
      <c r="F5909">
        <v>0.44630385182162002</v>
      </c>
      <c r="G5909">
        <v>0.35292684535211799</v>
      </c>
      <c r="H5909">
        <v>0.22237424131355599</v>
      </c>
      <c r="I5909">
        <v>0.13291983131777099</v>
      </c>
      <c r="J5909">
        <v>0.127455193286442</v>
      </c>
      <c r="K5909">
        <v>0.12318022379169399</v>
      </c>
      <c r="L5909">
        <v>608.22119601094903</v>
      </c>
      <c r="M5909">
        <v>11.7243260122346</v>
      </c>
      <c r="N5909">
        <v>52.562095823344201</v>
      </c>
      <c r="O5909">
        <v>50.436614972195002</v>
      </c>
      <c r="P5909">
        <v>-5.4009875619142202E-2</v>
      </c>
      <c r="Q5909">
        <v>7.0869399261403301E-2</v>
      </c>
      <c r="R5909">
        <v>0.99675412842773503</v>
      </c>
      <c r="S5909" t="s">
        <v>12361</v>
      </c>
      <c r="T5909" t="s">
        <v>12902</v>
      </c>
      <c r="U5909" t="s">
        <v>12902</v>
      </c>
      <c r="V5909" t="s">
        <v>12902</v>
      </c>
      <c r="W5909" t="s">
        <v>18760</v>
      </c>
      <c r="X5909">
        <v>1</v>
      </c>
      <c r="Y5909" t="s">
        <v>25046</v>
      </c>
      <c r="Z5909" t="s">
        <v>31484</v>
      </c>
      <c r="AA5909">
        <v>0.4682490168915755</v>
      </c>
      <c r="AB5909" t="str">
        <f>HYPERLINK("Melting_Curves/meltCurve_Q9NZJ5_EIF2AK3.pdf", "Melting_Curves/meltCurve_Q9NZJ5_EIF2AK3.pdf")</f>
        <v>Melting_Curves/meltCurve_Q9NZJ5_EIF2AK3.pdf</v>
      </c>
    </row>
    <row r="5910" spans="1:28" x14ac:dyDescent="0.25">
      <c r="A5910" t="s">
        <v>5914</v>
      </c>
      <c r="B5910">
        <v>0.99673306730245903</v>
      </c>
      <c r="C5910">
        <v>1.05395117024329</v>
      </c>
      <c r="D5910">
        <v>0.95835064234908596</v>
      </c>
      <c r="E5910">
        <v>0.86917141982276103</v>
      </c>
      <c r="F5910">
        <v>0.66577472334779098</v>
      </c>
      <c r="G5910">
        <v>0.47349590762734201</v>
      </c>
      <c r="H5910">
        <v>0.158325920829997</v>
      </c>
      <c r="I5910">
        <v>7.7303109855586305E-2</v>
      </c>
      <c r="J5910">
        <v>7.2327121572672307E-2</v>
      </c>
      <c r="K5910">
        <v>5.51247883422228E-2</v>
      </c>
      <c r="L5910">
        <v>929.33344479444895</v>
      </c>
      <c r="M5910">
        <v>16.696351328195199</v>
      </c>
      <c r="N5910">
        <v>55.682555989098198</v>
      </c>
      <c r="O5910">
        <v>54.880790095508601</v>
      </c>
      <c r="P5910">
        <v>-7.5815929221802303E-2</v>
      </c>
      <c r="Q5910">
        <v>3.24040954100827E-3</v>
      </c>
      <c r="R5910">
        <v>0.99340943671388504</v>
      </c>
      <c r="S5910" t="s">
        <v>12362</v>
      </c>
      <c r="T5910" t="s">
        <v>12902</v>
      </c>
      <c r="U5910" t="s">
        <v>12902</v>
      </c>
      <c r="V5910" t="s">
        <v>12902</v>
      </c>
      <c r="W5910" t="s">
        <v>18761</v>
      </c>
      <c r="X5910">
        <v>5</v>
      </c>
      <c r="Y5910" t="s">
        <v>25047</v>
      </c>
      <c r="Z5910" t="s">
        <v>31485</v>
      </c>
      <c r="AA5910">
        <v>0.53992797394645009</v>
      </c>
      <c r="AB5910" t="str">
        <f>HYPERLINK("Melting_Curves/meltCurve_Q9NZJ6_COQ3.pdf", "Melting_Curves/meltCurve_Q9NZJ6_COQ3.pdf")</f>
        <v>Melting_Curves/meltCurve_Q9NZJ6_COQ3.pdf</v>
      </c>
    </row>
    <row r="5911" spans="1:28" x14ac:dyDescent="0.25">
      <c r="A5911" t="s">
        <v>5915</v>
      </c>
      <c r="B5911">
        <v>0.99673306730245903</v>
      </c>
      <c r="C5911">
        <v>0.97783949902871603</v>
      </c>
      <c r="D5911">
        <v>0.93929718260386696</v>
      </c>
      <c r="E5911">
        <v>0.85746882981148997</v>
      </c>
      <c r="F5911">
        <v>0.47929237189870499</v>
      </c>
      <c r="G5911">
        <v>0.19747099156425599</v>
      </c>
      <c r="H5911">
        <v>8.8668938380304402E-2</v>
      </c>
      <c r="I5911">
        <v>8.2682522559806904E-2</v>
      </c>
      <c r="J5911">
        <v>8.7602384954791598E-2</v>
      </c>
      <c r="K5911">
        <v>7.9395053005875196E-2</v>
      </c>
      <c r="L5911">
        <v>1366.25936582494</v>
      </c>
      <c r="M5911">
        <v>25.928615438868</v>
      </c>
      <c r="N5911">
        <v>53.021293179189897</v>
      </c>
      <c r="O5911">
        <v>52.3826726185806</v>
      </c>
      <c r="P5911">
        <v>-0.114573740189233</v>
      </c>
      <c r="Q5911">
        <v>7.4133572071026402E-2</v>
      </c>
      <c r="R5911">
        <v>0.99846935485725397</v>
      </c>
      <c r="S5911" t="s">
        <v>12363</v>
      </c>
      <c r="T5911" t="s">
        <v>12902</v>
      </c>
      <c r="U5911" t="s">
        <v>12902</v>
      </c>
      <c r="V5911" t="s">
        <v>12902</v>
      </c>
      <c r="W5911" t="s">
        <v>18762</v>
      </c>
      <c r="X5911">
        <v>5</v>
      </c>
      <c r="Y5911" t="s">
        <v>25048</v>
      </c>
      <c r="Z5911" t="s">
        <v>31486</v>
      </c>
      <c r="AA5911">
        <v>0.47380586966893329</v>
      </c>
      <c r="AB5911" t="str">
        <f>HYPERLINK("Melting_Curves/meltCurve_Q9NZJ9_2_NUDT4.pdf", "Melting_Curves/meltCurve_Q9NZJ9_2_NUDT4.pdf")</f>
        <v>Melting_Curves/meltCurve_Q9NZJ9_2_NUDT4.pdf</v>
      </c>
    </row>
    <row r="5912" spans="1:28" x14ac:dyDescent="0.25">
      <c r="A5912" t="s">
        <v>5916</v>
      </c>
      <c r="B5912">
        <v>0.99673306730245903</v>
      </c>
      <c r="C5912">
        <v>0.96657917661734405</v>
      </c>
      <c r="D5912">
        <v>0.84178082533152998</v>
      </c>
      <c r="E5912">
        <v>0.55432347553896599</v>
      </c>
      <c r="F5912">
        <v>0.319428902519035</v>
      </c>
      <c r="G5912">
        <v>0.20981896669050401</v>
      </c>
      <c r="H5912">
        <v>0.26467622577019401</v>
      </c>
      <c r="I5912">
        <v>0.26638103304491301</v>
      </c>
      <c r="J5912">
        <v>0.40159606120340002</v>
      </c>
      <c r="K5912">
        <v>0.258498587651809</v>
      </c>
      <c r="L5912">
        <v>1301.12649213994</v>
      </c>
      <c r="M5912">
        <v>26.860176709178401</v>
      </c>
      <c r="N5912">
        <v>49.9365317794812</v>
      </c>
      <c r="O5912">
        <v>48.174615537909602</v>
      </c>
      <c r="P5912">
        <v>-0.100868944735807</v>
      </c>
      <c r="Q5912">
        <v>0.276360158992072</v>
      </c>
      <c r="R5912">
        <v>0.97256228588165705</v>
      </c>
      <c r="S5912" t="s">
        <v>12364</v>
      </c>
      <c r="T5912" t="s">
        <v>12902</v>
      </c>
      <c r="U5912" t="s">
        <v>12902</v>
      </c>
      <c r="V5912" t="s">
        <v>12902</v>
      </c>
      <c r="W5912" t="s">
        <v>18763</v>
      </c>
      <c r="X5912">
        <v>7</v>
      </c>
      <c r="Y5912" t="s">
        <v>25049</v>
      </c>
      <c r="Z5912" t="s">
        <v>31487</v>
      </c>
      <c r="AA5912">
        <v>0.48546697446747111</v>
      </c>
      <c r="AB5912" t="str">
        <f>HYPERLINK("Melting_Curves/meltCurve_Q9NZL4_HSPBP1.pdf", "Melting_Curves/meltCurve_Q9NZL4_HSPBP1.pdf")</f>
        <v>Melting_Curves/meltCurve_Q9NZL4_HSPBP1.pdf</v>
      </c>
    </row>
    <row r="5913" spans="1:28" x14ac:dyDescent="0.25">
      <c r="A5913" t="s">
        <v>5917</v>
      </c>
      <c r="B5913">
        <v>0.99673306730245903</v>
      </c>
      <c r="C5913">
        <v>0.94280575075980499</v>
      </c>
      <c r="D5913">
        <v>1.0370252293970501</v>
      </c>
      <c r="E5913">
        <v>1.1029873670117201</v>
      </c>
      <c r="F5913">
        <v>1.0793942926603499</v>
      </c>
      <c r="G5913">
        <v>0.88839041221271897</v>
      </c>
      <c r="H5913">
        <v>0.60042925878148601</v>
      </c>
      <c r="I5913">
        <v>0.13235657553754401</v>
      </c>
      <c r="J5913">
        <v>0.12660725535214101</v>
      </c>
      <c r="K5913">
        <v>0.10024266588711001</v>
      </c>
      <c r="L5913">
        <v>2935.3333430053099</v>
      </c>
      <c r="M5913">
        <v>48.137139064336097</v>
      </c>
      <c r="N5913">
        <v>61.234484450262698</v>
      </c>
      <c r="O5913">
        <v>60.873597257007198</v>
      </c>
      <c r="P5913">
        <v>-0.17967939653838799</v>
      </c>
      <c r="Q5913">
        <v>9.1120032073781304E-2</v>
      </c>
      <c r="R5913">
        <v>0.98018188697342401</v>
      </c>
      <c r="S5913" t="s">
        <v>12365</v>
      </c>
      <c r="T5913" t="s">
        <v>12902</v>
      </c>
      <c r="U5913" t="s">
        <v>12902</v>
      </c>
      <c r="V5913" t="s">
        <v>12902</v>
      </c>
      <c r="W5913" t="s">
        <v>18764</v>
      </c>
      <c r="X5913">
        <v>16</v>
      </c>
      <c r="Y5913" t="s">
        <v>25050</v>
      </c>
      <c r="Z5913" t="s">
        <v>31488</v>
      </c>
      <c r="AA5913">
        <v>0.72921775810519174</v>
      </c>
      <c r="AB5913" t="str">
        <f>HYPERLINK("Melting_Curves/meltCurve_Q9NZL9_MAT2B.pdf", "Melting_Curves/meltCurve_Q9NZL9_MAT2B.pdf")</f>
        <v>Melting_Curves/meltCurve_Q9NZL9_MAT2B.pdf</v>
      </c>
    </row>
    <row r="5914" spans="1:28" x14ac:dyDescent="0.25">
      <c r="A5914" t="s">
        <v>5918</v>
      </c>
      <c r="B5914">
        <v>0.99673306730245903</v>
      </c>
      <c r="C5914">
        <v>0.94384362241927</v>
      </c>
      <c r="D5914">
        <v>0.63175842496655799</v>
      </c>
      <c r="E5914">
        <v>0.323204937546546</v>
      </c>
      <c r="F5914">
        <v>0.21176703471521599</v>
      </c>
      <c r="G5914">
        <v>0.13348303518934099</v>
      </c>
      <c r="H5914">
        <v>7.2701469579383393E-2</v>
      </c>
      <c r="I5914">
        <v>8.2061137919547694E-2</v>
      </c>
      <c r="J5914">
        <v>7.3258336992700193E-2</v>
      </c>
      <c r="K5914">
        <v>7.7129474261490402E-2</v>
      </c>
      <c r="L5914">
        <v>968.87250278487898</v>
      </c>
      <c r="M5914">
        <v>20.521544141149199</v>
      </c>
      <c r="N5914">
        <v>47.6413776222293</v>
      </c>
      <c r="O5914">
        <v>46.770996032797399</v>
      </c>
      <c r="P5914">
        <v>-0.10044237205991401</v>
      </c>
      <c r="Q5914">
        <v>8.4347329701620899E-2</v>
      </c>
      <c r="R5914">
        <v>0.99439421405303496</v>
      </c>
      <c r="S5914" t="s">
        <v>12366</v>
      </c>
      <c r="T5914" t="s">
        <v>12902</v>
      </c>
      <c r="U5914" t="s">
        <v>12902</v>
      </c>
      <c r="V5914" t="s">
        <v>12902</v>
      </c>
      <c r="W5914" t="s">
        <v>18765</v>
      </c>
      <c r="X5914">
        <v>4</v>
      </c>
      <c r="Y5914" t="s">
        <v>25051</v>
      </c>
      <c r="Z5914" t="s">
        <v>31489</v>
      </c>
      <c r="AA5914">
        <v>0.31705154209877751</v>
      </c>
      <c r="AB5914" t="str">
        <f>HYPERLINK("Melting_Curves/meltCurve_Q9NZM3_2_ITSN2.pdf", "Melting_Curves/meltCurve_Q9NZM3_2_ITSN2.pdf")</f>
        <v>Melting_Curves/meltCurve_Q9NZM3_2_ITSN2.pdf</v>
      </c>
    </row>
    <row r="5915" spans="1:28" x14ac:dyDescent="0.25">
      <c r="A5915" t="s">
        <v>5919</v>
      </c>
      <c r="B5915">
        <v>0.99673306730245903</v>
      </c>
      <c r="C5915">
        <v>0.96764470721603302</v>
      </c>
      <c r="D5915">
        <v>0.58846363455453798</v>
      </c>
      <c r="E5915">
        <v>0.42969370702815202</v>
      </c>
      <c r="F5915">
        <v>0.31706591578316301</v>
      </c>
      <c r="G5915">
        <v>0.20162609359997</v>
      </c>
      <c r="H5915">
        <v>9.7286711409409393E-2</v>
      </c>
      <c r="I5915">
        <v>0.135262792403129</v>
      </c>
      <c r="J5915">
        <v>0.19451656033605999</v>
      </c>
      <c r="K5915">
        <v>0.233491368004311</v>
      </c>
      <c r="L5915">
        <v>887.25954244957495</v>
      </c>
      <c r="M5915">
        <v>18.854804850016102</v>
      </c>
      <c r="N5915">
        <v>48.139811732199398</v>
      </c>
      <c r="O5915">
        <v>46.537722360930204</v>
      </c>
      <c r="P5915">
        <v>-8.3792687039604699E-2</v>
      </c>
      <c r="Q5915">
        <v>0.172760340250177</v>
      </c>
      <c r="R5915">
        <v>0.96711898971283305</v>
      </c>
      <c r="S5915" t="s">
        <v>12367</v>
      </c>
      <c r="T5915" t="s">
        <v>12902</v>
      </c>
      <c r="U5915" t="s">
        <v>12902</v>
      </c>
      <c r="V5915" t="s">
        <v>12902</v>
      </c>
      <c r="W5915" t="s">
        <v>18766</v>
      </c>
      <c r="X5915">
        <v>3</v>
      </c>
      <c r="Y5915" t="s">
        <v>25052</v>
      </c>
      <c r="Z5915" t="s">
        <v>31490</v>
      </c>
      <c r="AA5915">
        <v>0.38112277331415201</v>
      </c>
      <c r="AB5915" t="str">
        <f>HYPERLINK("Melting_Curves/meltCurve_Q9NZM4_2_GLTSCR1.pdf", "Melting_Curves/meltCurve_Q9NZM4_2_GLTSCR1.pdf")</f>
        <v>Melting_Curves/meltCurve_Q9NZM4_2_GLTSCR1.pdf</v>
      </c>
    </row>
    <row r="5916" spans="1:28" x14ac:dyDescent="0.25">
      <c r="A5916" t="s">
        <v>5920</v>
      </c>
      <c r="B5916">
        <v>0.99673306730245903</v>
      </c>
      <c r="C5916">
        <v>0.92418060045000106</v>
      </c>
      <c r="D5916">
        <v>0.95966475784266403</v>
      </c>
      <c r="E5916">
        <v>0.73025533417299304</v>
      </c>
      <c r="F5916">
        <v>0.41734089439598598</v>
      </c>
      <c r="G5916">
        <v>0.228361739775162</v>
      </c>
      <c r="H5916">
        <v>0.23792720179540799</v>
      </c>
      <c r="I5916">
        <v>0.27822480497369501</v>
      </c>
      <c r="J5916">
        <v>0.42795135042516902</v>
      </c>
      <c r="K5916">
        <v>0.406857244340738</v>
      </c>
      <c r="L5916">
        <v>1801.07156081781</v>
      </c>
      <c r="M5916">
        <v>35.890954530262597</v>
      </c>
      <c r="N5916">
        <v>51.6312161880807</v>
      </c>
      <c r="O5916">
        <v>50.0267453911259</v>
      </c>
      <c r="P5916">
        <v>-0.122422272327393</v>
      </c>
      <c r="Q5916">
        <v>0.31744715308348698</v>
      </c>
      <c r="R5916">
        <v>0.94881444864535802</v>
      </c>
      <c r="S5916" t="s">
        <v>12368</v>
      </c>
      <c r="T5916" t="s">
        <v>12902</v>
      </c>
      <c r="U5916" t="s">
        <v>12902</v>
      </c>
      <c r="V5916" t="s">
        <v>12902</v>
      </c>
      <c r="W5916" t="s">
        <v>18767</v>
      </c>
      <c r="X5916">
        <v>2</v>
      </c>
      <c r="Y5916" t="s">
        <v>25053</v>
      </c>
      <c r="Z5916" t="s">
        <v>31491</v>
      </c>
      <c r="AA5916">
        <v>0.55204774883385666</v>
      </c>
      <c r="AB5916" t="str">
        <f>HYPERLINK("Melting_Curves/meltCurve_Q9NZP8_C1RL.pdf", "Melting_Curves/meltCurve_Q9NZP8_C1RL.pdf")</f>
        <v>Melting_Curves/meltCurve_Q9NZP8_C1RL.pdf</v>
      </c>
    </row>
    <row r="5917" spans="1:28" x14ac:dyDescent="0.25">
      <c r="A5917" t="s">
        <v>5921</v>
      </c>
      <c r="B5917">
        <v>0.99673306730245903</v>
      </c>
      <c r="C5917">
        <v>0.90336185810708203</v>
      </c>
      <c r="D5917">
        <v>0.64999381809077095</v>
      </c>
      <c r="E5917">
        <v>0.260084575951746</v>
      </c>
      <c r="F5917">
        <v>0.148856823036113</v>
      </c>
      <c r="G5917">
        <v>9.6233290879959896E-2</v>
      </c>
      <c r="H5917">
        <v>7.6731082605479603E-2</v>
      </c>
      <c r="I5917">
        <v>8.1408103135074295E-2</v>
      </c>
      <c r="J5917">
        <v>9.5832744776609899E-2</v>
      </c>
      <c r="K5917">
        <v>8.0576475237843295E-2</v>
      </c>
      <c r="L5917">
        <v>1144.61033422423</v>
      </c>
      <c r="M5917">
        <v>24.435854739587899</v>
      </c>
      <c r="N5917">
        <v>47.198950337420001</v>
      </c>
      <c r="O5917">
        <v>46.531106733748103</v>
      </c>
      <c r="P5917">
        <v>-0.120197339190522</v>
      </c>
      <c r="Q5917">
        <v>8.4487588148867102E-2</v>
      </c>
      <c r="R5917">
        <v>0.999207456125216</v>
      </c>
      <c r="S5917" t="s">
        <v>12369</v>
      </c>
      <c r="T5917" t="s">
        <v>12902</v>
      </c>
      <c r="U5917" t="s">
        <v>12902</v>
      </c>
      <c r="V5917" t="s">
        <v>12902</v>
      </c>
      <c r="W5917" t="s">
        <v>18768</v>
      </c>
      <c r="X5917">
        <v>6</v>
      </c>
      <c r="Y5917" t="s">
        <v>25054</v>
      </c>
      <c r="Z5917" t="s">
        <v>31492</v>
      </c>
      <c r="AA5917">
        <v>0.30189704716633442</v>
      </c>
      <c r="AB5917" t="str">
        <f>HYPERLINK("Melting_Curves/meltCurve_Q9NZQ3_3_NCKIPSD.pdf", "Melting_Curves/meltCurve_Q9NZQ3_3_NCKIPSD.pdf")</f>
        <v>Melting_Curves/meltCurve_Q9NZQ3_3_NCKIPSD.pdf</v>
      </c>
    </row>
    <row r="5918" spans="1:28" x14ac:dyDescent="0.25">
      <c r="A5918" t="s">
        <v>5922</v>
      </c>
      <c r="B5918">
        <v>0.99673306730245903</v>
      </c>
      <c r="C5918">
        <v>0.77435141294185506</v>
      </c>
      <c r="D5918">
        <v>0.28130033620823502</v>
      </c>
      <c r="E5918">
        <v>0.17865555405002101</v>
      </c>
      <c r="F5918">
        <v>0.110677713757928</v>
      </c>
      <c r="G5918">
        <v>6.6885271184602302E-2</v>
      </c>
      <c r="H5918">
        <v>4.08970566668658E-2</v>
      </c>
      <c r="I5918">
        <v>3.01102483130067E-2</v>
      </c>
      <c r="J5918">
        <v>4.22261661111102E-2</v>
      </c>
      <c r="K5918">
        <v>3.9308615801047997E-2</v>
      </c>
      <c r="L5918">
        <v>1344.40299007408</v>
      </c>
      <c r="M5918">
        <v>30.242099468696601</v>
      </c>
      <c r="N5918">
        <v>44.652526640573598</v>
      </c>
      <c r="O5918">
        <v>44.261664092609301</v>
      </c>
      <c r="P5918">
        <v>-0.160105204438345</v>
      </c>
      <c r="Q5918">
        <v>6.2700247664775693E-2</v>
      </c>
      <c r="R5918">
        <v>0.98881375465967902</v>
      </c>
      <c r="S5918" t="s">
        <v>12370</v>
      </c>
      <c r="T5918" t="s">
        <v>12902</v>
      </c>
      <c r="U5918" t="s">
        <v>12902</v>
      </c>
      <c r="V5918" t="s">
        <v>12902</v>
      </c>
      <c r="W5918" t="s">
        <v>18769</v>
      </c>
      <c r="X5918">
        <v>4</v>
      </c>
      <c r="Y5918" t="s">
        <v>25055</v>
      </c>
      <c r="Z5918" t="s">
        <v>31493</v>
      </c>
      <c r="AA5918">
        <v>0.20814185616061531</v>
      </c>
      <c r="AB5918" t="str">
        <f>HYPERLINK("Melting_Curves/meltCurve_Q9NZT2_2_OGFR.pdf", "Melting_Curves/meltCurve_Q9NZT2_2_OGFR.pdf")</f>
        <v>Melting_Curves/meltCurve_Q9NZT2_2_OGFR.pdf</v>
      </c>
    </row>
    <row r="5919" spans="1:28" x14ac:dyDescent="0.25">
      <c r="A5919" t="s">
        <v>5923</v>
      </c>
      <c r="B5919">
        <v>0.99673306730245903</v>
      </c>
      <c r="C5919">
        <v>0.96372926173089102</v>
      </c>
      <c r="D5919">
        <v>0.80725430991775804</v>
      </c>
      <c r="E5919">
        <v>0.34458496415199402</v>
      </c>
      <c r="F5919">
        <v>0.168499126314268</v>
      </c>
      <c r="G5919">
        <v>0.10546352392636101</v>
      </c>
      <c r="H5919">
        <v>6.8601325119224496E-2</v>
      </c>
      <c r="I5919">
        <v>6.8369299872628006E-2</v>
      </c>
      <c r="J5919">
        <v>7.4411141192843297E-2</v>
      </c>
      <c r="K5919">
        <v>8.2016745546119901E-2</v>
      </c>
      <c r="L5919">
        <v>1315.2991672343201</v>
      </c>
      <c r="M5919">
        <v>27.334817459374701</v>
      </c>
      <c r="N5919">
        <v>48.423088273305098</v>
      </c>
      <c r="O5919">
        <v>47.862776101610102</v>
      </c>
      <c r="P5919">
        <v>-0.13148705174516701</v>
      </c>
      <c r="Q5919">
        <v>7.9082918886832304E-2</v>
      </c>
      <c r="R5919">
        <v>0.99883802464014504</v>
      </c>
      <c r="S5919" t="s">
        <v>12371</v>
      </c>
      <c r="T5919" t="s">
        <v>12902</v>
      </c>
      <c r="U5919" t="s">
        <v>12902</v>
      </c>
      <c r="V5919" t="s">
        <v>12902</v>
      </c>
      <c r="W5919" t="s">
        <v>18770</v>
      </c>
      <c r="X5919">
        <v>8</v>
      </c>
      <c r="Y5919" t="s">
        <v>25056</v>
      </c>
      <c r="Z5919" t="s">
        <v>31494</v>
      </c>
      <c r="AA5919">
        <v>0.33502712549525332</v>
      </c>
      <c r="AB5919" t="str">
        <f>HYPERLINK("Melting_Curves/meltCurve_Q9NZU5_LMCD1.pdf", "Melting_Curves/meltCurve_Q9NZU5_LMCD1.pdf")</f>
        <v>Melting_Curves/meltCurve_Q9NZU5_LMCD1.pdf</v>
      </c>
    </row>
    <row r="5920" spans="1:28" x14ac:dyDescent="0.25">
      <c r="A5920" t="s">
        <v>5924</v>
      </c>
      <c r="B5920">
        <v>0.99673306730245903</v>
      </c>
      <c r="C5920">
        <v>0.97882399721260505</v>
      </c>
      <c r="D5920">
        <v>0.89729665582951301</v>
      </c>
      <c r="E5920">
        <v>0.63231028259146604</v>
      </c>
      <c r="F5920">
        <v>0.25592138970527101</v>
      </c>
      <c r="G5920">
        <v>0.173629997161977</v>
      </c>
      <c r="H5920">
        <v>0.115566522409617</v>
      </c>
      <c r="I5920">
        <v>0.111952091872493</v>
      </c>
      <c r="J5920">
        <v>0.125353877830817</v>
      </c>
      <c r="K5920">
        <v>9.1002160626248205E-2</v>
      </c>
      <c r="L5920">
        <v>1249.08186094905</v>
      </c>
      <c r="M5920">
        <v>24.9107289247351</v>
      </c>
      <c r="N5920">
        <v>50.636813211515502</v>
      </c>
      <c r="O5920">
        <v>49.822538201041901</v>
      </c>
      <c r="P5920">
        <v>-0.11150353297639901</v>
      </c>
      <c r="Q5920">
        <v>0.10796453227769</v>
      </c>
      <c r="R5920">
        <v>0.99838438151921605</v>
      </c>
      <c r="S5920" t="s">
        <v>12372</v>
      </c>
      <c r="T5920" t="s">
        <v>12902</v>
      </c>
      <c r="U5920" t="s">
        <v>12902</v>
      </c>
      <c r="V5920" t="s">
        <v>12902</v>
      </c>
      <c r="W5920" t="s">
        <v>18771</v>
      </c>
      <c r="X5920">
        <v>22</v>
      </c>
      <c r="Y5920" t="s">
        <v>25057</v>
      </c>
      <c r="Z5920" t="s">
        <v>31495</v>
      </c>
      <c r="AA5920">
        <v>0.41758353207073912</v>
      </c>
      <c r="AB5920" t="str">
        <f>HYPERLINK("Melting_Curves/meltCurve_Q9NZW5_MPP6.pdf", "Melting_Curves/meltCurve_Q9NZW5_MPP6.pdf")</f>
        <v>Melting_Curves/meltCurve_Q9NZW5_MPP6.pdf</v>
      </c>
    </row>
    <row r="5921" spans="1:28" x14ac:dyDescent="0.25">
      <c r="A5921" t="s">
        <v>5925</v>
      </c>
      <c r="B5921">
        <v>0.99673306730245903</v>
      </c>
      <c r="C5921">
        <v>1.0224313751921299</v>
      </c>
      <c r="D5921">
        <v>1.0227938382061501</v>
      </c>
      <c r="E5921">
        <v>1.0153384831748899</v>
      </c>
      <c r="F5921">
        <v>1.0360597255988999</v>
      </c>
      <c r="G5921">
        <v>1.00806633633781</v>
      </c>
      <c r="H5921">
        <v>0.81199147036350805</v>
      </c>
      <c r="I5921">
        <v>1.1368350110275101</v>
      </c>
      <c r="J5921">
        <v>1.87019747507408</v>
      </c>
      <c r="K5921">
        <v>1.7725520592373001</v>
      </c>
      <c r="L5921">
        <v>15000</v>
      </c>
      <c r="M5921">
        <v>233.39988779915601</v>
      </c>
      <c r="O5921">
        <v>64.2626567320644</v>
      </c>
      <c r="P5921">
        <v>0.45399589596214601</v>
      </c>
      <c r="Q5921">
        <v>1.5</v>
      </c>
      <c r="R5921">
        <v>0.77820627442341095</v>
      </c>
      <c r="S5921" t="s">
        <v>12373</v>
      </c>
      <c r="T5921" t="s">
        <v>12902</v>
      </c>
      <c r="U5921" t="s">
        <v>12902</v>
      </c>
      <c r="V5921" t="s">
        <v>12902</v>
      </c>
      <c r="W5921" t="s">
        <v>18772</v>
      </c>
      <c r="X5921">
        <v>11</v>
      </c>
      <c r="Y5921" t="s">
        <v>25058</v>
      </c>
      <c r="Z5921" t="s">
        <v>31496</v>
      </c>
      <c r="AA5921">
        <v>1.0954789120106021</v>
      </c>
      <c r="AB5921" t="str">
        <f>HYPERLINK("Melting_Curves/meltCurve_Q9NZZ3_CHMP5.pdf", "Melting_Curves/meltCurve_Q9NZZ3_CHMP5.pdf")</f>
        <v>Melting_Curves/meltCurve_Q9NZZ3_CHMP5.pdf</v>
      </c>
    </row>
    <row r="5922" spans="1:28" x14ac:dyDescent="0.25">
      <c r="A5922" t="s">
        <v>5926</v>
      </c>
      <c r="B5922">
        <v>0.99673306730245903</v>
      </c>
      <c r="C5922">
        <v>0.96219548104908004</v>
      </c>
      <c r="D5922">
        <v>0.85413611795400002</v>
      </c>
      <c r="E5922">
        <v>0.74024838380909197</v>
      </c>
      <c r="F5922">
        <v>0.58766172641296599</v>
      </c>
      <c r="G5922">
        <v>0.33642324529400203</v>
      </c>
      <c r="H5922">
        <v>0.222596665096776</v>
      </c>
      <c r="I5922">
        <v>0.23700720154232</v>
      </c>
      <c r="J5922">
        <v>0.14419556850887799</v>
      </c>
      <c r="K5922">
        <v>0.100069797916212</v>
      </c>
      <c r="L5922">
        <v>639.72910286648801</v>
      </c>
      <c r="M5922">
        <v>11.9630172727922</v>
      </c>
      <c r="N5922">
        <v>54.137083911123199</v>
      </c>
      <c r="O5922">
        <v>52.047024279840699</v>
      </c>
      <c r="P5922">
        <v>-5.3568335677592102E-2</v>
      </c>
      <c r="Q5922">
        <v>6.7996855617624197E-2</v>
      </c>
      <c r="R5922">
        <v>0.99253515388798097</v>
      </c>
      <c r="S5922" t="s">
        <v>12374</v>
      </c>
      <c r="T5922" t="s">
        <v>12902</v>
      </c>
      <c r="U5922" t="s">
        <v>12902</v>
      </c>
      <c r="V5922" t="s">
        <v>12902</v>
      </c>
      <c r="W5922" t="s">
        <v>18773</v>
      </c>
      <c r="X5922">
        <v>4</v>
      </c>
      <c r="Y5922" t="s">
        <v>25059</v>
      </c>
      <c r="Z5922" t="s">
        <v>31497</v>
      </c>
      <c r="AA5922">
        <v>0.51224312273433137</v>
      </c>
      <c r="AB5922" t="str">
        <f>HYPERLINK("Melting_Curves/meltCurve_Q9P000_COMMD9.pdf", "Melting_Curves/meltCurve_Q9P000_COMMD9.pdf")</f>
        <v>Melting_Curves/meltCurve_Q9P000_COMMD9.pdf</v>
      </c>
    </row>
    <row r="5923" spans="1:28" x14ac:dyDescent="0.25">
      <c r="A5923" t="s">
        <v>5927</v>
      </c>
      <c r="B5923">
        <v>0.99673306730245903</v>
      </c>
      <c r="C5923">
        <v>0.95185544697247904</v>
      </c>
      <c r="D5923">
        <v>1.0106678024733</v>
      </c>
      <c r="E5923">
        <v>1.0187515260000499</v>
      </c>
      <c r="F5923">
        <v>1.0819107201915401</v>
      </c>
      <c r="G5923">
        <v>1.0213681746766401</v>
      </c>
      <c r="H5923">
        <v>0.95787993937159199</v>
      </c>
      <c r="I5923">
        <v>1.3663370401428201</v>
      </c>
      <c r="J5923">
        <v>2.3096570902024198</v>
      </c>
      <c r="K5923">
        <v>2.1935505836184901</v>
      </c>
      <c r="L5923">
        <v>15000</v>
      </c>
      <c r="M5923">
        <v>235.38351140471099</v>
      </c>
      <c r="O5923">
        <v>63.721192242106703</v>
      </c>
      <c r="P5923">
        <v>0.46174497785747698</v>
      </c>
      <c r="Q5923">
        <v>1.5</v>
      </c>
      <c r="R5923">
        <v>0.52931711620376998</v>
      </c>
      <c r="S5923" t="s">
        <v>12375</v>
      </c>
      <c r="T5923" t="s">
        <v>12902</v>
      </c>
      <c r="U5923" t="s">
        <v>12902</v>
      </c>
      <c r="V5923" t="s">
        <v>12902</v>
      </c>
      <c r="W5923" t="s">
        <v>18774</v>
      </c>
      <c r="X5923">
        <v>15</v>
      </c>
      <c r="Y5923" t="s">
        <v>25060</v>
      </c>
      <c r="Z5923" t="s">
        <v>31498</v>
      </c>
      <c r="AA5923">
        <v>1.1045071010271761</v>
      </c>
      <c r="AB5923" t="str">
        <f>HYPERLINK("Melting_Curves/meltCurve_Q9P013_CWC15.pdf", "Melting_Curves/meltCurve_Q9P013_CWC15.pdf")</f>
        <v>Melting_Curves/meltCurve_Q9P013_CWC15.pdf</v>
      </c>
    </row>
    <row r="5924" spans="1:28" x14ac:dyDescent="0.25">
      <c r="A5924" t="s">
        <v>5928</v>
      </c>
      <c r="B5924">
        <v>0.99673306730245903</v>
      </c>
      <c r="C5924">
        <v>1.1244581637908599</v>
      </c>
      <c r="D5924">
        <v>0.54204795034111597</v>
      </c>
      <c r="E5924">
        <v>0.73156832225959301</v>
      </c>
      <c r="F5924">
        <v>0.19213381934931001</v>
      </c>
      <c r="G5924">
        <v>0.12641979907923301</v>
      </c>
      <c r="H5924">
        <v>7.9920229075262306E-2</v>
      </c>
      <c r="I5924">
        <v>7.0916802893864497E-2</v>
      </c>
      <c r="J5924">
        <v>6.5172242916872403E-2</v>
      </c>
      <c r="K5924">
        <v>5.73432291447971E-2</v>
      </c>
      <c r="L5924">
        <v>815.23878760370599</v>
      </c>
      <c r="M5924">
        <v>16.3813185038988</v>
      </c>
      <c r="N5924">
        <v>49.999921491744601</v>
      </c>
      <c r="O5924">
        <v>49.042469712562401</v>
      </c>
      <c r="P5924">
        <v>-8.0435888066710801E-2</v>
      </c>
      <c r="Q5924">
        <v>3.6831478615319102E-2</v>
      </c>
      <c r="R5924">
        <v>0.90283530814304402</v>
      </c>
      <c r="S5924" t="s">
        <v>12376</v>
      </c>
      <c r="T5924" t="s">
        <v>12902</v>
      </c>
      <c r="U5924" t="s">
        <v>12902</v>
      </c>
      <c r="V5924" t="s">
        <v>12902</v>
      </c>
      <c r="W5924" t="s">
        <v>18775</v>
      </c>
      <c r="X5924">
        <v>13</v>
      </c>
      <c r="Y5924" t="s">
        <v>25061</v>
      </c>
      <c r="Z5924" t="s">
        <v>31499</v>
      </c>
      <c r="AA5924">
        <v>0.37008244214101232</v>
      </c>
      <c r="AB5924" t="str">
        <f>HYPERLINK("Melting_Curves/meltCurve_Q9P016_THYN1.pdf", "Melting_Curves/meltCurve_Q9P016_THYN1.pdf")</f>
        <v>Melting_Curves/meltCurve_Q9P016_THYN1.pdf</v>
      </c>
    </row>
    <row r="5925" spans="1:28" x14ac:dyDescent="0.25">
      <c r="A5925" t="s">
        <v>5929</v>
      </c>
      <c r="B5925">
        <v>0.99673306730245903</v>
      </c>
      <c r="C5925">
        <v>1.0349344909267899</v>
      </c>
      <c r="D5925">
        <v>0.999908151841299</v>
      </c>
      <c r="E5925">
        <v>0.92181737210500903</v>
      </c>
      <c r="F5925">
        <v>0.841859992223014</v>
      </c>
      <c r="G5925">
        <v>0.685808051325979</v>
      </c>
      <c r="H5925">
        <v>0.50627928023529101</v>
      </c>
      <c r="I5925">
        <v>0.57663515232888596</v>
      </c>
      <c r="J5925">
        <v>0.89918018620387496</v>
      </c>
      <c r="K5925">
        <v>0.80460518395494396</v>
      </c>
      <c r="L5925">
        <v>1824.5549430445899</v>
      </c>
      <c r="M5925">
        <v>34.797088192212399</v>
      </c>
      <c r="O5925">
        <v>52.261872033965702</v>
      </c>
      <c r="P5925">
        <v>-5.0993312301550499E-2</v>
      </c>
      <c r="Q5925">
        <v>0.69365302675867802</v>
      </c>
      <c r="R5925">
        <v>0.63900826693572899</v>
      </c>
      <c r="S5925" t="s">
        <v>12377</v>
      </c>
      <c r="T5925" t="s">
        <v>12902</v>
      </c>
      <c r="U5925" t="s">
        <v>12902</v>
      </c>
      <c r="V5925" t="s">
        <v>12902</v>
      </c>
      <c r="W5925" t="s">
        <v>18776</v>
      </c>
      <c r="X5925">
        <v>7</v>
      </c>
      <c r="Y5925" t="s">
        <v>25062</v>
      </c>
      <c r="Z5925" t="s">
        <v>31500</v>
      </c>
      <c r="AA5925">
        <v>0.822092131773419</v>
      </c>
      <c r="AB5925" t="str">
        <f>HYPERLINK("Melting_Curves/meltCurve_Q9P021_CRIPT.pdf", "Melting_Curves/meltCurve_Q9P021_CRIPT.pdf")</f>
        <v>Melting_Curves/meltCurve_Q9P021_CRIPT.pdf</v>
      </c>
    </row>
    <row r="5926" spans="1:28" x14ac:dyDescent="0.25">
      <c r="A5926" t="s">
        <v>5930</v>
      </c>
      <c r="B5926">
        <v>0.99673306730245903</v>
      </c>
      <c r="C5926">
        <v>0.943803754892936</v>
      </c>
      <c r="D5926">
        <v>0.94441239431984403</v>
      </c>
      <c r="E5926">
        <v>0.83416664040466704</v>
      </c>
      <c r="F5926">
        <v>0.53277505102270195</v>
      </c>
      <c r="G5926">
        <v>0.31167410379322802</v>
      </c>
      <c r="H5926">
        <v>0.17666346953914</v>
      </c>
      <c r="I5926">
        <v>0.26038272644232902</v>
      </c>
      <c r="J5926">
        <v>0.43314621555291</v>
      </c>
      <c r="K5926">
        <v>0.39784869421935598</v>
      </c>
      <c r="L5926">
        <v>1586.49482958418</v>
      </c>
      <c r="M5926">
        <v>30.764709568651998</v>
      </c>
      <c r="N5926">
        <v>53.250110478171003</v>
      </c>
      <c r="O5926">
        <v>51.352256141566698</v>
      </c>
      <c r="P5926">
        <v>-0.103234395969566</v>
      </c>
      <c r="Q5926">
        <v>0.31073150183729098</v>
      </c>
      <c r="R5926">
        <v>0.94235211066991897</v>
      </c>
      <c r="S5926" t="s">
        <v>12378</v>
      </c>
      <c r="T5926" t="s">
        <v>12902</v>
      </c>
      <c r="U5926" t="s">
        <v>12902</v>
      </c>
      <c r="V5926" t="s">
        <v>12902</v>
      </c>
      <c r="W5926" t="s">
        <v>18777</v>
      </c>
      <c r="X5926">
        <v>2</v>
      </c>
      <c r="Y5926" t="s">
        <v>25063</v>
      </c>
      <c r="Z5926" t="s">
        <v>31501</v>
      </c>
      <c r="AA5926">
        <v>0.58068848292418207</v>
      </c>
      <c r="AB5926" t="str">
        <f>HYPERLINK("Melting_Curves/meltCurve_Q9P031_CCDC59.pdf", "Melting_Curves/meltCurve_Q9P031_CCDC59.pdf")</f>
        <v>Melting_Curves/meltCurve_Q9P031_CCDC59.pdf</v>
      </c>
    </row>
    <row r="5927" spans="1:28" x14ac:dyDescent="0.25">
      <c r="A5927" t="s">
        <v>5931</v>
      </c>
      <c r="B5927">
        <v>0.99673306730245903</v>
      </c>
      <c r="C5927">
        <v>0.95209048936431495</v>
      </c>
      <c r="D5927">
        <v>0.904789040818885</v>
      </c>
      <c r="E5927">
        <v>0.82049335324383399</v>
      </c>
      <c r="F5927">
        <v>0.57300574168556995</v>
      </c>
      <c r="G5927">
        <v>0.29323853650241</v>
      </c>
      <c r="H5927">
        <v>0.137769753300443</v>
      </c>
      <c r="I5927">
        <v>0.11660484567521399</v>
      </c>
      <c r="J5927">
        <v>0.122697936162821</v>
      </c>
      <c r="K5927">
        <v>0.114110245779216</v>
      </c>
      <c r="L5927">
        <v>985.54554916586005</v>
      </c>
      <c r="M5927">
        <v>18.503287138794299</v>
      </c>
      <c r="N5927">
        <v>53.808728837933103</v>
      </c>
      <c r="O5927">
        <v>52.652826898956597</v>
      </c>
      <c r="P5927">
        <v>-8.0345637770605105E-2</v>
      </c>
      <c r="Q5927">
        <v>8.5516364358062993E-2</v>
      </c>
      <c r="R5927">
        <v>0.99530950590058997</v>
      </c>
      <c r="S5927" t="s">
        <v>12379</v>
      </c>
      <c r="T5927" t="s">
        <v>12902</v>
      </c>
      <c r="U5927" t="s">
        <v>12902</v>
      </c>
      <c r="V5927" t="s">
        <v>12902</v>
      </c>
      <c r="W5927" t="s">
        <v>18778</v>
      </c>
      <c r="X5927">
        <v>11</v>
      </c>
      <c r="Y5927" t="s">
        <v>25064</v>
      </c>
      <c r="Z5927" t="s">
        <v>31502</v>
      </c>
      <c r="AA5927">
        <v>0.50407489224105084</v>
      </c>
      <c r="AB5927" t="str">
        <f>HYPERLINK("Melting_Curves/meltCurve_Q9P032_NDUFAF4.pdf", "Melting_Curves/meltCurve_Q9P032_NDUFAF4.pdf")</f>
        <v>Melting_Curves/meltCurve_Q9P032_NDUFAF4.pdf</v>
      </c>
    </row>
    <row r="5928" spans="1:28" x14ac:dyDescent="0.25">
      <c r="A5928" t="s">
        <v>5932</v>
      </c>
      <c r="B5928">
        <v>0.99673306730245903</v>
      </c>
      <c r="C5928">
        <v>0.93174501973117396</v>
      </c>
      <c r="D5928">
        <v>0.811604366576823</v>
      </c>
      <c r="E5928">
        <v>0.66783391106691803</v>
      </c>
      <c r="F5928">
        <v>0.46534226784963501</v>
      </c>
      <c r="G5928">
        <v>0.317436095633852</v>
      </c>
      <c r="H5928">
        <v>0.12834599541432701</v>
      </c>
      <c r="I5928">
        <v>7.2830631090372203E-2</v>
      </c>
      <c r="J5928">
        <v>7.9796887333194705E-2</v>
      </c>
      <c r="K5928">
        <v>6.2729177450512694E-2</v>
      </c>
      <c r="L5928">
        <v>622.87217356993199</v>
      </c>
      <c r="M5928">
        <v>11.881858917684401</v>
      </c>
      <c r="N5928">
        <v>52.422131933787703</v>
      </c>
      <c r="O5928">
        <v>51.003370965878801</v>
      </c>
      <c r="P5928">
        <v>-5.8255141391685E-2</v>
      </c>
      <c r="Q5928">
        <v>0</v>
      </c>
      <c r="R5928">
        <v>0.99613566459734904</v>
      </c>
      <c r="S5928" t="s">
        <v>12380</v>
      </c>
      <c r="T5928" t="s">
        <v>12902</v>
      </c>
      <c r="U5928" t="s">
        <v>12902</v>
      </c>
      <c r="V5928" t="s">
        <v>12902</v>
      </c>
      <c r="W5928" t="s">
        <v>18779</v>
      </c>
      <c r="X5928">
        <v>7</v>
      </c>
      <c r="Y5928" t="s">
        <v>25065</v>
      </c>
      <c r="Z5928" t="s">
        <v>31503</v>
      </c>
      <c r="AA5928">
        <v>0.44415256626134619</v>
      </c>
      <c r="AB5928" t="str">
        <f>HYPERLINK("Melting_Curves/meltCurve_Q9P035_PTPLAD1.pdf", "Melting_Curves/meltCurve_Q9P035_PTPLAD1.pdf")</f>
        <v>Melting_Curves/meltCurve_Q9P035_PTPLAD1.pdf</v>
      </c>
    </row>
    <row r="5929" spans="1:28" x14ac:dyDescent="0.25">
      <c r="A5929" t="s">
        <v>5933</v>
      </c>
      <c r="B5929">
        <v>0.99673306730245903</v>
      </c>
      <c r="C5929">
        <v>0.94125966479221101</v>
      </c>
      <c r="D5929">
        <v>0.90483307337637098</v>
      </c>
      <c r="E5929">
        <v>0.60203393829327001</v>
      </c>
      <c r="F5929">
        <v>0.35738806899875603</v>
      </c>
      <c r="G5929">
        <v>0.22436418777164899</v>
      </c>
      <c r="H5929">
        <v>0.147535798096672</v>
      </c>
      <c r="I5929">
        <v>0.123181710493643</v>
      </c>
      <c r="J5929">
        <v>0.17076897892273399</v>
      </c>
      <c r="K5929">
        <v>0.20317470359710901</v>
      </c>
      <c r="L5929">
        <v>1049.66738739931</v>
      </c>
      <c r="M5929">
        <v>20.982179351608199</v>
      </c>
      <c r="N5929">
        <v>50.930756554611598</v>
      </c>
      <c r="O5929">
        <v>49.578839936514697</v>
      </c>
      <c r="P5929">
        <v>-8.93531224870934E-2</v>
      </c>
      <c r="Q5929">
        <v>0.15549174453460901</v>
      </c>
      <c r="R5929">
        <v>0.99429903528441199</v>
      </c>
      <c r="S5929" t="s">
        <v>12381</v>
      </c>
      <c r="T5929" t="s">
        <v>12902</v>
      </c>
      <c r="U5929" t="s">
        <v>12902</v>
      </c>
      <c r="V5929" t="s">
        <v>12902</v>
      </c>
      <c r="W5929" t="s">
        <v>18780</v>
      </c>
      <c r="X5929">
        <v>2</v>
      </c>
      <c r="Y5929" t="s">
        <v>25066</v>
      </c>
      <c r="Z5929" t="s">
        <v>31504</v>
      </c>
      <c r="AA5929">
        <v>0.44844585571749029</v>
      </c>
      <c r="AB5929" t="str">
        <f>HYPERLINK("Melting_Curves/meltCurve_Q9P0B6_CCDC167.pdf", "Melting_Curves/meltCurve_Q9P0B6_CCDC167.pdf")</f>
        <v>Melting_Curves/meltCurve_Q9P0B6_CCDC167.pdf</v>
      </c>
    </row>
    <row r="5930" spans="1:28" x14ac:dyDescent="0.25">
      <c r="A5930" t="s">
        <v>5934</v>
      </c>
      <c r="B5930">
        <v>0.99673306730245903</v>
      </c>
      <c r="C5930">
        <v>0.95026355127182305</v>
      </c>
      <c r="D5930">
        <v>0.89085089631713299</v>
      </c>
      <c r="E5930">
        <v>0.74739120966496797</v>
      </c>
      <c r="F5930">
        <v>0.42376128985437</v>
      </c>
      <c r="G5930">
        <v>0.166008248123696</v>
      </c>
      <c r="H5930">
        <v>7.6743444667143307E-2</v>
      </c>
      <c r="I5930">
        <v>7.0250260240704895E-2</v>
      </c>
      <c r="J5930">
        <v>5.8242908318103699E-2</v>
      </c>
      <c r="K5930">
        <v>6.9396095851150794E-2</v>
      </c>
      <c r="L5930">
        <v>1027.30189130747</v>
      </c>
      <c r="M5930">
        <v>19.787353987994699</v>
      </c>
      <c r="N5930">
        <v>52.158861743829</v>
      </c>
      <c r="O5930">
        <v>51.395560638214398</v>
      </c>
      <c r="P5930">
        <v>-9.2035810911133498E-2</v>
      </c>
      <c r="Q5930">
        <v>4.3819303556685098E-2</v>
      </c>
      <c r="R5930">
        <v>0.99684431617001001</v>
      </c>
      <c r="S5930" t="s">
        <v>12382</v>
      </c>
      <c r="T5930" t="s">
        <v>12902</v>
      </c>
      <c r="U5930" t="s">
        <v>12902</v>
      </c>
      <c r="V5930" t="s">
        <v>12902</v>
      </c>
      <c r="W5930" t="s">
        <v>18781</v>
      </c>
      <c r="X5930">
        <v>4</v>
      </c>
      <c r="Y5930" t="s">
        <v>25067</v>
      </c>
      <c r="Z5930" t="s">
        <v>31505</v>
      </c>
      <c r="AA5930">
        <v>0.43714230993592362</v>
      </c>
      <c r="AB5930" t="str">
        <f>HYPERLINK("Melting_Curves/meltCurve_Q9P0I2_EMC3.pdf", "Melting_Curves/meltCurve_Q9P0I2_EMC3.pdf")</f>
        <v>Melting_Curves/meltCurve_Q9P0I2_EMC3.pdf</v>
      </c>
    </row>
    <row r="5931" spans="1:28" x14ac:dyDescent="0.25">
      <c r="A5931" t="s">
        <v>5935</v>
      </c>
      <c r="B5931">
        <v>0.99673306730245903</v>
      </c>
      <c r="C5931">
        <v>0.94650899273033995</v>
      </c>
      <c r="D5931">
        <v>0.85030021802145705</v>
      </c>
      <c r="E5931">
        <v>0.75662003639546005</v>
      </c>
      <c r="F5931">
        <v>0.21195880811295301</v>
      </c>
      <c r="G5931">
        <v>9.3090822295311099E-2</v>
      </c>
      <c r="H5931">
        <v>6.2545482908826805E-2</v>
      </c>
      <c r="I5931">
        <v>4.0416923443512498E-2</v>
      </c>
      <c r="J5931">
        <v>3.92091419068556E-2</v>
      </c>
      <c r="K5931">
        <v>3.9477183574013502E-2</v>
      </c>
      <c r="L5931">
        <v>1561.98767962651</v>
      </c>
      <c r="M5931">
        <v>30.651993801373202</v>
      </c>
      <c r="N5931">
        <v>51.102646599080998</v>
      </c>
      <c r="O5931">
        <v>50.7433408714802</v>
      </c>
      <c r="P5931">
        <v>-0.14477275431689601</v>
      </c>
      <c r="Q5931">
        <v>4.1340144707956203E-2</v>
      </c>
      <c r="R5931">
        <v>0.98779917602589795</v>
      </c>
      <c r="S5931" t="s">
        <v>12383</v>
      </c>
      <c r="T5931" t="s">
        <v>12902</v>
      </c>
      <c r="U5931" t="s">
        <v>12902</v>
      </c>
      <c r="V5931" t="s">
        <v>12902</v>
      </c>
      <c r="W5931" t="s">
        <v>18782</v>
      </c>
      <c r="X5931">
        <v>12</v>
      </c>
      <c r="Y5931" t="s">
        <v>25068</v>
      </c>
      <c r="Z5931" t="s">
        <v>31506</v>
      </c>
      <c r="AA5931">
        <v>0.39730031938808608</v>
      </c>
      <c r="AB5931" t="str">
        <f>HYPERLINK("Melting_Curves/meltCurve_Q9P0J1_PDP1.pdf", "Melting_Curves/meltCurve_Q9P0J1_PDP1.pdf")</f>
        <v>Melting_Curves/meltCurve_Q9P0J1_PDP1.pdf</v>
      </c>
    </row>
    <row r="5932" spans="1:28" x14ac:dyDescent="0.25">
      <c r="A5932" t="s">
        <v>5936</v>
      </c>
      <c r="B5932">
        <v>0.99673306730245903</v>
      </c>
      <c r="C5932">
        <v>0.92398285736615604</v>
      </c>
      <c r="D5932">
        <v>0.88344605443053104</v>
      </c>
      <c r="E5932">
        <v>0.71841840916215205</v>
      </c>
      <c r="F5932">
        <v>0.50693941623012095</v>
      </c>
      <c r="G5932">
        <v>0.37445377896133403</v>
      </c>
      <c r="H5932">
        <v>0.17574120328748599</v>
      </c>
      <c r="I5932">
        <v>0.11543722408884199</v>
      </c>
      <c r="J5932">
        <v>0.119597361795204</v>
      </c>
      <c r="K5932">
        <v>0.113954342530662</v>
      </c>
      <c r="L5932">
        <v>663.23867166028106</v>
      </c>
      <c r="M5932">
        <v>12.501392103641001</v>
      </c>
      <c r="N5932">
        <v>53.462618266898502</v>
      </c>
      <c r="O5932">
        <v>51.750544115285301</v>
      </c>
      <c r="P5932">
        <v>-5.7647386469136898E-2</v>
      </c>
      <c r="Q5932">
        <v>4.56518374992715E-2</v>
      </c>
      <c r="R5932">
        <v>0.99567617231960603</v>
      </c>
      <c r="S5932" t="s">
        <v>12384</v>
      </c>
      <c r="T5932" t="s">
        <v>12902</v>
      </c>
      <c r="U5932" t="s">
        <v>12902</v>
      </c>
      <c r="V5932" t="s">
        <v>12902</v>
      </c>
      <c r="W5932" t="s">
        <v>18783</v>
      </c>
      <c r="X5932">
        <v>20</v>
      </c>
      <c r="Y5932" t="s">
        <v>25069</v>
      </c>
      <c r="Z5932" t="s">
        <v>31507</v>
      </c>
      <c r="AA5932">
        <v>0.48672669087811588</v>
      </c>
      <c r="AB5932" t="str">
        <f>HYPERLINK("Melting_Curves/meltCurve_Q9P0L0_VAPA.pdf", "Melting_Curves/meltCurve_Q9P0L0_VAPA.pdf")</f>
        <v>Melting_Curves/meltCurve_Q9P0L0_VAPA.pdf</v>
      </c>
    </row>
    <row r="5933" spans="1:28" x14ac:dyDescent="0.25">
      <c r="A5933" t="s">
        <v>5937</v>
      </c>
      <c r="B5933">
        <v>0.99673306730245903</v>
      </c>
      <c r="C5933">
        <v>1.0049658697321899</v>
      </c>
      <c r="D5933">
        <v>0.98089088169327499</v>
      </c>
      <c r="E5933">
        <v>0.88411064993677702</v>
      </c>
      <c r="F5933">
        <v>0.84233623371561905</v>
      </c>
      <c r="G5933">
        <v>0.56524336244666096</v>
      </c>
      <c r="H5933">
        <v>0.40192735293765403</v>
      </c>
      <c r="I5933">
        <v>0.55974681556043704</v>
      </c>
      <c r="J5933">
        <v>0.71908267349302502</v>
      </c>
      <c r="K5933">
        <v>0.71345202495941296</v>
      </c>
      <c r="L5933">
        <v>13324.619766573</v>
      </c>
      <c r="M5933">
        <v>250</v>
      </c>
      <c r="O5933">
        <v>53.295068318838197</v>
      </c>
      <c r="P5933">
        <v>-0.47859677848976101</v>
      </c>
      <c r="Q5933">
        <v>0.59189043238266503</v>
      </c>
      <c r="R5933">
        <v>0.79171543819718904</v>
      </c>
      <c r="S5933" t="s">
        <v>12385</v>
      </c>
      <c r="T5933" t="s">
        <v>12902</v>
      </c>
      <c r="U5933" t="s">
        <v>12902</v>
      </c>
      <c r="V5933" t="s">
        <v>12902</v>
      </c>
      <c r="W5933" t="s">
        <v>18784</v>
      </c>
      <c r="X5933">
        <v>8</v>
      </c>
      <c r="Y5933" t="s">
        <v>25070</v>
      </c>
      <c r="Z5933" t="s">
        <v>31508</v>
      </c>
      <c r="AA5933">
        <v>0.77283649085966577</v>
      </c>
      <c r="AB5933" t="str">
        <f>HYPERLINK("Melting_Curves/meltCurve_Q9P0P0_RNF181.pdf", "Melting_Curves/meltCurve_Q9P0P0_RNF181.pdf")</f>
        <v>Melting_Curves/meltCurve_Q9P0P0_RNF181.pdf</v>
      </c>
    </row>
    <row r="5934" spans="1:28" x14ac:dyDescent="0.25">
      <c r="A5934" t="s">
        <v>5938</v>
      </c>
      <c r="B5934">
        <v>0.99673306730245903</v>
      </c>
      <c r="C5934">
        <v>1.0388992549918099</v>
      </c>
      <c r="D5934">
        <v>0.98086185098051704</v>
      </c>
      <c r="E5934">
        <v>0.92264369882366104</v>
      </c>
      <c r="F5934">
        <v>0.58979194025800696</v>
      </c>
      <c r="G5934">
        <v>0.38937288015955202</v>
      </c>
      <c r="H5934">
        <v>0.25455403848081998</v>
      </c>
      <c r="I5934">
        <v>0.257663148832939</v>
      </c>
      <c r="J5934">
        <v>0.19104465057495601</v>
      </c>
      <c r="K5934">
        <v>0.117516015649163</v>
      </c>
      <c r="L5934">
        <v>1136.7280389002799</v>
      </c>
      <c r="M5934">
        <v>21.155222197564701</v>
      </c>
      <c r="N5934">
        <v>54.863783567668598</v>
      </c>
      <c r="O5934">
        <v>53.259526336276799</v>
      </c>
      <c r="P5934">
        <v>-8.1754468575992306E-2</v>
      </c>
      <c r="Q5934">
        <v>0.176734567924617</v>
      </c>
      <c r="R5934">
        <v>0.98976697221101395</v>
      </c>
      <c r="S5934" t="s">
        <v>12386</v>
      </c>
      <c r="T5934" t="s">
        <v>12902</v>
      </c>
      <c r="U5934" t="s">
        <v>12902</v>
      </c>
      <c r="V5934" t="s">
        <v>12902</v>
      </c>
      <c r="W5934" t="s">
        <v>18785</v>
      </c>
      <c r="X5934">
        <v>4</v>
      </c>
      <c r="Y5934" t="s">
        <v>25071</v>
      </c>
      <c r="Z5934" t="s">
        <v>31509</v>
      </c>
      <c r="AA5934">
        <v>0.56382017209846036</v>
      </c>
      <c r="AB5934" t="str">
        <f>HYPERLINK("Melting_Curves/meltCurve_Q9P0R6_GSKIP.pdf", "Melting_Curves/meltCurve_Q9P0R6_GSKIP.pdf")</f>
        <v>Melting_Curves/meltCurve_Q9P0R6_GSKIP.pdf</v>
      </c>
    </row>
    <row r="5935" spans="1:28" x14ac:dyDescent="0.25">
      <c r="A5935" t="s">
        <v>5939</v>
      </c>
      <c r="B5935">
        <v>0.99673306730245903</v>
      </c>
      <c r="C5935">
        <v>0.88962617056384596</v>
      </c>
      <c r="D5935">
        <v>0.75930572185254197</v>
      </c>
      <c r="E5935">
        <v>0.59878236196248302</v>
      </c>
      <c r="F5935">
        <v>0.49870722800779999</v>
      </c>
      <c r="G5935">
        <v>0.35968524004297697</v>
      </c>
      <c r="H5935">
        <v>0.25151114272361902</v>
      </c>
      <c r="I5935">
        <v>0.29532689255035899</v>
      </c>
      <c r="J5935">
        <v>0.35008318618935902</v>
      </c>
      <c r="K5935">
        <v>0.37015705387780601</v>
      </c>
      <c r="L5935">
        <v>698.46264618531302</v>
      </c>
      <c r="M5935">
        <v>14.4342751207018</v>
      </c>
      <c r="N5935">
        <v>51.7417139182376</v>
      </c>
      <c r="O5935">
        <v>47.488840071909401</v>
      </c>
      <c r="P5935">
        <v>-5.2912214649709299E-2</v>
      </c>
      <c r="Q5935">
        <v>0.30375592114705702</v>
      </c>
      <c r="R5935">
        <v>0.97301967452022597</v>
      </c>
      <c r="S5935" t="s">
        <v>12387</v>
      </c>
      <c r="T5935" t="s">
        <v>12902</v>
      </c>
      <c r="U5935" t="s">
        <v>12902</v>
      </c>
      <c r="V5935" t="s">
        <v>12902</v>
      </c>
      <c r="W5935" t="s">
        <v>18786</v>
      </c>
      <c r="X5935">
        <v>4</v>
      </c>
      <c r="Y5935" t="s">
        <v>25072</v>
      </c>
      <c r="Z5935" t="s">
        <v>31510</v>
      </c>
      <c r="AA5935">
        <v>0.51741395234474619</v>
      </c>
      <c r="AB5935" t="str">
        <f>HYPERLINK("Melting_Curves/meltCurve_Q9P0S2_COX16.pdf", "Melting_Curves/meltCurve_Q9P0S2_COX16.pdf")</f>
        <v>Melting_Curves/meltCurve_Q9P0S2_COX16.pdf</v>
      </c>
    </row>
    <row r="5936" spans="1:28" x14ac:dyDescent="0.25">
      <c r="A5936" t="s">
        <v>5940</v>
      </c>
      <c r="B5936">
        <v>0.99673306730245903</v>
      </c>
      <c r="C5936">
        <v>0.71960730934291095</v>
      </c>
      <c r="D5936">
        <v>0.60568286366670498</v>
      </c>
      <c r="E5936">
        <v>0.36605291806220203</v>
      </c>
      <c r="F5936">
        <v>0.28756469423000602</v>
      </c>
      <c r="G5936">
        <v>0.153800340377901</v>
      </c>
      <c r="H5936">
        <v>9.9611353142428902E-2</v>
      </c>
      <c r="I5936">
        <v>0.15279520819766501</v>
      </c>
      <c r="J5936">
        <v>0.17586387842946799</v>
      </c>
      <c r="K5936">
        <v>0.17300178755464701</v>
      </c>
      <c r="L5936">
        <v>686.59590577008498</v>
      </c>
      <c r="M5936">
        <v>14.8636965232251</v>
      </c>
      <c r="N5936">
        <v>47.225895370630298</v>
      </c>
      <c r="O5936">
        <v>45.380865166539799</v>
      </c>
      <c r="P5936">
        <v>-7.05258704717589E-2</v>
      </c>
      <c r="Q5936">
        <v>0.13879029642306001</v>
      </c>
      <c r="R5936">
        <v>0.97567829626143299</v>
      </c>
      <c r="S5936" t="s">
        <v>12388</v>
      </c>
      <c r="T5936" t="s">
        <v>12902</v>
      </c>
      <c r="U5936" t="s">
        <v>12902</v>
      </c>
      <c r="V5936" t="s">
        <v>12902</v>
      </c>
      <c r="W5936" t="s">
        <v>18787</v>
      </c>
      <c r="X5936">
        <v>5</v>
      </c>
      <c r="Y5936" t="s">
        <v>25073</v>
      </c>
      <c r="Z5936" t="s">
        <v>31511</v>
      </c>
      <c r="AA5936">
        <v>0.34180822391701421</v>
      </c>
      <c r="AB5936" t="str">
        <f>HYPERLINK("Melting_Curves/meltCurve_Q9P0U4_CXXC1.pdf", "Melting_Curves/meltCurve_Q9P0U4_CXXC1.pdf")</f>
        <v>Melting_Curves/meltCurve_Q9P0U4_CXXC1.pdf</v>
      </c>
    </row>
    <row r="5937" spans="1:28" x14ac:dyDescent="0.25">
      <c r="A5937" t="s">
        <v>5941</v>
      </c>
      <c r="B5937">
        <v>0.99673306730245903</v>
      </c>
      <c r="C5937">
        <v>0.91356447020875697</v>
      </c>
      <c r="D5937">
        <v>0.75801128776778104</v>
      </c>
      <c r="E5937">
        <v>0.43750240755401998</v>
      </c>
      <c r="F5937">
        <v>0.202747978995546</v>
      </c>
      <c r="G5937">
        <v>0.130229572250286</v>
      </c>
      <c r="H5937">
        <v>7.4762641563401705E-2</v>
      </c>
      <c r="I5937">
        <v>6.5706086128756003E-2</v>
      </c>
      <c r="J5937">
        <v>6.8541210987210902E-2</v>
      </c>
      <c r="K5937">
        <v>6.1368207862499302E-2</v>
      </c>
      <c r="L5937">
        <v>910.35856291139305</v>
      </c>
      <c r="M5937">
        <v>18.757103768935501</v>
      </c>
      <c r="N5937">
        <v>48.863706774929703</v>
      </c>
      <c r="O5937">
        <v>47.992509528155999</v>
      </c>
      <c r="P5937">
        <v>-9.1905620875987706E-2</v>
      </c>
      <c r="Q5937">
        <v>5.9429115468321497E-2</v>
      </c>
      <c r="R5937">
        <v>0.99947181127710205</v>
      </c>
      <c r="S5937" t="s">
        <v>12389</v>
      </c>
      <c r="T5937" t="s">
        <v>12902</v>
      </c>
      <c r="U5937" t="s">
        <v>12902</v>
      </c>
      <c r="V5937" t="s">
        <v>12902</v>
      </c>
      <c r="W5937" t="s">
        <v>18788</v>
      </c>
      <c r="X5937">
        <v>14</v>
      </c>
      <c r="Y5937" t="s">
        <v>25074</v>
      </c>
      <c r="Z5937" t="s">
        <v>31512</v>
      </c>
      <c r="AA5937">
        <v>0.34211378133750941</v>
      </c>
      <c r="AB5937" t="str">
        <f>HYPERLINK("Melting_Curves/meltCurve_Q9P0V3_SH3BP4.pdf", "Melting_Curves/meltCurve_Q9P0V3_SH3BP4.pdf")</f>
        <v>Melting_Curves/meltCurve_Q9P0V3_SH3BP4.pdf</v>
      </c>
    </row>
    <row r="5938" spans="1:28" x14ac:dyDescent="0.25">
      <c r="A5938" t="s">
        <v>5942</v>
      </c>
      <c r="B5938">
        <v>0.99673306730245903</v>
      </c>
      <c r="C5938">
        <v>0.75956751796214705</v>
      </c>
      <c r="D5938">
        <v>0.71720774141764299</v>
      </c>
      <c r="E5938">
        <v>0.43138149777137003</v>
      </c>
      <c r="F5938">
        <v>0.40420773220399803</v>
      </c>
      <c r="G5938">
        <v>0.33946560866881798</v>
      </c>
      <c r="H5938">
        <v>0.33823404433096799</v>
      </c>
      <c r="I5938">
        <v>0.44384978794520102</v>
      </c>
      <c r="J5938">
        <v>0.69098316634690005</v>
      </c>
      <c r="K5938">
        <v>0.65928143188607102</v>
      </c>
      <c r="L5938">
        <v>1056.87036775656</v>
      </c>
      <c r="M5938">
        <v>23.9215456940187</v>
      </c>
      <c r="N5938">
        <v>50.385945670365302</v>
      </c>
      <c r="O5938">
        <v>43.875421223291703</v>
      </c>
      <c r="P5938">
        <v>-7.1734242715213795E-2</v>
      </c>
      <c r="Q5938">
        <v>0.47372646332548701</v>
      </c>
      <c r="R5938">
        <v>0.65860004178033305</v>
      </c>
      <c r="S5938" t="s">
        <v>12390</v>
      </c>
      <c r="T5938" t="s">
        <v>12902</v>
      </c>
      <c r="U5938" t="s">
        <v>12902</v>
      </c>
      <c r="V5938" t="s">
        <v>12902</v>
      </c>
      <c r="W5938" t="s">
        <v>18789</v>
      </c>
      <c r="X5938">
        <v>2</v>
      </c>
      <c r="Y5938" t="s">
        <v>25075</v>
      </c>
      <c r="Z5938" t="s">
        <v>31513</v>
      </c>
      <c r="AA5938">
        <v>0.55357105879318746</v>
      </c>
      <c r="AB5938" t="str">
        <f>HYPERLINK("Melting_Curves/meltCurve_Q9P0W2_2_HMG20B.pdf", "Melting_Curves/meltCurve_Q9P0W2_2_HMG20B.pdf")</f>
        <v>Melting_Curves/meltCurve_Q9P0W2_2_HMG20B.pdf</v>
      </c>
    </row>
    <row r="5939" spans="1:28" x14ac:dyDescent="0.25">
      <c r="A5939" t="s">
        <v>5943</v>
      </c>
      <c r="B5939">
        <v>0.99673306730245903</v>
      </c>
      <c r="C5939">
        <v>1.0144855172070499</v>
      </c>
      <c r="D5939">
        <v>1.0350076408687601</v>
      </c>
      <c r="E5939">
        <v>1.0252841576515199</v>
      </c>
      <c r="F5939">
        <v>0.85776757581816598</v>
      </c>
      <c r="G5939">
        <v>0.75916959524683403</v>
      </c>
      <c r="H5939">
        <v>0.51159525086910596</v>
      </c>
      <c r="I5939">
        <v>0.47808393070024102</v>
      </c>
      <c r="J5939">
        <v>0.25119615736091699</v>
      </c>
      <c r="K5939">
        <v>0.111296366569877</v>
      </c>
      <c r="L5939">
        <v>837.561149761313</v>
      </c>
      <c r="M5939">
        <v>13.5561486679485</v>
      </c>
      <c r="N5939">
        <v>61.7845946298497</v>
      </c>
      <c r="O5939">
        <v>60.486596622294499</v>
      </c>
      <c r="P5939">
        <v>-5.6037961792831902E-2</v>
      </c>
      <c r="Q5939">
        <v>0</v>
      </c>
      <c r="R5939">
        <v>0.97978433127492204</v>
      </c>
      <c r="S5939" t="s">
        <v>12391</v>
      </c>
      <c r="T5939" t="s">
        <v>12902</v>
      </c>
      <c r="U5939" t="s">
        <v>12902</v>
      </c>
      <c r="V5939" t="s">
        <v>12902</v>
      </c>
      <c r="W5939" t="s">
        <v>18790</v>
      </c>
      <c r="X5939">
        <v>12</v>
      </c>
      <c r="Y5939" t="s">
        <v>25076</v>
      </c>
      <c r="Z5939" t="s">
        <v>31514</v>
      </c>
      <c r="AA5939">
        <v>0.72135806303338224</v>
      </c>
      <c r="AB5939" t="str">
        <f>HYPERLINK("Melting_Curves/meltCurve_Q9P0Z9_PIPOX.pdf", "Melting_Curves/meltCurve_Q9P0Z9_PIPOX.pdf")</f>
        <v>Melting_Curves/meltCurve_Q9P0Z9_PIPOX.pdf</v>
      </c>
    </row>
    <row r="5940" spans="1:28" x14ac:dyDescent="0.25">
      <c r="A5940" t="s">
        <v>5944</v>
      </c>
      <c r="B5940">
        <v>0.99673306730245903</v>
      </c>
      <c r="C5940">
        <v>1.0682210749519201</v>
      </c>
      <c r="D5940">
        <v>0.92815265247940404</v>
      </c>
      <c r="E5940">
        <v>0.951886265708348</v>
      </c>
      <c r="F5940">
        <v>0.72722359723887398</v>
      </c>
      <c r="G5940">
        <v>0.52772015327014998</v>
      </c>
      <c r="H5940">
        <v>0.26764549515456199</v>
      </c>
      <c r="I5940">
        <v>0.323871203337876</v>
      </c>
      <c r="J5940">
        <v>0.29585566266405799</v>
      </c>
      <c r="K5940">
        <v>0.29251253293686702</v>
      </c>
      <c r="L5940">
        <v>1267.23617126145</v>
      </c>
      <c r="M5940">
        <v>23.207613831387299</v>
      </c>
      <c r="N5940">
        <v>56.576211736107801</v>
      </c>
      <c r="O5940">
        <v>54.2037464684879</v>
      </c>
      <c r="P5940">
        <v>-7.7356294190510197E-2</v>
      </c>
      <c r="Q5940">
        <v>0.27731905143873598</v>
      </c>
      <c r="R5940">
        <v>0.982888549704652</v>
      </c>
      <c r="S5940" t="s">
        <v>12392</v>
      </c>
      <c r="T5940" t="s">
        <v>12902</v>
      </c>
      <c r="U5940" t="s">
        <v>12902</v>
      </c>
      <c r="V5940" t="s">
        <v>12902</v>
      </c>
      <c r="W5940" t="s">
        <v>18791</v>
      </c>
      <c r="X5940">
        <v>1</v>
      </c>
      <c r="Y5940" t="s">
        <v>25077</v>
      </c>
      <c r="Z5940" t="s">
        <v>31515</v>
      </c>
      <c r="AA5940">
        <v>0.63674858480536589</v>
      </c>
      <c r="AB5940" t="str">
        <f>HYPERLINK("Melting_Curves/meltCurve_Q9P1F3_ABRACL.pdf", "Melting_Curves/meltCurve_Q9P1F3_ABRACL.pdf")</f>
        <v>Melting_Curves/meltCurve_Q9P1F3_ABRACL.pdf</v>
      </c>
    </row>
    <row r="5941" spans="1:28" x14ac:dyDescent="0.25">
      <c r="A5941" t="s">
        <v>5945</v>
      </c>
      <c r="B5941">
        <v>0.99673306730245903</v>
      </c>
      <c r="C5941">
        <v>0.97555239181009401</v>
      </c>
      <c r="D5941">
        <v>0.92271312713643105</v>
      </c>
      <c r="E5941">
        <v>1.0585720528897</v>
      </c>
      <c r="F5941">
        <v>0.93055452009211903</v>
      </c>
      <c r="G5941">
        <v>0.77391449563857195</v>
      </c>
      <c r="H5941">
        <v>0.43727336091360097</v>
      </c>
      <c r="I5941">
        <v>0.23036416276152499</v>
      </c>
      <c r="J5941">
        <v>0.20710063750719299</v>
      </c>
      <c r="K5941">
        <v>0.17528378265917099</v>
      </c>
      <c r="L5941">
        <v>1533.1418328038901</v>
      </c>
      <c r="M5941">
        <v>25.992576746521198</v>
      </c>
      <c r="N5941">
        <v>59.867080611024498</v>
      </c>
      <c r="O5941">
        <v>58.638023779944398</v>
      </c>
      <c r="P5941">
        <v>-9.3170436861007302E-2</v>
      </c>
      <c r="Q5941">
        <v>0.159257271258397</v>
      </c>
      <c r="R5941">
        <v>0.98983587511308802</v>
      </c>
      <c r="S5941" t="s">
        <v>12393</v>
      </c>
      <c r="T5941" t="s">
        <v>12902</v>
      </c>
      <c r="U5941" t="s">
        <v>12902</v>
      </c>
      <c r="V5941" t="s">
        <v>12902</v>
      </c>
      <c r="W5941" t="s">
        <v>18792</v>
      </c>
      <c r="X5941">
        <v>7</v>
      </c>
      <c r="Y5941" t="s">
        <v>25078</v>
      </c>
      <c r="Z5941" t="s">
        <v>31516</v>
      </c>
      <c r="AA5941">
        <v>0.69785136478669496</v>
      </c>
      <c r="AB5941" t="str">
        <f>HYPERLINK("Melting_Curves/meltCurve_Q9P1U1_ACTR3B.pdf", "Melting_Curves/meltCurve_Q9P1U1_ACTR3B.pdf")</f>
        <v>Melting_Curves/meltCurve_Q9P1U1_ACTR3B.pdf</v>
      </c>
    </row>
    <row r="5942" spans="1:28" x14ac:dyDescent="0.25">
      <c r="A5942" t="s">
        <v>5946</v>
      </c>
      <c r="B5942">
        <v>0.99673306730245903</v>
      </c>
      <c r="C5942">
        <v>0.79173790454526405</v>
      </c>
      <c r="D5942">
        <v>0.54376863080616999</v>
      </c>
      <c r="E5942">
        <v>0.33209191537250199</v>
      </c>
      <c r="F5942">
        <v>0.24433171772616699</v>
      </c>
      <c r="G5942">
        <v>0.17236534206271201</v>
      </c>
      <c r="H5942">
        <v>0.10307580681531101</v>
      </c>
      <c r="I5942">
        <v>0.11590439484583499</v>
      </c>
      <c r="J5942">
        <v>0.159134178519064</v>
      </c>
      <c r="K5942">
        <v>0.142252211544696</v>
      </c>
      <c r="L5942">
        <v>797.60499879073996</v>
      </c>
      <c r="M5942">
        <v>17.350151054650699</v>
      </c>
      <c r="N5942">
        <v>46.809245885277903</v>
      </c>
      <c r="O5942">
        <v>45.3734067824441</v>
      </c>
      <c r="P5942">
        <v>-8.2836696688370307E-2</v>
      </c>
      <c r="Q5942">
        <v>0.13352482803740501</v>
      </c>
      <c r="R5942">
        <v>0.99069439506081902</v>
      </c>
      <c r="S5942" t="s">
        <v>12394</v>
      </c>
      <c r="T5942" t="s">
        <v>12902</v>
      </c>
      <c r="U5942" t="s">
        <v>12902</v>
      </c>
      <c r="V5942" t="s">
        <v>12902</v>
      </c>
      <c r="W5942" t="s">
        <v>18793</v>
      </c>
      <c r="X5942">
        <v>14</v>
      </c>
      <c r="Y5942" t="s">
        <v>25079</v>
      </c>
      <c r="Z5942" t="s">
        <v>31517</v>
      </c>
      <c r="AA5942">
        <v>0.32449182731878179</v>
      </c>
      <c r="AB5942" t="str">
        <f>HYPERLINK("Melting_Curves/meltCurve_Q9P1Y5_CAMSAP3.pdf", "Melting_Curves/meltCurve_Q9P1Y5_CAMSAP3.pdf")</f>
        <v>Melting_Curves/meltCurve_Q9P1Y5_CAMSAP3.pdf</v>
      </c>
    </row>
    <row r="5943" spans="1:28" x14ac:dyDescent="0.25">
      <c r="A5943" t="s">
        <v>5947</v>
      </c>
      <c r="B5943">
        <v>0.99673306730245903</v>
      </c>
      <c r="C5943">
        <v>0.95756293028150996</v>
      </c>
      <c r="D5943">
        <v>0.808198838318399</v>
      </c>
      <c r="E5943">
        <v>0.42544509316353901</v>
      </c>
      <c r="F5943">
        <v>0.319742617999486</v>
      </c>
      <c r="G5943">
        <v>0.16971701561366201</v>
      </c>
      <c r="H5943">
        <v>0.114797767369777</v>
      </c>
      <c r="I5943">
        <v>0.107436156357058</v>
      </c>
      <c r="J5943">
        <v>0.15878740611243999</v>
      </c>
      <c r="K5943">
        <v>0.148075307974497</v>
      </c>
      <c r="L5943">
        <v>1002.6722360963601</v>
      </c>
      <c r="M5943">
        <v>20.658972912799701</v>
      </c>
      <c r="N5943">
        <v>49.275507969269</v>
      </c>
      <c r="O5943">
        <v>48.086569882773198</v>
      </c>
      <c r="P5943">
        <v>-9.3066233752996899E-2</v>
      </c>
      <c r="Q5943">
        <v>0.13352751270813201</v>
      </c>
      <c r="R5943">
        <v>0.99184626221557504</v>
      </c>
      <c r="S5943" t="s">
        <v>12395</v>
      </c>
      <c r="T5943" t="s">
        <v>12902</v>
      </c>
      <c r="U5943" t="s">
        <v>12902</v>
      </c>
      <c r="V5943" t="s">
        <v>12902</v>
      </c>
      <c r="W5943" t="s">
        <v>18794</v>
      </c>
      <c r="X5943">
        <v>6</v>
      </c>
      <c r="Y5943" t="s">
        <v>25080</v>
      </c>
      <c r="Z5943" t="s">
        <v>31518</v>
      </c>
      <c r="AA5943">
        <v>0.39143129024109158</v>
      </c>
      <c r="AB5943" t="str">
        <f>HYPERLINK("Melting_Curves/meltCurve_Q9P1Z2_2_CALCOCO1.pdf", "Melting_Curves/meltCurve_Q9P1Z2_2_CALCOCO1.pdf")</f>
        <v>Melting_Curves/meltCurve_Q9P1Z2_2_CALCOCO1.pdf</v>
      </c>
    </row>
    <row r="5944" spans="1:28" x14ac:dyDescent="0.25">
      <c r="A5944" t="s">
        <v>5948</v>
      </c>
      <c r="B5944">
        <v>0.99673306730245903</v>
      </c>
      <c r="C5944">
        <v>0.97183003819728497</v>
      </c>
      <c r="D5944">
        <v>0.94717322244397495</v>
      </c>
      <c r="E5944">
        <v>0.88091236839366505</v>
      </c>
      <c r="F5944">
        <v>0.78081883590351298</v>
      </c>
      <c r="G5944">
        <v>0.50223072071344799</v>
      </c>
      <c r="H5944">
        <v>0.35511311369242698</v>
      </c>
      <c r="I5944">
        <v>0.402258745964091</v>
      </c>
      <c r="J5944">
        <v>0.59120733571996897</v>
      </c>
      <c r="K5944">
        <v>0.60130184980774304</v>
      </c>
      <c r="L5944">
        <v>1747.3252964764299</v>
      </c>
      <c r="M5944">
        <v>32.897636115421598</v>
      </c>
      <c r="N5944">
        <v>59.079063926925301</v>
      </c>
      <c r="O5944">
        <v>52.918899697767102</v>
      </c>
      <c r="P5944">
        <v>-8.0512918842122597E-2</v>
      </c>
      <c r="Q5944">
        <v>0.48195234127026798</v>
      </c>
      <c r="R5944">
        <v>0.88154553817604098</v>
      </c>
      <c r="S5944" t="s">
        <v>12396</v>
      </c>
      <c r="T5944" t="s">
        <v>12902</v>
      </c>
      <c r="U5944" t="s">
        <v>12902</v>
      </c>
      <c r="V5944" t="s">
        <v>12902</v>
      </c>
      <c r="W5944" t="s">
        <v>18795</v>
      </c>
      <c r="X5944">
        <v>4</v>
      </c>
      <c r="Y5944" t="s">
        <v>25081</v>
      </c>
      <c r="Z5944" t="s">
        <v>31519</v>
      </c>
      <c r="AA5944">
        <v>0.71121455120731625</v>
      </c>
      <c r="AB5944" t="str">
        <f>HYPERLINK("Melting_Curves/meltCurve_Q9P206_2_KIAA1522.pdf", "Melting_Curves/meltCurve_Q9P206_2_KIAA1522.pdf")</f>
        <v>Melting_Curves/meltCurve_Q9P206_2_KIAA1522.pdf</v>
      </c>
    </row>
    <row r="5945" spans="1:28" x14ac:dyDescent="0.25">
      <c r="A5945" t="s">
        <v>5949</v>
      </c>
      <c r="B5945">
        <v>0.99673306730245903</v>
      </c>
      <c r="C5945">
        <v>1.01248176988133</v>
      </c>
      <c r="D5945">
        <v>1.0532850000941101</v>
      </c>
      <c r="E5945">
        <v>1.1206271301728601</v>
      </c>
      <c r="F5945">
        <v>1.3847434435816199</v>
      </c>
      <c r="G5945">
        <v>0.91432904379825297</v>
      </c>
      <c r="H5945">
        <v>0.44555758468761603</v>
      </c>
      <c r="I5945">
        <v>0.163404598986754</v>
      </c>
      <c r="J5945">
        <v>0.102339152005789</v>
      </c>
      <c r="K5945">
        <v>9.1784354795168693E-2</v>
      </c>
      <c r="L5945">
        <v>2729.2027463309801</v>
      </c>
      <c r="M5945">
        <v>45.353767319210299</v>
      </c>
      <c r="N5945">
        <v>60.462518078921299</v>
      </c>
      <c r="O5945">
        <v>60.059237170218701</v>
      </c>
      <c r="P5945">
        <v>-0.170525247744262</v>
      </c>
      <c r="Q5945">
        <v>9.6736262897969202E-2</v>
      </c>
      <c r="R5945">
        <v>0.91880683757967796</v>
      </c>
      <c r="S5945" t="s">
        <v>12397</v>
      </c>
      <c r="T5945" t="s">
        <v>12902</v>
      </c>
      <c r="U5945" t="s">
        <v>12902</v>
      </c>
      <c r="V5945" t="s">
        <v>12902</v>
      </c>
      <c r="W5945" t="s">
        <v>18796</v>
      </c>
      <c r="X5945">
        <v>4</v>
      </c>
      <c r="Y5945" t="s">
        <v>25082</v>
      </c>
      <c r="Z5945" t="s">
        <v>31520</v>
      </c>
      <c r="AA5945">
        <v>0.70702700694735299</v>
      </c>
      <c r="AB5945" t="str">
        <f>HYPERLINK("Melting_Curves/meltCurve_Q9P219_CCDC88C.pdf", "Melting_Curves/meltCurve_Q9P219_CCDC88C.pdf")</f>
        <v>Melting_Curves/meltCurve_Q9P219_CCDC88C.pdf</v>
      </c>
    </row>
    <row r="5946" spans="1:28" x14ac:dyDescent="0.25">
      <c r="A5946" t="s">
        <v>5950</v>
      </c>
      <c r="B5946">
        <v>0.99673306730245903</v>
      </c>
      <c r="C5946">
        <v>0.90925895743620799</v>
      </c>
      <c r="D5946">
        <v>0.75928911734796101</v>
      </c>
      <c r="E5946">
        <v>0.45255081633048599</v>
      </c>
      <c r="F5946">
        <v>0.239395533742427</v>
      </c>
      <c r="G5946">
        <v>0.17066390538971399</v>
      </c>
      <c r="H5946">
        <v>0.12204936762817201</v>
      </c>
      <c r="I5946">
        <v>0.14234354233435001</v>
      </c>
      <c r="J5946">
        <v>0.15548886578146701</v>
      </c>
      <c r="K5946">
        <v>0.12380110194975</v>
      </c>
      <c r="L5946">
        <v>944.26126478275</v>
      </c>
      <c r="M5946">
        <v>19.592115969772401</v>
      </c>
      <c r="N5946">
        <v>48.937093773493899</v>
      </c>
      <c r="O5946">
        <v>47.702297665459298</v>
      </c>
      <c r="P5946">
        <v>-8.9501086959109494E-2</v>
      </c>
      <c r="Q5946">
        <v>0.128372512395349</v>
      </c>
      <c r="R5946">
        <v>0.99841278390114097</v>
      </c>
      <c r="S5946" t="s">
        <v>12398</v>
      </c>
      <c r="T5946" t="s">
        <v>12902</v>
      </c>
      <c r="U5946" t="s">
        <v>12902</v>
      </c>
      <c r="V5946" t="s">
        <v>12902</v>
      </c>
      <c r="W5946" t="s">
        <v>18797</v>
      </c>
      <c r="X5946">
        <v>8</v>
      </c>
      <c r="Y5946" t="s">
        <v>25083</v>
      </c>
      <c r="Z5946" t="s">
        <v>31521</v>
      </c>
      <c r="AA5946">
        <v>0.37938680923566948</v>
      </c>
      <c r="AB5946" t="str">
        <f>HYPERLINK("Melting_Curves/meltCurve_Q9P253_VPS18.pdf", "Melting_Curves/meltCurve_Q9P253_VPS18.pdf")</f>
        <v>Melting_Curves/meltCurve_Q9P253_VPS18.pdf</v>
      </c>
    </row>
    <row r="5947" spans="1:28" x14ac:dyDescent="0.25">
      <c r="A5947" t="s">
        <v>5951</v>
      </c>
      <c r="B5947">
        <v>0.99673306730245903</v>
      </c>
      <c r="C5947">
        <v>0.97581941046750797</v>
      </c>
      <c r="D5947">
        <v>0.90693179068934304</v>
      </c>
      <c r="E5947">
        <v>0.90648156183531803</v>
      </c>
      <c r="F5947">
        <v>0.29575430689961801</v>
      </c>
      <c r="G5947">
        <v>0.12306685638760299</v>
      </c>
      <c r="H5947">
        <v>7.8643279587398002E-2</v>
      </c>
      <c r="I5947">
        <v>6.4911594968454597E-2</v>
      </c>
      <c r="J5947">
        <v>7.0294996401759194E-2</v>
      </c>
      <c r="K5947">
        <v>6.3948076500392595E-2</v>
      </c>
      <c r="L5947">
        <v>2324.7978713318798</v>
      </c>
      <c r="M5947">
        <v>44.814394498822502</v>
      </c>
      <c r="N5947">
        <v>52.065138400884202</v>
      </c>
      <c r="O5947">
        <v>51.773161864285498</v>
      </c>
      <c r="P5947">
        <v>-0.200153732156891</v>
      </c>
      <c r="Q5947">
        <v>7.5067024539833604E-2</v>
      </c>
      <c r="R5947">
        <v>0.99411942887863403</v>
      </c>
      <c r="S5947" t="s">
        <v>12399</v>
      </c>
      <c r="T5947" t="s">
        <v>12902</v>
      </c>
      <c r="U5947" t="s">
        <v>12902</v>
      </c>
      <c r="V5947" t="s">
        <v>12902</v>
      </c>
      <c r="W5947" t="s">
        <v>18798</v>
      </c>
      <c r="X5947">
        <v>38</v>
      </c>
      <c r="Y5947" t="s">
        <v>25084</v>
      </c>
      <c r="Z5947" t="s">
        <v>31522</v>
      </c>
      <c r="AA5947">
        <v>0.44385922966642732</v>
      </c>
      <c r="AB5947" t="str">
        <f>HYPERLINK("Melting_Curves/meltCurve_Q9P258_RCC2.pdf", "Melting_Curves/meltCurve_Q9P258_RCC2.pdf")</f>
        <v>Melting_Curves/meltCurve_Q9P258_RCC2.pdf</v>
      </c>
    </row>
    <row r="5948" spans="1:28" x14ac:dyDescent="0.25">
      <c r="A5948" t="s">
        <v>5952</v>
      </c>
      <c r="B5948">
        <v>0.99673306730245903</v>
      </c>
      <c r="C5948">
        <v>0.90139303193989095</v>
      </c>
      <c r="D5948">
        <v>0.74840954966180495</v>
      </c>
      <c r="E5948">
        <v>0.51176432471243505</v>
      </c>
      <c r="F5948">
        <v>0.21931425264656901</v>
      </c>
      <c r="G5948">
        <v>0.139610187242907</v>
      </c>
      <c r="H5948">
        <v>8.6858958072717804E-2</v>
      </c>
      <c r="I5948">
        <v>6.7274545329597105E-2</v>
      </c>
      <c r="J5948">
        <v>6.2072355369280997E-2</v>
      </c>
      <c r="K5948">
        <v>4.0481961508789799E-2</v>
      </c>
      <c r="L5948">
        <v>805.43804339438805</v>
      </c>
      <c r="M5948">
        <v>16.412822337990502</v>
      </c>
      <c r="N5948">
        <v>49.341492429190197</v>
      </c>
      <c r="O5948">
        <v>48.362551078508901</v>
      </c>
      <c r="P5948">
        <v>-8.1233099743930004E-2</v>
      </c>
      <c r="Q5948">
        <v>4.2611623183509903E-2</v>
      </c>
      <c r="R5948">
        <v>0.99760544071192103</v>
      </c>
      <c r="S5948" t="s">
        <v>12400</v>
      </c>
      <c r="T5948" t="s">
        <v>12902</v>
      </c>
      <c r="U5948" t="s">
        <v>12902</v>
      </c>
      <c r="V5948" t="s">
        <v>12902</v>
      </c>
      <c r="W5948" t="s">
        <v>18799</v>
      </c>
      <c r="X5948">
        <v>9</v>
      </c>
      <c r="Y5948" t="s">
        <v>25085</v>
      </c>
      <c r="Z5948" t="s">
        <v>31523</v>
      </c>
      <c r="AA5948">
        <v>0.35203000177666632</v>
      </c>
      <c r="AB5948" t="str">
        <f>HYPERLINK("Melting_Curves/meltCurve_Q9P260_KIAA1468.pdf", "Melting_Curves/meltCurve_Q9P260_KIAA1468.pdf")</f>
        <v>Melting_Curves/meltCurve_Q9P260_KIAA1468.pdf</v>
      </c>
    </row>
    <row r="5949" spans="1:28" x14ac:dyDescent="0.25">
      <c r="A5949" t="s">
        <v>5953</v>
      </c>
      <c r="B5949">
        <v>0.99673306730245903</v>
      </c>
      <c r="C5949">
        <v>0.93238023876510201</v>
      </c>
      <c r="D5949">
        <v>1.00686960073499</v>
      </c>
      <c r="E5949">
        <v>1.0522054452960801</v>
      </c>
      <c r="F5949">
        <v>0.85406606753631498</v>
      </c>
      <c r="G5949">
        <v>0.32409039550935698</v>
      </c>
      <c r="H5949">
        <v>0.16461321089851</v>
      </c>
      <c r="I5949">
        <v>0.16576522575597999</v>
      </c>
      <c r="J5949">
        <v>0.18584667315272499</v>
      </c>
      <c r="K5949">
        <v>0.166972867056738</v>
      </c>
      <c r="L5949">
        <v>2606.0765269588901</v>
      </c>
      <c r="M5949">
        <v>47.389403399500203</v>
      </c>
      <c r="N5949">
        <v>55.475814904006398</v>
      </c>
      <c r="O5949">
        <v>54.895151872222101</v>
      </c>
      <c r="P5949">
        <v>-0.17933701793693799</v>
      </c>
      <c r="Q5949">
        <v>0.16903597065911299</v>
      </c>
      <c r="R5949">
        <v>0.99444209358913604</v>
      </c>
      <c r="S5949" t="s">
        <v>12401</v>
      </c>
      <c r="T5949" t="s">
        <v>12902</v>
      </c>
      <c r="U5949" t="s">
        <v>12902</v>
      </c>
      <c r="V5949" t="s">
        <v>12902</v>
      </c>
      <c r="W5949" t="s">
        <v>18800</v>
      </c>
      <c r="X5949">
        <v>20</v>
      </c>
      <c r="Y5949" t="s">
        <v>25086</v>
      </c>
      <c r="Z5949" t="s">
        <v>31524</v>
      </c>
      <c r="AA5949">
        <v>0.58656209196309639</v>
      </c>
      <c r="AB5949" t="str">
        <f>HYPERLINK("Melting_Curves/meltCurve_Q9P265_DIP2B.pdf", "Melting_Curves/meltCurve_Q9P265_DIP2B.pdf")</f>
        <v>Melting_Curves/meltCurve_Q9P265_DIP2B.pdf</v>
      </c>
    </row>
    <row r="5950" spans="1:28" x14ac:dyDescent="0.25">
      <c r="A5950" t="s">
        <v>5954</v>
      </c>
      <c r="B5950">
        <v>0.99673306730245903</v>
      </c>
      <c r="C5950">
        <v>0.91483462488291301</v>
      </c>
      <c r="D5950">
        <v>0.86192356276917304</v>
      </c>
      <c r="E5950">
        <v>0.73063300196827496</v>
      </c>
      <c r="F5950">
        <v>0.45868671102220099</v>
      </c>
      <c r="G5950">
        <v>0.37015201917778701</v>
      </c>
      <c r="H5950">
        <v>0.26952025820959802</v>
      </c>
      <c r="I5950">
        <v>0.33900732108542803</v>
      </c>
      <c r="J5950">
        <v>0.65142316215751905</v>
      </c>
      <c r="K5950">
        <v>0.88020802837446299</v>
      </c>
      <c r="L5950">
        <v>1314.66131039325</v>
      </c>
      <c r="M5950">
        <v>27.234992524320599</v>
      </c>
      <c r="N5950">
        <v>57.929455643512298</v>
      </c>
      <c r="O5950">
        <v>48.013040906203599</v>
      </c>
      <c r="P5950">
        <v>-7.16620642511272E-2</v>
      </c>
      <c r="Q5950">
        <v>0.49466764726363599</v>
      </c>
      <c r="R5950">
        <v>0.56524185614126599</v>
      </c>
      <c r="S5950" t="s">
        <v>12402</v>
      </c>
      <c r="T5950" t="s">
        <v>12902</v>
      </c>
      <c r="U5950" t="s">
        <v>12902</v>
      </c>
      <c r="V5950" t="s">
        <v>12902</v>
      </c>
      <c r="W5950" t="s">
        <v>18801</v>
      </c>
      <c r="X5950">
        <v>5</v>
      </c>
      <c r="Y5950" t="s">
        <v>25087</v>
      </c>
      <c r="Z5950" t="s">
        <v>31525</v>
      </c>
      <c r="AA5950">
        <v>0.63771910987956748</v>
      </c>
      <c r="AB5950" t="str">
        <f>HYPERLINK("Melting_Curves/meltCurve_Q9P266_KIAA1462.pdf", "Melting_Curves/meltCurve_Q9P266_KIAA1462.pdf")</f>
        <v>Melting_Curves/meltCurve_Q9P266_KIAA1462.pdf</v>
      </c>
    </row>
    <row r="5951" spans="1:28" x14ac:dyDescent="0.25">
      <c r="A5951" t="s">
        <v>5955</v>
      </c>
      <c r="B5951">
        <v>0.99673306730245903</v>
      </c>
      <c r="C5951">
        <v>0.941386313333195</v>
      </c>
      <c r="D5951">
        <v>0.91849463506426499</v>
      </c>
      <c r="E5951">
        <v>0.65727527077249503</v>
      </c>
      <c r="F5951">
        <v>0.69620301796068895</v>
      </c>
      <c r="G5951">
        <v>0.51314536747955797</v>
      </c>
      <c r="H5951">
        <v>0.35391033208776801</v>
      </c>
      <c r="I5951">
        <v>0.45738947693519399</v>
      </c>
      <c r="J5951">
        <v>0.78089082173402802</v>
      </c>
      <c r="K5951">
        <v>0.94000945097473398</v>
      </c>
      <c r="L5951">
        <v>1859.08249905703</v>
      </c>
      <c r="M5951">
        <v>39.293929682566798</v>
      </c>
      <c r="O5951">
        <v>47.190164383126799</v>
      </c>
      <c r="P5951">
        <v>-7.8993399179709101E-2</v>
      </c>
      <c r="Q5951">
        <v>0.62053140075871704</v>
      </c>
      <c r="R5951">
        <v>0.47478548884885502</v>
      </c>
      <c r="S5951" t="s">
        <v>12403</v>
      </c>
      <c r="T5951" t="s">
        <v>12902</v>
      </c>
      <c r="U5951" t="s">
        <v>12902</v>
      </c>
      <c r="V5951" t="s">
        <v>12902</v>
      </c>
      <c r="W5951" t="s">
        <v>18802</v>
      </c>
      <c r="X5951">
        <v>11</v>
      </c>
      <c r="Y5951" t="s">
        <v>25088</v>
      </c>
      <c r="Z5951" t="s">
        <v>31526</v>
      </c>
      <c r="AA5951">
        <v>0.71431775927380226</v>
      </c>
      <c r="AB5951" t="str">
        <f>HYPERLINK("Melting_Curves/meltCurve_Q9P270_SLAIN2.pdf", "Melting_Curves/meltCurve_Q9P270_SLAIN2.pdf")</f>
        <v>Melting_Curves/meltCurve_Q9P270_SLAIN2.pdf</v>
      </c>
    </row>
    <row r="5952" spans="1:28" x14ac:dyDescent="0.25">
      <c r="A5952" t="s">
        <v>5956</v>
      </c>
      <c r="B5952">
        <v>0.99673306730245903</v>
      </c>
      <c r="C5952">
        <v>0.98716910764420696</v>
      </c>
      <c r="D5952">
        <v>0.99716946294499897</v>
      </c>
      <c r="E5952">
        <v>0.871856409526927</v>
      </c>
      <c r="F5952">
        <v>0.69204492244328397</v>
      </c>
      <c r="G5952">
        <v>0.53019013960672101</v>
      </c>
      <c r="H5952">
        <v>0.34523266662361501</v>
      </c>
      <c r="I5952">
        <v>0.27768223486356702</v>
      </c>
      <c r="J5952">
        <v>0.27139879119632698</v>
      </c>
      <c r="K5952">
        <v>0.23210948395057501</v>
      </c>
      <c r="L5952">
        <v>869.63502869048398</v>
      </c>
      <c r="M5952">
        <v>15.8182990006219</v>
      </c>
      <c r="N5952">
        <v>56.968562505170503</v>
      </c>
      <c r="O5952">
        <v>54.120394714103199</v>
      </c>
      <c r="P5952">
        <v>-5.7552814743667899E-2</v>
      </c>
      <c r="Q5952">
        <v>0.21242481692898799</v>
      </c>
      <c r="R5952">
        <v>0.99759515199552196</v>
      </c>
      <c r="S5952" t="s">
        <v>12404</v>
      </c>
      <c r="T5952" t="s">
        <v>12902</v>
      </c>
      <c r="U5952" t="s">
        <v>12902</v>
      </c>
      <c r="V5952" t="s">
        <v>12902</v>
      </c>
      <c r="W5952" t="s">
        <v>18803</v>
      </c>
      <c r="X5952">
        <v>3</v>
      </c>
      <c r="Y5952" t="s">
        <v>25089</v>
      </c>
      <c r="Z5952" t="s">
        <v>31527</v>
      </c>
      <c r="AA5952">
        <v>0.61993650428450453</v>
      </c>
      <c r="AB5952" t="str">
        <f>HYPERLINK("Melting_Curves/meltCurve_Q9P273_TENM3.pdf", "Melting_Curves/meltCurve_Q9P273_TENM3.pdf")</f>
        <v>Melting_Curves/meltCurve_Q9P273_TENM3.pdf</v>
      </c>
    </row>
    <row r="5953" spans="1:28" x14ac:dyDescent="0.25">
      <c r="A5953" t="s">
        <v>5957</v>
      </c>
      <c r="B5953">
        <v>0.99673306730245903</v>
      </c>
      <c r="C5953">
        <v>1.0085303731630699</v>
      </c>
      <c r="D5953">
        <v>0.95464501424626802</v>
      </c>
      <c r="E5953">
        <v>0.94011036429282302</v>
      </c>
      <c r="F5953">
        <v>0.554345436870885</v>
      </c>
      <c r="G5953">
        <v>0.22576800634070501</v>
      </c>
      <c r="H5953">
        <v>0.108478517340452</v>
      </c>
      <c r="I5953">
        <v>0.10510017843029</v>
      </c>
      <c r="J5953">
        <v>9.5953208814948496E-2</v>
      </c>
      <c r="K5953">
        <v>8.3882553764190806E-2</v>
      </c>
      <c r="L5953">
        <v>1643.5263672639001</v>
      </c>
      <c r="M5953">
        <v>30.810522807361998</v>
      </c>
      <c r="N5953">
        <v>53.702222867073303</v>
      </c>
      <c r="O5953">
        <v>53.119816666585798</v>
      </c>
      <c r="P5953">
        <v>-0.13150306908550699</v>
      </c>
      <c r="Q5953">
        <v>9.3117894185098193E-2</v>
      </c>
      <c r="R5953">
        <v>0.99848715476601202</v>
      </c>
      <c r="S5953" t="s">
        <v>12405</v>
      </c>
      <c r="T5953" t="s">
        <v>12902</v>
      </c>
      <c r="U5953" t="s">
        <v>12902</v>
      </c>
      <c r="V5953" t="s">
        <v>12902</v>
      </c>
      <c r="W5953" t="s">
        <v>18804</v>
      </c>
      <c r="X5953">
        <v>11</v>
      </c>
      <c r="Y5953" t="s">
        <v>25090</v>
      </c>
      <c r="Z5953" t="s">
        <v>31528</v>
      </c>
      <c r="AA5953">
        <v>0.50207824478784713</v>
      </c>
      <c r="AB5953" t="str">
        <f>HYPERLINK("Melting_Curves/meltCurve_Q9P287_BCCIP.pdf", "Melting_Curves/meltCurve_Q9P287_BCCIP.pdf")</f>
        <v>Melting_Curves/meltCurve_Q9P287_BCCIP.pdf</v>
      </c>
    </row>
    <row r="5954" spans="1:28" x14ac:dyDescent="0.25">
      <c r="A5954" t="s">
        <v>5958</v>
      </c>
      <c r="B5954">
        <v>0.99673306730245903</v>
      </c>
      <c r="C5954">
        <v>0.90719371363204804</v>
      </c>
      <c r="D5954">
        <v>0.90992731481431699</v>
      </c>
      <c r="E5954">
        <v>0.78747636957802203</v>
      </c>
      <c r="F5954">
        <v>0.55900149963184298</v>
      </c>
      <c r="G5954">
        <v>0.405540860240095</v>
      </c>
      <c r="H5954">
        <v>0.30452819751702798</v>
      </c>
      <c r="I5954">
        <v>0.38329398599513698</v>
      </c>
      <c r="J5954">
        <v>0.54232306085374204</v>
      </c>
      <c r="K5954">
        <v>0.457313275501532</v>
      </c>
      <c r="L5954">
        <v>1211.94295144374</v>
      </c>
      <c r="M5954">
        <v>24.038601023738501</v>
      </c>
      <c r="N5954">
        <v>54.360856248561099</v>
      </c>
      <c r="O5954">
        <v>50.071520237247697</v>
      </c>
      <c r="P5954">
        <v>-7.0500775918322697E-2</v>
      </c>
      <c r="Q5954">
        <v>0.41260719810824398</v>
      </c>
      <c r="R5954">
        <v>0.92243149464460195</v>
      </c>
      <c r="S5954" t="s">
        <v>12406</v>
      </c>
      <c r="T5954" t="s">
        <v>12902</v>
      </c>
      <c r="U5954" t="s">
        <v>12902</v>
      </c>
      <c r="V5954" t="s">
        <v>12902</v>
      </c>
      <c r="W5954" t="s">
        <v>18805</v>
      </c>
      <c r="X5954">
        <v>10</v>
      </c>
      <c r="Y5954" t="s">
        <v>25090</v>
      </c>
      <c r="Z5954" t="s">
        <v>31529</v>
      </c>
      <c r="AA5954">
        <v>0.62226089474119528</v>
      </c>
      <c r="AB5954" t="str">
        <f>HYPERLINK("Melting_Curves/meltCurve_Q9P287_2_BCCIP.pdf", "Melting_Curves/meltCurve_Q9P287_2_BCCIP.pdf")</f>
        <v>Melting_Curves/meltCurve_Q9P287_2_BCCIP.pdf</v>
      </c>
    </row>
    <row r="5955" spans="1:28" x14ac:dyDescent="0.25">
      <c r="A5955" t="s">
        <v>5959</v>
      </c>
      <c r="B5955">
        <v>0.99673306730245903</v>
      </c>
      <c r="C5955">
        <v>0.92114547108351297</v>
      </c>
      <c r="D5955">
        <v>0.85454468551305895</v>
      </c>
      <c r="E5955">
        <v>0.72263785001863901</v>
      </c>
      <c r="F5955">
        <v>0.47549164567382601</v>
      </c>
      <c r="G5955">
        <v>0.35625458970957902</v>
      </c>
      <c r="H5955">
        <v>0.22098261875869399</v>
      </c>
      <c r="I5955">
        <v>0.195713036051571</v>
      </c>
      <c r="J5955">
        <v>0.25381600178150099</v>
      </c>
      <c r="K5955">
        <v>0.20056775946272901</v>
      </c>
      <c r="L5955">
        <v>745.36981515983405</v>
      </c>
      <c r="M5955">
        <v>14.5250543986569</v>
      </c>
      <c r="N5955">
        <v>52.950231814733101</v>
      </c>
      <c r="O5955">
        <v>50.372872041169899</v>
      </c>
      <c r="P5955">
        <v>-5.9073307255724301E-2</v>
      </c>
      <c r="Q5955">
        <v>0.18062896457771899</v>
      </c>
      <c r="R5955">
        <v>0.99227052055837595</v>
      </c>
      <c r="S5955" t="s">
        <v>12407</v>
      </c>
      <c r="T5955" t="s">
        <v>12902</v>
      </c>
      <c r="U5955" t="s">
        <v>12902</v>
      </c>
      <c r="V5955" t="s">
        <v>12902</v>
      </c>
      <c r="W5955" t="s">
        <v>18806</v>
      </c>
      <c r="X5955">
        <v>9</v>
      </c>
      <c r="Y5955" t="s">
        <v>25091</v>
      </c>
      <c r="Z5955" t="s">
        <v>31530</v>
      </c>
      <c r="AA5955">
        <v>0.50943103675048784</v>
      </c>
      <c r="AB5955" t="str">
        <f>HYPERLINK("Melting_Curves/meltCurve_Q9P2B2_PTGFRN.pdf", "Melting_Curves/meltCurve_Q9P2B2_PTGFRN.pdf")</f>
        <v>Melting_Curves/meltCurve_Q9P2B2_PTGFRN.pdf</v>
      </c>
    </row>
    <row r="5956" spans="1:28" x14ac:dyDescent="0.25">
      <c r="A5956" t="s">
        <v>5960</v>
      </c>
      <c r="B5956">
        <v>0.99673306730245903</v>
      </c>
      <c r="C5956">
        <v>0.88142740196387404</v>
      </c>
      <c r="D5956">
        <v>0.97882414004103802</v>
      </c>
      <c r="E5956">
        <v>0.61416931563116295</v>
      </c>
      <c r="F5956">
        <v>0.31053302003122601</v>
      </c>
      <c r="G5956">
        <v>0.19664345101613201</v>
      </c>
      <c r="H5956">
        <v>0.15575748922678601</v>
      </c>
      <c r="I5956">
        <v>0.24615050340275499</v>
      </c>
      <c r="J5956">
        <v>0.388464550921713</v>
      </c>
      <c r="K5956">
        <v>0.42991943743574401</v>
      </c>
      <c r="L5956">
        <v>2386.6673963739399</v>
      </c>
      <c r="M5956">
        <v>48.278398897812302</v>
      </c>
      <c r="N5956">
        <v>50.309836961695602</v>
      </c>
      <c r="O5956">
        <v>49.350915855276</v>
      </c>
      <c r="P5956">
        <v>-0.175126461996784</v>
      </c>
      <c r="Q5956">
        <v>0.28393293543637099</v>
      </c>
      <c r="R5956">
        <v>0.92494878892534005</v>
      </c>
      <c r="S5956" t="s">
        <v>12408</v>
      </c>
      <c r="T5956" t="s">
        <v>12902</v>
      </c>
      <c r="U5956" t="s">
        <v>12902</v>
      </c>
      <c r="V5956" t="s">
        <v>12902</v>
      </c>
      <c r="W5956" t="s">
        <v>18807</v>
      </c>
      <c r="X5956">
        <v>8</v>
      </c>
      <c r="Y5956" t="s">
        <v>25092</v>
      </c>
      <c r="Z5956" t="s">
        <v>31531</v>
      </c>
      <c r="AA5956">
        <v>0.51082390900243813</v>
      </c>
      <c r="AB5956" t="str">
        <f>HYPERLINK("Melting_Curves/meltCurve_Q9P2B4_CTTNBP2NL.pdf", "Melting_Curves/meltCurve_Q9P2B4_CTTNBP2NL.pdf")</f>
        <v>Melting_Curves/meltCurve_Q9P2B4_CTTNBP2NL.pdf</v>
      </c>
    </row>
    <row r="5957" spans="1:28" x14ac:dyDescent="0.25">
      <c r="A5957" t="s">
        <v>5961</v>
      </c>
      <c r="B5957">
        <v>0.99673306730245903</v>
      </c>
      <c r="C5957">
        <v>0.94924419198007304</v>
      </c>
      <c r="D5957">
        <v>0.84877602492023596</v>
      </c>
      <c r="E5957">
        <v>0.79024925397789003</v>
      </c>
      <c r="F5957">
        <v>0.65975215176951796</v>
      </c>
      <c r="G5957">
        <v>0.51701377930326098</v>
      </c>
      <c r="H5957">
        <v>0.376799565236904</v>
      </c>
      <c r="I5957">
        <v>0.42167161025215699</v>
      </c>
      <c r="J5957">
        <v>0.257902480632477</v>
      </c>
      <c r="K5957">
        <v>0.182361430932866</v>
      </c>
      <c r="L5957">
        <v>432.99443828667802</v>
      </c>
      <c r="M5957">
        <v>7.4719777831116296</v>
      </c>
      <c r="N5957">
        <v>57.949117648478399</v>
      </c>
      <c r="O5957">
        <v>54.233587790777896</v>
      </c>
      <c r="P5957">
        <v>-3.4493714228806503E-2</v>
      </c>
      <c r="Q5957">
        <v>0</v>
      </c>
      <c r="R5957">
        <v>0.98248474617089998</v>
      </c>
      <c r="S5957" t="s">
        <v>12409</v>
      </c>
      <c r="T5957" t="s">
        <v>12902</v>
      </c>
      <c r="U5957" t="s">
        <v>12902</v>
      </c>
      <c r="V5957" t="s">
        <v>12902</v>
      </c>
      <c r="W5957" t="s">
        <v>18808</v>
      </c>
      <c r="X5957">
        <v>2</v>
      </c>
      <c r="Y5957" t="s">
        <v>25093</v>
      </c>
      <c r="Z5957" t="s">
        <v>31532</v>
      </c>
      <c r="AA5957">
        <v>0.59984776758519986</v>
      </c>
      <c r="AB5957" t="str">
        <f>HYPERLINK("Melting_Curves/meltCurve_Q9P2C4_TMEM181.pdf", "Melting_Curves/meltCurve_Q9P2C4_TMEM181.pdf")</f>
        <v>Melting_Curves/meltCurve_Q9P2C4_TMEM181.pdf</v>
      </c>
    </row>
    <row r="5958" spans="1:28" x14ac:dyDescent="0.25">
      <c r="A5958" t="s">
        <v>5962</v>
      </c>
      <c r="B5958">
        <v>0.99673306730245903</v>
      </c>
      <c r="C5958">
        <v>0.67153954384536696</v>
      </c>
      <c r="D5958">
        <v>0.455956301907469</v>
      </c>
      <c r="E5958">
        <v>0.36870672414559902</v>
      </c>
      <c r="F5958">
        <v>0.27597101117580802</v>
      </c>
      <c r="G5958">
        <v>0.172585197353848</v>
      </c>
      <c r="H5958">
        <v>0.13155267106372501</v>
      </c>
      <c r="I5958">
        <v>0.16487146053222501</v>
      </c>
      <c r="J5958">
        <v>0.227070560354447</v>
      </c>
      <c r="K5958">
        <v>0.30364268932542199</v>
      </c>
      <c r="L5958">
        <v>847.96279278657698</v>
      </c>
      <c r="M5958">
        <v>19.1407649379567</v>
      </c>
      <c r="N5958">
        <v>45.606432648983699</v>
      </c>
      <c r="O5958">
        <v>43.8263471205927</v>
      </c>
      <c r="P5958">
        <v>-8.6165316881486695E-2</v>
      </c>
      <c r="Q5958">
        <v>0.21086439911723201</v>
      </c>
      <c r="R5958">
        <v>0.94454440665839901</v>
      </c>
      <c r="S5958" t="s">
        <v>12410</v>
      </c>
      <c r="T5958" t="s">
        <v>12902</v>
      </c>
      <c r="U5958" t="s">
        <v>12902</v>
      </c>
      <c r="V5958" t="s">
        <v>12902</v>
      </c>
      <c r="W5958" t="s">
        <v>18809</v>
      </c>
      <c r="X5958">
        <v>6</v>
      </c>
      <c r="Y5958" t="s">
        <v>25094</v>
      </c>
      <c r="Z5958" t="s">
        <v>31533</v>
      </c>
      <c r="AA5958">
        <v>0.34019882164854331</v>
      </c>
      <c r="AB5958" t="str">
        <f>HYPERLINK("Melting_Curves/meltCurve_Q9P2D1_CHD7.pdf", "Melting_Curves/meltCurve_Q9P2D1_CHD7.pdf")</f>
        <v>Melting_Curves/meltCurve_Q9P2D1_CHD7.pdf</v>
      </c>
    </row>
    <row r="5959" spans="1:28" x14ac:dyDescent="0.25">
      <c r="A5959" t="s">
        <v>5963</v>
      </c>
      <c r="B5959">
        <v>0.99673306730245903</v>
      </c>
      <c r="C5959">
        <v>0.89073951999432899</v>
      </c>
      <c r="D5959">
        <v>0.80487431300502099</v>
      </c>
      <c r="E5959">
        <v>0.59723051230007895</v>
      </c>
      <c r="F5959">
        <v>0.25051537365039001</v>
      </c>
      <c r="G5959">
        <v>0.16722517426049899</v>
      </c>
      <c r="H5959">
        <v>0.11032116566902</v>
      </c>
      <c r="I5959">
        <v>8.9553674270581599E-2</v>
      </c>
      <c r="J5959">
        <v>8.8554489832191899E-2</v>
      </c>
      <c r="K5959">
        <v>5.7958617658080698E-2</v>
      </c>
      <c r="L5959">
        <v>838.01871255226899</v>
      </c>
      <c r="M5959">
        <v>16.829937135812099</v>
      </c>
      <c r="N5959">
        <v>50.185391712574699</v>
      </c>
      <c r="O5959">
        <v>49.106275116786698</v>
      </c>
      <c r="P5959">
        <v>-8.0408350371871398E-2</v>
      </c>
      <c r="Q5959">
        <v>6.1600685446283499E-2</v>
      </c>
      <c r="R5959">
        <v>0.99354676425242405</v>
      </c>
      <c r="S5959" t="s">
        <v>12411</v>
      </c>
      <c r="T5959" t="s">
        <v>12902</v>
      </c>
      <c r="U5959" t="s">
        <v>12902</v>
      </c>
      <c r="V5959" t="s">
        <v>12902</v>
      </c>
      <c r="W5959" t="s">
        <v>18810</v>
      </c>
      <c r="X5959">
        <v>10</v>
      </c>
      <c r="Y5959" t="s">
        <v>25095</v>
      </c>
      <c r="Z5959" t="s">
        <v>31534</v>
      </c>
      <c r="AA5959">
        <v>0.38616837409538812</v>
      </c>
      <c r="AB5959" t="str">
        <f>HYPERLINK("Melting_Curves/meltCurve_Q9P2D3_3_HEATR5B.pdf", "Melting_Curves/meltCurve_Q9P2D3_3_HEATR5B.pdf")</f>
        <v>Melting_Curves/meltCurve_Q9P2D3_3_HEATR5B.pdf</v>
      </c>
    </row>
    <row r="5960" spans="1:28" x14ac:dyDescent="0.25">
      <c r="A5960" t="s">
        <v>5964</v>
      </c>
      <c r="B5960">
        <v>0.99673306730245903</v>
      </c>
      <c r="C5960">
        <v>0.95413070319878202</v>
      </c>
      <c r="D5960">
        <v>0.93740527818493002</v>
      </c>
      <c r="E5960">
        <v>0.80129181967141905</v>
      </c>
      <c r="F5960">
        <v>0.60189148502935397</v>
      </c>
      <c r="G5960">
        <v>0.37006299416278099</v>
      </c>
      <c r="H5960">
        <v>0.27831881409121201</v>
      </c>
      <c r="I5960">
        <v>0.30081397992192499</v>
      </c>
      <c r="J5960">
        <v>0.32871051924147399</v>
      </c>
      <c r="K5960">
        <v>0.26139943616989503</v>
      </c>
      <c r="L5960">
        <v>1020.01573089213</v>
      </c>
      <c r="M5960">
        <v>19.538452972683299</v>
      </c>
      <c r="N5960">
        <v>54.389951103159</v>
      </c>
      <c r="O5960">
        <v>51.6679049928184</v>
      </c>
      <c r="P5960">
        <v>-6.8838803127948198E-2</v>
      </c>
      <c r="Q5960">
        <v>0.27187074137542</v>
      </c>
      <c r="R5960">
        <v>0.99179318511532399</v>
      </c>
      <c r="S5960" t="s">
        <v>12412</v>
      </c>
      <c r="T5960" t="s">
        <v>12902</v>
      </c>
      <c r="U5960" t="s">
        <v>12902</v>
      </c>
      <c r="V5960" t="s">
        <v>12902</v>
      </c>
      <c r="W5960" t="s">
        <v>18811</v>
      </c>
      <c r="X5960">
        <v>69</v>
      </c>
      <c r="Y5960" t="s">
        <v>25096</v>
      </c>
      <c r="Z5960" t="s">
        <v>31535</v>
      </c>
      <c r="AA5960">
        <v>0.5786021765503343</v>
      </c>
      <c r="AB5960" t="str">
        <f>HYPERLINK("Melting_Curves/meltCurve_Q9P2E9_RRBP1.pdf", "Melting_Curves/meltCurve_Q9P2E9_RRBP1.pdf")</f>
        <v>Melting_Curves/meltCurve_Q9P2E9_RRBP1.pdf</v>
      </c>
    </row>
    <row r="5961" spans="1:28" x14ac:dyDescent="0.25">
      <c r="A5961" t="s">
        <v>5965</v>
      </c>
      <c r="B5961">
        <v>0.99673306730245903</v>
      </c>
      <c r="C5961">
        <v>0.90639653472102499</v>
      </c>
      <c r="D5961">
        <v>0.70489621852182305</v>
      </c>
      <c r="E5961">
        <v>0.42935223307961501</v>
      </c>
      <c r="F5961">
        <v>0.21720680386461699</v>
      </c>
      <c r="G5961">
        <v>0.13113439137112201</v>
      </c>
      <c r="H5961">
        <v>8.2856926508230802E-2</v>
      </c>
      <c r="I5961">
        <v>7.3163076633053895E-2</v>
      </c>
      <c r="J5961">
        <v>6.8184057728571001E-2</v>
      </c>
      <c r="K5961">
        <v>5.2579377243495803E-2</v>
      </c>
      <c r="L5961">
        <v>823.72664915586995</v>
      </c>
      <c r="M5961">
        <v>17.058585413473502</v>
      </c>
      <c r="N5961">
        <v>48.633354508474604</v>
      </c>
      <c r="O5961">
        <v>47.639150174986398</v>
      </c>
      <c r="P5961">
        <v>-8.4419880939760994E-2</v>
      </c>
      <c r="Q5961">
        <v>5.7027038177131201E-2</v>
      </c>
      <c r="R5961">
        <v>0.99926762318698403</v>
      </c>
      <c r="S5961" t="s">
        <v>12413</v>
      </c>
      <c r="T5961" t="s">
        <v>12902</v>
      </c>
      <c r="U5961" t="s">
        <v>12902</v>
      </c>
      <c r="V5961" t="s">
        <v>12902</v>
      </c>
      <c r="W5961" t="s">
        <v>18812</v>
      </c>
      <c r="X5961">
        <v>7</v>
      </c>
      <c r="Y5961" t="s">
        <v>25097</v>
      </c>
      <c r="Z5961" t="s">
        <v>31536</v>
      </c>
      <c r="AA5961">
        <v>0.3360681944538938</v>
      </c>
      <c r="AB5961" t="str">
        <f>HYPERLINK("Melting_Curves/meltCurve_Q9P2I0_CPSF2.pdf", "Melting_Curves/meltCurve_Q9P2I0_CPSF2.pdf")</f>
        <v>Melting_Curves/meltCurve_Q9P2I0_CPSF2.pdf</v>
      </c>
    </row>
    <row r="5962" spans="1:28" x14ac:dyDescent="0.25">
      <c r="A5962" t="s">
        <v>5966</v>
      </c>
      <c r="B5962">
        <v>0.99673306730245903</v>
      </c>
      <c r="C5962">
        <v>0.897852215710082</v>
      </c>
      <c r="D5962">
        <v>0.655642689358784</v>
      </c>
      <c r="E5962">
        <v>0.36492814359006098</v>
      </c>
      <c r="F5962">
        <v>0.22359466846059101</v>
      </c>
      <c r="G5962">
        <v>0.131901037113136</v>
      </c>
      <c r="H5962">
        <v>8.6291825249649304E-2</v>
      </c>
      <c r="I5962">
        <v>8.5162342350061898E-2</v>
      </c>
      <c r="J5962">
        <v>7.4132531155918197E-2</v>
      </c>
      <c r="K5962">
        <v>6.4877790001583099E-2</v>
      </c>
      <c r="L5962">
        <v>839.76573172434405</v>
      </c>
      <c r="M5962">
        <v>17.6555365254208</v>
      </c>
      <c r="N5962">
        <v>47.996028909081801</v>
      </c>
      <c r="O5962">
        <v>46.966288877709303</v>
      </c>
      <c r="P5962">
        <v>-8.7078035896448594E-2</v>
      </c>
      <c r="Q5962">
        <v>7.34888648239721E-2</v>
      </c>
      <c r="R5962">
        <v>0.99791570592939505</v>
      </c>
      <c r="S5962" t="s">
        <v>12414</v>
      </c>
      <c r="T5962" t="s">
        <v>12902</v>
      </c>
      <c r="U5962" t="s">
        <v>12902</v>
      </c>
      <c r="V5962" t="s">
        <v>12902</v>
      </c>
      <c r="W5962" t="s">
        <v>18813</v>
      </c>
      <c r="X5962">
        <v>7</v>
      </c>
      <c r="Y5962" t="s">
        <v>25098</v>
      </c>
      <c r="Z5962" t="s">
        <v>31537</v>
      </c>
      <c r="AA5962">
        <v>0.32447124542584488</v>
      </c>
      <c r="AB5962" t="str">
        <f>HYPERLINK("Melting_Curves/meltCurve_Q9P2J9_PDP2.pdf", "Melting_Curves/meltCurve_Q9P2J9_PDP2.pdf")</f>
        <v>Melting_Curves/meltCurve_Q9P2J9_PDP2.pdf</v>
      </c>
    </row>
    <row r="5963" spans="1:28" x14ac:dyDescent="0.25">
      <c r="A5963" t="s">
        <v>5967</v>
      </c>
      <c r="B5963">
        <v>0.99673306730245903</v>
      </c>
      <c r="C5963">
        <v>0.86232604616470798</v>
      </c>
      <c r="D5963">
        <v>1.2620276226242</v>
      </c>
      <c r="E5963">
        <v>0.85653730716716003</v>
      </c>
      <c r="F5963">
        <v>0.88047282513848002</v>
      </c>
      <c r="G5963">
        <v>0.56163546856731394</v>
      </c>
      <c r="H5963">
        <v>0.57214370164763595</v>
      </c>
      <c r="I5963">
        <v>1.3176253674628799</v>
      </c>
      <c r="J5963">
        <v>1.62815751253709</v>
      </c>
      <c r="K5963">
        <v>1.31590525987014</v>
      </c>
      <c r="L5963">
        <v>15000</v>
      </c>
      <c r="M5963">
        <v>235.096163072758</v>
      </c>
      <c r="O5963">
        <v>63.799084183477298</v>
      </c>
      <c r="P5963">
        <v>0.43485561066316297</v>
      </c>
      <c r="Q5963">
        <v>1.4720345830441699</v>
      </c>
      <c r="R5963">
        <v>0.497058004737778</v>
      </c>
      <c r="S5963" t="s">
        <v>12415</v>
      </c>
      <c r="T5963" t="s">
        <v>12902</v>
      </c>
      <c r="U5963" t="s">
        <v>12902</v>
      </c>
      <c r="V5963" t="s">
        <v>12902</v>
      </c>
      <c r="W5963" t="s">
        <v>18814</v>
      </c>
      <c r="X5963">
        <v>2</v>
      </c>
      <c r="Y5963" t="s">
        <v>25099</v>
      </c>
      <c r="Z5963" t="s">
        <v>31538</v>
      </c>
      <c r="AA5963">
        <v>1.0974361633586589</v>
      </c>
      <c r="AB5963" t="str">
        <f>HYPERLINK("Melting_Curves/meltCurve_Q9P2K2_TXNDC16.pdf", "Melting_Curves/meltCurve_Q9P2K2_TXNDC16.pdf")</f>
        <v>Melting_Curves/meltCurve_Q9P2K2_TXNDC16.pdf</v>
      </c>
    </row>
    <row r="5964" spans="1:28" x14ac:dyDescent="0.25">
      <c r="A5964" t="s">
        <v>5968</v>
      </c>
      <c r="B5964">
        <v>0.99673306730245903</v>
      </c>
      <c r="C5964">
        <v>0.85636429802432101</v>
      </c>
      <c r="D5964">
        <v>0.74480220652119</v>
      </c>
      <c r="E5964">
        <v>0.58152491408389495</v>
      </c>
      <c r="F5964">
        <v>0.340401865056912</v>
      </c>
      <c r="G5964">
        <v>0.165306458443229</v>
      </c>
      <c r="H5964">
        <v>8.9216180736788303E-2</v>
      </c>
      <c r="I5964">
        <v>7.4619888026535894E-2</v>
      </c>
      <c r="J5964">
        <v>7.5062006501782505E-2</v>
      </c>
      <c r="K5964">
        <v>7.8444929394415594E-2</v>
      </c>
      <c r="L5964">
        <v>654.13895476003995</v>
      </c>
      <c r="M5964">
        <v>13.0857156374129</v>
      </c>
      <c r="N5964">
        <v>50.218906643411202</v>
      </c>
      <c r="O5964">
        <v>48.864578907743599</v>
      </c>
      <c r="P5964">
        <v>-6.5011778395537997E-2</v>
      </c>
      <c r="Q5964">
        <v>2.9101253428513801E-2</v>
      </c>
      <c r="R5964">
        <v>0.99349494646322101</v>
      </c>
      <c r="S5964" t="s">
        <v>12416</v>
      </c>
      <c r="T5964" t="s">
        <v>12902</v>
      </c>
      <c r="U5964" t="s">
        <v>12902</v>
      </c>
      <c r="V5964" t="s">
        <v>12902</v>
      </c>
      <c r="W5964" t="s">
        <v>18815</v>
      </c>
      <c r="X5964">
        <v>2</v>
      </c>
      <c r="Y5964" t="s">
        <v>25100</v>
      </c>
      <c r="Z5964" t="s">
        <v>31539</v>
      </c>
      <c r="AA5964">
        <v>0.38163329574619709</v>
      </c>
      <c r="AB5964" t="str">
        <f>HYPERLINK("Melting_Curves/meltCurve_Q9P2K3_RCOR3.pdf", "Melting_Curves/meltCurve_Q9P2K3_RCOR3.pdf")</f>
        <v>Melting_Curves/meltCurve_Q9P2K3_RCOR3.pdf</v>
      </c>
    </row>
    <row r="5965" spans="1:28" x14ac:dyDescent="0.25">
      <c r="A5965" t="s">
        <v>5969</v>
      </c>
      <c r="B5965">
        <v>0.99673306730245903</v>
      </c>
      <c r="C5965">
        <v>0.880716981512777</v>
      </c>
      <c r="D5965">
        <v>0.604619688421284</v>
      </c>
      <c r="E5965">
        <v>0.28380112639503102</v>
      </c>
      <c r="F5965">
        <v>0.19537623620601199</v>
      </c>
      <c r="G5965">
        <v>0.11523180676950399</v>
      </c>
      <c r="H5965">
        <v>9.1221858575334297E-2</v>
      </c>
      <c r="I5965">
        <v>8.5459585205635402E-2</v>
      </c>
      <c r="J5965">
        <v>0.16134935333174799</v>
      </c>
      <c r="K5965">
        <v>0.16057222419650499</v>
      </c>
      <c r="L5965">
        <v>1064.0250114102801</v>
      </c>
      <c r="M5965">
        <v>22.9258188393908</v>
      </c>
      <c r="N5965">
        <v>46.992975454524398</v>
      </c>
      <c r="O5965">
        <v>46.0628705812425</v>
      </c>
      <c r="P5965">
        <v>-0.10906607281963999</v>
      </c>
      <c r="Q5965">
        <v>0.123468808931915</v>
      </c>
      <c r="R5965">
        <v>0.99322368727214005</v>
      </c>
      <c r="S5965" t="s">
        <v>12417</v>
      </c>
      <c r="T5965" t="s">
        <v>12902</v>
      </c>
      <c r="U5965" t="s">
        <v>12902</v>
      </c>
      <c r="V5965" t="s">
        <v>12902</v>
      </c>
      <c r="W5965" t="s">
        <v>18816</v>
      </c>
      <c r="X5965">
        <v>4</v>
      </c>
      <c r="Y5965" t="s">
        <v>25101</v>
      </c>
      <c r="Z5965" t="s">
        <v>31540</v>
      </c>
      <c r="AA5965">
        <v>0.32048419164589459</v>
      </c>
      <c r="AB5965" t="str">
        <f>HYPERLINK("Melting_Curves/meltCurve_Q9P2K5_2_MYEF2.pdf", "Melting_Curves/meltCurve_Q9P2K5_2_MYEF2.pdf")</f>
        <v>Melting_Curves/meltCurve_Q9P2K5_2_MYEF2.pdf</v>
      </c>
    </row>
    <row r="5966" spans="1:28" x14ac:dyDescent="0.25">
      <c r="A5966" t="s">
        <v>5970</v>
      </c>
      <c r="B5966">
        <v>0.99673306730245903</v>
      </c>
      <c r="C5966">
        <v>0.91145491593829797</v>
      </c>
      <c r="D5966">
        <v>0.75873538420687403</v>
      </c>
      <c r="E5966">
        <v>0.71879990807163197</v>
      </c>
      <c r="F5966">
        <v>0.53169116817723205</v>
      </c>
      <c r="G5966">
        <v>0.35147169361771402</v>
      </c>
      <c r="H5966">
        <v>0.15848145011998199</v>
      </c>
      <c r="I5966">
        <v>0.108733419865724</v>
      </c>
      <c r="J5966">
        <v>0.102885882449835</v>
      </c>
      <c r="K5966">
        <v>9.07408582134233E-2</v>
      </c>
      <c r="L5966">
        <v>563.68587206727398</v>
      </c>
      <c r="M5966">
        <v>10.6124337629597</v>
      </c>
      <c r="N5966">
        <v>53.115606437424901</v>
      </c>
      <c r="O5966">
        <v>51.333712212256799</v>
      </c>
      <c r="P5966">
        <v>-5.1703580454627203E-2</v>
      </c>
      <c r="Q5966">
        <v>0</v>
      </c>
      <c r="R5966">
        <v>0.98765147478779103</v>
      </c>
      <c r="S5966" t="s">
        <v>12418</v>
      </c>
      <c r="T5966" t="s">
        <v>12902</v>
      </c>
      <c r="U5966" t="s">
        <v>12902</v>
      </c>
      <c r="V5966" t="s">
        <v>12902</v>
      </c>
      <c r="W5966" t="s">
        <v>18817</v>
      </c>
      <c r="X5966">
        <v>1</v>
      </c>
      <c r="Y5966" t="s">
        <v>25102</v>
      </c>
      <c r="Z5966" t="s">
        <v>31541</v>
      </c>
      <c r="AA5966">
        <v>0.46916805546227758</v>
      </c>
      <c r="AB5966" t="str">
        <f>HYPERLINK("Melting_Curves/meltCurve_Q9P2K6_KLHL42.pdf", "Melting_Curves/meltCurve_Q9P2K6_KLHL42.pdf")</f>
        <v>Melting_Curves/meltCurve_Q9P2K6_KLHL42.pdf</v>
      </c>
    </row>
    <row r="5967" spans="1:28" x14ac:dyDescent="0.25">
      <c r="A5967" t="s">
        <v>5971</v>
      </c>
      <c r="B5967">
        <v>0.99673306730245903</v>
      </c>
      <c r="C5967">
        <v>0.99511846390885506</v>
      </c>
      <c r="D5967">
        <v>1.0588395273508699</v>
      </c>
      <c r="E5967">
        <v>0.91213945481399905</v>
      </c>
      <c r="F5967">
        <v>0.70762528178621298</v>
      </c>
      <c r="G5967">
        <v>0.43676433800581599</v>
      </c>
      <c r="H5967">
        <v>0.37936439428352597</v>
      </c>
      <c r="I5967">
        <v>0.576711343753469</v>
      </c>
      <c r="J5967">
        <v>1.7083435276940799</v>
      </c>
      <c r="K5967">
        <v>1.8634585032922</v>
      </c>
      <c r="L5967">
        <v>15000</v>
      </c>
      <c r="M5967">
        <v>228.608921477352</v>
      </c>
      <c r="O5967">
        <v>65.609215904330199</v>
      </c>
      <c r="P5967">
        <v>0.435550323974978</v>
      </c>
      <c r="Q5967">
        <v>1.5</v>
      </c>
      <c r="R5967">
        <v>0.47726150078154</v>
      </c>
      <c r="S5967" t="s">
        <v>12419</v>
      </c>
      <c r="T5967" t="s">
        <v>12902</v>
      </c>
      <c r="U5967" t="s">
        <v>12902</v>
      </c>
      <c r="V5967" t="s">
        <v>12902</v>
      </c>
      <c r="W5967" t="s">
        <v>18818</v>
      </c>
      <c r="X5967">
        <v>27</v>
      </c>
      <c r="Y5967" t="s">
        <v>25103</v>
      </c>
      <c r="Z5967" t="s">
        <v>31542</v>
      </c>
      <c r="AA5967">
        <v>1.0730271920515191</v>
      </c>
      <c r="AB5967" t="str">
        <f>HYPERLINK("Melting_Curves/meltCurve_Q9P2M7_CGN.pdf", "Melting_Curves/meltCurve_Q9P2M7_CGN.pdf")</f>
        <v>Melting_Curves/meltCurve_Q9P2M7_CGN.pdf</v>
      </c>
    </row>
    <row r="5968" spans="1:28" x14ac:dyDescent="0.25">
      <c r="A5968" t="s">
        <v>5972</v>
      </c>
      <c r="B5968">
        <v>0.99673306730245903</v>
      </c>
      <c r="C5968">
        <v>0.87970998616484597</v>
      </c>
      <c r="D5968">
        <v>0.75708857442242095</v>
      </c>
      <c r="E5968">
        <v>0.46939112640760899</v>
      </c>
      <c r="F5968">
        <v>0.24691777575723101</v>
      </c>
      <c r="G5968">
        <v>0.168613169774986</v>
      </c>
      <c r="H5968">
        <v>9.2116136231870094E-2</v>
      </c>
      <c r="I5968">
        <v>0.101300709011398</v>
      </c>
      <c r="J5968">
        <v>0.12631120806701099</v>
      </c>
      <c r="K5968">
        <v>0.120586402583091</v>
      </c>
      <c r="L5968">
        <v>843.40036407826801</v>
      </c>
      <c r="M5968">
        <v>17.400868535238001</v>
      </c>
      <c r="N5968">
        <v>49.086587360578498</v>
      </c>
      <c r="O5968">
        <v>47.842319238915103</v>
      </c>
      <c r="P5968">
        <v>-8.1991843010702795E-2</v>
      </c>
      <c r="Q5968">
        <v>9.8330348083420893E-2</v>
      </c>
      <c r="R5968">
        <v>0.996661561939167</v>
      </c>
      <c r="S5968" t="s">
        <v>12420</v>
      </c>
      <c r="T5968" t="s">
        <v>12902</v>
      </c>
      <c r="U5968" t="s">
        <v>12902</v>
      </c>
      <c r="V5968" t="s">
        <v>12902</v>
      </c>
      <c r="W5968" t="s">
        <v>18819</v>
      </c>
      <c r="X5968">
        <v>22</v>
      </c>
      <c r="Y5968" t="s">
        <v>25104</v>
      </c>
      <c r="Z5968" t="s">
        <v>31543</v>
      </c>
      <c r="AA5968">
        <v>0.36979102120548663</v>
      </c>
      <c r="AB5968" t="str">
        <f>HYPERLINK("Melting_Curves/meltCurve_Q9P2N5_RBM27.pdf", "Melting_Curves/meltCurve_Q9P2N5_RBM27.pdf")</f>
        <v>Melting_Curves/meltCurve_Q9P2N5_RBM27.pdf</v>
      </c>
    </row>
    <row r="5969" spans="1:28" x14ac:dyDescent="0.25">
      <c r="A5969" t="s">
        <v>5973</v>
      </c>
      <c r="B5969">
        <v>0.99673306730245903</v>
      </c>
      <c r="C5969">
        <v>0.91387003318674298</v>
      </c>
      <c r="D5969">
        <v>0.48466892264119099</v>
      </c>
      <c r="E5969">
        <v>0.24739117744724001</v>
      </c>
      <c r="F5969">
        <v>0.174310144442304</v>
      </c>
      <c r="G5969">
        <v>0.10503579311509099</v>
      </c>
      <c r="H5969">
        <v>6.0594739148533097E-2</v>
      </c>
      <c r="I5969">
        <v>5.3060560131352297E-2</v>
      </c>
      <c r="J5969">
        <v>6.3451596343606198E-2</v>
      </c>
      <c r="K5969">
        <v>5.9422182427633301E-2</v>
      </c>
      <c r="L5969">
        <v>1095.97053370002</v>
      </c>
      <c r="M5969">
        <v>23.825596374356</v>
      </c>
      <c r="N5969">
        <v>46.331619821243002</v>
      </c>
      <c r="O5969">
        <v>45.679340134921702</v>
      </c>
      <c r="P5969">
        <v>-0.120167196691546</v>
      </c>
      <c r="Q5969">
        <v>7.8458708353784296E-2</v>
      </c>
      <c r="R5969">
        <v>0.98906438246116202</v>
      </c>
      <c r="S5969" t="s">
        <v>12421</v>
      </c>
      <c r="T5969" t="s">
        <v>12902</v>
      </c>
      <c r="U5969" t="s">
        <v>12902</v>
      </c>
      <c r="V5969" t="s">
        <v>12902</v>
      </c>
      <c r="W5969" t="s">
        <v>18820</v>
      </c>
      <c r="X5969">
        <v>10</v>
      </c>
      <c r="Y5969" t="s">
        <v>25105</v>
      </c>
      <c r="Z5969" t="s">
        <v>31544</v>
      </c>
      <c r="AA5969">
        <v>0.27227193960957502</v>
      </c>
      <c r="AB5969" t="str">
        <f>HYPERLINK("Melting_Curves/meltCurve_Q9P2R3_ANKFY1.pdf", "Melting_Curves/meltCurve_Q9P2R3_ANKFY1.pdf")</f>
        <v>Melting_Curves/meltCurve_Q9P2R3_ANKFY1.pdf</v>
      </c>
    </row>
    <row r="5970" spans="1:28" x14ac:dyDescent="0.25">
      <c r="A5970" t="s">
        <v>5974</v>
      </c>
      <c r="B5970">
        <v>0.99673306730245903</v>
      </c>
      <c r="C5970">
        <v>0.89716507947968205</v>
      </c>
      <c r="D5970">
        <v>0.85212743051585005</v>
      </c>
      <c r="E5970">
        <v>0.80965176641094805</v>
      </c>
      <c r="F5970">
        <v>0.69050096011760598</v>
      </c>
      <c r="G5970">
        <v>0.58876223224499202</v>
      </c>
      <c r="H5970">
        <v>0.47694874127967701</v>
      </c>
      <c r="I5970">
        <v>0.63232415329334601</v>
      </c>
      <c r="J5970">
        <v>0.80131226423994195</v>
      </c>
      <c r="K5970">
        <v>0.85356192337436698</v>
      </c>
      <c r="L5970">
        <v>851.09236852441404</v>
      </c>
      <c r="M5970">
        <v>18.356291129930799</v>
      </c>
      <c r="O5970">
        <v>45.825424077823897</v>
      </c>
      <c r="P5970">
        <v>-3.2658547979476399E-2</v>
      </c>
      <c r="Q5970">
        <v>0.67389430530493299</v>
      </c>
      <c r="R5970">
        <v>0.535901684869457</v>
      </c>
      <c r="S5970" t="s">
        <v>12422</v>
      </c>
      <c r="T5970" t="s">
        <v>12902</v>
      </c>
      <c r="U5970" t="s">
        <v>12902</v>
      </c>
      <c r="V5970" t="s">
        <v>12902</v>
      </c>
      <c r="W5970" t="s">
        <v>18821</v>
      </c>
      <c r="X5970">
        <v>9</v>
      </c>
      <c r="Y5970" t="s">
        <v>25106</v>
      </c>
      <c r="Z5970" t="s">
        <v>31545</v>
      </c>
      <c r="AA5970">
        <v>0.74905672270088552</v>
      </c>
      <c r="AB5970" t="str">
        <f>HYPERLINK("Melting_Curves/meltCurve_Q9P2R6_RERE.pdf", "Melting_Curves/meltCurve_Q9P2R6_RERE.pdf")</f>
        <v>Melting_Curves/meltCurve_Q9P2R6_RERE.pdf</v>
      </c>
    </row>
    <row r="5971" spans="1:28" x14ac:dyDescent="0.25">
      <c r="A5971" t="s">
        <v>5975</v>
      </c>
      <c r="B5971">
        <v>0.99673306730245903</v>
      </c>
      <c r="C5971">
        <v>0.99834987560979305</v>
      </c>
      <c r="D5971">
        <v>0.56827800680956697</v>
      </c>
      <c r="E5971">
        <v>0.31155977865151402</v>
      </c>
      <c r="F5971">
        <v>0.17672061266862699</v>
      </c>
      <c r="G5971">
        <v>0.140355602551058</v>
      </c>
      <c r="H5971">
        <v>9.8019631012099706E-2</v>
      </c>
      <c r="I5971">
        <v>9.9360314478987799E-2</v>
      </c>
      <c r="J5971">
        <v>8.3192962087886194E-2</v>
      </c>
      <c r="K5971">
        <v>7.6223982839234497E-2</v>
      </c>
      <c r="L5971">
        <v>1146.2294970943101</v>
      </c>
      <c r="M5971">
        <v>24.552165536569898</v>
      </c>
      <c r="N5971">
        <v>47.134746744349698</v>
      </c>
      <c r="O5971">
        <v>46.379071172917698</v>
      </c>
      <c r="P5971">
        <v>-0.11853977848115101</v>
      </c>
      <c r="Q5971">
        <v>0.104325785105775</v>
      </c>
      <c r="R5971">
        <v>0.98643211601386704</v>
      </c>
      <c r="S5971" t="s">
        <v>12423</v>
      </c>
      <c r="T5971" t="s">
        <v>12902</v>
      </c>
      <c r="U5971" t="s">
        <v>12902</v>
      </c>
      <c r="V5971" t="s">
        <v>12902</v>
      </c>
      <c r="W5971" t="s">
        <v>18822</v>
      </c>
      <c r="X5971">
        <v>1</v>
      </c>
      <c r="Y5971" t="s">
        <v>25107</v>
      </c>
      <c r="Z5971" t="s">
        <v>31546</v>
      </c>
      <c r="AA5971">
        <v>0.31231520580918798</v>
      </c>
      <c r="AB5971" t="str">
        <f>HYPERLINK("Melting_Curves/meltCurve_Q9P2W1_2_PSMC3IP.pdf", "Melting_Curves/meltCurve_Q9P2W1_2_PSMC3IP.pdf")</f>
        <v>Melting_Curves/meltCurve_Q9P2W1_2_PSMC3IP.pdf</v>
      </c>
    </row>
    <row r="5972" spans="1:28" x14ac:dyDescent="0.25">
      <c r="A5972" t="s">
        <v>5976</v>
      </c>
      <c r="B5972">
        <v>0.99673306730245903</v>
      </c>
      <c r="C5972">
        <v>0.93762155016791804</v>
      </c>
      <c r="D5972">
        <v>0.911783709365101</v>
      </c>
      <c r="E5972">
        <v>0.73129537432557301</v>
      </c>
      <c r="F5972">
        <v>0.64403718654601605</v>
      </c>
      <c r="G5972">
        <v>0.50860594908387002</v>
      </c>
      <c r="H5972">
        <v>0.32586720105429801</v>
      </c>
      <c r="I5972">
        <v>0.20230823368817699</v>
      </c>
      <c r="J5972">
        <v>0.15184694808142299</v>
      </c>
      <c r="K5972">
        <v>0.13250654940472101</v>
      </c>
      <c r="L5972">
        <v>546.217124942841</v>
      </c>
      <c r="M5972">
        <v>9.7362698765761309</v>
      </c>
      <c r="N5972">
        <v>56.1012649749376</v>
      </c>
      <c r="O5972">
        <v>53.8880711823127</v>
      </c>
      <c r="P5972">
        <v>-4.5193277743529499E-2</v>
      </c>
      <c r="Q5972">
        <v>0</v>
      </c>
      <c r="R5972">
        <v>0.99396981479956803</v>
      </c>
      <c r="S5972" t="s">
        <v>12424</v>
      </c>
      <c r="T5972" t="s">
        <v>12902</v>
      </c>
      <c r="U5972" t="s">
        <v>12902</v>
      </c>
      <c r="V5972" t="s">
        <v>12902</v>
      </c>
      <c r="W5972" t="s">
        <v>18823</v>
      </c>
      <c r="X5972">
        <v>2</v>
      </c>
      <c r="Y5972" t="s">
        <v>25108</v>
      </c>
      <c r="Z5972" t="s">
        <v>31547</v>
      </c>
      <c r="AA5972">
        <v>0.55724221858265133</v>
      </c>
      <c r="AB5972" t="str">
        <f>HYPERLINK("Melting_Curves/meltCurve_Q9P2X0_DPM3.pdf", "Melting_Curves/meltCurve_Q9P2X0_DPM3.pdf")</f>
        <v>Melting_Curves/meltCurve_Q9P2X0_DPM3.pdf</v>
      </c>
    </row>
    <row r="5973" spans="1:28" x14ac:dyDescent="0.25">
      <c r="A5973" t="s">
        <v>5977</v>
      </c>
      <c r="B5973">
        <v>0.99673306730245903</v>
      </c>
      <c r="C5973">
        <v>0.74817632458628303</v>
      </c>
      <c r="D5973">
        <v>0.96368915967465096</v>
      </c>
      <c r="E5973">
        <v>0.54959702012689704</v>
      </c>
      <c r="F5973">
        <v>0.43721772702224398</v>
      </c>
      <c r="G5973">
        <v>0.35333086044390699</v>
      </c>
      <c r="H5973">
        <v>0.19042138353597601</v>
      </c>
      <c r="I5973">
        <v>0.14955186567331799</v>
      </c>
      <c r="J5973">
        <v>0.22069131015475099</v>
      </c>
      <c r="K5973">
        <v>0.23779137546803</v>
      </c>
      <c r="L5973">
        <v>679.25229263928895</v>
      </c>
      <c r="M5973">
        <v>13.556137359387</v>
      </c>
      <c r="N5973">
        <v>51.6929978583848</v>
      </c>
      <c r="O5973">
        <v>49.053963473149601</v>
      </c>
      <c r="P5973">
        <v>-5.7340184940787603E-2</v>
      </c>
      <c r="Q5973">
        <v>0.17016441088145901</v>
      </c>
      <c r="R5973">
        <v>0.92303891932644799</v>
      </c>
      <c r="S5973" t="s">
        <v>12425</v>
      </c>
      <c r="T5973" t="s">
        <v>12902</v>
      </c>
      <c r="U5973" t="s">
        <v>12902</v>
      </c>
      <c r="V5973" t="s">
        <v>12902</v>
      </c>
      <c r="W5973" t="s">
        <v>18824</v>
      </c>
      <c r="X5973">
        <v>1</v>
      </c>
      <c r="Y5973" t="s">
        <v>25109</v>
      </c>
      <c r="Z5973" t="s">
        <v>31548</v>
      </c>
      <c r="AA5973">
        <v>0.47318465289324357</v>
      </c>
      <c r="AB5973" t="str">
        <f>HYPERLINK("Melting_Curves/meltCurve_Q9P2Y4_ZNF219.pdf", "Melting_Curves/meltCurve_Q9P2Y4_ZNF219.pdf")</f>
        <v>Melting_Curves/meltCurve_Q9P2Y4_ZNF219.pdf</v>
      </c>
    </row>
    <row r="5974" spans="1:28" x14ac:dyDescent="0.25">
      <c r="A5974" t="s">
        <v>5978</v>
      </c>
      <c r="B5974">
        <v>0.99673306730245903</v>
      </c>
      <c r="C5974">
        <v>0.92122826935632396</v>
      </c>
      <c r="D5974">
        <v>0.88678693992053703</v>
      </c>
      <c r="E5974">
        <v>0.90074460623382901</v>
      </c>
      <c r="F5974">
        <v>0.28754066390472599</v>
      </c>
      <c r="G5974">
        <v>0.1385244980998</v>
      </c>
      <c r="H5974">
        <v>7.5518033320749203E-2</v>
      </c>
      <c r="I5974">
        <v>7.0175483362603305E-2</v>
      </c>
      <c r="J5974">
        <v>6.9773898366973106E-2</v>
      </c>
      <c r="K5974">
        <v>5.53489588787252E-2</v>
      </c>
      <c r="L5974">
        <v>2267.4056664726299</v>
      </c>
      <c r="M5974">
        <v>43.7636531970942</v>
      </c>
      <c r="N5974">
        <v>52.006149281289503</v>
      </c>
      <c r="O5974">
        <v>51.702417198577301</v>
      </c>
      <c r="P5974">
        <v>-0.19553273031358201</v>
      </c>
      <c r="Q5974">
        <v>7.5991212139116901E-2</v>
      </c>
      <c r="R5974">
        <v>0.98707867204687905</v>
      </c>
      <c r="S5974" t="s">
        <v>12426</v>
      </c>
      <c r="T5974" t="s">
        <v>12902</v>
      </c>
      <c r="U5974" t="s">
        <v>12902</v>
      </c>
      <c r="V5974" t="s">
        <v>12902</v>
      </c>
      <c r="W5974" t="s">
        <v>18825</v>
      </c>
      <c r="X5974">
        <v>19</v>
      </c>
      <c r="Y5974" t="s">
        <v>25110</v>
      </c>
      <c r="Z5974" t="s">
        <v>31549</v>
      </c>
      <c r="AA5974">
        <v>0.44251068991518111</v>
      </c>
      <c r="AB5974" t="str">
        <f>HYPERLINK("Melting_Curves/meltCurve_Q9UBB4_ATXN10.pdf", "Melting_Curves/meltCurve_Q9UBB4_ATXN10.pdf")</f>
        <v>Melting_Curves/meltCurve_Q9UBB4_ATXN10.pdf</v>
      </c>
    </row>
    <row r="5975" spans="1:28" x14ac:dyDescent="0.25">
      <c r="A5975" t="s">
        <v>5979</v>
      </c>
      <c r="B5975">
        <v>0.99673306730245903</v>
      </c>
      <c r="C5975">
        <v>0.88561616607246296</v>
      </c>
      <c r="D5975">
        <v>0.715249585850255</v>
      </c>
      <c r="E5975">
        <v>0.53929264942153698</v>
      </c>
      <c r="F5975">
        <v>0.38352007208948102</v>
      </c>
      <c r="G5975">
        <v>0.21684928218083899</v>
      </c>
      <c r="H5975">
        <v>0.15017897033793401</v>
      </c>
      <c r="I5975">
        <v>0.222675428768359</v>
      </c>
      <c r="J5975">
        <v>0.238479693099961</v>
      </c>
      <c r="K5975">
        <v>0.33269883853724203</v>
      </c>
      <c r="L5975">
        <v>791.94951901432</v>
      </c>
      <c r="M5975">
        <v>16.5224546635359</v>
      </c>
      <c r="N5975">
        <v>49.692242308609401</v>
      </c>
      <c r="O5975">
        <v>47.246074070947898</v>
      </c>
      <c r="P5975">
        <v>-6.8062721217632294E-2</v>
      </c>
      <c r="Q5975">
        <v>0.22155048927833099</v>
      </c>
      <c r="R5975">
        <v>0.965948514065887</v>
      </c>
      <c r="S5975" t="s">
        <v>12427</v>
      </c>
      <c r="T5975" t="s">
        <v>12902</v>
      </c>
      <c r="U5975" t="s">
        <v>12902</v>
      </c>
      <c r="V5975" t="s">
        <v>12902</v>
      </c>
      <c r="W5975" t="s">
        <v>18826</v>
      </c>
      <c r="X5975">
        <v>3</v>
      </c>
      <c r="Y5975" t="s">
        <v>25111</v>
      </c>
      <c r="Z5975" t="s">
        <v>31550</v>
      </c>
      <c r="AA5975">
        <v>0.44389723546423898</v>
      </c>
      <c r="AB5975" t="str">
        <f>HYPERLINK("Melting_Curves/meltCurve_Q9UBB5_MBD2.pdf", "Melting_Curves/meltCurve_Q9UBB5_MBD2.pdf")</f>
        <v>Melting_Curves/meltCurve_Q9UBB5_MBD2.pdf</v>
      </c>
    </row>
    <row r="5976" spans="1:28" x14ac:dyDescent="0.25">
      <c r="A5976" t="s">
        <v>5980</v>
      </c>
      <c r="B5976">
        <v>0.99673306730245903</v>
      </c>
      <c r="C5976">
        <v>1.0070203453659401</v>
      </c>
      <c r="D5976">
        <v>0.90035638389867001</v>
      </c>
      <c r="E5976">
        <v>0.54253103092309996</v>
      </c>
      <c r="F5976">
        <v>0.19296248213853501</v>
      </c>
      <c r="G5976">
        <v>0.12362536268101</v>
      </c>
      <c r="H5976">
        <v>7.7601477952211298E-2</v>
      </c>
      <c r="I5976">
        <v>6.86778999181408E-2</v>
      </c>
      <c r="J5976">
        <v>6.5136565601519203E-2</v>
      </c>
      <c r="K5976">
        <v>4.1662848126323801E-2</v>
      </c>
      <c r="L5976">
        <v>1324.7590224994599</v>
      </c>
      <c r="M5976">
        <v>26.665694823399399</v>
      </c>
      <c r="N5976">
        <v>49.9416397059858</v>
      </c>
      <c r="O5976">
        <v>49.403410160276799</v>
      </c>
      <c r="P5976">
        <v>-0.12615188723592199</v>
      </c>
      <c r="Q5976">
        <v>6.5125945867560806E-2</v>
      </c>
      <c r="R5976">
        <v>0.998842082133929</v>
      </c>
      <c r="S5976" t="s">
        <v>12428</v>
      </c>
      <c r="T5976" t="s">
        <v>12902</v>
      </c>
      <c r="U5976" t="s">
        <v>12902</v>
      </c>
      <c r="V5976" t="s">
        <v>12902</v>
      </c>
      <c r="W5976" t="s">
        <v>18827</v>
      </c>
      <c r="X5976">
        <v>11</v>
      </c>
      <c r="Y5976" t="s">
        <v>25112</v>
      </c>
      <c r="Z5976" t="s">
        <v>31551</v>
      </c>
      <c r="AA5976">
        <v>0.37409539840963629</v>
      </c>
      <c r="AB5976" t="str">
        <f>HYPERLINK("Melting_Curves/meltCurve_Q9UBB6_NCDN.pdf", "Melting_Curves/meltCurve_Q9UBB6_NCDN.pdf")</f>
        <v>Melting_Curves/meltCurve_Q9UBB6_NCDN.pdf</v>
      </c>
    </row>
    <row r="5977" spans="1:28" x14ac:dyDescent="0.25">
      <c r="A5977" t="s">
        <v>5981</v>
      </c>
      <c r="B5977">
        <v>0.99673306730245903</v>
      </c>
      <c r="C5977">
        <v>0.849740180507634</v>
      </c>
      <c r="D5977">
        <v>0.74273320838587598</v>
      </c>
      <c r="E5977">
        <v>0.56043316119238396</v>
      </c>
      <c r="F5977">
        <v>0.44153139685124498</v>
      </c>
      <c r="G5977">
        <v>0.26419083498469498</v>
      </c>
      <c r="H5977">
        <v>0.18175415564290801</v>
      </c>
      <c r="I5977">
        <v>0.147309146141261</v>
      </c>
      <c r="J5977">
        <v>0.189656660659453</v>
      </c>
      <c r="K5977">
        <v>0.22737060720243699</v>
      </c>
      <c r="L5977">
        <v>613.91009107708396</v>
      </c>
      <c r="M5977">
        <v>12.4535638442776</v>
      </c>
      <c r="N5977">
        <v>50.727094049977801</v>
      </c>
      <c r="O5977">
        <v>48.076593022705197</v>
      </c>
      <c r="P5977">
        <v>-5.51776224188196E-2</v>
      </c>
      <c r="Q5977">
        <v>0.14813155184073001</v>
      </c>
      <c r="R5977">
        <v>0.98469926951847897</v>
      </c>
      <c r="S5977" t="s">
        <v>12429</v>
      </c>
      <c r="T5977" t="s">
        <v>12902</v>
      </c>
      <c r="U5977" t="s">
        <v>12902</v>
      </c>
      <c r="V5977" t="s">
        <v>12902</v>
      </c>
      <c r="W5977" t="s">
        <v>18828</v>
      </c>
      <c r="X5977">
        <v>5</v>
      </c>
      <c r="Y5977" t="s">
        <v>25113</v>
      </c>
      <c r="Z5977" t="s">
        <v>31552</v>
      </c>
      <c r="AA5977">
        <v>0.44100036123983521</v>
      </c>
      <c r="AB5977" t="str">
        <f>HYPERLINK("Melting_Curves/meltCurve_Q9UBB9_TFIP11.pdf", "Melting_Curves/meltCurve_Q9UBB9_TFIP11.pdf")</f>
        <v>Melting_Curves/meltCurve_Q9UBB9_TFIP11.pdf</v>
      </c>
    </row>
    <row r="5978" spans="1:28" x14ac:dyDescent="0.25">
      <c r="A5978" t="s">
        <v>5982</v>
      </c>
      <c r="B5978">
        <v>0.99673306730245903</v>
      </c>
      <c r="C5978">
        <v>0.95285710457785</v>
      </c>
      <c r="D5978">
        <v>0.82380074876307596</v>
      </c>
      <c r="E5978">
        <v>0.46525640930355799</v>
      </c>
      <c r="F5978">
        <v>0.18237630712775299</v>
      </c>
      <c r="G5978">
        <v>0.105452716493419</v>
      </c>
      <c r="H5978">
        <v>6.5377617384327902E-2</v>
      </c>
      <c r="I5978">
        <v>5.7716493563637401E-2</v>
      </c>
      <c r="J5978">
        <v>7.0612914069183297E-2</v>
      </c>
      <c r="K5978">
        <v>6.5354184136215604E-2</v>
      </c>
      <c r="L5978">
        <v>1116.7254211029899</v>
      </c>
      <c r="M5978">
        <v>22.814305244825601</v>
      </c>
      <c r="N5978">
        <v>49.226855244929098</v>
      </c>
      <c r="O5978">
        <v>48.5770564327049</v>
      </c>
      <c r="P5978">
        <v>-0.11030925466804101</v>
      </c>
      <c r="Q5978">
        <v>6.0520194413600098E-2</v>
      </c>
      <c r="R5978">
        <v>0.99969352685133095</v>
      </c>
      <c r="S5978" t="s">
        <v>12430</v>
      </c>
      <c r="T5978" t="s">
        <v>12902</v>
      </c>
      <c r="U5978" t="s">
        <v>12902</v>
      </c>
      <c r="V5978" t="s">
        <v>12902</v>
      </c>
      <c r="W5978" t="s">
        <v>18829</v>
      </c>
      <c r="X5978">
        <v>19</v>
      </c>
      <c r="Y5978" t="s">
        <v>20469</v>
      </c>
      <c r="Z5978" t="s">
        <v>31553</v>
      </c>
      <c r="AA5978">
        <v>0.35080142477094173</v>
      </c>
      <c r="AB5978" t="str">
        <f>HYPERLINK("Melting_Curves/meltCurve_Q9UBC2_2_EPS15L1.pdf", "Melting_Curves/meltCurve_Q9UBC2_2_EPS15L1.pdf")</f>
        <v>Melting_Curves/meltCurve_Q9UBC2_2_EPS15L1.pdf</v>
      </c>
    </row>
    <row r="5979" spans="1:28" x14ac:dyDescent="0.25">
      <c r="A5979" t="s">
        <v>5983</v>
      </c>
      <c r="B5979">
        <v>0.99673306730245903</v>
      </c>
      <c r="C5979">
        <v>1.00846842927846</v>
      </c>
      <c r="D5979">
        <v>0.82200295649134703</v>
      </c>
      <c r="E5979">
        <v>0.48747227222086198</v>
      </c>
      <c r="F5979">
        <v>0.291576135968933</v>
      </c>
      <c r="G5979">
        <v>0.175527272354397</v>
      </c>
      <c r="H5979">
        <v>9.9436671037015603E-2</v>
      </c>
      <c r="I5979">
        <v>8.8758492201988101E-2</v>
      </c>
      <c r="J5979">
        <v>0.104789172960809</v>
      </c>
      <c r="K5979">
        <v>9.0858199509615101E-2</v>
      </c>
      <c r="L5979">
        <v>985.26967676427103</v>
      </c>
      <c r="M5979">
        <v>19.997404609078799</v>
      </c>
      <c r="N5979">
        <v>49.7917958098081</v>
      </c>
      <c r="O5979">
        <v>48.785106898012302</v>
      </c>
      <c r="P5979">
        <v>-9.2790726450516406E-2</v>
      </c>
      <c r="Q5979">
        <v>9.4550784882199701E-2</v>
      </c>
      <c r="R5979">
        <v>0.99590754617755906</v>
      </c>
      <c r="S5979" t="s">
        <v>12431</v>
      </c>
      <c r="T5979" t="s">
        <v>12902</v>
      </c>
      <c r="U5979" t="s">
        <v>12902</v>
      </c>
      <c r="V5979" t="s">
        <v>12902</v>
      </c>
      <c r="W5979" t="s">
        <v>18830</v>
      </c>
      <c r="X5979">
        <v>18</v>
      </c>
      <c r="Y5979" t="s">
        <v>20469</v>
      </c>
      <c r="Z5979" t="s">
        <v>31554</v>
      </c>
      <c r="AA5979">
        <v>0.38698902759674431</v>
      </c>
      <c r="AB5979" t="str">
        <f>HYPERLINK("Melting_Curves/meltCurve_Q9UBC2_4_EPS15L1.pdf", "Melting_Curves/meltCurve_Q9UBC2_4_EPS15L1.pdf")</f>
        <v>Melting_Curves/meltCurve_Q9UBC2_4_EPS15L1.pdf</v>
      </c>
    </row>
    <row r="5980" spans="1:28" x14ac:dyDescent="0.25">
      <c r="A5980" t="s">
        <v>5984</v>
      </c>
      <c r="B5980">
        <v>0.99673306730245903</v>
      </c>
      <c r="C5980">
        <v>0.87201679860820003</v>
      </c>
      <c r="D5980">
        <v>0.70249508596828703</v>
      </c>
      <c r="E5980">
        <v>0.34552866287573802</v>
      </c>
      <c r="F5980">
        <v>0.180037424566862</v>
      </c>
      <c r="G5980">
        <v>0.116005122947136</v>
      </c>
      <c r="H5980">
        <v>8.3301505832280104E-2</v>
      </c>
      <c r="I5980">
        <v>6.2582057933219998E-2</v>
      </c>
      <c r="J5980">
        <v>6.7067554592471296E-2</v>
      </c>
      <c r="K5980">
        <v>7.1358885218657506E-2</v>
      </c>
      <c r="L5980">
        <v>913.34024729235296</v>
      </c>
      <c r="M5980">
        <v>19.1907548956741</v>
      </c>
      <c r="N5980">
        <v>47.9484635459849</v>
      </c>
      <c r="O5980">
        <v>47.084991875725997</v>
      </c>
      <c r="P5980">
        <v>-9.5136736700584895E-2</v>
      </c>
      <c r="Q5980">
        <v>6.6354752023261299E-2</v>
      </c>
      <c r="R5980">
        <v>0.99837553251510502</v>
      </c>
      <c r="S5980" t="s">
        <v>12432</v>
      </c>
      <c r="T5980" t="s">
        <v>12902</v>
      </c>
      <c r="U5980" t="s">
        <v>12902</v>
      </c>
      <c r="V5980" t="s">
        <v>12902</v>
      </c>
      <c r="W5980" t="s">
        <v>18831</v>
      </c>
      <c r="X5980">
        <v>6</v>
      </c>
      <c r="Y5980" t="s">
        <v>25114</v>
      </c>
      <c r="Z5980" t="s">
        <v>31555</v>
      </c>
      <c r="AA5980">
        <v>0.31729621478373082</v>
      </c>
      <c r="AB5980" t="str">
        <f>HYPERLINK("Melting_Curves/meltCurve_Q9UBD5_ORC3.pdf", "Melting_Curves/meltCurve_Q9UBD5_ORC3.pdf")</f>
        <v>Melting_Curves/meltCurve_Q9UBD5_ORC3.pdf</v>
      </c>
    </row>
    <row r="5981" spans="1:28" x14ac:dyDescent="0.25">
      <c r="A5981" t="s">
        <v>5985</v>
      </c>
      <c r="B5981">
        <v>0.99673306730245903</v>
      </c>
      <c r="C5981">
        <v>0.92871413730403896</v>
      </c>
      <c r="D5981">
        <v>0.81051729305846498</v>
      </c>
      <c r="E5981">
        <v>0.82576772560870604</v>
      </c>
      <c r="F5981">
        <v>0.29836647469719701</v>
      </c>
      <c r="G5981">
        <v>0.15533252155583599</v>
      </c>
      <c r="H5981">
        <v>8.3492906262417399E-2</v>
      </c>
      <c r="I5981">
        <v>6.8976771029987699E-2</v>
      </c>
      <c r="J5981">
        <v>7.3771948675707896E-2</v>
      </c>
      <c r="K5981">
        <v>6.2763501295560603E-2</v>
      </c>
      <c r="L5981">
        <v>1347.10657179178</v>
      </c>
      <c r="M5981">
        <v>26.162693968886298</v>
      </c>
      <c r="N5981">
        <v>51.764030646040503</v>
      </c>
      <c r="O5981">
        <v>51.191581193397603</v>
      </c>
      <c r="P5981">
        <v>-0.119496480384336</v>
      </c>
      <c r="Q5981">
        <v>6.4752670418730895E-2</v>
      </c>
      <c r="R5981">
        <v>0.97587048910678098</v>
      </c>
      <c r="S5981" t="s">
        <v>12433</v>
      </c>
      <c r="T5981" t="s">
        <v>12902</v>
      </c>
      <c r="U5981" t="s">
        <v>12902</v>
      </c>
      <c r="V5981" t="s">
        <v>12902</v>
      </c>
      <c r="W5981" t="s">
        <v>18832</v>
      </c>
      <c r="X5981">
        <v>24</v>
      </c>
      <c r="Y5981" t="s">
        <v>25115</v>
      </c>
      <c r="Z5981" t="s">
        <v>31556</v>
      </c>
      <c r="AA5981">
        <v>0.43071132372149279</v>
      </c>
      <c r="AB5981" t="str">
        <f>HYPERLINK("Melting_Curves/meltCurve_Q9UBE0_SAE1.pdf", "Melting_Curves/meltCurve_Q9UBE0_SAE1.pdf")</f>
        <v>Melting_Curves/meltCurve_Q9UBE0_SAE1.pdf</v>
      </c>
    </row>
    <row r="5982" spans="1:28" x14ac:dyDescent="0.25">
      <c r="A5982" t="s">
        <v>5986</v>
      </c>
      <c r="B5982">
        <v>0.99673306730245903</v>
      </c>
      <c r="C5982">
        <v>0.95200917354224701</v>
      </c>
      <c r="D5982">
        <v>1.0295961002560099</v>
      </c>
      <c r="E5982">
        <v>1.1729340784787801</v>
      </c>
      <c r="F5982">
        <v>0.64776382861525095</v>
      </c>
      <c r="G5982">
        <v>0.23315513323523401</v>
      </c>
      <c r="H5982">
        <v>0.12214114533515499</v>
      </c>
      <c r="I5982">
        <v>0.10593738026827899</v>
      </c>
      <c r="J5982">
        <v>0.10462589850221</v>
      </c>
      <c r="K5982">
        <v>8.994305512023E-2</v>
      </c>
      <c r="L5982">
        <v>2567.8363236519499</v>
      </c>
      <c r="M5982">
        <v>47.7134208341866</v>
      </c>
      <c r="N5982">
        <v>54.113379870699298</v>
      </c>
      <c r="O5982">
        <v>53.723620498461202</v>
      </c>
      <c r="P5982">
        <v>-0.19656981025596301</v>
      </c>
      <c r="Q5982">
        <v>0.11467834877409699</v>
      </c>
      <c r="R5982">
        <v>0.97718554764773302</v>
      </c>
      <c r="S5982" t="s">
        <v>12434</v>
      </c>
      <c r="T5982" t="s">
        <v>12902</v>
      </c>
      <c r="U5982" t="s">
        <v>12902</v>
      </c>
      <c r="V5982" t="s">
        <v>12902</v>
      </c>
      <c r="W5982" t="s">
        <v>18833</v>
      </c>
      <c r="X5982">
        <v>24</v>
      </c>
      <c r="Y5982" t="s">
        <v>25116</v>
      </c>
      <c r="Z5982" t="s">
        <v>31557</v>
      </c>
      <c r="AA5982">
        <v>0.52476295448563626</v>
      </c>
      <c r="AB5982" t="str">
        <f>HYPERLINK("Melting_Curves/meltCurve_Q9UBF2_COPG2.pdf", "Melting_Curves/meltCurve_Q9UBF2_COPG2.pdf")</f>
        <v>Melting_Curves/meltCurve_Q9UBF2_COPG2.pdf</v>
      </c>
    </row>
    <row r="5983" spans="1:28" x14ac:dyDescent="0.25">
      <c r="A5983" t="s">
        <v>5987</v>
      </c>
      <c r="B5983">
        <v>0.99673306730245903</v>
      </c>
      <c r="C5983">
        <v>0.98880662770646</v>
      </c>
      <c r="D5983">
        <v>1.02199654617474</v>
      </c>
      <c r="E5983">
        <v>1.0511010546997099</v>
      </c>
      <c r="F5983">
        <v>1.0735656033165299</v>
      </c>
      <c r="G5983">
        <v>0.76107356751414301</v>
      </c>
      <c r="H5983">
        <v>0.44653880141491298</v>
      </c>
      <c r="I5983">
        <v>0.58240026976845605</v>
      </c>
      <c r="J5983">
        <v>0.68890374566684498</v>
      </c>
      <c r="K5983">
        <v>0.65765568723575196</v>
      </c>
      <c r="L5983">
        <v>14179.7240247515</v>
      </c>
      <c r="M5983">
        <v>250</v>
      </c>
      <c r="O5983">
        <v>56.715267617543198</v>
      </c>
      <c r="P5983">
        <v>-0.44754856234283602</v>
      </c>
      <c r="Q5983">
        <v>0.593874624958456</v>
      </c>
      <c r="R5983">
        <v>0.90540328946219795</v>
      </c>
      <c r="S5983" t="s">
        <v>12435</v>
      </c>
      <c r="T5983" t="s">
        <v>12902</v>
      </c>
      <c r="U5983" t="s">
        <v>12902</v>
      </c>
      <c r="V5983" t="s">
        <v>12902</v>
      </c>
      <c r="W5983" t="s">
        <v>18834</v>
      </c>
      <c r="X5983">
        <v>4</v>
      </c>
      <c r="Y5983" t="s">
        <v>25117</v>
      </c>
      <c r="Z5983" t="s">
        <v>31558</v>
      </c>
      <c r="AA5983">
        <v>0.82024731594467737</v>
      </c>
      <c r="AB5983" t="str">
        <f>HYPERLINK("Melting_Curves/meltCurve_Q9UBF6_RNF7.pdf", "Melting_Curves/meltCurve_Q9UBF6_RNF7.pdf")</f>
        <v>Melting_Curves/meltCurve_Q9UBF6_RNF7.pdf</v>
      </c>
    </row>
    <row r="5984" spans="1:28" x14ac:dyDescent="0.25">
      <c r="A5984" t="s">
        <v>5988</v>
      </c>
      <c r="B5984">
        <v>0.99673306730245903</v>
      </c>
      <c r="C5984">
        <v>0.98904505402231302</v>
      </c>
      <c r="D5984">
        <v>0.87509746522632503</v>
      </c>
      <c r="E5984">
        <v>0.83448248433057604</v>
      </c>
      <c r="F5984">
        <v>0.47848594465913302</v>
      </c>
      <c r="G5984">
        <v>0.222223881489201</v>
      </c>
      <c r="H5984">
        <v>0.124387179419957</v>
      </c>
      <c r="I5984">
        <v>0.10947970438252599</v>
      </c>
      <c r="J5984">
        <v>0.10957522702301201</v>
      </c>
      <c r="K5984">
        <v>0.12840902547585301</v>
      </c>
      <c r="L5984">
        <v>1179.0779496320799</v>
      </c>
      <c r="M5984">
        <v>22.495531632620001</v>
      </c>
      <c r="N5984">
        <v>52.942578024852502</v>
      </c>
      <c r="O5984">
        <v>52.004930304109202</v>
      </c>
      <c r="P5984">
        <v>-9.7264220377012697E-2</v>
      </c>
      <c r="Q5984">
        <v>0.100600469580113</v>
      </c>
      <c r="R5984">
        <v>0.99308355473270704</v>
      </c>
      <c r="S5984" t="s">
        <v>12436</v>
      </c>
      <c r="T5984" t="s">
        <v>12902</v>
      </c>
      <c r="U5984" t="s">
        <v>12902</v>
      </c>
      <c r="V5984" t="s">
        <v>12902</v>
      </c>
      <c r="W5984" t="s">
        <v>18835</v>
      </c>
      <c r="X5984">
        <v>6</v>
      </c>
      <c r="Y5984" t="s">
        <v>25118</v>
      </c>
      <c r="Z5984" t="s">
        <v>31559</v>
      </c>
      <c r="AA5984">
        <v>0.48281655190591832</v>
      </c>
      <c r="AB5984" t="str">
        <f>HYPERLINK("Melting_Curves/meltCurve_Q9UBF8_2_PI4KB.pdf", "Melting_Curves/meltCurve_Q9UBF8_2_PI4KB.pdf")</f>
        <v>Melting_Curves/meltCurve_Q9UBF8_2_PI4KB.pdf</v>
      </c>
    </row>
    <row r="5985" spans="1:28" x14ac:dyDescent="0.25">
      <c r="A5985" t="s">
        <v>5989</v>
      </c>
      <c r="B5985">
        <v>0.99673306730245903</v>
      </c>
      <c r="C5985">
        <v>0.92271732080055302</v>
      </c>
      <c r="D5985">
        <v>0.91520079480800398</v>
      </c>
      <c r="E5985">
        <v>0.80788136790260601</v>
      </c>
      <c r="F5985">
        <v>0.58586682456418504</v>
      </c>
      <c r="G5985">
        <v>0.38199840313289701</v>
      </c>
      <c r="H5985">
        <v>0.20721580292519401</v>
      </c>
      <c r="I5985">
        <v>0.232521515797288</v>
      </c>
      <c r="J5985">
        <v>0.281439252048726</v>
      </c>
      <c r="K5985">
        <v>0.29767724015566199</v>
      </c>
      <c r="L5985">
        <v>1001.6174446975</v>
      </c>
      <c r="M5985">
        <v>19.137213891387201</v>
      </c>
      <c r="N5985">
        <v>54.166815510002003</v>
      </c>
      <c r="O5985">
        <v>51.777256214489</v>
      </c>
      <c r="P5985">
        <v>-7.0422385457565101E-2</v>
      </c>
      <c r="Q5985">
        <v>0.237895735498624</v>
      </c>
      <c r="R5985">
        <v>0.98109231630926097</v>
      </c>
      <c r="S5985" t="s">
        <v>12437</v>
      </c>
      <c r="T5985" t="s">
        <v>12902</v>
      </c>
      <c r="U5985" t="s">
        <v>12902</v>
      </c>
      <c r="V5985" t="s">
        <v>12902</v>
      </c>
      <c r="W5985" t="s">
        <v>18836</v>
      </c>
      <c r="X5985">
        <v>2</v>
      </c>
      <c r="Y5985" t="s">
        <v>25119</v>
      </c>
      <c r="Z5985" t="s">
        <v>31560</v>
      </c>
      <c r="AA5985">
        <v>0.56271452727651838</v>
      </c>
      <c r="AB5985" t="str">
        <f>HYPERLINK("Melting_Curves/meltCurve_Q9UBI6_GNG12.pdf", "Melting_Curves/meltCurve_Q9UBI6_GNG12.pdf")</f>
        <v>Melting_Curves/meltCurve_Q9UBI6_GNG12.pdf</v>
      </c>
    </row>
    <row r="5986" spans="1:28" x14ac:dyDescent="0.25">
      <c r="A5986" t="s">
        <v>5990</v>
      </c>
      <c r="B5986">
        <v>0.99673306730245903</v>
      </c>
      <c r="C5986">
        <v>0.91570531723374304</v>
      </c>
      <c r="D5986">
        <v>0.46007108273639002</v>
      </c>
      <c r="E5986">
        <v>0.456186513719959</v>
      </c>
      <c r="F5986">
        <v>0.14586914235186199</v>
      </c>
      <c r="G5986">
        <v>8.5614198208711106E-2</v>
      </c>
      <c r="H5986">
        <v>5.1747274305431697E-2</v>
      </c>
      <c r="I5986">
        <v>3.9756700089911202E-2</v>
      </c>
      <c r="J5986">
        <v>4.4953709064820699E-2</v>
      </c>
      <c r="K5986">
        <v>3.5514914417158497E-2</v>
      </c>
      <c r="L5986">
        <v>739.39525246379196</v>
      </c>
      <c r="M5986">
        <v>15.6697681689843</v>
      </c>
      <c r="N5986">
        <v>47.374616441155702</v>
      </c>
      <c r="O5986">
        <v>46.437671564382399</v>
      </c>
      <c r="P5986">
        <v>-8.1816306896922403E-2</v>
      </c>
      <c r="Q5986">
        <v>3.0225884663901598E-2</v>
      </c>
      <c r="R5986">
        <v>0.96200232253248497</v>
      </c>
      <c r="S5986" t="s">
        <v>12438</v>
      </c>
      <c r="T5986" t="s">
        <v>12902</v>
      </c>
      <c r="U5986" t="s">
        <v>12902</v>
      </c>
      <c r="V5986" t="s">
        <v>12902</v>
      </c>
      <c r="W5986" t="s">
        <v>18837</v>
      </c>
      <c r="X5986">
        <v>12</v>
      </c>
      <c r="Y5986" t="s">
        <v>25120</v>
      </c>
      <c r="Z5986" t="s">
        <v>31561</v>
      </c>
      <c r="AA5986">
        <v>0.28632993648055921</v>
      </c>
      <c r="AB5986" t="str">
        <f>HYPERLINK("Melting_Curves/meltCurve_Q9UBK8_2_MTRR.pdf", "Melting_Curves/meltCurve_Q9UBK8_2_MTRR.pdf")</f>
        <v>Melting_Curves/meltCurve_Q9UBK8_2_MTRR.pdf</v>
      </c>
    </row>
    <row r="5987" spans="1:28" x14ac:dyDescent="0.25">
      <c r="A5987" t="s">
        <v>5991</v>
      </c>
      <c r="B5987">
        <v>0.99673306730245903</v>
      </c>
      <c r="C5987">
        <v>0.91110247527543198</v>
      </c>
      <c r="D5987">
        <v>0.960091781462595</v>
      </c>
      <c r="E5987">
        <v>1.0617199291972901</v>
      </c>
      <c r="F5987">
        <v>0.94492113146058798</v>
      </c>
      <c r="G5987">
        <v>0.632070865774359</v>
      </c>
      <c r="H5987">
        <v>0.23154268790283999</v>
      </c>
      <c r="I5987">
        <v>0.251199042053876</v>
      </c>
      <c r="J5987">
        <v>0.121860873921976</v>
      </c>
      <c r="K5987">
        <v>0.10422274006544199</v>
      </c>
      <c r="L5987">
        <v>1904.8090987532801</v>
      </c>
      <c r="M5987">
        <v>33.233988002737703</v>
      </c>
      <c r="N5987">
        <v>57.890871625654697</v>
      </c>
      <c r="O5987">
        <v>57.108766427925097</v>
      </c>
      <c r="P5987">
        <v>-0.12501136463260601</v>
      </c>
      <c r="Q5987">
        <v>0.140733401374835</v>
      </c>
      <c r="R5987">
        <v>0.98360691754084295</v>
      </c>
      <c r="S5987" t="s">
        <v>12439</v>
      </c>
      <c r="T5987" t="s">
        <v>12902</v>
      </c>
      <c r="U5987" t="s">
        <v>12902</v>
      </c>
      <c r="V5987" t="s">
        <v>12902</v>
      </c>
      <c r="W5987" t="s">
        <v>18838</v>
      </c>
      <c r="X5987">
        <v>1</v>
      </c>
      <c r="Y5987" t="s">
        <v>25121</v>
      </c>
      <c r="Z5987" t="s">
        <v>31562</v>
      </c>
      <c r="AA5987">
        <v>0.64143568519332661</v>
      </c>
      <c r="AB5987" t="str">
        <f>HYPERLINK("Melting_Curves/meltCurve_Q9UBK9_UXT.pdf", "Melting_Curves/meltCurve_Q9UBK9_UXT.pdf")</f>
        <v>Melting_Curves/meltCurve_Q9UBK9_UXT.pdf</v>
      </c>
    </row>
    <row r="5988" spans="1:28" x14ac:dyDescent="0.25">
      <c r="A5988" t="s">
        <v>5992</v>
      </c>
      <c r="B5988">
        <v>0.99673306730245903</v>
      </c>
      <c r="C5988">
        <v>0.92686968708683304</v>
      </c>
      <c r="D5988">
        <v>1.0329790054450001</v>
      </c>
      <c r="E5988">
        <v>0.89799480364523598</v>
      </c>
      <c r="F5988">
        <v>0.23362104424107</v>
      </c>
      <c r="G5988">
        <v>0.11679083849166801</v>
      </c>
      <c r="H5988">
        <v>6.6642760878987101E-2</v>
      </c>
      <c r="I5988">
        <v>6.2187860854235298E-2</v>
      </c>
      <c r="J5988">
        <v>6.7111872515298293E-2</v>
      </c>
      <c r="K5988">
        <v>6.09697309633523E-2</v>
      </c>
      <c r="L5988">
        <v>2643.7387460537998</v>
      </c>
      <c r="M5988">
        <v>51.225756527062899</v>
      </c>
      <c r="N5988">
        <v>51.767464074382701</v>
      </c>
      <c r="O5988">
        <v>51.5310882946467</v>
      </c>
      <c r="P5988">
        <v>-0.23054412291856299</v>
      </c>
      <c r="Q5988">
        <v>7.2327578741661999E-2</v>
      </c>
      <c r="R5988">
        <v>0.99551184329687703</v>
      </c>
      <c r="S5988" t="s">
        <v>12440</v>
      </c>
      <c r="T5988" t="s">
        <v>12902</v>
      </c>
      <c r="U5988" t="s">
        <v>12902</v>
      </c>
      <c r="V5988" t="s">
        <v>12902</v>
      </c>
      <c r="W5988" t="s">
        <v>18839</v>
      </c>
      <c r="X5988">
        <v>16</v>
      </c>
      <c r="Y5988" t="s">
        <v>25122</v>
      </c>
      <c r="Z5988" t="s">
        <v>31563</v>
      </c>
      <c r="AA5988">
        <v>0.43333458519850487</v>
      </c>
      <c r="AB5988" t="str">
        <f>HYPERLINK("Melting_Curves/meltCurve_Q9UBL3_3_ASH2L.pdf", "Melting_Curves/meltCurve_Q9UBL3_3_ASH2L.pdf")</f>
        <v>Melting_Curves/meltCurve_Q9UBL3_3_ASH2L.pdf</v>
      </c>
    </row>
    <row r="5989" spans="1:28" x14ac:dyDescent="0.25">
      <c r="A5989" t="s">
        <v>5993</v>
      </c>
      <c r="B5989">
        <v>0.99673306730245903</v>
      </c>
      <c r="C5989">
        <v>0.91463696368040703</v>
      </c>
      <c r="D5989">
        <v>0.83275993912850899</v>
      </c>
      <c r="E5989">
        <v>0.63677110633776401</v>
      </c>
      <c r="F5989">
        <v>0.27036227951682301</v>
      </c>
      <c r="G5989">
        <v>0.152640991942363</v>
      </c>
      <c r="H5989">
        <v>0.110815826439947</v>
      </c>
      <c r="I5989">
        <v>9.9175483301793099E-2</v>
      </c>
      <c r="J5989">
        <v>8.8055135675478693E-2</v>
      </c>
      <c r="K5989">
        <v>8.0256535234921406E-2</v>
      </c>
      <c r="L5989">
        <v>949.91145014516701</v>
      </c>
      <c r="M5989">
        <v>18.943876892097201</v>
      </c>
      <c r="N5989">
        <v>50.572935484136899</v>
      </c>
      <c r="O5989">
        <v>49.594700122182701</v>
      </c>
      <c r="P5989">
        <v>-8.8401685856822204E-2</v>
      </c>
      <c r="Q5989">
        <v>7.4301446730469498E-2</v>
      </c>
      <c r="R5989">
        <v>0.99435063911199995</v>
      </c>
      <c r="S5989" t="s">
        <v>12441</v>
      </c>
      <c r="T5989" t="s">
        <v>12902</v>
      </c>
      <c r="U5989" t="s">
        <v>12902</v>
      </c>
      <c r="V5989" t="s">
        <v>12902</v>
      </c>
      <c r="W5989" t="s">
        <v>18840</v>
      </c>
      <c r="X5989">
        <v>5</v>
      </c>
      <c r="Y5989" t="s">
        <v>25123</v>
      </c>
      <c r="Z5989" t="s">
        <v>31564</v>
      </c>
      <c r="AA5989">
        <v>0.40159363479221649</v>
      </c>
      <c r="AB5989" t="str">
        <f>HYPERLINK("Melting_Curves/meltCurve_Q9UBM7_DHCR7.pdf", "Melting_Curves/meltCurve_Q9UBM7_DHCR7.pdf")</f>
        <v>Melting_Curves/meltCurve_Q9UBM7_DHCR7.pdf</v>
      </c>
    </row>
    <row r="5990" spans="1:28" x14ac:dyDescent="0.25">
      <c r="A5990" t="s">
        <v>5994</v>
      </c>
      <c r="B5990">
        <v>0.99673306730245903</v>
      </c>
      <c r="C5990">
        <v>0.97520506137363006</v>
      </c>
      <c r="D5990">
        <v>1.02610331209223</v>
      </c>
      <c r="E5990">
        <v>0.82729513955274603</v>
      </c>
      <c r="F5990">
        <v>0.72624877416793798</v>
      </c>
      <c r="G5990">
        <v>0.63833494384001299</v>
      </c>
      <c r="H5990">
        <v>0.56787302974337694</v>
      </c>
      <c r="I5990">
        <v>0.76890294449358798</v>
      </c>
      <c r="J5990">
        <v>0.793622678171512</v>
      </c>
      <c r="K5990">
        <v>0.88814656007270398</v>
      </c>
      <c r="L5990">
        <v>12371.2712155765</v>
      </c>
      <c r="M5990">
        <v>250</v>
      </c>
      <c r="O5990">
        <v>49.481909643292497</v>
      </c>
      <c r="P5990">
        <v>-0.34037498319461401</v>
      </c>
      <c r="Q5990">
        <v>0.730521487278046</v>
      </c>
      <c r="R5990">
        <v>0.68469790010411002</v>
      </c>
      <c r="S5990" t="s">
        <v>12442</v>
      </c>
      <c r="T5990" t="s">
        <v>12902</v>
      </c>
      <c r="U5990" t="s">
        <v>12902</v>
      </c>
      <c r="V5990" t="s">
        <v>12902</v>
      </c>
      <c r="W5990" t="s">
        <v>18841</v>
      </c>
      <c r="X5990">
        <v>11</v>
      </c>
      <c r="Y5990" t="s">
        <v>25124</v>
      </c>
      <c r="Z5990" t="s">
        <v>31565</v>
      </c>
      <c r="AA5990">
        <v>0.81574577567990558</v>
      </c>
      <c r="AB5990" t="str">
        <f>HYPERLINK("Melting_Curves/meltCurve_Q9UBN6_TNFRSF10D.pdf", "Melting_Curves/meltCurve_Q9UBN6_TNFRSF10D.pdf")</f>
        <v>Melting_Curves/meltCurve_Q9UBN6_TNFRSF10D.pdf</v>
      </c>
    </row>
    <row r="5991" spans="1:28" x14ac:dyDescent="0.25">
      <c r="A5991" t="s">
        <v>5995</v>
      </c>
      <c r="B5991">
        <v>0.99673306730245903</v>
      </c>
      <c r="C5991">
        <v>1.14546964132207</v>
      </c>
      <c r="D5991">
        <v>0.33493746082897102</v>
      </c>
      <c r="E5991">
        <v>0.396520505003502</v>
      </c>
      <c r="F5991">
        <v>0.12201066399150801</v>
      </c>
      <c r="G5991">
        <v>8.5218560047129105E-2</v>
      </c>
      <c r="H5991">
        <v>6.0039718496194897E-2</v>
      </c>
      <c r="I5991">
        <v>7.7285659285129094E-2</v>
      </c>
      <c r="J5991">
        <v>0.112479685658137</v>
      </c>
      <c r="K5991">
        <v>4.5499027290247601E-2</v>
      </c>
      <c r="L5991">
        <v>11446.1995719482</v>
      </c>
      <c r="M5991">
        <v>250</v>
      </c>
      <c r="N5991">
        <v>45.839234827311003</v>
      </c>
      <c r="O5991">
        <v>45.781868214629398</v>
      </c>
      <c r="P5991">
        <v>-1.1898320444635999</v>
      </c>
      <c r="Q5991">
        <v>0.12843625645564799</v>
      </c>
      <c r="R5991">
        <v>0.92617422048400999</v>
      </c>
      <c r="S5991" t="s">
        <v>12443</v>
      </c>
      <c r="T5991" t="s">
        <v>12902</v>
      </c>
      <c r="U5991" t="s">
        <v>12902</v>
      </c>
      <c r="V5991" t="s">
        <v>12902</v>
      </c>
      <c r="W5991" t="s">
        <v>18842</v>
      </c>
      <c r="X5991">
        <v>13</v>
      </c>
      <c r="Y5991" t="s">
        <v>25125</v>
      </c>
      <c r="Z5991" t="s">
        <v>31566</v>
      </c>
      <c r="AA5991">
        <v>0.29656696971620933</v>
      </c>
      <c r="AB5991" t="str">
        <f>HYPERLINK("Melting_Curves/meltCurve_Q9UBP0_3_SPAST.pdf", "Melting_Curves/meltCurve_Q9UBP0_3_SPAST.pdf")</f>
        <v>Melting_Curves/meltCurve_Q9UBP0_3_SPAST.pdf</v>
      </c>
    </row>
    <row r="5992" spans="1:28" x14ac:dyDescent="0.25">
      <c r="A5992" t="s">
        <v>5996</v>
      </c>
      <c r="B5992">
        <v>0.99673306730245903</v>
      </c>
      <c r="C5992">
        <v>0.92692176043749297</v>
      </c>
      <c r="D5992">
        <v>1.07026851566509</v>
      </c>
      <c r="E5992">
        <v>1.0605754220281001</v>
      </c>
      <c r="F5992">
        <v>0.67938771230482398</v>
      </c>
      <c r="G5992">
        <v>0.27338838930144099</v>
      </c>
      <c r="H5992">
        <v>0.18243822207664201</v>
      </c>
      <c r="I5992">
        <v>0.160804931578413</v>
      </c>
      <c r="J5992">
        <v>0.11083162548318599</v>
      </c>
      <c r="K5992">
        <v>0.101838531757118</v>
      </c>
      <c r="L5992">
        <v>2082.5959264408598</v>
      </c>
      <c r="M5992">
        <v>38.506948499167798</v>
      </c>
      <c r="N5992">
        <v>54.539675047827501</v>
      </c>
      <c r="O5992">
        <v>53.938382866917102</v>
      </c>
      <c r="P5992">
        <v>-0.15391066851663901</v>
      </c>
      <c r="Q5992">
        <v>0.13764401335934501</v>
      </c>
      <c r="R5992">
        <v>0.98647987176806295</v>
      </c>
      <c r="S5992" t="s">
        <v>12444</v>
      </c>
      <c r="T5992" t="s">
        <v>12902</v>
      </c>
      <c r="U5992" t="s">
        <v>12902</v>
      </c>
      <c r="V5992" t="s">
        <v>12902</v>
      </c>
      <c r="W5992" t="s">
        <v>18843</v>
      </c>
      <c r="X5992">
        <v>2</v>
      </c>
      <c r="Y5992" t="s">
        <v>25126</v>
      </c>
      <c r="Z5992" t="s">
        <v>31567</v>
      </c>
      <c r="AA5992">
        <v>0.54595176712089322</v>
      </c>
      <c r="AB5992" t="str">
        <f>HYPERLINK("Melting_Curves/meltCurve_Q9UBP6_METTL1.pdf", "Melting_Curves/meltCurve_Q9UBP6_METTL1.pdf")</f>
        <v>Melting_Curves/meltCurve_Q9UBP6_METTL1.pdf</v>
      </c>
    </row>
    <row r="5993" spans="1:28" x14ac:dyDescent="0.25">
      <c r="A5993" t="s">
        <v>5997</v>
      </c>
      <c r="B5993">
        <v>0.99673306730245903</v>
      </c>
      <c r="C5993">
        <v>0.95112177388339403</v>
      </c>
      <c r="D5993">
        <v>0.96180263687152301</v>
      </c>
      <c r="E5993">
        <v>1.03413071806853</v>
      </c>
      <c r="F5993">
        <v>0.88117607494234196</v>
      </c>
      <c r="G5993">
        <v>0.57662523503047303</v>
      </c>
      <c r="H5993">
        <v>0.20617959291606999</v>
      </c>
      <c r="I5993">
        <v>0.13082910563922501</v>
      </c>
      <c r="J5993">
        <v>0.12762554381324601</v>
      </c>
      <c r="K5993">
        <v>0.11638304089210701</v>
      </c>
      <c r="L5993">
        <v>1746.53738134477</v>
      </c>
      <c r="M5993">
        <v>30.708272406638301</v>
      </c>
      <c r="N5993">
        <v>57.338680713435302</v>
      </c>
      <c r="O5993">
        <v>56.635583025129201</v>
      </c>
      <c r="P5993">
        <v>-0.12065308317611501</v>
      </c>
      <c r="Q5993">
        <v>0.109918401601473</v>
      </c>
      <c r="R5993">
        <v>0.99554451471688798</v>
      </c>
      <c r="S5993" t="s">
        <v>12445</v>
      </c>
      <c r="T5993" t="s">
        <v>12902</v>
      </c>
      <c r="U5993" t="s">
        <v>12902</v>
      </c>
      <c r="V5993" t="s">
        <v>12902</v>
      </c>
      <c r="W5993" t="s">
        <v>18844</v>
      </c>
      <c r="X5993">
        <v>12</v>
      </c>
      <c r="Y5993" t="s">
        <v>25127</v>
      </c>
      <c r="Z5993" t="s">
        <v>31568</v>
      </c>
      <c r="AA5993">
        <v>0.61628339492703621</v>
      </c>
      <c r="AB5993" t="str">
        <f>HYPERLINK("Melting_Curves/meltCurve_Q9UBQ0_VPS29.pdf", "Melting_Curves/meltCurve_Q9UBQ0_VPS29.pdf")</f>
        <v>Melting_Curves/meltCurve_Q9UBQ0_VPS29.pdf</v>
      </c>
    </row>
    <row r="5994" spans="1:28" x14ac:dyDescent="0.25">
      <c r="A5994" t="s">
        <v>5998</v>
      </c>
      <c r="B5994">
        <v>0.99673306730245903</v>
      </c>
      <c r="C5994">
        <v>1.01955238675169</v>
      </c>
      <c r="D5994">
        <v>1.00683015543951</v>
      </c>
      <c r="E5994">
        <v>0.98474417270964298</v>
      </c>
      <c r="F5994">
        <v>0.61469569454211004</v>
      </c>
      <c r="G5994">
        <v>0.227925302875675</v>
      </c>
      <c r="H5994">
        <v>8.9499650905570494E-2</v>
      </c>
      <c r="I5994">
        <v>5.1724435724813903E-2</v>
      </c>
      <c r="J5994">
        <v>4.9562768462437498E-2</v>
      </c>
      <c r="K5994">
        <v>4.0104621850159103E-2</v>
      </c>
      <c r="L5994">
        <v>1710.2510594868199</v>
      </c>
      <c r="M5994">
        <v>31.682481379818999</v>
      </c>
      <c r="N5994">
        <v>54.162751081047197</v>
      </c>
      <c r="O5994">
        <v>53.767279050888298</v>
      </c>
      <c r="P5994">
        <v>-0.139883633742028</v>
      </c>
      <c r="Q5994">
        <v>5.0437687488022902E-2</v>
      </c>
      <c r="R5994">
        <v>0.99843483321542603</v>
      </c>
      <c r="S5994" t="s">
        <v>12446</v>
      </c>
      <c r="T5994" t="s">
        <v>12902</v>
      </c>
      <c r="U5994" t="s">
        <v>12902</v>
      </c>
      <c r="V5994" t="s">
        <v>12902</v>
      </c>
      <c r="W5994" t="s">
        <v>18845</v>
      </c>
      <c r="X5994">
        <v>13</v>
      </c>
      <c r="Y5994" t="s">
        <v>25128</v>
      </c>
      <c r="Z5994" t="s">
        <v>31569</v>
      </c>
      <c r="AA5994">
        <v>0.49857400654990752</v>
      </c>
      <c r="AB5994" t="str">
        <f>HYPERLINK("Melting_Curves/meltCurve_Q9UBQ7_GRHPR.pdf", "Melting_Curves/meltCurve_Q9UBQ7_GRHPR.pdf")</f>
        <v>Melting_Curves/meltCurve_Q9UBQ7_GRHPR.pdf</v>
      </c>
    </row>
    <row r="5995" spans="1:28" x14ac:dyDescent="0.25">
      <c r="A5995" t="s">
        <v>5999</v>
      </c>
      <c r="B5995">
        <v>0.99673306730245903</v>
      </c>
      <c r="C5995">
        <v>1.0180745203063599</v>
      </c>
      <c r="D5995">
        <v>0.99797214911009102</v>
      </c>
      <c r="E5995">
        <v>0.93354349799826297</v>
      </c>
      <c r="F5995">
        <v>0.899013939221328</v>
      </c>
      <c r="G5995">
        <v>0.58598674088761404</v>
      </c>
      <c r="H5995">
        <v>0.348313542981806</v>
      </c>
      <c r="I5995">
        <v>0.26992929683667199</v>
      </c>
      <c r="J5995">
        <v>0.33986757870731998</v>
      </c>
      <c r="K5995">
        <v>0.184270347620342</v>
      </c>
      <c r="L5995">
        <v>1473.1255561647999</v>
      </c>
      <c r="M5995">
        <v>26.079869283252901</v>
      </c>
      <c r="N5995">
        <v>57.997195824160499</v>
      </c>
      <c r="O5995">
        <v>56.156171310057999</v>
      </c>
      <c r="P5995">
        <v>-8.7465493991971704E-2</v>
      </c>
      <c r="Q5995">
        <v>0.246672125374684</v>
      </c>
      <c r="R5995">
        <v>0.98649459618858004</v>
      </c>
      <c r="S5995" t="s">
        <v>12447</v>
      </c>
      <c r="T5995" t="s">
        <v>12902</v>
      </c>
      <c r="U5995" t="s">
        <v>12902</v>
      </c>
      <c r="V5995" t="s">
        <v>12902</v>
      </c>
      <c r="W5995" t="s">
        <v>18846</v>
      </c>
      <c r="X5995">
        <v>7</v>
      </c>
      <c r="Y5995" t="s">
        <v>25129</v>
      </c>
      <c r="Z5995" t="s">
        <v>31570</v>
      </c>
      <c r="AA5995">
        <v>0.66703503114481089</v>
      </c>
      <c r="AB5995" t="str">
        <f>HYPERLINK("Melting_Curves/meltCurve_Q9UBR2_CTSZ.pdf", "Melting_Curves/meltCurve_Q9UBR2_CTSZ.pdf")</f>
        <v>Melting_Curves/meltCurve_Q9UBR2_CTSZ.pdf</v>
      </c>
    </row>
    <row r="5996" spans="1:28" x14ac:dyDescent="0.25">
      <c r="A5996" t="s">
        <v>6000</v>
      </c>
      <c r="B5996">
        <v>0.99673306730245903</v>
      </c>
      <c r="C5996">
        <v>0.87745387604943703</v>
      </c>
      <c r="D5996">
        <v>0.36817441937961998</v>
      </c>
      <c r="E5996">
        <v>9.81311560882243E-2</v>
      </c>
      <c r="F5996">
        <v>7.9769627735934101E-2</v>
      </c>
      <c r="G5996">
        <v>5.1241272445348297E-2</v>
      </c>
      <c r="H5996">
        <v>3.3071016695428501E-2</v>
      </c>
      <c r="I5996">
        <v>2.42715272125941E-2</v>
      </c>
      <c r="J5996">
        <v>1.1730830525444399E-2</v>
      </c>
      <c r="K5996">
        <v>1.17195271458289E-2</v>
      </c>
      <c r="L5996">
        <v>1557.5672000848299</v>
      </c>
      <c r="M5996">
        <v>34.461309287827</v>
      </c>
      <c r="N5996">
        <v>45.296788987491396</v>
      </c>
      <c r="O5996">
        <v>45.046185501519901</v>
      </c>
      <c r="P5996">
        <v>-0.18430295982564801</v>
      </c>
      <c r="Q5996">
        <v>3.63554946788485E-2</v>
      </c>
      <c r="R5996">
        <v>0.99717224514723601</v>
      </c>
      <c r="S5996" t="s">
        <v>12448</v>
      </c>
      <c r="T5996" t="s">
        <v>12902</v>
      </c>
      <c r="U5996" t="s">
        <v>12902</v>
      </c>
      <c r="V5996" t="s">
        <v>12902</v>
      </c>
      <c r="W5996" t="s">
        <v>18847</v>
      </c>
      <c r="X5996">
        <v>3</v>
      </c>
      <c r="Y5996" t="s">
        <v>25130</v>
      </c>
      <c r="Z5996" t="s">
        <v>31571</v>
      </c>
      <c r="AA5996">
        <v>0.2077331104082116</v>
      </c>
      <c r="AB5996" t="str">
        <f>HYPERLINK("Melting_Curves/meltCurve_Q9UBS0_RPS6KB2.pdf", "Melting_Curves/meltCurve_Q9UBS0_RPS6KB2.pdf")</f>
        <v>Melting_Curves/meltCurve_Q9UBS0_RPS6KB2.pdf</v>
      </c>
    </row>
    <row r="5997" spans="1:28" x14ac:dyDescent="0.25">
      <c r="A5997" t="s">
        <v>6001</v>
      </c>
      <c r="B5997">
        <v>0.99673306730245903</v>
      </c>
      <c r="C5997">
        <v>0.93277714149306101</v>
      </c>
      <c r="D5997">
        <v>0.95687606705932104</v>
      </c>
      <c r="E5997">
        <v>0.932440919943888</v>
      </c>
      <c r="F5997">
        <v>0.67352746833584898</v>
      </c>
      <c r="G5997">
        <v>0.40953250508882799</v>
      </c>
      <c r="H5997">
        <v>0.23148800150173299</v>
      </c>
      <c r="I5997">
        <v>0.15794823123348301</v>
      </c>
      <c r="J5997">
        <v>0.13097249195028601</v>
      </c>
      <c r="K5997">
        <v>9.3961797878881495E-2</v>
      </c>
      <c r="L5997">
        <v>1040.4802120868201</v>
      </c>
      <c r="M5997">
        <v>18.920946551289799</v>
      </c>
      <c r="N5997">
        <v>55.605011977658002</v>
      </c>
      <c r="O5997">
        <v>54.387701592288998</v>
      </c>
      <c r="P5997">
        <v>-7.8775464478146498E-2</v>
      </c>
      <c r="Q5997">
        <v>9.4285763356622698E-2</v>
      </c>
      <c r="R5997">
        <v>0.99529374461997</v>
      </c>
      <c r="S5997" t="s">
        <v>12449</v>
      </c>
      <c r="T5997" t="s">
        <v>12902</v>
      </c>
      <c r="U5997" t="s">
        <v>12902</v>
      </c>
      <c r="V5997" t="s">
        <v>12902</v>
      </c>
      <c r="W5997" t="s">
        <v>13498</v>
      </c>
      <c r="X5997">
        <v>8</v>
      </c>
      <c r="Y5997" t="s">
        <v>19894</v>
      </c>
      <c r="Z5997" t="s">
        <v>31572</v>
      </c>
      <c r="AA5997">
        <v>0.55994846544171473</v>
      </c>
      <c r="AB5997" t="str">
        <f>HYPERLINK("Melting_Curves/meltCurve_Q9UBS4_DNAJB11.pdf", "Melting_Curves/meltCurve_Q9UBS4_DNAJB11.pdf")</f>
        <v>Melting_Curves/meltCurve_Q9UBS4_DNAJB11.pdf</v>
      </c>
    </row>
    <row r="5998" spans="1:28" x14ac:dyDescent="0.25">
      <c r="A5998" t="s">
        <v>6002</v>
      </c>
      <c r="B5998">
        <v>0.99673306730245903</v>
      </c>
      <c r="C5998">
        <v>0.94114440229169305</v>
      </c>
      <c r="D5998">
        <v>0.852855177142405</v>
      </c>
      <c r="E5998">
        <v>0.52686116952695805</v>
      </c>
      <c r="F5998">
        <v>0.249128946835565</v>
      </c>
      <c r="G5998">
        <v>0.15402568679694001</v>
      </c>
      <c r="H5998">
        <v>8.7656427593643907E-2</v>
      </c>
      <c r="I5998">
        <v>9.6841321782292905E-2</v>
      </c>
      <c r="J5998">
        <v>7.1140135503159493E-2</v>
      </c>
      <c r="K5998">
        <v>6.7296749755156204E-2</v>
      </c>
      <c r="L5998">
        <v>1005.46339060265</v>
      </c>
      <c r="M5998">
        <v>20.298265722799499</v>
      </c>
      <c r="N5998">
        <v>49.925693337967601</v>
      </c>
      <c r="O5998">
        <v>49.061181195468698</v>
      </c>
      <c r="P5998">
        <v>-9.5830806972145202E-2</v>
      </c>
      <c r="Q5998">
        <v>7.35308257574665E-2</v>
      </c>
      <c r="R5998">
        <v>0.99902488219422603</v>
      </c>
      <c r="S5998" t="s">
        <v>12450</v>
      </c>
      <c r="T5998" t="s">
        <v>12902</v>
      </c>
      <c r="U5998" t="s">
        <v>12902</v>
      </c>
      <c r="V5998" t="s">
        <v>12902</v>
      </c>
      <c r="W5998" t="s">
        <v>18848</v>
      </c>
      <c r="X5998">
        <v>6</v>
      </c>
      <c r="Y5998" t="s">
        <v>25131</v>
      </c>
      <c r="Z5998" t="s">
        <v>31573</v>
      </c>
      <c r="AA5998">
        <v>0.38052735305448238</v>
      </c>
      <c r="AB5998" t="str">
        <f>HYPERLINK("Melting_Curves/meltCurve_Q9UBS8_RNF14.pdf", "Melting_Curves/meltCurve_Q9UBS8_RNF14.pdf")</f>
        <v>Melting_Curves/meltCurve_Q9UBS8_RNF14.pdf</v>
      </c>
    </row>
    <row r="5999" spans="1:28" x14ac:dyDescent="0.25">
      <c r="A5999" t="s">
        <v>6003</v>
      </c>
      <c r="B5999">
        <v>0.99673306730245903</v>
      </c>
      <c r="C5999">
        <v>0.96984042454936403</v>
      </c>
      <c r="D5999">
        <v>0.93804962881115705</v>
      </c>
      <c r="E5999">
        <v>0.72865697296148202</v>
      </c>
      <c r="F5999">
        <v>0.24424149622621399</v>
      </c>
      <c r="G5999">
        <v>0.14756687705115201</v>
      </c>
      <c r="H5999">
        <v>8.4278839080426493E-2</v>
      </c>
      <c r="I5999">
        <v>7.7349290547592903E-2</v>
      </c>
      <c r="J5999">
        <v>7.8881404611211695E-2</v>
      </c>
      <c r="K5999">
        <v>7.4188184598817805E-2</v>
      </c>
      <c r="L5999">
        <v>1591.4314259985399</v>
      </c>
      <c r="M5999">
        <v>31.2970954330765</v>
      </c>
      <c r="N5999">
        <v>51.139464478633997</v>
      </c>
      <c r="O5999">
        <v>50.642926021727803</v>
      </c>
      <c r="P5999">
        <v>-0.14192593618808699</v>
      </c>
      <c r="Q5999">
        <v>8.1383791705983394E-2</v>
      </c>
      <c r="R5999">
        <v>0.997768852720754</v>
      </c>
      <c r="S5999" t="s">
        <v>12451</v>
      </c>
      <c r="T5999" t="s">
        <v>12902</v>
      </c>
      <c r="U5999" t="s">
        <v>12902</v>
      </c>
      <c r="V5999" t="s">
        <v>12902</v>
      </c>
      <c r="W5999" t="s">
        <v>18849</v>
      </c>
      <c r="X5999">
        <v>30</v>
      </c>
      <c r="Y5999" t="s">
        <v>25132</v>
      </c>
      <c r="Z5999" t="s">
        <v>31574</v>
      </c>
      <c r="AA5999">
        <v>0.41888336715206792</v>
      </c>
      <c r="AB5999" t="str">
        <f>HYPERLINK("Melting_Curves/meltCurve_Q9UBT2_UBA2.pdf", "Melting_Curves/meltCurve_Q9UBT2_UBA2.pdf")</f>
        <v>Melting_Curves/meltCurve_Q9UBT2_UBA2.pdf</v>
      </c>
    </row>
    <row r="6000" spans="1:28" x14ac:dyDescent="0.25">
      <c r="A6000" t="s">
        <v>6004</v>
      </c>
      <c r="B6000">
        <v>0.99673306730245903</v>
      </c>
      <c r="C6000">
        <v>0.862201937058374</v>
      </c>
      <c r="D6000">
        <v>0.62584968798310303</v>
      </c>
      <c r="E6000">
        <v>0.29173635119793101</v>
      </c>
      <c r="F6000">
        <v>0.19812729476860499</v>
      </c>
      <c r="G6000">
        <v>0.116783783219187</v>
      </c>
      <c r="H6000">
        <v>6.5121727718538705E-2</v>
      </c>
      <c r="I6000">
        <v>6.7895637084750604E-2</v>
      </c>
      <c r="J6000">
        <v>6.3000991441056503E-2</v>
      </c>
      <c r="K6000">
        <v>5.8616030386396102E-2</v>
      </c>
      <c r="L6000">
        <v>880.35092171122403</v>
      </c>
      <c r="M6000">
        <v>18.744701938143798</v>
      </c>
      <c r="N6000">
        <v>47.321616770894401</v>
      </c>
      <c r="O6000">
        <v>46.4405845933832</v>
      </c>
      <c r="P6000">
        <v>-9.4269834263858099E-2</v>
      </c>
      <c r="Q6000">
        <v>6.5813445143207805E-2</v>
      </c>
      <c r="R6000">
        <v>0.99677396920946204</v>
      </c>
      <c r="S6000" t="s">
        <v>12452</v>
      </c>
      <c r="T6000" t="s">
        <v>12902</v>
      </c>
      <c r="U6000" t="s">
        <v>12902</v>
      </c>
      <c r="V6000" t="s">
        <v>12902</v>
      </c>
      <c r="W6000" t="s">
        <v>18850</v>
      </c>
      <c r="X6000">
        <v>10</v>
      </c>
      <c r="Y6000" t="s">
        <v>25133</v>
      </c>
      <c r="Z6000" t="s">
        <v>31575</v>
      </c>
      <c r="AA6000">
        <v>0.29851018029799697</v>
      </c>
      <c r="AB6000" t="str">
        <f>HYPERLINK("Melting_Curves/meltCurve_Q9UBU9_NXF1.pdf", "Melting_Curves/meltCurve_Q9UBU9_NXF1.pdf")</f>
        <v>Melting_Curves/meltCurve_Q9UBU9_NXF1.pdf</v>
      </c>
    </row>
    <row r="6001" spans="1:28" x14ac:dyDescent="0.25">
      <c r="A6001" t="s">
        <v>6005</v>
      </c>
      <c r="B6001">
        <v>0.99673306730245903</v>
      </c>
      <c r="C6001">
        <v>0.93611578775794702</v>
      </c>
      <c r="D6001">
        <v>1.00798230156695</v>
      </c>
      <c r="E6001">
        <v>0.85459909654556299</v>
      </c>
      <c r="F6001">
        <v>0.629773513396095</v>
      </c>
      <c r="G6001">
        <v>0.47413196348358999</v>
      </c>
      <c r="H6001">
        <v>0.38940918621730802</v>
      </c>
      <c r="I6001">
        <v>0.257106787081822</v>
      </c>
      <c r="J6001">
        <v>0.155111676026087</v>
      </c>
      <c r="K6001">
        <v>0.121418463318355</v>
      </c>
      <c r="L6001">
        <v>645.19531574030998</v>
      </c>
      <c r="M6001">
        <v>11.440656849593999</v>
      </c>
      <c r="N6001">
        <v>56.836613915946202</v>
      </c>
      <c r="O6001">
        <v>54.754443546298297</v>
      </c>
      <c r="P6001">
        <v>-5.0029046979884702E-2</v>
      </c>
      <c r="Q6001">
        <v>4.2531057565745899E-2</v>
      </c>
      <c r="R6001">
        <v>0.98651443836895403</v>
      </c>
      <c r="S6001" t="s">
        <v>12453</v>
      </c>
      <c r="T6001" t="s">
        <v>12902</v>
      </c>
      <c r="U6001" t="s">
        <v>12902</v>
      </c>
      <c r="V6001" t="s">
        <v>12902</v>
      </c>
      <c r="W6001" t="s">
        <v>18851</v>
      </c>
      <c r="X6001">
        <v>7</v>
      </c>
      <c r="Y6001" t="s">
        <v>25134</v>
      </c>
      <c r="Z6001" t="s">
        <v>31576</v>
      </c>
      <c r="AA6001">
        <v>0.58417947011761595</v>
      </c>
      <c r="AB6001" t="str">
        <f>HYPERLINK("Melting_Curves/meltCurve_Q9UBV2_SEL1L.pdf", "Melting_Curves/meltCurve_Q9UBV2_SEL1L.pdf")</f>
        <v>Melting_Curves/meltCurve_Q9UBV2_SEL1L.pdf</v>
      </c>
    </row>
    <row r="6002" spans="1:28" x14ac:dyDescent="0.25">
      <c r="A6002" t="s">
        <v>6006</v>
      </c>
      <c r="B6002">
        <v>0.99673306730245903</v>
      </c>
      <c r="C6002">
        <v>1.00594007891846</v>
      </c>
      <c r="D6002">
        <v>1.0496088681297699</v>
      </c>
      <c r="E6002">
        <v>0.89898467874208698</v>
      </c>
      <c r="F6002">
        <v>0.29946616250019498</v>
      </c>
      <c r="G6002">
        <v>0.13808489337125801</v>
      </c>
      <c r="H6002">
        <v>7.4762825524090804E-2</v>
      </c>
      <c r="I6002">
        <v>7.0581139556470301E-2</v>
      </c>
      <c r="J6002">
        <v>7.9491415939009796E-2</v>
      </c>
      <c r="K6002">
        <v>6.8404409005426201E-2</v>
      </c>
      <c r="L6002">
        <v>2339.2242864804598</v>
      </c>
      <c r="M6002">
        <v>45.099887658171198</v>
      </c>
      <c r="N6002">
        <v>52.072752114923098</v>
      </c>
      <c r="O6002">
        <v>51.765962090206898</v>
      </c>
      <c r="P6002">
        <v>-0.200080890663417</v>
      </c>
      <c r="Q6002">
        <v>8.1384278602947002E-2</v>
      </c>
      <c r="R6002">
        <v>0.99745955711696199</v>
      </c>
      <c r="S6002" t="s">
        <v>12454</v>
      </c>
      <c r="T6002" t="s">
        <v>12902</v>
      </c>
      <c r="U6002" t="s">
        <v>12902</v>
      </c>
      <c r="V6002" t="s">
        <v>12902</v>
      </c>
      <c r="W6002" t="s">
        <v>18852</v>
      </c>
      <c r="X6002">
        <v>4</v>
      </c>
      <c r="Y6002" t="s">
        <v>25135</v>
      </c>
      <c r="Z6002" t="s">
        <v>31577</v>
      </c>
      <c r="AA6002">
        <v>0.44736334646653197</v>
      </c>
      <c r="AB6002" t="str">
        <f>HYPERLINK("Melting_Curves/meltCurve_Q9UBV8_PEF1.pdf", "Melting_Curves/meltCurve_Q9UBV8_PEF1.pdf")</f>
        <v>Melting_Curves/meltCurve_Q9UBV8_PEF1.pdf</v>
      </c>
    </row>
    <row r="6003" spans="1:28" x14ac:dyDescent="0.25">
      <c r="A6003" t="s">
        <v>6007</v>
      </c>
      <c r="B6003">
        <v>0.99673306730245903</v>
      </c>
      <c r="C6003">
        <v>0.83944226181691906</v>
      </c>
      <c r="D6003">
        <v>0.66329483906576503</v>
      </c>
      <c r="E6003">
        <v>0.34773794677561798</v>
      </c>
      <c r="F6003">
        <v>0.28903198268630098</v>
      </c>
      <c r="G6003">
        <v>0.18289908433906099</v>
      </c>
      <c r="H6003">
        <v>0.12929885817355799</v>
      </c>
      <c r="I6003">
        <v>0.15763932889665699</v>
      </c>
      <c r="J6003">
        <v>0.226511802785797</v>
      </c>
      <c r="K6003">
        <v>0.20472760216659</v>
      </c>
      <c r="L6003">
        <v>900.457013258144</v>
      </c>
      <c r="M6003">
        <v>19.3175939411773</v>
      </c>
      <c r="N6003">
        <v>47.694077261417299</v>
      </c>
      <c r="O6003">
        <v>46.122409709265298</v>
      </c>
      <c r="P6003">
        <v>-8.6151733316451207E-2</v>
      </c>
      <c r="Q6003">
        <v>0.17725215678068501</v>
      </c>
      <c r="R6003">
        <v>0.98658085095891201</v>
      </c>
      <c r="S6003" t="s">
        <v>12455</v>
      </c>
      <c r="T6003" t="s">
        <v>12902</v>
      </c>
      <c r="U6003" t="s">
        <v>12902</v>
      </c>
      <c r="V6003" t="s">
        <v>12902</v>
      </c>
      <c r="W6003" t="s">
        <v>18853</v>
      </c>
      <c r="X6003">
        <v>9</v>
      </c>
      <c r="Y6003" t="s">
        <v>25136</v>
      </c>
      <c r="Z6003" t="s">
        <v>31578</v>
      </c>
      <c r="AA6003">
        <v>0.37186990809813292</v>
      </c>
      <c r="AB6003" t="str">
        <f>HYPERLINK("Melting_Curves/meltCurve_Q9UBW7_ZMYM2.pdf", "Melting_Curves/meltCurve_Q9UBW7_ZMYM2.pdf")</f>
        <v>Melting_Curves/meltCurve_Q9UBW7_ZMYM2.pdf</v>
      </c>
    </row>
    <row r="6004" spans="1:28" x14ac:dyDescent="0.25">
      <c r="A6004" t="s">
        <v>6008</v>
      </c>
      <c r="B6004">
        <v>0.99673306730245903</v>
      </c>
      <c r="C6004">
        <v>0.938452840142462</v>
      </c>
      <c r="D6004">
        <v>1.12707293249157</v>
      </c>
      <c r="E6004">
        <v>1.3200787215785399</v>
      </c>
      <c r="F6004">
        <v>0.97062273498701901</v>
      </c>
      <c r="G6004">
        <v>0.21989081119065901</v>
      </c>
      <c r="H6004">
        <v>9.6450525265786194E-2</v>
      </c>
      <c r="I6004">
        <v>6.8850620660746403E-2</v>
      </c>
      <c r="J6004">
        <v>8.9484788552928199E-2</v>
      </c>
      <c r="K6004">
        <v>7.9900115154946896E-2</v>
      </c>
      <c r="L6004">
        <v>4368.5289813382296</v>
      </c>
      <c r="M6004">
        <v>78.654285329190301</v>
      </c>
      <c r="N6004">
        <v>55.670044900955901</v>
      </c>
      <c r="O6004">
        <v>55.505017387660303</v>
      </c>
      <c r="P6004">
        <v>-0.32471723937187602</v>
      </c>
      <c r="Q6004">
        <v>8.3409968640315801E-2</v>
      </c>
      <c r="R6004">
        <v>0.94915168593181798</v>
      </c>
      <c r="S6004" t="s">
        <v>12456</v>
      </c>
      <c r="T6004" t="s">
        <v>12902</v>
      </c>
      <c r="U6004" t="s">
        <v>12902</v>
      </c>
      <c r="V6004" t="s">
        <v>12902</v>
      </c>
      <c r="W6004" t="s">
        <v>18854</v>
      </c>
      <c r="X6004">
        <v>5</v>
      </c>
      <c r="Y6004" t="s">
        <v>25137</v>
      </c>
      <c r="Z6004" t="s">
        <v>31579</v>
      </c>
      <c r="AA6004">
        <v>0.55913521153920198</v>
      </c>
      <c r="AB6004" t="str">
        <f>HYPERLINK("Melting_Curves/meltCurve_Q9UBW8_COPS7A.pdf", "Melting_Curves/meltCurve_Q9UBW8_COPS7A.pdf")</f>
        <v>Melting_Curves/meltCurve_Q9UBW8_COPS7A.pdf</v>
      </c>
    </row>
    <row r="6005" spans="1:28" x14ac:dyDescent="0.25">
      <c r="A6005" t="s">
        <v>6009</v>
      </c>
      <c r="B6005">
        <v>0.99673306730245903</v>
      </c>
      <c r="C6005">
        <v>0.93356074700612901</v>
      </c>
      <c r="D6005">
        <v>1.01958218962708</v>
      </c>
      <c r="E6005">
        <v>0.80201425653770597</v>
      </c>
      <c r="F6005">
        <v>0.54613840722305695</v>
      </c>
      <c r="G6005">
        <v>0.487622233228031</v>
      </c>
      <c r="H6005">
        <v>0.44289642077950903</v>
      </c>
      <c r="I6005">
        <v>0.654106862868987</v>
      </c>
      <c r="J6005">
        <v>0.62871402583715297</v>
      </c>
      <c r="K6005">
        <v>0.63250294050061395</v>
      </c>
      <c r="L6005">
        <v>12408.8551539944</v>
      </c>
      <c r="M6005">
        <v>250</v>
      </c>
      <c r="O6005">
        <v>49.632244273221801</v>
      </c>
      <c r="P6005">
        <v>-0.547363238643228</v>
      </c>
      <c r="Q6005">
        <v>0.56533014500080903</v>
      </c>
      <c r="R6005">
        <v>0.89337815680149402</v>
      </c>
      <c r="S6005" t="s">
        <v>12457</v>
      </c>
      <c r="T6005" t="s">
        <v>12902</v>
      </c>
      <c r="U6005" t="s">
        <v>12902</v>
      </c>
      <c r="V6005" t="s">
        <v>12902</v>
      </c>
      <c r="W6005" t="s">
        <v>13067</v>
      </c>
      <c r="X6005">
        <v>17</v>
      </c>
      <c r="Y6005" t="s">
        <v>19461</v>
      </c>
      <c r="Z6005" t="s">
        <v>31580</v>
      </c>
      <c r="AA6005">
        <v>0.70497557156046475</v>
      </c>
      <c r="AB6005" t="str">
        <f>HYPERLINK("Melting_Curves/meltCurve_Q9UBX3_SLC25A10.pdf", "Melting_Curves/meltCurve_Q9UBX3_SLC25A10.pdf")</f>
        <v>Melting_Curves/meltCurve_Q9UBX3_SLC25A10.pdf</v>
      </c>
    </row>
    <row r="6006" spans="1:28" x14ac:dyDescent="0.25">
      <c r="A6006" t="s">
        <v>6010</v>
      </c>
      <c r="B6006">
        <v>0.99673306730245903</v>
      </c>
      <c r="C6006">
        <v>0.99050326928772703</v>
      </c>
      <c r="D6006">
        <v>0.93987575912881405</v>
      </c>
      <c r="E6006">
        <v>0.68795398988023404</v>
      </c>
      <c r="F6006">
        <v>0.38372025835359003</v>
      </c>
      <c r="G6006">
        <v>0.28678731498655202</v>
      </c>
      <c r="H6006">
        <v>0.193899921685421</v>
      </c>
      <c r="I6006">
        <v>0.183061628472069</v>
      </c>
      <c r="J6006">
        <v>0.25553025345029201</v>
      </c>
      <c r="K6006">
        <v>0.22840339466725701</v>
      </c>
      <c r="L6006">
        <v>1250.14645033589</v>
      </c>
      <c r="M6006">
        <v>24.776256045180101</v>
      </c>
      <c r="N6006">
        <v>51.635338003971597</v>
      </c>
      <c r="O6006">
        <v>50.1321811517805</v>
      </c>
      <c r="P6006">
        <v>-9.6883725280138597E-2</v>
      </c>
      <c r="Q6006">
        <v>0.215874315488636</v>
      </c>
      <c r="R6006">
        <v>0.99572242527368504</v>
      </c>
      <c r="S6006" t="s">
        <v>12458</v>
      </c>
      <c r="T6006" t="s">
        <v>12902</v>
      </c>
      <c r="U6006" t="s">
        <v>12902</v>
      </c>
      <c r="V6006" t="s">
        <v>12902</v>
      </c>
      <c r="W6006" t="s">
        <v>18855</v>
      </c>
      <c r="X6006">
        <v>2</v>
      </c>
      <c r="Y6006" t="s">
        <v>25138</v>
      </c>
      <c r="Z6006" t="s">
        <v>31581</v>
      </c>
      <c r="AA6006">
        <v>0.49637501848223697</v>
      </c>
      <c r="AB6006" t="str">
        <f>HYPERLINK("Melting_Curves/meltCurve_Q9UC07_2_ZNF69.pdf", "Melting_Curves/meltCurve_Q9UC07_2_ZNF69.pdf")</f>
        <v>Melting_Curves/meltCurve_Q9UC07_2_ZNF69.pdf</v>
      </c>
    </row>
    <row r="6007" spans="1:28" x14ac:dyDescent="0.25">
      <c r="A6007" t="s">
        <v>6011</v>
      </c>
      <c r="B6007">
        <v>0.99673306730245903</v>
      </c>
      <c r="C6007">
        <v>1.00435126590113</v>
      </c>
      <c r="D6007">
        <v>0.99494237423249599</v>
      </c>
      <c r="E6007">
        <v>0.930776907328426</v>
      </c>
      <c r="F6007">
        <v>0.80786778903130596</v>
      </c>
      <c r="G6007">
        <v>0.80859355863327598</v>
      </c>
      <c r="H6007">
        <v>0.69214372413771297</v>
      </c>
      <c r="I6007">
        <v>1.01416737544248</v>
      </c>
      <c r="J6007">
        <v>1.53947059259621</v>
      </c>
      <c r="K6007">
        <v>1.4678595572551401</v>
      </c>
      <c r="L6007">
        <v>15000</v>
      </c>
      <c r="M6007">
        <v>230.90146474087601</v>
      </c>
      <c r="O6007">
        <v>64.957892775398804</v>
      </c>
      <c r="P6007">
        <v>0.44432905253749999</v>
      </c>
      <c r="Q6007">
        <v>1.5</v>
      </c>
      <c r="R6007">
        <v>0.74022170336234905</v>
      </c>
      <c r="S6007" t="s">
        <v>12459</v>
      </c>
      <c r="T6007" t="s">
        <v>12902</v>
      </c>
      <c r="U6007" t="s">
        <v>12902</v>
      </c>
      <c r="V6007" t="s">
        <v>12902</v>
      </c>
      <c r="W6007" t="s">
        <v>18856</v>
      </c>
      <c r="X6007">
        <v>8</v>
      </c>
      <c r="Y6007" t="s">
        <v>25139</v>
      </c>
      <c r="Z6007" t="s">
        <v>31582</v>
      </c>
      <c r="AA6007">
        <v>1.08388691634005</v>
      </c>
      <c r="AB6007" t="str">
        <f>HYPERLINK("Melting_Curves/meltCurve_Q9UD71_PPP1R1B.pdf", "Melting_Curves/meltCurve_Q9UD71_PPP1R1B.pdf")</f>
        <v>Melting_Curves/meltCurve_Q9UD71_PPP1R1B.pdf</v>
      </c>
    </row>
    <row r="6008" spans="1:28" x14ac:dyDescent="0.25">
      <c r="A6008" t="s">
        <v>6012</v>
      </c>
      <c r="B6008">
        <v>0.99673306730245903</v>
      </c>
      <c r="C6008">
        <v>0.94805105354063002</v>
      </c>
      <c r="D6008">
        <v>0.92698371627707399</v>
      </c>
      <c r="E6008">
        <v>0.82173871625731998</v>
      </c>
      <c r="F6008">
        <v>0.74377075578987695</v>
      </c>
      <c r="G6008">
        <v>0.62834169463302403</v>
      </c>
      <c r="H6008">
        <v>0.507148073733525</v>
      </c>
      <c r="I6008">
        <v>0.58629909344115205</v>
      </c>
      <c r="J6008">
        <v>0.76850211718305494</v>
      </c>
      <c r="K6008">
        <v>0.645300121959127</v>
      </c>
      <c r="L6008">
        <v>965.43028117935398</v>
      </c>
      <c r="M6008">
        <v>19.415800382890499</v>
      </c>
      <c r="O6008">
        <v>49.205471184288903</v>
      </c>
      <c r="P6008">
        <v>-3.7101873449154901E-2</v>
      </c>
      <c r="Q6008">
        <v>0.62390450722320201</v>
      </c>
      <c r="R6008">
        <v>0.83026361403221405</v>
      </c>
      <c r="S6008" t="s">
        <v>12460</v>
      </c>
      <c r="T6008" t="s">
        <v>12902</v>
      </c>
      <c r="U6008" t="s">
        <v>12902</v>
      </c>
      <c r="V6008" t="s">
        <v>12902</v>
      </c>
      <c r="W6008" t="s">
        <v>18857</v>
      </c>
      <c r="X6008">
        <v>3</v>
      </c>
      <c r="Y6008" t="s">
        <v>25140</v>
      </c>
      <c r="Z6008" t="s">
        <v>31583</v>
      </c>
      <c r="AA6008">
        <v>0.7513657613953163</v>
      </c>
      <c r="AB6008" t="str">
        <f>HYPERLINK("Melting_Curves/meltCurve_Q9UDW1_UQCR10.pdf", "Melting_Curves/meltCurve_Q9UDW1_UQCR10.pdf")</f>
        <v>Melting_Curves/meltCurve_Q9UDW1_UQCR10.pdf</v>
      </c>
    </row>
    <row r="6009" spans="1:28" x14ac:dyDescent="0.25">
      <c r="A6009" t="s">
        <v>6013</v>
      </c>
      <c r="B6009">
        <v>0.99673306730245903</v>
      </c>
      <c r="C6009">
        <v>1.0306386543139401</v>
      </c>
      <c r="D6009">
        <v>0.94807221963208099</v>
      </c>
      <c r="E6009">
        <v>0.85910083521788105</v>
      </c>
      <c r="F6009">
        <v>0.74619698120729505</v>
      </c>
      <c r="G6009">
        <v>0.69240569423322496</v>
      </c>
      <c r="H6009">
        <v>0.607592893053014</v>
      </c>
      <c r="I6009">
        <v>0.87515594627689797</v>
      </c>
      <c r="J6009">
        <v>1.12346019531838</v>
      </c>
      <c r="K6009">
        <v>1.04359481700779</v>
      </c>
      <c r="L6009">
        <v>4370.4196298619499</v>
      </c>
      <c r="M6009">
        <v>94.364730144615194</v>
      </c>
      <c r="O6009">
        <v>46.293333508559598</v>
      </c>
      <c r="P6009">
        <v>-7.6646708704952798E-2</v>
      </c>
      <c r="Q6009">
        <v>0.84959501768287404</v>
      </c>
      <c r="R6009">
        <v>0.177469512600612</v>
      </c>
      <c r="S6009" t="s">
        <v>12461</v>
      </c>
      <c r="T6009" t="s">
        <v>12902</v>
      </c>
      <c r="U6009" t="s">
        <v>12902</v>
      </c>
      <c r="V6009" t="s">
        <v>12902</v>
      </c>
      <c r="W6009" t="s">
        <v>18858</v>
      </c>
      <c r="X6009">
        <v>11</v>
      </c>
      <c r="Y6009" t="s">
        <v>25141</v>
      </c>
      <c r="Z6009" t="s">
        <v>31584</v>
      </c>
      <c r="AA6009">
        <v>0.88133678451435593</v>
      </c>
      <c r="AB6009" t="str">
        <f>HYPERLINK("Melting_Curves/meltCurve_Q9UDX5_MTFP1.pdf", "Melting_Curves/meltCurve_Q9UDX5_MTFP1.pdf")</f>
        <v>Melting_Curves/meltCurve_Q9UDX5_MTFP1.pdf</v>
      </c>
    </row>
    <row r="6010" spans="1:28" x14ac:dyDescent="0.25">
      <c r="A6010" t="s">
        <v>6014</v>
      </c>
      <c r="B6010">
        <v>0.99673306730245903</v>
      </c>
      <c r="C6010">
        <v>0.89001115742326298</v>
      </c>
      <c r="D6010">
        <v>0.69378807997893099</v>
      </c>
      <c r="E6010">
        <v>0.37961035424441297</v>
      </c>
      <c r="F6010">
        <v>0.16787116129028401</v>
      </c>
      <c r="G6010">
        <v>0.115152304246233</v>
      </c>
      <c r="H6010">
        <v>7.9483649883497196E-2</v>
      </c>
      <c r="I6010">
        <v>9.2193952756751005E-2</v>
      </c>
      <c r="J6010">
        <v>0.121635500974709</v>
      </c>
      <c r="K6010">
        <v>0.11011160787421199</v>
      </c>
      <c r="L6010">
        <v>967.22190715821</v>
      </c>
      <c r="M6010">
        <v>20.3541727214559</v>
      </c>
      <c r="N6010">
        <v>48.002424062653603</v>
      </c>
      <c r="O6010">
        <v>47.068009831794903</v>
      </c>
      <c r="P6010">
        <v>-9.8105856940085695E-2</v>
      </c>
      <c r="Q6010">
        <v>9.2567466070163695E-2</v>
      </c>
      <c r="R6010">
        <v>0.99758590826279903</v>
      </c>
      <c r="S6010" t="s">
        <v>12462</v>
      </c>
      <c r="T6010" t="s">
        <v>12902</v>
      </c>
      <c r="U6010" t="s">
        <v>12902</v>
      </c>
      <c r="V6010" t="s">
        <v>12902</v>
      </c>
      <c r="W6010" t="s">
        <v>18859</v>
      </c>
      <c r="X6010">
        <v>46</v>
      </c>
      <c r="Y6010" t="s">
        <v>25142</v>
      </c>
      <c r="Z6010" t="s">
        <v>31585</v>
      </c>
      <c r="AA6010">
        <v>0.33258065888030841</v>
      </c>
      <c r="AB6010" t="str">
        <f>HYPERLINK("Melting_Curves/meltCurve_Q9UDY2_3_TJP2.pdf", "Melting_Curves/meltCurve_Q9UDY2_3_TJP2.pdf")</f>
        <v>Melting_Curves/meltCurve_Q9UDY2_3_TJP2.pdf</v>
      </c>
    </row>
    <row r="6011" spans="1:28" x14ac:dyDescent="0.25">
      <c r="A6011" t="s">
        <v>6015</v>
      </c>
      <c r="B6011">
        <v>0.99673306730245903</v>
      </c>
      <c r="C6011">
        <v>0.96920313214055398</v>
      </c>
      <c r="D6011">
        <v>0.80980415753664403</v>
      </c>
      <c r="E6011">
        <v>0.551063775159086</v>
      </c>
      <c r="F6011">
        <v>0.19847845797039099</v>
      </c>
      <c r="G6011">
        <v>0.12944104606843601</v>
      </c>
      <c r="H6011">
        <v>0.118193854363558</v>
      </c>
      <c r="I6011">
        <v>8.9458759129062898E-2</v>
      </c>
      <c r="J6011">
        <v>0.16722540456269899</v>
      </c>
      <c r="K6011">
        <v>0.13934075908549301</v>
      </c>
      <c r="L6011">
        <v>1155.12705229261</v>
      </c>
      <c r="M6011">
        <v>23.5301644110205</v>
      </c>
      <c r="N6011">
        <v>49.646452328898299</v>
      </c>
      <c r="O6011">
        <v>48.740879309369099</v>
      </c>
      <c r="P6011">
        <v>-0.106731947984607</v>
      </c>
      <c r="Q6011">
        <v>0.11566788160029801</v>
      </c>
      <c r="R6011">
        <v>0.99236960716478195</v>
      </c>
      <c r="S6011" t="s">
        <v>12463</v>
      </c>
      <c r="T6011" t="s">
        <v>12902</v>
      </c>
      <c r="U6011" t="s">
        <v>12902</v>
      </c>
      <c r="V6011" t="s">
        <v>12902</v>
      </c>
      <c r="W6011" t="s">
        <v>18860</v>
      </c>
      <c r="X6011">
        <v>3</v>
      </c>
      <c r="Y6011" t="s">
        <v>25143</v>
      </c>
      <c r="Z6011" t="s">
        <v>31586</v>
      </c>
      <c r="AA6011">
        <v>0.39254053094388258</v>
      </c>
      <c r="AB6011" t="str">
        <f>HYPERLINK("Melting_Curves/meltCurve_Q9UDY4_DNAJB4.pdf", "Melting_Curves/meltCurve_Q9UDY4_DNAJB4.pdf")</f>
        <v>Melting_Curves/meltCurve_Q9UDY4_DNAJB4.pdf</v>
      </c>
    </row>
    <row r="6012" spans="1:28" x14ac:dyDescent="0.25">
      <c r="A6012" t="s">
        <v>6016</v>
      </c>
      <c r="B6012">
        <v>0.99673306730245903</v>
      </c>
      <c r="C6012">
        <v>1.0106024498350199</v>
      </c>
      <c r="D6012">
        <v>0.46952019667317402</v>
      </c>
      <c r="E6012">
        <v>0.27765232736054202</v>
      </c>
      <c r="F6012">
        <v>0.123267596811516</v>
      </c>
      <c r="G6012">
        <v>7.0251876110565506E-2</v>
      </c>
      <c r="H6012">
        <v>4.5401046794762798E-2</v>
      </c>
      <c r="I6012">
        <v>3.8946313921068898E-2</v>
      </c>
      <c r="J6012">
        <v>3.90530552343211E-2</v>
      </c>
      <c r="K6012">
        <v>3.3451730746719997E-2</v>
      </c>
      <c r="L6012">
        <v>1216.37913279533</v>
      </c>
      <c r="M6012">
        <v>26.298201013602899</v>
      </c>
      <c r="N6012">
        <v>46.473040577535002</v>
      </c>
      <c r="O6012">
        <v>45.988354945010499</v>
      </c>
      <c r="P6012">
        <v>-0.13460570091135099</v>
      </c>
      <c r="Q6012">
        <v>5.8456257848868903E-2</v>
      </c>
      <c r="R6012">
        <v>0.97637392671624701</v>
      </c>
      <c r="S6012" t="s">
        <v>12464</v>
      </c>
      <c r="T6012" t="s">
        <v>12902</v>
      </c>
      <c r="U6012" t="s">
        <v>12902</v>
      </c>
      <c r="V6012" t="s">
        <v>12902</v>
      </c>
      <c r="W6012" t="s">
        <v>18861</v>
      </c>
      <c r="X6012">
        <v>18</v>
      </c>
      <c r="Y6012" t="s">
        <v>25144</v>
      </c>
      <c r="Z6012" t="s">
        <v>31587</v>
      </c>
      <c r="AA6012">
        <v>0.26237692948075719</v>
      </c>
      <c r="AB6012" t="str">
        <f>HYPERLINK("Melting_Curves/meltCurve_Q9UDY8_MALT1.pdf", "Melting_Curves/meltCurve_Q9UDY8_MALT1.pdf")</f>
        <v>Melting_Curves/meltCurve_Q9UDY8_MALT1.pdf</v>
      </c>
    </row>
    <row r="6013" spans="1:28" x14ac:dyDescent="0.25">
      <c r="A6013" t="s">
        <v>6017</v>
      </c>
      <c r="B6013">
        <v>0.99673306730245903</v>
      </c>
      <c r="C6013">
        <v>0.97502019344412005</v>
      </c>
      <c r="D6013">
        <v>0.91880022321657795</v>
      </c>
      <c r="E6013">
        <v>0.82868488337813795</v>
      </c>
      <c r="F6013">
        <v>0.73287897234402599</v>
      </c>
      <c r="G6013">
        <v>0.66758150693982199</v>
      </c>
      <c r="H6013">
        <v>0.496346936313941</v>
      </c>
      <c r="I6013">
        <v>0.71686918492615703</v>
      </c>
      <c r="J6013">
        <v>1.1099724944376601</v>
      </c>
      <c r="K6013">
        <v>1.04886833922699</v>
      </c>
      <c r="L6013">
        <v>1699.48384462731</v>
      </c>
      <c r="M6013">
        <v>36.580309333504403</v>
      </c>
      <c r="O6013">
        <v>46.320812944256701</v>
      </c>
      <c r="P6013">
        <v>-4.0037209144104698E-2</v>
      </c>
      <c r="Q6013">
        <v>0.79720787826602402</v>
      </c>
      <c r="R6013">
        <v>0.17514566883080801</v>
      </c>
      <c r="S6013" t="s">
        <v>12465</v>
      </c>
      <c r="T6013" t="s">
        <v>12902</v>
      </c>
      <c r="U6013" t="s">
        <v>12902</v>
      </c>
      <c r="V6013" t="s">
        <v>12902</v>
      </c>
      <c r="W6013" t="s">
        <v>18862</v>
      </c>
      <c r="X6013">
        <v>10</v>
      </c>
      <c r="Y6013" t="s">
        <v>25145</v>
      </c>
      <c r="Z6013" t="s">
        <v>31588</v>
      </c>
      <c r="AA6013">
        <v>0.84166560237064991</v>
      </c>
      <c r="AB6013" t="str">
        <f>HYPERLINK("Melting_Curves/meltCurve_Q9UEE9_CFDP1.pdf", "Melting_Curves/meltCurve_Q9UEE9_CFDP1.pdf")</f>
        <v>Melting_Curves/meltCurve_Q9UEE9_CFDP1.pdf</v>
      </c>
    </row>
    <row r="6014" spans="1:28" x14ac:dyDescent="0.25">
      <c r="A6014" t="s">
        <v>6018</v>
      </c>
      <c r="B6014">
        <v>0.99673306730245903</v>
      </c>
      <c r="C6014">
        <v>0.914416733849441</v>
      </c>
      <c r="D6014">
        <v>0.85215931481551299</v>
      </c>
      <c r="E6014">
        <v>0.721044200337842</v>
      </c>
      <c r="F6014">
        <v>0.55076627447122295</v>
      </c>
      <c r="G6014">
        <v>0.40284975337693402</v>
      </c>
      <c r="H6014">
        <v>0.34696249887365499</v>
      </c>
      <c r="I6014">
        <v>0.35240408113323701</v>
      </c>
      <c r="J6014">
        <v>0.41453684167574401</v>
      </c>
      <c r="K6014">
        <v>0.45692863620886298</v>
      </c>
      <c r="L6014">
        <v>831.23747965418704</v>
      </c>
      <c r="M6014">
        <v>16.748773188272001</v>
      </c>
      <c r="N6014">
        <v>54.161067769351597</v>
      </c>
      <c r="O6014">
        <v>48.938434377099902</v>
      </c>
      <c r="P6014">
        <v>-5.33199101061715E-2</v>
      </c>
      <c r="Q6014">
        <v>0.37685644179730499</v>
      </c>
      <c r="R6014">
        <v>0.96999674420905002</v>
      </c>
      <c r="S6014" t="s">
        <v>12466</v>
      </c>
      <c r="T6014" t="s">
        <v>12902</v>
      </c>
      <c r="U6014" t="s">
        <v>12902</v>
      </c>
      <c r="V6014" t="s">
        <v>12902</v>
      </c>
      <c r="W6014" t="s">
        <v>18863</v>
      </c>
      <c r="X6014">
        <v>6</v>
      </c>
      <c r="Y6014" t="s">
        <v>25146</v>
      </c>
      <c r="Z6014" t="s">
        <v>31589</v>
      </c>
      <c r="AA6014">
        <v>0.58914075507187624</v>
      </c>
      <c r="AB6014" t="str">
        <f>HYPERLINK("Melting_Curves/meltCurve_Q9UEG4_ZNF629.pdf", "Melting_Curves/meltCurve_Q9UEG4_ZNF629.pdf")</f>
        <v>Melting_Curves/meltCurve_Q9UEG4_ZNF629.pdf</v>
      </c>
    </row>
    <row r="6015" spans="1:28" x14ac:dyDescent="0.25">
      <c r="A6015" t="s">
        <v>6019</v>
      </c>
      <c r="B6015">
        <v>0.99673306730245903</v>
      </c>
      <c r="C6015">
        <v>0.94165760128741605</v>
      </c>
      <c r="D6015">
        <v>0.95087260678809304</v>
      </c>
      <c r="E6015">
        <v>0.79893401429178601</v>
      </c>
      <c r="F6015">
        <v>0.66324772389805897</v>
      </c>
      <c r="G6015">
        <v>0.44265857060071201</v>
      </c>
      <c r="H6015">
        <v>0.42358871370405798</v>
      </c>
      <c r="I6015">
        <v>0.51799670925862695</v>
      </c>
      <c r="J6015">
        <v>0.60809026397104005</v>
      </c>
      <c r="K6015">
        <v>0.50970730023580002</v>
      </c>
      <c r="L6015">
        <v>1264.2438151153999</v>
      </c>
      <c r="M6015">
        <v>25.026225658604101</v>
      </c>
      <c r="O6015">
        <v>50.197521834554898</v>
      </c>
      <c r="P6015">
        <v>-6.2227252438621997E-2</v>
      </c>
      <c r="Q6015">
        <v>0.50074580551300496</v>
      </c>
      <c r="R6015">
        <v>0.92698502311938302</v>
      </c>
      <c r="S6015" t="s">
        <v>12467</v>
      </c>
      <c r="T6015" t="s">
        <v>12902</v>
      </c>
      <c r="U6015" t="s">
        <v>12902</v>
      </c>
      <c r="V6015" t="s">
        <v>12902</v>
      </c>
      <c r="W6015" t="s">
        <v>18864</v>
      </c>
      <c r="X6015">
        <v>3</v>
      </c>
      <c r="Y6015" t="s">
        <v>21000</v>
      </c>
      <c r="Z6015" t="s">
        <v>31590</v>
      </c>
      <c r="AA6015">
        <v>0.68024088129896254</v>
      </c>
      <c r="AB6015" t="str">
        <f>HYPERLINK("Melting_Curves/meltCurve_Q9UEL6_MPZL1.pdf", "Melting_Curves/meltCurve_Q9UEL6_MPZL1.pdf")</f>
        <v>Melting_Curves/meltCurve_Q9UEL6_MPZL1.pdf</v>
      </c>
    </row>
    <row r="6016" spans="1:28" x14ac:dyDescent="0.25">
      <c r="A6016" t="s">
        <v>6020</v>
      </c>
      <c r="B6016">
        <v>0.99673306730245903</v>
      </c>
      <c r="C6016">
        <v>0.87696092641110202</v>
      </c>
      <c r="D6016">
        <v>0.62143652811420702</v>
      </c>
      <c r="E6016">
        <v>0.41456741099654998</v>
      </c>
      <c r="F6016">
        <v>0.31879807670974603</v>
      </c>
      <c r="G6016">
        <v>0.24036303982816001</v>
      </c>
      <c r="H6016">
        <v>0.144551661270513</v>
      </c>
      <c r="I6016">
        <v>0.14126770826156901</v>
      </c>
      <c r="J6016">
        <v>0.163029912152579</v>
      </c>
      <c r="K6016">
        <v>0.14257099753701999</v>
      </c>
      <c r="L6016">
        <v>722.58811649124095</v>
      </c>
      <c r="M6016">
        <v>15.281689819504701</v>
      </c>
      <c r="N6016">
        <v>48.374780680922697</v>
      </c>
      <c r="O6016">
        <v>46.497061311311803</v>
      </c>
      <c r="P6016">
        <v>-7.02018868347805E-2</v>
      </c>
      <c r="Q6016">
        <v>0.14567726465242001</v>
      </c>
      <c r="R6016">
        <v>0.99041817226406204</v>
      </c>
      <c r="S6016" t="s">
        <v>12468</v>
      </c>
      <c r="T6016" t="s">
        <v>12902</v>
      </c>
      <c r="U6016" t="s">
        <v>12902</v>
      </c>
      <c r="V6016" t="s">
        <v>12902</v>
      </c>
      <c r="W6016" t="s">
        <v>18865</v>
      </c>
      <c r="X6016">
        <v>6</v>
      </c>
      <c r="Y6016" t="s">
        <v>25147</v>
      </c>
      <c r="Z6016" t="s">
        <v>31591</v>
      </c>
      <c r="AA6016">
        <v>0.37509018876621242</v>
      </c>
      <c r="AB6016" t="str">
        <f>HYPERLINK("Melting_Curves/meltCurve_Q9UER7_3_DAXX.pdf", "Melting_Curves/meltCurve_Q9UER7_3_DAXX.pdf")</f>
        <v>Melting_Curves/meltCurve_Q9UER7_3_DAXX.pdf</v>
      </c>
    </row>
    <row r="6017" spans="1:28" x14ac:dyDescent="0.25">
      <c r="A6017" t="s">
        <v>6021</v>
      </c>
      <c r="B6017">
        <v>0.99673306730245903</v>
      </c>
      <c r="C6017">
        <v>0.91566442577733298</v>
      </c>
      <c r="D6017">
        <v>0.81171897475611998</v>
      </c>
      <c r="E6017">
        <v>0.58672825966793696</v>
      </c>
      <c r="F6017">
        <v>0.24037836092560899</v>
      </c>
      <c r="G6017">
        <v>0.17785576398292399</v>
      </c>
      <c r="H6017">
        <v>0.12223504631408599</v>
      </c>
      <c r="I6017">
        <v>8.4517250351668793E-2</v>
      </c>
      <c r="J6017">
        <v>9.2533105065117305E-2</v>
      </c>
      <c r="K6017">
        <v>9.5366073743391899E-2</v>
      </c>
      <c r="L6017">
        <v>909.40213780461295</v>
      </c>
      <c r="M6017">
        <v>18.327178781023999</v>
      </c>
      <c r="N6017">
        <v>50.111740088933601</v>
      </c>
      <c r="O6017">
        <v>49.040934414090401</v>
      </c>
      <c r="P6017">
        <v>-8.5748710785038706E-2</v>
      </c>
      <c r="Q6017">
        <v>8.2236140910532399E-2</v>
      </c>
      <c r="R6017">
        <v>0.99502857783007403</v>
      </c>
      <c r="S6017" t="s">
        <v>12469</v>
      </c>
      <c r="T6017" t="s">
        <v>12902</v>
      </c>
      <c r="U6017" t="s">
        <v>12902</v>
      </c>
      <c r="V6017" t="s">
        <v>12902</v>
      </c>
      <c r="W6017" t="s">
        <v>18866</v>
      </c>
      <c r="X6017">
        <v>2</v>
      </c>
      <c r="Y6017" t="s">
        <v>25148</v>
      </c>
      <c r="Z6017" t="s">
        <v>31592</v>
      </c>
      <c r="AA6017">
        <v>0.39173827617937929</v>
      </c>
      <c r="AB6017" t="str">
        <f>HYPERLINK("Melting_Curves/meltCurve_Q9UET6_2_FTSJ1.pdf", "Melting_Curves/meltCurve_Q9UET6_2_FTSJ1.pdf")</f>
        <v>Melting_Curves/meltCurve_Q9UET6_2_FTSJ1.pdf</v>
      </c>
    </row>
    <row r="6018" spans="1:28" x14ac:dyDescent="0.25">
      <c r="A6018" t="s">
        <v>6022</v>
      </c>
      <c r="B6018">
        <v>0.99673306730245903</v>
      </c>
      <c r="C6018">
        <v>0.96797487300543295</v>
      </c>
      <c r="D6018">
        <v>0.968316671496253</v>
      </c>
      <c r="E6018">
        <v>0.93439928742899503</v>
      </c>
      <c r="F6018">
        <v>1.00009549755509</v>
      </c>
      <c r="G6018">
        <v>0.81658402177710798</v>
      </c>
      <c r="H6018">
        <v>0.80156767231549697</v>
      </c>
      <c r="I6018">
        <v>1.02241854236264</v>
      </c>
      <c r="J6018">
        <v>0.91382615253009303</v>
      </c>
      <c r="K6018">
        <v>1.02544650646837</v>
      </c>
      <c r="L6018">
        <v>829.27418869578798</v>
      </c>
      <c r="M6018">
        <v>18.347706673126201</v>
      </c>
      <c r="O6018">
        <v>44.671053618326297</v>
      </c>
      <c r="P6018">
        <v>-7.3631552865807198E-3</v>
      </c>
      <c r="Q6018">
        <v>0.92829515727800305</v>
      </c>
      <c r="R6018">
        <v>8.7779727250415704E-2</v>
      </c>
      <c r="S6018" t="s">
        <v>12470</v>
      </c>
      <c r="T6018" t="s">
        <v>12902</v>
      </c>
      <c r="U6018" t="s">
        <v>12902</v>
      </c>
      <c r="V6018" t="s">
        <v>12902</v>
      </c>
      <c r="W6018" t="s">
        <v>18867</v>
      </c>
      <c r="X6018">
        <v>5</v>
      </c>
      <c r="Y6018" t="s">
        <v>25149</v>
      </c>
      <c r="Z6018" t="s">
        <v>31593</v>
      </c>
      <c r="AA6018">
        <v>0.94216773149241584</v>
      </c>
      <c r="AB6018" t="str">
        <f>HYPERLINK("Melting_Curves/meltCurve_Q9UEU0_VTI1B.pdf", "Melting_Curves/meltCurve_Q9UEU0_VTI1B.pdf")</f>
        <v>Melting_Curves/meltCurve_Q9UEU0_VTI1B.pdf</v>
      </c>
    </row>
    <row r="6019" spans="1:28" x14ac:dyDescent="0.25">
      <c r="A6019" t="s">
        <v>6023</v>
      </c>
      <c r="B6019">
        <v>0.99673306730245903</v>
      </c>
      <c r="C6019">
        <v>0.92071482262455595</v>
      </c>
      <c r="D6019">
        <v>0.48354536142014298</v>
      </c>
      <c r="E6019">
        <v>0.163672631348492</v>
      </c>
      <c r="F6019">
        <v>0.142051733083179</v>
      </c>
      <c r="G6019">
        <v>9.7580230428577594E-2</v>
      </c>
      <c r="H6019">
        <v>4.3973352526163197E-2</v>
      </c>
      <c r="I6019">
        <v>3.81209264356469E-2</v>
      </c>
      <c r="J6019">
        <v>2.9604648721958102E-2</v>
      </c>
      <c r="K6019">
        <v>3.8617670970054301E-2</v>
      </c>
      <c r="L6019">
        <v>1366.42767923886</v>
      </c>
      <c r="M6019">
        <v>29.8174133872356</v>
      </c>
      <c r="N6019">
        <v>46.032354153995797</v>
      </c>
      <c r="O6019">
        <v>45.621858209970597</v>
      </c>
      <c r="P6019">
        <v>-0.153196750376726</v>
      </c>
      <c r="Q6019">
        <v>6.24171884447111E-2</v>
      </c>
      <c r="R6019">
        <v>0.99255370374655705</v>
      </c>
      <c r="S6019" t="s">
        <v>12471</v>
      </c>
      <c r="T6019" t="s">
        <v>12902</v>
      </c>
      <c r="U6019" t="s">
        <v>12902</v>
      </c>
      <c r="V6019" t="s">
        <v>12902</v>
      </c>
      <c r="W6019" t="s">
        <v>18868</v>
      </c>
      <c r="X6019">
        <v>8</v>
      </c>
      <c r="Y6019" t="s">
        <v>25150</v>
      </c>
      <c r="Z6019" t="s">
        <v>31594</v>
      </c>
      <c r="AA6019">
        <v>0.25033909265189092</v>
      </c>
      <c r="AB6019" t="str">
        <f>HYPERLINK("Melting_Curves/meltCurve_Q9UEW8_STK39.pdf", "Melting_Curves/meltCurve_Q9UEW8_STK39.pdf")</f>
        <v>Melting_Curves/meltCurve_Q9UEW8_STK39.pdf</v>
      </c>
    </row>
    <row r="6020" spans="1:28" x14ac:dyDescent="0.25">
      <c r="A6020" t="s">
        <v>6024</v>
      </c>
      <c r="B6020">
        <v>0.99673306730245903</v>
      </c>
      <c r="C6020">
        <v>0.98489108184688101</v>
      </c>
      <c r="D6020">
        <v>0.99658539387684697</v>
      </c>
      <c r="E6020">
        <v>1.0095243947313299</v>
      </c>
      <c r="F6020">
        <v>0.90075256320343899</v>
      </c>
      <c r="G6020">
        <v>0.73718285381652404</v>
      </c>
      <c r="H6020">
        <v>0.60131094916946004</v>
      </c>
      <c r="I6020">
        <v>0.768631916392014</v>
      </c>
      <c r="J6020">
        <v>0.86670858140399898</v>
      </c>
      <c r="K6020">
        <v>0.37611926116429001</v>
      </c>
      <c r="L6020">
        <v>412.79595470530103</v>
      </c>
      <c r="M6020">
        <v>5.6812360503450599</v>
      </c>
      <c r="O6020">
        <v>65.161373018517295</v>
      </c>
      <c r="P6020">
        <v>-2.18824658602302E-2</v>
      </c>
      <c r="Q6020">
        <v>0</v>
      </c>
      <c r="R6020">
        <v>0.63897252930193704</v>
      </c>
      <c r="S6020" t="s">
        <v>12472</v>
      </c>
      <c r="T6020" t="s">
        <v>12902</v>
      </c>
      <c r="U6020" t="s">
        <v>12902</v>
      </c>
      <c r="V6020" t="s">
        <v>12902</v>
      </c>
      <c r="W6020" t="s">
        <v>18869</v>
      </c>
      <c r="X6020">
        <v>19</v>
      </c>
      <c r="Y6020" t="s">
        <v>25151</v>
      </c>
      <c r="Z6020" t="s">
        <v>31595</v>
      </c>
      <c r="AA6020">
        <v>0.82836319795617963</v>
      </c>
      <c r="AB6020" t="str">
        <f>HYPERLINK("Melting_Curves/meltCurve_Q9UEY8_2_ADD3.pdf", "Melting_Curves/meltCurve_Q9UEY8_2_ADD3.pdf")</f>
        <v>Melting_Curves/meltCurve_Q9UEY8_2_ADD3.pdf</v>
      </c>
    </row>
    <row r="6021" spans="1:28" x14ac:dyDescent="0.25">
      <c r="A6021" t="s">
        <v>6025</v>
      </c>
      <c r="B6021">
        <v>0.99673306730245903</v>
      </c>
      <c r="C6021">
        <v>0.85033588257022896</v>
      </c>
      <c r="D6021">
        <v>0.55123788668988205</v>
      </c>
      <c r="E6021">
        <v>0.19082529994865299</v>
      </c>
      <c r="F6021">
        <v>0.15987478897961899</v>
      </c>
      <c r="G6021">
        <v>9.83069141230659E-2</v>
      </c>
      <c r="H6021">
        <v>7.0946758397061493E-2</v>
      </c>
      <c r="I6021">
        <v>6.15291558979051E-2</v>
      </c>
      <c r="J6021">
        <v>6.8116823238384999E-2</v>
      </c>
      <c r="K6021">
        <v>5.7103286478547399E-2</v>
      </c>
      <c r="L6021">
        <v>1080.4210409555701</v>
      </c>
      <c r="M6021">
        <v>23.4630773013766</v>
      </c>
      <c r="N6021">
        <v>46.360998056593999</v>
      </c>
      <c r="O6021">
        <v>45.717138437615802</v>
      </c>
      <c r="P6021">
        <v>-0.11890219607326399</v>
      </c>
      <c r="Q6021">
        <v>7.3306015739875496E-2</v>
      </c>
      <c r="R6021">
        <v>0.99603640179155195</v>
      </c>
      <c r="S6021" t="s">
        <v>12473</v>
      </c>
      <c r="T6021" t="s">
        <v>12902</v>
      </c>
      <c r="U6021" t="s">
        <v>12902</v>
      </c>
      <c r="V6021" t="s">
        <v>12902</v>
      </c>
      <c r="W6021" t="s">
        <v>18870</v>
      </c>
      <c r="X6021">
        <v>4</v>
      </c>
      <c r="Y6021" t="s">
        <v>25152</v>
      </c>
      <c r="Z6021" t="s">
        <v>31596</v>
      </c>
      <c r="AA6021">
        <v>0.27000399673038628</v>
      </c>
      <c r="AB6021" t="str">
        <f>HYPERLINK("Melting_Curves/meltCurve_Q9UFC0_LRWD1.pdf", "Melting_Curves/meltCurve_Q9UFC0_LRWD1.pdf")</f>
        <v>Melting_Curves/meltCurve_Q9UFC0_LRWD1.pdf</v>
      </c>
    </row>
    <row r="6022" spans="1:28" x14ac:dyDescent="0.25">
      <c r="A6022" t="s">
        <v>6026</v>
      </c>
      <c r="B6022">
        <v>0.99673306730245903</v>
      </c>
      <c r="C6022">
        <v>1.02048388281894</v>
      </c>
      <c r="D6022">
        <v>0.89595529819852804</v>
      </c>
      <c r="E6022">
        <v>0.82942033947031302</v>
      </c>
      <c r="F6022">
        <v>0.77226978385725997</v>
      </c>
      <c r="G6022">
        <v>0.62764482340005001</v>
      </c>
      <c r="H6022">
        <v>0.50193109869071495</v>
      </c>
      <c r="I6022">
        <v>0.70886431370177605</v>
      </c>
      <c r="J6022">
        <v>1.0106222738253701</v>
      </c>
      <c r="K6022">
        <v>0.97244084342267501</v>
      </c>
      <c r="L6022">
        <v>1492.1498766995501</v>
      </c>
      <c r="M6022">
        <v>31.890719724912799</v>
      </c>
      <c r="O6022">
        <v>46.606642392726997</v>
      </c>
      <c r="P6022">
        <v>-3.9688432590278301E-2</v>
      </c>
      <c r="Q6022">
        <v>0.767990800268467</v>
      </c>
      <c r="R6022">
        <v>0.314727146560774</v>
      </c>
      <c r="S6022" t="s">
        <v>12474</v>
      </c>
      <c r="T6022" t="s">
        <v>12902</v>
      </c>
      <c r="U6022" t="s">
        <v>12902</v>
      </c>
      <c r="V6022" t="s">
        <v>12902</v>
      </c>
      <c r="W6022" t="s">
        <v>18871</v>
      </c>
      <c r="X6022">
        <v>4</v>
      </c>
      <c r="Y6022" t="s">
        <v>25153</v>
      </c>
      <c r="Z6022" t="s">
        <v>31597</v>
      </c>
      <c r="AA6022">
        <v>0.82171939802220018</v>
      </c>
      <c r="AB6022" t="str">
        <f>HYPERLINK("Melting_Curves/meltCurve_Q9UFG5_C19orf25.pdf", "Melting_Curves/meltCurve_Q9UFG5_C19orf25.pdf")</f>
        <v>Melting_Curves/meltCurve_Q9UFG5_C19orf25.pdf</v>
      </c>
    </row>
    <row r="6023" spans="1:28" x14ac:dyDescent="0.25">
      <c r="A6023" t="s">
        <v>6027</v>
      </c>
      <c r="B6023">
        <v>0.99673306730245903</v>
      </c>
      <c r="C6023">
        <v>0.88899115710086596</v>
      </c>
      <c r="D6023">
        <v>0.96894104953358595</v>
      </c>
      <c r="E6023">
        <v>0.88129059905270901</v>
      </c>
      <c r="F6023">
        <v>0.71326658321029401</v>
      </c>
      <c r="G6023">
        <v>0.63118336673616604</v>
      </c>
      <c r="H6023">
        <v>0.47142911487455502</v>
      </c>
      <c r="I6023">
        <v>0.52791823320372999</v>
      </c>
      <c r="J6023">
        <v>0.51754914116866102</v>
      </c>
      <c r="K6023">
        <v>0.22519042293165001</v>
      </c>
      <c r="L6023">
        <v>401.01111176953401</v>
      </c>
      <c r="M6023">
        <v>6.4204239284011999</v>
      </c>
      <c r="N6023">
        <v>62.458665693726601</v>
      </c>
      <c r="O6023">
        <v>57.225652491780501</v>
      </c>
      <c r="P6023">
        <v>-2.8119938832401801E-2</v>
      </c>
      <c r="Q6023">
        <v>0</v>
      </c>
      <c r="R6023">
        <v>0.91408605230974804</v>
      </c>
      <c r="S6023" t="s">
        <v>12475</v>
      </c>
      <c r="T6023" t="s">
        <v>12902</v>
      </c>
      <c r="U6023" t="s">
        <v>12902</v>
      </c>
      <c r="V6023" t="s">
        <v>12902</v>
      </c>
      <c r="W6023" t="s">
        <v>18872</v>
      </c>
      <c r="X6023">
        <v>4</v>
      </c>
      <c r="Y6023" t="s">
        <v>25154</v>
      </c>
      <c r="Z6023" t="s">
        <v>31598</v>
      </c>
      <c r="AA6023">
        <v>0.68697565773064961</v>
      </c>
      <c r="AB6023" t="str">
        <f>HYPERLINK("Melting_Curves/meltCurve_Q9UFN0_NIPSNAP3A.pdf", "Melting_Curves/meltCurve_Q9UFN0_NIPSNAP3A.pdf")</f>
        <v>Melting_Curves/meltCurve_Q9UFN0_NIPSNAP3A.pdf</v>
      </c>
    </row>
    <row r="6024" spans="1:28" x14ac:dyDescent="0.25">
      <c r="A6024" t="s">
        <v>6028</v>
      </c>
      <c r="B6024">
        <v>0.99673306730245903</v>
      </c>
      <c r="C6024">
        <v>0.92030147999160605</v>
      </c>
      <c r="D6024">
        <v>0.89953461476237995</v>
      </c>
      <c r="E6024">
        <v>0.73515780313305801</v>
      </c>
      <c r="F6024">
        <v>0.44177983036663299</v>
      </c>
      <c r="G6024">
        <v>0.29393511530208899</v>
      </c>
      <c r="H6024">
        <v>0.18627712521733999</v>
      </c>
      <c r="I6024">
        <v>0.19529790539091299</v>
      </c>
      <c r="J6024">
        <v>0.231565217774306</v>
      </c>
      <c r="K6024">
        <v>0.27188116096537801</v>
      </c>
      <c r="L6024">
        <v>1043.5205060081501</v>
      </c>
      <c r="M6024">
        <v>20.4869437024559</v>
      </c>
      <c r="N6024">
        <v>52.331213790467302</v>
      </c>
      <c r="O6024">
        <v>50.458012809729198</v>
      </c>
      <c r="P6024">
        <v>-8.0146339219136095E-2</v>
      </c>
      <c r="Q6024">
        <v>0.210442343561516</v>
      </c>
      <c r="R6024">
        <v>0.987898840290654</v>
      </c>
      <c r="S6024" t="s">
        <v>12476</v>
      </c>
      <c r="T6024" t="s">
        <v>12902</v>
      </c>
      <c r="U6024" t="s">
        <v>12902</v>
      </c>
      <c r="V6024" t="s">
        <v>12902</v>
      </c>
      <c r="W6024" t="s">
        <v>18873</v>
      </c>
      <c r="X6024">
        <v>6</v>
      </c>
      <c r="Y6024" t="s">
        <v>25155</v>
      </c>
      <c r="Z6024" t="s">
        <v>31599</v>
      </c>
      <c r="AA6024">
        <v>0.50873568261659097</v>
      </c>
      <c r="AB6024" t="str">
        <f>HYPERLINK("Melting_Curves/meltCurve_Q9UFW8_CGGBP1.pdf", "Melting_Curves/meltCurve_Q9UFW8_CGGBP1.pdf")</f>
        <v>Melting_Curves/meltCurve_Q9UFW8_CGGBP1.pdf</v>
      </c>
    </row>
    <row r="6025" spans="1:28" x14ac:dyDescent="0.25">
      <c r="A6025" t="s">
        <v>6029</v>
      </c>
      <c r="B6025">
        <v>0.99673306730245903</v>
      </c>
      <c r="C6025">
        <v>0.98078200625845602</v>
      </c>
      <c r="D6025">
        <v>0.83103388791547494</v>
      </c>
      <c r="E6025">
        <v>0.60941820945809699</v>
      </c>
      <c r="F6025">
        <v>0.24449473990857801</v>
      </c>
      <c r="G6025">
        <v>0.15623607852395499</v>
      </c>
      <c r="H6025">
        <v>8.7292442131170198E-2</v>
      </c>
      <c r="I6025">
        <v>8.13703110016612E-2</v>
      </c>
      <c r="J6025">
        <v>7.1594708879623895E-2</v>
      </c>
      <c r="K6025">
        <v>6.3818999204209997E-2</v>
      </c>
      <c r="L6025">
        <v>1017.52361782922</v>
      </c>
      <c r="M6025">
        <v>20.3376467021831</v>
      </c>
      <c r="N6025">
        <v>50.375308906072902</v>
      </c>
      <c r="O6025">
        <v>49.555339427065903</v>
      </c>
      <c r="P6025">
        <v>-9.5955602462217196E-2</v>
      </c>
      <c r="Q6025">
        <v>6.4794774294341995E-2</v>
      </c>
      <c r="R6025">
        <v>0.99712251466159496</v>
      </c>
      <c r="S6025" t="s">
        <v>12477</v>
      </c>
      <c r="T6025" t="s">
        <v>12902</v>
      </c>
      <c r="U6025" t="s">
        <v>12902</v>
      </c>
      <c r="V6025" t="s">
        <v>12902</v>
      </c>
      <c r="W6025" t="s">
        <v>18874</v>
      </c>
      <c r="X6025">
        <v>6</v>
      </c>
      <c r="Y6025" t="s">
        <v>25156</v>
      </c>
      <c r="Z6025" t="s">
        <v>31600</v>
      </c>
      <c r="AA6025">
        <v>0.39011208229758221</v>
      </c>
      <c r="AB6025" t="str">
        <f>HYPERLINK("Melting_Curves/meltCurve_Q9UG56_2_PISD.pdf", "Melting_Curves/meltCurve_Q9UG56_2_PISD.pdf")</f>
        <v>Melting_Curves/meltCurve_Q9UG56_2_PISD.pdf</v>
      </c>
    </row>
    <row r="6026" spans="1:28" x14ac:dyDescent="0.25">
      <c r="A6026" t="s">
        <v>6030</v>
      </c>
      <c r="B6026">
        <v>0.99673306730245903</v>
      </c>
      <c r="C6026">
        <v>0.96583468001789896</v>
      </c>
      <c r="D6026">
        <v>0.90372022925182705</v>
      </c>
      <c r="E6026">
        <v>0.79746762413067496</v>
      </c>
      <c r="F6026">
        <v>0.36395999420842701</v>
      </c>
      <c r="G6026">
        <v>0.177114215088263</v>
      </c>
      <c r="H6026">
        <v>0.100142887177244</v>
      </c>
      <c r="I6026">
        <v>8.0484261933069998E-2</v>
      </c>
      <c r="J6026">
        <v>8.1004063356693495E-2</v>
      </c>
      <c r="K6026">
        <v>6.9721446277252797E-2</v>
      </c>
      <c r="L6026">
        <v>1277.2532347962799</v>
      </c>
      <c r="M6026">
        <v>24.683306406311299</v>
      </c>
      <c r="N6026">
        <v>52.083818243132903</v>
      </c>
      <c r="O6026">
        <v>51.4095817220201</v>
      </c>
      <c r="P6026">
        <v>-0.111146816516697</v>
      </c>
      <c r="Q6026">
        <v>7.4041407106823304E-2</v>
      </c>
      <c r="R6026">
        <v>0.99618036932698495</v>
      </c>
      <c r="S6026" t="s">
        <v>12478</v>
      </c>
      <c r="T6026" t="s">
        <v>12902</v>
      </c>
      <c r="U6026" t="s">
        <v>12902</v>
      </c>
      <c r="V6026" t="s">
        <v>12902</v>
      </c>
      <c r="W6026" t="s">
        <v>18875</v>
      </c>
      <c r="X6026">
        <v>29</v>
      </c>
      <c r="Y6026" t="s">
        <v>25157</v>
      </c>
      <c r="Z6026" t="s">
        <v>31601</v>
      </c>
      <c r="AA6026">
        <v>0.44521567541993218</v>
      </c>
      <c r="AB6026" t="str">
        <f>HYPERLINK("Melting_Curves/meltCurve_Q9UG63_ABCF2.pdf", "Melting_Curves/meltCurve_Q9UG63_ABCF2.pdf")</f>
        <v>Melting_Curves/meltCurve_Q9UG63_ABCF2.pdf</v>
      </c>
    </row>
    <row r="6027" spans="1:28" x14ac:dyDescent="0.25">
      <c r="A6027" t="s">
        <v>6031</v>
      </c>
      <c r="B6027">
        <v>0.99673306730245903</v>
      </c>
      <c r="C6027">
        <v>0.99427488300858002</v>
      </c>
      <c r="D6027">
        <v>0.89404811220165503</v>
      </c>
      <c r="E6027">
        <v>0.78724644853089798</v>
      </c>
      <c r="F6027">
        <v>0.54794295604267296</v>
      </c>
      <c r="G6027">
        <v>0.35455473489955103</v>
      </c>
      <c r="H6027">
        <v>0.237086925403305</v>
      </c>
      <c r="I6027">
        <v>0.194944685832284</v>
      </c>
      <c r="J6027">
        <v>0.200811988172162</v>
      </c>
      <c r="K6027">
        <v>0.15033494952595799</v>
      </c>
      <c r="L6027">
        <v>829.07172084783303</v>
      </c>
      <c r="M6027">
        <v>15.705911800475601</v>
      </c>
      <c r="N6027">
        <v>53.986717096100101</v>
      </c>
      <c r="O6027">
        <v>51.953698067294503</v>
      </c>
      <c r="P6027">
        <v>-6.4450534576389898E-2</v>
      </c>
      <c r="Q6027">
        <v>0.14728640214209901</v>
      </c>
      <c r="R6027">
        <v>0.99797698319009698</v>
      </c>
      <c r="S6027" t="s">
        <v>12479</v>
      </c>
      <c r="T6027" t="s">
        <v>12902</v>
      </c>
      <c r="U6027" t="s">
        <v>12902</v>
      </c>
      <c r="V6027" t="s">
        <v>12902</v>
      </c>
      <c r="W6027" t="s">
        <v>18876</v>
      </c>
      <c r="X6027">
        <v>2</v>
      </c>
      <c r="Y6027" t="s">
        <v>25158</v>
      </c>
      <c r="Z6027" t="s">
        <v>31602</v>
      </c>
      <c r="AA6027">
        <v>0.52806600489363731</v>
      </c>
      <c r="AB6027" t="str">
        <f>HYPERLINK("Melting_Curves/meltCurve_Q9UGC7_MTRF1L.pdf", "Melting_Curves/meltCurve_Q9UGC7_MTRF1L.pdf")</f>
        <v>Melting_Curves/meltCurve_Q9UGC7_MTRF1L.pdf</v>
      </c>
    </row>
    <row r="6028" spans="1:28" x14ac:dyDescent="0.25">
      <c r="A6028" t="s">
        <v>6032</v>
      </c>
      <c r="B6028">
        <v>0.99673306730245903</v>
      </c>
      <c r="C6028">
        <v>1.01070237577747</v>
      </c>
      <c r="D6028">
        <v>1.00117141779</v>
      </c>
      <c r="E6028">
        <v>0.91501583373969497</v>
      </c>
      <c r="F6028">
        <v>0.26534732981786202</v>
      </c>
      <c r="G6028">
        <v>0.14086705551926601</v>
      </c>
      <c r="H6028">
        <v>9.2957954721512998E-2</v>
      </c>
      <c r="I6028">
        <v>9.6005039998162497E-2</v>
      </c>
      <c r="J6028">
        <v>0.10517258893815599</v>
      </c>
      <c r="K6028">
        <v>9.4282602964828696E-2</v>
      </c>
      <c r="L6028">
        <v>2724.9532537708201</v>
      </c>
      <c r="M6028">
        <v>52.712253509928402</v>
      </c>
      <c r="N6028">
        <v>51.9238934926939</v>
      </c>
      <c r="O6028">
        <v>51.620632272127402</v>
      </c>
      <c r="P6028">
        <v>-0.22880737958561001</v>
      </c>
      <c r="Q6028">
        <v>0.10372464602105</v>
      </c>
      <c r="R6028">
        <v>0.99926950465026998</v>
      </c>
      <c r="S6028" t="s">
        <v>12480</v>
      </c>
      <c r="T6028" t="s">
        <v>12902</v>
      </c>
      <c r="U6028" t="s">
        <v>12902</v>
      </c>
      <c r="V6028" t="s">
        <v>12902</v>
      </c>
      <c r="W6028" t="s">
        <v>18877</v>
      </c>
      <c r="X6028">
        <v>32</v>
      </c>
      <c r="Y6028" t="s">
        <v>25159</v>
      </c>
      <c r="Z6028" t="s">
        <v>31603</v>
      </c>
      <c r="AA6028">
        <v>0.45495662305422951</v>
      </c>
      <c r="AB6028" t="str">
        <f>HYPERLINK("Melting_Curves/meltCurve_Q9UGI8_TES.pdf", "Melting_Curves/meltCurve_Q9UGI8_TES.pdf")</f>
        <v>Melting_Curves/meltCurve_Q9UGI8_TES.pdf</v>
      </c>
    </row>
    <row r="6029" spans="1:28" x14ac:dyDescent="0.25">
      <c r="A6029" t="s">
        <v>6033</v>
      </c>
      <c r="B6029">
        <v>0.99673306730245903</v>
      </c>
      <c r="C6029">
        <v>0.98173273405171702</v>
      </c>
      <c r="D6029">
        <v>0.84411791581262996</v>
      </c>
      <c r="E6029">
        <v>0.53163580958155898</v>
      </c>
      <c r="F6029">
        <v>0.188365074519178</v>
      </c>
      <c r="G6029">
        <v>0.13874073810637</v>
      </c>
      <c r="H6029">
        <v>9.0601196300020906E-2</v>
      </c>
      <c r="I6029">
        <v>9.5342221833076501E-2</v>
      </c>
      <c r="J6029">
        <v>7.3374793796782897E-2</v>
      </c>
      <c r="K6029">
        <v>6.69846671387513E-2</v>
      </c>
      <c r="L6029">
        <v>1171.5676769654499</v>
      </c>
      <c r="M6029">
        <v>23.738821884038199</v>
      </c>
      <c r="N6029">
        <v>49.707959014786397</v>
      </c>
      <c r="O6029">
        <v>49.006193232125597</v>
      </c>
      <c r="P6029">
        <v>-0.111646808216928</v>
      </c>
      <c r="Q6029">
        <v>7.8085239380840804E-2</v>
      </c>
      <c r="R6029">
        <v>0.99827604701547401</v>
      </c>
      <c r="S6029" t="s">
        <v>12481</v>
      </c>
      <c r="T6029" t="s">
        <v>12902</v>
      </c>
      <c r="U6029" t="s">
        <v>12902</v>
      </c>
      <c r="V6029" t="s">
        <v>12902</v>
      </c>
      <c r="W6029" t="s">
        <v>18878</v>
      </c>
      <c r="X6029">
        <v>5</v>
      </c>
      <c r="Y6029" t="s">
        <v>25160</v>
      </c>
      <c r="Z6029" t="s">
        <v>31604</v>
      </c>
      <c r="AA6029">
        <v>0.37459183167146481</v>
      </c>
      <c r="AB6029" t="str">
        <f>HYPERLINK("Melting_Curves/meltCurve_Q9UGK3_STAP2.pdf", "Melting_Curves/meltCurve_Q9UGK3_STAP2.pdf")</f>
        <v>Melting_Curves/meltCurve_Q9UGK3_STAP2.pdf</v>
      </c>
    </row>
    <row r="6030" spans="1:28" x14ac:dyDescent="0.25">
      <c r="A6030" t="s">
        <v>6034</v>
      </c>
      <c r="B6030">
        <v>0.99673306730245903</v>
      </c>
      <c r="C6030">
        <v>0.98955350107093598</v>
      </c>
      <c r="D6030">
        <v>0.86604800462565401</v>
      </c>
      <c r="E6030">
        <v>0.76424900101550397</v>
      </c>
      <c r="F6030">
        <v>0.42400775711129002</v>
      </c>
      <c r="G6030">
        <v>0.28759628204321602</v>
      </c>
      <c r="H6030">
        <v>0.21332163998926801</v>
      </c>
      <c r="I6030">
        <v>0.25671734206534003</v>
      </c>
      <c r="J6030">
        <v>0.17856322559040999</v>
      </c>
      <c r="K6030">
        <v>0.130848397914269</v>
      </c>
      <c r="L6030">
        <v>953.46177326576196</v>
      </c>
      <c r="M6030">
        <v>18.569006592912899</v>
      </c>
      <c r="N6030">
        <v>52.534393554753201</v>
      </c>
      <c r="O6030">
        <v>50.762553216686797</v>
      </c>
      <c r="P6030">
        <v>-7.5780454018022497E-2</v>
      </c>
      <c r="Q6030">
        <v>0.17138454189076999</v>
      </c>
      <c r="R6030">
        <v>0.98919717851218902</v>
      </c>
      <c r="S6030" t="s">
        <v>12482</v>
      </c>
      <c r="T6030" t="s">
        <v>12902</v>
      </c>
      <c r="U6030" t="s">
        <v>12902</v>
      </c>
      <c r="V6030" t="s">
        <v>12902</v>
      </c>
      <c r="W6030" t="s">
        <v>18879</v>
      </c>
      <c r="X6030">
        <v>4</v>
      </c>
      <c r="Y6030" t="s">
        <v>25161</v>
      </c>
      <c r="Z6030" t="s">
        <v>31605</v>
      </c>
      <c r="AA6030">
        <v>0.49794744403011021</v>
      </c>
      <c r="AB6030" t="str">
        <f>HYPERLINK("Melting_Curves/meltCurve_Q9UGK8_SERGEF.pdf", "Melting_Curves/meltCurve_Q9UGK8_SERGEF.pdf")</f>
        <v>Melting_Curves/meltCurve_Q9UGK8_SERGEF.pdf</v>
      </c>
    </row>
    <row r="6031" spans="1:28" x14ac:dyDescent="0.25">
      <c r="A6031" t="s">
        <v>6035</v>
      </c>
      <c r="B6031">
        <v>0.99673306730245903</v>
      </c>
      <c r="C6031">
        <v>0.89478882028722595</v>
      </c>
      <c r="D6031">
        <v>0.79603975482595002</v>
      </c>
      <c r="E6031">
        <v>0.56832261270961704</v>
      </c>
      <c r="F6031">
        <v>0.24329971051194199</v>
      </c>
      <c r="G6031">
        <v>0.18765419718398399</v>
      </c>
      <c r="H6031">
        <v>9.9269411488040096E-2</v>
      </c>
      <c r="I6031">
        <v>7.7355392581472907E-2</v>
      </c>
      <c r="J6031">
        <v>8.27483630102301E-2</v>
      </c>
      <c r="K6031">
        <v>8.4930864184181207E-2</v>
      </c>
      <c r="L6031">
        <v>829.44900980182501</v>
      </c>
      <c r="M6031">
        <v>16.7401119554589</v>
      </c>
      <c r="N6031">
        <v>49.974042040637997</v>
      </c>
      <c r="O6031">
        <v>48.857718720679401</v>
      </c>
      <c r="P6031">
        <v>-7.99739682311425E-2</v>
      </c>
      <c r="Q6031">
        <v>6.6412671821056798E-2</v>
      </c>
      <c r="R6031">
        <v>0.99482998432673397</v>
      </c>
      <c r="S6031" t="s">
        <v>12483</v>
      </c>
      <c r="T6031" t="s">
        <v>12902</v>
      </c>
      <c r="U6031" t="s">
        <v>12902</v>
      </c>
      <c r="V6031" t="s">
        <v>12902</v>
      </c>
      <c r="W6031" t="s">
        <v>18880</v>
      </c>
      <c r="X6031">
        <v>6</v>
      </c>
      <c r="Y6031" t="s">
        <v>25162</v>
      </c>
      <c r="Z6031" t="s">
        <v>31606</v>
      </c>
      <c r="AA6031">
        <v>0.3819801180780108</v>
      </c>
      <c r="AB6031" t="str">
        <f>HYPERLINK("Melting_Curves/meltCurve_Q9UGM6_WARS2.pdf", "Melting_Curves/meltCurve_Q9UGM6_WARS2.pdf")</f>
        <v>Melting_Curves/meltCurve_Q9UGM6_WARS2.pdf</v>
      </c>
    </row>
    <row r="6032" spans="1:28" x14ac:dyDescent="0.25">
      <c r="A6032" t="s">
        <v>6036</v>
      </c>
      <c r="B6032">
        <v>0.99673306730245903</v>
      </c>
      <c r="C6032">
        <v>0.92319997065741299</v>
      </c>
      <c r="D6032">
        <v>0.84333266452479105</v>
      </c>
      <c r="E6032">
        <v>0.61219644287642305</v>
      </c>
      <c r="F6032">
        <v>0.39294604352928902</v>
      </c>
      <c r="G6032">
        <v>0.24245058531838301</v>
      </c>
      <c r="H6032">
        <v>0.150790291937592</v>
      </c>
      <c r="I6032">
        <v>0.16271786081550099</v>
      </c>
      <c r="J6032">
        <v>0.22085281844784799</v>
      </c>
      <c r="K6032">
        <v>0.225555657830354</v>
      </c>
      <c r="L6032">
        <v>891.24618375325201</v>
      </c>
      <c r="M6032">
        <v>17.895383616146201</v>
      </c>
      <c r="N6032">
        <v>51.0410608626757</v>
      </c>
      <c r="O6032">
        <v>49.193717045872702</v>
      </c>
      <c r="P6032">
        <v>-7.4936608944614402E-2</v>
      </c>
      <c r="Q6032">
        <v>0.17605024237634501</v>
      </c>
      <c r="R6032">
        <v>0.99102101480275095</v>
      </c>
      <c r="S6032" t="s">
        <v>12484</v>
      </c>
      <c r="T6032" t="s">
        <v>12902</v>
      </c>
      <c r="U6032" t="s">
        <v>12902</v>
      </c>
      <c r="V6032" t="s">
        <v>12902</v>
      </c>
      <c r="W6032" t="s">
        <v>18881</v>
      </c>
      <c r="X6032">
        <v>13</v>
      </c>
      <c r="Y6032" t="s">
        <v>25163</v>
      </c>
      <c r="Z6032" t="s">
        <v>31607</v>
      </c>
      <c r="AA6032">
        <v>0.45953993380024272</v>
      </c>
      <c r="AB6032" t="str">
        <f>HYPERLINK("Melting_Curves/meltCurve_Q9UGP4_LIMD1.pdf", "Melting_Curves/meltCurve_Q9UGP4_LIMD1.pdf")</f>
        <v>Melting_Curves/meltCurve_Q9UGP4_LIMD1.pdf</v>
      </c>
    </row>
    <row r="6033" spans="1:28" x14ac:dyDescent="0.25">
      <c r="A6033" t="s">
        <v>6037</v>
      </c>
      <c r="B6033">
        <v>0.99673306730245903</v>
      </c>
      <c r="C6033">
        <v>0.92203918633774795</v>
      </c>
      <c r="D6033">
        <v>0.84694763672570195</v>
      </c>
      <c r="E6033">
        <v>0.66852941816925204</v>
      </c>
      <c r="F6033">
        <v>0.40135866214217297</v>
      </c>
      <c r="G6033">
        <v>0.19457242889392201</v>
      </c>
      <c r="H6033">
        <v>7.7081802549303594E-2</v>
      </c>
      <c r="I6033">
        <v>6.3157966551275604E-2</v>
      </c>
      <c r="J6033">
        <v>6.8961616051674002E-2</v>
      </c>
      <c r="K6033">
        <v>6.3652183351942698E-2</v>
      </c>
      <c r="L6033">
        <v>799.98462120342697</v>
      </c>
      <c r="M6033">
        <v>15.5626588701149</v>
      </c>
      <c r="N6033">
        <v>51.593402808773902</v>
      </c>
      <c r="O6033">
        <v>50.577795529491603</v>
      </c>
      <c r="P6033">
        <v>-7.4796294061146407E-2</v>
      </c>
      <c r="Q6033">
        <v>2.7749459245665801E-2</v>
      </c>
      <c r="R6033">
        <v>0.99697718511531397</v>
      </c>
      <c r="S6033" t="s">
        <v>12485</v>
      </c>
      <c r="T6033" t="s">
        <v>12902</v>
      </c>
      <c r="U6033" t="s">
        <v>12902</v>
      </c>
      <c r="V6033" t="s">
        <v>12902</v>
      </c>
      <c r="W6033" t="s">
        <v>18882</v>
      </c>
      <c r="X6033">
        <v>19</v>
      </c>
      <c r="Y6033" t="s">
        <v>25164</v>
      </c>
      <c r="Z6033" t="s">
        <v>31608</v>
      </c>
      <c r="AA6033">
        <v>0.41822774244655547</v>
      </c>
      <c r="AB6033" t="str">
        <f>HYPERLINK("Melting_Curves/meltCurve_Q9UGP8_SEC63.pdf", "Melting_Curves/meltCurve_Q9UGP8_SEC63.pdf")</f>
        <v>Melting_Curves/meltCurve_Q9UGP8_SEC63.pdf</v>
      </c>
    </row>
    <row r="6034" spans="1:28" x14ac:dyDescent="0.25">
      <c r="A6034" t="s">
        <v>6038</v>
      </c>
      <c r="B6034">
        <v>0.99673306730245903</v>
      </c>
      <c r="C6034">
        <v>1.0323049862729201</v>
      </c>
      <c r="D6034">
        <v>0.95214883495067104</v>
      </c>
      <c r="E6034">
        <v>0.833999698760579</v>
      </c>
      <c r="F6034">
        <v>0.75356094637679605</v>
      </c>
      <c r="G6034">
        <v>0.54374374486709298</v>
      </c>
      <c r="H6034">
        <v>0.384642808664241</v>
      </c>
      <c r="I6034">
        <v>0.48971076155174198</v>
      </c>
      <c r="J6034">
        <v>0.49810130186962498</v>
      </c>
      <c r="K6034">
        <v>0.45533725265973701</v>
      </c>
      <c r="L6034">
        <v>1043.32080024674</v>
      </c>
      <c r="M6034">
        <v>19.790834670707401</v>
      </c>
      <c r="N6034">
        <v>59.338721696932303</v>
      </c>
      <c r="O6034">
        <v>52.187992244227402</v>
      </c>
      <c r="P6034">
        <v>-5.2613144032672497E-2</v>
      </c>
      <c r="Q6034">
        <v>0.44506013905126901</v>
      </c>
      <c r="R6034">
        <v>0.96519410812172801</v>
      </c>
      <c r="S6034" t="s">
        <v>12486</v>
      </c>
      <c r="T6034" t="s">
        <v>12902</v>
      </c>
      <c r="U6034" t="s">
        <v>12902</v>
      </c>
      <c r="V6034" t="s">
        <v>12902</v>
      </c>
      <c r="W6034" t="s">
        <v>18883</v>
      </c>
      <c r="X6034">
        <v>1</v>
      </c>
      <c r="Y6034" t="s">
        <v>25165</v>
      </c>
      <c r="Z6034" t="s">
        <v>31609</v>
      </c>
      <c r="AA6034">
        <v>0.68809557488296713</v>
      </c>
      <c r="AB6034" t="str">
        <f>HYPERLINK("Melting_Curves/meltCurve_Q9UGQ3_2_SLC2A6.pdf", "Melting_Curves/meltCurve_Q9UGQ3_2_SLC2A6.pdf")</f>
        <v>Melting_Curves/meltCurve_Q9UGQ3_2_SLC2A6.pdf</v>
      </c>
    </row>
    <row r="6035" spans="1:28" x14ac:dyDescent="0.25">
      <c r="A6035" t="s">
        <v>6039</v>
      </c>
      <c r="B6035">
        <v>0.99673306730245903</v>
      </c>
      <c r="C6035">
        <v>0.86098551286023395</v>
      </c>
      <c r="D6035">
        <v>0.40510844222535802</v>
      </c>
      <c r="E6035">
        <v>0.20697844837499399</v>
      </c>
      <c r="F6035">
        <v>0.13219544555323001</v>
      </c>
      <c r="G6035">
        <v>0.11170730844899</v>
      </c>
      <c r="H6035">
        <v>6.9855835106204606E-2</v>
      </c>
      <c r="I6035">
        <v>7.1347502760439802E-2</v>
      </c>
      <c r="J6035">
        <v>5.0797947227316002E-2</v>
      </c>
      <c r="K6035">
        <v>6.2506041555885697E-2</v>
      </c>
      <c r="L6035">
        <v>1257.1794528837299</v>
      </c>
      <c r="M6035">
        <v>27.7833357833841</v>
      </c>
      <c r="N6035">
        <v>45.553346530729499</v>
      </c>
      <c r="O6035">
        <v>45.016923792302897</v>
      </c>
      <c r="P6035">
        <v>-0.141241392111144</v>
      </c>
      <c r="Q6035">
        <v>8.4602647618090596E-2</v>
      </c>
      <c r="R6035">
        <v>0.99241539773093201</v>
      </c>
      <c r="S6035" t="s">
        <v>12487</v>
      </c>
      <c r="T6035" t="s">
        <v>12902</v>
      </c>
      <c r="U6035" t="s">
        <v>12902</v>
      </c>
      <c r="V6035" t="s">
        <v>12902</v>
      </c>
      <c r="W6035" t="s">
        <v>18884</v>
      </c>
      <c r="X6035">
        <v>4</v>
      </c>
      <c r="Y6035" t="s">
        <v>25166</v>
      </c>
      <c r="Z6035" t="s">
        <v>31610</v>
      </c>
      <c r="AA6035">
        <v>0.25170786194424027</v>
      </c>
      <c r="AB6035" t="str">
        <f>HYPERLINK("Melting_Curves/meltCurve_Q9UGR2_2_ZC3H7B.pdf", "Melting_Curves/meltCurve_Q9UGR2_2_ZC3H7B.pdf")</f>
        <v>Melting_Curves/meltCurve_Q9UGR2_2_ZC3H7B.pdf</v>
      </c>
    </row>
    <row r="6036" spans="1:28" x14ac:dyDescent="0.25">
      <c r="A6036" t="s">
        <v>6040</v>
      </c>
      <c r="B6036">
        <v>0.99673306730245903</v>
      </c>
      <c r="C6036">
        <v>0.90188983890543295</v>
      </c>
      <c r="D6036">
        <v>0.87464515468159998</v>
      </c>
      <c r="E6036">
        <v>0.80161726214955598</v>
      </c>
      <c r="F6036">
        <v>0.53249917365103805</v>
      </c>
      <c r="G6036">
        <v>0.38853384417913001</v>
      </c>
      <c r="H6036">
        <v>0.28597066076192101</v>
      </c>
      <c r="I6036">
        <v>0.37772565345452402</v>
      </c>
      <c r="J6036">
        <v>0.667629619756135</v>
      </c>
      <c r="K6036">
        <v>0.98668552047785396</v>
      </c>
      <c r="L6036">
        <v>1478.39926091703</v>
      </c>
      <c r="M6036">
        <v>30.079257550090102</v>
      </c>
      <c r="O6036">
        <v>48.934417105402403</v>
      </c>
      <c r="P6036">
        <v>-7.1162206169068903E-2</v>
      </c>
      <c r="Q6036">
        <v>0.53692226327384496</v>
      </c>
      <c r="R6036">
        <v>0.456493307131774</v>
      </c>
      <c r="S6036" t="s">
        <v>12488</v>
      </c>
      <c r="T6036" t="s">
        <v>12902</v>
      </c>
      <c r="U6036" t="s">
        <v>12902</v>
      </c>
      <c r="V6036" t="s">
        <v>12902</v>
      </c>
      <c r="W6036" t="s">
        <v>18885</v>
      </c>
      <c r="X6036">
        <v>14</v>
      </c>
      <c r="Y6036" t="s">
        <v>25167</v>
      </c>
      <c r="Z6036" t="s">
        <v>31611</v>
      </c>
      <c r="AA6036">
        <v>0.68097425044398008</v>
      </c>
      <c r="AB6036" t="str">
        <f>HYPERLINK("Melting_Curves/meltCurve_Q9UGU0_2_TCF20.pdf", "Melting_Curves/meltCurve_Q9UGU0_2_TCF20.pdf")</f>
        <v>Melting_Curves/meltCurve_Q9UGU0_2_TCF20.pdf</v>
      </c>
    </row>
    <row r="6037" spans="1:28" x14ac:dyDescent="0.25">
      <c r="A6037" t="s">
        <v>6041</v>
      </c>
      <c r="B6037">
        <v>0.99673306730245903</v>
      </c>
      <c r="C6037">
        <v>0.98713491817240595</v>
      </c>
      <c r="D6037">
        <v>0.90592527505315801</v>
      </c>
      <c r="E6037">
        <v>0.76380850470956996</v>
      </c>
      <c r="F6037">
        <v>0.23376150696835099</v>
      </c>
      <c r="G6037">
        <v>0.164478012415648</v>
      </c>
      <c r="H6037">
        <v>9.4102239669261095E-2</v>
      </c>
      <c r="I6037">
        <v>9.92833527830395E-2</v>
      </c>
      <c r="J6037">
        <v>8.4640547016413104E-2</v>
      </c>
      <c r="K6037">
        <v>7.1548510514333294E-2</v>
      </c>
      <c r="L6037">
        <v>1744.3763102483799</v>
      </c>
      <c r="M6037">
        <v>34.257807131944901</v>
      </c>
      <c r="N6037">
        <v>51.2263554609953</v>
      </c>
      <c r="O6037">
        <v>50.7465242824507</v>
      </c>
      <c r="P6037">
        <v>-0.153095392642499</v>
      </c>
      <c r="Q6037">
        <v>9.2874987706983797E-2</v>
      </c>
      <c r="R6037">
        <v>0.99396197799430697</v>
      </c>
      <c r="S6037" t="s">
        <v>12489</v>
      </c>
      <c r="T6037" t="s">
        <v>12902</v>
      </c>
      <c r="U6037" t="s">
        <v>12902</v>
      </c>
      <c r="V6037" t="s">
        <v>12902</v>
      </c>
      <c r="W6037" t="s">
        <v>18886</v>
      </c>
      <c r="X6037">
        <v>9</v>
      </c>
      <c r="Y6037" t="s">
        <v>25168</v>
      </c>
      <c r="Z6037" t="s">
        <v>31612</v>
      </c>
      <c r="AA6037">
        <v>0.42740335354912862</v>
      </c>
      <c r="AB6037" t="str">
        <f>HYPERLINK("Melting_Curves/meltCurve_Q9UGV2_NDRG3.pdf", "Melting_Curves/meltCurve_Q9UGV2_NDRG3.pdf")</f>
        <v>Melting_Curves/meltCurve_Q9UGV2_NDRG3.pdf</v>
      </c>
    </row>
    <row r="6038" spans="1:28" x14ac:dyDescent="0.25">
      <c r="A6038" t="s">
        <v>6042</v>
      </c>
      <c r="B6038">
        <v>0.99673306730245903</v>
      </c>
      <c r="C6038">
        <v>0.94228710536867399</v>
      </c>
      <c r="D6038">
        <v>0.77728467381176103</v>
      </c>
      <c r="E6038">
        <v>0.33014178377887099</v>
      </c>
      <c r="F6038">
        <v>0.15405200248280901</v>
      </c>
      <c r="G6038">
        <v>9.3023578543161803E-2</v>
      </c>
      <c r="H6038">
        <v>5.4947045316471897E-2</v>
      </c>
      <c r="I6038">
        <v>4.0339772123164697E-2</v>
      </c>
      <c r="J6038">
        <v>3.9184596315596801E-2</v>
      </c>
      <c r="K6038">
        <v>3.4279563656859101E-2</v>
      </c>
      <c r="L6038">
        <v>1166.81597601662</v>
      </c>
      <c r="M6038">
        <v>24.274094795042</v>
      </c>
      <c r="N6038">
        <v>48.267552843823097</v>
      </c>
      <c r="O6038">
        <v>47.745695738469799</v>
      </c>
      <c r="P6038">
        <v>-0.121045787005941</v>
      </c>
      <c r="Q6038">
        <v>4.7655066723023901E-2</v>
      </c>
      <c r="R6038">
        <v>0.99836993266065199</v>
      </c>
      <c r="S6038" t="s">
        <v>12490</v>
      </c>
      <c r="T6038" t="s">
        <v>12902</v>
      </c>
      <c r="U6038" t="s">
        <v>12902</v>
      </c>
      <c r="V6038" t="s">
        <v>12902</v>
      </c>
      <c r="W6038" t="s">
        <v>18887</v>
      </c>
      <c r="X6038">
        <v>8</v>
      </c>
      <c r="Y6038" t="s">
        <v>25169</v>
      </c>
      <c r="Z6038" t="s">
        <v>31613</v>
      </c>
      <c r="AA6038">
        <v>0.31274280291318263</v>
      </c>
      <c r="AB6038" t="str">
        <f>HYPERLINK("Melting_Curves/meltCurve_Q9UH62_ARMCX3.pdf", "Melting_Curves/meltCurve_Q9UH62_ARMCX3.pdf")</f>
        <v>Melting_Curves/meltCurve_Q9UH62_ARMCX3.pdf</v>
      </c>
    </row>
    <row r="6039" spans="1:28" x14ac:dyDescent="0.25">
      <c r="A6039" t="s">
        <v>6043</v>
      </c>
      <c r="B6039">
        <v>0.99673306730245903</v>
      </c>
      <c r="C6039">
        <v>1.0229096794822901</v>
      </c>
      <c r="D6039">
        <v>1.0044645831946399</v>
      </c>
      <c r="E6039">
        <v>0.90903121644882201</v>
      </c>
      <c r="F6039">
        <v>0.49673606419838101</v>
      </c>
      <c r="G6039">
        <v>0.167128191118077</v>
      </c>
      <c r="H6039">
        <v>8.7543520564250701E-2</v>
      </c>
      <c r="I6039">
        <v>8.29452406843669E-2</v>
      </c>
      <c r="J6039">
        <v>0.107744962298482</v>
      </c>
      <c r="K6039">
        <v>9.1189669342326293E-2</v>
      </c>
      <c r="L6039">
        <v>1811.01155542689</v>
      </c>
      <c r="M6039">
        <v>34.260162561770997</v>
      </c>
      <c r="N6039">
        <v>53.165768782915201</v>
      </c>
      <c r="O6039">
        <v>52.681440443411702</v>
      </c>
      <c r="P6039">
        <v>-0.14806771214315101</v>
      </c>
      <c r="Q6039">
        <v>8.9275726234945202E-2</v>
      </c>
      <c r="R6039">
        <v>0.99929531478449396</v>
      </c>
      <c r="S6039" t="s">
        <v>12491</v>
      </c>
      <c r="T6039" t="s">
        <v>12902</v>
      </c>
      <c r="U6039" t="s">
        <v>12902</v>
      </c>
      <c r="V6039" t="s">
        <v>12902</v>
      </c>
      <c r="W6039" t="s">
        <v>18888</v>
      </c>
      <c r="X6039">
        <v>18</v>
      </c>
      <c r="Y6039" t="s">
        <v>25170</v>
      </c>
      <c r="Z6039" t="s">
        <v>31614</v>
      </c>
      <c r="AA6039">
        <v>0.48422231862829601</v>
      </c>
      <c r="AB6039" t="str">
        <f>HYPERLINK("Melting_Curves/meltCurve_Q9UH65_SWAP70.pdf", "Melting_Curves/meltCurve_Q9UH65_SWAP70.pdf")</f>
        <v>Melting_Curves/meltCurve_Q9UH65_SWAP70.pdf</v>
      </c>
    </row>
    <row r="6040" spans="1:28" x14ac:dyDescent="0.25">
      <c r="A6040" t="s">
        <v>6044</v>
      </c>
      <c r="B6040">
        <v>0.99673306730245903</v>
      </c>
      <c r="C6040">
        <v>1.1007618137913899</v>
      </c>
      <c r="D6040">
        <v>1.0446499784256</v>
      </c>
      <c r="E6040">
        <v>1.02530518836129</v>
      </c>
      <c r="F6040">
        <v>0.90740633638019896</v>
      </c>
      <c r="G6040">
        <v>0.82518341940599704</v>
      </c>
      <c r="H6040">
        <v>0.71676901393499004</v>
      </c>
      <c r="I6040">
        <v>1.2244300399802199</v>
      </c>
      <c r="J6040">
        <v>1.2094983602018099</v>
      </c>
      <c r="K6040">
        <v>0.69361918018527602</v>
      </c>
      <c r="L6040">
        <v>273.85227457879398</v>
      </c>
      <c r="M6040">
        <v>1.3675920197856399</v>
      </c>
      <c r="Q6040">
        <v>0</v>
      </c>
      <c r="R6040">
        <v>2.8387380980332801E-2</v>
      </c>
      <c r="S6040" t="s">
        <v>12492</v>
      </c>
      <c r="T6040" t="s">
        <v>12902</v>
      </c>
      <c r="U6040" t="s">
        <v>12902</v>
      </c>
      <c r="V6040" t="s">
        <v>12902</v>
      </c>
      <c r="W6040" t="s">
        <v>18889</v>
      </c>
      <c r="X6040">
        <v>2</v>
      </c>
      <c r="Y6040" t="s">
        <v>25171</v>
      </c>
      <c r="Z6040" t="s">
        <v>31615</v>
      </c>
      <c r="AA6040">
        <v>0.96954860975872714</v>
      </c>
      <c r="AB6040" t="str">
        <f>HYPERLINK("Melting_Curves/meltCurve_Q9UHA4_LAMTOR3.pdf", "Melting_Curves/meltCurve_Q9UHA4_LAMTOR3.pdf")</f>
        <v>Melting_Curves/meltCurve_Q9UHA4_LAMTOR3.pdf</v>
      </c>
    </row>
    <row r="6041" spans="1:28" x14ac:dyDescent="0.25">
      <c r="A6041" t="s">
        <v>6045</v>
      </c>
      <c r="B6041">
        <v>0.99673306730245903</v>
      </c>
      <c r="C6041">
        <v>0.94651760893975501</v>
      </c>
      <c r="D6041">
        <v>0.80169851272222503</v>
      </c>
      <c r="E6041">
        <v>0.80580527083433395</v>
      </c>
      <c r="F6041">
        <v>0.58283184751140804</v>
      </c>
      <c r="G6041">
        <v>0.40776644206457902</v>
      </c>
      <c r="H6041">
        <v>0.29872458848442501</v>
      </c>
      <c r="I6041">
        <v>0.45949592811397499</v>
      </c>
      <c r="J6041">
        <v>0.69080322571112596</v>
      </c>
      <c r="K6041">
        <v>0.73431767865202402</v>
      </c>
      <c r="L6041">
        <v>977.42528052249997</v>
      </c>
      <c r="M6041">
        <v>20.222975079298301</v>
      </c>
      <c r="O6041">
        <v>47.867258919761099</v>
      </c>
      <c r="P6041">
        <v>-5.0542889819164098E-2</v>
      </c>
      <c r="Q6041">
        <v>0.52148007553694897</v>
      </c>
      <c r="R6041">
        <v>0.656615539018095</v>
      </c>
      <c r="S6041" t="s">
        <v>12493</v>
      </c>
      <c r="T6041" t="s">
        <v>12902</v>
      </c>
      <c r="U6041" t="s">
        <v>12902</v>
      </c>
      <c r="V6041" t="s">
        <v>12902</v>
      </c>
      <c r="W6041" t="s">
        <v>18890</v>
      </c>
      <c r="X6041">
        <v>5</v>
      </c>
      <c r="Y6041" t="s">
        <v>25172</v>
      </c>
      <c r="Z6041" t="s">
        <v>31616</v>
      </c>
      <c r="AA6041">
        <v>0.66099180891668941</v>
      </c>
      <c r="AB6041" t="str">
        <f>HYPERLINK("Melting_Curves/meltCurve_Q9UHB6_LIMA1.pdf", "Melting_Curves/meltCurve_Q9UHB6_LIMA1.pdf")</f>
        <v>Melting_Curves/meltCurve_Q9UHB6_LIMA1.pdf</v>
      </c>
    </row>
    <row r="6042" spans="1:28" x14ac:dyDescent="0.25">
      <c r="A6042" t="s">
        <v>6046</v>
      </c>
      <c r="B6042">
        <v>0.99673306730245903</v>
      </c>
      <c r="C6042">
        <v>0.91525284221421399</v>
      </c>
      <c r="D6042">
        <v>0.89546728994039004</v>
      </c>
      <c r="E6042">
        <v>0.72402032142608996</v>
      </c>
      <c r="F6042">
        <v>0.755590575273825</v>
      </c>
      <c r="G6042">
        <v>0.55307800343177504</v>
      </c>
      <c r="H6042">
        <v>0.18320912830837999</v>
      </c>
      <c r="I6042">
        <v>0.174844463599785</v>
      </c>
      <c r="J6042">
        <v>0.240508952802374</v>
      </c>
      <c r="K6042">
        <v>0.248052981501274</v>
      </c>
      <c r="L6042">
        <v>663.42960268110096</v>
      </c>
      <c r="M6042">
        <v>12.0652413283555</v>
      </c>
      <c r="N6042">
        <v>56.176303923499098</v>
      </c>
      <c r="O6042">
        <v>53.5416522067583</v>
      </c>
      <c r="P6042">
        <v>-4.9997297275258597E-2</v>
      </c>
      <c r="Q6042">
        <v>0.112721911764018</v>
      </c>
      <c r="R6042">
        <v>0.93587893050439297</v>
      </c>
      <c r="S6042" t="s">
        <v>12494</v>
      </c>
      <c r="T6042" t="s">
        <v>12902</v>
      </c>
      <c r="U6042" t="s">
        <v>12902</v>
      </c>
      <c r="V6042" t="s">
        <v>12902</v>
      </c>
      <c r="W6042" t="s">
        <v>18891</v>
      </c>
      <c r="X6042">
        <v>5</v>
      </c>
      <c r="Y6042" t="s">
        <v>25173</v>
      </c>
      <c r="Z6042" t="s">
        <v>31617</v>
      </c>
      <c r="AA6042">
        <v>0.57673437090680824</v>
      </c>
      <c r="AB6042" t="str">
        <f>HYPERLINK("Melting_Curves/meltCurve_Q9UHB7_AFF4.pdf", "Melting_Curves/meltCurve_Q9UHB7_AFF4.pdf")</f>
        <v>Melting_Curves/meltCurve_Q9UHB7_AFF4.pdf</v>
      </c>
    </row>
    <row r="6043" spans="1:28" x14ac:dyDescent="0.25">
      <c r="A6043" t="s">
        <v>6047</v>
      </c>
      <c r="B6043">
        <v>0.99673306730245903</v>
      </c>
      <c r="C6043">
        <v>0.83337621635649295</v>
      </c>
      <c r="D6043">
        <v>0.86915696989595104</v>
      </c>
      <c r="E6043">
        <v>0.37631961171623202</v>
      </c>
      <c r="F6043">
        <v>0.159655305425703</v>
      </c>
      <c r="G6043">
        <v>0.100917204706993</v>
      </c>
      <c r="H6043">
        <v>6.4398092941832602E-2</v>
      </c>
      <c r="I6043">
        <v>6.3868253049619503E-2</v>
      </c>
      <c r="J6043">
        <v>6.7470014212539897E-2</v>
      </c>
      <c r="K6043">
        <v>5.8733457202389303E-2</v>
      </c>
      <c r="L6043">
        <v>1211.2151908629601</v>
      </c>
      <c r="M6043">
        <v>24.983515821243</v>
      </c>
      <c r="N6043">
        <v>48.745004439717199</v>
      </c>
      <c r="O6043">
        <v>48.173174054510604</v>
      </c>
      <c r="P6043">
        <v>-0.121439710129272</v>
      </c>
      <c r="Q6043">
        <v>6.3373369784268593E-2</v>
      </c>
      <c r="R6043">
        <v>0.98351109238622902</v>
      </c>
      <c r="S6043" t="s">
        <v>12495</v>
      </c>
      <c r="T6043" t="s">
        <v>12902</v>
      </c>
      <c r="U6043" t="s">
        <v>12902</v>
      </c>
      <c r="V6043" t="s">
        <v>12902</v>
      </c>
      <c r="W6043" t="s">
        <v>18892</v>
      </c>
      <c r="X6043">
        <v>24</v>
      </c>
      <c r="Y6043" t="s">
        <v>25174</v>
      </c>
      <c r="Z6043" t="s">
        <v>31618</v>
      </c>
      <c r="AA6043">
        <v>0.33643559054906341</v>
      </c>
      <c r="AB6043" t="str">
        <f>HYPERLINK("Melting_Curves/meltCurve_Q9UHB9_SRP68.pdf", "Melting_Curves/meltCurve_Q9UHB9_SRP68.pdf")</f>
        <v>Melting_Curves/meltCurve_Q9UHB9_SRP68.pdf</v>
      </c>
    </row>
    <row r="6044" spans="1:28" x14ac:dyDescent="0.25">
      <c r="A6044" t="s">
        <v>6048</v>
      </c>
      <c r="B6044">
        <v>0.99673306730245903</v>
      </c>
      <c r="C6044">
        <v>0.89166515872654595</v>
      </c>
      <c r="D6044">
        <v>0.92660147964897999</v>
      </c>
      <c r="E6044">
        <v>0.94568165825846995</v>
      </c>
      <c r="F6044">
        <v>0.29035958304989301</v>
      </c>
      <c r="G6044">
        <v>0.14399032699578301</v>
      </c>
      <c r="H6044">
        <v>7.6855764585254505E-2</v>
      </c>
      <c r="I6044">
        <v>6.6534389864289306E-2</v>
      </c>
      <c r="J6044">
        <v>7.0368814915835798E-2</v>
      </c>
      <c r="K6044">
        <v>6.0511092373696201E-2</v>
      </c>
      <c r="L6044">
        <v>2755.5322949984402</v>
      </c>
      <c r="M6044">
        <v>52.973091592750997</v>
      </c>
      <c r="N6044">
        <v>52.190404316768202</v>
      </c>
      <c r="O6044">
        <v>51.943612699246998</v>
      </c>
      <c r="P6044">
        <v>-0.23444539031821901</v>
      </c>
      <c r="Q6044">
        <v>8.0443903884851203E-2</v>
      </c>
      <c r="R6044">
        <v>0.98760478689058995</v>
      </c>
      <c r="S6044" t="s">
        <v>12496</v>
      </c>
      <c r="T6044" t="s">
        <v>12902</v>
      </c>
      <c r="U6044" t="s">
        <v>12902</v>
      </c>
      <c r="V6044" t="s">
        <v>12902</v>
      </c>
      <c r="W6044" t="s">
        <v>18893</v>
      </c>
      <c r="X6044">
        <v>17</v>
      </c>
      <c r="Y6044" t="s">
        <v>25175</v>
      </c>
      <c r="Z6044" t="s">
        <v>31619</v>
      </c>
      <c r="AA6044">
        <v>0.45068387870896509</v>
      </c>
      <c r="AB6044" t="str">
        <f>HYPERLINK("Melting_Curves/meltCurve_Q9UHD1_CHORDC1.pdf", "Melting_Curves/meltCurve_Q9UHD1_CHORDC1.pdf")</f>
        <v>Melting_Curves/meltCurve_Q9UHD1_CHORDC1.pdf</v>
      </c>
    </row>
    <row r="6045" spans="1:28" x14ac:dyDescent="0.25">
      <c r="A6045" t="s">
        <v>6049</v>
      </c>
      <c r="B6045">
        <v>0.99673306730245903</v>
      </c>
      <c r="C6045">
        <v>0.93487501844572996</v>
      </c>
      <c r="D6045">
        <v>0.97166991666420399</v>
      </c>
      <c r="E6045">
        <v>1.0106757563589299</v>
      </c>
      <c r="F6045">
        <v>0.72148411202030804</v>
      </c>
      <c r="G6045">
        <v>0.22831292788295501</v>
      </c>
      <c r="H6045">
        <v>0.13547524099074401</v>
      </c>
      <c r="I6045">
        <v>0.12026528543583299</v>
      </c>
      <c r="J6045">
        <v>0.14043211600609901</v>
      </c>
      <c r="K6045">
        <v>0.13613469573720799</v>
      </c>
      <c r="L6045">
        <v>2448.05353304441</v>
      </c>
      <c r="M6045">
        <v>45.2462062300634</v>
      </c>
      <c r="N6045">
        <v>54.475261165006899</v>
      </c>
      <c r="O6045">
        <v>53.9997954065336</v>
      </c>
      <c r="P6045">
        <v>-0.181756693295894</v>
      </c>
      <c r="Q6045">
        <v>0.13231958106886799</v>
      </c>
      <c r="R6045">
        <v>0.99620529098682498</v>
      </c>
      <c r="S6045" t="s">
        <v>12497</v>
      </c>
      <c r="T6045" t="s">
        <v>12902</v>
      </c>
      <c r="U6045" t="s">
        <v>12902</v>
      </c>
      <c r="V6045" t="s">
        <v>12902</v>
      </c>
      <c r="W6045" t="s">
        <v>18894</v>
      </c>
      <c r="X6045">
        <v>31</v>
      </c>
      <c r="Y6045" t="s">
        <v>25176</v>
      </c>
      <c r="Z6045" t="s">
        <v>31620</v>
      </c>
      <c r="AA6045">
        <v>0.54280866237529224</v>
      </c>
      <c r="AB6045" t="str">
        <f>HYPERLINK("Melting_Curves/meltCurve_Q9UHD8_SEPT9.pdf", "Melting_Curves/meltCurve_Q9UHD8_SEPT9.pdf")</f>
        <v>Melting_Curves/meltCurve_Q9UHD8_SEPT9.pdf</v>
      </c>
    </row>
    <row r="6046" spans="1:28" x14ac:dyDescent="0.25">
      <c r="A6046" t="s">
        <v>6050</v>
      </c>
      <c r="B6046">
        <v>0.99673306730245903</v>
      </c>
      <c r="C6046">
        <v>1.01496521338025</v>
      </c>
      <c r="D6046">
        <v>0.97457093345989199</v>
      </c>
      <c r="E6046">
        <v>0.90593248595961295</v>
      </c>
      <c r="F6046">
        <v>0.75427991514310599</v>
      </c>
      <c r="G6046">
        <v>0.60624654442667703</v>
      </c>
      <c r="H6046">
        <v>0.38547638827354402</v>
      </c>
      <c r="I6046">
        <v>0.50547425315801497</v>
      </c>
      <c r="J6046">
        <v>0.56257045201916001</v>
      </c>
      <c r="K6046">
        <v>0.45237777041285399</v>
      </c>
      <c r="L6046">
        <v>1270.5543854206501</v>
      </c>
      <c r="M6046">
        <v>23.819998189500801</v>
      </c>
      <c r="N6046">
        <v>60.900806796059499</v>
      </c>
      <c r="O6046">
        <v>52.968148913108898</v>
      </c>
      <c r="P6046">
        <v>-5.9134729294287799E-2</v>
      </c>
      <c r="Q6046">
        <v>0.47402081899509102</v>
      </c>
      <c r="R6046">
        <v>0.95582148092043195</v>
      </c>
      <c r="S6046" t="s">
        <v>12498</v>
      </c>
      <c r="T6046" t="s">
        <v>12902</v>
      </c>
      <c r="U6046" t="s">
        <v>12902</v>
      </c>
      <c r="V6046" t="s">
        <v>12902</v>
      </c>
      <c r="W6046" t="s">
        <v>18895</v>
      </c>
      <c r="X6046">
        <v>7</v>
      </c>
      <c r="Y6046" t="s">
        <v>25177</v>
      </c>
      <c r="Z6046" t="s">
        <v>31621</v>
      </c>
      <c r="AA6046">
        <v>0.71320886914254333</v>
      </c>
      <c r="AB6046" t="str">
        <f>HYPERLINK("Melting_Curves/meltCurve_Q9UHD9_UBQLN2.pdf", "Melting_Curves/meltCurve_Q9UHD9_UBQLN2.pdf")</f>
        <v>Melting_Curves/meltCurve_Q9UHD9_UBQLN2.pdf</v>
      </c>
    </row>
    <row r="6047" spans="1:28" x14ac:dyDescent="0.25">
      <c r="A6047" t="s">
        <v>6051</v>
      </c>
      <c r="B6047">
        <v>0.99673306730245903</v>
      </c>
      <c r="C6047">
        <v>0.86845163553693705</v>
      </c>
      <c r="D6047">
        <v>0.74225892837936702</v>
      </c>
      <c r="E6047">
        <v>0.58630806590631701</v>
      </c>
      <c r="F6047">
        <v>0.40004461124590202</v>
      </c>
      <c r="G6047">
        <v>0.26231885045917303</v>
      </c>
      <c r="H6047">
        <v>0.19925388975769401</v>
      </c>
      <c r="I6047">
        <v>0.21208969385846099</v>
      </c>
      <c r="J6047">
        <v>0.23596805807676499</v>
      </c>
      <c r="K6047">
        <v>0.20244946972545699</v>
      </c>
      <c r="L6047">
        <v>667.71177943409396</v>
      </c>
      <c r="M6047">
        <v>13.6349125579393</v>
      </c>
      <c r="N6047">
        <v>50.646309305032702</v>
      </c>
      <c r="O6047">
        <v>47.953409428534897</v>
      </c>
      <c r="P6047">
        <v>-5.8188518388585499E-2</v>
      </c>
      <c r="Q6047">
        <v>0.18153419356261</v>
      </c>
      <c r="R6047">
        <v>0.99211609981347604</v>
      </c>
      <c r="S6047" t="s">
        <v>12499</v>
      </c>
      <c r="T6047" t="s">
        <v>12902</v>
      </c>
      <c r="U6047" t="s">
        <v>12902</v>
      </c>
      <c r="V6047" t="s">
        <v>12902</v>
      </c>
      <c r="W6047" t="s">
        <v>18896</v>
      </c>
      <c r="X6047">
        <v>4</v>
      </c>
      <c r="Y6047" t="s">
        <v>25178</v>
      </c>
      <c r="Z6047" t="s">
        <v>31622</v>
      </c>
      <c r="AA6047">
        <v>0.45039000892483111</v>
      </c>
      <c r="AB6047" t="str">
        <f>HYPERLINK("Melting_Curves/meltCurve_Q9UHE8_STEAP1.pdf", "Melting_Curves/meltCurve_Q9UHE8_STEAP1.pdf")</f>
        <v>Melting_Curves/meltCurve_Q9UHE8_STEAP1.pdf</v>
      </c>
    </row>
    <row r="6048" spans="1:28" x14ac:dyDescent="0.25">
      <c r="A6048" t="s">
        <v>6052</v>
      </c>
      <c r="B6048">
        <v>0.99673306730245903</v>
      </c>
      <c r="C6048">
        <v>0.83803406124697599</v>
      </c>
      <c r="D6048">
        <v>0.79436752873291305</v>
      </c>
      <c r="E6048">
        <v>0.66937979692786198</v>
      </c>
      <c r="F6048">
        <v>0.34659589183145401</v>
      </c>
      <c r="G6048">
        <v>0.18428290898418201</v>
      </c>
      <c r="H6048">
        <v>0.10288437919068701</v>
      </c>
      <c r="I6048">
        <v>7.7999864568097904E-2</v>
      </c>
      <c r="J6048">
        <v>8.6355229408239906E-2</v>
      </c>
      <c r="K6048">
        <v>7.3873343214039197E-2</v>
      </c>
      <c r="L6048">
        <v>690.38246443150001</v>
      </c>
      <c r="M6048">
        <v>13.5998025652493</v>
      </c>
      <c r="N6048">
        <v>50.9991823643091</v>
      </c>
      <c r="O6048">
        <v>49.704261168108403</v>
      </c>
      <c r="P6048">
        <v>-6.6335621105634596E-2</v>
      </c>
      <c r="Q6048">
        <v>3.03754097092458E-2</v>
      </c>
      <c r="R6048">
        <v>0.98584845370036001</v>
      </c>
      <c r="S6048" t="s">
        <v>12500</v>
      </c>
      <c r="T6048" t="s">
        <v>12902</v>
      </c>
      <c r="U6048" t="s">
        <v>12902</v>
      </c>
      <c r="V6048" t="s">
        <v>12902</v>
      </c>
      <c r="W6048" t="s">
        <v>18897</v>
      </c>
      <c r="X6048">
        <v>6</v>
      </c>
      <c r="Y6048" t="s">
        <v>25179</v>
      </c>
      <c r="Z6048" t="s">
        <v>31623</v>
      </c>
      <c r="AA6048">
        <v>0.40477835860473882</v>
      </c>
      <c r="AB6048" t="str">
        <f>HYPERLINK("Melting_Curves/meltCurve_Q9UHF7_TRPS1.pdf", "Melting_Curves/meltCurve_Q9UHF7_TRPS1.pdf")</f>
        <v>Melting_Curves/meltCurve_Q9UHF7_TRPS1.pdf</v>
      </c>
    </row>
    <row r="6049" spans="1:28" x14ac:dyDescent="0.25">
      <c r="A6049" t="s">
        <v>6053</v>
      </c>
      <c r="B6049">
        <v>0.99673306730245903</v>
      </c>
      <c r="C6049">
        <v>1.0057863481246601</v>
      </c>
      <c r="D6049">
        <v>0.94860640099585203</v>
      </c>
      <c r="E6049">
        <v>0.97049413835540499</v>
      </c>
      <c r="F6049">
        <v>0.84517438720317395</v>
      </c>
      <c r="G6049">
        <v>0.780083881730815</v>
      </c>
      <c r="H6049">
        <v>0.51209967024550695</v>
      </c>
      <c r="I6049">
        <v>0.23008329065661401</v>
      </c>
      <c r="J6049">
        <v>0.14486724167885001</v>
      </c>
      <c r="K6049">
        <v>0.110770724403117</v>
      </c>
      <c r="L6049">
        <v>1024.8013760627</v>
      </c>
      <c r="M6049">
        <v>16.957108713877499</v>
      </c>
      <c r="N6049">
        <v>60.434912217085298</v>
      </c>
      <c r="O6049">
        <v>59.613192127848997</v>
      </c>
      <c r="P6049">
        <v>-7.1117510696432698E-2</v>
      </c>
      <c r="Q6049">
        <v>0</v>
      </c>
      <c r="R6049">
        <v>0.99035202119740495</v>
      </c>
      <c r="S6049" t="s">
        <v>12501</v>
      </c>
      <c r="T6049" t="s">
        <v>12902</v>
      </c>
      <c r="U6049" t="s">
        <v>12902</v>
      </c>
      <c r="V6049" t="s">
        <v>12902</v>
      </c>
      <c r="W6049" t="s">
        <v>18898</v>
      </c>
      <c r="X6049">
        <v>19</v>
      </c>
      <c r="Y6049" t="s">
        <v>25180</v>
      </c>
      <c r="Z6049" t="s">
        <v>31624</v>
      </c>
      <c r="AA6049">
        <v>0.6877765402746</v>
      </c>
      <c r="AB6049" t="str">
        <f>HYPERLINK("Melting_Curves/meltCurve_Q9UHG3_PCYOX1.pdf", "Melting_Curves/meltCurve_Q9UHG3_PCYOX1.pdf")</f>
        <v>Melting_Curves/meltCurve_Q9UHG3_PCYOX1.pdf</v>
      </c>
    </row>
    <row r="6050" spans="1:28" x14ac:dyDescent="0.25">
      <c r="A6050" t="s">
        <v>6054</v>
      </c>
      <c r="B6050">
        <v>0.99673306730245903</v>
      </c>
      <c r="C6050">
        <v>0.79327303152646</v>
      </c>
      <c r="D6050">
        <v>0.58996624536238096</v>
      </c>
      <c r="E6050">
        <v>0.30802098798939498</v>
      </c>
      <c r="F6050">
        <v>0.16433194082167699</v>
      </c>
      <c r="G6050">
        <v>0.11190621338929201</v>
      </c>
      <c r="H6050">
        <v>8.5781940693808095E-2</v>
      </c>
      <c r="I6050">
        <v>0.10178407702191</v>
      </c>
      <c r="J6050">
        <v>0.12664341603263099</v>
      </c>
      <c r="K6050">
        <v>0.113829052246021</v>
      </c>
      <c r="L6050">
        <v>860.70951818472395</v>
      </c>
      <c r="M6050">
        <v>18.595011743059899</v>
      </c>
      <c r="N6050">
        <v>46.840063865616798</v>
      </c>
      <c r="O6050">
        <v>45.761746614302602</v>
      </c>
      <c r="P6050">
        <v>-9.1579117111302802E-2</v>
      </c>
      <c r="Q6050">
        <v>9.8545433800136806E-2</v>
      </c>
      <c r="R6050">
        <v>0.99482073257193604</v>
      </c>
      <c r="S6050" t="s">
        <v>12502</v>
      </c>
      <c r="T6050" t="s">
        <v>12902</v>
      </c>
      <c r="U6050" t="s">
        <v>12902</v>
      </c>
      <c r="V6050" t="s">
        <v>12902</v>
      </c>
      <c r="W6050" t="s">
        <v>18899</v>
      </c>
      <c r="X6050">
        <v>4</v>
      </c>
      <c r="Y6050" t="s">
        <v>25181</v>
      </c>
      <c r="Z6050" t="s">
        <v>31625</v>
      </c>
      <c r="AA6050">
        <v>0.3035832324712574</v>
      </c>
      <c r="AB6050" t="str">
        <f>HYPERLINK("Melting_Curves/meltCurve_Q9UHI6_DDX20.pdf", "Melting_Curves/meltCurve_Q9UHI6_DDX20.pdf")</f>
        <v>Melting_Curves/meltCurve_Q9UHI6_DDX20.pdf</v>
      </c>
    </row>
    <row r="6051" spans="1:28" x14ac:dyDescent="0.25">
      <c r="A6051" t="s">
        <v>6055</v>
      </c>
      <c r="B6051">
        <v>0.99673306730245903</v>
      </c>
      <c r="C6051">
        <v>0.63073750490686697</v>
      </c>
      <c r="D6051">
        <v>0.24477819939746401</v>
      </c>
      <c r="E6051">
        <v>9.6396019084775103E-2</v>
      </c>
      <c r="F6051">
        <v>0.28578387990965898</v>
      </c>
      <c r="G6051">
        <v>7.9506920664205297E-2</v>
      </c>
      <c r="H6051">
        <v>3.2165576389012802E-2</v>
      </c>
      <c r="I6051">
        <v>0</v>
      </c>
      <c r="J6051">
        <v>5.5002947464818097E-2</v>
      </c>
      <c r="K6051">
        <v>0</v>
      </c>
      <c r="L6051">
        <v>1297.5752608417999</v>
      </c>
      <c r="M6051">
        <v>29.738366916650101</v>
      </c>
      <c r="N6051">
        <v>43.869077311177897</v>
      </c>
      <c r="O6051">
        <v>43.4371655012772</v>
      </c>
      <c r="P6051">
        <v>-0.15850446267461099</v>
      </c>
      <c r="Q6051">
        <v>7.3932032443178905E-2</v>
      </c>
      <c r="R6051">
        <v>0.93826964724277095</v>
      </c>
      <c r="S6051" t="s">
        <v>12503</v>
      </c>
      <c r="T6051" t="s">
        <v>12902</v>
      </c>
      <c r="U6051" t="s">
        <v>12902</v>
      </c>
      <c r="V6051" t="s">
        <v>12902</v>
      </c>
      <c r="W6051" t="s">
        <v>18900</v>
      </c>
      <c r="X6051">
        <v>1</v>
      </c>
      <c r="Y6051" t="s">
        <v>25182</v>
      </c>
      <c r="Z6051" t="s">
        <v>31626</v>
      </c>
      <c r="AA6051">
        <v>0.19350121798457851</v>
      </c>
      <c r="AB6051" t="str">
        <f>HYPERLINK("Melting_Curves/meltCurve_Q9UHJ3_2_SFMBT1.pdf", "Melting_Curves/meltCurve_Q9UHJ3_2_SFMBT1.pdf")</f>
        <v>Melting_Curves/meltCurve_Q9UHJ3_2_SFMBT1.pdf</v>
      </c>
    </row>
    <row r="6052" spans="1:28" x14ac:dyDescent="0.25">
      <c r="A6052" t="s">
        <v>6056</v>
      </c>
      <c r="B6052">
        <v>0.99673306730245903</v>
      </c>
      <c r="C6052">
        <v>0.81230663330845598</v>
      </c>
      <c r="D6052">
        <v>0.75048124338746502</v>
      </c>
      <c r="E6052">
        <v>0.81804064519339204</v>
      </c>
      <c r="F6052">
        <v>0.28858886200039602</v>
      </c>
      <c r="G6052">
        <v>0.19535853797591399</v>
      </c>
      <c r="H6052">
        <v>0.22825399853942999</v>
      </c>
      <c r="I6052">
        <v>0.12791229763815501</v>
      </c>
      <c r="J6052">
        <v>5.4130512780457503E-2</v>
      </c>
      <c r="K6052">
        <v>5.08290225020335E-2</v>
      </c>
      <c r="L6052">
        <v>615.48431027349102</v>
      </c>
      <c r="M6052">
        <v>11.9670004216837</v>
      </c>
      <c r="N6052">
        <v>51.5921052660645</v>
      </c>
      <c r="O6052">
        <v>50.058725906096498</v>
      </c>
      <c r="P6052">
        <v>-5.8688342199967297E-2</v>
      </c>
      <c r="Q6052">
        <v>1.8250896927318998E-2</v>
      </c>
      <c r="R6052">
        <v>0.93237775863235195</v>
      </c>
      <c r="S6052" t="s">
        <v>12504</v>
      </c>
      <c r="T6052" t="s">
        <v>12902</v>
      </c>
      <c r="U6052" t="s">
        <v>12902</v>
      </c>
      <c r="V6052" t="s">
        <v>12902</v>
      </c>
      <c r="W6052" t="s">
        <v>18901</v>
      </c>
      <c r="X6052">
        <v>10</v>
      </c>
      <c r="Y6052" t="s">
        <v>25183</v>
      </c>
      <c r="Z6052" t="s">
        <v>31627</v>
      </c>
      <c r="AA6052">
        <v>0.42364837401059863</v>
      </c>
      <c r="AB6052" t="str">
        <f>HYPERLINK("Melting_Curves/meltCurve_Q9UHJ6_SHPK.pdf", "Melting_Curves/meltCurve_Q9UHJ6_SHPK.pdf")</f>
        <v>Melting_Curves/meltCurve_Q9UHJ6_SHPK.pdf</v>
      </c>
    </row>
    <row r="6053" spans="1:28" x14ac:dyDescent="0.25">
      <c r="A6053" t="s">
        <v>6057</v>
      </c>
      <c r="B6053">
        <v>0.99673306730245903</v>
      </c>
      <c r="C6053">
        <v>0.94603723262022499</v>
      </c>
      <c r="D6053">
        <v>0.91106245550452603</v>
      </c>
      <c r="E6053">
        <v>0.91068962722594105</v>
      </c>
      <c r="F6053">
        <v>0.24586913166629201</v>
      </c>
      <c r="G6053">
        <v>0.173605008486518</v>
      </c>
      <c r="H6053">
        <v>9.4987670462071003E-2</v>
      </c>
      <c r="I6053">
        <v>8.5205683004022106E-2</v>
      </c>
      <c r="J6053">
        <v>8.2450559075775504E-2</v>
      </c>
      <c r="K6053">
        <v>5.1038123333740797E-2</v>
      </c>
      <c r="L6053">
        <v>2663.84959176965</v>
      </c>
      <c r="M6053">
        <v>51.603972704869904</v>
      </c>
      <c r="N6053">
        <v>51.830818688532801</v>
      </c>
      <c r="O6053">
        <v>51.543672657315199</v>
      </c>
      <c r="P6053">
        <v>-0.22670325077865799</v>
      </c>
      <c r="Q6053">
        <v>9.4247306910163503E-2</v>
      </c>
      <c r="R6053">
        <v>0.98910775552981001</v>
      </c>
      <c r="S6053" t="s">
        <v>12505</v>
      </c>
      <c r="T6053" t="s">
        <v>12902</v>
      </c>
      <c r="U6053" t="s">
        <v>12902</v>
      </c>
      <c r="V6053" t="s">
        <v>12902</v>
      </c>
      <c r="W6053" t="s">
        <v>18902</v>
      </c>
      <c r="X6053">
        <v>11</v>
      </c>
      <c r="Y6053" t="s">
        <v>25184</v>
      </c>
      <c r="Z6053" t="s">
        <v>31628</v>
      </c>
      <c r="AA6053">
        <v>0.44704171130264958</v>
      </c>
      <c r="AB6053" t="str">
        <f>HYPERLINK("Melting_Curves/meltCurve_Q9UHK6_AMACR.pdf", "Melting_Curves/meltCurve_Q9UHK6_AMACR.pdf")</f>
        <v>Melting_Curves/meltCurve_Q9UHK6_AMACR.pdf</v>
      </c>
    </row>
    <row r="6054" spans="1:28" x14ac:dyDescent="0.25">
      <c r="A6054" t="s">
        <v>6058</v>
      </c>
      <c r="B6054">
        <v>0.99673306730245903</v>
      </c>
      <c r="C6054">
        <v>0.97215845553656699</v>
      </c>
      <c r="D6054">
        <v>1.00014523535838</v>
      </c>
      <c r="E6054">
        <v>1.00671953490579</v>
      </c>
      <c r="F6054">
        <v>0.96410564875247895</v>
      </c>
      <c r="G6054">
        <v>0.75835190931889496</v>
      </c>
      <c r="H6054">
        <v>0.65320910930214304</v>
      </c>
      <c r="I6054">
        <v>0.52633448064036603</v>
      </c>
      <c r="J6054">
        <v>0.24441220746481801</v>
      </c>
      <c r="K6054">
        <v>0.20458378916442399</v>
      </c>
      <c r="L6054">
        <v>892.841425993558</v>
      </c>
      <c r="M6054">
        <v>14.1222908576362</v>
      </c>
      <c r="N6054">
        <v>63.222163283386301</v>
      </c>
      <c r="O6054">
        <v>61.994933751539499</v>
      </c>
      <c r="P6054">
        <v>-5.6956637611879801E-2</v>
      </c>
      <c r="Q6054">
        <v>0</v>
      </c>
      <c r="R6054">
        <v>0.98142595104795605</v>
      </c>
      <c r="S6054" t="s">
        <v>12506</v>
      </c>
      <c r="T6054" t="s">
        <v>12902</v>
      </c>
      <c r="U6054" t="s">
        <v>12902</v>
      </c>
      <c r="V6054" t="s">
        <v>12902</v>
      </c>
      <c r="W6054" t="s">
        <v>18903</v>
      </c>
      <c r="X6054">
        <v>17</v>
      </c>
      <c r="Y6054" t="s">
        <v>25185</v>
      </c>
      <c r="Z6054" t="s">
        <v>31629</v>
      </c>
      <c r="AA6054">
        <v>0.76075865810818155</v>
      </c>
      <c r="AB6054" t="str">
        <f>HYPERLINK("Melting_Curves/meltCurve_Q9UHL4_DPP7.pdf", "Melting_Curves/meltCurve_Q9UHL4_DPP7.pdf")</f>
        <v>Melting_Curves/meltCurve_Q9UHL4_DPP7.pdf</v>
      </c>
    </row>
    <row r="6055" spans="1:28" x14ac:dyDescent="0.25">
      <c r="A6055" t="s">
        <v>6059</v>
      </c>
      <c r="B6055">
        <v>0.99673306730245903</v>
      </c>
      <c r="C6055">
        <v>0.97747192689721096</v>
      </c>
      <c r="D6055">
        <v>0.95026394461750596</v>
      </c>
      <c r="E6055">
        <v>1.0602749121481101</v>
      </c>
      <c r="F6055">
        <v>1.15058660847454</v>
      </c>
      <c r="G6055">
        <v>1.0119388371412199</v>
      </c>
      <c r="H6055">
        <v>0.78135798756410901</v>
      </c>
      <c r="I6055">
        <v>1.0733379626883699</v>
      </c>
      <c r="J6055">
        <v>0.87249844353380901</v>
      </c>
      <c r="K6055">
        <v>0.81668479984762399</v>
      </c>
      <c r="L6055">
        <v>977.52341583646705</v>
      </c>
      <c r="M6055">
        <v>12.4437688358082</v>
      </c>
      <c r="Q6055">
        <v>0</v>
      </c>
      <c r="R6055">
        <v>0.30941040235482398</v>
      </c>
      <c r="S6055" t="s">
        <v>12507</v>
      </c>
      <c r="T6055" t="s">
        <v>12902</v>
      </c>
      <c r="U6055" t="s">
        <v>12902</v>
      </c>
      <c r="V6055" t="s">
        <v>12902</v>
      </c>
      <c r="W6055" t="s">
        <v>18904</v>
      </c>
      <c r="X6055">
        <v>9</v>
      </c>
      <c r="Y6055" t="s">
        <v>25186</v>
      </c>
      <c r="Z6055" t="s">
        <v>31630</v>
      </c>
      <c r="AA6055">
        <v>0.97108692911439376</v>
      </c>
      <c r="AB6055" t="str">
        <f>HYPERLINK("Melting_Curves/meltCurve_Q9UHN1_POLG2.pdf", "Melting_Curves/meltCurve_Q9UHN1_POLG2.pdf")</f>
        <v>Melting_Curves/meltCurve_Q9UHN1_POLG2.pdf</v>
      </c>
    </row>
    <row r="6056" spans="1:28" x14ac:dyDescent="0.25">
      <c r="A6056" t="s">
        <v>6060</v>
      </c>
      <c r="B6056">
        <v>0.99673306730245903</v>
      </c>
      <c r="C6056">
        <v>0.92602248921084895</v>
      </c>
      <c r="D6056">
        <v>0.94697751067868896</v>
      </c>
      <c r="E6056">
        <v>0.85711828331703299</v>
      </c>
      <c r="F6056">
        <v>0.65950414799873402</v>
      </c>
      <c r="G6056">
        <v>0.435799358374727</v>
      </c>
      <c r="H6056">
        <v>0.30702530499835601</v>
      </c>
      <c r="I6056">
        <v>0.25433433608908201</v>
      </c>
      <c r="J6056">
        <v>0.18654487747159099</v>
      </c>
      <c r="K6056">
        <v>0.119818048548544</v>
      </c>
      <c r="L6056">
        <v>722.90108717713395</v>
      </c>
      <c r="M6056">
        <v>13.0903244860099</v>
      </c>
      <c r="N6056">
        <v>56.118045630126403</v>
      </c>
      <c r="O6056">
        <v>53.983002058996199</v>
      </c>
      <c r="P6056">
        <v>-5.49266013002742E-2</v>
      </c>
      <c r="Q6056">
        <v>9.4112023453634494E-2</v>
      </c>
      <c r="R6056">
        <v>0.99414062211821996</v>
      </c>
      <c r="S6056" t="s">
        <v>12508</v>
      </c>
      <c r="T6056" t="s">
        <v>12902</v>
      </c>
      <c r="U6056" t="s">
        <v>12902</v>
      </c>
      <c r="V6056" t="s">
        <v>12902</v>
      </c>
      <c r="W6056" t="s">
        <v>18905</v>
      </c>
      <c r="X6056">
        <v>56</v>
      </c>
      <c r="Y6056" t="s">
        <v>25187</v>
      </c>
      <c r="Z6056" t="s">
        <v>31631</v>
      </c>
      <c r="AA6056">
        <v>0.5732478040557456</v>
      </c>
      <c r="AB6056" t="str">
        <f>HYPERLINK("Melting_Curves/meltCurve_Q9UHN6_TMEM2.pdf", "Melting_Curves/meltCurve_Q9UHN6_TMEM2.pdf")</f>
        <v>Melting_Curves/meltCurve_Q9UHN6_TMEM2.pdf</v>
      </c>
    </row>
    <row r="6057" spans="1:28" x14ac:dyDescent="0.25">
      <c r="A6057" t="s">
        <v>6061</v>
      </c>
      <c r="B6057">
        <v>0.99673306730245903</v>
      </c>
      <c r="C6057">
        <v>1.0135819252014899</v>
      </c>
      <c r="D6057">
        <v>0.98131856742310997</v>
      </c>
      <c r="E6057">
        <v>0.75852808579461595</v>
      </c>
      <c r="F6057">
        <v>0.45321605123762099</v>
      </c>
      <c r="G6057">
        <v>0.40326534278444198</v>
      </c>
      <c r="H6057">
        <v>0.28535777286437303</v>
      </c>
      <c r="I6057">
        <v>0.22135742823182999</v>
      </c>
      <c r="J6057">
        <v>0.22148820521463</v>
      </c>
      <c r="K6057">
        <v>0.112463378551681</v>
      </c>
      <c r="L6057">
        <v>893.00385087083998</v>
      </c>
      <c r="M6057">
        <v>17.1151150335849</v>
      </c>
      <c r="N6057">
        <v>53.578345579553996</v>
      </c>
      <c r="O6057">
        <v>51.479649358052697</v>
      </c>
      <c r="P6057">
        <v>-6.8117310547234897E-2</v>
      </c>
      <c r="Q6057">
        <v>0.180503523488802</v>
      </c>
      <c r="R6057">
        <v>0.98178716314713599</v>
      </c>
      <c r="S6057" t="s">
        <v>12509</v>
      </c>
      <c r="T6057" t="s">
        <v>12902</v>
      </c>
      <c r="U6057" t="s">
        <v>12902</v>
      </c>
      <c r="V6057" t="s">
        <v>12902</v>
      </c>
      <c r="W6057" t="s">
        <v>18906</v>
      </c>
      <c r="X6057">
        <v>3</v>
      </c>
      <c r="Y6057" t="s">
        <v>25188</v>
      </c>
      <c r="Z6057" t="s">
        <v>31632</v>
      </c>
      <c r="AA6057">
        <v>0.52791255397772197</v>
      </c>
      <c r="AB6057" t="str">
        <f>HYPERLINK("Melting_Curves/meltCurve_Q9UHP3_USP25.pdf", "Melting_Curves/meltCurve_Q9UHP3_USP25.pdf")</f>
        <v>Melting_Curves/meltCurve_Q9UHP3_USP25.pdf</v>
      </c>
    </row>
    <row r="6058" spans="1:28" x14ac:dyDescent="0.25">
      <c r="A6058" t="s">
        <v>6062</v>
      </c>
      <c r="B6058">
        <v>0.99673306730245903</v>
      </c>
      <c r="C6058">
        <v>0.93732507425104605</v>
      </c>
      <c r="D6058">
        <v>0.96292787792110401</v>
      </c>
      <c r="E6058">
        <v>0.85188863236677803</v>
      </c>
      <c r="F6058">
        <v>0.58324342443605004</v>
      </c>
      <c r="G6058">
        <v>0.42634333697257498</v>
      </c>
      <c r="H6058">
        <v>0.46877013030611903</v>
      </c>
      <c r="I6058">
        <v>0.50374275715347905</v>
      </c>
      <c r="J6058">
        <v>0.50203795746614699</v>
      </c>
      <c r="K6058">
        <v>0.28668834752120897</v>
      </c>
      <c r="L6058">
        <v>1483.30262439949</v>
      </c>
      <c r="M6058">
        <v>28.921749013294701</v>
      </c>
      <c r="N6058">
        <v>55.039013759711203</v>
      </c>
      <c r="O6058">
        <v>51.0434369088496</v>
      </c>
      <c r="P6058">
        <v>-8.0687095084876106E-2</v>
      </c>
      <c r="Q6058">
        <v>0.43039190315950898</v>
      </c>
      <c r="R6058">
        <v>0.93822772434238499</v>
      </c>
      <c r="S6058" t="s">
        <v>12510</v>
      </c>
      <c r="T6058" t="s">
        <v>12902</v>
      </c>
      <c r="U6058" t="s">
        <v>12902</v>
      </c>
      <c r="V6058" t="s">
        <v>12902</v>
      </c>
      <c r="W6058" t="s">
        <v>18907</v>
      </c>
      <c r="X6058">
        <v>7</v>
      </c>
      <c r="Y6058" t="s">
        <v>25189</v>
      </c>
      <c r="Z6058" t="s">
        <v>31633</v>
      </c>
      <c r="AA6058">
        <v>0.6485634989901593</v>
      </c>
      <c r="AB6058" t="str">
        <f>HYPERLINK("Melting_Curves/meltCurve_Q9UHQ4_BCAP29.pdf", "Melting_Curves/meltCurve_Q9UHQ4_BCAP29.pdf")</f>
        <v>Melting_Curves/meltCurve_Q9UHQ4_BCAP29.pdf</v>
      </c>
    </row>
    <row r="6059" spans="1:28" x14ac:dyDescent="0.25">
      <c r="A6059" t="s">
        <v>6063</v>
      </c>
      <c r="B6059">
        <v>0.99673306730245903</v>
      </c>
      <c r="C6059">
        <v>0.77115428964495203</v>
      </c>
      <c r="D6059">
        <v>0.73835461011063297</v>
      </c>
      <c r="E6059">
        <v>0.74645776850332302</v>
      </c>
      <c r="F6059">
        <v>0.52307808504728903</v>
      </c>
      <c r="G6059">
        <v>0.35989147749688699</v>
      </c>
      <c r="H6059">
        <v>9.7768511728772406E-2</v>
      </c>
      <c r="I6059">
        <v>5.5065289277523598E-2</v>
      </c>
      <c r="J6059">
        <v>6.0134890514194399E-2</v>
      </c>
      <c r="K6059">
        <v>5.0144800858771398E-2</v>
      </c>
      <c r="L6059">
        <v>571.96326848105002</v>
      </c>
      <c r="M6059">
        <v>10.8872090501077</v>
      </c>
      <c r="N6059">
        <v>52.535339109712602</v>
      </c>
      <c r="O6059">
        <v>50.856119349033001</v>
      </c>
      <c r="P6059">
        <v>-5.35384293413219E-2</v>
      </c>
      <c r="Q6059">
        <v>0</v>
      </c>
      <c r="R6059">
        <v>0.950630583362152</v>
      </c>
      <c r="S6059" t="s">
        <v>12511</v>
      </c>
      <c r="T6059" t="s">
        <v>12902</v>
      </c>
      <c r="U6059" t="s">
        <v>12902</v>
      </c>
      <c r="V6059" t="s">
        <v>12902</v>
      </c>
      <c r="W6059" t="s">
        <v>18908</v>
      </c>
      <c r="X6059">
        <v>6</v>
      </c>
      <c r="Y6059" t="s">
        <v>25190</v>
      </c>
      <c r="Z6059" t="s">
        <v>31634</v>
      </c>
      <c r="AA6059">
        <v>0.45078920283994128</v>
      </c>
      <c r="AB6059" t="str">
        <f>HYPERLINK("Melting_Curves/meltCurve_Q9UHQ9_CYB5R1.pdf", "Melting_Curves/meltCurve_Q9UHQ9_CYB5R1.pdf")</f>
        <v>Melting_Curves/meltCurve_Q9UHQ9_CYB5R1.pdf</v>
      </c>
    </row>
    <row r="6060" spans="1:28" x14ac:dyDescent="0.25">
      <c r="A6060" t="s">
        <v>6064</v>
      </c>
      <c r="B6060">
        <v>0.99673306730245903</v>
      </c>
      <c r="C6060">
        <v>0.95055870100096096</v>
      </c>
      <c r="D6060">
        <v>0.958521347950404</v>
      </c>
      <c r="E6060">
        <v>0.91216281297760304</v>
      </c>
      <c r="F6060">
        <v>0.67148501704048802</v>
      </c>
      <c r="G6060">
        <v>0.446324669375119</v>
      </c>
      <c r="H6060">
        <v>0.23882470968643199</v>
      </c>
      <c r="I6060">
        <v>0.19001626347384201</v>
      </c>
      <c r="J6060">
        <v>0.14986165168351201</v>
      </c>
      <c r="K6060">
        <v>0.119277171620045</v>
      </c>
      <c r="L6060">
        <v>963.27456640333105</v>
      </c>
      <c r="M6060">
        <v>17.492337666862898</v>
      </c>
      <c r="N6060">
        <v>55.8378602637355</v>
      </c>
      <c r="O6060">
        <v>54.363784927892198</v>
      </c>
      <c r="P6060">
        <v>-7.1829764981713395E-2</v>
      </c>
      <c r="Q6060">
        <v>0.107101132832836</v>
      </c>
      <c r="R6060">
        <v>0.99727736576538695</v>
      </c>
      <c r="S6060" t="s">
        <v>12512</v>
      </c>
      <c r="T6060" t="s">
        <v>12902</v>
      </c>
      <c r="U6060" t="s">
        <v>12902</v>
      </c>
      <c r="V6060" t="s">
        <v>12902</v>
      </c>
      <c r="W6060" t="s">
        <v>18909</v>
      </c>
      <c r="X6060">
        <v>26</v>
      </c>
      <c r="Y6060" t="s">
        <v>25191</v>
      </c>
      <c r="Z6060" t="s">
        <v>31635</v>
      </c>
      <c r="AA6060">
        <v>0.56988910092407075</v>
      </c>
      <c r="AB6060" t="str">
        <f>HYPERLINK("Melting_Curves/meltCurve_Q9UHR4_BAIAP2L1.pdf", "Melting_Curves/meltCurve_Q9UHR4_BAIAP2L1.pdf")</f>
        <v>Melting_Curves/meltCurve_Q9UHR4_BAIAP2L1.pdf</v>
      </c>
    </row>
    <row r="6061" spans="1:28" x14ac:dyDescent="0.25">
      <c r="A6061" t="s">
        <v>6065</v>
      </c>
      <c r="B6061">
        <v>0.99673306730245903</v>
      </c>
      <c r="C6061">
        <v>0.86453872692525702</v>
      </c>
      <c r="D6061">
        <v>0.710229122984392</v>
      </c>
      <c r="E6061">
        <v>0.52570513344855396</v>
      </c>
      <c r="F6061">
        <v>0.444027972778752</v>
      </c>
      <c r="G6061">
        <v>0.377393240701071</v>
      </c>
      <c r="H6061">
        <v>0.249763476518541</v>
      </c>
      <c r="I6061">
        <v>0.22984045734015099</v>
      </c>
      <c r="J6061">
        <v>0.172346032176766</v>
      </c>
      <c r="K6061">
        <v>0.101765053918526</v>
      </c>
      <c r="L6061">
        <v>462.316644753329</v>
      </c>
      <c r="M6061">
        <v>9.1483675134837394</v>
      </c>
      <c r="N6061">
        <v>51.571804337211503</v>
      </c>
      <c r="O6061">
        <v>48.296449867407297</v>
      </c>
      <c r="P6061">
        <v>-4.3408597724821398E-2</v>
      </c>
      <c r="Q6061">
        <v>8.3967256088018694E-2</v>
      </c>
      <c r="R6061">
        <v>0.98217604763083299</v>
      </c>
      <c r="S6061" t="s">
        <v>12513</v>
      </c>
      <c r="T6061" t="s">
        <v>12902</v>
      </c>
      <c r="U6061" t="s">
        <v>12902</v>
      </c>
      <c r="V6061" t="s">
        <v>12902</v>
      </c>
      <c r="W6061" t="s">
        <v>18910</v>
      </c>
      <c r="X6061">
        <v>2</v>
      </c>
      <c r="Y6061" t="s">
        <v>25192</v>
      </c>
      <c r="Z6061" t="s">
        <v>31636</v>
      </c>
      <c r="AA6061">
        <v>0.44995741423612351</v>
      </c>
      <c r="AB6061" t="str">
        <f>HYPERLINK("Melting_Curves/meltCurve_Q9UHR6_ZNHIT2.pdf", "Melting_Curves/meltCurve_Q9UHR6_ZNHIT2.pdf")</f>
        <v>Melting_Curves/meltCurve_Q9UHR6_ZNHIT2.pdf</v>
      </c>
    </row>
    <row r="6062" spans="1:28" x14ac:dyDescent="0.25">
      <c r="A6062" t="s">
        <v>6066</v>
      </c>
      <c r="B6062">
        <v>0.99673306730245903</v>
      </c>
      <c r="C6062">
        <v>0.97528463003361698</v>
      </c>
      <c r="D6062">
        <v>1.0399916606816599</v>
      </c>
      <c r="E6062">
        <v>0.95652234309082196</v>
      </c>
      <c r="F6062">
        <v>0.92813578735241697</v>
      </c>
      <c r="G6062">
        <v>0.74640516337302298</v>
      </c>
      <c r="H6062">
        <v>0.45069876113787999</v>
      </c>
      <c r="I6062">
        <v>0.39762666489248899</v>
      </c>
      <c r="J6062">
        <v>0.51093052133203098</v>
      </c>
      <c r="K6062">
        <v>0.51387188342006196</v>
      </c>
      <c r="L6062">
        <v>2598.8569792747599</v>
      </c>
      <c r="M6062">
        <v>45.7655598717404</v>
      </c>
      <c r="N6062">
        <v>60.218001905856603</v>
      </c>
      <c r="O6062">
        <v>56.678185538845298</v>
      </c>
      <c r="P6062">
        <v>-0.108369424473996</v>
      </c>
      <c r="Q6062">
        <v>0.46316170233346199</v>
      </c>
      <c r="R6062">
        <v>0.97056769784475805</v>
      </c>
      <c r="S6062" t="s">
        <v>12514</v>
      </c>
      <c r="T6062" t="s">
        <v>12902</v>
      </c>
      <c r="U6062" t="s">
        <v>12902</v>
      </c>
      <c r="V6062" t="s">
        <v>12902</v>
      </c>
      <c r="W6062" t="s">
        <v>18911</v>
      </c>
      <c r="X6062">
        <v>15</v>
      </c>
      <c r="Y6062" t="s">
        <v>25193</v>
      </c>
      <c r="Z6062" t="s">
        <v>31637</v>
      </c>
      <c r="AA6062">
        <v>0.7651465493972488</v>
      </c>
      <c r="AB6062" t="str">
        <f>HYPERLINK("Melting_Curves/meltCurve_Q9UHV9_PFDN2.pdf", "Melting_Curves/meltCurve_Q9UHV9_PFDN2.pdf")</f>
        <v>Melting_Curves/meltCurve_Q9UHV9_PFDN2.pdf</v>
      </c>
    </row>
    <row r="6063" spans="1:28" x14ac:dyDescent="0.25">
      <c r="A6063" t="s">
        <v>6067</v>
      </c>
      <c r="B6063">
        <v>0.99673306730245903</v>
      </c>
      <c r="C6063">
        <v>0.98633415264008295</v>
      </c>
      <c r="D6063">
        <v>1.01634915758902</v>
      </c>
      <c r="E6063">
        <v>1.19665508886233</v>
      </c>
      <c r="F6063">
        <v>1.2129156130118099</v>
      </c>
      <c r="G6063">
        <v>1.1754501360318601</v>
      </c>
      <c r="H6063">
        <v>1.0693123391783199</v>
      </c>
      <c r="I6063">
        <v>1.42196961145858</v>
      </c>
      <c r="J6063">
        <v>1.1634012009922701</v>
      </c>
      <c r="K6063">
        <v>0.37653885734055298</v>
      </c>
      <c r="L6063">
        <v>15000</v>
      </c>
      <c r="M6063">
        <v>214.78951289358599</v>
      </c>
      <c r="N6063">
        <v>69.835807218495205</v>
      </c>
      <c r="O6063">
        <v>69.829757501682707</v>
      </c>
      <c r="P6063">
        <v>-0.768975578891119</v>
      </c>
      <c r="Q6063">
        <v>0</v>
      </c>
      <c r="R6063">
        <v>0.51915364912668904</v>
      </c>
      <c r="S6063" t="s">
        <v>12515</v>
      </c>
      <c r="T6063" t="s">
        <v>12902</v>
      </c>
      <c r="U6063" t="s">
        <v>12902</v>
      </c>
      <c r="V6063" t="s">
        <v>12902</v>
      </c>
      <c r="W6063" t="s">
        <v>18912</v>
      </c>
      <c r="X6063">
        <v>4</v>
      </c>
      <c r="Y6063" t="s">
        <v>25194</v>
      </c>
      <c r="Z6063" t="s">
        <v>31638</v>
      </c>
      <c r="AA6063">
        <v>0.98949170842577583</v>
      </c>
      <c r="AB6063" t="str">
        <f>HYPERLINK("Melting_Curves/meltCurve_Q9UHW5_GPN3.pdf", "Melting_Curves/meltCurve_Q9UHW5_GPN3.pdf")</f>
        <v>Melting_Curves/meltCurve_Q9UHW5_GPN3.pdf</v>
      </c>
    </row>
    <row r="6064" spans="1:28" x14ac:dyDescent="0.25">
      <c r="A6064" t="s">
        <v>6068</v>
      </c>
      <c r="B6064">
        <v>0.99673306730245903</v>
      </c>
      <c r="C6064">
        <v>0.959375888327749</v>
      </c>
      <c r="D6064">
        <v>0.69868388871679499</v>
      </c>
      <c r="E6064">
        <v>0.52826186442724399</v>
      </c>
      <c r="F6064">
        <v>0.18305315552582499</v>
      </c>
      <c r="G6064">
        <v>0.109655702253926</v>
      </c>
      <c r="H6064">
        <v>6.8276466707351602E-2</v>
      </c>
      <c r="I6064">
        <v>5.1501827529746802E-2</v>
      </c>
      <c r="J6064">
        <v>5.7261713856801101E-2</v>
      </c>
      <c r="K6064">
        <v>5.5386954443293598E-2</v>
      </c>
      <c r="L6064">
        <v>864.140293185823</v>
      </c>
      <c r="M6064">
        <v>17.667454718357501</v>
      </c>
      <c r="N6064">
        <v>49.142828439562898</v>
      </c>
      <c r="O6064">
        <v>48.297693657077197</v>
      </c>
      <c r="P6064">
        <v>-8.7805327728412402E-2</v>
      </c>
      <c r="Q6064">
        <v>3.9913817830051601E-2</v>
      </c>
      <c r="R6064">
        <v>0.99109102678909899</v>
      </c>
      <c r="S6064" t="s">
        <v>12516</v>
      </c>
      <c r="T6064" t="s">
        <v>12902</v>
      </c>
      <c r="U6064" t="s">
        <v>12902</v>
      </c>
      <c r="V6064" t="s">
        <v>12902</v>
      </c>
      <c r="W6064" t="s">
        <v>18913</v>
      </c>
      <c r="X6064">
        <v>20</v>
      </c>
      <c r="Y6064" t="s">
        <v>25195</v>
      </c>
      <c r="Z6064" t="s">
        <v>31639</v>
      </c>
      <c r="AA6064">
        <v>0.342395018298493</v>
      </c>
      <c r="AB6064" t="str">
        <f>HYPERLINK("Melting_Curves/meltCurve_Q9UHX1_4_PUF60.pdf", "Melting_Curves/meltCurve_Q9UHX1_4_PUF60.pdf")</f>
        <v>Melting_Curves/meltCurve_Q9UHX1_4_PUF60.pdf</v>
      </c>
    </row>
    <row r="6065" spans="1:28" x14ac:dyDescent="0.25">
      <c r="A6065" t="s">
        <v>6069</v>
      </c>
      <c r="B6065">
        <v>0.99673306730245903</v>
      </c>
      <c r="C6065">
        <v>0.92196753254779495</v>
      </c>
      <c r="D6065">
        <v>0.93245273237123705</v>
      </c>
      <c r="E6065">
        <v>0.77857140749502596</v>
      </c>
      <c r="F6065">
        <v>0.664149404003605</v>
      </c>
      <c r="G6065">
        <v>0.51239777602890801</v>
      </c>
      <c r="H6065">
        <v>0.44392744185799798</v>
      </c>
      <c r="I6065">
        <v>0.69337535955381302</v>
      </c>
      <c r="J6065">
        <v>1.1075506018414401</v>
      </c>
      <c r="K6065">
        <v>1.03038447056344</v>
      </c>
      <c r="L6065">
        <v>1847.45352495921</v>
      </c>
      <c r="M6065">
        <v>39.317579282012602</v>
      </c>
      <c r="O6065">
        <v>46.8669302513443</v>
      </c>
      <c r="P6065">
        <v>-5.3923122409912497E-2</v>
      </c>
      <c r="Q6065">
        <v>0.74289313946184499</v>
      </c>
      <c r="R6065">
        <v>0.186076820947775</v>
      </c>
      <c r="S6065" t="s">
        <v>12517</v>
      </c>
      <c r="T6065" t="s">
        <v>12902</v>
      </c>
      <c r="U6065" t="s">
        <v>12902</v>
      </c>
      <c r="V6065" t="s">
        <v>12902</v>
      </c>
      <c r="W6065" t="s">
        <v>18914</v>
      </c>
      <c r="X6065">
        <v>7</v>
      </c>
      <c r="Y6065" t="s">
        <v>25196</v>
      </c>
      <c r="Z6065" t="s">
        <v>31640</v>
      </c>
      <c r="AA6065">
        <v>0.80365387006562616</v>
      </c>
      <c r="AB6065" t="str">
        <f>HYPERLINK("Melting_Curves/meltCurve_Q9UHX3_4_EMR2.pdf", "Melting_Curves/meltCurve_Q9UHX3_4_EMR2.pdf")</f>
        <v>Melting_Curves/meltCurve_Q9UHX3_4_EMR2.pdf</v>
      </c>
    </row>
    <row r="6066" spans="1:28" x14ac:dyDescent="0.25">
      <c r="A6066" t="s">
        <v>6070</v>
      </c>
      <c r="B6066">
        <v>0.99673306730245903</v>
      </c>
      <c r="C6066">
        <v>0.950946534063703</v>
      </c>
      <c r="D6066">
        <v>0.89400803115125105</v>
      </c>
      <c r="E6066">
        <v>0.71104438815189897</v>
      </c>
      <c r="F6066">
        <v>0.32568478340002899</v>
      </c>
      <c r="G6066">
        <v>0.13687321142530701</v>
      </c>
      <c r="H6066">
        <v>7.7846074251236796E-2</v>
      </c>
      <c r="I6066">
        <v>8.0643303486194404E-2</v>
      </c>
      <c r="J6066">
        <v>8.8650092851187606E-2</v>
      </c>
      <c r="K6066">
        <v>7.9374233572063094E-2</v>
      </c>
      <c r="L6066">
        <v>1176.8042405436699</v>
      </c>
      <c r="M6066">
        <v>23.053461804189201</v>
      </c>
      <c r="N6066">
        <v>51.3796653555303</v>
      </c>
      <c r="O6066">
        <v>50.6672775301858</v>
      </c>
      <c r="P6066">
        <v>-0.105859539957675</v>
      </c>
      <c r="Q6066">
        <v>6.9377502866514507E-2</v>
      </c>
      <c r="R6066">
        <v>0.99712699778201697</v>
      </c>
      <c r="S6066" t="s">
        <v>12518</v>
      </c>
      <c r="T6066" t="s">
        <v>12902</v>
      </c>
      <c r="U6066" t="s">
        <v>12902</v>
      </c>
      <c r="V6066" t="s">
        <v>12902</v>
      </c>
      <c r="W6066" t="s">
        <v>18915</v>
      </c>
      <c r="X6066">
        <v>6</v>
      </c>
      <c r="Y6066" t="s">
        <v>25197</v>
      </c>
      <c r="Z6066" t="s">
        <v>31641</v>
      </c>
      <c r="AA6066">
        <v>0.4219096275415874</v>
      </c>
      <c r="AB6066" t="str">
        <f>HYPERLINK("Melting_Curves/meltCurve_Q9UHY1_NRBP1.pdf", "Melting_Curves/meltCurve_Q9UHY1_NRBP1.pdf")</f>
        <v>Melting_Curves/meltCurve_Q9UHY1_NRBP1.pdf</v>
      </c>
    </row>
    <row r="6067" spans="1:28" x14ac:dyDescent="0.25">
      <c r="A6067" t="s">
        <v>6071</v>
      </c>
      <c r="B6067">
        <v>0.99673306730245903</v>
      </c>
      <c r="C6067">
        <v>0.965700001617815</v>
      </c>
      <c r="D6067">
        <v>0.85029528690811695</v>
      </c>
      <c r="E6067">
        <v>0.45371108901033202</v>
      </c>
      <c r="F6067">
        <v>0.126130029421263</v>
      </c>
      <c r="G6067">
        <v>8.2259738697919499E-2</v>
      </c>
      <c r="H6067">
        <v>4.2315350085733297E-2</v>
      </c>
      <c r="I6067">
        <v>4.1243536835839499E-2</v>
      </c>
      <c r="J6067">
        <v>3.6990197955982497E-2</v>
      </c>
      <c r="K6067">
        <v>3.6021992170991897E-2</v>
      </c>
      <c r="L6067">
        <v>1286.22719370973</v>
      </c>
      <c r="M6067">
        <v>26.244022495347199</v>
      </c>
      <c r="N6067">
        <v>49.158611344191499</v>
      </c>
      <c r="O6067">
        <v>48.728386989039301</v>
      </c>
      <c r="P6067">
        <v>-0.12952072983454399</v>
      </c>
      <c r="Q6067">
        <v>3.8064278360126602E-2</v>
      </c>
      <c r="R6067">
        <v>0.99936321434138897</v>
      </c>
      <c r="S6067" t="s">
        <v>12519</v>
      </c>
      <c r="T6067" t="s">
        <v>12902</v>
      </c>
      <c r="U6067" t="s">
        <v>12902</v>
      </c>
      <c r="V6067" t="s">
        <v>12902</v>
      </c>
      <c r="W6067" t="s">
        <v>18916</v>
      </c>
      <c r="X6067">
        <v>10</v>
      </c>
      <c r="Y6067" t="s">
        <v>25198</v>
      </c>
      <c r="Z6067" t="s">
        <v>31642</v>
      </c>
      <c r="AA6067">
        <v>0.33468826877121688</v>
      </c>
      <c r="AB6067" t="str">
        <f>HYPERLINK("Melting_Curves/meltCurve_Q9UHY7_ENOPH1.pdf", "Melting_Curves/meltCurve_Q9UHY7_ENOPH1.pdf")</f>
        <v>Melting_Curves/meltCurve_Q9UHY7_ENOPH1.pdf</v>
      </c>
    </row>
    <row r="6068" spans="1:28" x14ac:dyDescent="0.25">
      <c r="A6068" t="s">
        <v>6072</v>
      </c>
      <c r="B6068">
        <v>0.99673306730245903</v>
      </c>
      <c r="C6068">
        <v>0.89969803353025601</v>
      </c>
      <c r="D6068">
        <v>0.83289980530372498</v>
      </c>
      <c r="E6068">
        <v>0.82481629121026501</v>
      </c>
      <c r="F6068">
        <v>0.42563878080212902</v>
      </c>
      <c r="G6068">
        <v>0.23347603236290099</v>
      </c>
      <c r="H6068">
        <v>0.116921221226888</v>
      </c>
      <c r="I6068">
        <v>0.11440614128962601</v>
      </c>
      <c r="J6068">
        <v>0.121731047690359</v>
      </c>
      <c r="K6068">
        <v>0.124385434330386</v>
      </c>
      <c r="L6068">
        <v>1001.95250667595</v>
      </c>
      <c r="M6068">
        <v>19.272090524676301</v>
      </c>
      <c r="N6068">
        <v>52.5597251232224</v>
      </c>
      <c r="O6068">
        <v>51.439751371859302</v>
      </c>
      <c r="P6068">
        <v>-8.4835258072928604E-2</v>
      </c>
      <c r="Q6068">
        <v>9.4288131814434906E-2</v>
      </c>
      <c r="R6068">
        <v>0.97948499898627805</v>
      </c>
      <c r="S6068" t="s">
        <v>12520</v>
      </c>
      <c r="T6068" t="s">
        <v>12902</v>
      </c>
      <c r="U6068" t="s">
        <v>12902</v>
      </c>
      <c r="V6068" t="s">
        <v>12902</v>
      </c>
      <c r="W6068" t="s">
        <v>18917</v>
      </c>
      <c r="X6068">
        <v>16</v>
      </c>
      <c r="Y6068" t="s">
        <v>25199</v>
      </c>
      <c r="Z6068" t="s">
        <v>31643</v>
      </c>
      <c r="AA6068">
        <v>0.46965442018496012</v>
      </c>
      <c r="AB6068" t="str">
        <f>HYPERLINK("Melting_Curves/meltCurve_Q9UI10_EIF2B4.pdf", "Melting_Curves/meltCurve_Q9UI10_EIF2B4.pdf")</f>
        <v>Melting_Curves/meltCurve_Q9UI10_EIF2B4.pdf</v>
      </c>
    </row>
    <row r="6069" spans="1:28" x14ac:dyDescent="0.25">
      <c r="A6069" t="s">
        <v>6073</v>
      </c>
      <c r="B6069">
        <v>0.99673306730245903</v>
      </c>
      <c r="C6069">
        <v>0.97056453026595102</v>
      </c>
      <c r="D6069">
        <v>0.88965481587218698</v>
      </c>
      <c r="E6069">
        <v>0.81542386202434902</v>
      </c>
      <c r="F6069">
        <v>0.45124674699088402</v>
      </c>
      <c r="G6069">
        <v>0.21860828899554299</v>
      </c>
      <c r="H6069">
        <v>8.2550034601847705E-2</v>
      </c>
      <c r="I6069">
        <v>7.2941487183571893E-2</v>
      </c>
      <c r="J6069">
        <v>8.1373030442401295E-2</v>
      </c>
      <c r="K6069">
        <v>7.0178384022873297E-2</v>
      </c>
      <c r="L6069">
        <v>1097.0116697194601</v>
      </c>
      <c r="M6069">
        <v>20.911900805184601</v>
      </c>
      <c r="N6069">
        <v>52.758566220788303</v>
      </c>
      <c r="O6069">
        <v>51.986080965047698</v>
      </c>
      <c r="P6069">
        <v>-9.4932995341181894E-2</v>
      </c>
      <c r="Q6069">
        <v>5.60284770756099E-2</v>
      </c>
      <c r="R6069">
        <v>0.99569746178780205</v>
      </c>
      <c r="S6069" t="s">
        <v>12521</v>
      </c>
      <c r="T6069" t="s">
        <v>12902</v>
      </c>
      <c r="U6069" t="s">
        <v>12902</v>
      </c>
      <c r="V6069" t="s">
        <v>12902</v>
      </c>
      <c r="W6069" t="s">
        <v>18918</v>
      </c>
      <c r="X6069">
        <v>13</v>
      </c>
      <c r="Y6069" t="s">
        <v>25200</v>
      </c>
      <c r="Z6069" t="s">
        <v>31644</v>
      </c>
      <c r="AA6069">
        <v>0.46009466148192468</v>
      </c>
      <c r="AB6069" t="str">
        <f>HYPERLINK("Melting_Curves/meltCurve_Q9UI12_2_ATP6V1H.pdf", "Melting_Curves/meltCurve_Q9UI12_2_ATP6V1H.pdf")</f>
        <v>Melting_Curves/meltCurve_Q9UI12_2_ATP6V1H.pdf</v>
      </c>
    </row>
    <row r="6070" spans="1:28" x14ac:dyDescent="0.25">
      <c r="A6070" t="s">
        <v>6074</v>
      </c>
      <c r="B6070">
        <v>0.99673306730245903</v>
      </c>
      <c r="C6070">
        <v>0.98753813092573095</v>
      </c>
      <c r="D6070">
        <v>0.91085085709580105</v>
      </c>
      <c r="E6070">
        <v>0.69437627052401196</v>
      </c>
      <c r="F6070">
        <v>0.29578623076382698</v>
      </c>
      <c r="G6070">
        <v>0.18738174931061399</v>
      </c>
      <c r="H6070">
        <v>0.13521160410658301</v>
      </c>
      <c r="I6070">
        <v>0.122817538545339</v>
      </c>
      <c r="J6070">
        <v>0.120939725167329</v>
      </c>
      <c r="K6070">
        <v>0.102111463489318</v>
      </c>
      <c r="L6070">
        <v>1279.6855190270701</v>
      </c>
      <c r="M6070">
        <v>25.264310417171298</v>
      </c>
      <c r="N6070">
        <v>51.1879521656913</v>
      </c>
      <c r="O6070">
        <v>50.337736368660899</v>
      </c>
      <c r="P6070">
        <v>-0.110891624511867</v>
      </c>
      <c r="Q6070">
        <v>0.11622937289193</v>
      </c>
      <c r="R6070">
        <v>0.99840764367482704</v>
      </c>
      <c r="S6070" t="s">
        <v>12522</v>
      </c>
      <c r="T6070" t="s">
        <v>12902</v>
      </c>
      <c r="U6070" t="s">
        <v>12902</v>
      </c>
      <c r="V6070" t="s">
        <v>12902</v>
      </c>
      <c r="W6070" t="s">
        <v>18919</v>
      </c>
      <c r="X6070">
        <v>10</v>
      </c>
      <c r="Y6070" t="s">
        <v>25201</v>
      </c>
      <c r="Z6070" t="s">
        <v>31645</v>
      </c>
      <c r="AA6070">
        <v>0.43781361100590288</v>
      </c>
      <c r="AB6070" t="str">
        <f>HYPERLINK("Melting_Curves/meltCurve_Q9UI15_TAGLN3.pdf", "Melting_Curves/meltCurve_Q9UI15_TAGLN3.pdf")</f>
        <v>Melting_Curves/meltCurve_Q9UI15_TAGLN3.pdf</v>
      </c>
    </row>
    <row r="6071" spans="1:28" x14ac:dyDescent="0.25">
      <c r="A6071" t="s">
        <v>6075</v>
      </c>
      <c r="B6071">
        <v>0.99673306730245903</v>
      </c>
      <c r="C6071">
        <v>0.88251226100696001</v>
      </c>
      <c r="D6071">
        <v>0.78437451711619399</v>
      </c>
      <c r="E6071">
        <v>0.680686571221783</v>
      </c>
      <c r="F6071">
        <v>0.25157584910105601</v>
      </c>
      <c r="G6071">
        <v>0.14984634891064699</v>
      </c>
      <c r="H6071">
        <v>7.9866610577325303E-2</v>
      </c>
      <c r="I6071">
        <v>8.7789478913622696E-2</v>
      </c>
      <c r="J6071">
        <v>9.2079253500163105E-2</v>
      </c>
      <c r="K6071">
        <v>9.7348659790792103E-2</v>
      </c>
      <c r="L6071">
        <v>879.84636526718805</v>
      </c>
      <c r="M6071">
        <v>17.543984697375301</v>
      </c>
      <c r="N6071">
        <v>50.535052788824501</v>
      </c>
      <c r="O6071">
        <v>49.512907738494597</v>
      </c>
      <c r="P6071">
        <v>-8.3057271552923903E-2</v>
      </c>
      <c r="Q6071">
        <v>6.2429071748855702E-2</v>
      </c>
      <c r="R6071">
        <v>0.98049446587572997</v>
      </c>
      <c r="S6071" t="s">
        <v>12523</v>
      </c>
      <c r="T6071" t="s">
        <v>12902</v>
      </c>
      <c r="U6071" t="s">
        <v>12902</v>
      </c>
      <c r="V6071" t="s">
        <v>12902</v>
      </c>
      <c r="W6071" t="s">
        <v>18920</v>
      </c>
      <c r="X6071">
        <v>8</v>
      </c>
      <c r="Y6071" t="s">
        <v>25202</v>
      </c>
      <c r="Z6071" t="s">
        <v>31646</v>
      </c>
      <c r="AA6071">
        <v>0.39641356186919707</v>
      </c>
      <c r="AB6071" t="str">
        <f>HYPERLINK("Melting_Curves/meltCurve_Q9UI26_IPO11.pdf", "Melting_Curves/meltCurve_Q9UI26_IPO11.pdf")</f>
        <v>Melting_Curves/meltCurve_Q9UI26_IPO11.pdf</v>
      </c>
    </row>
    <row r="6072" spans="1:28" x14ac:dyDescent="0.25">
      <c r="A6072" t="s">
        <v>6076</v>
      </c>
      <c r="B6072">
        <v>0.99673306730245903</v>
      </c>
      <c r="C6072">
        <v>0.98927407262067402</v>
      </c>
      <c r="D6072">
        <v>0.94083518457629201</v>
      </c>
      <c r="E6072">
        <v>0.85378458826534698</v>
      </c>
      <c r="F6072">
        <v>0.72279279113665995</v>
      </c>
      <c r="G6072">
        <v>0.44487969599125698</v>
      </c>
      <c r="H6072">
        <v>0.27288259584248697</v>
      </c>
      <c r="I6072">
        <v>0.31289405883882399</v>
      </c>
      <c r="J6072">
        <v>0.390614938713713</v>
      </c>
      <c r="K6072">
        <v>0.307962249585919</v>
      </c>
      <c r="L6072">
        <v>1188.92175809062</v>
      </c>
      <c r="M6072">
        <v>22.229327355183901</v>
      </c>
      <c r="N6072">
        <v>55.861080495406199</v>
      </c>
      <c r="O6072">
        <v>53.057184476272603</v>
      </c>
      <c r="P6072">
        <v>-7.2712379104033803E-2</v>
      </c>
      <c r="Q6072">
        <v>0.30581230162176898</v>
      </c>
      <c r="R6072">
        <v>0.97836440935284497</v>
      </c>
      <c r="S6072" t="s">
        <v>12524</v>
      </c>
      <c r="T6072" t="s">
        <v>12902</v>
      </c>
      <c r="U6072" t="s">
        <v>12902</v>
      </c>
      <c r="V6072" t="s">
        <v>12902</v>
      </c>
      <c r="W6072" t="s">
        <v>18921</v>
      </c>
      <c r="X6072">
        <v>8</v>
      </c>
      <c r="Y6072" t="s">
        <v>25203</v>
      </c>
      <c r="Z6072" t="s">
        <v>31647</v>
      </c>
      <c r="AA6072">
        <v>0.62576321614550845</v>
      </c>
      <c r="AB6072" t="str">
        <f>HYPERLINK("Melting_Curves/meltCurve_Q9UI30_TRMT112.pdf", "Melting_Curves/meltCurve_Q9UI30_TRMT112.pdf")</f>
        <v>Melting_Curves/meltCurve_Q9UI30_TRMT112.pdf</v>
      </c>
    </row>
    <row r="6073" spans="1:28" x14ac:dyDescent="0.25">
      <c r="A6073" t="s">
        <v>6077</v>
      </c>
      <c r="B6073">
        <v>0.99673306730245903</v>
      </c>
      <c r="C6073">
        <v>0.96735594700778704</v>
      </c>
      <c r="D6073">
        <v>0.87100256208152504</v>
      </c>
      <c r="E6073">
        <v>0.50756391116610799</v>
      </c>
      <c r="F6073">
        <v>0.23968940903341299</v>
      </c>
      <c r="G6073">
        <v>0.136254129343582</v>
      </c>
      <c r="H6073">
        <v>7.7494040319642493E-2</v>
      </c>
      <c r="I6073">
        <v>5.6580988541163502E-2</v>
      </c>
      <c r="J6073">
        <v>7.1720700091990094E-2</v>
      </c>
      <c r="K6073">
        <v>5.06483577350368E-2</v>
      </c>
      <c r="L6073">
        <v>1080.5705429617301</v>
      </c>
      <c r="M6073">
        <v>21.8104418583487</v>
      </c>
      <c r="N6073">
        <v>49.8450510379636</v>
      </c>
      <c r="O6073">
        <v>49.132864324493703</v>
      </c>
      <c r="P6073">
        <v>-0.10412493193073501</v>
      </c>
      <c r="Q6073">
        <v>6.1763411445803301E-2</v>
      </c>
      <c r="R6073">
        <v>0.99900853194185602</v>
      </c>
      <c r="S6073" t="s">
        <v>12525</v>
      </c>
      <c r="T6073" t="s">
        <v>12902</v>
      </c>
      <c r="U6073" t="s">
        <v>12902</v>
      </c>
      <c r="V6073" t="s">
        <v>12902</v>
      </c>
      <c r="W6073" t="s">
        <v>18922</v>
      </c>
      <c r="X6073">
        <v>5</v>
      </c>
      <c r="Y6073" t="s">
        <v>25204</v>
      </c>
      <c r="Z6073" t="s">
        <v>31648</v>
      </c>
      <c r="AA6073">
        <v>0.37124505642237171</v>
      </c>
      <c r="AB6073" t="str">
        <f>HYPERLINK("Melting_Curves/meltCurve_Q9UI32_GLS2.pdf", "Melting_Curves/meltCurve_Q9UI32_GLS2.pdf")</f>
        <v>Melting_Curves/meltCurve_Q9UI32_GLS2.pdf</v>
      </c>
    </row>
    <row r="6074" spans="1:28" x14ac:dyDescent="0.25">
      <c r="A6074" t="s">
        <v>6078</v>
      </c>
      <c r="B6074">
        <v>0.99673306730245903</v>
      </c>
      <c r="C6074">
        <v>0.72095320337648605</v>
      </c>
      <c r="D6074">
        <v>0.35901324913184102</v>
      </c>
      <c r="E6074">
        <v>0.218603928054112</v>
      </c>
      <c r="F6074">
        <v>0.13319553986028199</v>
      </c>
      <c r="G6074">
        <v>0.10899426804951701</v>
      </c>
      <c r="H6074">
        <v>9.5181571182909305E-2</v>
      </c>
      <c r="I6074">
        <v>8.8916554356526498E-2</v>
      </c>
      <c r="J6074">
        <v>0.13866968643060301</v>
      </c>
      <c r="K6074">
        <v>7.3285902134318195E-2</v>
      </c>
      <c r="L6074">
        <v>1093.2410816159099</v>
      </c>
      <c r="M6074">
        <v>24.619791595763701</v>
      </c>
      <c r="N6074">
        <v>44.849235774213497</v>
      </c>
      <c r="O6074">
        <v>44.115116524164598</v>
      </c>
      <c r="P6074">
        <v>-0.124424671209643</v>
      </c>
      <c r="Q6074">
        <v>0.108208507385364</v>
      </c>
      <c r="R6074">
        <v>0.99079295705140003</v>
      </c>
      <c r="S6074" t="s">
        <v>12526</v>
      </c>
      <c r="T6074" t="s">
        <v>12902</v>
      </c>
      <c r="U6074" t="s">
        <v>12902</v>
      </c>
      <c r="V6074" t="s">
        <v>12902</v>
      </c>
      <c r="W6074" t="s">
        <v>18923</v>
      </c>
      <c r="X6074">
        <v>4</v>
      </c>
      <c r="Y6074" t="s">
        <v>25205</v>
      </c>
      <c r="Z6074" t="s">
        <v>31649</v>
      </c>
      <c r="AA6074">
        <v>0.24908151494197411</v>
      </c>
      <c r="AB6074" t="str">
        <f>HYPERLINK("Melting_Curves/meltCurve_Q9UI36_2_DACH1.pdf", "Melting_Curves/meltCurve_Q9UI36_2_DACH1.pdf")</f>
        <v>Melting_Curves/meltCurve_Q9UI36_2_DACH1.pdf</v>
      </c>
    </row>
    <row r="6075" spans="1:28" x14ac:dyDescent="0.25">
      <c r="A6075" t="s">
        <v>6079</v>
      </c>
      <c r="B6075">
        <v>0.99673306730245903</v>
      </c>
      <c r="C6075">
        <v>1.0046676599025399</v>
      </c>
      <c r="D6075">
        <v>0.94933914741896297</v>
      </c>
      <c r="E6075">
        <v>0.74538748628643903</v>
      </c>
      <c r="F6075">
        <v>0.24965845958874999</v>
      </c>
      <c r="G6075">
        <v>0.14500241187068399</v>
      </c>
      <c r="H6075">
        <v>8.48584177595859E-2</v>
      </c>
      <c r="I6075">
        <v>7.4014811021396801E-2</v>
      </c>
      <c r="J6075">
        <v>8.1880001493419494E-2</v>
      </c>
      <c r="K6075">
        <v>7.0478182864431305E-2</v>
      </c>
      <c r="L6075">
        <v>1669.0614485144399</v>
      </c>
      <c r="M6075">
        <v>32.7521186137824</v>
      </c>
      <c r="N6075">
        <v>51.2388431048713</v>
      </c>
      <c r="O6075">
        <v>50.771561775911103</v>
      </c>
      <c r="P6075">
        <v>-0.148126032200385</v>
      </c>
      <c r="Q6075">
        <v>8.1518365504679002E-2</v>
      </c>
      <c r="R6075">
        <v>0.99856341485271605</v>
      </c>
      <c r="S6075" t="s">
        <v>12527</v>
      </c>
      <c r="T6075" t="s">
        <v>12902</v>
      </c>
      <c r="U6075" t="s">
        <v>12902</v>
      </c>
      <c r="V6075" t="s">
        <v>12902</v>
      </c>
      <c r="W6075" t="s">
        <v>18924</v>
      </c>
      <c r="X6075">
        <v>15</v>
      </c>
      <c r="Y6075" t="s">
        <v>25206</v>
      </c>
      <c r="Z6075" t="s">
        <v>31650</v>
      </c>
      <c r="AA6075">
        <v>0.42192167709832401</v>
      </c>
      <c r="AB6075" t="str">
        <f>HYPERLINK("Melting_Curves/meltCurve_Q9UIC8_LCMT1.pdf", "Melting_Curves/meltCurve_Q9UIC8_LCMT1.pdf")</f>
        <v>Melting_Curves/meltCurve_Q9UIC8_LCMT1.pdf</v>
      </c>
    </row>
    <row r="6076" spans="1:28" x14ac:dyDescent="0.25">
      <c r="A6076" t="s">
        <v>6080</v>
      </c>
      <c r="B6076">
        <v>0.99673306730245903</v>
      </c>
      <c r="C6076">
        <v>0.86845502131906904</v>
      </c>
      <c r="D6076">
        <v>0.77882341375084896</v>
      </c>
      <c r="E6076">
        <v>0.40200790002504799</v>
      </c>
      <c r="F6076">
        <v>0.16571718170599301</v>
      </c>
      <c r="G6076">
        <v>0.11004179395870201</v>
      </c>
      <c r="H6076">
        <v>6.6063043939405999E-2</v>
      </c>
      <c r="I6076">
        <v>6.9695530469856798E-2</v>
      </c>
      <c r="J6076">
        <v>8.8070027874782894E-2</v>
      </c>
      <c r="K6076">
        <v>4.7256171795636299E-2</v>
      </c>
      <c r="L6076">
        <v>974.65123613930905</v>
      </c>
      <c r="M6076">
        <v>20.196435486374899</v>
      </c>
      <c r="N6076">
        <v>48.564326374617302</v>
      </c>
      <c r="O6076">
        <v>47.792924677024402</v>
      </c>
      <c r="P6076">
        <v>-9.9341595576690506E-2</v>
      </c>
      <c r="Q6076">
        <v>5.9700065549064603E-2</v>
      </c>
      <c r="R6076">
        <v>0.995043977325342</v>
      </c>
      <c r="S6076" t="s">
        <v>12528</v>
      </c>
      <c r="T6076" t="s">
        <v>12902</v>
      </c>
      <c r="U6076" t="s">
        <v>12902</v>
      </c>
      <c r="V6076" t="s">
        <v>12902</v>
      </c>
      <c r="W6076" t="s">
        <v>18925</v>
      </c>
      <c r="X6076">
        <v>7</v>
      </c>
      <c r="Y6076" t="s">
        <v>25207</v>
      </c>
      <c r="Z6076" t="s">
        <v>31651</v>
      </c>
      <c r="AA6076">
        <v>0.33157945826518931</v>
      </c>
      <c r="AB6076" t="str">
        <f>HYPERLINK("Melting_Curves/meltCurve_Q9UID3_VPS51.pdf", "Melting_Curves/meltCurve_Q9UID3_VPS51.pdf")</f>
        <v>Melting_Curves/meltCurve_Q9UID3_VPS51.pdf</v>
      </c>
    </row>
    <row r="6077" spans="1:28" x14ac:dyDescent="0.25">
      <c r="A6077" t="s">
        <v>6081</v>
      </c>
      <c r="B6077">
        <v>0.99673306730245903</v>
      </c>
      <c r="C6077">
        <v>0.92975282610723298</v>
      </c>
      <c r="D6077">
        <v>0.983321372151437</v>
      </c>
      <c r="E6077">
        <v>0.89806770567672001</v>
      </c>
      <c r="F6077">
        <v>0.85100759176492102</v>
      </c>
      <c r="G6077">
        <v>0.390222760227173</v>
      </c>
      <c r="H6077">
        <v>0.78793915591274299</v>
      </c>
      <c r="I6077">
        <v>1.41865657371816</v>
      </c>
      <c r="J6077">
        <v>1.01500286219196</v>
      </c>
      <c r="K6077">
        <v>1.84085108424984</v>
      </c>
      <c r="L6077">
        <v>2476.4859532637101</v>
      </c>
      <c r="M6077">
        <v>37.8559385776216</v>
      </c>
      <c r="O6077">
        <v>65.236935516945906</v>
      </c>
      <c r="P6077">
        <v>7.2535661594500297E-2</v>
      </c>
      <c r="Q6077">
        <v>1.5</v>
      </c>
      <c r="R6077">
        <v>0.39837056285851502</v>
      </c>
      <c r="S6077" t="s">
        <v>12529</v>
      </c>
      <c r="T6077" t="s">
        <v>12902</v>
      </c>
      <c r="U6077" t="s">
        <v>12902</v>
      </c>
      <c r="V6077" t="s">
        <v>12902</v>
      </c>
      <c r="W6077" t="s">
        <v>18926</v>
      </c>
      <c r="X6077">
        <v>14</v>
      </c>
      <c r="Y6077" t="s">
        <v>25208</v>
      </c>
      <c r="Z6077" t="s">
        <v>31652</v>
      </c>
      <c r="AA6077">
        <v>1.07665391384003</v>
      </c>
      <c r="AB6077" t="str">
        <f>HYPERLINK("Melting_Curves/meltCurve_Q9UII2_ATPIF1.pdf", "Melting_Curves/meltCurve_Q9UII2_ATPIF1.pdf")</f>
        <v>Melting_Curves/meltCurve_Q9UII2_ATPIF1.pdf</v>
      </c>
    </row>
    <row r="6078" spans="1:28" x14ac:dyDescent="0.25">
      <c r="A6078" t="s">
        <v>6082</v>
      </c>
      <c r="B6078">
        <v>0.99673306730245903</v>
      </c>
      <c r="C6078">
        <v>0.76456981443613103</v>
      </c>
      <c r="D6078">
        <v>1.3205004396108799</v>
      </c>
      <c r="E6078">
        <v>1.1885583484619899</v>
      </c>
      <c r="F6078">
        <v>0.570095696272654</v>
      </c>
      <c r="G6078">
        <v>0.50332846931031505</v>
      </c>
      <c r="H6078">
        <v>0.11286701359095901</v>
      </c>
      <c r="I6078">
        <v>8.1924599125126396E-2</v>
      </c>
      <c r="J6078">
        <v>8.3370281261285595E-2</v>
      </c>
      <c r="K6078">
        <v>7.4295611973601197E-2</v>
      </c>
      <c r="L6078">
        <v>1382.79535855328</v>
      </c>
      <c r="M6078">
        <v>24.9777628135502</v>
      </c>
      <c r="N6078">
        <v>55.670533362326402</v>
      </c>
      <c r="O6078">
        <v>55.009862263590399</v>
      </c>
      <c r="P6078">
        <v>-0.10615809824585901</v>
      </c>
      <c r="Q6078">
        <v>6.4822003932459696E-2</v>
      </c>
      <c r="R6078">
        <v>0.87345447169524504</v>
      </c>
      <c r="S6078" t="s">
        <v>12530</v>
      </c>
      <c r="T6078" t="s">
        <v>12902</v>
      </c>
      <c r="U6078" t="s">
        <v>12902</v>
      </c>
      <c r="V6078" t="s">
        <v>12902</v>
      </c>
      <c r="W6078" t="s">
        <v>18927</v>
      </c>
      <c r="X6078">
        <v>21</v>
      </c>
      <c r="Y6078" t="s">
        <v>25209</v>
      </c>
      <c r="Z6078" t="s">
        <v>31653</v>
      </c>
      <c r="AA6078">
        <v>0.55231583109979154</v>
      </c>
      <c r="AB6078" t="str">
        <f>HYPERLINK("Melting_Curves/meltCurve_Q9UIJ7_AK3.pdf", "Melting_Curves/meltCurve_Q9UIJ7_AK3.pdf")</f>
        <v>Melting_Curves/meltCurve_Q9UIJ7_AK3.pdf</v>
      </c>
    </row>
    <row r="6079" spans="1:28" x14ac:dyDescent="0.25">
      <c r="A6079" t="s">
        <v>6083</v>
      </c>
      <c r="B6079">
        <v>0.99673306730245903</v>
      </c>
      <c r="C6079">
        <v>0.91432848527982502</v>
      </c>
      <c r="D6079">
        <v>0.89516003838718605</v>
      </c>
      <c r="E6079">
        <v>0.75167285822131502</v>
      </c>
      <c r="F6079">
        <v>0.526398696932043</v>
      </c>
      <c r="G6079">
        <v>0.248403067050707</v>
      </c>
      <c r="H6079">
        <v>0.15090805764082099</v>
      </c>
      <c r="I6079">
        <v>0.14587009596587</v>
      </c>
      <c r="J6079">
        <v>0.162740912874271</v>
      </c>
      <c r="K6079">
        <v>0.157542047074406</v>
      </c>
      <c r="L6079">
        <v>916.36323600327796</v>
      </c>
      <c r="M6079">
        <v>17.5814403425242</v>
      </c>
      <c r="N6079">
        <v>52.958016566806002</v>
      </c>
      <c r="O6079">
        <v>51.4607791260187</v>
      </c>
      <c r="P6079">
        <v>-7.5055688137726798E-2</v>
      </c>
      <c r="Q6079">
        <v>0.121297243005262</v>
      </c>
      <c r="R6079">
        <v>0.99039126943341305</v>
      </c>
      <c r="S6079" t="s">
        <v>12531</v>
      </c>
      <c r="T6079" t="s">
        <v>12902</v>
      </c>
      <c r="U6079" t="s">
        <v>12902</v>
      </c>
      <c r="V6079" t="s">
        <v>12902</v>
      </c>
      <c r="W6079" t="s">
        <v>18928</v>
      </c>
      <c r="X6079">
        <v>5</v>
      </c>
      <c r="Y6079" t="s">
        <v>25210</v>
      </c>
      <c r="Z6079" t="s">
        <v>31654</v>
      </c>
      <c r="AA6079">
        <v>0.49151122106055639</v>
      </c>
      <c r="AB6079" t="str">
        <f>HYPERLINK("Melting_Curves/meltCurve_Q9UIK4_DAPK2.pdf", "Melting_Curves/meltCurve_Q9UIK4_DAPK2.pdf")</f>
        <v>Melting_Curves/meltCurve_Q9UIK4_DAPK2.pdf</v>
      </c>
    </row>
    <row r="6080" spans="1:28" x14ac:dyDescent="0.25">
      <c r="A6080" t="s">
        <v>6084</v>
      </c>
      <c r="B6080">
        <v>0.99673306730245903</v>
      </c>
      <c r="C6080">
        <v>0.93878342872682197</v>
      </c>
      <c r="D6080">
        <v>0.88399355340629704</v>
      </c>
      <c r="E6080">
        <v>0.74643956366194897</v>
      </c>
      <c r="F6080">
        <v>0.66981583719890603</v>
      </c>
      <c r="G6080">
        <v>0.61116459918941302</v>
      </c>
      <c r="H6080">
        <v>0.54649004010314295</v>
      </c>
      <c r="I6080">
        <v>1.07166902919104</v>
      </c>
      <c r="J6080">
        <v>1.39301542785057</v>
      </c>
      <c r="K6080">
        <v>1.4615242677817599</v>
      </c>
      <c r="L6080">
        <v>5430.9520613168697</v>
      </c>
      <c r="M6080">
        <v>82.906576584384197</v>
      </c>
      <c r="O6080">
        <v>65.468806354434406</v>
      </c>
      <c r="P6080">
        <v>0.14482704387003401</v>
      </c>
      <c r="Q6080">
        <v>1.4574620258461</v>
      </c>
      <c r="R6080">
        <v>0.37232854258759002</v>
      </c>
      <c r="S6080" t="s">
        <v>12532</v>
      </c>
      <c r="T6080" t="s">
        <v>12902</v>
      </c>
      <c r="U6080" t="s">
        <v>12902</v>
      </c>
      <c r="V6080" t="s">
        <v>12902</v>
      </c>
      <c r="W6080" t="s">
        <v>18929</v>
      </c>
      <c r="X6080">
        <v>1</v>
      </c>
      <c r="Y6080" t="s">
        <v>25211</v>
      </c>
      <c r="Z6080" t="s">
        <v>31655</v>
      </c>
      <c r="AA6080">
        <v>1.0681040068103911</v>
      </c>
      <c r="AB6080" t="str">
        <f>HYPERLINK("Melting_Curves/meltCurve_Q9UIL1_3_SCOC.pdf", "Melting_Curves/meltCurve_Q9UIL1_3_SCOC.pdf")</f>
        <v>Melting_Curves/meltCurve_Q9UIL1_3_SCOC.pdf</v>
      </c>
    </row>
    <row r="6081" spans="1:28" x14ac:dyDescent="0.25">
      <c r="A6081" t="s">
        <v>6085</v>
      </c>
      <c r="B6081">
        <v>0.99673306730245903</v>
      </c>
      <c r="C6081">
        <v>0.96047997242978</v>
      </c>
      <c r="D6081">
        <v>0.90226805527702003</v>
      </c>
      <c r="E6081">
        <v>0.79090971258842402</v>
      </c>
      <c r="F6081">
        <v>0.57192429727153704</v>
      </c>
      <c r="G6081">
        <v>0.31527509446023799</v>
      </c>
      <c r="H6081">
        <v>0.14048044263578999</v>
      </c>
      <c r="I6081">
        <v>0.114946778772496</v>
      </c>
      <c r="J6081">
        <v>0.14342152887544901</v>
      </c>
      <c r="K6081">
        <v>0.13307426235228401</v>
      </c>
      <c r="L6081">
        <v>911.85082215960199</v>
      </c>
      <c r="M6081">
        <v>17.162290094921001</v>
      </c>
      <c r="N6081">
        <v>53.768154801363501</v>
      </c>
      <c r="O6081">
        <v>52.425449936593203</v>
      </c>
      <c r="P6081">
        <v>-7.4316060153517896E-2</v>
      </c>
      <c r="Q6081">
        <v>9.2004401373912706E-2</v>
      </c>
      <c r="R6081">
        <v>0.99449389241030905</v>
      </c>
      <c r="S6081" t="s">
        <v>12533</v>
      </c>
      <c r="T6081" t="s">
        <v>12902</v>
      </c>
      <c r="U6081" t="s">
        <v>12902</v>
      </c>
      <c r="V6081" t="s">
        <v>12902</v>
      </c>
      <c r="W6081" t="s">
        <v>18930</v>
      </c>
      <c r="X6081">
        <v>10</v>
      </c>
      <c r="Y6081" t="s">
        <v>25212</v>
      </c>
      <c r="Z6081" t="s">
        <v>31656</v>
      </c>
      <c r="AA6081">
        <v>0.50541021035215195</v>
      </c>
      <c r="AB6081" t="str">
        <f>HYPERLINK("Melting_Curves/meltCurve_Q9UIM3_FKBPL.pdf", "Melting_Curves/meltCurve_Q9UIM3_FKBPL.pdf")</f>
        <v>Melting_Curves/meltCurve_Q9UIM3_FKBPL.pdf</v>
      </c>
    </row>
    <row r="6082" spans="1:28" x14ac:dyDescent="0.25">
      <c r="A6082" t="s">
        <v>6086</v>
      </c>
      <c r="B6082">
        <v>0.99673306730245903</v>
      </c>
      <c r="C6082">
        <v>0.93919890432038799</v>
      </c>
      <c r="D6082">
        <v>0.91371905004017495</v>
      </c>
      <c r="E6082">
        <v>0.89359541935789799</v>
      </c>
      <c r="F6082">
        <v>0.75679403501572096</v>
      </c>
      <c r="G6082">
        <v>0.70543907144231699</v>
      </c>
      <c r="H6082">
        <v>0.68104328122334701</v>
      </c>
      <c r="I6082">
        <v>0.48416069883256202</v>
      </c>
      <c r="J6082">
        <v>0.21854841030429101</v>
      </c>
      <c r="K6082">
        <v>0.13808007620892199</v>
      </c>
      <c r="L6082">
        <v>640.51508454613497</v>
      </c>
      <c r="M6082">
        <v>10.364734654233899</v>
      </c>
      <c r="N6082">
        <v>61.797542030306403</v>
      </c>
      <c r="O6082">
        <v>59.629855536665801</v>
      </c>
      <c r="P6082">
        <v>-4.3472894864782903E-2</v>
      </c>
      <c r="Q6082">
        <v>0</v>
      </c>
      <c r="R6082">
        <v>0.93300437696195904</v>
      </c>
      <c r="S6082" t="s">
        <v>12534</v>
      </c>
      <c r="T6082" t="s">
        <v>12902</v>
      </c>
      <c r="U6082" t="s">
        <v>12902</v>
      </c>
      <c r="V6082" t="s">
        <v>12902</v>
      </c>
      <c r="W6082" t="s">
        <v>18931</v>
      </c>
      <c r="X6082">
        <v>5</v>
      </c>
      <c r="Y6082" t="s">
        <v>25213</v>
      </c>
      <c r="Z6082" t="s">
        <v>31657</v>
      </c>
      <c r="AA6082">
        <v>0.70936266816187088</v>
      </c>
      <c r="AB6082" t="str">
        <f>HYPERLINK("Melting_Curves/meltCurve_Q9UIQ6_3_LNPEP.pdf", "Melting_Curves/meltCurve_Q9UIQ6_3_LNPEP.pdf")</f>
        <v>Melting_Curves/meltCurve_Q9UIQ6_3_LNPEP.pdf</v>
      </c>
    </row>
    <row r="6083" spans="1:28" x14ac:dyDescent="0.25">
      <c r="A6083" t="s">
        <v>6087</v>
      </c>
      <c r="B6083">
        <v>0.99673306730245903</v>
      </c>
      <c r="C6083">
        <v>0.86797557703364003</v>
      </c>
      <c r="D6083">
        <v>0.728300171492686</v>
      </c>
      <c r="E6083">
        <v>0.65379501577361698</v>
      </c>
      <c r="F6083">
        <v>0.60530009990723499</v>
      </c>
      <c r="G6083">
        <v>0.50541957363661205</v>
      </c>
      <c r="H6083">
        <v>0.300838908112248</v>
      </c>
      <c r="I6083">
        <v>0.34684465130915998</v>
      </c>
      <c r="J6083">
        <v>0.13425066680665099</v>
      </c>
      <c r="K6083">
        <v>9.5066563757613395E-2</v>
      </c>
      <c r="L6083">
        <v>404.33005121643902</v>
      </c>
      <c r="M6083">
        <v>7.3707568292232599</v>
      </c>
      <c r="N6083">
        <v>54.855974815355196</v>
      </c>
      <c r="O6083">
        <v>51.251813881912703</v>
      </c>
      <c r="P6083">
        <v>-3.6008765319285999E-2</v>
      </c>
      <c r="Q6083">
        <v>0</v>
      </c>
      <c r="R6083">
        <v>0.95546690719132699</v>
      </c>
      <c r="S6083" t="s">
        <v>12535</v>
      </c>
      <c r="T6083" t="s">
        <v>12902</v>
      </c>
      <c r="U6083" t="s">
        <v>12902</v>
      </c>
      <c r="V6083" t="s">
        <v>12902</v>
      </c>
      <c r="W6083" t="s">
        <v>18932</v>
      </c>
      <c r="X6083">
        <v>1</v>
      </c>
      <c r="Y6083" t="s">
        <v>25214</v>
      </c>
      <c r="Z6083" t="s">
        <v>31658</v>
      </c>
      <c r="AA6083">
        <v>0.52353164526460505</v>
      </c>
      <c r="AB6083" t="str">
        <f>HYPERLINK("Melting_Curves/meltCurve_Q9UIU6_SIX4.pdf", "Melting_Curves/meltCurve_Q9UIU6_SIX4.pdf")</f>
        <v>Melting_Curves/meltCurve_Q9UIU6_SIX4.pdf</v>
      </c>
    </row>
    <row r="6084" spans="1:28" x14ac:dyDescent="0.25">
      <c r="A6084" t="s">
        <v>6088</v>
      </c>
      <c r="B6084">
        <v>0.99673306730245903</v>
      </c>
      <c r="C6084">
        <v>1.05192092310637</v>
      </c>
      <c r="D6084">
        <v>1.21834286540904</v>
      </c>
      <c r="E6084">
        <v>0.96440611738857795</v>
      </c>
      <c r="F6084">
        <v>1.0133848814114801</v>
      </c>
      <c r="G6084">
        <v>0.91898871841021201</v>
      </c>
      <c r="H6084">
        <v>0.77434023064823199</v>
      </c>
      <c r="I6084">
        <v>0.92329487896121698</v>
      </c>
      <c r="J6084">
        <v>1.06864687786775</v>
      </c>
      <c r="K6084">
        <v>0.92024350417661105</v>
      </c>
      <c r="L6084">
        <v>9564.0153978901908</v>
      </c>
      <c r="M6084">
        <v>173.242890780625</v>
      </c>
      <c r="O6084">
        <v>55.1984632240842</v>
      </c>
      <c r="P6084">
        <v>-6.1995015958145397E-2</v>
      </c>
      <c r="Q6084">
        <v>0.92098886216013998</v>
      </c>
      <c r="R6084">
        <v>0.232826639186856</v>
      </c>
      <c r="S6084" t="s">
        <v>12536</v>
      </c>
      <c r="T6084" t="s">
        <v>12902</v>
      </c>
      <c r="U6084" t="s">
        <v>12902</v>
      </c>
      <c r="V6084" t="s">
        <v>12902</v>
      </c>
      <c r="W6084" t="s">
        <v>18933</v>
      </c>
      <c r="X6084">
        <v>11</v>
      </c>
      <c r="Y6084" t="s">
        <v>25215</v>
      </c>
      <c r="Z6084" t="s">
        <v>31659</v>
      </c>
      <c r="AA6084">
        <v>0.96105243818823582</v>
      </c>
      <c r="AB6084" t="str">
        <f>HYPERLINK("Melting_Curves/meltCurve_Q9UJ14_GGT7.pdf", "Melting_Curves/meltCurve_Q9UJ14_GGT7.pdf")</f>
        <v>Melting_Curves/meltCurve_Q9UJ14_GGT7.pdf</v>
      </c>
    </row>
    <row r="6085" spans="1:28" x14ac:dyDescent="0.25">
      <c r="A6085" t="s">
        <v>6089</v>
      </c>
      <c r="B6085">
        <v>0.99673306730245903</v>
      </c>
      <c r="C6085">
        <v>0.81014688862404205</v>
      </c>
      <c r="D6085">
        <v>0.75722834749231405</v>
      </c>
      <c r="E6085">
        <v>0.37737317232304601</v>
      </c>
      <c r="F6085">
        <v>0.14858722530851401</v>
      </c>
      <c r="G6085">
        <v>9.5963549630011899E-2</v>
      </c>
      <c r="H6085">
        <v>8.8271772742921001E-2</v>
      </c>
      <c r="I6085">
        <v>8.8817342349034295E-2</v>
      </c>
      <c r="J6085">
        <v>0.112814856763891</v>
      </c>
      <c r="K6085">
        <v>0.10449969105529699</v>
      </c>
      <c r="L6085">
        <v>948.15844334132998</v>
      </c>
      <c r="M6085">
        <v>19.881466720715501</v>
      </c>
      <c r="N6085">
        <v>48.124501834174602</v>
      </c>
      <c r="O6085">
        <v>47.215944174238302</v>
      </c>
      <c r="P6085">
        <v>-9.6633727498058306E-2</v>
      </c>
      <c r="Q6085">
        <v>8.2059558346937705E-2</v>
      </c>
      <c r="R6085">
        <v>0.98569798851441204</v>
      </c>
      <c r="S6085" t="s">
        <v>12537</v>
      </c>
      <c r="T6085" t="s">
        <v>12902</v>
      </c>
      <c r="U6085" t="s">
        <v>12902</v>
      </c>
      <c r="V6085" t="s">
        <v>12902</v>
      </c>
      <c r="W6085" t="s">
        <v>18934</v>
      </c>
      <c r="X6085">
        <v>9</v>
      </c>
      <c r="Y6085" t="s">
        <v>25216</v>
      </c>
      <c r="Z6085" t="s">
        <v>31660</v>
      </c>
      <c r="AA6085">
        <v>0.33068342764429898</v>
      </c>
      <c r="AB6085" t="str">
        <f>HYPERLINK("Melting_Curves/meltCurve_Q9UJ68_2_MSRA.pdf", "Melting_Curves/meltCurve_Q9UJ68_2_MSRA.pdf")</f>
        <v>Melting_Curves/meltCurve_Q9UJ68_2_MSRA.pdf</v>
      </c>
    </row>
    <row r="6086" spans="1:28" x14ac:dyDescent="0.25">
      <c r="A6086" t="s">
        <v>6090</v>
      </c>
      <c r="B6086">
        <v>0.99673306730245903</v>
      </c>
      <c r="C6086">
        <v>0.91827931494611803</v>
      </c>
      <c r="D6086">
        <v>0.91168480187894896</v>
      </c>
      <c r="E6086">
        <v>0.84197597722372697</v>
      </c>
      <c r="F6086">
        <v>0.71590653264175197</v>
      </c>
      <c r="G6086">
        <v>0.63474747534225395</v>
      </c>
      <c r="H6086">
        <v>0.37012630127129498</v>
      </c>
      <c r="I6086">
        <v>0.15969210935745201</v>
      </c>
      <c r="J6086">
        <v>0.115043505742496</v>
      </c>
      <c r="K6086">
        <v>0.130507711384238</v>
      </c>
      <c r="L6086">
        <v>696.25418832893399</v>
      </c>
      <c r="M6086">
        <v>12.0704377840911</v>
      </c>
      <c r="N6086">
        <v>57.682578111300103</v>
      </c>
      <c r="O6086">
        <v>56.167795306342803</v>
      </c>
      <c r="P6086">
        <v>-5.3737565626210897E-2</v>
      </c>
      <c r="Q6086">
        <v>0</v>
      </c>
      <c r="R6086">
        <v>0.97905685507771201</v>
      </c>
      <c r="S6086" t="s">
        <v>12538</v>
      </c>
      <c r="T6086" t="s">
        <v>12902</v>
      </c>
      <c r="U6086" t="s">
        <v>12902</v>
      </c>
      <c r="V6086" t="s">
        <v>12902</v>
      </c>
      <c r="W6086" t="s">
        <v>18935</v>
      </c>
      <c r="X6086">
        <v>1</v>
      </c>
      <c r="Y6086" t="s">
        <v>25217</v>
      </c>
      <c r="Z6086" t="s">
        <v>31661</v>
      </c>
      <c r="AA6086">
        <v>0.60353886525117961</v>
      </c>
      <c r="AB6086" t="str">
        <f>HYPERLINK("Melting_Curves/meltCurve_Q9UJA2_2_CRLS1.pdf", "Melting_Curves/meltCurve_Q9UJA2_2_CRLS1.pdf")</f>
        <v>Melting_Curves/meltCurve_Q9UJA2_2_CRLS1.pdf</v>
      </c>
    </row>
    <row r="6087" spans="1:28" x14ac:dyDescent="0.25">
      <c r="A6087" t="s">
        <v>6091</v>
      </c>
      <c r="B6087">
        <v>0.99673306730245903</v>
      </c>
      <c r="C6087">
        <v>0.92720919367564403</v>
      </c>
      <c r="D6087">
        <v>0.92801189835735598</v>
      </c>
      <c r="E6087">
        <v>0.980110392865018</v>
      </c>
      <c r="F6087">
        <v>0.83100364523000803</v>
      </c>
      <c r="G6087">
        <v>0.52304804979121999</v>
      </c>
      <c r="H6087">
        <v>0.176383171244612</v>
      </c>
      <c r="I6087">
        <v>0.10450735032031599</v>
      </c>
      <c r="J6087">
        <v>9.0021644572274004E-2</v>
      </c>
      <c r="K6087">
        <v>7.4691723177675196E-2</v>
      </c>
      <c r="L6087">
        <v>1448.1174928333501</v>
      </c>
      <c r="M6087">
        <v>25.608220946947601</v>
      </c>
      <c r="N6087">
        <v>56.8496539734818</v>
      </c>
      <c r="O6087">
        <v>56.207468431928497</v>
      </c>
      <c r="P6087">
        <v>-0.10668680688613399</v>
      </c>
      <c r="Q6087">
        <v>6.3344191062475005E-2</v>
      </c>
      <c r="R6087">
        <v>0.99265895825997497</v>
      </c>
      <c r="S6087" t="s">
        <v>12539</v>
      </c>
      <c r="T6087" t="s">
        <v>12902</v>
      </c>
      <c r="U6087" t="s">
        <v>12902</v>
      </c>
      <c r="V6087" t="s">
        <v>12902</v>
      </c>
      <c r="W6087" t="s">
        <v>18936</v>
      </c>
      <c r="X6087">
        <v>14</v>
      </c>
      <c r="Y6087" t="s">
        <v>25218</v>
      </c>
      <c r="Z6087" t="s">
        <v>31662</v>
      </c>
      <c r="AA6087">
        <v>0.58823147874364246</v>
      </c>
      <c r="AB6087" t="str">
        <f>HYPERLINK("Melting_Curves/meltCurve_Q9UJA5_TRMT6.pdf", "Melting_Curves/meltCurve_Q9UJA5_TRMT6.pdf")</f>
        <v>Melting_Curves/meltCurve_Q9UJA5_TRMT6.pdf</v>
      </c>
    </row>
    <row r="6088" spans="1:28" x14ac:dyDescent="0.25">
      <c r="A6088" t="s">
        <v>6092</v>
      </c>
      <c r="B6088">
        <v>0.99673306730245903</v>
      </c>
      <c r="C6088">
        <v>0.98623790280038004</v>
      </c>
      <c r="D6088">
        <v>0.92984130011168298</v>
      </c>
      <c r="E6088">
        <v>0.71993145052839203</v>
      </c>
      <c r="F6088">
        <v>0.634109744540716</v>
      </c>
      <c r="G6088">
        <v>0.53599444885840097</v>
      </c>
      <c r="H6088">
        <v>0.39084088115267102</v>
      </c>
      <c r="I6088">
        <v>0.51104731759331601</v>
      </c>
      <c r="J6088">
        <v>0.58499018752199605</v>
      </c>
      <c r="K6088">
        <v>0.518125198901488</v>
      </c>
      <c r="L6088">
        <v>1075.82258945735</v>
      </c>
      <c r="M6088">
        <v>21.7552400901439</v>
      </c>
      <c r="O6088">
        <v>49.039027999458803</v>
      </c>
      <c r="P6088">
        <v>-5.4930580725867401E-2</v>
      </c>
      <c r="Q6088">
        <v>0.50472976584765505</v>
      </c>
      <c r="R6088">
        <v>0.94454386106374999</v>
      </c>
      <c r="S6088" t="s">
        <v>12540</v>
      </c>
      <c r="T6088" t="s">
        <v>12902</v>
      </c>
      <c r="U6088" t="s">
        <v>12902</v>
      </c>
      <c r="V6088" t="s">
        <v>12902</v>
      </c>
      <c r="W6088" t="s">
        <v>18937</v>
      </c>
      <c r="X6088">
        <v>2</v>
      </c>
      <c r="Y6088" t="s">
        <v>25219</v>
      </c>
      <c r="Z6088" t="s">
        <v>31663</v>
      </c>
      <c r="AA6088">
        <v>0.66659879661718868</v>
      </c>
      <c r="AB6088" t="str">
        <f>HYPERLINK("Melting_Curves/meltCurve_Q9UJA9_ENPP5.pdf", "Melting_Curves/meltCurve_Q9UJA9_ENPP5.pdf")</f>
        <v>Melting_Curves/meltCurve_Q9UJA9_ENPP5.pdf</v>
      </c>
    </row>
    <row r="6089" spans="1:28" x14ac:dyDescent="0.25">
      <c r="A6089" t="s">
        <v>6093</v>
      </c>
      <c r="B6089">
        <v>0.99673306730245903</v>
      </c>
      <c r="C6089">
        <v>1.01615709635635</v>
      </c>
      <c r="D6089">
        <v>0.99000046371475703</v>
      </c>
      <c r="E6089">
        <v>1.0222717983423499</v>
      </c>
      <c r="F6089">
        <v>0.60209857437657499</v>
      </c>
      <c r="G6089">
        <v>0.33288096967483899</v>
      </c>
      <c r="H6089">
        <v>0.19570087835158601</v>
      </c>
      <c r="I6089">
        <v>0.178990538834498</v>
      </c>
      <c r="J6089">
        <v>0.13533509600559901</v>
      </c>
      <c r="K6089">
        <v>8.65828209367598E-2</v>
      </c>
      <c r="L6089">
        <v>1558.99653040773</v>
      </c>
      <c r="M6089">
        <v>28.9229744339411</v>
      </c>
      <c r="N6089">
        <v>54.5264226446103</v>
      </c>
      <c r="O6089">
        <v>53.645961106926002</v>
      </c>
      <c r="P6089">
        <v>-0.115777109593011</v>
      </c>
      <c r="Q6089">
        <v>0.14103882621282801</v>
      </c>
      <c r="R6089">
        <v>0.98963680448049296</v>
      </c>
      <c r="S6089" t="s">
        <v>12541</v>
      </c>
      <c r="T6089" t="s">
        <v>12902</v>
      </c>
      <c r="U6089" t="s">
        <v>12902</v>
      </c>
      <c r="V6089" t="s">
        <v>12902</v>
      </c>
      <c r="W6089" t="s">
        <v>18938</v>
      </c>
      <c r="X6089">
        <v>4</v>
      </c>
      <c r="Y6089" t="s">
        <v>25220</v>
      </c>
      <c r="Z6089" t="s">
        <v>31664</v>
      </c>
      <c r="AA6089">
        <v>0.54511842958374845</v>
      </c>
      <c r="AB6089" t="str">
        <f>HYPERLINK("Melting_Curves/meltCurve_Q9UJC5_SH3BGRL2.pdf", "Melting_Curves/meltCurve_Q9UJC5_SH3BGRL2.pdf")</f>
        <v>Melting_Curves/meltCurve_Q9UJC5_SH3BGRL2.pdf</v>
      </c>
    </row>
    <row r="6090" spans="1:28" x14ac:dyDescent="0.25">
      <c r="A6090" t="s">
        <v>6094</v>
      </c>
      <c r="B6090">
        <v>0.99673306730245903</v>
      </c>
      <c r="C6090">
        <v>0.97235725852683197</v>
      </c>
      <c r="D6090">
        <v>0.90783668464002099</v>
      </c>
      <c r="E6090">
        <v>0.88604512329363905</v>
      </c>
      <c r="F6090">
        <v>0.805438440680177</v>
      </c>
      <c r="G6090">
        <v>0.61341287429580305</v>
      </c>
      <c r="H6090">
        <v>0.43873523432456102</v>
      </c>
      <c r="I6090">
        <v>0.45148610757188301</v>
      </c>
      <c r="J6090">
        <v>0.26972620284478599</v>
      </c>
      <c r="K6090">
        <v>0.13744787186342</v>
      </c>
      <c r="L6090">
        <v>578.17771754013495</v>
      </c>
      <c r="M6090">
        <v>9.6188889971927907</v>
      </c>
      <c r="N6090">
        <v>60.108564372896502</v>
      </c>
      <c r="O6090">
        <v>57.682896391229697</v>
      </c>
      <c r="P6090">
        <v>-4.1712170873949697E-2</v>
      </c>
      <c r="Q6090">
        <v>0</v>
      </c>
      <c r="R6090">
        <v>0.97959387316325497</v>
      </c>
      <c r="S6090" t="s">
        <v>12542</v>
      </c>
      <c r="T6090" t="s">
        <v>12902</v>
      </c>
      <c r="U6090" t="s">
        <v>12902</v>
      </c>
      <c r="V6090" t="s">
        <v>12902</v>
      </c>
      <c r="W6090" t="s">
        <v>18939</v>
      </c>
      <c r="X6090">
        <v>3</v>
      </c>
      <c r="Y6090" t="s">
        <v>25221</v>
      </c>
      <c r="Z6090" t="s">
        <v>31665</v>
      </c>
      <c r="AA6090">
        <v>0.66372702927418881</v>
      </c>
      <c r="AB6090" t="str">
        <f>HYPERLINK("Melting_Curves/meltCurve_Q9UJK0_TSR3.pdf", "Melting_Curves/meltCurve_Q9UJK0_TSR3.pdf")</f>
        <v>Melting_Curves/meltCurve_Q9UJK0_TSR3.pdf</v>
      </c>
    </row>
    <row r="6091" spans="1:28" x14ac:dyDescent="0.25">
      <c r="A6091" t="s">
        <v>6095</v>
      </c>
      <c r="B6091">
        <v>0.99673306730245903</v>
      </c>
      <c r="C6091">
        <v>0.97214758567850501</v>
      </c>
      <c r="D6091">
        <v>0.90645723317063698</v>
      </c>
      <c r="E6091">
        <v>0.86780847908610703</v>
      </c>
      <c r="F6091">
        <v>0.73026751357187603</v>
      </c>
      <c r="G6091">
        <v>0.57360758698620296</v>
      </c>
      <c r="H6091">
        <v>0.45713846084913501</v>
      </c>
      <c r="I6091">
        <v>0.34179097204058401</v>
      </c>
      <c r="J6091">
        <v>0.17097690785428299</v>
      </c>
      <c r="K6091">
        <v>0.111220993000458</v>
      </c>
      <c r="L6091">
        <v>601.75976088442906</v>
      </c>
      <c r="M6091">
        <v>10.258817831095699</v>
      </c>
      <c r="N6091">
        <v>58.6578014123439</v>
      </c>
      <c r="O6091">
        <v>56.560064996026099</v>
      </c>
      <c r="P6091">
        <v>-4.5364803768467403E-2</v>
      </c>
      <c r="Q6091">
        <v>0</v>
      </c>
      <c r="R6091">
        <v>0.989803424147361</v>
      </c>
      <c r="S6091" t="s">
        <v>12543</v>
      </c>
      <c r="T6091" t="s">
        <v>12902</v>
      </c>
      <c r="U6091" t="s">
        <v>12902</v>
      </c>
      <c r="V6091" t="s">
        <v>12902</v>
      </c>
      <c r="W6091" t="s">
        <v>18940</v>
      </c>
      <c r="X6091">
        <v>22</v>
      </c>
      <c r="Y6091" t="s">
        <v>25222</v>
      </c>
      <c r="Z6091" t="s">
        <v>31666</v>
      </c>
      <c r="AA6091">
        <v>0.62829063875791968</v>
      </c>
      <c r="AB6091" t="str">
        <f>HYPERLINK("Melting_Curves/meltCurve_Q9UJS0_SLC25A13.pdf", "Melting_Curves/meltCurve_Q9UJS0_SLC25A13.pdf")</f>
        <v>Melting_Curves/meltCurve_Q9UJS0_SLC25A13.pdf</v>
      </c>
    </row>
    <row r="6092" spans="1:28" x14ac:dyDescent="0.25">
      <c r="A6092" t="s">
        <v>6096</v>
      </c>
      <c r="B6092">
        <v>0.99673306730245903</v>
      </c>
      <c r="C6092">
        <v>1.0672111897390799</v>
      </c>
      <c r="D6092">
        <v>1.0280013623406501</v>
      </c>
      <c r="E6092">
        <v>0.89232980723771704</v>
      </c>
      <c r="F6092">
        <v>0.798143503211313</v>
      </c>
      <c r="G6092">
        <v>0.49307269730525299</v>
      </c>
      <c r="H6092">
        <v>0.234053024549466</v>
      </c>
      <c r="I6092">
        <v>0.16115271247155799</v>
      </c>
      <c r="J6092">
        <v>0.15223350076852199</v>
      </c>
      <c r="K6092">
        <v>0.126691334279388</v>
      </c>
      <c r="L6092">
        <v>1202.72135168873</v>
      </c>
      <c r="M6092">
        <v>21.4923956067936</v>
      </c>
      <c r="N6092">
        <v>56.638671087865298</v>
      </c>
      <c r="O6092">
        <v>55.482618289413097</v>
      </c>
      <c r="P6092">
        <v>-8.5855829797068295E-2</v>
      </c>
      <c r="Q6092">
        <v>0.113474483277049</v>
      </c>
      <c r="R6092">
        <v>0.99318802176918497</v>
      </c>
      <c r="S6092" t="s">
        <v>12544</v>
      </c>
      <c r="T6092" t="s">
        <v>12902</v>
      </c>
      <c r="U6092" t="s">
        <v>12902</v>
      </c>
      <c r="V6092" t="s">
        <v>12902</v>
      </c>
      <c r="W6092" t="s">
        <v>18941</v>
      </c>
      <c r="X6092">
        <v>3</v>
      </c>
      <c r="Y6092" t="s">
        <v>25223</v>
      </c>
      <c r="Z6092" t="s">
        <v>31667</v>
      </c>
      <c r="AA6092">
        <v>0.59544295661563573</v>
      </c>
      <c r="AB6092" t="str">
        <f>HYPERLINK("Melting_Curves/meltCurve_Q9UJT0_TUBE1.pdf", "Melting_Curves/meltCurve_Q9UJT0_TUBE1.pdf")</f>
        <v>Melting_Curves/meltCurve_Q9UJT0_TUBE1.pdf</v>
      </c>
    </row>
    <row r="6093" spans="1:28" x14ac:dyDescent="0.25">
      <c r="A6093" t="s">
        <v>6097</v>
      </c>
      <c r="B6093">
        <v>0.99673306730245903</v>
      </c>
      <c r="C6093">
        <v>0.99676956349983703</v>
      </c>
      <c r="D6093">
        <v>0.91648436505015995</v>
      </c>
      <c r="E6093">
        <v>0.51850900693412805</v>
      </c>
      <c r="F6093">
        <v>0.26279801717972301</v>
      </c>
      <c r="G6093">
        <v>0.16831571855944799</v>
      </c>
      <c r="H6093">
        <v>0.12159137039209</v>
      </c>
      <c r="I6093">
        <v>0.142891658155402</v>
      </c>
      <c r="J6093">
        <v>0.19885667117060199</v>
      </c>
      <c r="K6093">
        <v>0.20941968625532401</v>
      </c>
      <c r="L6093">
        <v>1507.3342007803701</v>
      </c>
      <c r="M6093">
        <v>30.665183843885401</v>
      </c>
      <c r="N6093">
        <v>49.819916274634998</v>
      </c>
      <c r="O6093">
        <v>48.946959581142799</v>
      </c>
      <c r="P6093">
        <v>-0.13030906195044201</v>
      </c>
      <c r="Q6093">
        <v>0.168021384378304</v>
      </c>
      <c r="R6093">
        <v>0.99485723136063098</v>
      </c>
      <c r="S6093" t="s">
        <v>12545</v>
      </c>
      <c r="T6093" t="s">
        <v>12902</v>
      </c>
      <c r="U6093" t="s">
        <v>12902</v>
      </c>
      <c r="V6093" t="s">
        <v>12902</v>
      </c>
      <c r="W6093" t="s">
        <v>18942</v>
      </c>
      <c r="X6093">
        <v>23</v>
      </c>
      <c r="Y6093" t="s">
        <v>25224</v>
      </c>
      <c r="Z6093" t="s">
        <v>31668</v>
      </c>
      <c r="AA6093">
        <v>0.4267578092029955</v>
      </c>
      <c r="AB6093" t="str">
        <f>HYPERLINK("Melting_Curves/meltCurve_Q9UJU6_DBNL.pdf", "Melting_Curves/meltCurve_Q9UJU6_DBNL.pdf")</f>
        <v>Melting_Curves/meltCurve_Q9UJU6_DBNL.pdf</v>
      </c>
    </row>
    <row r="6094" spans="1:28" x14ac:dyDescent="0.25">
      <c r="A6094" t="s">
        <v>6098</v>
      </c>
      <c r="B6094">
        <v>0.99673306730245903</v>
      </c>
      <c r="C6094">
        <v>0.82301313669505305</v>
      </c>
      <c r="D6094">
        <v>1.0277308464178501</v>
      </c>
      <c r="E6094">
        <v>0.49977578250335403</v>
      </c>
      <c r="F6094">
        <v>0.30105428741279999</v>
      </c>
      <c r="G6094">
        <v>0.17019990902580201</v>
      </c>
      <c r="H6094">
        <v>0.16300230027377799</v>
      </c>
      <c r="I6094">
        <v>0.239352085071763</v>
      </c>
      <c r="J6094">
        <v>0.38245848561698198</v>
      </c>
      <c r="K6094">
        <v>0.43955149144950101</v>
      </c>
      <c r="L6094">
        <v>12339.3084203253</v>
      </c>
      <c r="M6094">
        <v>249.61074008738501</v>
      </c>
      <c r="N6094">
        <v>49.599709381063697</v>
      </c>
      <c r="O6094">
        <v>49.431053436207101</v>
      </c>
      <c r="P6094">
        <v>-0.90565569539211199</v>
      </c>
      <c r="Q6094">
        <v>0.28260306180722</v>
      </c>
      <c r="R6094">
        <v>0.90185736084230095</v>
      </c>
      <c r="S6094" t="s">
        <v>12546</v>
      </c>
      <c r="T6094" t="s">
        <v>12902</v>
      </c>
      <c r="U6094" t="s">
        <v>12902</v>
      </c>
      <c r="V6094" t="s">
        <v>12902</v>
      </c>
      <c r="W6094" t="s">
        <v>18943</v>
      </c>
      <c r="X6094">
        <v>23</v>
      </c>
      <c r="Y6094" t="s">
        <v>25224</v>
      </c>
      <c r="Z6094" t="s">
        <v>31669</v>
      </c>
      <c r="AA6094">
        <v>0.50826781361880891</v>
      </c>
      <c r="AB6094" t="str">
        <f>HYPERLINK("Melting_Curves/meltCurve_Q9UJU6_2_DBNL.pdf", "Melting_Curves/meltCurve_Q9UJU6_2_DBNL.pdf")</f>
        <v>Melting_Curves/meltCurve_Q9UJU6_2_DBNL.pdf</v>
      </c>
    </row>
    <row r="6095" spans="1:28" x14ac:dyDescent="0.25">
      <c r="A6095" t="s">
        <v>6099</v>
      </c>
      <c r="B6095">
        <v>0.99673306730245903</v>
      </c>
      <c r="C6095">
        <v>0.90481861108406803</v>
      </c>
      <c r="D6095">
        <v>0.94006637994312903</v>
      </c>
      <c r="E6095">
        <v>0.98595147948475903</v>
      </c>
      <c r="F6095">
        <v>0.73664312220896799</v>
      </c>
      <c r="G6095">
        <v>0.62372833666827299</v>
      </c>
      <c r="H6095">
        <v>0.497176788981183</v>
      </c>
      <c r="I6095">
        <v>0.53403314164084204</v>
      </c>
      <c r="J6095">
        <v>0.41459446298918001</v>
      </c>
      <c r="K6095">
        <v>0.15054226107552801</v>
      </c>
      <c r="L6095">
        <v>509.60997261202198</v>
      </c>
      <c r="M6095">
        <v>8.2586234978185207</v>
      </c>
      <c r="N6095">
        <v>61.706403374643799</v>
      </c>
      <c r="O6095">
        <v>58.405677177005998</v>
      </c>
      <c r="P6095">
        <v>-3.5385751034318097E-2</v>
      </c>
      <c r="Q6095">
        <v>0</v>
      </c>
      <c r="R6095">
        <v>0.92556060693536302</v>
      </c>
      <c r="S6095" t="s">
        <v>12547</v>
      </c>
      <c r="T6095" t="s">
        <v>12902</v>
      </c>
      <c r="U6095" t="s">
        <v>12902</v>
      </c>
      <c r="V6095" t="s">
        <v>12902</v>
      </c>
      <c r="W6095" t="s">
        <v>18944</v>
      </c>
      <c r="X6095">
        <v>8</v>
      </c>
      <c r="Y6095" t="s">
        <v>25225</v>
      </c>
      <c r="Z6095" t="s">
        <v>31670</v>
      </c>
      <c r="AA6095">
        <v>0.69250697022775398</v>
      </c>
      <c r="AB6095" t="str">
        <f>HYPERLINK("Melting_Curves/meltCurve_Q9UJW0_DCTN4.pdf", "Melting_Curves/meltCurve_Q9UJW0_DCTN4.pdf")</f>
        <v>Melting_Curves/meltCurve_Q9UJW0_DCTN4.pdf</v>
      </c>
    </row>
    <row r="6096" spans="1:28" x14ac:dyDescent="0.25">
      <c r="A6096" t="s">
        <v>6100</v>
      </c>
      <c r="B6096">
        <v>0.99673306730245903</v>
      </c>
      <c r="C6096">
        <v>0.89808023881716104</v>
      </c>
      <c r="D6096">
        <v>0.74321347836943996</v>
      </c>
      <c r="E6096">
        <v>0.60378743754747599</v>
      </c>
      <c r="F6096">
        <v>0.37776009660668303</v>
      </c>
      <c r="G6096">
        <v>0.17485786532337799</v>
      </c>
      <c r="H6096">
        <v>9.7681384601656193E-2</v>
      </c>
      <c r="I6096">
        <v>7.4339469322986101E-2</v>
      </c>
      <c r="J6096">
        <v>7.6202580601800199E-2</v>
      </c>
      <c r="K6096">
        <v>6.3539977111236004E-2</v>
      </c>
      <c r="L6096">
        <v>653.13115135211001</v>
      </c>
      <c r="M6096">
        <v>12.9324641238155</v>
      </c>
      <c r="N6096">
        <v>50.670483715634902</v>
      </c>
      <c r="O6096">
        <v>49.3414052328135</v>
      </c>
      <c r="P6096">
        <v>-6.4167813921744393E-2</v>
      </c>
      <c r="Q6096">
        <v>2.0895222838175301E-2</v>
      </c>
      <c r="R6096">
        <v>0.99451852996615897</v>
      </c>
      <c r="S6096" t="s">
        <v>12548</v>
      </c>
      <c r="T6096" t="s">
        <v>12902</v>
      </c>
      <c r="U6096" t="s">
        <v>12902</v>
      </c>
      <c r="V6096" t="s">
        <v>12902</v>
      </c>
      <c r="W6096" t="s">
        <v>18945</v>
      </c>
      <c r="X6096">
        <v>5</v>
      </c>
      <c r="Y6096" t="s">
        <v>25226</v>
      </c>
      <c r="Z6096" t="s">
        <v>31671</v>
      </c>
      <c r="AA6096">
        <v>0.39301472667122328</v>
      </c>
      <c r="AB6096" t="str">
        <f>HYPERLINK("Melting_Curves/meltCurve_Q9UJX3_2_ANAPC7.pdf", "Melting_Curves/meltCurve_Q9UJX3_2_ANAPC7.pdf")</f>
        <v>Melting_Curves/meltCurve_Q9UJX3_2_ANAPC7.pdf</v>
      </c>
    </row>
    <row r="6097" spans="1:28" x14ac:dyDescent="0.25">
      <c r="A6097" t="s">
        <v>6101</v>
      </c>
      <c r="B6097">
        <v>0.99673306730245903</v>
      </c>
      <c r="C6097">
        <v>1.2404547150288801</v>
      </c>
      <c r="D6097">
        <v>1.54005317146766</v>
      </c>
      <c r="E6097">
        <v>0.94734645184090605</v>
      </c>
      <c r="F6097">
        <v>1.0031031080561501</v>
      </c>
      <c r="G6097">
        <v>1.06102899004845</v>
      </c>
      <c r="H6097">
        <v>0.84086071587536804</v>
      </c>
      <c r="I6097">
        <v>1.1766602161522799</v>
      </c>
      <c r="J6097">
        <v>1.73364649512907</v>
      </c>
      <c r="K6097">
        <v>0.29697811788267697</v>
      </c>
      <c r="L6097">
        <v>15000</v>
      </c>
      <c r="M6097">
        <v>215.14368065040799</v>
      </c>
      <c r="N6097">
        <v>69.720848714134704</v>
      </c>
      <c r="O6097">
        <v>69.714808080563103</v>
      </c>
      <c r="P6097">
        <v>-0.77151338631959199</v>
      </c>
      <c r="Q6097">
        <v>0</v>
      </c>
      <c r="R6097">
        <v>0.30828019170466198</v>
      </c>
      <c r="S6097" t="s">
        <v>12549</v>
      </c>
      <c r="T6097" t="s">
        <v>12902</v>
      </c>
      <c r="U6097" t="s">
        <v>12902</v>
      </c>
      <c r="V6097" t="s">
        <v>12902</v>
      </c>
      <c r="W6097" t="s">
        <v>18946</v>
      </c>
      <c r="X6097">
        <v>2</v>
      </c>
      <c r="Y6097" t="s">
        <v>25227</v>
      </c>
      <c r="Z6097" t="s">
        <v>31672</v>
      </c>
      <c r="AA6097">
        <v>0.98697130358189966</v>
      </c>
      <c r="AB6097" t="str">
        <f>HYPERLINK("Melting_Curves/meltCurve_Q9UJX5_2_ANAPC4.pdf", "Melting_Curves/meltCurve_Q9UJX5_2_ANAPC4.pdf")</f>
        <v>Melting_Curves/meltCurve_Q9UJX5_2_ANAPC4.pdf</v>
      </c>
    </row>
    <row r="6098" spans="1:28" x14ac:dyDescent="0.25">
      <c r="A6098" t="s">
        <v>6102</v>
      </c>
      <c r="B6098">
        <v>0.99673306730245903</v>
      </c>
      <c r="C6098">
        <v>0.94721734150888703</v>
      </c>
      <c r="D6098">
        <v>0.95272684498453997</v>
      </c>
      <c r="E6098">
        <v>0.91274120908912304</v>
      </c>
      <c r="F6098">
        <v>0.61490096113390502</v>
      </c>
      <c r="G6098">
        <v>0.485229606233961</v>
      </c>
      <c r="H6098">
        <v>0.17871788621152301</v>
      </c>
      <c r="I6098">
        <v>0.149875934588902</v>
      </c>
      <c r="J6098">
        <v>0.13510186374112601</v>
      </c>
      <c r="K6098">
        <v>0.102878787365535</v>
      </c>
      <c r="L6098">
        <v>921.31069059631898</v>
      </c>
      <c r="M6098">
        <v>16.734461462264999</v>
      </c>
      <c r="N6098">
        <v>55.580018625292901</v>
      </c>
      <c r="O6098">
        <v>54.286540755530403</v>
      </c>
      <c r="P6098">
        <v>-7.1433030496708697E-2</v>
      </c>
      <c r="Q6098">
        <v>7.31468291447845E-2</v>
      </c>
      <c r="R6098">
        <v>0.989469287503566</v>
      </c>
      <c r="S6098" t="s">
        <v>12550</v>
      </c>
      <c r="T6098" t="s">
        <v>12902</v>
      </c>
      <c r="U6098" t="s">
        <v>12902</v>
      </c>
      <c r="V6098" t="s">
        <v>12902</v>
      </c>
      <c r="W6098" t="s">
        <v>18947</v>
      </c>
      <c r="X6098">
        <v>3</v>
      </c>
      <c r="Y6098" t="s">
        <v>25228</v>
      </c>
      <c r="Z6098" t="s">
        <v>31673</v>
      </c>
      <c r="AA6098">
        <v>0.55397509635785147</v>
      </c>
      <c r="AB6098" t="str">
        <f>HYPERLINK("Melting_Curves/meltCurve_Q9UJX6_2_ANAPC2.pdf", "Melting_Curves/meltCurve_Q9UJX6_2_ANAPC2.pdf")</f>
        <v>Melting_Curves/meltCurve_Q9UJX6_2_ANAPC2.pdf</v>
      </c>
    </row>
    <row r="6099" spans="1:28" x14ac:dyDescent="0.25">
      <c r="A6099" t="s">
        <v>6103</v>
      </c>
      <c r="B6099">
        <v>0.99673306730245903</v>
      </c>
      <c r="C6099">
        <v>0.851289954099687</v>
      </c>
      <c r="D6099">
        <v>0.45403257328295799</v>
      </c>
      <c r="E6099">
        <v>0.230591803918928</v>
      </c>
      <c r="F6099">
        <v>0.18586907438908501</v>
      </c>
      <c r="G6099">
        <v>0.13686177724374701</v>
      </c>
      <c r="H6099">
        <v>8.0211981807166502E-2</v>
      </c>
      <c r="I6099">
        <v>6.8514981289065094E-2</v>
      </c>
      <c r="J6099">
        <v>0.106959609890056</v>
      </c>
      <c r="K6099">
        <v>0.105230598538152</v>
      </c>
      <c r="L6099">
        <v>1126.78682390982</v>
      </c>
      <c r="M6099">
        <v>24.811061492239499</v>
      </c>
      <c r="N6099">
        <v>45.872292352485601</v>
      </c>
      <c r="O6099">
        <v>45.122754812589001</v>
      </c>
      <c r="P6099">
        <v>-0.122396378726605</v>
      </c>
      <c r="Q6099">
        <v>0.10962530886897399</v>
      </c>
      <c r="R6099">
        <v>0.99161453650629605</v>
      </c>
      <c r="S6099" t="s">
        <v>12551</v>
      </c>
      <c r="T6099" t="s">
        <v>12902</v>
      </c>
      <c r="U6099" t="s">
        <v>12902</v>
      </c>
      <c r="V6099" t="s">
        <v>12902</v>
      </c>
      <c r="W6099" t="s">
        <v>18948</v>
      </c>
      <c r="X6099">
        <v>5</v>
      </c>
      <c r="Y6099" t="s">
        <v>25229</v>
      </c>
      <c r="Z6099" t="s">
        <v>31674</v>
      </c>
      <c r="AA6099">
        <v>0.27902606982293049</v>
      </c>
      <c r="AB6099" t="str">
        <f>HYPERLINK("Melting_Curves/meltCurve_Q9UJY4_GGA2.pdf", "Melting_Curves/meltCurve_Q9UJY4_GGA2.pdf")</f>
        <v>Melting_Curves/meltCurve_Q9UJY4_GGA2.pdf</v>
      </c>
    </row>
    <row r="6100" spans="1:28" x14ac:dyDescent="0.25">
      <c r="A6100" t="s">
        <v>6104</v>
      </c>
      <c r="B6100">
        <v>0.99673306730245903</v>
      </c>
      <c r="C6100">
        <v>0.89740303915938002</v>
      </c>
      <c r="D6100">
        <v>0.67823072483981806</v>
      </c>
      <c r="E6100">
        <v>0.64088987450504298</v>
      </c>
      <c r="F6100">
        <v>0.24217383087126501</v>
      </c>
      <c r="G6100">
        <v>0.137522966355938</v>
      </c>
      <c r="H6100">
        <v>8.6574567107540898E-2</v>
      </c>
      <c r="I6100">
        <v>8.8510018174378896E-2</v>
      </c>
      <c r="J6100">
        <v>0.110643801277598</v>
      </c>
      <c r="K6100">
        <v>0.105601051158851</v>
      </c>
      <c r="L6100">
        <v>741.84592918995099</v>
      </c>
      <c r="M6100">
        <v>15.037347391067501</v>
      </c>
      <c r="N6100">
        <v>49.7779115762578</v>
      </c>
      <c r="O6100">
        <v>48.485757751869698</v>
      </c>
      <c r="P6100">
        <v>-7.2672430020490494E-2</v>
      </c>
      <c r="Q6100">
        <v>6.2806663047650702E-2</v>
      </c>
      <c r="R6100">
        <v>0.97324469482557296</v>
      </c>
      <c r="S6100" t="s">
        <v>12552</v>
      </c>
      <c r="T6100" t="s">
        <v>12902</v>
      </c>
      <c r="U6100" t="s">
        <v>12902</v>
      </c>
      <c r="V6100" t="s">
        <v>12902</v>
      </c>
      <c r="W6100" t="s">
        <v>18949</v>
      </c>
      <c r="X6100">
        <v>11</v>
      </c>
      <c r="Y6100" t="s">
        <v>25230</v>
      </c>
      <c r="Z6100" t="s">
        <v>31675</v>
      </c>
      <c r="AA6100">
        <v>0.37713369422314869</v>
      </c>
      <c r="AB6100" t="str">
        <f>HYPERLINK("Melting_Curves/meltCurve_Q9UJY5_4_GGA1.pdf", "Melting_Curves/meltCurve_Q9UJY5_4_GGA1.pdf")</f>
        <v>Melting_Curves/meltCurve_Q9UJY5_4_GGA1.pdf</v>
      </c>
    </row>
    <row r="6101" spans="1:28" x14ac:dyDescent="0.25">
      <c r="A6101" t="s">
        <v>6105</v>
      </c>
      <c r="B6101">
        <v>0.99673306730245903</v>
      </c>
      <c r="C6101">
        <v>1.0468332659459301</v>
      </c>
      <c r="D6101">
        <v>0.95515976511187595</v>
      </c>
      <c r="E6101">
        <v>0.82643200388871596</v>
      </c>
      <c r="F6101">
        <v>0.78055423019405701</v>
      </c>
      <c r="G6101">
        <v>0.70835543071321105</v>
      </c>
      <c r="H6101">
        <v>0.609124607217438</v>
      </c>
      <c r="I6101">
        <v>0.87978119558178303</v>
      </c>
      <c r="J6101">
        <v>0.330484394481382</v>
      </c>
      <c r="K6101">
        <v>0.12776817442382901</v>
      </c>
      <c r="L6101">
        <v>548.06127294114003</v>
      </c>
      <c r="M6101">
        <v>8.5229106107162504</v>
      </c>
      <c r="N6101">
        <v>64.304469167635702</v>
      </c>
      <c r="O6101">
        <v>61.057588004650597</v>
      </c>
      <c r="P6101">
        <v>-3.4928150639888599E-2</v>
      </c>
      <c r="Q6101">
        <v>0</v>
      </c>
      <c r="R6101">
        <v>0.73889530501690304</v>
      </c>
      <c r="S6101" t="s">
        <v>12553</v>
      </c>
      <c r="T6101" t="s">
        <v>12902</v>
      </c>
      <c r="U6101" t="s">
        <v>12902</v>
      </c>
      <c r="V6101" t="s">
        <v>12902</v>
      </c>
      <c r="W6101" t="s">
        <v>18950</v>
      </c>
      <c r="X6101">
        <v>25</v>
      </c>
      <c r="Y6101" t="s">
        <v>25231</v>
      </c>
      <c r="Z6101" t="s">
        <v>31676</v>
      </c>
      <c r="AA6101">
        <v>0.75035974610875444</v>
      </c>
      <c r="AB6101" t="str">
        <f>HYPERLINK("Melting_Curves/meltCurve_Q9UJZ1_STOML2.pdf", "Melting_Curves/meltCurve_Q9UJZ1_STOML2.pdf")</f>
        <v>Melting_Curves/meltCurve_Q9UJZ1_STOML2.pdf</v>
      </c>
    </row>
    <row r="6102" spans="1:28" x14ac:dyDescent="0.25">
      <c r="A6102" t="s">
        <v>6106</v>
      </c>
      <c r="B6102">
        <v>0.99673306730245903</v>
      </c>
      <c r="C6102">
        <v>1.0080672865853</v>
      </c>
      <c r="D6102">
        <v>0.92045143976859001</v>
      </c>
      <c r="E6102">
        <v>0.77332805805337301</v>
      </c>
      <c r="F6102">
        <v>0.32356060797778602</v>
      </c>
      <c r="G6102">
        <v>0.16454500385964499</v>
      </c>
      <c r="H6102">
        <v>8.5662818753836897E-2</v>
      </c>
      <c r="I6102">
        <v>7.5738753549081397E-2</v>
      </c>
      <c r="J6102">
        <v>7.8313992326095802E-2</v>
      </c>
      <c r="K6102">
        <v>8.4670239377019299E-2</v>
      </c>
      <c r="L6102">
        <v>1397.1372841274899</v>
      </c>
      <c r="M6102">
        <v>27.171988756669101</v>
      </c>
      <c r="N6102">
        <v>51.743417201658403</v>
      </c>
      <c r="O6102">
        <v>51.142227645709603</v>
      </c>
      <c r="P6102">
        <v>-0.122403154424058</v>
      </c>
      <c r="Q6102">
        <v>7.8476336003516098E-2</v>
      </c>
      <c r="R6102">
        <v>0.99780558091139504</v>
      </c>
      <c r="S6102" t="s">
        <v>12554</v>
      </c>
      <c r="T6102" t="s">
        <v>12902</v>
      </c>
      <c r="U6102" t="s">
        <v>12902</v>
      </c>
      <c r="V6102" t="s">
        <v>12902</v>
      </c>
      <c r="W6102" t="s">
        <v>18951</v>
      </c>
      <c r="X6102">
        <v>2</v>
      </c>
      <c r="Y6102" t="s">
        <v>25232</v>
      </c>
      <c r="Z6102" t="s">
        <v>31677</v>
      </c>
      <c r="AA6102">
        <v>0.43631825234264793</v>
      </c>
      <c r="AB6102" t="str">
        <f>HYPERLINK("Melting_Curves/meltCurve_Q9UK22_FBXO2.pdf", "Melting_Curves/meltCurve_Q9UK22_FBXO2.pdf")</f>
        <v>Melting_Curves/meltCurve_Q9UK22_FBXO2.pdf</v>
      </c>
    </row>
    <row r="6103" spans="1:28" x14ac:dyDescent="0.25">
      <c r="A6103" t="s">
        <v>6107</v>
      </c>
      <c r="B6103">
        <v>0.99673306730245903</v>
      </c>
      <c r="C6103">
        <v>0.99523397236809297</v>
      </c>
      <c r="D6103">
        <v>0.95800309857951704</v>
      </c>
      <c r="E6103">
        <v>0.80022439006592505</v>
      </c>
      <c r="F6103">
        <v>0.72225759853334204</v>
      </c>
      <c r="G6103">
        <v>0.63105440253293199</v>
      </c>
      <c r="H6103">
        <v>0.50662106265818496</v>
      </c>
      <c r="I6103">
        <v>0.47359267092559598</v>
      </c>
      <c r="J6103">
        <v>0.26155460567126498</v>
      </c>
      <c r="K6103">
        <v>0.20077899073904601</v>
      </c>
      <c r="L6103">
        <v>491.530697289682</v>
      </c>
      <c r="M6103">
        <v>8.1395855353817108</v>
      </c>
      <c r="N6103">
        <v>60.387680844369299</v>
      </c>
      <c r="O6103">
        <v>57.0708007765082</v>
      </c>
      <c r="P6103">
        <v>-3.5693448841973598E-2</v>
      </c>
      <c r="Q6103">
        <v>0</v>
      </c>
      <c r="R6103">
        <v>0.97677735133125698</v>
      </c>
      <c r="S6103" t="s">
        <v>12555</v>
      </c>
      <c r="T6103" t="s">
        <v>12902</v>
      </c>
      <c r="U6103" t="s">
        <v>12902</v>
      </c>
      <c r="V6103" t="s">
        <v>12902</v>
      </c>
      <c r="W6103" t="s">
        <v>18952</v>
      </c>
      <c r="X6103">
        <v>7</v>
      </c>
      <c r="Y6103" t="s">
        <v>25233</v>
      </c>
      <c r="Z6103" t="s">
        <v>31678</v>
      </c>
      <c r="AA6103">
        <v>0.66157346477405055</v>
      </c>
      <c r="AB6103" t="str">
        <f>HYPERLINK("Melting_Curves/meltCurve_Q9UK23_NAGPA.pdf", "Melting_Curves/meltCurve_Q9UK23_NAGPA.pdf")</f>
        <v>Melting_Curves/meltCurve_Q9UK23_NAGPA.pdf</v>
      </c>
    </row>
    <row r="6104" spans="1:28" x14ac:dyDescent="0.25">
      <c r="A6104" t="s">
        <v>6108</v>
      </c>
      <c r="B6104">
        <v>0.99673306730245903</v>
      </c>
      <c r="C6104">
        <v>0.87822116684960505</v>
      </c>
      <c r="D6104">
        <v>0.78909940547521296</v>
      </c>
      <c r="E6104">
        <v>0.56541031304261402</v>
      </c>
      <c r="F6104">
        <v>0.19757268106786599</v>
      </c>
      <c r="G6104">
        <v>0.11306793531607399</v>
      </c>
      <c r="H6104">
        <v>6.3738657065148502E-2</v>
      </c>
      <c r="I6104">
        <v>5.49830224529788E-2</v>
      </c>
      <c r="J6104">
        <v>6.1920174884408201E-2</v>
      </c>
      <c r="K6104">
        <v>5.6356046303391603E-2</v>
      </c>
      <c r="L6104">
        <v>887.34667407732502</v>
      </c>
      <c r="M6104">
        <v>17.946517128500499</v>
      </c>
      <c r="N6104">
        <v>49.660120785052101</v>
      </c>
      <c r="O6104">
        <v>48.842319642737699</v>
      </c>
      <c r="P6104">
        <v>-8.8412377660578995E-2</v>
      </c>
      <c r="Q6104">
        <v>3.7574064549773502E-2</v>
      </c>
      <c r="R6104">
        <v>0.99174068942785298</v>
      </c>
      <c r="S6104" t="s">
        <v>12556</v>
      </c>
      <c r="T6104" t="s">
        <v>12902</v>
      </c>
      <c r="U6104" t="s">
        <v>12902</v>
      </c>
      <c r="V6104" t="s">
        <v>12902</v>
      </c>
      <c r="W6104" t="s">
        <v>18953</v>
      </c>
      <c r="X6104">
        <v>10</v>
      </c>
      <c r="Y6104" t="s">
        <v>25234</v>
      </c>
      <c r="Z6104" t="s">
        <v>31679</v>
      </c>
      <c r="AA6104">
        <v>0.35718378474013679</v>
      </c>
      <c r="AB6104" t="str">
        <f>HYPERLINK("Melting_Curves/meltCurve_Q9UK41_VPS28.pdf", "Melting_Curves/meltCurve_Q9UK41_VPS28.pdf")</f>
        <v>Melting_Curves/meltCurve_Q9UK41_VPS28.pdf</v>
      </c>
    </row>
    <row r="6105" spans="1:28" x14ac:dyDescent="0.25">
      <c r="A6105" t="s">
        <v>6109</v>
      </c>
      <c r="B6105">
        <v>0.99673306730245903</v>
      </c>
      <c r="C6105">
        <v>0.96315811683959596</v>
      </c>
      <c r="D6105">
        <v>1.5478433303633199</v>
      </c>
      <c r="E6105">
        <v>1.0794692787539399</v>
      </c>
      <c r="F6105">
        <v>0.95721680839941703</v>
      </c>
      <c r="G6105">
        <v>0.715418060226091</v>
      </c>
      <c r="H6105">
        <v>0.74538079403594004</v>
      </c>
      <c r="I6105">
        <v>0.840521367980676</v>
      </c>
      <c r="J6105">
        <v>1.1162027396693199</v>
      </c>
      <c r="K6105">
        <v>0.92612507843620195</v>
      </c>
      <c r="L6105">
        <v>13338.6607947258</v>
      </c>
      <c r="M6105">
        <v>250</v>
      </c>
      <c r="O6105">
        <v>53.351229984189303</v>
      </c>
      <c r="P6105">
        <v>-0.15378087693912901</v>
      </c>
      <c r="Q6105">
        <v>0.86872962005495102</v>
      </c>
      <c r="R6105">
        <v>0.17395954305447101</v>
      </c>
      <c r="S6105" t="s">
        <v>12557</v>
      </c>
      <c r="T6105" t="s">
        <v>12902</v>
      </c>
      <c r="U6105" t="s">
        <v>12902</v>
      </c>
      <c r="V6105" t="s">
        <v>12902</v>
      </c>
      <c r="W6105" t="s">
        <v>18954</v>
      </c>
      <c r="X6105">
        <v>6</v>
      </c>
      <c r="Y6105" t="s">
        <v>25235</v>
      </c>
      <c r="Z6105" t="s">
        <v>31680</v>
      </c>
      <c r="AA6105">
        <v>0.92717754790036699</v>
      </c>
      <c r="AB6105" t="str">
        <f>HYPERLINK("Melting_Curves/meltCurve_Q9UK45_LSM7.pdf", "Melting_Curves/meltCurve_Q9UK45_LSM7.pdf")</f>
        <v>Melting_Curves/meltCurve_Q9UK45_LSM7.pdf</v>
      </c>
    </row>
    <row r="6106" spans="1:28" x14ac:dyDescent="0.25">
      <c r="A6106" t="s">
        <v>6110</v>
      </c>
      <c r="B6106">
        <v>0.99673306730245903</v>
      </c>
      <c r="C6106">
        <v>0.88284374455959502</v>
      </c>
      <c r="D6106">
        <v>0.78140609118653803</v>
      </c>
      <c r="E6106">
        <v>0.62719155687835504</v>
      </c>
      <c r="F6106">
        <v>0.580222483808016</v>
      </c>
      <c r="G6106">
        <v>0.39359309789803798</v>
      </c>
      <c r="H6106">
        <v>0.22512692791963501</v>
      </c>
      <c r="I6106">
        <v>0.24550174422510401</v>
      </c>
      <c r="J6106">
        <v>0.26394890119092401</v>
      </c>
      <c r="K6106">
        <v>0.229889138743995</v>
      </c>
      <c r="L6106">
        <v>523.10907023290804</v>
      </c>
      <c r="M6106">
        <v>10.1945098261738</v>
      </c>
      <c r="N6106">
        <v>53.350765916044097</v>
      </c>
      <c r="O6106">
        <v>49.455896309977497</v>
      </c>
      <c r="P6106">
        <v>-4.3241843310050099E-2</v>
      </c>
      <c r="Q6106">
        <v>0.16127475807247399</v>
      </c>
      <c r="R6106">
        <v>0.97874102109224304</v>
      </c>
      <c r="S6106" t="s">
        <v>12558</v>
      </c>
      <c r="T6106" t="s">
        <v>12902</v>
      </c>
      <c r="U6106" t="s">
        <v>12902</v>
      </c>
      <c r="V6106" t="s">
        <v>12902</v>
      </c>
      <c r="W6106" t="s">
        <v>18955</v>
      </c>
      <c r="X6106">
        <v>3</v>
      </c>
      <c r="Y6106" t="s">
        <v>25236</v>
      </c>
      <c r="Z6106" t="s">
        <v>31681</v>
      </c>
      <c r="AA6106">
        <v>0.51071561242371133</v>
      </c>
      <c r="AB6106" t="str">
        <f>HYPERLINK("Melting_Curves/meltCurve_Q9UK53_2_ING1.pdf", "Melting_Curves/meltCurve_Q9UK53_2_ING1.pdf")</f>
        <v>Melting_Curves/meltCurve_Q9UK53_2_ING1.pdf</v>
      </c>
    </row>
    <row r="6107" spans="1:28" x14ac:dyDescent="0.25">
      <c r="A6107" t="s">
        <v>6111</v>
      </c>
      <c r="B6107">
        <v>0.99673306730245903</v>
      </c>
      <c r="C6107">
        <v>1.00678496495675</v>
      </c>
      <c r="D6107">
        <v>0.93414062488696903</v>
      </c>
      <c r="E6107">
        <v>0.89026993716721203</v>
      </c>
      <c r="F6107">
        <v>0.74994933129005603</v>
      </c>
      <c r="G6107">
        <v>0.48089810246181403</v>
      </c>
      <c r="H6107">
        <v>0.183169542203098</v>
      </c>
      <c r="I6107">
        <v>0.129043950798718</v>
      </c>
      <c r="J6107">
        <v>0.108842982533376</v>
      </c>
      <c r="K6107">
        <v>9.2757079282800997E-2</v>
      </c>
      <c r="L6107">
        <v>1054.70095440978</v>
      </c>
      <c r="M6107">
        <v>18.883132931740398</v>
      </c>
      <c r="N6107">
        <v>56.222687785222199</v>
      </c>
      <c r="O6107">
        <v>55.239031615382601</v>
      </c>
      <c r="P6107">
        <v>-8.0489168096616506E-2</v>
      </c>
      <c r="Q6107">
        <v>5.8215164744996099E-2</v>
      </c>
      <c r="R6107">
        <v>0.99547935542258204</v>
      </c>
      <c r="S6107" t="s">
        <v>12559</v>
      </c>
      <c r="T6107" t="s">
        <v>12902</v>
      </c>
      <c r="U6107" t="s">
        <v>12902</v>
      </c>
      <c r="V6107" t="s">
        <v>12902</v>
      </c>
      <c r="W6107" t="s">
        <v>18956</v>
      </c>
      <c r="X6107">
        <v>14</v>
      </c>
      <c r="Y6107" t="s">
        <v>25237</v>
      </c>
      <c r="Z6107" t="s">
        <v>31682</v>
      </c>
      <c r="AA6107">
        <v>0.56909695330268095</v>
      </c>
      <c r="AB6107" t="str">
        <f>HYPERLINK("Melting_Curves/meltCurve_Q9UK59_DBR1.pdf", "Melting_Curves/meltCurve_Q9UK59_DBR1.pdf")</f>
        <v>Melting_Curves/meltCurve_Q9UK59_DBR1.pdf</v>
      </c>
    </row>
    <row r="6108" spans="1:28" x14ac:dyDescent="0.25">
      <c r="A6108" t="s">
        <v>6112</v>
      </c>
      <c r="B6108">
        <v>0.99673306730245903</v>
      </c>
      <c r="C6108">
        <v>1.0247302261798601</v>
      </c>
      <c r="D6108">
        <v>1.0113607534870801</v>
      </c>
      <c r="E6108">
        <v>0.97960731422557401</v>
      </c>
      <c r="F6108">
        <v>0.99930351347224899</v>
      </c>
      <c r="G6108">
        <v>0.89521794121665099</v>
      </c>
      <c r="H6108">
        <v>0.73626425849357602</v>
      </c>
      <c r="I6108">
        <v>1.0808576972252999</v>
      </c>
      <c r="J6108">
        <v>1.7053197277254899</v>
      </c>
      <c r="K6108">
        <v>1.5904696618939</v>
      </c>
      <c r="L6108">
        <v>15000</v>
      </c>
      <c r="M6108">
        <v>232.73174320128001</v>
      </c>
      <c r="O6108">
        <v>64.447141393228193</v>
      </c>
      <c r="P6108">
        <v>0.45140053468567198</v>
      </c>
      <c r="Q6108">
        <v>1.5</v>
      </c>
      <c r="R6108">
        <v>0.84095352350606001</v>
      </c>
      <c r="S6108" t="s">
        <v>12560</v>
      </c>
      <c r="T6108" t="s">
        <v>12902</v>
      </c>
      <c r="U6108" t="s">
        <v>12902</v>
      </c>
      <c r="V6108" t="s">
        <v>12902</v>
      </c>
      <c r="W6108" t="s">
        <v>18957</v>
      </c>
      <c r="X6108">
        <v>8</v>
      </c>
      <c r="Y6108" t="s">
        <v>25238</v>
      </c>
      <c r="Z6108" t="s">
        <v>31683</v>
      </c>
      <c r="AA6108">
        <v>1.0924032887504</v>
      </c>
      <c r="AB6108" t="str">
        <f>HYPERLINK("Melting_Curves/meltCurve_Q9UK76_HN1.pdf", "Melting_Curves/meltCurve_Q9UK76_HN1.pdf")</f>
        <v>Melting_Curves/meltCurve_Q9UK76_HN1.pdf</v>
      </c>
    </row>
    <row r="6109" spans="1:28" x14ac:dyDescent="0.25">
      <c r="A6109" t="s">
        <v>6113</v>
      </c>
      <c r="B6109">
        <v>0.99673306730245903</v>
      </c>
      <c r="C6109">
        <v>0.94206887668430195</v>
      </c>
      <c r="D6109">
        <v>0.87403081735162902</v>
      </c>
      <c r="E6109">
        <v>0.55505840645634996</v>
      </c>
      <c r="F6109">
        <v>0.29150087442733302</v>
      </c>
      <c r="G6109">
        <v>0.17894390403567001</v>
      </c>
      <c r="H6109">
        <v>0.13075946376234601</v>
      </c>
      <c r="I6109">
        <v>7.0869164181834005E-2</v>
      </c>
      <c r="J6109">
        <v>5.3493463895144901E-2</v>
      </c>
      <c r="K6109">
        <v>6.4662551067097201E-2</v>
      </c>
      <c r="L6109">
        <v>921.672120748476</v>
      </c>
      <c r="M6109">
        <v>18.416165105505801</v>
      </c>
      <c r="N6109">
        <v>50.431019004014999</v>
      </c>
      <c r="O6109">
        <v>49.468004911071702</v>
      </c>
      <c r="P6109">
        <v>-8.6984706493992203E-2</v>
      </c>
      <c r="Q6109">
        <v>6.5437253219518002E-2</v>
      </c>
      <c r="R6109">
        <v>0.99755586434399202</v>
      </c>
      <c r="S6109" t="s">
        <v>12561</v>
      </c>
      <c r="T6109" t="s">
        <v>12902</v>
      </c>
      <c r="U6109" t="s">
        <v>12902</v>
      </c>
      <c r="V6109" t="s">
        <v>12902</v>
      </c>
      <c r="W6109" t="s">
        <v>18958</v>
      </c>
      <c r="X6109">
        <v>4</v>
      </c>
      <c r="Y6109" t="s">
        <v>25239</v>
      </c>
      <c r="Z6109" t="s">
        <v>31684</v>
      </c>
      <c r="AA6109">
        <v>0.39367014282353058</v>
      </c>
      <c r="AB6109" t="str">
        <f>HYPERLINK("Melting_Curves/meltCurve_Q9UK97_3_FBXO9.pdf", "Melting_Curves/meltCurve_Q9UK97_3_FBXO9.pdf")</f>
        <v>Melting_Curves/meltCurve_Q9UK97_3_FBXO9.pdf</v>
      </c>
    </row>
    <row r="6110" spans="1:28" x14ac:dyDescent="0.25">
      <c r="A6110" t="s">
        <v>6114</v>
      </c>
      <c r="B6110">
        <v>0.99673306730245903</v>
      </c>
      <c r="C6110">
        <v>0.93908122677592798</v>
      </c>
      <c r="D6110">
        <v>0.64778403973514798</v>
      </c>
      <c r="E6110">
        <v>0.399131025692879</v>
      </c>
      <c r="F6110">
        <v>0.21859586565021499</v>
      </c>
      <c r="G6110">
        <v>0.16033263401172301</v>
      </c>
      <c r="H6110">
        <v>0.15822330947319699</v>
      </c>
      <c r="I6110">
        <v>0.152827268882062</v>
      </c>
      <c r="J6110">
        <v>0.14463387422841101</v>
      </c>
      <c r="K6110">
        <v>0.115559681403354</v>
      </c>
      <c r="L6110">
        <v>961.97559191852395</v>
      </c>
      <c r="M6110">
        <v>20.3633203459048</v>
      </c>
      <c r="N6110">
        <v>48.009299972006403</v>
      </c>
      <c r="O6110">
        <v>46.792100046370201</v>
      </c>
      <c r="P6110">
        <v>-9.3664532903827299E-2</v>
      </c>
      <c r="Q6110">
        <v>0.13911341296409199</v>
      </c>
      <c r="R6110">
        <v>0.99586425321048599</v>
      </c>
      <c r="S6110" t="s">
        <v>12562</v>
      </c>
      <c r="T6110" t="s">
        <v>12902</v>
      </c>
      <c r="U6110" t="s">
        <v>12902</v>
      </c>
      <c r="V6110" t="s">
        <v>12902</v>
      </c>
      <c r="W6110" t="s">
        <v>18959</v>
      </c>
      <c r="X6110">
        <v>2</v>
      </c>
      <c r="Y6110" t="s">
        <v>25240</v>
      </c>
      <c r="Z6110" t="s">
        <v>31685</v>
      </c>
      <c r="AA6110">
        <v>0.3588983624463139</v>
      </c>
      <c r="AB6110" t="str">
        <f>HYPERLINK("Melting_Curves/meltCurve_Q9UKA2_FBXL4.pdf", "Melting_Curves/meltCurve_Q9UKA2_FBXL4.pdf")</f>
        <v>Melting_Curves/meltCurve_Q9UKA2_FBXL4.pdf</v>
      </c>
    </row>
    <row r="6111" spans="1:28" x14ac:dyDescent="0.25">
      <c r="A6111" t="s">
        <v>6115</v>
      </c>
      <c r="B6111">
        <v>0.99673306730245903</v>
      </c>
      <c r="C6111">
        <v>1.03953626482046</v>
      </c>
      <c r="D6111">
        <v>0.840491784125869</v>
      </c>
      <c r="E6111">
        <v>0.84865476430868303</v>
      </c>
      <c r="F6111">
        <v>1.3846262420533599</v>
      </c>
      <c r="G6111">
        <v>0.79288633640656003</v>
      </c>
      <c r="H6111">
        <v>0.43136104223245703</v>
      </c>
      <c r="I6111">
        <v>6.7100396028735299E-2</v>
      </c>
      <c r="J6111">
        <v>5.4066114538221799E-2</v>
      </c>
      <c r="K6111">
        <v>4.2597877350079201E-2</v>
      </c>
      <c r="L6111">
        <v>2187.7543090921899</v>
      </c>
      <c r="M6111">
        <v>36.488427376535803</v>
      </c>
      <c r="N6111">
        <v>60.038527411961603</v>
      </c>
      <c r="O6111">
        <v>59.778246747351197</v>
      </c>
      <c r="P6111">
        <v>-0.14893252429228601</v>
      </c>
      <c r="Q6111">
        <v>2.4030419076182499E-2</v>
      </c>
      <c r="R6111">
        <v>0.89217160087276903</v>
      </c>
      <c r="S6111" t="s">
        <v>12563</v>
      </c>
      <c r="T6111" t="s">
        <v>12902</v>
      </c>
      <c r="U6111" t="s">
        <v>12902</v>
      </c>
      <c r="V6111" t="s">
        <v>12902</v>
      </c>
      <c r="W6111" t="s">
        <v>18960</v>
      </c>
      <c r="X6111">
        <v>3</v>
      </c>
      <c r="Y6111" t="s">
        <v>25241</v>
      </c>
      <c r="Z6111" t="s">
        <v>31686</v>
      </c>
      <c r="AA6111">
        <v>0.677749948641299</v>
      </c>
      <c r="AB6111" t="str">
        <f>HYPERLINK("Melting_Curves/meltCurve_Q9UKA4_AKAP11.pdf", "Melting_Curves/meltCurve_Q9UKA4_AKAP11.pdf")</f>
        <v>Melting_Curves/meltCurve_Q9UKA4_AKAP11.pdf</v>
      </c>
    </row>
    <row r="6112" spans="1:28" x14ac:dyDescent="0.25">
      <c r="A6112" t="s">
        <v>6116</v>
      </c>
      <c r="B6112">
        <v>0.99673306730245903</v>
      </c>
      <c r="C6112">
        <v>0.95723432069348902</v>
      </c>
      <c r="D6112">
        <v>0.88962124502807105</v>
      </c>
      <c r="E6112">
        <v>0.70872690556307605</v>
      </c>
      <c r="F6112">
        <v>0.45596950562363803</v>
      </c>
      <c r="G6112">
        <v>0.29944891184151701</v>
      </c>
      <c r="H6112">
        <v>0.19769998877566</v>
      </c>
      <c r="I6112">
        <v>0.24900391186461901</v>
      </c>
      <c r="J6112">
        <v>0.32091028644369901</v>
      </c>
      <c r="K6112">
        <v>0.37451209065179297</v>
      </c>
      <c r="L6112">
        <v>1136.61658287001</v>
      </c>
      <c r="M6112">
        <v>22.618965983128799</v>
      </c>
      <c r="N6112">
        <v>52.120363791677597</v>
      </c>
      <c r="O6112">
        <v>49.862765639039999</v>
      </c>
      <c r="P6112">
        <v>-8.1893447193813904E-2</v>
      </c>
      <c r="Q6112">
        <v>0.27788880314633502</v>
      </c>
      <c r="R6112">
        <v>0.97266964362547204</v>
      </c>
      <c r="S6112" t="s">
        <v>12564</v>
      </c>
      <c r="T6112" t="s">
        <v>12902</v>
      </c>
      <c r="U6112" t="s">
        <v>12902</v>
      </c>
      <c r="V6112" t="s">
        <v>12902</v>
      </c>
      <c r="W6112" t="s">
        <v>18961</v>
      </c>
      <c r="X6112">
        <v>5</v>
      </c>
      <c r="Y6112" t="s">
        <v>25242</v>
      </c>
      <c r="Z6112" t="s">
        <v>31687</v>
      </c>
      <c r="AA6112">
        <v>0.53252062431454472</v>
      </c>
      <c r="AB6112" t="str">
        <f>HYPERLINK("Melting_Curves/meltCurve_Q9UKB3_DNAJC12.pdf", "Melting_Curves/meltCurve_Q9UKB3_DNAJC12.pdf")</f>
        <v>Melting_Curves/meltCurve_Q9UKB3_DNAJC12.pdf</v>
      </c>
    </row>
    <row r="6113" spans="1:28" x14ac:dyDescent="0.25">
      <c r="A6113" t="s">
        <v>6117</v>
      </c>
      <c r="B6113">
        <v>0.99673306730245903</v>
      </c>
      <c r="C6113">
        <v>1.0443436630013401</v>
      </c>
      <c r="D6113">
        <v>1.0632651346003299</v>
      </c>
      <c r="E6113">
        <v>0.92027793527977597</v>
      </c>
      <c r="F6113">
        <v>0.87951654442170102</v>
      </c>
      <c r="G6113">
        <v>0.793270685254436</v>
      </c>
      <c r="H6113">
        <v>0.37881602644803702</v>
      </c>
      <c r="I6113">
        <v>0.17258614836568301</v>
      </c>
      <c r="J6113">
        <v>0.14347645583635299</v>
      </c>
      <c r="K6113">
        <v>0.10665931073887699</v>
      </c>
      <c r="L6113">
        <v>1456.2591864923099</v>
      </c>
      <c r="M6113">
        <v>24.645894944749799</v>
      </c>
      <c r="N6113">
        <v>59.510525999080897</v>
      </c>
      <c r="O6113">
        <v>58.702400425572598</v>
      </c>
      <c r="P6113">
        <v>-9.6524844583260702E-2</v>
      </c>
      <c r="Q6113">
        <v>8.0388846752559098E-2</v>
      </c>
      <c r="R6113">
        <v>0.98736153812139504</v>
      </c>
      <c r="S6113" t="s">
        <v>12565</v>
      </c>
      <c r="T6113" t="s">
        <v>12902</v>
      </c>
      <c r="U6113" t="s">
        <v>12902</v>
      </c>
      <c r="V6113" t="s">
        <v>12902</v>
      </c>
      <c r="W6113" t="s">
        <v>18962</v>
      </c>
      <c r="X6113">
        <v>1</v>
      </c>
      <c r="Y6113" t="s">
        <v>25243</v>
      </c>
      <c r="Z6113" t="s">
        <v>31688</v>
      </c>
      <c r="AA6113">
        <v>0.67309241005118148</v>
      </c>
      <c r="AB6113" t="str">
        <f>HYPERLINK("Melting_Curves/meltCurve_Q9UKB5_AJAP1.pdf", "Melting_Curves/meltCurve_Q9UKB5_AJAP1.pdf")</f>
        <v>Melting_Curves/meltCurve_Q9UKB5_AJAP1.pdf</v>
      </c>
    </row>
    <row r="6114" spans="1:28" x14ac:dyDescent="0.25">
      <c r="A6114" t="s">
        <v>6118</v>
      </c>
      <c r="B6114">
        <v>0.99673306730245903</v>
      </c>
      <c r="C6114">
        <v>0.83235047328141898</v>
      </c>
      <c r="D6114">
        <v>0.58900108059801404</v>
      </c>
      <c r="E6114">
        <v>0.24509315576252799</v>
      </c>
      <c r="F6114">
        <v>0.195442014125046</v>
      </c>
      <c r="G6114">
        <v>0.124656678242476</v>
      </c>
      <c r="H6114">
        <v>8.6743493018568596E-2</v>
      </c>
      <c r="I6114">
        <v>8.4864604798129795E-2</v>
      </c>
      <c r="J6114">
        <v>9.7318005859250906E-2</v>
      </c>
      <c r="K6114">
        <v>9.0234151977263005E-2</v>
      </c>
      <c r="L6114">
        <v>953.55174086859904</v>
      </c>
      <c r="M6114">
        <v>20.6092658596964</v>
      </c>
      <c r="N6114">
        <v>46.743957471774401</v>
      </c>
      <c r="O6114">
        <v>45.8390937703265</v>
      </c>
      <c r="P6114">
        <v>-0.101767048250474</v>
      </c>
      <c r="Q6114">
        <v>9.4625739043410206E-2</v>
      </c>
      <c r="R6114">
        <v>0.99546383012837603</v>
      </c>
      <c r="S6114" t="s">
        <v>12566</v>
      </c>
      <c r="T6114" t="s">
        <v>12902</v>
      </c>
      <c r="U6114" t="s">
        <v>12902</v>
      </c>
      <c r="V6114" t="s">
        <v>12902</v>
      </c>
      <c r="W6114" t="s">
        <v>18963</v>
      </c>
      <c r="X6114">
        <v>8</v>
      </c>
      <c r="Y6114" t="s">
        <v>25244</v>
      </c>
      <c r="Z6114" t="s">
        <v>31689</v>
      </c>
      <c r="AA6114">
        <v>0.2966353879757101</v>
      </c>
      <c r="AB6114" t="str">
        <f>HYPERLINK("Melting_Curves/meltCurve_Q9UKD2_MRTO4.pdf", "Melting_Curves/meltCurve_Q9UKD2_MRTO4.pdf")</f>
        <v>Melting_Curves/meltCurve_Q9UKD2_MRTO4.pdf</v>
      </c>
    </row>
    <row r="6115" spans="1:28" x14ac:dyDescent="0.25">
      <c r="A6115" t="s">
        <v>6119</v>
      </c>
      <c r="B6115">
        <v>0.99673306730245903</v>
      </c>
      <c r="C6115">
        <v>0.97698960396752199</v>
      </c>
      <c r="D6115">
        <v>0.85337817905094004</v>
      </c>
      <c r="E6115">
        <v>0.65689038790124599</v>
      </c>
      <c r="F6115">
        <v>0.28708405639826101</v>
      </c>
      <c r="G6115">
        <v>0.172381428162454</v>
      </c>
      <c r="H6115">
        <v>0.102194405088365</v>
      </c>
      <c r="I6115">
        <v>7.9046112147517E-2</v>
      </c>
      <c r="J6115">
        <v>6.6116672267876805E-2</v>
      </c>
      <c r="K6115">
        <v>5.5577857756621801E-2</v>
      </c>
      <c r="L6115">
        <v>992.924663118784</v>
      </c>
      <c r="M6115">
        <v>19.621983190180099</v>
      </c>
      <c r="N6115">
        <v>50.934817072892599</v>
      </c>
      <c r="O6115">
        <v>50.085879309050597</v>
      </c>
      <c r="P6115">
        <v>-9.2063099630692799E-2</v>
      </c>
      <c r="Q6115">
        <v>6.0054345972177403E-2</v>
      </c>
      <c r="R6115">
        <v>0.99746005627450696</v>
      </c>
      <c r="S6115" t="s">
        <v>12567</v>
      </c>
      <c r="T6115" t="s">
        <v>12902</v>
      </c>
      <c r="U6115" t="s">
        <v>12902</v>
      </c>
      <c r="V6115" t="s">
        <v>12902</v>
      </c>
      <c r="W6115" t="s">
        <v>18964</v>
      </c>
      <c r="X6115">
        <v>10</v>
      </c>
      <c r="Y6115" t="s">
        <v>25245</v>
      </c>
      <c r="Z6115" t="s">
        <v>31690</v>
      </c>
      <c r="AA6115">
        <v>0.40579452085659712</v>
      </c>
      <c r="AB6115" t="str">
        <f>HYPERLINK("Melting_Curves/meltCurve_Q9UKF6_CPSF3.pdf", "Melting_Curves/meltCurve_Q9UKF6_CPSF3.pdf")</f>
        <v>Melting_Curves/meltCurve_Q9UKF6_CPSF3.pdf</v>
      </c>
    </row>
    <row r="6116" spans="1:28" x14ac:dyDescent="0.25">
      <c r="A6116" t="s">
        <v>6120</v>
      </c>
      <c r="B6116">
        <v>0.99673306730245903</v>
      </c>
      <c r="C6116">
        <v>0.97270060225788002</v>
      </c>
      <c r="D6116">
        <v>0.93956537213921298</v>
      </c>
      <c r="E6116">
        <v>0.55114958016358795</v>
      </c>
      <c r="F6116">
        <v>0.214145670601431</v>
      </c>
      <c r="G6116">
        <v>0.14472460891934999</v>
      </c>
      <c r="H6116">
        <v>9.0617723444711695E-2</v>
      </c>
      <c r="I6116">
        <v>7.7063953798609905E-2</v>
      </c>
      <c r="J6116">
        <v>8.2639248945024404E-2</v>
      </c>
      <c r="K6116">
        <v>7.9628091595771597E-2</v>
      </c>
      <c r="L6116">
        <v>1409.7403011525601</v>
      </c>
      <c r="M6116">
        <v>28.3425753347118</v>
      </c>
      <c r="N6116">
        <v>50.0798536134999</v>
      </c>
      <c r="O6116">
        <v>49.493677326468998</v>
      </c>
      <c r="P6116">
        <v>-0.13061647409122501</v>
      </c>
      <c r="Q6116">
        <v>8.7642991311945598E-2</v>
      </c>
      <c r="R6116">
        <v>0.99856969915645899</v>
      </c>
      <c r="S6116" t="s">
        <v>12568</v>
      </c>
      <c r="T6116" t="s">
        <v>12902</v>
      </c>
      <c r="U6116" t="s">
        <v>12902</v>
      </c>
      <c r="V6116" t="s">
        <v>12902</v>
      </c>
      <c r="W6116" t="s">
        <v>18965</v>
      </c>
      <c r="X6116">
        <v>25</v>
      </c>
      <c r="Y6116" t="s">
        <v>25246</v>
      </c>
      <c r="Z6116" t="s">
        <v>31691</v>
      </c>
      <c r="AA6116">
        <v>0.39014071618232488</v>
      </c>
      <c r="AB6116" t="str">
        <f>HYPERLINK("Melting_Curves/meltCurve_Q9UKG1_APPL1.pdf", "Melting_Curves/meltCurve_Q9UKG1_APPL1.pdf")</f>
        <v>Melting_Curves/meltCurve_Q9UKG1_APPL1.pdf</v>
      </c>
    </row>
    <row r="6117" spans="1:28" x14ac:dyDescent="0.25">
      <c r="A6117" t="s">
        <v>6121</v>
      </c>
      <c r="B6117">
        <v>0.99673306730245903</v>
      </c>
      <c r="C6117">
        <v>0.883899130624759</v>
      </c>
      <c r="D6117">
        <v>0.88013667628443304</v>
      </c>
      <c r="E6117">
        <v>0.73433215254285</v>
      </c>
      <c r="F6117">
        <v>0.36800582798703302</v>
      </c>
      <c r="G6117">
        <v>0.214575322567928</v>
      </c>
      <c r="H6117">
        <v>0.17960131310880001</v>
      </c>
      <c r="I6117">
        <v>0.16799941715036701</v>
      </c>
      <c r="J6117">
        <v>0.21545708529484001</v>
      </c>
      <c r="K6117">
        <v>0.21732998288622701</v>
      </c>
      <c r="L6117">
        <v>1160.8347580418499</v>
      </c>
      <c r="M6117">
        <v>22.921929325434402</v>
      </c>
      <c r="N6117">
        <v>51.656035945454903</v>
      </c>
      <c r="O6117">
        <v>50.262252784955699</v>
      </c>
      <c r="P6117">
        <v>-9.3372987858219902E-2</v>
      </c>
      <c r="Q6117">
        <v>0.181037929050474</v>
      </c>
      <c r="R6117">
        <v>0.982034610033378</v>
      </c>
      <c r="S6117" t="s">
        <v>12569</v>
      </c>
      <c r="T6117" t="s">
        <v>12902</v>
      </c>
      <c r="U6117" t="s">
        <v>12902</v>
      </c>
      <c r="V6117" t="s">
        <v>12902</v>
      </c>
      <c r="W6117" t="s">
        <v>18966</v>
      </c>
      <c r="X6117">
        <v>6</v>
      </c>
      <c r="Y6117" t="s">
        <v>25247</v>
      </c>
      <c r="Z6117" t="s">
        <v>31692</v>
      </c>
      <c r="AA6117">
        <v>0.48032224798948431</v>
      </c>
      <c r="AB6117" t="str">
        <f>HYPERLINK("Melting_Curves/meltCurve_Q9UKI8_5_TLK1.pdf", "Melting_Curves/meltCurve_Q9UKI8_5_TLK1.pdf")</f>
        <v>Melting_Curves/meltCurve_Q9UKI8_5_TLK1.pdf</v>
      </c>
    </row>
    <row r="6118" spans="1:28" x14ac:dyDescent="0.25">
      <c r="A6118" t="s">
        <v>6122</v>
      </c>
      <c r="B6118">
        <v>0.99673306730245903</v>
      </c>
      <c r="C6118">
        <v>0.85264627302750995</v>
      </c>
      <c r="D6118">
        <v>0.76291158029666795</v>
      </c>
      <c r="E6118">
        <v>0.62551099825084</v>
      </c>
      <c r="F6118">
        <v>0.56798473293229501</v>
      </c>
      <c r="G6118">
        <v>0.37965179291030798</v>
      </c>
      <c r="H6118">
        <v>0.23485176658991799</v>
      </c>
      <c r="I6118">
        <v>0.28109110193454501</v>
      </c>
      <c r="J6118">
        <v>0.40221554052430197</v>
      </c>
      <c r="K6118">
        <v>0.480068555032586</v>
      </c>
      <c r="L6118">
        <v>652.87422235234203</v>
      </c>
      <c r="M6118">
        <v>13.523284908025801</v>
      </c>
      <c r="N6118">
        <v>52.672696549446698</v>
      </c>
      <c r="O6118">
        <v>47.258783419484097</v>
      </c>
      <c r="P6118">
        <v>-4.7350030986972803E-2</v>
      </c>
      <c r="Q6118">
        <v>0.33821824545904</v>
      </c>
      <c r="R6118">
        <v>0.89792452401640899</v>
      </c>
      <c r="S6118" t="s">
        <v>12570</v>
      </c>
      <c r="T6118" t="s">
        <v>12902</v>
      </c>
      <c r="U6118" t="s">
        <v>12902</v>
      </c>
      <c r="V6118" t="s">
        <v>12902</v>
      </c>
      <c r="W6118" t="s">
        <v>18967</v>
      </c>
      <c r="X6118">
        <v>11</v>
      </c>
      <c r="Y6118" t="s">
        <v>25248</v>
      </c>
      <c r="Z6118" t="s">
        <v>31693</v>
      </c>
      <c r="AA6118">
        <v>0.54131893340507209</v>
      </c>
      <c r="AB6118" t="str">
        <f>HYPERLINK("Melting_Curves/meltCurve_Q9UKJ3_GPATCH8.pdf", "Melting_Curves/meltCurve_Q9UKJ3_GPATCH8.pdf")</f>
        <v>Melting_Curves/meltCurve_Q9UKJ3_GPATCH8.pdf</v>
      </c>
    </row>
    <row r="6119" spans="1:28" x14ac:dyDescent="0.25">
      <c r="A6119" t="s">
        <v>6123</v>
      </c>
      <c r="B6119">
        <v>0.99673306730245903</v>
      </c>
      <c r="C6119">
        <v>0.98981920275919899</v>
      </c>
      <c r="D6119">
        <v>1.0355945922987</v>
      </c>
      <c r="E6119">
        <v>1.0405361274037701</v>
      </c>
      <c r="F6119">
        <v>0.93147037137777999</v>
      </c>
      <c r="G6119">
        <v>0.88510305614354201</v>
      </c>
      <c r="H6119">
        <v>0.79284369683863898</v>
      </c>
      <c r="I6119">
        <v>0.97894954413152202</v>
      </c>
      <c r="J6119">
        <v>1.3610400593246099</v>
      </c>
      <c r="K6119">
        <v>1.45241535575125</v>
      </c>
      <c r="L6119">
        <v>15000</v>
      </c>
      <c r="M6119">
        <v>224.92062759055599</v>
      </c>
      <c r="O6119">
        <v>66.684925102697903</v>
      </c>
      <c r="P6119">
        <v>0.38150102576605099</v>
      </c>
      <c r="Q6119">
        <v>1.45243276679925</v>
      </c>
      <c r="R6119">
        <v>0.82982528334488903</v>
      </c>
      <c r="S6119" t="s">
        <v>12571</v>
      </c>
      <c r="T6119" t="s">
        <v>12902</v>
      </c>
      <c r="U6119" t="s">
        <v>12902</v>
      </c>
      <c r="V6119" t="s">
        <v>12902</v>
      </c>
      <c r="W6119" t="s">
        <v>18968</v>
      </c>
      <c r="X6119">
        <v>14</v>
      </c>
      <c r="Y6119" t="s">
        <v>25249</v>
      </c>
      <c r="Z6119" t="s">
        <v>31694</v>
      </c>
      <c r="AA6119">
        <v>1.0498502051099241</v>
      </c>
      <c r="AB6119" t="str">
        <f>HYPERLINK("Melting_Curves/meltCurve_Q9UKK9_NUDT5.pdf", "Melting_Curves/meltCurve_Q9UKK9_NUDT5.pdf")</f>
        <v>Melting_Curves/meltCurve_Q9UKK9_NUDT5.pdf</v>
      </c>
    </row>
    <row r="6120" spans="1:28" x14ac:dyDescent="0.25">
      <c r="A6120" t="s">
        <v>6124</v>
      </c>
      <c r="B6120">
        <v>0.99673306730245903</v>
      </c>
      <c r="C6120">
        <v>0.79767960998901599</v>
      </c>
      <c r="D6120">
        <v>0.755661736165677</v>
      </c>
      <c r="E6120">
        <v>0.62410881830731901</v>
      </c>
      <c r="F6120">
        <v>0.45805185118636299</v>
      </c>
      <c r="G6120">
        <v>0.26768814501243898</v>
      </c>
      <c r="H6120">
        <v>0.17334469470396099</v>
      </c>
      <c r="I6120">
        <v>0.21269140547350601</v>
      </c>
      <c r="J6120">
        <v>0.42853196512106201</v>
      </c>
      <c r="K6120">
        <v>0.34175034175504498</v>
      </c>
      <c r="L6120">
        <v>671.42317544185801</v>
      </c>
      <c r="M6120">
        <v>13.9337670344595</v>
      </c>
      <c r="N6120">
        <v>50.964623646038</v>
      </c>
      <c r="O6120">
        <v>47.226772141561597</v>
      </c>
      <c r="P6120">
        <v>-5.4143918432435399E-2</v>
      </c>
      <c r="Q6120">
        <v>0.266042366800815</v>
      </c>
      <c r="R6120">
        <v>0.89823212319231105</v>
      </c>
      <c r="S6120" t="s">
        <v>12572</v>
      </c>
      <c r="T6120" t="s">
        <v>12902</v>
      </c>
      <c r="U6120" t="s">
        <v>12902</v>
      </c>
      <c r="V6120" t="s">
        <v>12902</v>
      </c>
      <c r="W6120" t="s">
        <v>18969</v>
      </c>
      <c r="X6120">
        <v>1</v>
      </c>
      <c r="Y6120" t="s">
        <v>25250</v>
      </c>
      <c r="Z6120" t="s">
        <v>31695</v>
      </c>
      <c r="AA6120">
        <v>0.48792603352242148</v>
      </c>
      <c r="AB6120" t="str">
        <f>HYPERLINK("Melting_Curves/meltCurve_Q9UKL3_CASP8AP2.pdf", "Melting_Curves/meltCurve_Q9UKL3_CASP8AP2.pdf")</f>
        <v>Melting_Curves/meltCurve_Q9UKL3_CASP8AP2.pdf</v>
      </c>
    </row>
    <row r="6121" spans="1:28" x14ac:dyDescent="0.25">
      <c r="A6121" t="s">
        <v>6125</v>
      </c>
      <c r="B6121">
        <v>0.99673306730245903</v>
      </c>
      <c r="C6121">
        <v>1.01616514865255</v>
      </c>
      <c r="D6121">
        <v>0.90948474152383096</v>
      </c>
      <c r="E6121">
        <v>0.93577480576058103</v>
      </c>
      <c r="F6121">
        <v>0.46258048832990101</v>
      </c>
      <c r="G6121">
        <v>0.226580320459146</v>
      </c>
      <c r="H6121">
        <v>0.117268672832891</v>
      </c>
      <c r="I6121">
        <v>0.11567174105526799</v>
      </c>
      <c r="J6121">
        <v>0.173443582928342</v>
      </c>
      <c r="K6121">
        <v>0.15343003829374899</v>
      </c>
      <c r="L6121">
        <v>1932.6596471950299</v>
      </c>
      <c r="M6121">
        <v>36.785494063555902</v>
      </c>
      <c r="N6121">
        <v>53.028497454999503</v>
      </c>
      <c r="O6121">
        <v>52.384092403980901</v>
      </c>
      <c r="P6121">
        <v>-0.15026824543102299</v>
      </c>
      <c r="Q6121">
        <v>0.14404926744597599</v>
      </c>
      <c r="R6121">
        <v>0.99166753125351403</v>
      </c>
      <c r="S6121" t="s">
        <v>12573</v>
      </c>
      <c r="T6121" t="s">
        <v>12902</v>
      </c>
      <c r="U6121" t="s">
        <v>12902</v>
      </c>
      <c r="V6121" t="s">
        <v>12902</v>
      </c>
      <c r="W6121" t="s">
        <v>18970</v>
      </c>
      <c r="X6121">
        <v>4</v>
      </c>
      <c r="Y6121" t="s">
        <v>25251</v>
      </c>
      <c r="Z6121" t="s">
        <v>31696</v>
      </c>
      <c r="AA6121">
        <v>0.50547241231695395</v>
      </c>
      <c r="AB6121" t="str">
        <f>HYPERLINK("Melting_Curves/meltCurve_Q9UKL6_PCTP.pdf", "Melting_Curves/meltCurve_Q9UKL6_PCTP.pdf")</f>
        <v>Melting_Curves/meltCurve_Q9UKL6_PCTP.pdf</v>
      </c>
    </row>
    <row r="6122" spans="1:28" x14ac:dyDescent="0.25">
      <c r="A6122" t="s">
        <v>6126</v>
      </c>
      <c r="B6122">
        <v>0.99673306730245903</v>
      </c>
      <c r="C6122">
        <v>0.90496952955142995</v>
      </c>
      <c r="D6122">
        <v>0.84034474140802495</v>
      </c>
      <c r="E6122">
        <v>0.58381118714645897</v>
      </c>
      <c r="F6122">
        <v>0.22805965380434001</v>
      </c>
      <c r="G6122">
        <v>0.12598617278500299</v>
      </c>
      <c r="H6122">
        <v>8.2977211479011603E-2</v>
      </c>
      <c r="I6122">
        <v>8.8361590687959901E-2</v>
      </c>
      <c r="J6122">
        <v>0.10532848019520399</v>
      </c>
      <c r="K6122">
        <v>9.7025847967316295E-2</v>
      </c>
      <c r="L6122">
        <v>1046.49831813174</v>
      </c>
      <c r="M6122">
        <v>21.081295492711</v>
      </c>
      <c r="N6122">
        <v>50.052206597680801</v>
      </c>
      <c r="O6122">
        <v>49.200879326771897</v>
      </c>
      <c r="P6122">
        <v>-9.86053724395166E-2</v>
      </c>
      <c r="Q6122">
        <v>7.9498202654863404E-2</v>
      </c>
      <c r="R6122">
        <v>0.99400793695295497</v>
      </c>
      <c r="S6122" t="s">
        <v>12574</v>
      </c>
      <c r="T6122" t="s">
        <v>12902</v>
      </c>
      <c r="U6122" t="s">
        <v>12902</v>
      </c>
      <c r="V6122" t="s">
        <v>12902</v>
      </c>
      <c r="W6122" t="s">
        <v>18971</v>
      </c>
      <c r="X6122">
        <v>4</v>
      </c>
      <c r="Y6122" t="s">
        <v>25252</v>
      </c>
      <c r="Z6122" t="s">
        <v>31697</v>
      </c>
      <c r="AA6122">
        <v>0.38687872007486118</v>
      </c>
      <c r="AB6122" t="str">
        <f>HYPERLINK("Melting_Curves/meltCurve_Q9UKM7_MAN1B1.pdf", "Melting_Curves/meltCurve_Q9UKM7_MAN1B1.pdf")</f>
        <v>Melting_Curves/meltCurve_Q9UKM7_MAN1B1.pdf</v>
      </c>
    </row>
    <row r="6123" spans="1:28" x14ac:dyDescent="0.25">
      <c r="A6123" t="s">
        <v>6127</v>
      </c>
      <c r="B6123">
        <v>0.99673306730245903</v>
      </c>
      <c r="C6123">
        <v>0.95215706773137299</v>
      </c>
      <c r="D6123">
        <v>0.90171249102900997</v>
      </c>
      <c r="E6123">
        <v>1.08031018868771</v>
      </c>
      <c r="F6123">
        <v>0.32431139559708999</v>
      </c>
      <c r="G6123">
        <v>0.17053625366659</v>
      </c>
      <c r="H6123">
        <v>8.3641828182863004E-2</v>
      </c>
      <c r="I6123">
        <v>5.9062952100603E-2</v>
      </c>
      <c r="J6123">
        <v>5.7411493419410299E-2</v>
      </c>
      <c r="K6123">
        <v>5.60502451813122E-2</v>
      </c>
      <c r="L6123">
        <v>12441.514481190499</v>
      </c>
      <c r="M6123">
        <v>234.90244369615101</v>
      </c>
      <c r="N6123">
        <v>53.006852639788001</v>
      </c>
      <c r="O6123">
        <v>52.9607497532038</v>
      </c>
      <c r="P6123">
        <v>-1.01422135736288</v>
      </c>
      <c r="Q6123">
        <v>8.5340514538523399E-2</v>
      </c>
      <c r="R6123">
        <v>0.98477773545095804</v>
      </c>
      <c r="S6123" t="s">
        <v>12575</v>
      </c>
      <c r="T6123" t="s">
        <v>12902</v>
      </c>
      <c r="U6123" t="s">
        <v>12902</v>
      </c>
      <c r="V6123" t="s">
        <v>12902</v>
      </c>
      <c r="W6123" t="s">
        <v>18972</v>
      </c>
      <c r="X6123">
        <v>6</v>
      </c>
      <c r="Y6123" t="s">
        <v>25253</v>
      </c>
      <c r="Z6123" t="s">
        <v>31698</v>
      </c>
      <c r="AA6123">
        <v>0.48071002865492007</v>
      </c>
      <c r="AB6123" t="str">
        <f>HYPERLINK("Melting_Curves/meltCurve_Q9UKN8_GTF3C4.pdf", "Melting_Curves/meltCurve_Q9UKN8_GTF3C4.pdf")</f>
        <v>Melting_Curves/meltCurve_Q9UKN8_GTF3C4.pdf</v>
      </c>
    </row>
    <row r="6124" spans="1:28" x14ac:dyDescent="0.25">
      <c r="A6124" t="s">
        <v>6128</v>
      </c>
      <c r="B6124">
        <v>0.99673306730245903</v>
      </c>
      <c r="C6124">
        <v>1.04129156924614</v>
      </c>
      <c r="D6124">
        <v>0.92423434101699597</v>
      </c>
      <c r="E6124">
        <v>0.725124237507067</v>
      </c>
      <c r="F6124">
        <v>0.51279874547961701</v>
      </c>
      <c r="G6124">
        <v>0.33224583553591303</v>
      </c>
      <c r="H6124">
        <v>0.20779385389306301</v>
      </c>
      <c r="I6124">
        <v>0.32252174025130997</v>
      </c>
      <c r="J6124">
        <v>0.26712294567846001</v>
      </c>
      <c r="K6124">
        <v>0.27779045237486999</v>
      </c>
      <c r="L6124">
        <v>1084.3733242225701</v>
      </c>
      <c r="M6124">
        <v>21.233096677777901</v>
      </c>
      <c r="N6124">
        <v>52.912346636112098</v>
      </c>
      <c r="O6124">
        <v>50.623436423329998</v>
      </c>
      <c r="P6124">
        <v>-7.7462492975149802E-2</v>
      </c>
      <c r="Q6124">
        <v>0.26128211087751602</v>
      </c>
      <c r="R6124">
        <v>0.98661670179993799</v>
      </c>
      <c r="S6124" t="s">
        <v>12576</v>
      </c>
      <c r="T6124" t="s">
        <v>12902</v>
      </c>
      <c r="U6124" t="s">
        <v>12902</v>
      </c>
      <c r="V6124" t="s">
        <v>12902</v>
      </c>
      <c r="W6124" t="s">
        <v>18973</v>
      </c>
      <c r="X6124">
        <v>1</v>
      </c>
      <c r="Y6124" t="s">
        <v>25254</v>
      </c>
      <c r="Z6124" t="s">
        <v>31699</v>
      </c>
      <c r="AA6124">
        <v>0.54302827488870031</v>
      </c>
      <c r="AB6124" t="str">
        <f>HYPERLINK("Melting_Curves/meltCurve_Q9UKQ2_2_ADAM28.pdf", "Melting_Curves/meltCurve_Q9UKQ2_2_ADAM28.pdf")</f>
        <v>Melting_Curves/meltCurve_Q9UKQ2_2_ADAM28.pdf</v>
      </c>
    </row>
    <row r="6125" spans="1:28" x14ac:dyDescent="0.25">
      <c r="A6125" t="s">
        <v>6129</v>
      </c>
      <c r="B6125">
        <v>0.99673306730245903</v>
      </c>
      <c r="C6125">
        <v>1.04374482551599</v>
      </c>
      <c r="D6125">
        <v>0.93904896977956498</v>
      </c>
      <c r="E6125">
        <v>0.91485594914809598</v>
      </c>
      <c r="F6125">
        <v>0.706684170726532</v>
      </c>
      <c r="G6125">
        <v>0.67844771501173995</v>
      </c>
      <c r="H6125">
        <v>0.59182962459411903</v>
      </c>
      <c r="I6125">
        <v>1.01236599617138</v>
      </c>
      <c r="J6125">
        <v>1.03246432527043</v>
      </c>
      <c r="K6125">
        <v>0.97186496542095102</v>
      </c>
      <c r="L6125">
        <v>1777.44537812473</v>
      </c>
      <c r="M6125">
        <v>37.2351811664075</v>
      </c>
      <c r="O6125">
        <v>47.598603641592597</v>
      </c>
      <c r="P6125">
        <v>-3.1801391588640898E-2</v>
      </c>
      <c r="Q6125">
        <v>0.83739066347065105</v>
      </c>
      <c r="R6125">
        <v>0.209365161706807</v>
      </c>
      <c r="S6125" t="s">
        <v>12577</v>
      </c>
      <c r="T6125" t="s">
        <v>12902</v>
      </c>
      <c r="U6125" t="s">
        <v>12902</v>
      </c>
      <c r="V6125" t="s">
        <v>12902</v>
      </c>
      <c r="W6125" t="s">
        <v>18974</v>
      </c>
      <c r="X6125">
        <v>2</v>
      </c>
      <c r="Y6125" t="s">
        <v>25255</v>
      </c>
      <c r="Z6125" t="s">
        <v>31700</v>
      </c>
      <c r="AA6125">
        <v>0.87994385277339171</v>
      </c>
      <c r="AB6125" t="str">
        <f>HYPERLINK("Melting_Curves/meltCurve_Q9UKR5_C14orf1.pdf", "Melting_Curves/meltCurve_Q9UKR5_C14orf1.pdf")</f>
        <v>Melting_Curves/meltCurve_Q9UKR5_C14orf1.pdf</v>
      </c>
    </row>
    <row r="6126" spans="1:28" x14ac:dyDescent="0.25">
      <c r="A6126" t="s">
        <v>6130</v>
      </c>
      <c r="B6126">
        <v>0.99673306730245903</v>
      </c>
      <c r="C6126">
        <v>0.91846073882036094</v>
      </c>
      <c r="D6126">
        <v>0.80022845276179599</v>
      </c>
      <c r="E6126">
        <v>0.49755367215109603</v>
      </c>
      <c r="F6126">
        <v>0.281291456137155</v>
      </c>
      <c r="G6126">
        <v>0.20436948696424301</v>
      </c>
      <c r="H6126">
        <v>0.15463594667700101</v>
      </c>
      <c r="I6126">
        <v>0.14487264124365301</v>
      </c>
      <c r="J6126">
        <v>0.15253871993753801</v>
      </c>
      <c r="K6126">
        <v>0.13525039217299401</v>
      </c>
      <c r="L6126">
        <v>915.65781597070497</v>
      </c>
      <c r="M6126">
        <v>18.782500052160099</v>
      </c>
      <c r="N6126">
        <v>49.607002801156</v>
      </c>
      <c r="O6126">
        <v>48.208048456131202</v>
      </c>
      <c r="P6126">
        <v>-8.3919408662457201E-2</v>
      </c>
      <c r="Q6126">
        <v>0.13846989315244099</v>
      </c>
      <c r="R6126">
        <v>0.99915911077036601</v>
      </c>
      <c r="S6126" t="s">
        <v>12578</v>
      </c>
      <c r="T6126" t="s">
        <v>12902</v>
      </c>
      <c r="U6126" t="s">
        <v>12902</v>
      </c>
      <c r="V6126" t="s">
        <v>12902</v>
      </c>
      <c r="W6126" t="s">
        <v>18975</v>
      </c>
      <c r="X6126">
        <v>8</v>
      </c>
      <c r="Y6126" t="s">
        <v>25256</v>
      </c>
      <c r="Z6126" t="s">
        <v>31701</v>
      </c>
      <c r="AA6126">
        <v>0.40352401476087668</v>
      </c>
      <c r="AB6126" t="str">
        <f>HYPERLINK("Melting_Curves/meltCurve_Q9UKS6_PACSIN3.pdf", "Melting_Curves/meltCurve_Q9UKS6_PACSIN3.pdf")</f>
        <v>Melting_Curves/meltCurve_Q9UKS6_PACSIN3.pdf</v>
      </c>
    </row>
    <row r="6127" spans="1:28" x14ac:dyDescent="0.25">
      <c r="A6127" t="s">
        <v>6131</v>
      </c>
      <c r="B6127">
        <v>0.99673306730245903</v>
      </c>
      <c r="C6127">
        <v>1.05155207805759</v>
      </c>
      <c r="D6127">
        <v>0.89779941253606599</v>
      </c>
      <c r="E6127">
        <v>0.76089633120799505</v>
      </c>
      <c r="F6127">
        <v>0.30251448083618798</v>
      </c>
      <c r="G6127">
        <v>0.13518968982202301</v>
      </c>
      <c r="H6127">
        <v>6.3075235860041698E-2</v>
      </c>
      <c r="I6127">
        <v>5.1942041199897197E-2</v>
      </c>
      <c r="J6127">
        <v>3.78027057647599E-2</v>
      </c>
      <c r="K6127">
        <v>3.4632814128741099E-2</v>
      </c>
      <c r="L6127">
        <v>1331.2511629779401</v>
      </c>
      <c r="M6127">
        <v>25.889011890876802</v>
      </c>
      <c r="N6127">
        <v>51.594589860400099</v>
      </c>
      <c r="O6127">
        <v>51.117609967678</v>
      </c>
      <c r="P6127">
        <v>-0.121349339919996</v>
      </c>
      <c r="Q6127">
        <v>4.1598727379401998E-2</v>
      </c>
      <c r="R6127">
        <v>0.99507741314056597</v>
      </c>
      <c r="S6127" t="s">
        <v>12579</v>
      </c>
      <c r="T6127" t="s">
        <v>12902</v>
      </c>
      <c r="U6127" t="s">
        <v>12902</v>
      </c>
      <c r="V6127" t="s">
        <v>12902</v>
      </c>
      <c r="W6127" t="s">
        <v>18976</v>
      </c>
      <c r="X6127">
        <v>1</v>
      </c>
      <c r="Y6127" t="s">
        <v>25257</v>
      </c>
      <c r="Z6127" t="s">
        <v>31702</v>
      </c>
      <c r="AA6127">
        <v>0.41460037435334829</v>
      </c>
      <c r="AB6127" t="str">
        <f>HYPERLINK("Melting_Curves/meltCurve_Q9UKT5_FBXO4.pdf", "Melting_Curves/meltCurve_Q9UKT5_FBXO4.pdf")</f>
        <v>Melting_Curves/meltCurve_Q9UKT5_FBXO4.pdf</v>
      </c>
    </row>
    <row r="6128" spans="1:28" x14ac:dyDescent="0.25">
      <c r="A6128" t="s">
        <v>6132</v>
      </c>
      <c r="B6128">
        <v>0.99673306730245903</v>
      </c>
      <c r="C6128">
        <v>0.97465924744707699</v>
      </c>
      <c r="D6128">
        <v>1.01441531717879</v>
      </c>
      <c r="E6128">
        <v>1.0894334557080601</v>
      </c>
      <c r="F6128">
        <v>0.98942207048225805</v>
      </c>
      <c r="G6128">
        <v>0.68100978528198297</v>
      </c>
      <c r="H6128">
        <v>0.17406924774344701</v>
      </c>
      <c r="I6128">
        <v>0.11693950165599799</v>
      </c>
      <c r="J6128">
        <v>0.106712145153289</v>
      </c>
      <c r="K6128">
        <v>9.8260744472866299E-2</v>
      </c>
      <c r="L6128">
        <v>2711.3527286695999</v>
      </c>
      <c r="M6128">
        <v>47.134131487783499</v>
      </c>
      <c r="N6128">
        <v>57.814047403136499</v>
      </c>
      <c r="O6128">
        <v>57.420928326071397</v>
      </c>
      <c r="P6128">
        <v>-0.183618225754516</v>
      </c>
      <c r="Q6128">
        <v>0.105232892246518</v>
      </c>
      <c r="R6128">
        <v>0.99486177292940503</v>
      </c>
      <c r="S6128" t="s">
        <v>12580</v>
      </c>
      <c r="T6128" t="s">
        <v>12902</v>
      </c>
      <c r="U6128" t="s">
        <v>12902</v>
      </c>
      <c r="V6128" t="s">
        <v>12902</v>
      </c>
      <c r="W6128" t="s">
        <v>18977</v>
      </c>
      <c r="X6128">
        <v>24</v>
      </c>
      <c r="Y6128" t="s">
        <v>25258</v>
      </c>
      <c r="Z6128" t="s">
        <v>31703</v>
      </c>
      <c r="AA6128">
        <v>0.63044574631001005</v>
      </c>
      <c r="AB6128" t="str">
        <f>HYPERLINK("Melting_Curves/meltCurve_Q9UKU7_ACAD8.pdf", "Melting_Curves/meltCurve_Q9UKU7_ACAD8.pdf")</f>
        <v>Melting_Curves/meltCurve_Q9UKU7_ACAD8.pdf</v>
      </c>
    </row>
    <row r="6129" spans="1:28" x14ac:dyDescent="0.25">
      <c r="A6129" t="s">
        <v>6133</v>
      </c>
      <c r="B6129">
        <v>0.99673306730245903</v>
      </c>
      <c r="C6129">
        <v>0.92208138639928205</v>
      </c>
      <c r="D6129">
        <v>0.94656310746502903</v>
      </c>
      <c r="E6129">
        <v>0.90169412948921701</v>
      </c>
      <c r="F6129">
        <v>0.71653107390335602</v>
      </c>
      <c r="G6129">
        <v>0.61222252070420902</v>
      </c>
      <c r="H6129">
        <v>0.51323201238529903</v>
      </c>
      <c r="I6129">
        <v>0.520136839135105</v>
      </c>
      <c r="J6129">
        <v>0.35250360563306299</v>
      </c>
      <c r="K6129">
        <v>0.19651992279686301</v>
      </c>
      <c r="L6129">
        <v>469.93315843312598</v>
      </c>
      <c r="M6129">
        <v>7.6693839706537803</v>
      </c>
      <c r="N6129">
        <v>61.2739116658665</v>
      </c>
      <c r="O6129">
        <v>57.525134630574101</v>
      </c>
      <c r="P6129">
        <v>-3.3374691120100199E-2</v>
      </c>
      <c r="Q6129">
        <v>0</v>
      </c>
      <c r="R6129">
        <v>0.96405098319792903</v>
      </c>
      <c r="S6129" t="s">
        <v>12581</v>
      </c>
      <c r="T6129" t="s">
        <v>12902</v>
      </c>
      <c r="U6129" t="s">
        <v>12902</v>
      </c>
      <c r="V6129" t="s">
        <v>12902</v>
      </c>
      <c r="W6129" t="s">
        <v>18978</v>
      </c>
      <c r="X6129">
        <v>26</v>
      </c>
      <c r="Y6129" t="s">
        <v>25259</v>
      </c>
      <c r="Z6129" t="s">
        <v>31704</v>
      </c>
      <c r="AA6129">
        <v>0.67754976355176855</v>
      </c>
      <c r="AB6129" t="str">
        <f>HYPERLINK("Melting_Curves/meltCurve_Q9UKV8_AGO2.pdf", "Melting_Curves/meltCurve_Q9UKV8_AGO2.pdf")</f>
        <v>Melting_Curves/meltCurve_Q9UKV8_AGO2.pdf</v>
      </c>
    </row>
    <row r="6130" spans="1:28" x14ac:dyDescent="0.25">
      <c r="A6130" t="s">
        <v>6134</v>
      </c>
      <c r="B6130">
        <v>0.99673306730245903</v>
      </c>
      <c r="C6130">
        <v>0.95099742270691401</v>
      </c>
      <c r="D6130">
        <v>1.11000175951609</v>
      </c>
      <c r="E6130">
        <v>1.3231318908854299</v>
      </c>
      <c r="F6130">
        <v>0.77393052557103603</v>
      </c>
      <c r="G6130">
        <v>0.561915675425816</v>
      </c>
      <c r="H6130">
        <v>0.25917074163071202</v>
      </c>
      <c r="I6130">
        <v>0.284793153323881</v>
      </c>
      <c r="J6130">
        <v>0.37305647440797102</v>
      </c>
      <c r="K6130">
        <v>0.41963736279592201</v>
      </c>
      <c r="L6130">
        <v>2068.7991562678699</v>
      </c>
      <c r="M6130">
        <v>37.580037401326599</v>
      </c>
      <c r="N6130">
        <v>56.756480207610402</v>
      </c>
      <c r="O6130">
        <v>54.895291929203204</v>
      </c>
      <c r="P6130">
        <v>-0.113226388517822</v>
      </c>
      <c r="Q6130">
        <v>0.33841692906139098</v>
      </c>
      <c r="R6130">
        <v>0.87700574627016303</v>
      </c>
      <c r="S6130" t="s">
        <v>12582</v>
      </c>
      <c r="T6130" t="s">
        <v>12902</v>
      </c>
      <c r="U6130" t="s">
        <v>12902</v>
      </c>
      <c r="V6130" t="s">
        <v>12902</v>
      </c>
      <c r="W6130" t="s">
        <v>18979</v>
      </c>
      <c r="X6130">
        <v>10</v>
      </c>
      <c r="Y6130" t="s">
        <v>25260</v>
      </c>
      <c r="Z6130" t="s">
        <v>31705</v>
      </c>
      <c r="AA6130">
        <v>0.67315973462356737</v>
      </c>
      <c r="AB6130" t="str">
        <f>HYPERLINK("Melting_Curves/meltCurve_Q9UKX7_2_NUP50.pdf", "Melting_Curves/meltCurve_Q9UKX7_2_NUP50.pdf")</f>
        <v>Melting_Curves/meltCurve_Q9UKX7_2_NUP50.pdf</v>
      </c>
    </row>
    <row r="6131" spans="1:28" x14ac:dyDescent="0.25">
      <c r="A6131" t="s">
        <v>6135</v>
      </c>
      <c r="B6131">
        <v>0.99673306730245903</v>
      </c>
      <c r="C6131">
        <v>1.02628806819721</v>
      </c>
      <c r="D6131">
        <v>1.0194365601006801</v>
      </c>
      <c r="E6131">
        <v>1.05457082812262</v>
      </c>
      <c r="F6131">
        <v>0.99330729202457602</v>
      </c>
      <c r="G6131">
        <v>0.98314260014298305</v>
      </c>
      <c r="H6131">
        <v>0.80854027244189497</v>
      </c>
      <c r="I6131">
        <v>1.2714388286471801</v>
      </c>
      <c r="J6131">
        <v>1.87261751072198</v>
      </c>
      <c r="K6131">
        <v>1.80980665471118</v>
      </c>
      <c r="L6131">
        <v>15000</v>
      </c>
      <c r="M6131">
        <v>234.54710257057599</v>
      </c>
      <c r="O6131">
        <v>63.948367544779401</v>
      </c>
      <c r="P6131">
        <v>0.45846952615192399</v>
      </c>
      <c r="Q6131">
        <v>1.5</v>
      </c>
      <c r="R6131">
        <v>0.76912807250934301</v>
      </c>
      <c r="S6131" t="s">
        <v>12583</v>
      </c>
      <c r="T6131" t="s">
        <v>12902</v>
      </c>
      <c r="U6131" t="s">
        <v>12902</v>
      </c>
      <c r="V6131" t="s">
        <v>12902</v>
      </c>
      <c r="W6131" t="s">
        <v>18980</v>
      </c>
      <c r="X6131">
        <v>16</v>
      </c>
      <c r="Y6131" t="s">
        <v>25261</v>
      </c>
      <c r="Z6131" t="s">
        <v>31706</v>
      </c>
      <c r="AA6131">
        <v>1.1007189248019571</v>
      </c>
      <c r="AB6131" t="str">
        <f>HYPERLINK("Melting_Curves/meltCurve_Q9UKY7_CDV3.pdf", "Melting_Curves/meltCurve_Q9UKY7_CDV3.pdf")</f>
        <v>Melting_Curves/meltCurve_Q9UKY7_CDV3.pdf</v>
      </c>
    </row>
    <row r="6132" spans="1:28" x14ac:dyDescent="0.25">
      <c r="A6132" t="s">
        <v>6136</v>
      </c>
      <c r="B6132">
        <v>0.99673306730245903</v>
      </c>
      <c r="C6132">
        <v>0.81697117685533205</v>
      </c>
      <c r="D6132">
        <v>0.815667711293103</v>
      </c>
      <c r="E6132">
        <v>0.55685187440598605</v>
      </c>
      <c r="F6132">
        <v>0.100058413172605</v>
      </c>
      <c r="G6132">
        <v>6.3883019017430598E-2</v>
      </c>
      <c r="H6132">
        <v>3.2184898189044998E-2</v>
      </c>
      <c r="I6132">
        <v>3.89336283642992E-2</v>
      </c>
      <c r="J6132">
        <v>4.7290765943116299E-2</v>
      </c>
      <c r="K6132">
        <v>4.00857308812669E-2</v>
      </c>
      <c r="L6132">
        <v>1031.9253335056001</v>
      </c>
      <c r="M6132">
        <v>20.940897805407999</v>
      </c>
      <c r="N6132">
        <v>49.368847048027298</v>
      </c>
      <c r="O6132">
        <v>48.835216853258103</v>
      </c>
      <c r="P6132">
        <v>-0.105178241997816</v>
      </c>
      <c r="Q6132">
        <v>1.8903111822343201E-2</v>
      </c>
      <c r="R6132">
        <v>0.974619094568274</v>
      </c>
      <c r="S6132" t="s">
        <v>12584</v>
      </c>
      <c r="T6132" t="s">
        <v>12902</v>
      </c>
      <c r="U6132" t="s">
        <v>12902</v>
      </c>
      <c r="V6132" t="s">
        <v>12902</v>
      </c>
      <c r="W6132" t="s">
        <v>18981</v>
      </c>
      <c r="X6132">
        <v>1</v>
      </c>
      <c r="Y6132" t="s">
        <v>25262</v>
      </c>
      <c r="Z6132" t="s">
        <v>31707</v>
      </c>
      <c r="AA6132">
        <v>0.33482084713929822</v>
      </c>
      <c r="AB6132" t="str">
        <f>HYPERLINK("Melting_Curves/meltCurve_Q9UKZ1_CNOT11.pdf", "Melting_Curves/meltCurve_Q9UKZ1_CNOT11.pdf")</f>
        <v>Melting_Curves/meltCurve_Q9UKZ1_CNOT11.pdf</v>
      </c>
    </row>
    <row r="6133" spans="1:28" x14ac:dyDescent="0.25">
      <c r="A6133" t="s">
        <v>6137</v>
      </c>
      <c r="B6133">
        <v>0.99673306730245903</v>
      </c>
      <c r="C6133">
        <v>0.97503248472090398</v>
      </c>
      <c r="D6133">
        <v>0.79538347851126501</v>
      </c>
      <c r="E6133">
        <v>0.45185700206430801</v>
      </c>
      <c r="F6133">
        <v>0.28337536699934102</v>
      </c>
      <c r="G6133">
        <v>0.176819009684416</v>
      </c>
      <c r="H6133">
        <v>0.125830327115208</v>
      </c>
      <c r="I6133">
        <v>0.115788754109155</v>
      </c>
      <c r="J6133">
        <v>0.100508136282318</v>
      </c>
      <c r="K6133">
        <v>8.7706351238877905E-2</v>
      </c>
      <c r="L6133">
        <v>952.17467361468903</v>
      </c>
      <c r="M6133">
        <v>19.508692986775898</v>
      </c>
      <c r="N6133">
        <v>49.406726349880401</v>
      </c>
      <c r="O6133">
        <v>48.303570114545302</v>
      </c>
      <c r="P6133">
        <v>-9.0338686275072896E-2</v>
      </c>
      <c r="Q6133">
        <v>0.105317294491569</v>
      </c>
      <c r="R6133">
        <v>0.99698711320556199</v>
      </c>
      <c r="S6133" t="s">
        <v>12585</v>
      </c>
      <c r="T6133" t="s">
        <v>12902</v>
      </c>
      <c r="U6133" t="s">
        <v>12902</v>
      </c>
      <c r="V6133" t="s">
        <v>12902</v>
      </c>
      <c r="W6133" t="s">
        <v>18982</v>
      </c>
      <c r="X6133">
        <v>10</v>
      </c>
      <c r="Y6133" t="s">
        <v>25263</v>
      </c>
      <c r="Z6133" t="s">
        <v>31708</v>
      </c>
      <c r="AA6133">
        <v>0.38120000845794311</v>
      </c>
      <c r="AB6133" t="str">
        <f>HYPERLINK("Melting_Curves/meltCurve_Q9UL15_BAG5.pdf", "Melting_Curves/meltCurve_Q9UL15_BAG5.pdf")</f>
        <v>Melting_Curves/meltCurve_Q9UL15_BAG5.pdf</v>
      </c>
    </row>
    <row r="6134" spans="1:28" x14ac:dyDescent="0.25">
      <c r="A6134" t="s">
        <v>6138</v>
      </c>
      <c r="B6134">
        <v>0.99673306730245903</v>
      </c>
      <c r="C6134">
        <v>0.92475379310862005</v>
      </c>
      <c r="D6134">
        <v>0.97498842971391297</v>
      </c>
      <c r="E6134">
        <v>0.88993285619477103</v>
      </c>
      <c r="F6134">
        <v>0.76281505217017198</v>
      </c>
      <c r="G6134">
        <v>0.66427246953558805</v>
      </c>
      <c r="H6134">
        <v>0.521047006220139</v>
      </c>
      <c r="I6134">
        <v>0.54650673641093295</v>
      </c>
      <c r="J6134">
        <v>0.488049393913631</v>
      </c>
      <c r="K6134">
        <v>0.28722026499184999</v>
      </c>
      <c r="L6134">
        <v>420.72748933962299</v>
      </c>
      <c r="M6134">
        <v>6.6157077757981302</v>
      </c>
      <c r="N6134">
        <v>63.595234751226002</v>
      </c>
      <c r="O6134">
        <v>58.5375044119696</v>
      </c>
      <c r="P6134">
        <v>-2.8318508924424699E-2</v>
      </c>
      <c r="Q6134">
        <v>0</v>
      </c>
      <c r="R6134">
        <v>0.959120251653936</v>
      </c>
      <c r="S6134" t="s">
        <v>12586</v>
      </c>
      <c r="T6134" t="s">
        <v>12902</v>
      </c>
      <c r="U6134" t="s">
        <v>12902</v>
      </c>
      <c r="V6134" t="s">
        <v>12902</v>
      </c>
      <c r="W6134" t="s">
        <v>18983</v>
      </c>
      <c r="X6134">
        <v>18</v>
      </c>
      <c r="Y6134" t="s">
        <v>25264</v>
      </c>
      <c r="Z6134" t="s">
        <v>31709</v>
      </c>
      <c r="AA6134">
        <v>0.71159118651020181</v>
      </c>
      <c r="AB6134" t="str">
        <f>HYPERLINK("Melting_Curves/meltCurve_Q9UL18_AGO1.pdf", "Melting_Curves/meltCurve_Q9UL18_AGO1.pdf")</f>
        <v>Melting_Curves/meltCurve_Q9UL18_AGO1.pdf</v>
      </c>
    </row>
    <row r="6135" spans="1:28" x14ac:dyDescent="0.25">
      <c r="A6135" t="s">
        <v>6139</v>
      </c>
      <c r="B6135">
        <v>0.99673306730245903</v>
      </c>
      <c r="C6135">
        <v>0.99396031033318299</v>
      </c>
      <c r="D6135">
        <v>0.94639671916419599</v>
      </c>
      <c r="E6135">
        <v>0.85547825250057397</v>
      </c>
      <c r="F6135">
        <v>0.779244412113829</v>
      </c>
      <c r="G6135">
        <v>0.66640624274268001</v>
      </c>
      <c r="H6135">
        <v>0.47055386284930201</v>
      </c>
      <c r="I6135">
        <v>0.41852208419878201</v>
      </c>
      <c r="J6135">
        <v>0.15588282849122601</v>
      </c>
      <c r="K6135">
        <v>0.107444806107823</v>
      </c>
      <c r="L6135">
        <v>665.69302146789198</v>
      </c>
      <c r="M6135">
        <v>11.1286023856584</v>
      </c>
      <c r="N6135">
        <v>59.818205251606102</v>
      </c>
      <c r="O6135">
        <v>57.984127222309702</v>
      </c>
      <c r="P6135">
        <v>-4.7996717188727799E-2</v>
      </c>
      <c r="Q6135">
        <v>0</v>
      </c>
      <c r="R6135">
        <v>0.97835165100339405</v>
      </c>
      <c r="S6135" t="s">
        <v>12587</v>
      </c>
      <c r="T6135" t="s">
        <v>12902</v>
      </c>
      <c r="U6135" t="s">
        <v>12902</v>
      </c>
      <c r="V6135" t="s">
        <v>12902</v>
      </c>
      <c r="W6135" t="s">
        <v>18984</v>
      </c>
      <c r="X6135">
        <v>14</v>
      </c>
      <c r="Y6135" t="s">
        <v>25265</v>
      </c>
      <c r="Z6135" t="s">
        <v>31710</v>
      </c>
      <c r="AA6135">
        <v>0.66184995351827025</v>
      </c>
      <c r="AB6135" t="str">
        <f>HYPERLINK("Melting_Curves/meltCurve_Q9UL25_RAB21.pdf", "Melting_Curves/meltCurve_Q9UL25_RAB21.pdf")</f>
        <v>Melting_Curves/meltCurve_Q9UL25_RAB21.pdf</v>
      </c>
    </row>
    <row r="6136" spans="1:28" x14ac:dyDescent="0.25">
      <c r="A6136" t="s">
        <v>6140</v>
      </c>
      <c r="B6136">
        <v>0.99673306730245903</v>
      </c>
      <c r="C6136">
        <v>1.0283963123900799</v>
      </c>
      <c r="D6136">
        <v>0.970778235163403</v>
      </c>
      <c r="E6136">
        <v>0.89257302262866001</v>
      </c>
      <c r="F6136">
        <v>0.73786291333045295</v>
      </c>
      <c r="G6136">
        <v>0.51294593415760903</v>
      </c>
      <c r="H6136">
        <v>0.282322932001073</v>
      </c>
      <c r="I6136">
        <v>0.274915513933425</v>
      </c>
      <c r="J6136">
        <v>0.28997347279173202</v>
      </c>
      <c r="K6136">
        <v>0.28317191784670798</v>
      </c>
      <c r="L6136">
        <v>1144.40978892507</v>
      </c>
      <c r="M6136">
        <v>20.9492353564337</v>
      </c>
      <c r="N6136">
        <v>56.552827551532602</v>
      </c>
      <c r="O6136">
        <v>54.137308967824303</v>
      </c>
      <c r="P6136">
        <v>-7.2079721458127993E-2</v>
      </c>
      <c r="Q6136">
        <v>0.25494260707680799</v>
      </c>
      <c r="R6136">
        <v>0.99343195910973803</v>
      </c>
      <c r="S6136" t="s">
        <v>12588</v>
      </c>
      <c r="T6136" t="s">
        <v>12902</v>
      </c>
      <c r="U6136" t="s">
        <v>12902</v>
      </c>
      <c r="V6136" t="s">
        <v>12902</v>
      </c>
      <c r="W6136" t="s">
        <v>18985</v>
      </c>
      <c r="X6136">
        <v>8</v>
      </c>
      <c r="Y6136" t="s">
        <v>25266</v>
      </c>
      <c r="Z6136" t="s">
        <v>31711</v>
      </c>
      <c r="AA6136">
        <v>0.62753258675316814</v>
      </c>
      <c r="AB6136" t="str">
        <f>HYPERLINK("Melting_Curves/meltCurve_Q9UL26_RAB22A.pdf", "Melting_Curves/meltCurve_Q9UL26_RAB22A.pdf")</f>
        <v>Melting_Curves/meltCurve_Q9UL26_RAB22A.pdf</v>
      </c>
    </row>
    <row r="6137" spans="1:28" x14ac:dyDescent="0.25">
      <c r="A6137" t="s">
        <v>6141</v>
      </c>
      <c r="B6137">
        <v>0.99673306730245903</v>
      </c>
      <c r="C6137">
        <v>1.0789231918620199</v>
      </c>
      <c r="D6137">
        <v>0.78380393766026601</v>
      </c>
      <c r="E6137">
        <v>0.25127439819049302</v>
      </c>
      <c r="F6137">
        <v>7.9428557109475995E-2</v>
      </c>
      <c r="G6137">
        <v>4.68150146981752E-2</v>
      </c>
      <c r="H6137">
        <v>3.3920612436476198E-2</v>
      </c>
      <c r="I6137">
        <v>3.0109923182986401E-2</v>
      </c>
      <c r="J6137">
        <v>1.5704552585321201E-2</v>
      </c>
      <c r="K6137">
        <v>1.1929538978364299E-2</v>
      </c>
      <c r="L6137">
        <v>1649.85497421228</v>
      </c>
      <c r="M6137">
        <v>34.5050132811716</v>
      </c>
      <c r="N6137">
        <v>47.902983265600596</v>
      </c>
      <c r="O6137">
        <v>47.6551883740755</v>
      </c>
      <c r="P6137">
        <v>-0.17545323373736499</v>
      </c>
      <c r="Q6137">
        <v>3.07234053447402E-2</v>
      </c>
      <c r="R6137">
        <v>0.99370845986297796</v>
      </c>
      <c r="S6137" t="s">
        <v>12589</v>
      </c>
      <c r="T6137" t="s">
        <v>12902</v>
      </c>
      <c r="U6137" t="s">
        <v>12902</v>
      </c>
      <c r="V6137" t="s">
        <v>12902</v>
      </c>
      <c r="W6137" t="s">
        <v>18986</v>
      </c>
      <c r="X6137">
        <v>1</v>
      </c>
      <c r="Y6137" t="s">
        <v>25267</v>
      </c>
      <c r="Z6137" t="s">
        <v>31712</v>
      </c>
      <c r="AA6137">
        <v>0.2875709879476181</v>
      </c>
      <c r="AB6137" t="str">
        <f>HYPERLINK("Melting_Curves/meltCurve_Q9UL42_PNMA2.pdf", "Melting_Curves/meltCurve_Q9UL42_PNMA2.pdf")</f>
        <v>Melting_Curves/meltCurve_Q9UL42_PNMA2.pdf</v>
      </c>
    </row>
    <row r="6138" spans="1:28" x14ac:dyDescent="0.25">
      <c r="A6138" t="s">
        <v>6142</v>
      </c>
      <c r="B6138">
        <v>0.99673306730245903</v>
      </c>
      <c r="C6138">
        <v>0.957931336773856</v>
      </c>
      <c r="D6138">
        <v>1.0940736459512499</v>
      </c>
      <c r="E6138">
        <v>1.14125425525806</v>
      </c>
      <c r="F6138">
        <v>0.78781723842546503</v>
      </c>
      <c r="G6138">
        <v>0.25771624577622698</v>
      </c>
      <c r="H6138">
        <v>0.14628655999704501</v>
      </c>
      <c r="I6138">
        <v>0.123306805145531</v>
      </c>
      <c r="J6138">
        <v>0.12637792868338699</v>
      </c>
      <c r="K6138">
        <v>0.104350231559384</v>
      </c>
      <c r="L6138">
        <v>2564.4985375719898</v>
      </c>
      <c r="M6138">
        <v>46.966788925743799</v>
      </c>
      <c r="N6138">
        <v>54.938044359025398</v>
      </c>
      <c r="O6138">
        <v>54.503682051498203</v>
      </c>
      <c r="P6138">
        <v>-0.18855940716001199</v>
      </c>
      <c r="Q6138">
        <v>0.124728920447503</v>
      </c>
      <c r="R6138">
        <v>0.98193798367407703</v>
      </c>
      <c r="S6138" t="s">
        <v>12590</v>
      </c>
      <c r="T6138" t="s">
        <v>12902</v>
      </c>
      <c r="U6138" t="s">
        <v>12902</v>
      </c>
      <c r="V6138" t="s">
        <v>12902</v>
      </c>
      <c r="W6138" t="s">
        <v>18987</v>
      </c>
      <c r="X6138">
        <v>15</v>
      </c>
      <c r="Y6138" t="s">
        <v>25268</v>
      </c>
      <c r="Z6138" t="s">
        <v>31713</v>
      </c>
      <c r="AA6138">
        <v>0.55315274960141025</v>
      </c>
      <c r="AB6138" t="str">
        <f>HYPERLINK("Melting_Curves/meltCurve_Q9UL46_PSME2.pdf", "Melting_Curves/meltCurve_Q9UL46_PSME2.pdf")</f>
        <v>Melting_Curves/meltCurve_Q9UL46_PSME2.pdf</v>
      </c>
    </row>
    <row r="6139" spans="1:28" x14ac:dyDescent="0.25">
      <c r="A6139" t="s">
        <v>6143</v>
      </c>
      <c r="B6139">
        <v>0.99673306730245903</v>
      </c>
      <c r="C6139">
        <v>0.91344452439592105</v>
      </c>
      <c r="D6139">
        <v>0.50436008981355696</v>
      </c>
      <c r="E6139">
        <v>0.35238455306354399</v>
      </c>
      <c r="F6139">
        <v>0.14204792458992699</v>
      </c>
      <c r="G6139">
        <v>8.2653803322180294E-2</v>
      </c>
      <c r="H6139">
        <v>6.4705486325478095E-2</v>
      </c>
      <c r="I6139">
        <v>7.8442970033599402E-2</v>
      </c>
      <c r="J6139">
        <v>7.8960010990511004E-2</v>
      </c>
      <c r="K6139">
        <v>6.9538444839255406E-2</v>
      </c>
      <c r="L6139">
        <v>917.94235900367403</v>
      </c>
      <c r="M6139">
        <v>19.7268649672327</v>
      </c>
      <c r="N6139">
        <v>46.899943098905702</v>
      </c>
      <c r="O6139">
        <v>46.062336820225603</v>
      </c>
      <c r="P6139">
        <v>-9.9405503485112595E-2</v>
      </c>
      <c r="Q6139">
        <v>7.1582346732132998E-2</v>
      </c>
      <c r="R6139">
        <v>0.98547851240003503</v>
      </c>
      <c r="S6139" t="s">
        <v>12591</v>
      </c>
      <c r="T6139" t="s">
        <v>12902</v>
      </c>
      <c r="U6139" t="s">
        <v>12902</v>
      </c>
      <c r="V6139" t="s">
        <v>12902</v>
      </c>
      <c r="W6139" t="s">
        <v>18988</v>
      </c>
      <c r="X6139">
        <v>5</v>
      </c>
      <c r="Y6139" t="s">
        <v>25269</v>
      </c>
      <c r="Z6139" t="s">
        <v>31714</v>
      </c>
      <c r="AA6139">
        <v>0.28807421436100938</v>
      </c>
      <c r="AB6139" t="str">
        <f>HYPERLINK("Melting_Curves/meltCurve_Q9UL54_2_TAOK2.pdf", "Melting_Curves/meltCurve_Q9UL54_2_TAOK2.pdf")</f>
        <v>Melting_Curves/meltCurve_Q9UL54_2_TAOK2.pdf</v>
      </c>
    </row>
    <row r="6140" spans="1:28" x14ac:dyDescent="0.25">
      <c r="A6140" t="s">
        <v>6144</v>
      </c>
      <c r="B6140">
        <v>0.99673306730245903</v>
      </c>
      <c r="C6140">
        <v>0.89616162995886495</v>
      </c>
      <c r="D6140">
        <v>1.01176038609406</v>
      </c>
      <c r="E6140">
        <v>0.95046466253929696</v>
      </c>
      <c r="F6140">
        <v>0.927667490474406</v>
      </c>
      <c r="G6140">
        <v>0.39659709676928601</v>
      </c>
      <c r="H6140">
        <v>0.23251096638190399</v>
      </c>
      <c r="I6140">
        <v>0.23818300112698601</v>
      </c>
      <c r="J6140">
        <v>0.33759164055655499</v>
      </c>
      <c r="K6140">
        <v>0.31068279473564397</v>
      </c>
      <c r="L6140">
        <v>3255.0855898572599</v>
      </c>
      <c r="M6140">
        <v>58.977022407371997</v>
      </c>
      <c r="N6140">
        <v>55.969484492933198</v>
      </c>
      <c r="O6140">
        <v>55.129086596561898</v>
      </c>
      <c r="P6140">
        <v>-0.192692127887232</v>
      </c>
      <c r="Q6140">
        <v>0.27952032289311901</v>
      </c>
      <c r="R6140">
        <v>0.98003091865641401</v>
      </c>
      <c r="S6140" t="s">
        <v>12592</v>
      </c>
      <c r="T6140" t="s">
        <v>12902</v>
      </c>
      <c r="U6140" t="s">
        <v>12902</v>
      </c>
      <c r="V6140" t="s">
        <v>12902</v>
      </c>
      <c r="W6140" t="s">
        <v>18989</v>
      </c>
      <c r="X6140">
        <v>1</v>
      </c>
      <c r="Y6140" t="s">
        <v>25270</v>
      </c>
      <c r="Z6140" t="s">
        <v>31715</v>
      </c>
      <c r="AA6140">
        <v>0.64564030395618066</v>
      </c>
      <c r="AB6140" t="str">
        <f>HYPERLINK("Melting_Curves/meltCurve_Q9UL63_MKLN1.pdf", "Melting_Curves/meltCurve_Q9UL63_MKLN1.pdf")</f>
        <v>Melting_Curves/meltCurve_Q9UL63_MKLN1.pdf</v>
      </c>
    </row>
    <row r="6141" spans="1:28" x14ac:dyDescent="0.25">
      <c r="A6141" t="s">
        <v>6145</v>
      </c>
      <c r="B6141">
        <v>0.99673306730245903</v>
      </c>
      <c r="C6141">
        <v>0.94464268161721199</v>
      </c>
      <c r="D6141">
        <v>0.65877116364544297</v>
      </c>
      <c r="E6141">
        <v>0.97313208559878706</v>
      </c>
      <c r="F6141">
        <v>0.58508943244717904</v>
      </c>
      <c r="G6141">
        <v>0.20400957141036</v>
      </c>
      <c r="H6141">
        <v>3.3796426364840197E-2</v>
      </c>
      <c r="I6141">
        <v>2.3173199749482499E-2</v>
      </c>
      <c r="J6141">
        <v>2.91876156549589E-2</v>
      </c>
      <c r="K6141">
        <v>2.6502435538187399E-2</v>
      </c>
      <c r="L6141">
        <v>1438.4853616287501</v>
      </c>
      <c r="M6141">
        <v>26.7121347995188</v>
      </c>
      <c r="N6141">
        <v>53.898170185705403</v>
      </c>
      <c r="O6141">
        <v>53.552263450344498</v>
      </c>
      <c r="P6141">
        <v>-0.123273866648876</v>
      </c>
      <c r="Q6141">
        <v>1.14561092201175E-2</v>
      </c>
      <c r="R6141">
        <v>0.92886619160100603</v>
      </c>
      <c r="S6141" t="s">
        <v>12593</v>
      </c>
      <c r="T6141" t="s">
        <v>12902</v>
      </c>
      <c r="U6141" t="s">
        <v>12902</v>
      </c>
      <c r="V6141" t="s">
        <v>12902</v>
      </c>
      <c r="W6141" t="s">
        <v>18990</v>
      </c>
      <c r="X6141">
        <v>3</v>
      </c>
      <c r="Y6141" t="s">
        <v>25271</v>
      </c>
      <c r="Z6141" t="s">
        <v>31716</v>
      </c>
      <c r="AA6141">
        <v>0.47596669510406198</v>
      </c>
      <c r="AB6141" t="str">
        <f>HYPERLINK("Melting_Curves/meltCurve_Q9ULC3_RAB23.pdf", "Melting_Curves/meltCurve_Q9ULC3_RAB23.pdf")</f>
        <v>Melting_Curves/meltCurve_Q9ULC3_RAB23.pdf</v>
      </c>
    </row>
    <row r="6142" spans="1:28" x14ac:dyDescent="0.25">
      <c r="A6142" t="s">
        <v>6146</v>
      </c>
      <c r="B6142">
        <v>0.99673306730245903</v>
      </c>
      <c r="C6142">
        <v>0.99753926914056001</v>
      </c>
      <c r="D6142">
        <v>0.99583698661020803</v>
      </c>
      <c r="E6142">
        <v>0.975425149358636</v>
      </c>
      <c r="F6142">
        <v>0.91119641715864097</v>
      </c>
      <c r="G6142">
        <v>0.81308419397432996</v>
      </c>
      <c r="H6142">
        <v>0.347011253579598</v>
      </c>
      <c r="I6142">
        <v>0.102088336927756</v>
      </c>
      <c r="J6142">
        <v>8.6088241289451098E-2</v>
      </c>
      <c r="K6142">
        <v>8.4842741073848801E-2</v>
      </c>
      <c r="L6142">
        <v>1878.8336666866601</v>
      </c>
      <c r="M6142">
        <v>31.76793808423</v>
      </c>
      <c r="N6142">
        <v>59.378005180132398</v>
      </c>
      <c r="O6142">
        <v>58.909573563206003</v>
      </c>
      <c r="P6142">
        <v>-0.126835570337686</v>
      </c>
      <c r="Q6142">
        <v>5.9203583855249903E-2</v>
      </c>
      <c r="R6142">
        <v>0.99604212573931195</v>
      </c>
      <c r="S6142" t="s">
        <v>12594</v>
      </c>
      <c r="T6142" t="s">
        <v>12902</v>
      </c>
      <c r="U6142" t="s">
        <v>12902</v>
      </c>
      <c r="V6142" t="s">
        <v>12902</v>
      </c>
      <c r="W6142" t="s">
        <v>18991</v>
      </c>
      <c r="X6142">
        <v>10</v>
      </c>
      <c r="Y6142" t="s">
        <v>25272</v>
      </c>
      <c r="Z6142" t="s">
        <v>31717</v>
      </c>
      <c r="AA6142">
        <v>0.66499977785734721</v>
      </c>
      <c r="AB6142" t="str">
        <f>HYPERLINK("Melting_Curves/meltCurve_Q9ULC4_MCTS1.pdf", "Melting_Curves/meltCurve_Q9ULC4_MCTS1.pdf")</f>
        <v>Melting_Curves/meltCurve_Q9ULC4_MCTS1.pdf</v>
      </c>
    </row>
    <row r="6143" spans="1:28" x14ac:dyDescent="0.25">
      <c r="A6143" t="s">
        <v>6147</v>
      </c>
      <c r="B6143">
        <v>0.99673306730245903</v>
      </c>
      <c r="C6143">
        <v>0.85526624898214099</v>
      </c>
      <c r="D6143">
        <v>0.70875257222465204</v>
      </c>
      <c r="E6143">
        <v>0.47091362466208703</v>
      </c>
      <c r="F6143">
        <v>0.152155634462768</v>
      </c>
      <c r="G6143">
        <v>8.8944730885498605E-2</v>
      </c>
      <c r="H6143">
        <v>5.1746375940497101E-2</v>
      </c>
      <c r="I6143">
        <v>4.3990886513527998E-2</v>
      </c>
      <c r="J6143">
        <v>4.7868066095603103E-2</v>
      </c>
      <c r="K6143">
        <v>3.7441322684366299E-2</v>
      </c>
      <c r="L6143">
        <v>808.25991756984399</v>
      </c>
      <c r="M6143">
        <v>16.684291332956601</v>
      </c>
      <c r="N6143">
        <v>48.5813939356036</v>
      </c>
      <c r="O6143">
        <v>47.764484157294</v>
      </c>
      <c r="P6143">
        <v>-8.5324487570158702E-2</v>
      </c>
      <c r="Q6143">
        <v>2.29833998500759E-2</v>
      </c>
      <c r="R6143">
        <v>0.99354132977403398</v>
      </c>
      <c r="S6143" t="s">
        <v>12595</v>
      </c>
      <c r="T6143" t="s">
        <v>12902</v>
      </c>
      <c r="U6143" t="s">
        <v>12902</v>
      </c>
      <c r="V6143" t="s">
        <v>12902</v>
      </c>
      <c r="W6143" t="s">
        <v>18992</v>
      </c>
      <c r="X6143">
        <v>33</v>
      </c>
      <c r="Y6143" t="s">
        <v>25273</v>
      </c>
      <c r="Z6143" t="s">
        <v>31718</v>
      </c>
      <c r="AA6143">
        <v>0.31797000566674932</v>
      </c>
      <c r="AB6143" t="str">
        <f>HYPERLINK("Melting_Curves/meltCurve_Q9ULC5_ACSL5.pdf", "Melting_Curves/meltCurve_Q9ULC5_ACSL5.pdf")</f>
        <v>Melting_Curves/meltCurve_Q9ULC5_ACSL5.pdf</v>
      </c>
    </row>
    <row r="6144" spans="1:28" x14ac:dyDescent="0.25">
      <c r="A6144" t="s">
        <v>6148</v>
      </c>
      <c r="B6144">
        <v>0.99673306730245903</v>
      </c>
      <c r="C6144">
        <v>0.94528765892661304</v>
      </c>
      <c r="D6144">
        <v>0.84862793444860596</v>
      </c>
      <c r="E6144">
        <v>0.75200360170557601</v>
      </c>
      <c r="F6144">
        <v>0.56716813688051204</v>
      </c>
      <c r="G6144">
        <v>0.46064830559988901</v>
      </c>
      <c r="H6144">
        <v>0.30691754888971601</v>
      </c>
      <c r="I6144">
        <v>0.41963076129667798</v>
      </c>
      <c r="J6144">
        <v>0.618882442939232</v>
      </c>
      <c r="K6144">
        <v>0.83102666474653997</v>
      </c>
      <c r="L6144">
        <v>1098.5773719040101</v>
      </c>
      <c r="M6144">
        <v>22.7695152775023</v>
      </c>
      <c r="O6144">
        <v>47.880200991610998</v>
      </c>
      <c r="P6144">
        <v>-5.6159542048380598E-2</v>
      </c>
      <c r="Q6144">
        <v>0.52763549994807102</v>
      </c>
      <c r="R6144">
        <v>0.648923350373243</v>
      </c>
      <c r="S6144" t="s">
        <v>12596</v>
      </c>
      <c r="T6144" t="s">
        <v>12902</v>
      </c>
      <c r="U6144" t="s">
        <v>12902</v>
      </c>
      <c r="V6144" t="s">
        <v>12902</v>
      </c>
      <c r="W6144" t="s">
        <v>18993</v>
      </c>
      <c r="X6144">
        <v>8</v>
      </c>
      <c r="Y6144" t="s">
        <v>25274</v>
      </c>
      <c r="Z6144" t="s">
        <v>31719</v>
      </c>
      <c r="AA6144">
        <v>0.66258382246886571</v>
      </c>
      <c r="AB6144" t="str">
        <f>HYPERLINK("Melting_Curves/meltCurve_Q9ULD9_ZNF608.pdf", "Melting_Curves/meltCurve_Q9ULD9_ZNF608.pdf")</f>
        <v>Melting_Curves/meltCurve_Q9ULD9_ZNF608.pdf</v>
      </c>
    </row>
    <row r="6145" spans="1:28" x14ac:dyDescent="0.25">
      <c r="A6145" t="s">
        <v>6149</v>
      </c>
      <c r="B6145">
        <v>0.99673306730245903</v>
      </c>
      <c r="C6145">
        <v>0.91577027477846296</v>
      </c>
      <c r="D6145">
        <v>0.89411219540999998</v>
      </c>
      <c r="E6145">
        <v>0.82261741965671298</v>
      </c>
      <c r="F6145">
        <v>0.49551245683023099</v>
      </c>
      <c r="G6145">
        <v>0.203746682018769</v>
      </c>
      <c r="H6145">
        <v>9.3153147961268307E-2</v>
      </c>
      <c r="I6145">
        <v>7.5539346370461405E-2</v>
      </c>
      <c r="J6145">
        <v>7.6038891730909802E-2</v>
      </c>
      <c r="K6145">
        <v>6.7056910191540406E-2</v>
      </c>
      <c r="L6145">
        <v>1089.9925337156401</v>
      </c>
      <c r="M6145">
        <v>20.671427604320002</v>
      </c>
      <c r="N6145">
        <v>53.005567040775901</v>
      </c>
      <c r="O6145">
        <v>52.243398069241202</v>
      </c>
      <c r="P6145">
        <v>-9.38719894813866E-2</v>
      </c>
      <c r="Q6145">
        <v>5.1047371661861698E-2</v>
      </c>
      <c r="R6145">
        <v>0.99217494982465204</v>
      </c>
      <c r="S6145" t="s">
        <v>12597</v>
      </c>
      <c r="T6145" t="s">
        <v>12902</v>
      </c>
      <c r="U6145" t="s">
        <v>12902</v>
      </c>
      <c r="V6145" t="s">
        <v>12902</v>
      </c>
      <c r="W6145" t="s">
        <v>18994</v>
      </c>
      <c r="X6145">
        <v>38</v>
      </c>
      <c r="Y6145" t="s">
        <v>25275</v>
      </c>
      <c r="Z6145" t="s">
        <v>31720</v>
      </c>
      <c r="AA6145">
        <v>0.46604855822876651</v>
      </c>
      <c r="AB6145" t="str">
        <f>HYPERLINK("Melting_Curves/meltCurve_Q9ULE6_PALD1.pdf", "Melting_Curves/meltCurve_Q9ULE6_PALD1.pdf")</f>
        <v>Melting_Curves/meltCurve_Q9ULE6_PALD1.pdf</v>
      </c>
    </row>
    <row r="6146" spans="1:28" x14ac:dyDescent="0.25">
      <c r="A6146" t="s">
        <v>6150</v>
      </c>
      <c r="B6146">
        <v>0.99673306730245903</v>
      </c>
      <c r="C6146">
        <v>0.95474483667996302</v>
      </c>
      <c r="D6146">
        <v>0.946029700569329</v>
      </c>
      <c r="E6146">
        <v>0.84451453074415295</v>
      </c>
      <c r="F6146">
        <v>0.76816380376076898</v>
      </c>
      <c r="G6146">
        <v>0.68370250389218901</v>
      </c>
      <c r="H6146">
        <v>0.68621089824436898</v>
      </c>
      <c r="I6146">
        <v>0.92288245619119202</v>
      </c>
      <c r="J6146">
        <v>1.34880883489037</v>
      </c>
      <c r="K6146">
        <v>1.38210208652552</v>
      </c>
      <c r="L6146">
        <v>15000</v>
      </c>
      <c r="M6146">
        <v>225.884639341888</v>
      </c>
      <c r="O6146">
        <v>66.400382224805597</v>
      </c>
      <c r="P6146">
        <v>0.32510689995384601</v>
      </c>
      <c r="Q6146">
        <v>1.3822698053287501</v>
      </c>
      <c r="R6146">
        <v>0.46115611507193999</v>
      </c>
      <c r="S6146" t="s">
        <v>12598</v>
      </c>
      <c r="T6146" t="s">
        <v>12902</v>
      </c>
      <c r="U6146" t="s">
        <v>12902</v>
      </c>
      <c r="V6146" t="s">
        <v>12902</v>
      </c>
      <c r="W6146" t="s">
        <v>18995</v>
      </c>
      <c r="X6146">
        <v>5</v>
      </c>
      <c r="Y6146" t="s">
        <v>25276</v>
      </c>
      <c r="Z6146" t="s">
        <v>31721</v>
      </c>
      <c r="AA6146">
        <v>1.0457467677960119</v>
      </c>
      <c r="AB6146" t="str">
        <f>HYPERLINK("Melting_Curves/meltCurve_Q9ULF5_SLC39A10.pdf", "Melting_Curves/meltCurve_Q9ULF5_SLC39A10.pdf")</f>
        <v>Melting_Curves/meltCurve_Q9ULF5_SLC39A10.pdf</v>
      </c>
    </row>
    <row r="6147" spans="1:28" x14ac:dyDescent="0.25">
      <c r="A6147" t="s">
        <v>6151</v>
      </c>
      <c r="B6147">
        <v>0.99673306730245903</v>
      </c>
      <c r="C6147">
        <v>0.92606352789848201</v>
      </c>
      <c r="D6147">
        <v>1.17432373337539</v>
      </c>
      <c r="E6147">
        <v>0.73077263888658295</v>
      </c>
      <c r="F6147">
        <v>0.47212219350906698</v>
      </c>
      <c r="G6147">
        <v>0.29637809592638198</v>
      </c>
      <c r="H6147">
        <v>0.23670555552050301</v>
      </c>
      <c r="I6147">
        <v>0.302892299486827</v>
      </c>
      <c r="J6147">
        <v>0.42327243182580299</v>
      </c>
      <c r="K6147">
        <v>0.35029217948820601</v>
      </c>
      <c r="L6147">
        <v>1910.2520151511801</v>
      </c>
      <c r="M6147">
        <v>37.818255990434899</v>
      </c>
      <c r="N6147">
        <v>51.975618471843703</v>
      </c>
      <c r="O6147">
        <v>50.370773552727798</v>
      </c>
      <c r="P6147">
        <v>-0.12618946558745001</v>
      </c>
      <c r="Q6147">
        <v>0.32770642193671901</v>
      </c>
      <c r="R6147">
        <v>0.93463884416555598</v>
      </c>
      <c r="S6147" t="s">
        <v>12599</v>
      </c>
      <c r="T6147" t="s">
        <v>12902</v>
      </c>
      <c r="U6147" t="s">
        <v>12902</v>
      </c>
      <c r="V6147" t="s">
        <v>12902</v>
      </c>
      <c r="W6147" t="s">
        <v>18996</v>
      </c>
      <c r="X6147">
        <v>4</v>
      </c>
      <c r="Y6147" t="s">
        <v>25277</v>
      </c>
      <c r="Z6147" t="s">
        <v>31722</v>
      </c>
      <c r="AA6147">
        <v>0.56589273110774163</v>
      </c>
      <c r="AB6147" t="str">
        <f>HYPERLINK("Melting_Curves/meltCurve_Q9ULH0_2_KIDINS220.pdf", "Melting_Curves/meltCurve_Q9ULH0_2_KIDINS220.pdf")</f>
        <v>Melting_Curves/meltCurve_Q9ULH0_2_KIDINS220.pdf</v>
      </c>
    </row>
    <row r="6148" spans="1:28" x14ac:dyDescent="0.25">
      <c r="A6148" t="s">
        <v>6152</v>
      </c>
      <c r="B6148">
        <v>0.99673306730245903</v>
      </c>
      <c r="C6148">
        <v>0.901822006591943</v>
      </c>
      <c r="D6148">
        <v>0.71289963803780099</v>
      </c>
      <c r="E6148">
        <v>0.56658076933381596</v>
      </c>
      <c r="F6148">
        <v>0.371611888258085</v>
      </c>
      <c r="G6148">
        <v>0.17751874178237501</v>
      </c>
      <c r="H6148">
        <v>0.128618759993925</v>
      </c>
      <c r="I6148">
        <v>0.12823337145952199</v>
      </c>
      <c r="J6148">
        <v>0.13806027071715801</v>
      </c>
      <c r="K6148">
        <v>0.145710528398003</v>
      </c>
      <c r="L6148">
        <v>689.38561023986995</v>
      </c>
      <c r="M6148">
        <v>13.977720771924499</v>
      </c>
      <c r="N6148">
        <v>50.124640497893203</v>
      </c>
      <c r="O6148">
        <v>48.343723006062397</v>
      </c>
      <c r="P6148">
        <v>-6.5030154727473893E-2</v>
      </c>
      <c r="Q6148">
        <v>0.100459574657002</v>
      </c>
      <c r="R6148">
        <v>0.99080093143764603</v>
      </c>
      <c r="S6148" t="s">
        <v>12600</v>
      </c>
      <c r="T6148" t="s">
        <v>12902</v>
      </c>
      <c r="U6148" t="s">
        <v>12902</v>
      </c>
      <c r="V6148" t="s">
        <v>12902</v>
      </c>
      <c r="W6148" t="s">
        <v>18997</v>
      </c>
      <c r="X6148">
        <v>4</v>
      </c>
      <c r="Y6148" t="s">
        <v>25278</v>
      </c>
      <c r="Z6148" t="s">
        <v>31723</v>
      </c>
      <c r="AA6148">
        <v>0.40487626795513437</v>
      </c>
      <c r="AB6148" t="str">
        <f>HYPERLINK("Melting_Curves/meltCurve_Q9ULH7_4_MKL2.pdf", "Melting_Curves/meltCurve_Q9ULH7_4_MKL2.pdf")</f>
        <v>Melting_Curves/meltCurve_Q9ULH7_4_MKL2.pdf</v>
      </c>
    </row>
    <row r="6149" spans="1:28" x14ac:dyDescent="0.25">
      <c r="A6149" t="s">
        <v>6153</v>
      </c>
      <c r="B6149">
        <v>0.99673306730245903</v>
      </c>
      <c r="C6149">
        <v>0.95514925590408895</v>
      </c>
      <c r="D6149">
        <v>0.990409292122578</v>
      </c>
      <c r="E6149">
        <v>0.81406272928514201</v>
      </c>
      <c r="F6149">
        <v>0.62943422580070996</v>
      </c>
      <c r="G6149">
        <v>0.34241711380475998</v>
      </c>
      <c r="H6149">
        <v>0.19253516465880499</v>
      </c>
      <c r="I6149">
        <v>0.14311239008801099</v>
      </c>
      <c r="J6149">
        <v>0.160556512980674</v>
      </c>
      <c r="K6149">
        <v>0.13343051004626999</v>
      </c>
      <c r="L6149">
        <v>1014.22201719344</v>
      </c>
      <c r="M6149">
        <v>18.879024652400702</v>
      </c>
      <c r="N6149">
        <v>54.501796872712099</v>
      </c>
      <c r="O6149">
        <v>53.130293424010198</v>
      </c>
      <c r="P6149">
        <v>-7.8324868138613807E-2</v>
      </c>
      <c r="Q6149">
        <v>0.11833310533682501</v>
      </c>
      <c r="R6149">
        <v>0.99602501283386402</v>
      </c>
      <c r="S6149" t="s">
        <v>12601</v>
      </c>
      <c r="T6149" t="s">
        <v>12902</v>
      </c>
      <c r="U6149" t="s">
        <v>12902</v>
      </c>
      <c r="V6149" t="s">
        <v>12902</v>
      </c>
      <c r="W6149" t="s">
        <v>18998</v>
      </c>
      <c r="X6149">
        <v>6</v>
      </c>
      <c r="Y6149" t="s">
        <v>25279</v>
      </c>
      <c r="Z6149" t="s">
        <v>31724</v>
      </c>
      <c r="AA6149">
        <v>0.53481225437342694</v>
      </c>
      <c r="AB6149" t="str">
        <f>HYPERLINK("Melting_Curves/meltCurve_Q9ULJ6_ZMIZ1.pdf", "Melting_Curves/meltCurve_Q9ULJ6_ZMIZ1.pdf")</f>
        <v>Melting_Curves/meltCurve_Q9ULJ6_ZMIZ1.pdf</v>
      </c>
    </row>
    <row r="6150" spans="1:28" x14ac:dyDescent="0.25">
      <c r="A6150" t="s">
        <v>6154</v>
      </c>
      <c r="B6150">
        <v>0.99673306730245903</v>
      </c>
      <c r="C6150">
        <v>0.95536538900076795</v>
      </c>
      <c r="D6150">
        <v>1.1542126580077401</v>
      </c>
      <c r="E6150">
        <v>0.76426041615363105</v>
      </c>
      <c r="F6150">
        <v>0.53904340405349205</v>
      </c>
      <c r="G6150">
        <v>0.41512735833595599</v>
      </c>
      <c r="H6150">
        <v>0.32816598360316901</v>
      </c>
      <c r="I6150">
        <v>0.315619169208608</v>
      </c>
      <c r="J6150">
        <v>0.38747131354199299</v>
      </c>
      <c r="K6150">
        <v>0.385774987966362</v>
      </c>
      <c r="L6150">
        <v>1557.1169358794</v>
      </c>
      <c r="M6150">
        <v>30.460649767322099</v>
      </c>
      <c r="N6150">
        <v>53.368083137535102</v>
      </c>
      <c r="O6150">
        <v>50.900162162857796</v>
      </c>
      <c r="P6150">
        <v>-9.55268439297845E-2</v>
      </c>
      <c r="Q6150">
        <v>0.36149727832598999</v>
      </c>
      <c r="R6150">
        <v>0.95319424956941501</v>
      </c>
      <c r="S6150" t="s">
        <v>12602</v>
      </c>
      <c r="T6150" t="s">
        <v>12902</v>
      </c>
      <c r="U6150" t="s">
        <v>12902</v>
      </c>
      <c r="V6150" t="s">
        <v>12902</v>
      </c>
      <c r="W6150" t="s">
        <v>18999</v>
      </c>
      <c r="X6150">
        <v>3</v>
      </c>
      <c r="Y6150" t="s">
        <v>25280</v>
      </c>
      <c r="Z6150" t="s">
        <v>31725</v>
      </c>
      <c r="AA6150">
        <v>0.60204850871937898</v>
      </c>
      <c r="AB6150" t="str">
        <f>HYPERLINK("Melting_Curves/meltCurve_Q9ULJ8_PPP1R9A.pdf", "Melting_Curves/meltCurve_Q9ULJ8_PPP1R9A.pdf")</f>
        <v>Melting_Curves/meltCurve_Q9ULJ8_PPP1R9A.pdf</v>
      </c>
    </row>
    <row r="6151" spans="1:28" x14ac:dyDescent="0.25">
      <c r="A6151" t="s">
        <v>6155</v>
      </c>
      <c r="B6151">
        <v>0.99673306730245903</v>
      </c>
      <c r="C6151">
        <v>0.77473230218204203</v>
      </c>
      <c r="D6151">
        <v>0.84875717452918298</v>
      </c>
      <c r="E6151">
        <v>0.60633339826157395</v>
      </c>
      <c r="F6151">
        <v>0.42008652954669001</v>
      </c>
      <c r="G6151">
        <v>0.26819158879807897</v>
      </c>
      <c r="H6151">
        <v>0.17790192741209701</v>
      </c>
      <c r="I6151">
        <v>0.16618296284880399</v>
      </c>
      <c r="J6151">
        <v>0.242031183136935</v>
      </c>
      <c r="K6151">
        <v>0.24455913161821</v>
      </c>
      <c r="L6151">
        <v>671.84255124714798</v>
      </c>
      <c r="M6151">
        <v>13.5506417560728</v>
      </c>
      <c r="N6151">
        <v>51.1832121246293</v>
      </c>
      <c r="O6151">
        <v>48.537718650227397</v>
      </c>
      <c r="P6151">
        <v>-5.7734031982416001E-2</v>
      </c>
      <c r="Q6151">
        <v>0.172922814838535</v>
      </c>
      <c r="R6151">
        <v>0.95897392118056002</v>
      </c>
      <c r="S6151" t="s">
        <v>12603</v>
      </c>
      <c r="T6151" t="s">
        <v>12902</v>
      </c>
      <c r="U6151" t="s">
        <v>12902</v>
      </c>
      <c r="V6151" t="s">
        <v>12902</v>
      </c>
      <c r="W6151" t="s">
        <v>19000</v>
      </c>
      <c r="X6151">
        <v>4</v>
      </c>
      <c r="Y6151" t="s">
        <v>25281</v>
      </c>
      <c r="Z6151" t="s">
        <v>31726</v>
      </c>
      <c r="AA6151">
        <v>0.46099155325673752</v>
      </c>
      <c r="AB6151" t="str">
        <f>HYPERLINK("Melting_Curves/meltCurve_Q9ULL5_3_PRR12.pdf", "Melting_Curves/meltCurve_Q9ULL5_3_PRR12.pdf")</f>
        <v>Melting_Curves/meltCurve_Q9ULL5_3_PRR12.pdf</v>
      </c>
    </row>
    <row r="6152" spans="1:28" x14ac:dyDescent="0.25">
      <c r="A6152" t="s">
        <v>6156</v>
      </c>
      <c r="B6152">
        <v>0.99673306730245903</v>
      </c>
      <c r="C6152">
        <v>0.96639724386126902</v>
      </c>
      <c r="D6152">
        <v>0.94820854599308502</v>
      </c>
      <c r="E6152">
        <v>1.0270054208639099</v>
      </c>
      <c r="F6152">
        <v>0.76773968545335602</v>
      </c>
      <c r="G6152">
        <v>0.61106764543276904</v>
      </c>
      <c r="H6152">
        <v>0.62052620958877702</v>
      </c>
      <c r="I6152">
        <v>0.84992188836564297</v>
      </c>
      <c r="J6152">
        <v>0.92850588968283299</v>
      </c>
      <c r="K6152">
        <v>0.87478575577060202</v>
      </c>
      <c r="L6152">
        <v>8218.9105454803703</v>
      </c>
      <c r="M6152">
        <v>159.510370337767</v>
      </c>
      <c r="O6152">
        <v>51.517771340860897</v>
      </c>
      <c r="P6152">
        <v>-0.17397921231048299</v>
      </c>
      <c r="Q6152">
        <v>0.77523665245269702</v>
      </c>
      <c r="R6152">
        <v>0.52386054733933496</v>
      </c>
      <c r="S6152" t="s">
        <v>12604</v>
      </c>
      <c r="T6152" t="s">
        <v>12902</v>
      </c>
      <c r="U6152" t="s">
        <v>12902</v>
      </c>
      <c r="V6152" t="s">
        <v>12902</v>
      </c>
      <c r="W6152" t="s">
        <v>19001</v>
      </c>
      <c r="X6152">
        <v>2</v>
      </c>
      <c r="Y6152" t="s">
        <v>25282</v>
      </c>
      <c r="Z6152" t="s">
        <v>31727</v>
      </c>
      <c r="AA6152">
        <v>0.8616396958194541</v>
      </c>
      <c r="AB6152" t="str">
        <f>HYPERLINK("Melting_Curves/meltCurve_Q9ULM3_YEATS2.pdf", "Melting_Curves/meltCurve_Q9ULM3_YEATS2.pdf")</f>
        <v>Melting_Curves/meltCurve_Q9ULM3_YEATS2.pdf</v>
      </c>
    </row>
    <row r="6153" spans="1:28" x14ac:dyDescent="0.25">
      <c r="A6153" t="s">
        <v>6157</v>
      </c>
      <c r="B6153">
        <v>0.99673306730245903</v>
      </c>
      <c r="C6153">
        <v>1.0571482626588899</v>
      </c>
      <c r="D6153">
        <v>0.39199090398483699</v>
      </c>
      <c r="E6153">
        <v>0.61263802653467403</v>
      </c>
      <c r="F6153">
        <v>0.16580927351917299</v>
      </c>
      <c r="G6153">
        <v>9.7450770625123098E-2</v>
      </c>
      <c r="H6153">
        <v>5.1675767846325098E-2</v>
      </c>
      <c r="I6153">
        <v>4.2642210371134498E-2</v>
      </c>
      <c r="J6153">
        <v>5.08302105669989E-2</v>
      </c>
      <c r="K6153">
        <v>4.1807499109798203E-2</v>
      </c>
      <c r="L6153">
        <v>710.70414069374601</v>
      </c>
      <c r="M6153">
        <v>14.747656876387399</v>
      </c>
      <c r="N6153">
        <v>48.343777551698999</v>
      </c>
      <c r="O6153">
        <v>47.330935678459802</v>
      </c>
      <c r="P6153">
        <v>-7.6131010111578606E-2</v>
      </c>
      <c r="Q6153">
        <v>2.27701521746182E-2</v>
      </c>
      <c r="R6153">
        <v>0.88691016312114701</v>
      </c>
      <c r="S6153" t="s">
        <v>12605</v>
      </c>
      <c r="T6153" t="s">
        <v>12902</v>
      </c>
      <c r="U6153" t="s">
        <v>12902</v>
      </c>
      <c r="V6153" t="s">
        <v>12902</v>
      </c>
      <c r="W6153" t="s">
        <v>19002</v>
      </c>
      <c r="X6153">
        <v>10</v>
      </c>
      <c r="Y6153" t="s">
        <v>25283</v>
      </c>
      <c r="Z6153" t="s">
        <v>31728</v>
      </c>
      <c r="AA6153">
        <v>0.31535426650453702</v>
      </c>
      <c r="AB6153" t="str">
        <f>HYPERLINK("Melting_Curves/meltCurve_Q9ULP9_2_TBC1D24.pdf", "Melting_Curves/meltCurve_Q9ULP9_2_TBC1D24.pdf")</f>
        <v>Melting_Curves/meltCurve_Q9ULP9_2_TBC1D24.pdf</v>
      </c>
    </row>
    <row r="6154" spans="1:28" x14ac:dyDescent="0.25">
      <c r="A6154" t="s">
        <v>6158</v>
      </c>
      <c r="B6154">
        <v>0.99673306730245903</v>
      </c>
      <c r="C6154">
        <v>0.85753886572804106</v>
      </c>
      <c r="D6154">
        <v>0.71346265869103798</v>
      </c>
      <c r="E6154">
        <v>0.72090828328335999</v>
      </c>
      <c r="F6154">
        <v>0.98870464312054995</v>
      </c>
      <c r="G6154">
        <v>0.845338721622373</v>
      </c>
      <c r="H6154">
        <v>0.67267996932740104</v>
      </c>
      <c r="I6154">
        <v>0.96202212196437897</v>
      </c>
      <c r="J6154">
        <v>1.45282921135259</v>
      </c>
      <c r="K6154">
        <v>1.29058644079586</v>
      </c>
      <c r="L6154">
        <v>15000</v>
      </c>
      <c r="M6154">
        <v>229.31866105872299</v>
      </c>
      <c r="O6154">
        <v>65.406199201959893</v>
      </c>
      <c r="P6154">
        <v>0.32609129759266497</v>
      </c>
      <c r="Q6154">
        <v>1.37203057423979</v>
      </c>
      <c r="R6154">
        <v>0.43469943963875901</v>
      </c>
      <c r="S6154" t="s">
        <v>12606</v>
      </c>
      <c r="T6154" t="s">
        <v>12902</v>
      </c>
      <c r="U6154" t="s">
        <v>12902</v>
      </c>
      <c r="V6154" t="s">
        <v>12902</v>
      </c>
      <c r="W6154" t="s">
        <v>19003</v>
      </c>
      <c r="X6154">
        <v>14</v>
      </c>
      <c r="Y6154" t="s">
        <v>25284</v>
      </c>
      <c r="Z6154" t="s">
        <v>31729</v>
      </c>
      <c r="AA6154">
        <v>1.0568555136771449</v>
      </c>
      <c r="AB6154" t="str">
        <f>HYPERLINK("Melting_Curves/meltCurve_Q9ULR0_ISY1.pdf", "Melting_Curves/meltCurve_Q9ULR0_ISY1.pdf")</f>
        <v>Melting_Curves/meltCurve_Q9ULR0_ISY1.pdf</v>
      </c>
    </row>
    <row r="6155" spans="1:28" x14ac:dyDescent="0.25">
      <c r="A6155" t="s">
        <v>6159</v>
      </c>
      <c r="B6155">
        <v>0.99673306730245903</v>
      </c>
      <c r="C6155">
        <v>0.98556698788087005</v>
      </c>
      <c r="D6155">
        <v>0.99945011606486001</v>
      </c>
      <c r="E6155">
        <v>0.981326999357923</v>
      </c>
      <c r="F6155">
        <v>0.829344787371598</v>
      </c>
      <c r="G6155">
        <v>0.63020851712960502</v>
      </c>
      <c r="H6155">
        <v>0.39711189028393401</v>
      </c>
      <c r="I6155">
        <v>0.13499912049332399</v>
      </c>
      <c r="J6155">
        <v>0.139878002296315</v>
      </c>
      <c r="K6155">
        <v>0.113251659087353</v>
      </c>
      <c r="L6155">
        <v>1058.7212029627001</v>
      </c>
      <c r="M6155">
        <v>18.1908870039371</v>
      </c>
      <c r="N6155">
        <v>58.5482191787845</v>
      </c>
      <c r="O6155">
        <v>57.510963522417299</v>
      </c>
      <c r="P6155">
        <v>-7.5031961830134303E-2</v>
      </c>
      <c r="Q6155">
        <v>5.1182895100391299E-2</v>
      </c>
      <c r="R6155">
        <v>0.993552764479672</v>
      </c>
      <c r="S6155" t="s">
        <v>12607</v>
      </c>
      <c r="T6155" t="s">
        <v>12902</v>
      </c>
      <c r="U6155" t="s">
        <v>12902</v>
      </c>
      <c r="V6155" t="s">
        <v>12902</v>
      </c>
      <c r="W6155" t="s">
        <v>19004</v>
      </c>
      <c r="X6155">
        <v>10</v>
      </c>
      <c r="Y6155" t="s">
        <v>25285</v>
      </c>
      <c r="Z6155" t="s">
        <v>31730</v>
      </c>
      <c r="AA6155">
        <v>0.63817334256243385</v>
      </c>
      <c r="AB6155" t="str">
        <f>HYPERLINK("Melting_Curves/meltCurve_Q9ULR3_PPM1H.pdf", "Melting_Curves/meltCurve_Q9ULR3_PPM1H.pdf")</f>
        <v>Melting_Curves/meltCurve_Q9ULR3_PPM1H.pdf</v>
      </c>
    </row>
    <row r="6156" spans="1:28" x14ac:dyDescent="0.25">
      <c r="A6156" t="s">
        <v>6160</v>
      </c>
      <c r="B6156">
        <v>0.99673306730245903</v>
      </c>
      <c r="C6156">
        <v>0.961769042571469</v>
      </c>
      <c r="D6156">
        <v>0.87579568944293795</v>
      </c>
      <c r="E6156">
        <v>0.59018932688917902</v>
      </c>
      <c r="F6156">
        <v>0.41001448751150799</v>
      </c>
      <c r="G6156">
        <v>0.264944300742256</v>
      </c>
      <c r="H6156">
        <v>0.13849569797297701</v>
      </c>
      <c r="I6156">
        <v>7.5104178624413404E-2</v>
      </c>
      <c r="J6156">
        <v>9.0079293539496896E-2</v>
      </c>
      <c r="K6156">
        <v>7.1355929537037593E-2</v>
      </c>
      <c r="L6156">
        <v>744.01069972554501</v>
      </c>
      <c r="M6156">
        <v>14.530706903784299</v>
      </c>
      <c r="N6156">
        <v>51.597891429638501</v>
      </c>
      <c r="O6156">
        <v>50.262201644772297</v>
      </c>
      <c r="P6156">
        <v>-6.8475872575344002E-2</v>
      </c>
      <c r="Q6156">
        <v>5.2667283633524097E-2</v>
      </c>
      <c r="R6156">
        <v>0.99612884895396403</v>
      </c>
      <c r="S6156" t="s">
        <v>12608</v>
      </c>
      <c r="T6156" t="s">
        <v>12902</v>
      </c>
      <c r="U6156" t="s">
        <v>12902</v>
      </c>
      <c r="V6156" t="s">
        <v>12902</v>
      </c>
      <c r="W6156" t="s">
        <v>19005</v>
      </c>
      <c r="X6156">
        <v>1</v>
      </c>
      <c r="Y6156" t="s">
        <v>25286</v>
      </c>
      <c r="Z6156" t="s">
        <v>31731</v>
      </c>
      <c r="AA6156">
        <v>0.42931406674980088</v>
      </c>
      <c r="AB6156" t="str">
        <f>HYPERLINK("Melting_Curves/meltCurve_Q9ULT8_HECTD1.pdf", "Melting_Curves/meltCurve_Q9ULT8_HECTD1.pdf")</f>
        <v>Melting_Curves/meltCurve_Q9ULT8_HECTD1.pdf</v>
      </c>
    </row>
    <row r="6157" spans="1:28" x14ac:dyDescent="0.25">
      <c r="A6157" t="s">
        <v>6161</v>
      </c>
      <c r="B6157">
        <v>0.99673306730245903</v>
      </c>
      <c r="C6157">
        <v>0.84184944423646701</v>
      </c>
      <c r="D6157">
        <v>1.0143745154517501</v>
      </c>
      <c r="E6157">
        <v>1.0100367907502701</v>
      </c>
      <c r="F6157">
        <v>0.43945940698605301</v>
      </c>
      <c r="G6157">
        <v>0.136967640706218</v>
      </c>
      <c r="H6157">
        <v>8.9086424496394701E-2</v>
      </c>
      <c r="I6157">
        <v>7.9815890611265997E-2</v>
      </c>
      <c r="J6157">
        <v>0.10346016323193</v>
      </c>
      <c r="K6157">
        <v>8.1272045579521293E-2</v>
      </c>
      <c r="L6157">
        <v>3609.7759767151101</v>
      </c>
      <c r="M6157">
        <v>68.333592956630497</v>
      </c>
      <c r="N6157">
        <v>52.991733811044902</v>
      </c>
      <c r="O6157">
        <v>52.780601750260097</v>
      </c>
      <c r="P6157">
        <v>-0.29249255633701698</v>
      </c>
      <c r="Q6157">
        <v>9.6319763736283495E-2</v>
      </c>
      <c r="R6157">
        <v>0.98388332133985501</v>
      </c>
      <c r="S6157" t="s">
        <v>12609</v>
      </c>
      <c r="T6157" t="s">
        <v>12902</v>
      </c>
      <c r="U6157" t="s">
        <v>12902</v>
      </c>
      <c r="V6157" t="s">
        <v>12902</v>
      </c>
      <c r="W6157" t="s">
        <v>19006</v>
      </c>
      <c r="X6157">
        <v>29</v>
      </c>
      <c r="Y6157" t="s">
        <v>25287</v>
      </c>
      <c r="Z6157" t="s">
        <v>31732</v>
      </c>
      <c r="AA6157">
        <v>0.48379128851908881</v>
      </c>
      <c r="AB6157" t="str">
        <f>HYPERLINK("Melting_Curves/meltCurve_Q9ULV4_CORO1C.pdf", "Melting_Curves/meltCurve_Q9ULV4_CORO1C.pdf")</f>
        <v>Melting_Curves/meltCurve_Q9ULV4_CORO1C.pdf</v>
      </c>
    </row>
    <row r="6158" spans="1:28" x14ac:dyDescent="0.25">
      <c r="A6158" t="s">
        <v>6162</v>
      </c>
      <c r="B6158">
        <v>0.99673306730245903</v>
      </c>
      <c r="C6158">
        <v>0.95145169412488695</v>
      </c>
      <c r="D6158">
        <v>0.95765376623193699</v>
      </c>
      <c r="E6158">
        <v>0.85579607920208001</v>
      </c>
      <c r="F6158">
        <v>0.75135659771968999</v>
      </c>
      <c r="G6158">
        <v>0.65090722146478797</v>
      </c>
      <c r="H6158">
        <v>0.50918751755608904</v>
      </c>
      <c r="I6158">
        <v>0.646947304777438</v>
      </c>
      <c r="J6158">
        <v>1.0415991525974699</v>
      </c>
      <c r="K6158">
        <v>1.12070901918165</v>
      </c>
      <c r="L6158">
        <v>1751.9660695810601</v>
      </c>
      <c r="M6158">
        <v>36.4994735231002</v>
      </c>
      <c r="O6158">
        <v>47.856348344651501</v>
      </c>
      <c r="P6158">
        <v>-4.0428610106707299E-2</v>
      </c>
      <c r="Q6158">
        <v>0.78796841361899805</v>
      </c>
      <c r="R6158">
        <v>0.17823983512635699</v>
      </c>
      <c r="S6158" t="s">
        <v>12610</v>
      </c>
      <c r="T6158" t="s">
        <v>12902</v>
      </c>
      <c r="U6158" t="s">
        <v>12902</v>
      </c>
      <c r="V6158" t="s">
        <v>12902</v>
      </c>
      <c r="W6158" t="s">
        <v>19007</v>
      </c>
      <c r="X6158">
        <v>38</v>
      </c>
      <c r="Y6158" t="s">
        <v>25288</v>
      </c>
      <c r="Z6158" t="s">
        <v>31733</v>
      </c>
      <c r="AA6158">
        <v>0.84535911191045121</v>
      </c>
      <c r="AB6158" t="str">
        <f>HYPERLINK("Melting_Curves/meltCurve_Q9ULW0_TPX2.pdf", "Melting_Curves/meltCurve_Q9ULW0_TPX2.pdf")</f>
        <v>Melting_Curves/meltCurve_Q9ULW0_TPX2.pdf</v>
      </c>
    </row>
    <row r="6159" spans="1:28" x14ac:dyDescent="0.25">
      <c r="A6159" t="s">
        <v>6163</v>
      </c>
      <c r="B6159">
        <v>0.99673306730245903</v>
      </c>
      <c r="C6159">
        <v>0.91133204043742999</v>
      </c>
      <c r="D6159">
        <v>0.76319272752711897</v>
      </c>
      <c r="E6159">
        <v>0.45135334488631901</v>
      </c>
      <c r="F6159">
        <v>0.16192567590026199</v>
      </c>
      <c r="G6159">
        <v>0.118757610534203</v>
      </c>
      <c r="H6159">
        <v>7.0086371247048196E-2</v>
      </c>
      <c r="I6159">
        <v>5.5795210485907798E-2</v>
      </c>
      <c r="J6159">
        <v>5.5207956122168701E-2</v>
      </c>
      <c r="K6159">
        <v>4.9211643657481298E-2</v>
      </c>
      <c r="L6159">
        <v>949.58400247139605</v>
      </c>
      <c r="M6159">
        <v>19.5406491480617</v>
      </c>
      <c r="N6159">
        <v>48.850242671792699</v>
      </c>
      <c r="O6159">
        <v>48.094955497330098</v>
      </c>
      <c r="P6159">
        <v>-9.6653113188428605E-2</v>
      </c>
      <c r="Q6159">
        <v>4.8473433862602E-2</v>
      </c>
      <c r="R6159">
        <v>0.99811742571911699</v>
      </c>
      <c r="S6159" t="s">
        <v>12611</v>
      </c>
      <c r="T6159" t="s">
        <v>12902</v>
      </c>
      <c r="U6159" t="s">
        <v>12902</v>
      </c>
      <c r="V6159" t="s">
        <v>12902</v>
      </c>
      <c r="W6159" t="s">
        <v>19008</v>
      </c>
      <c r="X6159">
        <v>8</v>
      </c>
      <c r="Y6159" t="s">
        <v>25289</v>
      </c>
      <c r="Z6159" t="s">
        <v>31734</v>
      </c>
      <c r="AA6159">
        <v>0.33514270268531637</v>
      </c>
      <c r="AB6159" t="str">
        <f>HYPERLINK("Melting_Curves/meltCurve_Q9ULX3_NOB1.pdf", "Melting_Curves/meltCurve_Q9ULX3_NOB1.pdf")</f>
        <v>Melting_Curves/meltCurve_Q9ULX3_NOB1.pdf</v>
      </c>
    </row>
    <row r="6160" spans="1:28" x14ac:dyDescent="0.25">
      <c r="A6160" t="s">
        <v>6164</v>
      </c>
      <c r="B6160">
        <v>0.99673306730245903</v>
      </c>
      <c r="C6160">
        <v>0.75683288812081095</v>
      </c>
      <c r="D6160">
        <v>0.60050082438397301</v>
      </c>
      <c r="E6160">
        <v>0.43508438452856202</v>
      </c>
      <c r="F6160">
        <v>0.264966761869111</v>
      </c>
      <c r="G6160">
        <v>0.16955993213441101</v>
      </c>
      <c r="H6160">
        <v>0.13390163511181599</v>
      </c>
      <c r="I6160">
        <v>0.12619878749882299</v>
      </c>
      <c r="J6160">
        <v>0.13161645803042099</v>
      </c>
      <c r="K6160">
        <v>0.151101606861578</v>
      </c>
      <c r="L6160">
        <v>644.27579211879799</v>
      </c>
      <c r="M6160">
        <v>13.7435298416616</v>
      </c>
      <c r="N6160">
        <v>47.792003863495303</v>
      </c>
      <c r="O6160">
        <v>45.919420805264203</v>
      </c>
      <c r="P6160">
        <v>-6.6190341911526798E-2</v>
      </c>
      <c r="Q6160">
        <v>0.115514209052338</v>
      </c>
      <c r="R6160">
        <v>0.98747301628900197</v>
      </c>
      <c r="S6160" t="s">
        <v>12612</v>
      </c>
      <c r="T6160" t="s">
        <v>12902</v>
      </c>
      <c r="U6160" t="s">
        <v>12902</v>
      </c>
      <c r="V6160" t="s">
        <v>12902</v>
      </c>
      <c r="W6160" t="s">
        <v>19009</v>
      </c>
      <c r="X6160">
        <v>3</v>
      </c>
      <c r="Y6160" t="s">
        <v>25290</v>
      </c>
      <c r="Z6160" t="s">
        <v>31735</v>
      </c>
      <c r="AA6160">
        <v>0.34722436698012071</v>
      </c>
      <c r="AB6160" t="str">
        <f>HYPERLINK("Melting_Curves/meltCurve_Q9ULX6_AKAP8L.pdf", "Melting_Curves/meltCurve_Q9ULX6_AKAP8L.pdf")</f>
        <v>Melting_Curves/meltCurve_Q9ULX6_AKAP8L.pdf</v>
      </c>
    </row>
    <row r="6161" spans="1:28" x14ac:dyDescent="0.25">
      <c r="A6161" t="s">
        <v>6165</v>
      </c>
      <c r="B6161">
        <v>0.99673306730245903</v>
      </c>
      <c r="C6161">
        <v>0.97650629249273202</v>
      </c>
      <c r="D6161">
        <v>0.99782913884861302</v>
      </c>
      <c r="E6161">
        <v>0.88927472535238306</v>
      </c>
      <c r="F6161">
        <v>1.02385633696642</v>
      </c>
      <c r="G6161">
        <v>0.59942167348671405</v>
      </c>
      <c r="H6161">
        <v>0.48291144994637802</v>
      </c>
      <c r="I6161">
        <v>0.60906843050042303</v>
      </c>
      <c r="J6161">
        <v>0.94500549394464395</v>
      </c>
      <c r="K6161">
        <v>1.1435780578934001</v>
      </c>
      <c r="L6161">
        <v>13685.557710184699</v>
      </c>
      <c r="M6161">
        <v>250</v>
      </c>
      <c r="O6161">
        <v>54.7387116937605</v>
      </c>
      <c r="P6161">
        <v>-0.27859799440664801</v>
      </c>
      <c r="Q6161">
        <v>0.7559984038973</v>
      </c>
      <c r="R6161">
        <v>0.27142933555456</v>
      </c>
      <c r="S6161" t="s">
        <v>12613</v>
      </c>
      <c r="T6161" t="s">
        <v>12902</v>
      </c>
      <c r="U6161" t="s">
        <v>12902</v>
      </c>
      <c r="V6161" t="s">
        <v>12902</v>
      </c>
      <c r="W6161" t="s">
        <v>19010</v>
      </c>
      <c r="X6161">
        <v>3</v>
      </c>
      <c r="Y6161" t="s">
        <v>25291</v>
      </c>
      <c r="Z6161" t="s">
        <v>31736</v>
      </c>
      <c r="AA6161">
        <v>0.87592610740267207</v>
      </c>
      <c r="AB6161" t="str">
        <f>HYPERLINK("Melting_Curves/meltCurve_Q9ULX9_MAFF.pdf", "Melting_Curves/meltCurve_Q9ULX9_MAFF.pdf")</f>
        <v>Melting_Curves/meltCurve_Q9ULX9_MAFF.pdf</v>
      </c>
    </row>
    <row r="6162" spans="1:28" x14ac:dyDescent="0.25">
      <c r="A6162" t="s">
        <v>6166</v>
      </c>
      <c r="B6162">
        <v>0.99673306730245903</v>
      </c>
      <c r="C6162">
        <v>1.01487210339149</v>
      </c>
      <c r="D6162">
        <v>0.91455445328819296</v>
      </c>
      <c r="E6162">
        <v>0.86517372456517905</v>
      </c>
      <c r="F6162">
        <v>0.49453057270287498</v>
      </c>
      <c r="G6162">
        <v>0.27949835817294399</v>
      </c>
      <c r="H6162">
        <v>0.126055543824795</v>
      </c>
      <c r="I6162">
        <v>0.14222970940108301</v>
      </c>
      <c r="J6162">
        <v>0.13263387739897101</v>
      </c>
      <c r="K6162">
        <v>0.13274322601535599</v>
      </c>
      <c r="L6162">
        <v>1248.38269031806</v>
      </c>
      <c r="M6162">
        <v>23.690460321521499</v>
      </c>
      <c r="N6162">
        <v>53.329438434867903</v>
      </c>
      <c r="O6162">
        <v>52.324419327682897</v>
      </c>
      <c r="P6162">
        <v>-9.9303500588495699E-2</v>
      </c>
      <c r="Q6162">
        <v>0.122699765585483</v>
      </c>
      <c r="R6162">
        <v>0.99532530597262703</v>
      </c>
      <c r="S6162" t="s">
        <v>12614</v>
      </c>
      <c r="T6162" t="s">
        <v>12902</v>
      </c>
      <c r="U6162" t="s">
        <v>12902</v>
      </c>
      <c r="V6162" t="s">
        <v>12902</v>
      </c>
      <c r="W6162" t="s">
        <v>19011</v>
      </c>
      <c r="X6162">
        <v>4</v>
      </c>
      <c r="Y6162" t="s">
        <v>25292</v>
      </c>
      <c r="Z6162" t="s">
        <v>31737</v>
      </c>
      <c r="AA6162">
        <v>0.5028765655752756</v>
      </c>
      <c r="AB6162" t="str">
        <f>HYPERLINK("Melting_Curves/meltCurve_Q9ULZ3_2_PYCARD.pdf", "Melting_Curves/meltCurve_Q9ULZ3_2_PYCARD.pdf")</f>
        <v>Melting_Curves/meltCurve_Q9ULZ3_2_PYCARD.pdf</v>
      </c>
    </row>
    <row r="6163" spans="1:28" x14ac:dyDescent="0.25">
      <c r="A6163" t="s">
        <v>6167</v>
      </c>
      <c r="B6163">
        <v>0.99673306730245903</v>
      </c>
      <c r="C6163">
        <v>0.33686938998168098</v>
      </c>
      <c r="D6163">
        <v>1.1179592740164599</v>
      </c>
      <c r="E6163">
        <v>0.80193042181791996</v>
      </c>
      <c r="F6163">
        <v>0.77803304450937905</v>
      </c>
      <c r="G6163">
        <v>0.58784410036341705</v>
      </c>
      <c r="H6163">
        <v>0.29426166160817901</v>
      </c>
      <c r="I6163">
        <v>0.27836167951758201</v>
      </c>
      <c r="J6163">
        <v>0.39077408526145602</v>
      </c>
      <c r="K6163">
        <v>0.31336706330559999</v>
      </c>
      <c r="L6163">
        <v>332.04597298509901</v>
      </c>
      <c r="M6163">
        <v>5.6575177316809002</v>
      </c>
      <c r="N6163">
        <v>58.691087972801498</v>
      </c>
      <c r="O6163">
        <v>52.591901306845003</v>
      </c>
      <c r="P6163">
        <v>-2.7000758512328998E-2</v>
      </c>
      <c r="Q6163">
        <v>0</v>
      </c>
      <c r="R6163">
        <v>0.484306090536748</v>
      </c>
      <c r="S6163" t="s">
        <v>12615</v>
      </c>
      <c r="T6163" t="s">
        <v>12902</v>
      </c>
      <c r="U6163" t="s">
        <v>12902</v>
      </c>
      <c r="V6163" t="s">
        <v>12902</v>
      </c>
      <c r="W6163" t="s">
        <v>19012</v>
      </c>
      <c r="X6163">
        <v>7</v>
      </c>
      <c r="Y6163" t="s">
        <v>25293</v>
      </c>
      <c r="Z6163" t="s">
        <v>31738</v>
      </c>
      <c r="AA6163">
        <v>0.60257284744599893</v>
      </c>
      <c r="AB6163" t="str">
        <f>HYPERLINK("Melting_Curves/meltCurve_Q9UMS0_3_NFU1.pdf", "Melting_Curves/meltCurve_Q9UMS0_3_NFU1.pdf")</f>
        <v>Melting_Curves/meltCurve_Q9UMS0_3_NFU1.pdf</v>
      </c>
    </row>
    <row r="6164" spans="1:28" x14ac:dyDescent="0.25">
      <c r="A6164" t="s">
        <v>6168</v>
      </c>
      <c r="B6164">
        <v>0.99673306730245903</v>
      </c>
      <c r="C6164">
        <v>0.91578577478367795</v>
      </c>
      <c r="D6164">
        <v>0.98847301044269598</v>
      </c>
      <c r="E6164">
        <v>1.16664337852403</v>
      </c>
      <c r="F6164">
        <v>1.2676633190798099</v>
      </c>
      <c r="G6164">
        <v>0.94412512258608805</v>
      </c>
      <c r="H6164">
        <v>0.30068223884696399</v>
      </c>
      <c r="I6164">
        <v>0.123723156703735</v>
      </c>
      <c r="J6164">
        <v>9.4474034931489898E-2</v>
      </c>
      <c r="K6164">
        <v>7.6842126328565297E-2</v>
      </c>
      <c r="L6164">
        <v>3495.69788434767</v>
      </c>
      <c r="M6164">
        <v>58.6996462094232</v>
      </c>
      <c r="N6164">
        <v>59.760435649587897</v>
      </c>
      <c r="O6164">
        <v>59.483295608800198</v>
      </c>
      <c r="P6164">
        <v>-0.22389713827622901</v>
      </c>
      <c r="Q6164">
        <v>9.2455812549723501E-2</v>
      </c>
      <c r="R6164">
        <v>0.94780933468275796</v>
      </c>
      <c r="S6164" t="s">
        <v>12616</v>
      </c>
      <c r="T6164" t="s">
        <v>12902</v>
      </c>
      <c r="U6164" t="s">
        <v>12902</v>
      </c>
      <c r="V6164" t="s">
        <v>12902</v>
      </c>
      <c r="W6164" t="s">
        <v>19013</v>
      </c>
      <c r="X6164">
        <v>20</v>
      </c>
      <c r="Y6164" t="s">
        <v>25294</v>
      </c>
      <c r="Z6164" t="s">
        <v>31739</v>
      </c>
      <c r="AA6164">
        <v>0.68566127007780853</v>
      </c>
      <c r="AB6164" t="str">
        <f>HYPERLINK("Melting_Curves/meltCurve_Q9UMS4_PRPF19.pdf", "Melting_Curves/meltCurve_Q9UMS4_PRPF19.pdf")</f>
        <v>Melting_Curves/meltCurve_Q9UMS4_PRPF19.pdf</v>
      </c>
    </row>
    <row r="6165" spans="1:28" x14ac:dyDescent="0.25">
      <c r="A6165" t="s">
        <v>6169</v>
      </c>
      <c r="B6165">
        <v>0.99673306730245903</v>
      </c>
      <c r="C6165">
        <v>0.98583030914200498</v>
      </c>
      <c r="D6165">
        <v>0.91927288390139505</v>
      </c>
      <c r="E6165">
        <v>0.83695089407691703</v>
      </c>
      <c r="F6165">
        <v>0.76500180214589297</v>
      </c>
      <c r="G6165">
        <v>0.58808131151757903</v>
      </c>
      <c r="H6165">
        <v>0.47143790528832102</v>
      </c>
      <c r="I6165">
        <v>0.55898636988557004</v>
      </c>
      <c r="J6165">
        <v>0.699025142691588</v>
      </c>
      <c r="K6165">
        <v>0.52434994477522101</v>
      </c>
      <c r="L6165">
        <v>941.04541775850203</v>
      </c>
      <c r="M6165">
        <v>18.3426128614352</v>
      </c>
      <c r="O6165">
        <v>50.7056588974474</v>
      </c>
      <c r="P6165">
        <v>-4.0276360190165297E-2</v>
      </c>
      <c r="Q6165">
        <v>0.55466631530962396</v>
      </c>
      <c r="R6165">
        <v>0.89156335449956503</v>
      </c>
      <c r="S6165" t="s">
        <v>12617</v>
      </c>
      <c r="T6165" t="s">
        <v>12902</v>
      </c>
      <c r="U6165" t="s">
        <v>12902</v>
      </c>
      <c r="V6165" t="s">
        <v>12902</v>
      </c>
      <c r="W6165" t="s">
        <v>19014</v>
      </c>
      <c r="X6165">
        <v>10</v>
      </c>
      <c r="Y6165" t="s">
        <v>25295</v>
      </c>
      <c r="Z6165" t="s">
        <v>31740</v>
      </c>
      <c r="AA6165">
        <v>0.72969461704217509</v>
      </c>
      <c r="AB6165" t="str">
        <f>HYPERLINK("Melting_Curves/meltCurve_Q9UMX0_UBQLN1.pdf", "Melting_Curves/meltCurve_Q9UMX0_UBQLN1.pdf")</f>
        <v>Melting_Curves/meltCurve_Q9UMX0_UBQLN1.pdf</v>
      </c>
    </row>
    <row r="6166" spans="1:28" x14ac:dyDescent="0.25">
      <c r="A6166" t="s">
        <v>6170</v>
      </c>
      <c r="B6166">
        <v>0.99673306730245903</v>
      </c>
      <c r="C6166">
        <v>1.0411085854526001</v>
      </c>
      <c r="D6166">
        <v>1.0248942871823801</v>
      </c>
      <c r="E6166">
        <v>0.99199363259388895</v>
      </c>
      <c r="F6166">
        <v>0.75262769778454797</v>
      </c>
      <c r="G6166">
        <v>0.64138243268414696</v>
      </c>
      <c r="H6166">
        <v>0.50440210465679203</v>
      </c>
      <c r="I6166">
        <v>0.77118507621651999</v>
      </c>
      <c r="J6166">
        <v>1.23579524616045</v>
      </c>
      <c r="K6166">
        <v>1.13426207330157</v>
      </c>
      <c r="L6166">
        <v>12546.013598341</v>
      </c>
      <c r="M6166">
        <v>250</v>
      </c>
      <c r="O6166">
        <v>50.1808429920384</v>
      </c>
      <c r="P6166">
        <v>-0.199350926063951</v>
      </c>
      <c r="Q6166">
        <v>0.83994243999395102</v>
      </c>
      <c r="R6166">
        <v>0.148952260400084</v>
      </c>
      <c r="S6166" t="s">
        <v>12618</v>
      </c>
      <c r="T6166" t="s">
        <v>12902</v>
      </c>
      <c r="U6166" t="s">
        <v>12902</v>
      </c>
      <c r="V6166" t="s">
        <v>12902</v>
      </c>
      <c r="W6166" t="s">
        <v>19015</v>
      </c>
      <c r="X6166">
        <v>10</v>
      </c>
      <c r="Y6166" t="s">
        <v>25296</v>
      </c>
      <c r="Z6166" t="s">
        <v>31741</v>
      </c>
      <c r="AA6166">
        <v>0.89429103319325465</v>
      </c>
      <c r="AB6166" t="str">
        <f>HYPERLINK("Melting_Curves/meltCurve_Q9UMX5_NENF.pdf", "Melting_Curves/meltCurve_Q9UMX5_NENF.pdf")</f>
        <v>Melting_Curves/meltCurve_Q9UMX5_NENF.pdf</v>
      </c>
    </row>
    <row r="6167" spans="1:28" x14ac:dyDescent="0.25">
      <c r="A6167" t="s">
        <v>6171</v>
      </c>
      <c r="B6167">
        <v>0.99673306730245903</v>
      </c>
      <c r="C6167">
        <v>0.95410512317501694</v>
      </c>
      <c r="D6167">
        <v>1.10279472569295</v>
      </c>
      <c r="E6167">
        <v>1.35109772173586</v>
      </c>
      <c r="F6167">
        <v>1.58057073810696</v>
      </c>
      <c r="G6167">
        <v>1.0630792770462201</v>
      </c>
      <c r="H6167">
        <v>0.52069075834780498</v>
      </c>
      <c r="I6167">
        <v>0.61624919591064398</v>
      </c>
      <c r="J6167">
        <v>0.81324067517576404</v>
      </c>
      <c r="K6167">
        <v>0.92896469926609904</v>
      </c>
      <c r="L6167">
        <v>5108.3820729360004</v>
      </c>
      <c r="M6167">
        <v>87.452263268477495</v>
      </c>
      <c r="O6167">
        <v>58.3828528633777</v>
      </c>
      <c r="P6167">
        <v>-0.104524045275806</v>
      </c>
      <c r="Q6167">
        <v>0.720880344598686</v>
      </c>
      <c r="R6167">
        <v>0.343312872607</v>
      </c>
      <c r="S6167" t="s">
        <v>12619</v>
      </c>
      <c r="T6167" t="s">
        <v>12902</v>
      </c>
      <c r="U6167" t="s">
        <v>12902</v>
      </c>
      <c r="V6167" t="s">
        <v>12902</v>
      </c>
      <c r="W6167" t="s">
        <v>19016</v>
      </c>
      <c r="X6167">
        <v>4</v>
      </c>
      <c r="Y6167" t="s">
        <v>25297</v>
      </c>
      <c r="Z6167" t="s">
        <v>31742</v>
      </c>
      <c r="AA6167">
        <v>0.89243240295783932</v>
      </c>
      <c r="AB6167" t="str">
        <f>HYPERLINK("Melting_Curves/meltCurve_Q9UMY1_NOL7.pdf", "Melting_Curves/meltCurve_Q9UMY1_NOL7.pdf")</f>
        <v>Melting_Curves/meltCurve_Q9UMY1_NOL7.pdf</v>
      </c>
    </row>
    <row r="6168" spans="1:28" x14ac:dyDescent="0.25">
      <c r="A6168" t="s">
        <v>6172</v>
      </c>
      <c r="B6168">
        <v>0.99673306730245903</v>
      </c>
      <c r="C6168">
        <v>0.89004324482347297</v>
      </c>
      <c r="D6168">
        <v>0.785936676714316</v>
      </c>
      <c r="E6168">
        <v>0.64170057050628604</v>
      </c>
      <c r="F6168">
        <v>0.199872286330747</v>
      </c>
      <c r="G6168">
        <v>0.125245965373396</v>
      </c>
      <c r="H6168">
        <v>7.3024842447911006E-2</v>
      </c>
      <c r="I6168">
        <v>8.2873766467367896E-2</v>
      </c>
      <c r="J6168">
        <v>0.108466807802977</v>
      </c>
      <c r="K6168">
        <v>9.3601650117604698E-2</v>
      </c>
      <c r="L6168">
        <v>964.052106991399</v>
      </c>
      <c r="M6168">
        <v>19.393687743306799</v>
      </c>
      <c r="N6168">
        <v>50.087613070803798</v>
      </c>
      <c r="O6168">
        <v>49.190090771739101</v>
      </c>
      <c r="P6168">
        <v>-9.1857892974427105E-2</v>
      </c>
      <c r="Q6168">
        <v>6.8081728148187304E-2</v>
      </c>
      <c r="R6168">
        <v>0.98100301213627505</v>
      </c>
      <c r="S6168" t="s">
        <v>12620</v>
      </c>
      <c r="T6168" t="s">
        <v>12902</v>
      </c>
      <c r="U6168" t="s">
        <v>12902</v>
      </c>
      <c r="V6168" t="s">
        <v>12902</v>
      </c>
      <c r="W6168" t="s">
        <v>19017</v>
      </c>
      <c r="X6168">
        <v>12</v>
      </c>
      <c r="Y6168" t="s">
        <v>25298</v>
      </c>
      <c r="Z6168" t="s">
        <v>31743</v>
      </c>
      <c r="AA6168">
        <v>0.383500966696048</v>
      </c>
      <c r="AB6168" t="str">
        <f>HYPERLINK("Melting_Curves/meltCurve_Q9UMY4_2_SNX12.pdf", "Melting_Curves/meltCurve_Q9UMY4_2_SNX12.pdf")</f>
        <v>Melting_Curves/meltCurve_Q9UMY4_2_SNX12.pdf</v>
      </c>
    </row>
    <row r="6169" spans="1:28" x14ac:dyDescent="0.25">
      <c r="A6169" t="s">
        <v>6173</v>
      </c>
      <c r="B6169">
        <v>0.99673306730245903</v>
      </c>
      <c r="C6169">
        <v>0.88036816116713701</v>
      </c>
      <c r="D6169">
        <v>0.77661509095234704</v>
      </c>
      <c r="E6169">
        <v>0.643104687849123</v>
      </c>
      <c r="F6169">
        <v>0.31636961068535002</v>
      </c>
      <c r="G6169">
        <v>0.211700480455281</v>
      </c>
      <c r="H6169">
        <v>0.105357945711531</v>
      </c>
      <c r="I6169">
        <v>0.132715475310514</v>
      </c>
      <c r="J6169">
        <v>0.20176940831627699</v>
      </c>
      <c r="K6169">
        <v>0.187294868821407</v>
      </c>
      <c r="L6169">
        <v>813.59915375591902</v>
      </c>
      <c r="M6169">
        <v>16.412419247575201</v>
      </c>
      <c r="N6169">
        <v>50.5372762660432</v>
      </c>
      <c r="O6169">
        <v>48.853752668874399</v>
      </c>
      <c r="P6169">
        <v>-7.2693718974068802E-2</v>
      </c>
      <c r="Q6169">
        <v>0.13453126179671099</v>
      </c>
      <c r="R6169">
        <v>0.97869676057344801</v>
      </c>
      <c r="S6169" t="s">
        <v>12621</v>
      </c>
      <c r="T6169" t="s">
        <v>12902</v>
      </c>
      <c r="U6169" t="s">
        <v>12902</v>
      </c>
      <c r="V6169" t="s">
        <v>12902</v>
      </c>
      <c r="W6169" t="s">
        <v>19018</v>
      </c>
      <c r="X6169">
        <v>6</v>
      </c>
      <c r="Y6169" t="s">
        <v>25299</v>
      </c>
      <c r="Z6169" t="s">
        <v>31744</v>
      </c>
      <c r="AA6169">
        <v>0.42839483239051368</v>
      </c>
      <c r="AB6169" t="str">
        <f>HYPERLINK("Melting_Curves/meltCurve_Q9UMZ2_6_SYNRG.pdf", "Melting_Curves/meltCurve_Q9UMZ2_6_SYNRG.pdf")</f>
        <v>Melting_Curves/meltCurve_Q9UMZ2_6_SYNRG.pdf</v>
      </c>
    </row>
    <row r="6170" spans="1:28" x14ac:dyDescent="0.25">
      <c r="A6170" t="s">
        <v>6174</v>
      </c>
      <c r="B6170">
        <v>0.99673306730245903</v>
      </c>
      <c r="C6170">
        <v>1.1101489409404499</v>
      </c>
      <c r="D6170">
        <v>0.43341108028272501</v>
      </c>
      <c r="E6170">
        <v>0.53501404022615395</v>
      </c>
      <c r="F6170">
        <v>0.13698386390290501</v>
      </c>
      <c r="G6170">
        <v>8.91285393982304E-2</v>
      </c>
      <c r="H6170">
        <v>5.7606471501381602E-2</v>
      </c>
      <c r="I6170">
        <v>5.2858876196745203E-2</v>
      </c>
      <c r="J6170">
        <v>6.6373661361637207E-2</v>
      </c>
      <c r="K6170">
        <v>5.92674108286236E-2</v>
      </c>
      <c r="L6170">
        <v>853.56803285835997</v>
      </c>
      <c r="M6170">
        <v>17.896797761330198</v>
      </c>
      <c r="N6170">
        <v>47.9816026001483</v>
      </c>
      <c r="O6170">
        <v>47.110381342018599</v>
      </c>
      <c r="P6170">
        <v>-9.0145260894615595E-2</v>
      </c>
      <c r="Q6170">
        <v>5.08775268860387E-2</v>
      </c>
      <c r="R6170">
        <v>0.90621008868102004</v>
      </c>
      <c r="S6170" t="s">
        <v>12622</v>
      </c>
      <c r="T6170" t="s">
        <v>12902</v>
      </c>
      <c r="U6170" t="s">
        <v>12902</v>
      </c>
      <c r="V6170" t="s">
        <v>12902</v>
      </c>
      <c r="W6170" t="s">
        <v>19019</v>
      </c>
      <c r="X6170">
        <v>16</v>
      </c>
      <c r="Y6170" t="s">
        <v>25300</v>
      </c>
      <c r="Z6170" t="s">
        <v>31745</v>
      </c>
      <c r="AA6170">
        <v>0.31151014432336083</v>
      </c>
      <c r="AB6170" t="str">
        <f>HYPERLINK("Melting_Curves/meltCurve_Q9UN37_VPS4A.pdf", "Melting_Curves/meltCurve_Q9UN37_VPS4A.pdf")</f>
        <v>Melting_Curves/meltCurve_Q9UN37_VPS4A.pdf</v>
      </c>
    </row>
    <row r="6171" spans="1:28" x14ac:dyDescent="0.25">
      <c r="A6171" t="s">
        <v>6175</v>
      </c>
      <c r="B6171">
        <v>0.99673306730245903</v>
      </c>
      <c r="C6171">
        <v>0.82051947735583397</v>
      </c>
      <c r="D6171">
        <v>0.59528813833738303</v>
      </c>
      <c r="E6171">
        <v>0.344231938389162</v>
      </c>
      <c r="F6171">
        <v>0.21230430247350099</v>
      </c>
      <c r="G6171">
        <v>0.14325442491972301</v>
      </c>
      <c r="H6171">
        <v>9.3930201615943995E-2</v>
      </c>
      <c r="I6171">
        <v>0.108411343190113</v>
      </c>
      <c r="J6171">
        <v>0.141871369646484</v>
      </c>
      <c r="K6171">
        <v>0.15643661955045199</v>
      </c>
      <c r="L6171">
        <v>840.93812780768997</v>
      </c>
      <c r="M6171">
        <v>18.099598374248501</v>
      </c>
      <c r="N6171">
        <v>47.183025270318197</v>
      </c>
      <c r="O6171">
        <v>45.905679777817099</v>
      </c>
      <c r="P6171">
        <v>-8.6660552981117994E-2</v>
      </c>
      <c r="Q6171">
        <v>0.120860224552094</v>
      </c>
      <c r="R6171">
        <v>0.99402638954303502</v>
      </c>
      <c r="S6171" t="s">
        <v>12623</v>
      </c>
      <c r="T6171" t="s">
        <v>12902</v>
      </c>
      <c r="U6171" t="s">
        <v>12902</v>
      </c>
      <c r="V6171" t="s">
        <v>12902</v>
      </c>
      <c r="W6171" t="s">
        <v>19020</v>
      </c>
      <c r="X6171">
        <v>5</v>
      </c>
      <c r="Y6171" t="s">
        <v>25301</v>
      </c>
      <c r="Z6171" t="s">
        <v>31746</v>
      </c>
      <c r="AA6171">
        <v>0.32672892769332712</v>
      </c>
      <c r="AB6171" t="str">
        <f>HYPERLINK("Melting_Curves/meltCurve_Q9UN79_SOX13.pdf", "Melting_Curves/meltCurve_Q9UN79_SOX13.pdf")</f>
        <v>Melting_Curves/meltCurve_Q9UN79_SOX13.pdf</v>
      </c>
    </row>
    <row r="6172" spans="1:28" x14ac:dyDescent="0.25">
      <c r="A6172" t="s">
        <v>6176</v>
      </c>
      <c r="B6172">
        <v>0.99673306730245903</v>
      </c>
      <c r="C6172">
        <v>0.73371496797818603</v>
      </c>
      <c r="D6172">
        <v>0.68365413140280995</v>
      </c>
      <c r="E6172">
        <v>0.679376281289231</v>
      </c>
      <c r="F6172">
        <v>0.30440306378815002</v>
      </c>
      <c r="G6172">
        <v>0.14093578932092901</v>
      </c>
      <c r="H6172">
        <v>8.8343307735193805E-2</v>
      </c>
      <c r="I6172">
        <v>9.5218383794233794E-2</v>
      </c>
      <c r="J6172">
        <v>0.114330621188027</v>
      </c>
      <c r="K6172">
        <v>0.11546932161956</v>
      </c>
      <c r="L6172">
        <v>558.79704630681897</v>
      </c>
      <c r="M6172">
        <v>11.264045349905899</v>
      </c>
      <c r="N6172">
        <v>49.890772137211499</v>
      </c>
      <c r="O6172">
        <v>48.122440284810601</v>
      </c>
      <c r="P6172">
        <v>-5.6731176131879099E-2</v>
      </c>
      <c r="Q6172">
        <v>3.08269798166756E-2</v>
      </c>
      <c r="R6172">
        <v>0.94303105601705595</v>
      </c>
      <c r="S6172" t="s">
        <v>12624</v>
      </c>
      <c r="T6172" t="s">
        <v>12902</v>
      </c>
      <c r="U6172" t="s">
        <v>12902</v>
      </c>
      <c r="V6172" t="s">
        <v>12902</v>
      </c>
      <c r="W6172" t="s">
        <v>19021</v>
      </c>
      <c r="X6172">
        <v>13</v>
      </c>
      <c r="Y6172" t="s">
        <v>25302</v>
      </c>
      <c r="Z6172" t="s">
        <v>31747</v>
      </c>
      <c r="AA6172">
        <v>0.37917883136168917</v>
      </c>
      <c r="AB6172" t="str">
        <f>HYPERLINK("Melting_Curves/meltCurve_Q9UN86_2_G3BP2.pdf", "Melting_Curves/meltCurve_Q9UN86_2_G3BP2.pdf")</f>
        <v>Melting_Curves/meltCurve_Q9UN86_2_G3BP2.pdf</v>
      </c>
    </row>
    <row r="6173" spans="1:28" x14ac:dyDescent="0.25">
      <c r="A6173" t="s">
        <v>6177</v>
      </c>
      <c r="B6173">
        <v>0.99673306730245903</v>
      </c>
      <c r="C6173">
        <v>0.81925603182481999</v>
      </c>
      <c r="D6173">
        <v>0.33803276222575002</v>
      </c>
      <c r="E6173">
        <v>0.18709785591325501</v>
      </c>
      <c r="F6173">
        <v>0.12906703549458501</v>
      </c>
      <c r="G6173">
        <v>8.8508457599521806E-2</v>
      </c>
      <c r="H6173">
        <v>5.9859841109162003E-2</v>
      </c>
      <c r="I6173">
        <v>6.6547956212583304E-2</v>
      </c>
      <c r="J6173">
        <v>7.30888139675097E-2</v>
      </c>
      <c r="K6173">
        <v>6.8728717086490407E-2</v>
      </c>
      <c r="L6173">
        <v>1366.68566191491</v>
      </c>
      <c r="M6173">
        <v>30.539577414372101</v>
      </c>
      <c r="N6173">
        <v>45.029700511673397</v>
      </c>
      <c r="O6173">
        <v>44.560728216876399</v>
      </c>
      <c r="P6173">
        <v>-0.15659753068086399</v>
      </c>
      <c r="Q6173">
        <v>8.60308879007676E-2</v>
      </c>
      <c r="R6173">
        <v>0.99306401975031899</v>
      </c>
      <c r="S6173" t="s">
        <v>12625</v>
      </c>
      <c r="T6173" t="s">
        <v>12902</v>
      </c>
      <c r="U6173" t="s">
        <v>12902</v>
      </c>
      <c r="V6173" t="s">
        <v>12902</v>
      </c>
      <c r="W6173" t="s">
        <v>19022</v>
      </c>
      <c r="X6173">
        <v>17</v>
      </c>
      <c r="Y6173" t="s">
        <v>25303</v>
      </c>
      <c r="Z6173" t="s">
        <v>31748</v>
      </c>
      <c r="AA6173">
        <v>0.23654796344072879</v>
      </c>
      <c r="AB6173" t="str">
        <f>HYPERLINK("Melting_Curves/meltCurve_Q9UNE7_STUB1.pdf", "Melting_Curves/meltCurve_Q9UNE7_STUB1.pdf")</f>
        <v>Melting_Curves/meltCurve_Q9UNE7_STUB1.pdf</v>
      </c>
    </row>
    <row r="6174" spans="1:28" x14ac:dyDescent="0.25">
      <c r="A6174" t="s">
        <v>6178</v>
      </c>
      <c r="B6174">
        <v>0.99673306730245903</v>
      </c>
      <c r="C6174">
        <v>1.1031150169960799</v>
      </c>
      <c r="D6174">
        <v>0.56488250158334796</v>
      </c>
      <c r="E6174">
        <v>0.27434166415854</v>
      </c>
      <c r="F6174">
        <v>0.17580446004425401</v>
      </c>
      <c r="G6174">
        <v>0.106897750137015</v>
      </c>
      <c r="H6174">
        <v>7.7053457341489995E-2</v>
      </c>
      <c r="I6174">
        <v>7.3862077845158705E-2</v>
      </c>
      <c r="J6174">
        <v>8.4940404870448794E-2</v>
      </c>
      <c r="K6174">
        <v>7.8080630028542805E-2</v>
      </c>
      <c r="L6174">
        <v>1535.1905351235901</v>
      </c>
      <c r="M6174">
        <v>33.008536252374697</v>
      </c>
      <c r="N6174">
        <v>46.838427141104098</v>
      </c>
      <c r="O6174">
        <v>46.339189753874997</v>
      </c>
      <c r="P6174">
        <v>-0.159630272548207</v>
      </c>
      <c r="Q6174">
        <v>0.10361315683196</v>
      </c>
      <c r="R6174">
        <v>0.97212442040892399</v>
      </c>
      <c r="S6174" t="s">
        <v>12626</v>
      </c>
      <c r="T6174" t="s">
        <v>12902</v>
      </c>
      <c r="U6174" t="s">
        <v>12902</v>
      </c>
      <c r="V6174" t="s">
        <v>12902</v>
      </c>
      <c r="W6174" t="s">
        <v>19023</v>
      </c>
      <c r="X6174">
        <v>21</v>
      </c>
      <c r="Y6174" t="s">
        <v>25304</v>
      </c>
      <c r="Z6174" t="s">
        <v>31749</v>
      </c>
      <c r="AA6174">
        <v>0.30248269448135368</v>
      </c>
      <c r="AB6174" t="str">
        <f>HYPERLINK("Melting_Curves/meltCurve_Q9UNF0_2_PACSIN2.pdf", "Melting_Curves/meltCurve_Q9UNF0_2_PACSIN2.pdf")</f>
        <v>Melting_Curves/meltCurve_Q9UNF0_2_PACSIN2.pdf</v>
      </c>
    </row>
    <row r="6175" spans="1:28" x14ac:dyDescent="0.25">
      <c r="A6175" t="s">
        <v>6179</v>
      </c>
      <c r="B6175">
        <v>0.99673306730245903</v>
      </c>
      <c r="C6175">
        <v>0.65407202987195101</v>
      </c>
      <c r="D6175">
        <v>0.29886460090855499</v>
      </c>
      <c r="E6175">
        <v>0.218373130594295</v>
      </c>
      <c r="F6175">
        <v>0.14669002576503601</v>
      </c>
      <c r="G6175">
        <v>0.113072216909905</v>
      </c>
      <c r="H6175">
        <v>8.4774115226624105E-2</v>
      </c>
      <c r="I6175">
        <v>0.102177615533185</v>
      </c>
      <c r="J6175">
        <v>0.16399169387811</v>
      </c>
      <c r="K6175">
        <v>0.14501000931119701</v>
      </c>
      <c r="L6175">
        <v>1255.4660839640201</v>
      </c>
      <c r="M6175">
        <v>28.745882595378799</v>
      </c>
      <c r="N6175">
        <v>44.151851416815397</v>
      </c>
      <c r="O6175">
        <v>43.464918295737696</v>
      </c>
      <c r="P6175">
        <v>-0.14326254666190899</v>
      </c>
      <c r="Q6175">
        <v>0.133532086783612</v>
      </c>
      <c r="R6175">
        <v>0.98531879567679803</v>
      </c>
      <c r="S6175" t="s">
        <v>12627</v>
      </c>
      <c r="T6175" t="s">
        <v>12902</v>
      </c>
      <c r="U6175" t="s">
        <v>12902</v>
      </c>
      <c r="V6175" t="s">
        <v>12902</v>
      </c>
      <c r="W6175" t="s">
        <v>19024</v>
      </c>
      <c r="X6175">
        <v>18</v>
      </c>
      <c r="Y6175" t="s">
        <v>25305</v>
      </c>
      <c r="Z6175" t="s">
        <v>31750</v>
      </c>
      <c r="AA6175">
        <v>0.24715600721670991</v>
      </c>
      <c r="AB6175" t="str">
        <f>HYPERLINK("Melting_Curves/meltCurve_Q9UNF1_MAGED2.pdf", "Melting_Curves/meltCurve_Q9UNF1_MAGED2.pdf")</f>
        <v>Melting_Curves/meltCurve_Q9UNF1_MAGED2.pdf</v>
      </c>
    </row>
    <row r="6176" spans="1:28" x14ac:dyDescent="0.25">
      <c r="A6176" t="s">
        <v>6180</v>
      </c>
      <c r="B6176">
        <v>0.99673306730245903</v>
      </c>
      <c r="C6176">
        <v>1.1466602190739501</v>
      </c>
      <c r="D6176">
        <v>0.54345892015378805</v>
      </c>
      <c r="E6176">
        <v>0.54091257583991703</v>
      </c>
      <c r="F6176">
        <v>0.134212117742503</v>
      </c>
      <c r="G6176">
        <v>8.2570063251732606E-2</v>
      </c>
      <c r="H6176">
        <v>4.9355567193219402E-2</v>
      </c>
      <c r="I6176">
        <v>4.6799322557843699E-2</v>
      </c>
      <c r="J6176">
        <v>5.0319826736649101E-2</v>
      </c>
      <c r="K6176">
        <v>4.51625082120772E-2</v>
      </c>
      <c r="L6176">
        <v>923.53190874243296</v>
      </c>
      <c r="M6176">
        <v>19.057494591774301</v>
      </c>
      <c r="N6176">
        <v>48.652007109425803</v>
      </c>
      <c r="O6176">
        <v>47.936161147715097</v>
      </c>
      <c r="P6176">
        <v>-9.5798619251099199E-2</v>
      </c>
      <c r="Q6176">
        <v>3.6171661754896597E-2</v>
      </c>
      <c r="R6176">
        <v>0.93241079982948405</v>
      </c>
      <c r="S6176" t="s">
        <v>12628</v>
      </c>
      <c r="T6176" t="s">
        <v>12902</v>
      </c>
      <c r="U6176" t="s">
        <v>12902</v>
      </c>
      <c r="V6176" t="s">
        <v>12902</v>
      </c>
      <c r="W6176" t="s">
        <v>19025</v>
      </c>
      <c r="X6176">
        <v>21</v>
      </c>
      <c r="Y6176" t="s">
        <v>25306</v>
      </c>
      <c r="Z6176" t="s">
        <v>31751</v>
      </c>
      <c r="AA6176">
        <v>0.32299850934132912</v>
      </c>
      <c r="AB6176" t="str">
        <f>HYPERLINK("Melting_Curves/meltCurve_Q9UNH7_SNX6.pdf", "Melting_Curves/meltCurve_Q9UNH7_SNX6.pdf")</f>
        <v>Melting_Curves/meltCurve_Q9UNH7_SNX6.pdf</v>
      </c>
    </row>
    <row r="6177" spans="1:28" x14ac:dyDescent="0.25">
      <c r="A6177" t="s">
        <v>6181</v>
      </c>
      <c r="B6177">
        <v>0.99673306730245903</v>
      </c>
      <c r="C6177">
        <v>0.8368739813835</v>
      </c>
      <c r="D6177">
        <v>0.51246605556431901</v>
      </c>
      <c r="E6177">
        <v>0.58533214238678999</v>
      </c>
      <c r="F6177">
        <v>0.26720326030923602</v>
      </c>
      <c r="G6177">
        <v>0.14514336930195801</v>
      </c>
      <c r="H6177">
        <v>8.7890167057251403E-2</v>
      </c>
      <c r="I6177">
        <v>6.7285205252725203E-2</v>
      </c>
      <c r="J6177">
        <v>6.0475244994899702E-2</v>
      </c>
      <c r="K6177">
        <v>5.5213995620853301E-2</v>
      </c>
      <c r="L6177">
        <v>546.48477597001499</v>
      </c>
      <c r="M6177">
        <v>11.2332074903719</v>
      </c>
      <c r="N6177">
        <v>48.730061374845697</v>
      </c>
      <c r="O6177">
        <v>47.183733922568301</v>
      </c>
      <c r="P6177">
        <v>-5.8986167550613998E-2</v>
      </c>
      <c r="Q6177">
        <v>9.2516526101248091E-3</v>
      </c>
      <c r="R6177">
        <v>0.95705901098914503</v>
      </c>
      <c r="S6177" t="s">
        <v>12629</v>
      </c>
      <c r="T6177" t="s">
        <v>12902</v>
      </c>
      <c r="U6177" t="s">
        <v>12902</v>
      </c>
      <c r="V6177" t="s">
        <v>12902</v>
      </c>
      <c r="W6177" t="s">
        <v>19026</v>
      </c>
      <c r="X6177">
        <v>7</v>
      </c>
      <c r="Y6177" t="s">
        <v>25307</v>
      </c>
      <c r="Z6177" t="s">
        <v>31752</v>
      </c>
      <c r="AA6177">
        <v>0.33642072298534581</v>
      </c>
      <c r="AB6177" t="str">
        <f>HYPERLINK("Melting_Curves/meltCurve_Q9UNI6_DUSP12.pdf", "Melting_Curves/meltCurve_Q9UNI6_DUSP12.pdf")</f>
        <v>Melting_Curves/meltCurve_Q9UNI6_DUSP12.pdf</v>
      </c>
    </row>
    <row r="6178" spans="1:28" x14ac:dyDescent="0.25">
      <c r="A6178" t="s">
        <v>6182</v>
      </c>
      <c r="B6178">
        <v>0.99673306730245903</v>
      </c>
      <c r="C6178">
        <v>0.96993351546550599</v>
      </c>
      <c r="D6178">
        <v>0.85084332668610496</v>
      </c>
      <c r="E6178">
        <v>0.74396640955169202</v>
      </c>
      <c r="F6178">
        <v>0.68910281448644395</v>
      </c>
      <c r="G6178">
        <v>0.51212678771833697</v>
      </c>
      <c r="H6178">
        <v>0.38751238746111699</v>
      </c>
      <c r="I6178">
        <v>0.38991651296758301</v>
      </c>
      <c r="J6178">
        <v>0.54126728946083702</v>
      </c>
      <c r="K6178">
        <v>0.454757963390095</v>
      </c>
      <c r="L6178">
        <v>712.79000580953004</v>
      </c>
      <c r="M6178">
        <v>14.0791455764302</v>
      </c>
      <c r="N6178">
        <v>58.476901979814301</v>
      </c>
      <c r="O6178">
        <v>49.638836311480603</v>
      </c>
      <c r="P6178">
        <v>-4.0815949416683102E-2</v>
      </c>
      <c r="Q6178">
        <v>0.42445565246043099</v>
      </c>
      <c r="R6178">
        <v>0.93995177414968101</v>
      </c>
      <c r="S6178" t="s">
        <v>12630</v>
      </c>
      <c r="T6178" t="s">
        <v>12902</v>
      </c>
      <c r="U6178" t="s">
        <v>12902</v>
      </c>
      <c r="V6178" t="s">
        <v>12902</v>
      </c>
      <c r="W6178" t="s">
        <v>19027</v>
      </c>
      <c r="X6178">
        <v>4</v>
      </c>
      <c r="Y6178" t="s">
        <v>25308</v>
      </c>
      <c r="Z6178" t="s">
        <v>31753</v>
      </c>
      <c r="AA6178">
        <v>0.64329555092585944</v>
      </c>
      <c r="AB6178" t="str">
        <f>HYPERLINK("Melting_Curves/meltCurve_Q9UNK0_STX8.pdf", "Melting_Curves/meltCurve_Q9UNK0_STX8.pdf")</f>
        <v>Melting_Curves/meltCurve_Q9UNK0_STX8.pdf</v>
      </c>
    </row>
    <row r="6179" spans="1:28" x14ac:dyDescent="0.25">
      <c r="A6179" t="s">
        <v>6183</v>
      </c>
      <c r="B6179">
        <v>0.99673306730245903</v>
      </c>
      <c r="C6179">
        <v>0.84316042207558395</v>
      </c>
      <c r="D6179">
        <v>0.81210504836416197</v>
      </c>
      <c r="E6179">
        <v>0.44287174233092802</v>
      </c>
      <c r="F6179">
        <v>0.18107043387306601</v>
      </c>
      <c r="G6179">
        <v>0.12635378847701001</v>
      </c>
      <c r="H6179">
        <v>9.2748253212963094E-2</v>
      </c>
      <c r="I6179">
        <v>7.5330969388605507E-2</v>
      </c>
      <c r="J6179">
        <v>9.0996133602094798E-2</v>
      </c>
      <c r="K6179">
        <v>8.1546228817525795E-2</v>
      </c>
      <c r="L6179">
        <v>961.61536576203605</v>
      </c>
      <c r="M6179">
        <v>19.816667406094901</v>
      </c>
      <c r="N6179">
        <v>48.9196828959318</v>
      </c>
      <c r="O6179">
        <v>48.039535110666698</v>
      </c>
      <c r="P6179">
        <v>-9.5521772046575096E-2</v>
      </c>
      <c r="Q6179">
        <v>7.3776258111631701E-2</v>
      </c>
      <c r="R6179">
        <v>0.99029609043712397</v>
      </c>
      <c r="S6179" t="s">
        <v>12631</v>
      </c>
      <c r="T6179" t="s">
        <v>12902</v>
      </c>
      <c r="U6179" t="s">
        <v>12902</v>
      </c>
      <c r="V6179" t="s">
        <v>12902</v>
      </c>
      <c r="W6179" t="s">
        <v>19028</v>
      </c>
      <c r="X6179">
        <v>3</v>
      </c>
      <c r="Y6179" t="s">
        <v>25309</v>
      </c>
      <c r="Z6179" t="s">
        <v>31754</v>
      </c>
      <c r="AA6179">
        <v>0.35029273865851962</v>
      </c>
      <c r="AB6179" t="str">
        <f>HYPERLINK("Melting_Curves/meltCurve_Q9UNK9_ANGEL1.pdf", "Melting_Curves/meltCurve_Q9UNK9_ANGEL1.pdf")</f>
        <v>Melting_Curves/meltCurve_Q9UNK9_ANGEL1.pdf</v>
      </c>
    </row>
    <row r="6180" spans="1:28" x14ac:dyDescent="0.25">
      <c r="A6180" t="s">
        <v>6184</v>
      </c>
      <c r="B6180">
        <v>0.99673306730245903</v>
      </c>
      <c r="C6180">
        <v>0.92877782251802699</v>
      </c>
      <c r="D6180">
        <v>0.95843839443141299</v>
      </c>
      <c r="E6180">
        <v>0.84889135379515901</v>
      </c>
      <c r="F6180">
        <v>0.60818149331683102</v>
      </c>
      <c r="G6180">
        <v>0.24332839703591999</v>
      </c>
      <c r="H6180">
        <v>9.9145430892580294E-2</v>
      </c>
      <c r="I6180">
        <v>8.4036159963525606E-2</v>
      </c>
      <c r="J6180">
        <v>6.9229549629393206E-2</v>
      </c>
      <c r="K6180">
        <v>6.1064107026519501E-2</v>
      </c>
      <c r="L6180">
        <v>1204.8650384043201</v>
      </c>
      <c r="M6180">
        <v>22.435205594665</v>
      </c>
      <c r="N6180">
        <v>53.960140786755701</v>
      </c>
      <c r="O6180">
        <v>53.282995788749702</v>
      </c>
      <c r="P6180">
        <v>-9.9953964956950497E-2</v>
      </c>
      <c r="Q6180">
        <v>5.0467951744278101E-2</v>
      </c>
      <c r="R6180">
        <v>0.99512871458369101</v>
      </c>
      <c r="S6180" t="s">
        <v>12632</v>
      </c>
      <c r="T6180" t="s">
        <v>12902</v>
      </c>
      <c r="U6180" t="s">
        <v>12902</v>
      </c>
      <c r="V6180" t="s">
        <v>12902</v>
      </c>
      <c r="W6180" t="s">
        <v>19029</v>
      </c>
      <c r="X6180">
        <v>24</v>
      </c>
      <c r="Y6180" t="s">
        <v>25310</v>
      </c>
      <c r="Z6180" t="s">
        <v>31755</v>
      </c>
      <c r="AA6180">
        <v>0.49488403308658607</v>
      </c>
      <c r="AB6180" t="str">
        <f>HYPERLINK("Melting_Curves/meltCurve_Q9UNM6_PSMD13.pdf", "Melting_Curves/meltCurve_Q9UNM6_PSMD13.pdf")</f>
        <v>Melting_Curves/meltCurve_Q9UNM6_PSMD13.pdf</v>
      </c>
    </row>
    <row r="6181" spans="1:28" x14ac:dyDescent="0.25">
      <c r="A6181" t="s">
        <v>6185</v>
      </c>
      <c r="B6181">
        <v>0.99673306730245903</v>
      </c>
      <c r="C6181">
        <v>0.94792959976041002</v>
      </c>
      <c r="D6181">
        <v>0.67025825876810097</v>
      </c>
      <c r="E6181">
        <v>0.93435654131619905</v>
      </c>
      <c r="F6181">
        <v>0.46070776697673799</v>
      </c>
      <c r="G6181">
        <v>0.185392257043898</v>
      </c>
      <c r="H6181">
        <v>8.9364912907643507E-2</v>
      </c>
      <c r="I6181">
        <v>6.6243723702397894E-2</v>
      </c>
      <c r="J6181">
        <v>7.0109326655946894E-2</v>
      </c>
      <c r="K6181">
        <v>5.0734165297926598E-2</v>
      </c>
      <c r="L6181">
        <v>1013.80933190632</v>
      </c>
      <c r="M6181">
        <v>19.2083633855686</v>
      </c>
      <c r="N6181">
        <v>52.955252272731798</v>
      </c>
      <c r="O6181">
        <v>52.217514441793597</v>
      </c>
      <c r="P6181">
        <v>-8.9128175923215605E-2</v>
      </c>
      <c r="Q6181">
        <v>3.0865108075865001E-2</v>
      </c>
      <c r="R6181">
        <v>0.92959073975031603</v>
      </c>
      <c r="S6181" t="s">
        <v>12633</v>
      </c>
      <c r="T6181" t="s">
        <v>12902</v>
      </c>
      <c r="U6181" t="s">
        <v>12902</v>
      </c>
      <c r="V6181" t="s">
        <v>12902</v>
      </c>
      <c r="W6181" t="s">
        <v>19030</v>
      </c>
      <c r="X6181">
        <v>28</v>
      </c>
      <c r="Y6181" t="s">
        <v>25311</v>
      </c>
      <c r="Z6181" t="s">
        <v>31756</v>
      </c>
      <c r="AA6181">
        <v>0.4580091841673094</v>
      </c>
      <c r="AB6181" t="str">
        <f>HYPERLINK("Melting_Curves/meltCurve_Q9UNN5_FAF1.pdf", "Melting_Curves/meltCurve_Q9UNN5_FAF1.pdf")</f>
        <v>Melting_Curves/meltCurve_Q9UNN5_FAF1.pdf</v>
      </c>
    </row>
    <row r="6182" spans="1:28" x14ac:dyDescent="0.25">
      <c r="A6182" t="s">
        <v>6186</v>
      </c>
      <c r="B6182">
        <v>0.99673306730245903</v>
      </c>
      <c r="C6182">
        <v>0.93382822570757096</v>
      </c>
      <c r="D6182">
        <v>0.83356159489067005</v>
      </c>
      <c r="E6182">
        <v>0.72376155203749304</v>
      </c>
      <c r="F6182">
        <v>0.79821591250116997</v>
      </c>
      <c r="G6182">
        <v>0.53884937759298102</v>
      </c>
      <c r="H6182">
        <v>0.237557041729197</v>
      </c>
      <c r="I6182">
        <v>0.17835946008846301</v>
      </c>
      <c r="J6182">
        <v>0.22425537932633999</v>
      </c>
      <c r="K6182">
        <v>0.248638724429567</v>
      </c>
      <c r="L6182">
        <v>579.35295847829798</v>
      </c>
      <c r="M6182">
        <v>10.3911240454304</v>
      </c>
      <c r="N6182">
        <v>56.574448924683402</v>
      </c>
      <c r="O6182">
        <v>53.808244593939598</v>
      </c>
      <c r="P6182">
        <v>-4.4922837529127901E-2</v>
      </c>
      <c r="Q6182">
        <v>6.9896896812036702E-2</v>
      </c>
      <c r="R6182">
        <v>0.93441549820023695</v>
      </c>
      <c r="S6182" t="s">
        <v>12634</v>
      </c>
      <c r="T6182" t="s">
        <v>12902</v>
      </c>
      <c r="U6182" t="s">
        <v>12902</v>
      </c>
      <c r="V6182" t="s">
        <v>12902</v>
      </c>
      <c r="W6182" t="s">
        <v>19031</v>
      </c>
      <c r="X6182">
        <v>6</v>
      </c>
      <c r="Y6182" t="s">
        <v>25312</v>
      </c>
      <c r="Z6182" t="s">
        <v>31757</v>
      </c>
      <c r="AA6182">
        <v>0.5789880694979348</v>
      </c>
      <c r="AB6182" t="str">
        <f>HYPERLINK("Melting_Curves/meltCurve_Q9UNP9_PPIE.pdf", "Melting_Curves/meltCurve_Q9UNP9_PPIE.pdf")</f>
        <v>Melting_Curves/meltCurve_Q9UNP9_PPIE.pdf</v>
      </c>
    </row>
    <row r="6183" spans="1:28" x14ac:dyDescent="0.25">
      <c r="A6183" t="s">
        <v>6187</v>
      </c>
      <c r="B6183">
        <v>0.99673306730245903</v>
      </c>
      <c r="C6183">
        <v>0.79223724353696701</v>
      </c>
      <c r="D6183">
        <v>0.17339104207136399</v>
      </c>
      <c r="E6183">
        <v>0.10720298817559699</v>
      </c>
      <c r="F6183">
        <v>5.8611517888308803E-2</v>
      </c>
      <c r="G6183">
        <v>3.4759561297758902E-2</v>
      </c>
      <c r="H6183">
        <v>2.4784390300929299E-2</v>
      </c>
      <c r="I6183">
        <v>2.9161021228209998E-2</v>
      </c>
      <c r="J6183">
        <v>3.8550044863074E-2</v>
      </c>
      <c r="K6183">
        <v>4.1134810953429003E-2</v>
      </c>
      <c r="L6183">
        <v>1963.3437389263199</v>
      </c>
      <c r="M6183">
        <v>44.496629116885401</v>
      </c>
      <c r="N6183">
        <v>44.219188587621097</v>
      </c>
      <c r="O6183">
        <v>44.034584923405198</v>
      </c>
      <c r="P6183">
        <v>-0.241022040420975</v>
      </c>
      <c r="Q6183">
        <v>4.5924031789379698E-2</v>
      </c>
      <c r="R6183">
        <v>0.996408383093912</v>
      </c>
      <c r="S6183" t="s">
        <v>12635</v>
      </c>
      <c r="T6183" t="s">
        <v>12902</v>
      </c>
      <c r="U6183" t="s">
        <v>12902</v>
      </c>
      <c r="V6183" t="s">
        <v>12902</v>
      </c>
      <c r="W6183" t="s">
        <v>19032</v>
      </c>
      <c r="X6183">
        <v>4</v>
      </c>
      <c r="Y6183" t="s">
        <v>25313</v>
      </c>
      <c r="Z6183" t="s">
        <v>31758</v>
      </c>
      <c r="AA6183">
        <v>0.1796600459278602</v>
      </c>
      <c r="AB6183" t="str">
        <f>HYPERLINK("Melting_Curves/meltCurve_Q9UNS1_2_TIMELESS.pdf", "Melting_Curves/meltCurve_Q9UNS1_2_TIMELESS.pdf")</f>
        <v>Melting_Curves/meltCurve_Q9UNS1_2_TIMELESS.pdf</v>
      </c>
    </row>
    <row r="6184" spans="1:28" x14ac:dyDescent="0.25">
      <c r="A6184" t="s">
        <v>6188</v>
      </c>
      <c r="B6184">
        <v>0.99673306730245903</v>
      </c>
      <c r="C6184">
        <v>0.94557329407211799</v>
      </c>
      <c r="D6184">
        <v>1.0581351428735599</v>
      </c>
      <c r="E6184">
        <v>1.22174946658133</v>
      </c>
      <c r="F6184">
        <v>0.87157511265857601</v>
      </c>
      <c r="G6184">
        <v>0.37044892920821298</v>
      </c>
      <c r="H6184">
        <v>0.59399099491560003</v>
      </c>
      <c r="I6184">
        <v>0.21667404638333801</v>
      </c>
      <c r="J6184">
        <v>0.103044865875623</v>
      </c>
      <c r="K6184">
        <v>9.4880432778015805E-2</v>
      </c>
      <c r="L6184">
        <v>997.404691915885</v>
      </c>
      <c r="M6184">
        <v>17.169745595512602</v>
      </c>
      <c r="N6184">
        <v>58.5930402489576</v>
      </c>
      <c r="O6184">
        <v>57.319992025465602</v>
      </c>
      <c r="P6184">
        <v>-6.9765646414289298E-2</v>
      </c>
      <c r="Q6184">
        <v>6.8424483923069102E-2</v>
      </c>
      <c r="R6184">
        <v>0.87668739184507805</v>
      </c>
      <c r="S6184" t="s">
        <v>12636</v>
      </c>
      <c r="T6184" t="s">
        <v>12902</v>
      </c>
      <c r="U6184" t="s">
        <v>12902</v>
      </c>
      <c r="V6184" t="s">
        <v>12902</v>
      </c>
      <c r="W6184" t="s">
        <v>19033</v>
      </c>
      <c r="X6184">
        <v>17</v>
      </c>
      <c r="Y6184" t="s">
        <v>25314</v>
      </c>
      <c r="Z6184" t="s">
        <v>31759</v>
      </c>
      <c r="AA6184">
        <v>0.64191427521520028</v>
      </c>
      <c r="AB6184" t="str">
        <f>HYPERLINK("Melting_Curves/meltCurve_Q9UNS2_COPS3.pdf", "Melting_Curves/meltCurve_Q9UNS2_COPS3.pdf")</f>
        <v>Melting_Curves/meltCurve_Q9UNS2_COPS3.pdf</v>
      </c>
    </row>
    <row r="6185" spans="1:28" x14ac:dyDescent="0.25">
      <c r="A6185" t="s">
        <v>6189</v>
      </c>
      <c r="B6185">
        <v>0.99673306730245903</v>
      </c>
      <c r="C6185">
        <v>1.06384871220219</v>
      </c>
      <c r="D6185">
        <v>1.0665681350882701</v>
      </c>
      <c r="E6185">
        <v>1.04692644428855</v>
      </c>
      <c r="F6185">
        <v>0.81095143083742904</v>
      </c>
      <c r="G6185">
        <v>0.56228568318707095</v>
      </c>
      <c r="H6185">
        <v>0.26173719837767201</v>
      </c>
      <c r="I6185">
        <v>0.19518409197861999</v>
      </c>
      <c r="J6185">
        <v>0.15300692349880199</v>
      </c>
      <c r="K6185">
        <v>0.106439763394116</v>
      </c>
      <c r="L6185">
        <v>1347.93916937014</v>
      </c>
      <c r="M6185">
        <v>23.769719462312299</v>
      </c>
      <c r="N6185">
        <v>57.377178332809898</v>
      </c>
      <c r="O6185">
        <v>56.311450048935498</v>
      </c>
      <c r="P6185">
        <v>-9.2758842505012498E-2</v>
      </c>
      <c r="Q6185">
        <v>0.121016309735065</v>
      </c>
      <c r="R6185">
        <v>0.98884482414825203</v>
      </c>
      <c r="S6185" t="s">
        <v>12637</v>
      </c>
      <c r="T6185" t="s">
        <v>12902</v>
      </c>
      <c r="U6185" t="s">
        <v>12902</v>
      </c>
      <c r="V6185" t="s">
        <v>12902</v>
      </c>
      <c r="W6185" t="s">
        <v>19034</v>
      </c>
      <c r="X6185">
        <v>6</v>
      </c>
      <c r="Y6185" t="s">
        <v>25315</v>
      </c>
      <c r="Z6185" t="s">
        <v>31760</v>
      </c>
      <c r="AA6185">
        <v>0.6191801580150863</v>
      </c>
      <c r="AB6185" t="str">
        <f>HYPERLINK("Melting_Curves/meltCurve_Q9UNW1_MINPP1.pdf", "Melting_Curves/meltCurve_Q9UNW1_MINPP1.pdf")</f>
        <v>Melting_Curves/meltCurve_Q9UNW1_MINPP1.pdf</v>
      </c>
    </row>
    <row r="6186" spans="1:28" x14ac:dyDescent="0.25">
      <c r="A6186" t="s">
        <v>6190</v>
      </c>
      <c r="B6186">
        <v>0.99673306730245903</v>
      </c>
      <c r="C6186">
        <v>0.93541667789593697</v>
      </c>
      <c r="D6186">
        <v>0.87295331048027103</v>
      </c>
      <c r="E6186">
        <v>0.54572732586973605</v>
      </c>
      <c r="F6186">
        <v>0.30722503712179999</v>
      </c>
      <c r="G6186">
        <v>0.20351430440135701</v>
      </c>
      <c r="H6186">
        <v>0.114098184753818</v>
      </c>
      <c r="I6186">
        <v>8.4971845401450599E-2</v>
      </c>
      <c r="J6186">
        <v>5.6223053698485598E-2</v>
      </c>
      <c r="K6186">
        <v>3.9757616947867502E-2</v>
      </c>
      <c r="L6186">
        <v>848.77821361924703</v>
      </c>
      <c r="M6186">
        <v>16.9105816278196</v>
      </c>
      <c r="N6186">
        <v>50.536805162768403</v>
      </c>
      <c r="O6186">
        <v>49.506005894132997</v>
      </c>
      <c r="P6186">
        <v>-8.0750558919047796E-2</v>
      </c>
      <c r="Q6186">
        <v>5.44652459246504E-2</v>
      </c>
      <c r="R6186">
        <v>0.99652259092784501</v>
      </c>
      <c r="S6186" t="s">
        <v>12638</v>
      </c>
      <c r="T6186" t="s">
        <v>12902</v>
      </c>
      <c r="U6186" t="s">
        <v>12902</v>
      </c>
      <c r="V6186" t="s">
        <v>12902</v>
      </c>
      <c r="W6186" t="s">
        <v>19035</v>
      </c>
      <c r="X6186">
        <v>5</v>
      </c>
      <c r="Y6186" t="s">
        <v>25316</v>
      </c>
      <c r="Z6186" t="s">
        <v>31761</v>
      </c>
      <c r="AA6186">
        <v>0.39376628832985677</v>
      </c>
      <c r="AB6186" t="str">
        <f>HYPERLINK("Melting_Curves/meltCurve_Q9UNX4_WDR3.pdf", "Melting_Curves/meltCurve_Q9UNX4_WDR3.pdf")</f>
        <v>Melting_Curves/meltCurve_Q9UNX4_WDR3.pdf</v>
      </c>
    </row>
    <row r="6187" spans="1:28" x14ac:dyDescent="0.25">
      <c r="A6187" t="s">
        <v>6191</v>
      </c>
      <c r="B6187">
        <v>0.99673306730245903</v>
      </c>
      <c r="C6187">
        <v>0.85385368615918</v>
      </c>
      <c r="D6187">
        <v>0.64850688535863998</v>
      </c>
      <c r="E6187">
        <v>0.40086618957615799</v>
      </c>
      <c r="F6187">
        <v>0.32088008328050399</v>
      </c>
      <c r="G6187">
        <v>0.191986148722356</v>
      </c>
      <c r="H6187">
        <v>0.117626915085354</v>
      </c>
      <c r="I6187">
        <v>9.8703104024723098E-2</v>
      </c>
      <c r="J6187">
        <v>0.120284338120032</v>
      </c>
      <c r="K6187">
        <v>0.104730366210238</v>
      </c>
      <c r="L6187">
        <v>679.68451717324899</v>
      </c>
      <c r="M6187">
        <v>14.2347234142155</v>
      </c>
      <c r="N6187">
        <v>48.477605039692598</v>
      </c>
      <c r="O6187">
        <v>46.835656243354698</v>
      </c>
      <c r="P6187">
        <v>-6.8667561411923095E-2</v>
      </c>
      <c r="Q6187">
        <v>9.6381241153572897E-2</v>
      </c>
      <c r="R6187">
        <v>0.99225040190075497</v>
      </c>
      <c r="S6187" t="s">
        <v>12639</v>
      </c>
      <c r="T6187" t="s">
        <v>12902</v>
      </c>
      <c r="U6187" t="s">
        <v>12902</v>
      </c>
      <c r="V6187" t="s">
        <v>12902</v>
      </c>
      <c r="W6187" t="s">
        <v>19036</v>
      </c>
      <c r="X6187">
        <v>12</v>
      </c>
      <c r="Y6187" t="s">
        <v>25317</v>
      </c>
      <c r="Z6187" t="s">
        <v>31762</v>
      </c>
      <c r="AA6187">
        <v>0.35587806352952639</v>
      </c>
      <c r="AB6187" t="str">
        <f>HYPERLINK("Melting_Curves/meltCurve_Q9UNY4_TTF2.pdf", "Melting_Curves/meltCurve_Q9UNY4_TTF2.pdf")</f>
        <v>Melting_Curves/meltCurve_Q9UNY4_TTF2.pdf</v>
      </c>
    </row>
    <row r="6188" spans="1:28" x14ac:dyDescent="0.25">
      <c r="A6188" t="s">
        <v>6192</v>
      </c>
      <c r="B6188">
        <v>0.99673306730245903</v>
      </c>
      <c r="C6188">
        <v>0.90914890364946199</v>
      </c>
      <c r="D6188">
        <v>0.84584425283581699</v>
      </c>
      <c r="E6188">
        <v>0.80574611776295801</v>
      </c>
      <c r="F6188">
        <v>0.59633318740959196</v>
      </c>
      <c r="G6188">
        <v>0.45132090221152599</v>
      </c>
      <c r="H6188">
        <v>0.35415810516228602</v>
      </c>
      <c r="I6188">
        <v>0.63080767085687905</v>
      </c>
      <c r="J6188">
        <v>0.81800049721038703</v>
      </c>
      <c r="K6188">
        <v>1.04406270382851</v>
      </c>
      <c r="L6188">
        <v>1072.1381575161399</v>
      </c>
      <c r="M6188">
        <v>23.101552634542202</v>
      </c>
      <c r="O6188">
        <v>46.066249077532099</v>
      </c>
      <c r="P6188">
        <v>-4.3006569990651999E-2</v>
      </c>
      <c r="Q6188">
        <v>0.65697302942227898</v>
      </c>
      <c r="R6188">
        <v>0.30524887748819601</v>
      </c>
      <c r="S6188" t="s">
        <v>12640</v>
      </c>
      <c r="T6188" t="s">
        <v>12902</v>
      </c>
      <c r="U6188" t="s">
        <v>12902</v>
      </c>
      <c r="V6188" t="s">
        <v>12902</v>
      </c>
      <c r="W6188" t="s">
        <v>19037</v>
      </c>
      <c r="X6188">
        <v>3</v>
      </c>
      <c r="Y6188" t="s">
        <v>25318</v>
      </c>
      <c r="Z6188" t="s">
        <v>31763</v>
      </c>
      <c r="AA6188">
        <v>0.73398802696388832</v>
      </c>
      <c r="AB6188" t="str">
        <f>HYPERLINK("Melting_Curves/meltCurve_Q9UNZ5_C19orf53.pdf", "Melting_Curves/meltCurve_Q9UNZ5_C19orf53.pdf")</f>
        <v>Melting_Curves/meltCurve_Q9UNZ5_C19orf53.pdf</v>
      </c>
    </row>
    <row r="6189" spans="1:28" x14ac:dyDescent="0.25">
      <c r="A6189" t="s">
        <v>6193</v>
      </c>
      <c r="B6189">
        <v>0.99673306730245903</v>
      </c>
      <c r="C6189">
        <v>0.84655717703116795</v>
      </c>
      <c r="D6189">
        <v>0.549602584445535</v>
      </c>
      <c r="E6189">
        <v>0.25702590683663801</v>
      </c>
      <c r="F6189">
        <v>0.15778253897561101</v>
      </c>
      <c r="G6189">
        <v>0.108719206466402</v>
      </c>
      <c r="H6189">
        <v>7.0736303356639496E-2</v>
      </c>
      <c r="I6189">
        <v>7.7937848923711195E-2</v>
      </c>
      <c r="J6189">
        <v>9.4017469096516398E-2</v>
      </c>
      <c r="K6189">
        <v>9.6776697818096405E-2</v>
      </c>
      <c r="L6189">
        <v>986.72300840181595</v>
      </c>
      <c r="M6189">
        <v>21.3893115485998</v>
      </c>
      <c r="N6189">
        <v>46.552739782380399</v>
      </c>
      <c r="O6189">
        <v>45.7340348389368</v>
      </c>
      <c r="P6189">
        <v>-0.106640088499402</v>
      </c>
      <c r="Q6189">
        <v>8.7963115549421905E-2</v>
      </c>
      <c r="R6189">
        <v>0.99804609868138705</v>
      </c>
      <c r="S6189" t="s">
        <v>12641</v>
      </c>
      <c r="T6189" t="s">
        <v>12902</v>
      </c>
      <c r="U6189" t="s">
        <v>12902</v>
      </c>
      <c r="V6189" t="s">
        <v>12902</v>
      </c>
      <c r="W6189" t="s">
        <v>19038</v>
      </c>
      <c r="X6189">
        <v>6</v>
      </c>
      <c r="Y6189" t="s">
        <v>25319</v>
      </c>
      <c r="Z6189" t="s">
        <v>31764</v>
      </c>
      <c r="AA6189">
        <v>0.28635262240465031</v>
      </c>
      <c r="AB6189" t="str">
        <f>HYPERLINK("Melting_Curves/meltCurve_Q9UP83_3_COG5.pdf", "Melting_Curves/meltCurve_Q9UP83_3_COG5.pdf")</f>
        <v>Melting_Curves/meltCurve_Q9UP83_3_COG5.pdf</v>
      </c>
    </row>
    <row r="6190" spans="1:28" x14ac:dyDescent="0.25">
      <c r="A6190" t="s">
        <v>6194</v>
      </c>
      <c r="B6190">
        <v>0.99673306730245903</v>
      </c>
      <c r="C6190">
        <v>0.87242688510882904</v>
      </c>
      <c r="D6190">
        <v>0.56844581576710296</v>
      </c>
      <c r="E6190">
        <v>0.36277068997453799</v>
      </c>
      <c r="F6190">
        <v>0.28893232094021798</v>
      </c>
      <c r="G6190">
        <v>0.17144361651727</v>
      </c>
      <c r="H6190">
        <v>0.104175989766175</v>
      </c>
      <c r="I6190">
        <v>0.12862323210278701</v>
      </c>
      <c r="J6190">
        <v>0.21242207582321601</v>
      </c>
      <c r="K6190">
        <v>0.26515376762777199</v>
      </c>
      <c r="L6190">
        <v>930.64339059330098</v>
      </c>
      <c r="M6190">
        <v>20.163179395990099</v>
      </c>
      <c r="N6190">
        <v>47.210738715882997</v>
      </c>
      <c r="O6190">
        <v>45.708779300228002</v>
      </c>
      <c r="P6190">
        <v>-9.0279601641229099E-2</v>
      </c>
      <c r="Q6190">
        <v>0.181390917722104</v>
      </c>
      <c r="R6190">
        <v>0.972259972582591</v>
      </c>
      <c r="S6190" t="s">
        <v>12642</v>
      </c>
      <c r="T6190" t="s">
        <v>12902</v>
      </c>
      <c r="U6190" t="s">
        <v>12902</v>
      </c>
      <c r="V6190" t="s">
        <v>12902</v>
      </c>
      <c r="W6190" t="s">
        <v>19039</v>
      </c>
      <c r="X6190">
        <v>13</v>
      </c>
      <c r="Y6190" t="s">
        <v>25320</v>
      </c>
      <c r="Z6190" t="s">
        <v>31765</v>
      </c>
      <c r="AA6190">
        <v>0.36165020626342043</v>
      </c>
      <c r="AB6190" t="str">
        <f>HYPERLINK("Melting_Curves/meltCurve_Q9UPN6_SCAF8.pdf", "Melting_Curves/meltCurve_Q9UPN6_SCAF8.pdf")</f>
        <v>Melting_Curves/meltCurve_Q9UPN6_SCAF8.pdf</v>
      </c>
    </row>
    <row r="6191" spans="1:28" x14ac:dyDescent="0.25">
      <c r="A6191" t="s">
        <v>6195</v>
      </c>
      <c r="B6191">
        <v>0.99673306730245903</v>
      </c>
      <c r="C6191">
        <v>0.942076192327304</v>
      </c>
      <c r="D6191">
        <v>0.91626499025834796</v>
      </c>
      <c r="E6191">
        <v>0.90544655286262499</v>
      </c>
      <c r="F6191">
        <v>0.47164336038913202</v>
      </c>
      <c r="G6191">
        <v>0.231676063604665</v>
      </c>
      <c r="H6191">
        <v>0.114420131900258</v>
      </c>
      <c r="I6191">
        <v>8.8517163207531904E-2</v>
      </c>
      <c r="J6191">
        <v>8.0153297458461906E-2</v>
      </c>
      <c r="K6191">
        <v>6.1988459314939397E-2</v>
      </c>
      <c r="L6191">
        <v>1371.7887234489301</v>
      </c>
      <c r="M6191">
        <v>25.943182904595002</v>
      </c>
      <c r="N6191">
        <v>53.219530767269198</v>
      </c>
      <c r="O6191">
        <v>52.565483434470202</v>
      </c>
      <c r="P6191">
        <v>-0.113890705660839</v>
      </c>
      <c r="Q6191">
        <v>7.6959797245850406E-2</v>
      </c>
      <c r="R6191">
        <v>0.99265525837686197</v>
      </c>
      <c r="S6191" t="s">
        <v>12643</v>
      </c>
      <c r="T6191" t="s">
        <v>12902</v>
      </c>
      <c r="U6191" t="s">
        <v>12902</v>
      </c>
      <c r="V6191" t="s">
        <v>12902</v>
      </c>
      <c r="W6191" t="s">
        <v>19040</v>
      </c>
      <c r="X6191">
        <v>4</v>
      </c>
      <c r="Y6191" t="s">
        <v>25321</v>
      </c>
      <c r="Z6191" t="s">
        <v>31766</v>
      </c>
      <c r="AA6191">
        <v>0.48106468176271888</v>
      </c>
      <c r="AB6191" t="str">
        <f>HYPERLINK("Melting_Curves/meltCurve_Q9UPN7_PPP6R1.pdf", "Melting_Curves/meltCurve_Q9UPN7_PPP6R1.pdf")</f>
        <v>Melting_Curves/meltCurve_Q9UPN7_PPP6R1.pdf</v>
      </c>
    </row>
    <row r="6192" spans="1:28" x14ac:dyDescent="0.25">
      <c r="A6192" t="s">
        <v>6196</v>
      </c>
      <c r="B6192">
        <v>0.99673306730245903</v>
      </c>
      <c r="C6192">
        <v>0.94968538236130795</v>
      </c>
      <c r="D6192">
        <v>0.77603470317992695</v>
      </c>
      <c r="E6192">
        <v>0.28097704813650398</v>
      </c>
      <c r="F6192">
        <v>0.18699631124229901</v>
      </c>
      <c r="G6192">
        <v>0.116839233475832</v>
      </c>
      <c r="H6192">
        <v>7.1505990280066101E-2</v>
      </c>
      <c r="I6192">
        <v>6.4360541947892605E-2</v>
      </c>
      <c r="J6192">
        <v>7.6089961280369295E-2</v>
      </c>
      <c r="K6192">
        <v>5.94245883486888E-2</v>
      </c>
      <c r="L6192">
        <v>1333.9372691093299</v>
      </c>
      <c r="M6192">
        <v>27.975836285241801</v>
      </c>
      <c r="N6192">
        <v>47.9879360107998</v>
      </c>
      <c r="O6192">
        <v>47.440140627044599</v>
      </c>
      <c r="P6192">
        <v>-0.13537840873805199</v>
      </c>
      <c r="Q6192">
        <v>8.1734174343579005E-2</v>
      </c>
      <c r="R6192">
        <v>0.99520659306880699</v>
      </c>
      <c r="S6192" t="s">
        <v>12644</v>
      </c>
      <c r="T6192" t="s">
        <v>12902</v>
      </c>
      <c r="U6192" t="s">
        <v>12902</v>
      </c>
      <c r="V6192" t="s">
        <v>12902</v>
      </c>
      <c r="W6192" t="s">
        <v>19041</v>
      </c>
      <c r="X6192">
        <v>17</v>
      </c>
      <c r="Y6192" t="s">
        <v>25322</v>
      </c>
      <c r="Z6192" t="s">
        <v>31767</v>
      </c>
      <c r="AA6192">
        <v>0.32325593127071772</v>
      </c>
      <c r="AB6192" t="str">
        <f>HYPERLINK("Melting_Curves/meltCurve_Q9UPN9_2_TRIM33.pdf", "Melting_Curves/meltCurve_Q9UPN9_2_TRIM33.pdf")</f>
        <v>Melting_Curves/meltCurve_Q9UPN9_2_TRIM33.pdf</v>
      </c>
    </row>
    <row r="6193" spans="1:28" x14ac:dyDescent="0.25">
      <c r="A6193" t="s">
        <v>6197</v>
      </c>
      <c r="B6193">
        <v>0.99673306730245903</v>
      </c>
      <c r="C6193">
        <v>0.54978702756817099</v>
      </c>
      <c r="D6193">
        <v>0.22105929206804001</v>
      </c>
      <c r="E6193">
        <v>0.105763131330339</v>
      </c>
      <c r="F6193">
        <v>7.9765732837152603E-2</v>
      </c>
      <c r="G6193">
        <v>3.7263102926047599E-2</v>
      </c>
      <c r="H6193">
        <v>2.9345330290541899E-2</v>
      </c>
      <c r="I6193">
        <v>1.9593548908660201E-2</v>
      </c>
      <c r="J6193">
        <v>9.8145474471649698E-3</v>
      </c>
      <c r="K6193">
        <v>0</v>
      </c>
      <c r="L6193">
        <v>1232.3465860681399</v>
      </c>
      <c r="M6193">
        <v>28.410350031162299</v>
      </c>
      <c r="N6193">
        <v>43.492982074843603</v>
      </c>
      <c r="O6193">
        <v>43.163479174282202</v>
      </c>
      <c r="P6193">
        <v>-0.158533112835891</v>
      </c>
      <c r="Q6193">
        <v>3.6578650770997201E-2</v>
      </c>
      <c r="R6193">
        <v>0.98499586640774905</v>
      </c>
      <c r="S6193" t="s">
        <v>12645</v>
      </c>
      <c r="T6193" t="s">
        <v>12902</v>
      </c>
      <c r="U6193" t="s">
        <v>12902</v>
      </c>
      <c r="V6193" t="s">
        <v>12902</v>
      </c>
      <c r="W6193" t="s">
        <v>19042</v>
      </c>
      <c r="X6193">
        <v>4</v>
      </c>
      <c r="Y6193" t="s">
        <v>25323</v>
      </c>
      <c r="Z6193" t="s">
        <v>31768</v>
      </c>
      <c r="AA6193">
        <v>0.1542003729419873</v>
      </c>
      <c r="AB6193" t="str">
        <f>HYPERLINK("Melting_Curves/meltCurve_Q9UPP1_4_PHF8.pdf", "Melting_Curves/meltCurve_Q9UPP1_4_PHF8.pdf")</f>
        <v>Melting_Curves/meltCurve_Q9UPP1_4_PHF8.pdf</v>
      </c>
    </row>
    <row r="6194" spans="1:28" x14ac:dyDescent="0.25">
      <c r="A6194" t="s">
        <v>6198</v>
      </c>
      <c r="B6194">
        <v>0.99673306730245903</v>
      </c>
      <c r="C6194">
        <v>0.94154437395867197</v>
      </c>
      <c r="D6194">
        <v>0.85757760951943796</v>
      </c>
      <c r="E6194">
        <v>0.70722208205444104</v>
      </c>
      <c r="F6194">
        <v>0.47274249268532298</v>
      </c>
      <c r="G6194">
        <v>0.302952294244342</v>
      </c>
      <c r="H6194">
        <v>0.219249927976776</v>
      </c>
      <c r="I6194">
        <v>0.27272980273859199</v>
      </c>
      <c r="J6194">
        <v>0.35897943026874402</v>
      </c>
      <c r="K6194">
        <v>0.39090101625932</v>
      </c>
      <c r="L6194">
        <v>1029.3663397302801</v>
      </c>
      <c r="M6194">
        <v>20.6112618460124</v>
      </c>
      <c r="N6194">
        <v>52.240578236723103</v>
      </c>
      <c r="O6194">
        <v>49.478930963086697</v>
      </c>
      <c r="P6194">
        <v>-7.3097372170958505E-2</v>
      </c>
      <c r="Q6194">
        <v>0.298116405473483</v>
      </c>
      <c r="R6194">
        <v>0.96366022105735705</v>
      </c>
      <c r="S6194" t="s">
        <v>12646</v>
      </c>
      <c r="T6194" t="s">
        <v>12902</v>
      </c>
      <c r="U6194" t="s">
        <v>12902</v>
      </c>
      <c r="V6194" t="s">
        <v>12902</v>
      </c>
      <c r="W6194" t="s">
        <v>19043</v>
      </c>
      <c r="X6194">
        <v>5</v>
      </c>
      <c r="Y6194" t="s">
        <v>25324</v>
      </c>
      <c r="Z6194" t="s">
        <v>31769</v>
      </c>
      <c r="AA6194">
        <v>0.53993217576407315</v>
      </c>
      <c r="AB6194" t="str">
        <f>HYPERLINK("Melting_Curves/meltCurve_Q9UPQ9_1_TNRC6B.pdf", "Melting_Curves/meltCurve_Q9UPQ9_1_TNRC6B.pdf")</f>
        <v>Melting_Curves/meltCurve_Q9UPQ9_1_TNRC6B.pdf</v>
      </c>
    </row>
    <row r="6195" spans="1:28" x14ac:dyDescent="0.25">
      <c r="A6195" t="s">
        <v>6199</v>
      </c>
      <c r="B6195">
        <v>0.99673306730245903</v>
      </c>
      <c r="C6195">
        <v>0.87086140520175503</v>
      </c>
      <c r="D6195">
        <v>0.75646348034704702</v>
      </c>
      <c r="E6195">
        <v>0.32950678752851498</v>
      </c>
      <c r="F6195">
        <v>0.15598716378927099</v>
      </c>
      <c r="G6195">
        <v>0.108268729629488</v>
      </c>
      <c r="H6195">
        <v>7.0031691562086398E-2</v>
      </c>
      <c r="I6195">
        <v>7.4033699904078404E-2</v>
      </c>
      <c r="J6195">
        <v>8.6855969172161707E-2</v>
      </c>
      <c r="K6195">
        <v>6.6204592169783597E-2</v>
      </c>
      <c r="L6195">
        <v>1062.9362807257401</v>
      </c>
      <c r="M6195">
        <v>22.278146462273899</v>
      </c>
      <c r="N6195">
        <v>48.046367924851097</v>
      </c>
      <c r="O6195">
        <v>47.332612001215203</v>
      </c>
      <c r="P6195">
        <v>-0.109222118116064</v>
      </c>
      <c r="Q6195">
        <v>7.1797296950631695E-2</v>
      </c>
      <c r="R6195">
        <v>0.99532979284557899</v>
      </c>
      <c r="S6195" t="s">
        <v>12647</v>
      </c>
      <c r="T6195" t="s">
        <v>12902</v>
      </c>
      <c r="U6195" t="s">
        <v>12902</v>
      </c>
      <c r="V6195" t="s">
        <v>12902</v>
      </c>
      <c r="W6195" t="s">
        <v>19044</v>
      </c>
      <c r="X6195">
        <v>9</v>
      </c>
      <c r="Y6195" t="s">
        <v>25325</v>
      </c>
      <c r="Z6195" t="s">
        <v>31770</v>
      </c>
      <c r="AA6195">
        <v>0.32093570350585382</v>
      </c>
      <c r="AB6195" t="str">
        <f>HYPERLINK("Melting_Curves/meltCurve_Q9UPT5_1_EXOC7.pdf", "Melting_Curves/meltCurve_Q9UPT5_1_EXOC7.pdf")</f>
        <v>Melting_Curves/meltCurve_Q9UPT5_1_EXOC7.pdf</v>
      </c>
    </row>
    <row r="6196" spans="1:28" x14ac:dyDescent="0.25">
      <c r="A6196" t="s">
        <v>6200</v>
      </c>
      <c r="B6196">
        <v>0.99673306730245903</v>
      </c>
      <c r="C6196">
        <v>0.94048332546607405</v>
      </c>
      <c r="D6196">
        <v>0.99805612519470999</v>
      </c>
      <c r="E6196">
        <v>0.93065229185049503</v>
      </c>
      <c r="F6196">
        <v>0.91729854891347895</v>
      </c>
      <c r="G6196">
        <v>0.72120154772787304</v>
      </c>
      <c r="H6196">
        <v>0.64689346582766505</v>
      </c>
      <c r="I6196">
        <v>0.80034449531317697</v>
      </c>
      <c r="J6196">
        <v>1.08691938992867</v>
      </c>
      <c r="K6196">
        <v>1.39494003803183</v>
      </c>
      <c r="L6196">
        <v>15000</v>
      </c>
      <c r="M6196">
        <v>222.28123016562401</v>
      </c>
      <c r="O6196">
        <v>67.476619282631702</v>
      </c>
      <c r="P6196">
        <v>0.32536236715033001</v>
      </c>
      <c r="Q6196">
        <v>1.3950734359083701</v>
      </c>
      <c r="R6196">
        <v>0.337963842565283</v>
      </c>
      <c r="S6196" t="s">
        <v>12648</v>
      </c>
      <c r="T6196" t="s">
        <v>12902</v>
      </c>
      <c r="U6196" t="s">
        <v>12902</v>
      </c>
      <c r="V6196" t="s">
        <v>12902</v>
      </c>
      <c r="W6196" t="s">
        <v>19045</v>
      </c>
      <c r="X6196">
        <v>18</v>
      </c>
      <c r="Y6196" t="s">
        <v>25326</v>
      </c>
      <c r="Z6196" t="s">
        <v>31771</v>
      </c>
      <c r="AA6196">
        <v>1.033101036737351</v>
      </c>
      <c r="AB6196" t="str">
        <f>HYPERLINK("Melting_Curves/meltCurve_Q9UPT8_ZC3H4.pdf", "Melting_Curves/meltCurve_Q9UPT8_ZC3H4.pdf")</f>
        <v>Melting_Curves/meltCurve_Q9UPT8_ZC3H4.pdf</v>
      </c>
    </row>
    <row r="6197" spans="1:28" x14ac:dyDescent="0.25">
      <c r="A6197" t="s">
        <v>6201</v>
      </c>
      <c r="B6197">
        <v>0.99673306730245903</v>
      </c>
      <c r="C6197">
        <v>0.860089154306801</v>
      </c>
      <c r="D6197">
        <v>0.72820036319827097</v>
      </c>
      <c r="E6197">
        <v>0.399946039548643</v>
      </c>
      <c r="F6197">
        <v>0.15380627050661599</v>
      </c>
      <c r="G6197">
        <v>0.100001708111259</v>
      </c>
      <c r="H6197">
        <v>7.0051754836400401E-2</v>
      </c>
      <c r="I6197">
        <v>7.0708408028758593E-2</v>
      </c>
      <c r="J6197">
        <v>6.9618260024911893E-2</v>
      </c>
      <c r="K6197">
        <v>7.5448106743195506E-2</v>
      </c>
      <c r="L6197">
        <v>912.09739436598602</v>
      </c>
      <c r="M6197">
        <v>19.0246898836577</v>
      </c>
      <c r="N6197">
        <v>48.2611647341406</v>
      </c>
      <c r="O6197">
        <v>47.422538243653499</v>
      </c>
      <c r="P6197">
        <v>-9.4383020944179302E-2</v>
      </c>
      <c r="Q6197">
        <v>5.8969172313423197E-2</v>
      </c>
      <c r="R6197">
        <v>0.99634000856188099</v>
      </c>
      <c r="S6197" t="s">
        <v>12649</v>
      </c>
      <c r="T6197" t="s">
        <v>12902</v>
      </c>
      <c r="U6197" t="s">
        <v>12902</v>
      </c>
      <c r="V6197" t="s">
        <v>12902</v>
      </c>
      <c r="W6197" t="s">
        <v>19046</v>
      </c>
      <c r="X6197">
        <v>3</v>
      </c>
      <c r="Y6197" t="s">
        <v>25327</v>
      </c>
      <c r="Z6197" t="s">
        <v>31772</v>
      </c>
      <c r="AA6197">
        <v>0.32300377281217968</v>
      </c>
      <c r="AB6197" t="str">
        <f>HYPERLINK("Melting_Curves/meltCurve_Q9UPT9_2_USP22.pdf", "Melting_Curves/meltCurve_Q9UPT9_2_USP22.pdf")</f>
        <v>Melting_Curves/meltCurve_Q9UPT9_2_USP22.pdf</v>
      </c>
    </row>
    <row r="6198" spans="1:28" x14ac:dyDescent="0.25">
      <c r="A6198" t="s">
        <v>6202</v>
      </c>
      <c r="B6198">
        <v>0.99673306730245903</v>
      </c>
      <c r="C6198">
        <v>0.94700788815119497</v>
      </c>
      <c r="D6198">
        <v>0.86305220904704005</v>
      </c>
      <c r="E6198">
        <v>0.60025452454473505</v>
      </c>
      <c r="F6198">
        <v>0.291499796286599</v>
      </c>
      <c r="G6198">
        <v>0.10680110386097399</v>
      </c>
      <c r="H6198">
        <v>5.3049281681664298E-2</v>
      </c>
      <c r="I6198">
        <v>5.4204595504304898E-2</v>
      </c>
      <c r="J6198">
        <v>5.6454746130880702E-2</v>
      </c>
      <c r="K6198">
        <v>4.4951301791791798E-2</v>
      </c>
      <c r="L6198">
        <v>993.91990659889302</v>
      </c>
      <c r="M6198">
        <v>19.735154094998499</v>
      </c>
      <c r="N6198">
        <v>50.549463291814703</v>
      </c>
      <c r="O6198">
        <v>49.8543609939954</v>
      </c>
      <c r="P6198">
        <v>-9.5491613222550301E-2</v>
      </c>
      <c r="Q6198">
        <v>3.5120777051744302E-2</v>
      </c>
      <c r="R6198">
        <v>0.99889182512365104</v>
      </c>
      <c r="S6198" t="s">
        <v>12650</v>
      </c>
      <c r="T6198" t="s">
        <v>12902</v>
      </c>
      <c r="U6198" t="s">
        <v>12902</v>
      </c>
      <c r="V6198" t="s">
        <v>12902</v>
      </c>
      <c r="W6198" t="s">
        <v>19047</v>
      </c>
      <c r="X6198">
        <v>13</v>
      </c>
      <c r="Y6198" t="s">
        <v>25328</v>
      </c>
      <c r="Z6198" t="s">
        <v>31773</v>
      </c>
      <c r="AA6198">
        <v>0.38218319349169522</v>
      </c>
      <c r="AB6198" t="str">
        <f>HYPERLINK("Melting_Curves/meltCurve_Q9UPU5_USP24.pdf", "Melting_Curves/meltCurve_Q9UPU5_USP24.pdf")</f>
        <v>Melting_Curves/meltCurve_Q9UPU5_USP24.pdf</v>
      </c>
    </row>
    <row r="6199" spans="1:28" x14ac:dyDescent="0.25">
      <c r="A6199" t="s">
        <v>6203</v>
      </c>
      <c r="B6199">
        <v>0.99673306730245903</v>
      </c>
      <c r="C6199">
        <v>0.888565628399546</v>
      </c>
      <c r="D6199">
        <v>0.94499834073123701</v>
      </c>
      <c r="E6199">
        <v>0.72461391121262597</v>
      </c>
      <c r="F6199">
        <v>0.377718085785336</v>
      </c>
      <c r="G6199">
        <v>0.19586519927120999</v>
      </c>
      <c r="H6199">
        <v>0.11920306299498599</v>
      </c>
      <c r="I6199">
        <v>0.12215292494379699</v>
      </c>
      <c r="J6199">
        <v>0.120975526138538</v>
      </c>
      <c r="K6199">
        <v>0.107770757862172</v>
      </c>
      <c r="L6199">
        <v>1139.6892305332101</v>
      </c>
      <c r="M6199">
        <v>22.2219348083784</v>
      </c>
      <c r="N6199">
        <v>51.840416901268703</v>
      </c>
      <c r="O6199">
        <v>50.876776779152202</v>
      </c>
      <c r="P6199">
        <v>-9.7660710062885903E-2</v>
      </c>
      <c r="Q6199">
        <v>0.105648578131291</v>
      </c>
      <c r="R6199">
        <v>0.992021777035206</v>
      </c>
      <c r="S6199" t="s">
        <v>12651</v>
      </c>
      <c r="T6199" t="s">
        <v>12902</v>
      </c>
      <c r="U6199" t="s">
        <v>12902</v>
      </c>
      <c r="V6199" t="s">
        <v>12902</v>
      </c>
      <c r="W6199" t="s">
        <v>19048</v>
      </c>
      <c r="X6199">
        <v>7</v>
      </c>
      <c r="Y6199" t="s">
        <v>25329</v>
      </c>
      <c r="Z6199" t="s">
        <v>31774</v>
      </c>
      <c r="AA6199">
        <v>0.45230101372668913</v>
      </c>
      <c r="AB6199" t="str">
        <f>HYPERLINK("Melting_Curves/meltCurve_Q9UPW5_AGTPBP1.pdf", "Melting_Curves/meltCurve_Q9UPW5_AGTPBP1.pdf")</f>
        <v>Melting_Curves/meltCurve_Q9UPW5_AGTPBP1.pdf</v>
      </c>
    </row>
    <row r="6200" spans="1:28" x14ac:dyDescent="0.25">
      <c r="A6200" t="s">
        <v>6204</v>
      </c>
      <c r="B6200">
        <v>0.99673306730245903</v>
      </c>
      <c r="C6200">
        <v>0.83484609450432901</v>
      </c>
      <c r="D6200">
        <v>0.85112235155698601</v>
      </c>
      <c r="E6200">
        <v>0.46900491787139598</v>
      </c>
      <c r="F6200">
        <v>0.195905061844971</v>
      </c>
      <c r="G6200">
        <v>0.14857217779305501</v>
      </c>
      <c r="H6200">
        <v>0.11423015233082801</v>
      </c>
      <c r="I6200">
        <v>0.14382757360105999</v>
      </c>
      <c r="J6200">
        <v>0.16023223238877801</v>
      </c>
      <c r="K6200">
        <v>0.177887564147544</v>
      </c>
      <c r="L6200">
        <v>1149.2185770240501</v>
      </c>
      <c r="M6200">
        <v>23.700429323780899</v>
      </c>
      <c r="N6200">
        <v>49.1551087029735</v>
      </c>
      <c r="O6200">
        <v>48.148114422317001</v>
      </c>
      <c r="P6200">
        <v>-0.106167259197888</v>
      </c>
      <c r="Q6200">
        <v>0.13728700897783999</v>
      </c>
      <c r="R6200">
        <v>0.97986876074010798</v>
      </c>
      <c r="S6200" t="s">
        <v>12652</v>
      </c>
      <c r="T6200" t="s">
        <v>12902</v>
      </c>
      <c r="U6200" t="s">
        <v>12902</v>
      </c>
      <c r="V6200" t="s">
        <v>12902</v>
      </c>
      <c r="W6200" t="s">
        <v>19049</v>
      </c>
      <c r="X6200">
        <v>1</v>
      </c>
      <c r="Y6200" t="s">
        <v>25330</v>
      </c>
      <c r="Z6200" t="s">
        <v>31775</v>
      </c>
      <c r="AA6200">
        <v>0.38994399881002217</v>
      </c>
      <c r="AB6200" t="str">
        <f>HYPERLINK("Melting_Curves/meltCurve_Q9UPY3_DICER1.pdf", "Melting_Curves/meltCurve_Q9UPY3_DICER1.pdf")</f>
        <v>Melting_Curves/meltCurve_Q9UPY3_DICER1.pdf</v>
      </c>
    </row>
    <row r="6201" spans="1:28" x14ac:dyDescent="0.25">
      <c r="A6201" t="s">
        <v>6205</v>
      </c>
      <c r="B6201">
        <v>0.99673306730245903</v>
      </c>
      <c r="C6201">
        <v>0.970132260394451</v>
      </c>
      <c r="D6201">
        <v>0.99057976573422502</v>
      </c>
      <c r="E6201">
        <v>1.0325665708051199</v>
      </c>
      <c r="F6201">
        <v>0.94512995488059703</v>
      </c>
      <c r="G6201">
        <v>0.85681099622526202</v>
      </c>
      <c r="H6201">
        <v>0.56671083753943396</v>
      </c>
      <c r="I6201">
        <v>0.40832357699458899</v>
      </c>
      <c r="J6201">
        <v>0.215012636349352</v>
      </c>
      <c r="K6201">
        <v>0.13251693682878901</v>
      </c>
      <c r="L6201">
        <v>1115.62673726751</v>
      </c>
      <c r="M6201">
        <v>17.997609442562499</v>
      </c>
      <c r="N6201">
        <v>62.167759591884298</v>
      </c>
      <c r="O6201">
        <v>61.237421821405</v>
      </c>
      <c r="P6201">
        <v>-7.1610252576492894E-2</v>
      </c>
      <c r="Q6201">
        <v>2.54239955245694E-2</v>
      </c>
      <c r="R6201">
        <v>0.99545332666542197</v>
      </c>
      <c r="S6201" t="s">
        <v>12653</v>
      </c>
      <c r="T6201" t="s">
        <v>12902</v>
      </c>
      <c r="U6201" t="s">
        <v>12902</v>
      </c>
      <c r="V6201" t="s">
        <v>12902</v>
      </c>
      <c r="W6201" t="s">
        <v>19050</v>
      </c>
      <c r="X6201">
        <v>4</v>
      </c>
      <c r="Y6201" t="s">
        <v>25331</v>
      </c>
      <c r="Z6201" t="s">
        <v>31776</v>
      </c>
      <c r="AA6201">
        <v>0.74122262886559365</v>
      </c>
      <c r="AB6201" t="str">
        <f>HYPERLINK("Melting_Curves/meltCurve_Q9UPY5_SLC7A11.pdf", "Melting_Curves/meltCurve_Q9UPY5_SLC7A11.pdf")</f>
        <v>Melting_Curves/meltCurve_Q9UPY5_SLC7A11.pdf</v>
      </c>
    </row>
    <row r="6202" spans="1:28" x14ac:dyDescent="0.25">
      <c r="A6202" t="s">
        <v>6206</v>
      </c>
      <c r="B6202">
        <v>0.99673306730245903</v>
      </c>
      <c r="C6202">
        <v>1.2800861480646999</v>
      </c>
      <c r="D6202">
        <v>0</v>
      </c>
      <c r="E6202">
        <v>0.78891234448696901</v>
      </c>
      <c r="F6202">
        <v>8.8424870088877297E-2</v>
      </c>
      <c r="G6202">
        <v>7.1624615177634104E-2</v>
      </c>
      <c r="H6202">
        <v>3.8338037250065703E-2</v>
      </c>
      <c r="I6202">
        <v>4.1117123411376098E-2</v>
      </c>
      <c r="J6202">
        <v>5.5824180367880803E-2</v>
      </c>
      <c r="K6202">
        <v>3.7485891421070602E-2</v>
      </c>
      <c r="L6202">
        <v>739.30002308528196</v>
      </c>
      <c r="M6202">
        <v>15.6479512723563</v>
      </c>
      <c r="N6202">
        <v>47.471726617599501</v>
      </c>
      <c r="O6202">
        <v>46.494392450267</v>
      </c>
      <c r="P6202">
        <v>-8.1126774741898805E-2</v>
      </c>
      <c r="Q6202">
        <v>3.5882558426005802E-2</v>
      </c>
      <c r="R6202">
        <v>0.62843751970698802</v>
      </c>
      <c r="S6202" t="s">
        <v>12654</v>
      </c>
      <c r="T6202" t="s">
        <v>12902</v>
      </c>
      <c r="U6202" t="s">
        <v>12902</v>
      </c>
      <c r="V6202" t="s">
        <v>12902</v>
      </c>
      <c r="W6202" t="s">
        <v>19051</v>
      </c>
      <c r="X6202">
        <v>1</v>
      </c>
      <c r="Y6202" t="s">
        <v>25332</v>
      </c>
      <c r="Z6202" t="s">
        <v>31777</v>
      </c>
      <c r="AA6202">
        <v>0.2924015108569879</v>
      </c>
      <c r="AB6202" t="str">
        <f>HYPERLINK("Melting_Curves/meltCurve_Q9UPZ3_2_HPS5.pdf", "Melting_Curves/meltCurve_Q9UPZ3_2_HPS5.pdf")</f>
        <v>Melting_Curves/meltCurve_Q9UPZ3_2_HPS5.pdf</v>
      </c>
    </row>
    <row r="6203" spans="1:28" x14ac:dyDescent="0.25">
      <c r="A6203" t="s">
        <v>6207</v>
      </c>
      <c r="B6203">
        <v>0.99673306730245903</v>
      </c>
      <c r="C6203">
        <v>0.991554220345085</v>
      </c>
      <c r="D6203">
        <v>0.96884591929847097</v>
      </c>
      <c r="E6203">
        <v>0.85873366522147998</v>
      </c>
      <c r="F6203">
        <v>0.427342501335778</v>
      </c>
      <c r="G6203">
        <v>0.20793668908698401</v>
      </c>
      <c r="H6203">
        <v>0.12280417442949</v>
      </c>
      <c r="I6203">
        <v>0.115986896086174</v>
      </c>
      <c r="J6203">
        <v>0.132554447967663</v>
      </c>
      <c r="K6203">
        <v>0.11604491826671499</v>
      </c>
      <c r="L6203">
        <v>1570.95256920011</v>
      </c>
      <c r="M6203">
        <v>30.102988727938001</v>
      </c>
      <c r="N6203">
        <v>52.667854280295998</v>
      </c>
      <c r="O6203">
        <v>51.957260765698798</v>
      </c>
      <c r="P6203">
        <v>-0.12740875252598199</v>
      </c>
      <c r="Q6203">
        <v>0.120384052306101</v>
      </c>
      <c r="R6203">
        <v>0.99924710853644305</v>
      </c>
      <c r="S6203" t="s">
        <v>12655</v>
      </c>
      <c r="T6203" t="s">
        <v>12902</v>
      </c>
      <c r="U6203" t="s">
        <v>12902</v>
      </c>
      <c r="V6203" t="s">
        <v>12902</v>
      </c>
      <c r="W6203" t="s">
        <v>19052</v>
      </c>
      <c r="X6203">
        <v>4</v>
      </c>
      <c r="Y6203" t="s">
        <v>25333</v>
      </c>
      <c r="Z6203" t="s">
        <v>31778</v>
      </c>
      <c r="AA6203">
        <v>0.48328036220566639</v>
      </c>
      <c r="AB6203" t="str">
        <f>HYPERLINK("Melting_Curves/meltCurve_Q9UQ13_2_SHOC2.pdf", "Melting_Curves/meltCurve_Q9UQ13_2_SHOC2.pdf")</f>
        <v>Melting_Curves/meltCurve_Q9UQ13_2_SHOC2.pdf</v>
      </c>
    </row>
    <row r="6204" spans="1:28" x14ac:dyDescent="0.25">
      <c r="A6204" t="s">
        <v>6208</v>
      </c>
      <c r="B6204">
        <v>0.99673306730245903</v>
      </c>
      <c r="C6204">
        <v>0.88859571915337998</v>
      </c>
      <c r="D6204">
        <v>0.480705105742182</v>
      </c>
      <c r="E6204">
        <v>0.61059197086063399</v>
      </c>
      <c r="F6204">
        <v>0.29406654069122201</v>
      </c>
      <c r="G6204">
        <v>0.20609447346642101</v>
      </c>
      <c r="H6204">
        <v>0.14979512785537999</v>
      </c>
      <c r="I6204">
        <v>0.21015681639849301</v>
      </c>
      <c r="J6204">
        <v>0.338532650112433</v>
      </c>
      <c r="K6204">
        <v>0.36725928143613301</v>
      </c>
      <c r="L6204">
        <v>786.51104818383396</v>
      </c>
      <c r="M6204">
        <v>17.0744751129806</v>
      </c>
      <c r="N6204">
        <v>48.083391544675102</v>
      </c>
      <c r="O6204">
        <v>45.445630696730099</v>
      </c>
      <c r="P6204">
        <v>-6.9891148927865798E-2</v>
      </c>
      <c r="Q6204">
        <v>0.25595267607292099</v>
      </c>
      <c r="R6204">
        <v>0.86454861594786003</v>
      </c>
      <c r="S6204" t="s">
        <v>12656</v>
      </c>
      <c r="T6204" t="s">
        <v>12902</v>
      </c>
      <c r="U6204" t="s">
        <v>12902</v>
      </c>
      <c r="V6204" t="s">
        <v>12902</v>
      </c>
      <c r="W6204" t="s">
        <v>19053</v>
      </c>
      <c r="X6204">
        <v>49</v>
      </c>
      <c r="Y6204" t="s">
        <v>25334</v>
      </c>
      <c r="Z6204" t="s">
        <v>31779</v>
      </c>
      <c r="AA6204">
        <v>0.4226861033642787</v>
      </c>
      <c r="AB6204" t="str">
        <f>HYPERLINK("Melting_Curves/meltCurve_Q9UQ35_SRRM2.pdf", "Melting_Curves/meltCurve_Q9UQ35_SRRM2.pdf")</f>
        <v>Melting_Curves/meltCurve_Q9UQ35_SRRM2.pdf</v>
      </c>
    </row>
    <row r="6205" spans="1:28" x14ac:dyDescent="0.25">
      <c r="A6205" t="s">
        <v>6209</v>
      </c>
      <c r="B6205">
        <v>0.99673306730245903</v>
      </c>
      <c r="C6205">
        <v>1.0334139408135099</v>
      </c>
      <c r="D6205">
        <v>0.70021999026176895</v>
      </c>
      <c r="E6205">
        <v>0.742947015254254</v>
      </c>
      <c r="F6205">
        <v>0.30073827533983299</v>
      </c>
      <c r="G6205">
        <v>0.130829155450119</v>
      </c>
      <c r="H6205">
        <v>6.3198160749315696E-2</v>
      </c>
      <c r="I6205">
        <v>5.3815725971407498E-2</v>
      </c>
      <c r="J6205">
        <v>5.3766589891247399E-2</v>
      </c>
      <c r="K6205">
        <v>4.6624634203494698E-2</v>
      </c>
      <c r="L6205">
        <v>866.43829414851598</v>
      </c>
      <c r="M6205">
        <v>17.0156369295376</v>
      </c>
      <c r="N6205">
        <v>51.042019996577203</v>
      </c>
      <c r="O6205">
        <v>50.232432068941101</v>
      </c>
      <c r="P6205">
        <v>-8.3003485151046205E-2</v>
      </c>
      <c r="Q6205">
        <v>1.9911114363459801E-2</v>
      </c>
      <c r="R6205">
        <v>0.96677423798783202</v>
      </c>
      <c r="S6205" t="s">
        <v>12657</v>
      </c>
      <c r="T6205" t="s">
        <v>12902</v>
      </c>
      <c r="U6205" t="s">
        <v>12902</v>
      </c>
      <c r="V6205" t="s">
        <v>12902</v>
      </c>
      <c r="W6205" t="s">
        <v>19054</v>
      </c>
      <c r="X6205">
        <v>35</v>
      </c>
      <c r="Y6205" t="s">
        <v>25335</v>
      </c>
      <c r="Z6205" t="s">
        <v>31780</v>
      </c>
      <c r="AA6205">
        <v>0.39494812969516402</v>
      </c>
      <c r="AB6205" t="str">
        <f>HYPERLINK("Melting_Curves/meltCurve_Q9UQ80_PA2G4.pdf", "Melting_Curves/meltCurve_Q9UQ80_PA2G4.pdf")</f>
        <v>Melting_Curves/meltCurve_Q9UQ80_PA2G4.pdf</v>
      </c>
    </row>
    <row r="6206" spans="1:28" x14ac:dyDescent="0.25">
      <c r="A6206" t="s">
        <v>6210</v>
      </c>
      <c r="B6206">
        <v>0.99673306730245903</v>
      </c>
      <c r="C6206">
        <v>0.98173414311056195</v>
      </c>
      <c r="D6206">
        <v>0.88896629193397703</v>
      </c>
      <c r="E6206">
        <v>0.81079434468044997</v>
      </c>
      <c r="F6206">
        <v>0.65989421559235095</v>
      </c>
      <c r="G6206">
        <v>0.38790817959725499</v>
      </c>
      <c r="H6206">
        <v>0.13720076742565299</v>
      </c>
      <c r="I6206">
        <v>0.12989187077980099</v>
      </c>
      <c r="J6206">
        <v>0.12777732068727499</v>
      </c>
      <c r="K6206">
        <v>0.13733280646537899</v>
      </c>
      <c r="L6206">
        <v>887.49448591710905</v>
      </c>
      <c r="M6206">
        <v>16.365245515590001</v>
      </c>
      <c r="N6206">
        <v>54.772759383858698</v>
      </c>
      <c r="O6206">
        <v>53.440091774325502</v>
      </c>
      <c r="P6206">
        <v>-7.0837844264711902E-2</v>
      </c>
      <c r="Q6206">
        <v>7.4793173283344103E-2</v>
      </c>
      <c r="R6206">
        <v>0.98866682318180399</v>
      </c>
      <c r="S6206" t="s">
        <v>12658</v>
      </c>
      <c r="T6206" t="s">
        <v>12902</v>
      </c>
      <c r="U6206" t="s">
        <v>12902</v>
      </c>
      <c r="V6206" t="s">
        <v>12902</v>
      </c>
      <c r="W6206" t="s">
        <v>19055</v>
      </c>
      <c r="X6206">
        <v>17</v>
      </c>
      <c r="Y6206" t="s">
        <v>25336</v>
      </c>
      <c r="Z6206" t="s">
        <v>31781</v>
      </c>
      <c r="AA6206">
        <v>0.53045045611947717</v>
      </c>
      <c r="AB6206" t="str">
        <f>HYPERLINK("Melting_Curves/meltCurve_Q9UQ90_SPG7.pdf", "Melting_Curves/meltCurve_Q9UQ90_SPG7.pdf")</f>
        <v>Melting_Curves/meltCurve_Q9UQ90_SPG7.pdf</v>
      </c>
    </row>
    <row r="6207" spans="1:28" x14ac:dyDescent="0.25">
      <c r="A6207" t="s">
        <v>6211</v>
      </c>
      <c r="B6207">
        <v>0.99673306730245903</v>
      </c>
      <c r="C6207">
        <v>1.1593326050197199</v>
      </c>
      <c r="D6207">
        <v>0.68353459434299602</v>
      </c>
      <c r="E6207">
        <v>0.84674637320972101</v>
      </c>
      <c r="F6207">
        <v>0.29358071111418499</v>
      </c>
      <c r="G6207">
        <v>0.19286433787139601</v>
      </c>
      <c r="H6207">
        <v>9.4785346428946995E-2</v>
      </c>
      <c r="I6207">
        <v>8.4447188618276894E-2</v>
      </c>
      <c r="J6207">
        <v>8.3742959035549597E-2</v>
      </c>
      <c r="K6207">
        <v>7.8607763558538796E-2</v>
      </c>
      <c r="L6207">
        <v>1102.88724612741</v>
      </c>
      <c r="M6207">
        <v>21.460878071458801</v>
      </c>
      <c r="N6207">
        <v>51.750145276572603</v>
      </c>
      <c r="O6207">
        <v>50.9506278697338</v>
      </c>
      <c r="P6207">
        <v>-9.8011560869024197E-2</v>
      </c>
      <c r="Q6207">
        <v>6.9259461730559496E-2</v>
      </c>
      <c r="R6207">
        <v>0.92853358059919</v>
      </c>
      <c r="S6207" t="s">
        <v>12659</v>
      </c>
      <c r="T6207" t="s">
        <v>12902</v>
      </c>
      <c r="U6207" t="s">
        <v>12902</v>
      </c>
      <c r="V6207" t="s">
        <v>12902</v>
      </c>
      <c r="W6207" t="s">
        <v>19056</v>
      </c>
      <c r="X6207">
        <v>34</v>
      </c>
      <c r="Y6207" t="s">
        <v>25337</v>
      </c>
      <c r="Z6207" t="s">
        <v>31782</v>
      </c>
      <c r="AA6207">
        <v>0.43396774493445739</v>
      </c>
      <c r="AB6207" t="str">
        <f>HYPERLINK("Melting_Curves/meltCurve_Q9UQB8_5_BAIAP2.pdf", "Melting_Curves/meltCurve_Q9UQB8_5_BAIAP2.pdf")</f>
        <v>Melting_Curves/meltCurve_Q9UQB8_5_BAIAP2.pdf</v>
      </c>
    </row>
    <row r="6208" spans="1:28" x14ac:dyDescent="0.25">
      <c r="A6208" t="s">
        <v>6212</v>
      </c>
      <c r="B6208">
        <v>0.99673306730245903</v>
      </c>
      <c r="C6208">
        <v>0.820769304547316</v>
      </c>
      <c r="D6208">
        <v>0.59532281622146899</v>
      </c>
      <c r="E6208">
        <v>0.46636409144709201</v>
      </c>
      <c r="F6208">
        <v>0.350650488987716</v>
      </c>
      <c r="G6208">
        <v>0.244724148850789</v>
      </c>
      <c r="H6208">
        <v>0.18876936925223001</v>
      </c>
      <c r="I6208">
        <v>0.185714255703991</v>
      </c>
      <c r="J6208">
        <v>0.25160438601642998</v>
      </c>
      <c r="K6208">
        <v>0.26854782617225398</v>
      </c>
      <c r="L6208">
        <v>715.61598646050595</v>
      </c>
      <c r="M6208">
        <v>15.405716721717599</v>
      </c>
      <c r="N6208">
        <v>48.251506519896999</v>
      </c>
      <c r="O6208">
        <v>45.689751618939198</v>
      </c>
      <c r="P6208">
        <v>-6.5875970219453905E-2</v>
      </c>
      <c r="Q6208">
        <v>0.21858024119444799</v>
      </c>
      <c r="R6208">
        <v>0.97892568227403098</v>
      </c>
      <c r="S6208" t="s">
        <v>12660</v>
      </c>
      <c r="T6208" t="s">
        <v>12902</v>
      </c>
      <c r="U6208" t="s">
        <v>12902</v>
      </c>
      <c r="V6208" t="s">
        <v>12902</v>
      </c>
      <c r="W6208" t="s">
        <v>19057</v>
      </c>
      <c r="X6208">
        <v>4</v>
      </c>
      <c r="Y6208" t="s">
        <v>25338</v>
      </c>
      <c r="Z6208" t="s">
        <v>31783</v>
      </c>
      <c r="AA6208">
        <v>0.40745227614347079</v>
      </c>
      <c r="AB6208" t="str">
        <f>HYPERLINK("Melting_Curves/meltCurve_Q9UQC2_2_GAB2.pdf", "Melting_Curves/meltCurve_Q9UQC2_2_GAB2.pdf")</f>
        <v>Melting_Curves/meltCurve_Q9UQC2_2_GAB2.pdf</v>
      </c>
    </row>
    <row r="6209" spans="1:28" x14ac:dyDescent="0.25">
      <c r="A6209" t="s">
        <v>6213</v>
      </c>
      <c r="B6209">
        <v>0.99673306730245903</v>
      </c>
      <c r="C6209">
        <v>0.78900370132126996</v>
      </c>
      <c r="D6209">
        <v>0.92445682560753095</v>
      </c>
      <c r="E6209">
        <v>1.03819238123282</v>
      </c>
      <c r="F6209">
        <v>0.59200333682149497</v>
      </c>
      <c r="G6209">
        <v>0.238420466874363</v>
      </c>
      <c r="H6209">
        <v>0.106327117844838</v>
      </c>
      <c r="I6209">
        <v>8.2788859700856393E-2</v>
      </c>
      <c r="J6209">
        <v>8.8262771240193993E-2</v>
      </c>
      <c r="K6209">
        <v>7.6631791604577601E-2</v>
      </c>
      <c r="L6209">
        <v>1925.39553431069</v>
      </c>
      <c r="M6209">
        <v>35.845532981787201</v>
      </c>
      <c r="N6209">
        <v>54.011169543603501</v>
      </c>
      <c r="O6209">
        <v>53.547330601994098</v>
      </c>
      <c r="P6209">
        <v>-0.152362507606255</v>
      </c>
      <c r="Q6209">
        <v>8.9584841888312894E-2</v>
      </c>
      <c r="R6209">
        <v>0.96195590642110396</v>
      </c>
      <c r="S6209" t="s">
        <v>12661</v>
      </c>
      <c r="T6209" t="s">
        <v>12902</v>
      </c>
      <c r="U6209" t="s">
        <v>12902</v>
      </c>
      <c r="V6209" t="s">
        <v>12902</v>
      </c>
      <c r="W6209" t="s">
        <v>19058</v>
      </c>
      <c r="X6209">
        <v>55</v>
      </c>
      <c r="Y6209" t="s">
        <v>25339</v>
      </c>
      <c r="Z6209" t="s">
        <v>31784</v>
      </c>
      <c r="AA6209">
        <v>0.50995607422194655</v>
      </c>
      <c r="AB6209" t="str">
        <f>HYPERLINK("Melting_Curves/meltCurve_Q9UQE7_SMC3.pdf", "Melting_Curves/meltCurve_Q9UQE7_SMC3.pdf")</f>
        <v>Melting_Curves/meltCurve_Q9UQE7_SMC3.pdf</v>
      </c>
    </row>
    <row r="6210" spans="1:28" x14ac:dyDescent="0.25">
      <c r="A6210" t="s">
        <v>6214</v>
      </c>
      <c r="B6210">
        <v>0.99673306730245903</v>
      </c>
      <c r="C6210">
        <v>0.95651452808890203</v>
      </c>
      <c r="D6210">
        <v>0.90100786819454204</v>
      </c>
      <c r="E6210">
        <v>0.43653100051562199</v>
      </c>
      <c r="F6210">
        <v>0.243696135332375</v>
      </c>
      <c r="G6210">
        <v>0.11652772602547699</v>
      </c>
      <c r="H6210">
        <v>5.1578426583137799E-2</v>
      </c>
      <c r="I6210">
        <v>4.8272772912462097E-2</v>
      </c>
      <c r="J6210">
        <v>4.2733451285496202E-2</v>
      </c>
      <c r="K6210">
        <v>4.1975661399569902E-2</v>
      </c>
      <c r="L6210">
        <v>1143.8283848440401</v>
      </c>
      <c r="M6210">
        <v>23.208413657983002</v>
      </c>
      <c r="N6210">
        <v>49.516996866875701</v>
      </c>
      <c r="O6210">
        <v>48.923553742626197</v>
      </c>
      <c r="P6210">
        <v>-0.11248962315362999</v>
      </c>
      <c r="Q6210">
        <v>5.1500720178596901E-2</v>
      </c>
      <c r="R6210">
        <v>0.99403048464727495</v>
      </c>
      <c r="S6210" t="s">
        <v>12662</v>
      </c>
      <c r="T6210" t="s">
        <v>12902</v>
      </c>
      <c r="U6210" t="s">
        <v>12902</v>
      </c>
      <c r="V6210" t="s">
        <v>12902</v>
      </c>
      <c r="W6210" t="s">
        <v>19059</v>
      </c>
      <c r="X6210">
        <v>3</v>
      </c>
      <c r="Y6210" t="s">
        <v>25340</v>
      </c>
      <c r="Z6210" t="s">
        <v>31785</v>
      </c>
      <c r="AA6210">
        <v>0.35486769405409302</v>
      </c>
      <c r="AB6210" t="str">
        <f>HYPERLINK("Melting_Curves/meltCurve_Q9UQL0_UBE2D4.pdf", "Melting_Curves/meltCurve_Q9UQL0_UBE2D4.pdf")</f>
        <v>Melting_Curves/meltCurve_Q9UQL0_UBE2D4.pdf</v>
      </c>
    </row>
    <row r="6211" spans="1:28" x14ac:dyDescent="0.25">
      <c r="A6211" t="s">
        <v>6215</v>
      </c>
      <c r="B6211">
        <v>0.99673306730245903</v>
      </c>
      <c r="C6211">
        <v>0.97089335502156004</v>
      </c>
      <c r="D6211">
        <v>1.0109776229121701</v>
      </c>
      <c r="E6211">
        <v>0.823635981669394</v>
      </c>
      <c r="F6211">
        <v>0.65839932449427196</v>
      </c>
      <c r="G6211">
        <v>0.475441038618163</v>
      </c>
      <c r="H6211">
        <v>0.39577833172677901</v>
      </c>
      <c r="I6211">
        <v>0.55855529398189696</v>
      </c>
      <c r="J6211">
        <v>0.80362832966047404</v>
      </c>
      <c r="K6211">
        <v>0.80591886192208895</v>
      </c>
      <c r="L6211">
        <v>2364.0100218899101</v>
      </c>
      <c r="M6211">
        <v>47.435071244407503</v>
      </c>
      <c r="O6211">
        <v>49.748435960963697</v>
      </c>
      <c r="P6211">
        <v>-9.2347546926220395E-2</v>
      </c>
      <c r="Q6211">
        <v>0.61259551397696799</v>
      </c>
      <c r="R6211">
        <v>0.66695077842020101</v>
      </c>
      <c r="S6211" t="s">
        <v>12663</v>
      </c>
      <c r="T6211" t="s">
        <v>12902</v>
      </c>
      <c r="U6211" t="s">
        <v>12902</v>
      </c>
      <c r="V6211" t="s">
        <v>12902</v>
      </c>
      <c r="W6211" t="s">
        <v>19060</v>
      </c>
      <c r="X6211">
        <v>8</v>
      </c>
      <c r="Y6211" t="s">
        <v>25341</v>
      </c>
      <c r="Z6211" t="s">
        <v>31786</v>
      </c>
      <c r="AA6211">
        <v>0.74056914354804404</v>
      </c>
      <c r="AB6211" t="str">
        <f>HYPERLINK("Melting_Curves/meltCurve_Q9UQN3_CHMP2B.pdf", "Melting_Curves/meltCurve_Q9UQN3_CHMP2B.pdf")</f>
        <v>Melting_Curves/meltCurve_Q9UQN3_CHMP2B.pdf</v>
      </c>
    </row>
    <row r="6212" spans="1:28" x14ac:dyDescent="0.25">
      <c r="A6212" t="s">
        <v>6216</v>
      </c>
      <c r="B6212">
        <v>0.99673306730245903</v>
      </c>
      <c r="C6212">
        <v>0.98433926379653103</v>
      </c>
      <c r="D6212">
        <v>0.97667745991342503</v>
      </c>
      <c r="E6212">
        <v>0.80670729668623398</v>
      </c>
      <c r="F6212">
        <v>0.26289825359428198</v>
      </c>
      <c r="G6212">
        <v>0.17380961059543501</v>
      </c>
      <c r="H6212">
        <v>0.10725624999553</v>
      </c>
      <c r="I6212">
        <v>0.103998266497876</v>
      </c>
      <c r="J6212">
        <v>0.104867375852167</v>
      </c>
      <c r="K6212">
        <v>8.5443109482751703E-2</v>
      </c>
      <c r="L6212">
        <v>1984.65982030447</v>
      </c>
      <c r="M6212">
        <v>38.773166447755898</v>
      </c>
      <c r="N6212">
        <v>51.512422968211503</v>
      </c>
      <c r="O6212">
        <v>51.050835620467303</v>
      </c>
      <c r="P6212">
        <v>-0.16921769649478999</v>
      </c>
      <c r="Q6212">
        <v>0.108797634570153</v>
      </c>
      <c r="R6212">
        <v>0.99790541431852098</v>
      </c>
      <c r="S6212" t="s">
        <v>12664</v>
      </c>
      <c r="T6212" t="s">
        <v>12902</v>
      </c>
      <c r="U6212" t="s">
        <v>12902</v>
      </c>
      <c r="V6212" t="s">
        <v>12902</v>
      </c>
      <c r="W6212" t="s">
        <v>19061</v>
      </c>
      <c r="X6212">
        <v>9</v>
      </c>
      <c r="Y6212" t="s">
        <v>25342</v>
      </c>
      <c r="Z6212" t="s">
        <v>31787</v>
      </c>
      <c r="AA6212">
        <v>0.4444668436603853</v>
      </c>
      <c r="AB6212" t="str">
        <f>HYPERLINK("Melting_Curves/meltCurve_Q9Y217_MTMR6.pdf", "Melting_Curves/meltCurve_Q9Y217_MTMR6.pdf")</f>
        <v>Melting_Curves/meltCurve_Q9Y217_MTMR6.pdf</v>
      </c>
    </row>
    <row r="6213" spans="1:28" x14ac:dyDescent="0.25">
      <c r="A6213" t="s">
        <v>6217</v>
      </c>
      <c r="B6213">
        <v>0.99673306730245903</v>
      </c>
      <c r="C6213">
        <v>0.89531126440612896</v>
      </c>
      <c r="D6213">
        <v>0.90829211117057496</v>
      </c>
      <c r="E6213">
        <v>0.64953986760229598</v>
      </c>
      <c r="F6213">
        <v>0.37261117281703698</v>
      </c>
      <c r="G6213">
        <v>0.25413357227079802</v>
      </c>
      <c r="H6213">
        <v>0.20142330956378901</v>
      </c>
      <c r="I6213">
        <v>0.18980722867321401</v>
      </c>
      <c r="J6213">
        <v>0.20063817362678399</v>
      </c>
      <c r="K6213">
        <v>0.16446913874831001</v>
      </c>
      <c r="L6213">
        <v>977.49740629309099</v>
      </c>
      <c r="M6213">
        <v>19.444674320042601</v>
      </c>
      <c r="N6213">
        <v>51.410825402572598</v>
      </c>
      <c r="O6213">
        <v>49.7480613970815</v>
      </c>
      <c r="P6213">
        <v>-8.0604556449617407E-2</v>
      </c>
      <c r="Q6213">
        <v>0.175141855106968</v>
      </c>
      <c r="R6213">
        <v>0.99308920363640496</v>
      </c>
      <c r="S6213" t="s">
        <v>12665</v>
      </c>
      <c r="T6213" t="s">
        <v>12902</v>
      </c>
      <c r="U6213" t="s">
        <v>12902</v>
      </c>
      <c r="V6213" t="s">
        <v>12902</v>
      </c>
      <c r="W6213" t="s">
        <v>19062</v>
      </c>
      <c r="X6213">
        <v>7</v>
      </c>
      <c r="Y6213" t="s">
        <v>25343</v>
      </c>
      <c r="Z6213" t="s">
        <v>31788</v>
      </c>
      <c r="AA6213">
        <v>0.46964814256349469</v>
      </c>
      <c r="AB6213" t="str">
        <f>HYPERLINK("Melting_Curves/meltCurve_Q9Y219_JAG2.pdf", "Melting_Curves/meltCurve_Q9Y219_JAG2.pdf")</f>
        <v>Melting_Curves/meltCurve_Q9Y219_JAG2.pdf</v>
      </c>
    </row>
    <row r="6214" spans="1:28" x14ac:dyDescent="0.25">
      <c r="A6214" t="s">
        <v>6218</v>
      </c>
      <c r="B6214">
        <v>0.99673306730245903</v>
      </c>
      <c r="C6214">
        <v>0.96013154794504796</v>
      </c>
      <c r="D6214">
        <v>0.85476185504740498</v>
      </c>
      <c r="E6214">
        <v>0.71659480202074799</v>
      </c>
      <c r="F6214">
        <v>0.51277082545528696</v>
      </c>
      <c r="G6214">
        <v>0.333585432134691</v>
      </c>
      <c r="H6214">
        <v>0.18424593476473</v>
      </c>
      <c r="I6214">
        <v>0.176376949027819</v>
      </c>
      <c r="J6214">
        <v>0.18105794661323299</v>
      </c>
      <c r="K6214">
        <v>0.140624018855321</v>
      </c>
      <c r="L6214">
        <v>723.53738885071004</v>
      </c>
      <c r="M6214">
        <v>13.874079486214701</v>
      </c>
      <c r="N6214">
        <v>53.156540184148703</v>
      </c>
      <c r="O6214">
        <v>51.102696536892402</v>
      </c>
      <c r="P6214">
        <v>-6.0043187679746098E-2</v>
      </c>
      <c r="Q6214">
        <v>0.11548777357991701</v>
      </c>
      <c r="R6214">
        <v>0.99696597006848497</v>
      </c>
      <c r="S6214" t="s">
        <v>12666</v>
      </c>
      <c r="T6214" t="s">
        <v>12902</v>
      </c>
      <c r="U6214" t="s">
        <v>12902</v>
      </c>
      <c r="V6214" t="s">
        <v>12902</v>
      </c>
      <c r="W6214" t="s">
        <v>19063</v>
      </c>
      <c r="X6214">
        <v>2</v>
      </c>
      <c r="Y6214" t="s">
        <v>25344</v>
      </c>
      <c r="Z6214" t="s">
        <v>31789</v>
      </c>
      <c r="AA6214">
        <v>0.49577789378457832</v>
      </c>
      <c r="AB6214" t="str">
        <f>HYPERLINK("Melting_Curves/meltCurve_Q9Y221_2_NIP7.pdf", "Melting_Curves/meltCurve_Q9Y221_2_NIP7.pdf")</f>
        <v>Melting_Curves/meltCurve_Q9Y221_2_NIP7.pdf</v>
      </c>
    </row>
    <row r="6215" spans="1:28" x14ac:dyDescent="0.25">
      <c r="A6215" t="s">
        <v>6219</v>
      </c>
      <c r="B6215">
        <v>0.99673306730245903</v>
      </c>
      <c r="C6215">
        <v>0.98109970416615999</v>
      </c>
      <c r="D6215">
        <v>0.98274872154892201</v>
      </c>
      <c r="E6215">
        <v>1.11279043346345</v>
      </c>
      <c r="F6215">
        <v>0.982359967179817</v>
      </c>
      <c r="G6215">
        <v>0.725044304706984</v>
      </c>
      <c r="H6215">
        <v>0.147160184158174</v>
      </c>
      <c r="I6215">
        <v>7.9337994932835998E-2</v>
      </c>
      <c r="J6215">
        <v>8.8858295332103293E-2</v>
      </c>
      <c r="K6215">
        <v>6.3044634151135703E-2</v>
      </c>
      <c r="L6215">
        <v>2867.5206629478398</v>
      </c>
      <c r="M6215">
        <v>49.623887242155298</v>
      </c>
      <c r="N6215">
        <v>57.972947015885701</v>
      </c>
      <c r="O6215">
        <v>57.691481527382102</v>
      </c>
      <c r="P6215">
        <v>-0.199068930751122</v>
      </c>
      <c r="Q6215">
        <v>7.4270769508188395E-2</v>
      </c>
      <c r="R6215">
        <v>0.99273050922870998</v>
      </c>
      <c r="S6215" t="s">
        <v>12667</v>
      </c>
      <c r="T6215" t="s">
        <v>12902</v>
      </c>
      <c r="U6215" t="s">
        <v>12902</v>
      </c>
      <c r="V6215" t="s">
        <v>12902</v>
      </c>
      <c r="W6215" t="s">
        <v>19064</v>
      </c>
      <c r="X6215">
        <v>5</v>
      </c>
      <c r="Y6215" t="s">
        <v>25345</v>
      </c>
      <c r="Z6215" t="s">
        <v>31790</v>
      </c>
      <c r="AA6215">
        <v>0.6254627066952404</v>
      </c>
      <c r="AB6215" t="str">
        <f>HYPERLINK("Melting_Curves/meltCurve_Q9Y223_GNE.pdf", "Melting_Curves/meltCurve_Q9Y223_GNE.pdf")</f>
        <v>Melting_Curves/meltCurve_Q9Y223_GNE.pdf</v>
      </c>
    </row>
    <row r="6216" spans="1:28" x14ac:dyDescent="0.25">
      <c r="A6216" t="s">
        <v>6220</v>
      </c>
      <c r="B6216">
        <v>0.99673306730245903</v>
      </c>
      <c r="C6216">
        <v>0.68408412124485096</v>
      </c>
      <c r="D6216">
        <v>0.99801488495105595</v>
      </c>
      <c r="E6216">
        <v>0.96445482286416395</v>
      </c>
      <c r="F6216">
        <v>0.439514920818875</v>
      </c>
      <c r="G6216">
        <v>0.30621405849578498</v>
      </c>
      <c r="H6216">
        <v>0.17653795066671399</v>
      </c>
      <c r="I6216">
        <v>0.153093692691436</v>
      </c>
      <c r="J6216">
        <v>0.118897927653313</v>
      </c>
      <c r="K6216">
        <v>0.101359513835098</v>
      </c>
      <c r="L6216">
        <v>1795.75533786306</v>
      </c>
      <c r="M6216">
        <v>34.152338767669598</v>
      </c>
      <c r="N6216">
        <v>53.136980839782098</v>
      </c>
      <c r="O6216">
        <v>52.401452158943002</v>
      </c>
      <c r="P6216">
        <v>-0.138448697739257</v>
      </c>
      <c r="Q6216">
        <v>0.15029143080398499</v>
      </c>
      <c r="R6216">
        <v>0.90977618336865496</v>
      </c>
      <c r="S6216" t="s">
        <v>12668</v>
      </c>
      <c r="T6216" t="s">
        <v>12902</v>
      </c>
      <c r="U6216" t="s">
        <v>12902</v>
      </c>
      <c r="V6216" t="s">
        <v>12902</v>
      </c>
      <c r="W6216" t="s">
        <v>19065</v>
      </c>
      <c r="X6216">
        <v>17</v>
      </c>
      <c r="Y6216" t="s">
        <v>25346</v>
      </c>
      <c r="Z6216" t="s">
        <v>31791</v>
      </c>
      <c r="AA6216">
        <v>0.51085875466576824</v>
      </c>
      <c r="AB6216" t="str">
        <f>HYPERLINK("Melting_Curves/meltCurve_Q9Y224_C14orf166.pdf", "Melting_Curves/meltCurve_Q9Y224_C14orf166.pdf")</f>
        <v>Melting_Curves/meltCurve_Q9Y224_C14orf166.pdf</v>
      </c>
    </row>
    <row r="6217" spans="1:28" x14ac:dyDescent="0.25">
      <c r="A6217" t="s">
        <v>6221</v>
      </c>
      <c r="B6217">
        <v>0.99673306730245903</v>
      </c>
      <c r="C6217">
        <v>0.95980559617031702</v>
      </c>
      <c r="D6217">
        <v>1.0152800002831399</v>
      </c>
      <c r="E6217">
        <v>1.1596456471869701</v>
      </c>
      <c r="F6217">
        <v>1.1707888754707401</v>
      </c>
      <c r="G6217">
        <v>1.06670802517788</v>
      </c>
      <c r="H6217">
        <v>0.88948685266104499</v>
      </c>
      <c r="I6217">
        <v>0.54487596860874499</v>
      </c>
      <c r="J6217">
        <v>0.13569618756590099</v>
      </c>
      <c r="K6217">
        <v>0.114697306655521</v>
      </c>
      <c r="L6217">
        <v>2966.8708747467399</v>
      </c>
      <c r="M6217">
        <v>46.412148888635897</v>
      </c>
      <c r="N6217">
        <v>64.152613167297602</v>
      </c>
      <c r="O6217">
        <v>63.806085911918302</v>
      </c>
      <c r="P6217">
        <v>-0.16801421831084901</v>
      </c>
      <c r="Q6217">
        <v>7.6076300686802795E-2</v>
      </c>
      <c r="R6217">
        <v>0.955044005169146</v>
      </c>
      <c r="S6217" t="s">
        <v>12669</v>
      </c>
      <c r="T6217" t="s">
        <v>12902</v>
      </c>
      <c r="U6217" t="s">
        <v>12902</v>
      </c>
      <c r="V6217" t="s">
        <v>12902</v>
      </c>
      <c r="W6217" t="s">
        <v>19066</v>
      </c>
      <c r="X6217">
        <v>35</v>
      </c>
      <c r="Y6217" t="s">
        <v>25347</v>
      </c>
      <c r="Z6217" t="s">
        <v>31792</v>
      </c>
      <c r="AA6217">
        <v>0.81497113520100939</v>
      </c>
      <c r="AB6217" t="str">
        <f>HYPERLINK("Melting_Curves/meltCurve_Q9Y230_RUVBL2.pdf", "Melting_Curves/meltCurve_Q9Y230_RUVBL2.pdf")</f>
        <v>Melting_Curves/meltCurve_Q9Y230_RUVBL2.pdf</v>
      </c>
    </row>
    <row r="6218" spans="1:28" x14ac:dyDescent="0.25">
      <c r="A6218" t="s">
        <v>6222</v>
      </c>
      <c r="B6218">
        <v>0.99673306730245903</v>
      </c>
      <c r="C6218">
        <v>0.89510410850444899</v>
      </c>
      <c r="D6218">
        <v>0.97589355238167197</v>
      </c>
      <c r="E6218">
        <v>1.0040961745743799</v>
      </c>
      <c r="F6218">
        <v>0.60770983848920901</v>
      </c>
      <c r="G6218">
        <v>0.44159273418915101</v>
      </c>
      <c r="H6218">
        <v>0.38568338345377001</v>
      </c>
      <c r="I6218">
        <v>0.58103951566337297</v>
      </c>
      <c r="J6218">
        <v>0.73076594580838095</v>
      </c>
      <c r="K6218">
        <v>0.66679622558304796</v>
      </c>
      <c r="S6218" t="s">
        <v>12670</v>
      </c>
      <c r="T6218" t="s">
        <v>12902</v>
      </c>
      <c r="U6218" t="s">
        <v>12903</v>
      </c>
      <c r="V6218" t="s">
        <v>12902</v>
      </c>
      <c r="W6218" t="s">
        <v>19067</v>
      </c>
      <c r="X6218">
        <v>3</v>
      </c>
      <c r="Y6218" t="s">
        <v>25348</v>
      </c>
      <c r="Z6218" t="s">
        <v>31793</v>
      </c>
      <c r="AB6218" t="str">
        <f>HYPERLINK("Melting_Curves/meltCurve_Q9Y232_2_CDYL.pdf", "Melting_Curves/meltCurve_Q9Y232_2_CDYL.pdf")</f>
        <v>Melting_Curves/meltCurve_Q9Y232_2_CDYL.pdf</v>
      </c>
    </row>
    <row r="6219" spans="1:28" x14ac:dyDescent="0.25">
      <c r="A6219" t="s">
        <v>6223</v>
      </c>
      <c r="B6219">
        <v>0.99673306730245903</v>
      </c>
      <c r="C6219">
        <v>0.84199453943094404</v>
      </c>
      <c r="D6219">
        <v>0.70461756614398596</v>
      </c>
      <c r="E6219">
        <v>0.42743678125002399</v>
      </c>
      <c r="F6219">
        <v>0.213358149482754</v>
      </c>
      <c r="G6219">
        <v>0.11452723387915301</v>
      </c>
      <c r="H6219">
        <v>4.4127878139008002E-2</v>
      </c>
      <c r="I6219">
        <v>2.8776180085887899E-2</v>
      </c>
      <c r="J6219">
        <v>2.57425022202026E-2</v>
      </c>
      <c r="K6219">
        <v>2.1732560220389201E-2</v>
      </c>
      <c r="L6219">
        <v>719.01351615025999</v>
      </c>
      <c r="M6219">
        <v>14.816630865721701</v>
      </c>
      <c r="N6219">
        <v>48.565674092342299</v>
      </c>
      <c r="O6219">
        <v>47.669193677140001</v>
      </c>
      <c r="P6219">
        <v>-7.7263349792761296E-2</v>
      </c>
      <c r="Q6219">
        <v>5.7948596520349897E-3</v>
      </c>
      <c r="R6219">
        <v>0.99778717933715799</v>
      </c>
      <c r="S6219" t="s">
        <v>12671</v>
      </c>
      <c r="T6219" t="s">
        <v>12902</v>
      </c>
      <c r="U6219" t="s">
        <v>12902</v>
      </c>
      <c r="V6219" t="s">
        <v>12902</v>
      </c>
      <c r="W6219" t="s">
        <v>19068</v>
      </c>
      <c r="X6219">
        <v>1</v>
      </c>
      <c r="Y6219" t="s">
        <v>25349</v>
      </c>
      <c r="Z6219" t="s">
        <v>31794</v>
      </c>
      <c r="AA6219">
        <v>0.31399124418129343</v>
      </c>
      <c r="AB6219" t="str">
        <f>HYPERLINK("Melting_Curves/meltCurve_Q9Y234_LIPT1.pdf", "Melting_Curves/meltCurve_Q9Y234_LIPT1.pdf")</f>
        <v>Melting_Curves/meltCurve_Q9Y234_LIPT1.pdf</v>
      </c>
    </row>
    <row r="6220" spans="1:28" x14ac:dyDescent="0.25">
      <c r="A6220" t="s">
        <v>6224</v>
      </c>
      <c r="B6220">
        <v>0.99673306730245903</v>
      </c>
      <c r="C6220">
        <v>0.96925465569854796</v>
      </c>
      <c r="D6220">
        <v>0.77231703284373299</v>
      </c>
      <c r="E6220">
        <v>0.86467120708671596</v>
      </c>
      <c r="F6220">
        <v>0.35536462994370199</v>
      </c>
      <c r="G6220">
        <v>0.173101418380572</v>
      </c>
      <c r="H6220">
        <v>9.2575080837047005E-2</v>
      </c>
      <c r="I6220">
        <v>8.5578735640159803E-2</v>
      </c>
      <c r="J6220">
        <v>9.1194498818971695E-2</v>
      </c>
      <c r="K6220">
        <v>7.2091380463394694E-2</v>
      </c>
      <c r="L6220">
        <v>1285.84302650016</v>
      </c>
      <c r="M6220">
        <v>24.793784502278498</v>
      </c>
      <c r="N6220">
        <v>52.197331331043998</v>
      </c>
      <c r="O6220">
        <v>51.527663654030199</v>
      </c>
      <c r="P6220">
        <v>-0.111427030781693</v>
      </c>
      <c r="Q6220">
        <v>7.3720305818977303E-2</v>
      </c>
      <c r="R6220">
        <v>0.967878557963053</v>
      </c>
      <c r="S6220" t="s">
        <v>12672</v>
      </c>
      <c r="T6220" t="s">
        <v>12902</v>
      </c>
      <c r="U6220" t="s">
        <v>12902</v>
      </c>
      <c r="V6220" t="s">
        <v>12902</v>
      </c>
      <c r="W6220" t="s">
        <v>19069</v>
      </c>
      <c r="X6220">
        <v>11</v>
      </c>
      <c r="Y6220" t="s">
        <v>25350</v>
      </c>
      <c r="Z6220" t="s">
        <v>31795</v>
      </c>
      <c r="AA6220">
        <v>0.44853653740587501</v>
      </c>
      <c r="AB6220" t="str">
        <f>HYPERLINK("Melting_Curves/meltCurve_Q9Y235_APOBEC2.pdf", "Melting_Curves/meltCurve_Q9Y235_APOBEC2.pdf")</f>
        <v>Melting_Curves/meltCurve_Q9Y235_APOBEC2.pdf</v>
      </c>
    </row>
    <row r="6221" spans="1:28" x14ac:dyDescent="0.25">
      <c r="A6221" t="s">
        <v>6225</v>
      </c>
      <c r="B6221">
        <v>0.99673306730245903</v>
      </c>
      <c r="C6221">
        <v>1.0378816636705901</v>
      </c>
      <c r="D6221">
        <v>1.02589771489104</v>
      </c>
      <c r="E6221">
        <v>0.98471523620519097</v>
      </c>
      <c r="F6221">
        <v>0.72980019701300902</v>
      </c>
      <c r="G6221">
        <v>0.520103855237531</v>
      </c>
      <c r="H6221">
        <v>0.287684059312937</v>
      </c>
      <c r="I6221">
        <v>0.35063391665301702</v>
      </c>
      <c r="J6221">
        <v>0.49144223806281601</v>
      </c>
      <c r="K6221">
        <v>0.480200891711627</v>
      </c>
      <c r="L6221">
        <v>1955.5172561095901</v>
      </c>
      <c r="M6221">
        <v>36.489769403775099</v>
      </c>
      <c r="N6221">
        <v>56.215799778052499</v>
      </c>
      <c r="O6221">
        <v>53.430646204630698</v>
      </c>
      <c r="P6221">
        <v>-0.100902265163637</v>
      </c>
      <c r="Q6221">
        <v>0.40901167477814698</v>
      </c>
      <c r="R6221">
        <v>0.95457181865721297</v>
      </c>
      <c r="S6221" t="s">
        <v>12673</v>
      </c>
      <c r="T6221" t="s">
        <v>12902</v>
      </c>
      <c r="U6221" t="s">
        <v>12902</v>
      </c>
      <c r="V6221" t="s">
        <v>12902</v>
      </c>
      <c r="W6221" t="s">
        <v>19070</v>
      </c>
      <c r="X6221">
        <v>10</v>
      </c>
      <c r="Y6221" t="s">
        <v>25351</v>
      </c>
      <c r="Z6221" t="s">
        <v>31796</v>
      </c>
      <c r="AA6221">
        <v>0.67937183356287911</v>
      </c>
      <c r="AB6221" t="str">
        <f>HYPERLINK("Melting_Curves/meltCurve_Q9Y237_PIN4.pdf", "Melting_Curves/meltCurve_Q9Y237_PIN4.pdf")</f>
        <v>Melting_Curves/meltCurve_Q9Y237_PIN4.pdf</v>
      </c>
    </row>
    <row r="6222" spans="1:28" x14ac:dyDescent="0.25">
      <c r="A6222" t="s">
        <v>6226</v>
      </c>
      <c r="B6222">
        <v>0.99673306730245903</v>
      </c>
      <c r="C6222">
        <v>0.98812509024588202</v>
      </c>
      <c r="D6222">
        <v>0.83122825680074297</v>
      </c>
      <c r="E6222">
        <v>0.76408045288914594</v>
      </c>
      <c r="F6222">
        <v>0.21851040629163301</v>
      </c>
      <c r="G6222">
        <v>0.14539672172476401</v>
      </c>
      <c r="H6222">
        <v>0.101241566398364</v>
      </c>
      <c r="I6222">
        <v>0.18415389233862201</v>
      </c>
      <c r="J6222">
        <v>7.9944969473094707E-2</v>
      </c>
      <c r="K6222">
        <v>7.8502744478557998E-2</v>
      </c>
      <c r="L6222">
        <v>1777.8558005948701</v>
      </c>
      <c r="M6222">
        <v>35.039432260229503</v>
      </c>
      <c r="N6222">
        <v>51.095115631836798</v>
      </c>
      <c r="O6222">
        <v>50.574302261600998</v>
      </c>
      <c r="P6222">
        <v>-0.15443064092013101</v>
      </c>
      <c r="Q6222">
        <v>0.10841082322080101</v>
      </c>
      <c r="R6222">
        <v>0.97792630571080097</v>
      </c>
      <c r="S6222" t="s">
        <v>12674</v>
      </c>
      <c r="T6222" t="s">
        <v>12902</v>
      </c>
      <c r="U6222" t="s">
        <v>12902</v>
      </c>
      <c r="V6222" t="s">
        <v>12902</v>
      </c>
      <c r="W6222" t="s">
        <v>19071</v>
      </c>
      <c r="X6222">
        <v>2</v>
      </c>
      <c r="Y6222" t="s">
        <v>25352</v>
      </c>
      <c r="Z6222" t="s">
        <v>31797</v>
      </c>
      <c r="AA6222">
        <v>0.4316451928832325</v>
      </c>
      <c r="AB6222" t="str">
        <f>HYPERLINK("Melting_Curves/meltCurve_Q9Y242_TCF19.pdf", "Melting_Curves/meltCurve_Q9Y242_TCF19.pdf")</f>
        <v>Melting_Curves/meltCurve_Q9Y242_TCF19.pdf</v>
      </c>
    </row>
    <row r="6223" spans="1:28" x14ac:dyDescent="0.25">
      <c r="A6223" t="s">
        <v>6227</v>
      </c>
      <c r="B6223">
        <v>0.99673306730245903</v>
      </c>
      <c r="C6223">
        <v>0.96072983634831399</v>
      </c>
      <c r="D6223">
        <v>0.86550988589377398</v>
      </c>
      <c r="E6223">
        <v>0.93063415374479297</v>
      </c>
      <c r="F6223">
        <v>0.53354303297680505</v>
      </c>
      <c r="G6223">
        <v>0.26864442255974602</v>
      </c>
      <c r="H6223">
        <v>0.17062102246599001</v>
      </c>
      <c r="I6223">
        <v>0.15442307207591299</v>
      </c>
      <c r="J6223">
        <v>0.20378843233653501</v>
      </c>
      <c r="K6223">
        <v>0.22360308164152201</v>
      </c>
      <c r="L6223">
        <v>1708.8317541219601</v>
      </c>
      <c r="M6223">
        <v>32.386763949380502</v>
      </c>
      <c r="N6223">
        <v>53.532161655322398</v>
      </c>
      <c r="O6223">
        <v>52.563332030881298</v>
      </c>
      <c r="P6223">
        <v>-0.125388640499979</v>
      </c>
      <c r="Q6223">
        <v>0.18598683245956599</v>
      </c>
      <c r="R6223">
        <v>0.98193408723627496</v>
      </c>
      <c r="S6223" t="s">
        <v>12675</v>
      </c>
      <c r="T6223" t="s">
        <v>12902</v>
      </c>
      <c r="U6223" t="s">
        <v>12902</v>
      </c>
      <c r="V6223" t="s">
        <v>12902</v>
      </c>
      <c r="W6223" t="s">
        <v>19072</v>
      </c>
      <c r="X6223">
        <v>5</v>
      </c>
      <c r="Y6223" t="s">
        <v>25353</v>
      </c>
      <c r="Z6223" t="s">
        <v>31798</v>
      </c>
      <c r="AA6223">
        <v>0.53682557997667202</v>
      </c>
      <c r="AB6223" t="str">
        <f>HYPERLINK("Melting_Curves/meltCurve_Q9Y243_2_AKT3.pdf", "Melting_Curves/meltCurve_Q9Y243_2_AKT3.pdf")</f>
        <v>Melting_Curves/meltCurve_Q9Y243_2_AKT3.pdf</v>
      </c>
    </row>
    <row r="6224" spans="1:28" x14ac:dyDescent="0.25">
      <c r="A6224" t="s">
        <v>6228</v>
      </c>
      <c r="B6224">
        <v>0.99673306730245903</v>
      </c>
      <c r="C6224">
        <v>0.99132489576619198</v>
      </c>
      <c r="D6224">
        <v>1.0490920516117801</v>
      </c>
      <c r="E6224">
        <v>1.0709004664399699</v>
      </c>
      <c r="F6224">
        <v>0.62845718289548702</v>
      </c>
      <c r="G6224">
        <v>0.333519954247814</v>
      </c>
      <c r="H6224">
        <v>0.17540166835316701</v>
      </c>
      <c r="I6224">
        <v>0.12915410702996599</v>
      </c>
      <c r="J6224">
        <v>0.135462151377433</v>
      </c>
      <c r="K6224">
        <v>0.14732145734416</v>
      </c>
      <c r="L6224">
        <v>1795.32821339312</v>
      </c>
      <c r="M6224">
        <v>33.238275016491102</v>
      </c>
      <c r="N6224">
        <v>54.583734155325502</v>
      </c>
      <c r="O6224">
        <v>53.819499395869101</v>
      </c>
      <c r="P6224">
        <v>-0.13176300176761599</v>
      </c>
      <c r="Q6224">
        <v>0.14659991783637799</v>
      </c>
      <c r="R6224">
        <v>0.98696220389637102</v>
      </c>
      <c r="S6224" t="s">
        <v>12676</v>
      </c>
      <c r="T6224" t="s">
        <v>12902</v>
      </c>
      <c r="U6224" t="s">
        <v>12902</v>
      </c>
      <c r="V6224" t="s">
        <v>12902</v>
      </c>
      <c r="W6224" t="s">
        <v>19073</v>
      </c>
      <c r="X6224">
        <v>4</v>
      </c>
      <c r="Y6224" t="s">
        <v>25354</v>
      </c>
      <c r="Z6224" t="s">
        <v>31799</v>
      </c>
      <c r="AA6224">
        <v>0.54984009354618613</v>
      </c>
      <c r="AB6224" t="str">
        <f>HYPERLINK("Melting_Curves/meltCurve_Q9Y244_POMP.pdf", "Melting_Curves/meltCurve_Q9Y244_POMP.pdf")</f>
        <v>Melting_Curves/meltCurve_Q9Y244_POMP.pdf</v>
      </c>
    </row>
    <row r="6225" spans="1:28" x14ac:dyDescent="0.25">
      <c r="A6225" t="s">
        <v>6229</v>
      </c>
      <c r="B6225">
        <v>0.99673306730245903</v>
      </c>
      <c r="C6225">
        <v>0.93873231848581395</v>
      </c>
      <c r="D6225">
        <v>0.92486515607735298</v>
      </c>
      <c r="E6225">
        <v>0.86695482881850805</v>
      </c>
      <c r="F6225">
        <v>0.45468082432095902</v>
      </c>
      <c r="G6225">
        <v>0.14059489418472701</v>
      </c>
      <c r="H6225">
        <v>0.119300884448831</v>
      </c>
      <c r="I6225">
        <v>9.4772874030701296E-2</v>
      </c>
      <c r="J6225">
        <v>7.9320432042279301E-2</v>
      </c>
      <c r="K6225">
        <v>4.8980701610072001E-2</v>
      </c>
      <c r="L6225">
        <v>1527.01944062864</v>
      </c>
      <c r="M6225">
        <v>29.090766056659898</v>
      </c>
      <c r="N6225">
        <v>52.7847249207461</v>
      </c>
      <c r="O6225">
        <v>52.245381316187597</v>
      </c>
      <c r="P6225">
        <v>-0.12881925936556499</v>
      </c>
      <c r="Q6225">
        <v>7.4598207531362301E-2</v>
      </c>
      <c r="R6225">
        <v>0.99378868075397597</v>
      </c>
      <c r="S6225" t="s">
        <v>12677</v>
      </c>
      <c r="T6225" t="s">
        <v>12902</v>
      </c>
      <c r="U6225" t="s">
        <v>12902</v>
      </c>
      <c r="V6225" t="s">
        <v>12902</v>
      </c>
      <c r="W6225" t="s">
        <v>19074</v>
      </c>
      <c r="X6225">
        <v>6</v>
      </c>
      <c r="Y6225" t="s">
        <v>25355</v>
      </c>
      <c r="Z6225" t="s">
        <v>31800</v>
      </c>
      <c r="AA6225">
        <v>0.46625078789407859</v>
      </c>
      <c r="AB6225" t="str">
        <f>HYPERLINK("Melting_Curves/meltCurve_Q9Y247_FAM50B.pdf", "Melting_Curves/meltCurve_Q9Y247_FAM50B.pdf")</f>
        <v>Melting_Curves/meltCurve_Q9Y247_FAM50B.pdf</v>
      </c>
    </row>
    <row r="6226" spans="1:28" x14ac:dyDescent="0.25">
      <c r="A6226" t="s">
        <v>6230</v>
      </c>
      <c r="B6226">
        <v>0.99673306730245903</v>
      </c>
      <c r="C6226">
        <v>0.98657855974838105</v>
      </c>
      <c r="D6226">
        <v>0.88656077907379005</v>
      </c>
      <c r="E6226">
        <v>0.70742974024866501</v>
      </c>
      <c r="F6226">
        <v>0.28676373770515701</v>
      </c>
      <c r="G6226">
        <v>0.20301996809035699</v>
      </c>
      <c r="H6226">
        <v>9.4302264644963302E-2</v>
      </c>
      <c r="I6226">
        <v>7.8694019777007199E-2</v>
      </c>
      <c r="J6226">
        <v>8.4935463543617098E-2</v>
      </c>
      <c r="K6226">
        <v>7.6349339148600801E-2</v>
      </c>
      <c r="L6226">
        <v>1140.71811426983</v>
      </c>
      <c r="M6226">
        <v>22.411790322539499</v>
      </c>
      <c r="N6226">
        <v>51.287133692480701</v>
      </c>
      <c r="O6226">
        <v>50.498093999270097</v>
      </c>
      <c r="P6226">
        <v>-0.102283188491159</v>
      </c>
      <c r="Q6226">
        <v>7.8163968293453998E-2</v>
      </c>
      <c r="R6226">
        <v>0.99546237933762705</v>
      </c>
      <c r="S6226" t="s">
        <v>12678</v>
      </c>
      <c r="T6226" t="s">
        <v>12902</v>
      </c>
      <c r="U6226" t="s">
        <v>12902</v>
      </c>
      <c r="V6226" t="s">
        <v>12902</v>
      </c>
      <c r="W6226" t="s">
        <v>19075</v>
      </c>
      <c r="X6226">
        <v>4</v>
      </c>
      <c r="Y6226" t="s">
        <v>25356</v>
      </c>
      <c r="Z6226" t="s">
        <v>31801</v>
      </c>
      <c r="AA6226">
        <v>0.42333967172915971</v>
      </c>
      <c r="AB6226" t="str">
        <f>HYPERLINK("Melting_Curves/meltCurve_Q9Y248_GINS2.pdf", "Melting_Curves/meltCurve_Q9Y248_GINS2.pdf")</f>
        <v>Melting_Curves/meltCurve_Q9Y248_GINS2.pdf</v>
      </c>
    </row>
    <row r="6227" spans="1:28" x14ac:dyDescent="0.25">
      <c r="A6227" t="s">
        <v>6231</v>
      </c>
      <c r="B6227">
        <v>0.99673306730245903</v>
      </c>
      <c r="C6227">
        <v>1.10536323477277</v>
      </c>
      <c r="D6227">
        <v>1.0132300486146899</v>
      </c>
      <c r="E6227">
        <v>1.09027320350611</v>
      </c>
      <c r="F6227">
        <v>0.92589569638698499</v>
      </c>
      <c r="G6227">
        <v>0.85211880695212705</v>
      </c>
      <c r="H6227">
        <v>0.46377984437987502</v>
      </c>
      <c r="I6227">
        <v>0.27115983275749</v>
      </c>
      <c r="J6227">
        <v>6.2504618227323394E-2</v>
      </c>
      <c r="K6227">
        <v>5.3585924375668302E-2</v>
      </c>
      <c r="L6227">
        <v>1416.3002732863399</v>
      </c>
      <c r="M6227">
        <v>23.334295256753201</v>
      </c>
      <c r="N6227">
        <v>60.6960589771709</v>
      </c>
      <c r="O6227">
        <v>60.255577961821103</v>
      </c>
      <c r="P6227">
        <v>-9.6815561602245304E-2</v>
      </c>
      <c r="Q6227">
        <v>0</v>
      </c>
      <c r="R6227">
        <v>0.98414491821737604</v>
      </c>
      <c r="S6227" t="s">
        <v>12679</v>
      </c>
      <c r="T6227" t="s">
        <v>12902</v>
      </c>
      <c r="U6227" t="s">
        <v>12902</v>
      </c>
      <c r="V6227" t="s">
        <v>12902</v>
      </c>
      <c r="W6227" t="s">
        <v>19076</v>
      </c>
      <c r="X6227">
        <v>2</v>
      </c>
      <c r="Y6227" t="s">
        <v>25357</v>
      </c>
      <c r="Z6227" t="s">
        <v>31802</v>
      </c>
      <c r="AA6227">
        <v>0.69674651905062956</v>
      </c>
      <c r="AB6227" t="str">
        <f>HYPERLINK("Melting_Curves/meltCurve_Q9Y259_CHKB.pdf", "Melting_Curves/meltCurve_Q9Y259_CHKB.pdf")</f>
        <v>Melting_Curves/meltCurve_Q9Y259_CHKB.pdf</v>
      </c>
    </row>
    <row r="6228" spans="1:28" x14ac:dyDescent="0.25">
      <c r="A6228" t="s">
        <v>6232</v>
      </c>
      <c r="B6228">
        <v>0.99673306730245903</v>
      </c>
      <c r="C6228">
        <v>0.93318332552714001</v>
      </c>
      <c r="D6228">
        <v>0.70533835635224795</v>
      </c>
      <c r="E6228">
        <v>0.300798504181016</v>
      </c>
      <c r="F6228">
        <v>0.14580762544188999</v>
      </c>
      <c r="G6228">
        <v>8.5180823661301294E-2</v>
      </c>
      <c r="H6228">
        <v>5.7879785381881398E-2</v>
      </c>
      <c r="I6228">
        <v>5.5994759227603497E-2</v>
      </c>
      <c r="J6228">
        <v>5.28252542180951E-2</v>
      </c>
      <c r="K6228">
        <v>4.7816166402449602E-2</v>
      </c>
      <c r="L6228">
        <v>1115.2941308735001</v>
      </c>
      <c r="M6228">
        <v>23.469813959002899</v>
      </c>
      <c r="N6228">
        <v>47.762013660204701</v>
      </c>
      <c r="O6228">
        <v>47.179403849566</v>
      </c>
      <c r="P6228">
        <v>-0.117404517631622</v>
      </c>
      <c r="Q6228">
        <v>5.5982384942906201E-2</v>
      </c>
      <c r="R6228">
        <v>0.99943018426278896</v>
      </c>
      <c r="S6228" t="s">
        <v>12680</v>
      </c>
      <c r="T6228" t="s">
        <v>12902</v>
      </c>
      <c r="U6228" t="s">
        <v>12902</v>
      </c>
      <c r="V6228" t="s">
        <v>12902</v>
      </c>
      <c r="W6228" t="s">
        <v>19077</v>
      </c>
      <c r="X6228">
        <v>25</v>
      </c>
      <c r="Y6228" t="s">
        <v>25358</v>
      </c>
      <c r="Z6228" t="s">
        <v>31803</v>
      </c>
      <c r="AA6228">
        <v>0.3022201745719158</v>
      </c>
      <c r="AB6228" t="str">
        <f>HYPERLINK("Melting_Curves/meltCurve_Q9Y263_PLAA.pdf", "Melting_Curves/meltCurve_Q9Y263_PLAA.pdf")</f>
        <v>Melting_Curves/meltCurve_Q9Y263_PLAA.pdf</v>
      </c>
    </row>
    <row r="6229" spans="1:28" x14ac:dyDescent="0.25">
      <c r="A6229" t="s">
        <v>6233</v>
      </c>
      <c r="B6229">
        <v>0.99673306730245903</v>
      </c>
      <c r="C6229">
        <v>0.94715337337819105</v>
      </c>
      <c r="D6229">
        <v>1.03282338495874</v>
      </c>
      <c r="E6229">
        <v>1.17851668913481</v>
      </c>
      <c r="F6229">
        <v>1.2044532148121201</v>
      </c>
      <c r="G6229">
        <v>1.0960971762831799</v>
      </c>
      <c r="H6229">
        <v>0.96634713172523201</v>
      </c>
      <c r="I6229">
        <v>0.55984949197461997</v>
      </c>
      <c r="J6229">
        <v>0.124209156114039</v>
      </c>
      <c r="K6229">
        <v>0.10388809383864001</v>
      </c>
      <c r="L6229">
        <v>4424.1468908194602</v>
      </c>
      <c r="M6229">
        <v>69.081752378516697</v>
      </c>
      <c r="N6229">
        <v>64.237461732823704</v>
      </c>
      <c r="O6229">
        <v>63.988589260965199</v>
      </c>
      <c r="P6229">
        <v>-0.24433780435798899</v>
      </c>
      <c r="Q6229">
        <v>9.4705784634366394E-2</v>
      </c>
      <c r="R6229">
        <v>0.94315129061206804</v>
      </c>
      <c r="S6229" t="s">
        <v>12681</v>
      </c>
      <c r="T6229" t="s">
        <v>12902</v>
      </c>
      <c r="U6229" t="s">
        <v>12902</v>
      </c>
      <c r="V6229" t="s">
        <v>12902</v>
      </c>
      <c r="W6229" t="s">
        <v>19078</v>
      </c>
      <c r="X6229">
        <v>29</v>
      </c>
      <c r="Y6229" t="s">
        <v>25359</v>
      </c>
      <c r="Z6229" t="s">
        <v>31804</v>
      </c>
      <c r="AA6229">
        <v>0.82145410134183872</v>
      </c>
      <c r="AB6229" t="str">
        <f>HYPERLINK("Melting_Curves/meltCurve_Q9Y265_RUVBL1.pdf", "Melting_Curves/meltCurve_Q9Y265_RUVBL1.pdf")</f>
        <v>Melting_Curves/meltCurve_Q9Y265_RUVBL1.pdf</v>
      </c>
    </row>
    <row r="6230" spans="1:28" x14ac:dyDescent="0.25">
      <c r="A6230" t="s">
        <v>6234</v>
      </c>
      <c r="B6230">
        <v>0.99673306730245903</v>
      </c>
      <c r="C6230">
        <v>0.93132626014099795</v>
      </c>
      <c r="D6230">
        <v>0.90870825611974704</v>
      </c>
      <c r="E6230">
        <v>0.77407266840518796</v>
      </c>
      <c r="F6230">
        <v>0.266776241500228</v>
      </c>
      <c r="G6230">
        <v>0.11598743179709101</v>
      </c>
      <c r="H6230">
        <v>7.2543253447482497E-2</v>
      </c>
      <c r="I6230">
        <v>7.4538992366988702E-2</v>
      </c>
      <c r="J6230">
        <v>8.3574946032853897E-2</v>
      </c>
      <c r="K6230">
        <v>7.7275039752797203E-2</v>
      </c>
      <c r="L6230">
        <v>1649.84744564889</v>
      </c>
      <c r="M6230">
        <v>32.256291153229597</v>
      </c>
      <c r="N6230">
        <v>51.405396417455599</v>
      </c>
      <c r="O6230">
        <v>50.952699766007797</v>
      </c>
      <c r="P6230">
        <v>-0.14646780244591501</v>
      </c>
      <c r="Q6230">
        <v>7.4550349308081298E-2</v>
      </c>
      <c r="R6230">
        <v>0.99364491397016197</v>
      </c>
      <c r="S6230" t="s">
        <v>12682</v>
      </c>
      <c r="T6230" t="s">
        <v>12902</v>
      </c>
      <c r="U6230" t="s">
        <v>12902</v>
      </c>
      <c r="V6230" t="s">
        <v>12902</v>
      </c>
      <c r="W6230" t="s">
        <v>19079</v>
      </c>
      <c r="X6230">
        <v>28</v>
      </c>
      <c r="Y6230" t="s">
        <v>25360</v>
      </c>
      <c r="Z6230" t="s">
        <v>31805</v>
      </c>
      <c r="AA6230">
        <v>0.42349390006692361</v>
      </c>
      <c r="AB6230" t="str">
        <f>HYPERLINK("Melting_Curves/meltCurve_Q9Y266_NUDC.pdf", "Melting_Curves/meltCurve_Q9Y266_NUDC.pdf")</f>
        <v>Melting_Curves/meltCurve_Q9Y266_NUDC.pdf</v>
      </c>
    </row>
    <row r="6231" spans="1:28" x14ac:dyDescent="0.25">
      <c r="A6231" t="s">
        <v>6235</v>
      </c>
      <c r="B6231">
        <v>0.99673306730245903</v>
      </c>
      <c r="C6231">
        <v>0.96427037976764096</v>
      </c>
      <c r="D6231">
        <v>0.96759251192248197</v>
      </c>
      <c r="E6231">
        <v>1.00617730118457</v>
      </c>
      <c r="F6231">
        <v>0.86524221389936995</v>
      </c>
      <c r="G6231">
        <v>0.47668678285825899</v>
      </c>
      <c r="H6231">
        <v>0.177388421272129</v>
      </c>
      <c r="I6231">
        <v>0.170604499571096</v>
      </c>
      <c r="J6231">
        <v>0.185981899299659</v>
      </c>
      <c r="K6231">
        <v>0.15756056623090001</v>
      </c>
      <c r="L6231">
        <v>1966.23570913559</v>
      </c>
      <c r="M6231">
        <v>35.183540649586398</v>
      </c>
      <c r="N6231">
        <v>56.505065956780598</v>
      </c>
      <c r="O6231">
        <v>55.705484740149501</v>
      </c>
      <c r="P6231">
        <v>-0.132616403565468</v>
      </c>
      <c r="Q6231">
        <v>0.160125977884298</v>
      </c>
      <c r="R6231">
        <v>0.99695025884363897</v>
      </c>
      <c r="S6231" t="s">
        <v>12683</v>
      </c>
      <c r="T6231" t="s">
        <v>12902</v>
      </c>
      <c r="U6231" t="s">
        <v>12902</v>
      </c>
      <c r="V6231" t="s">
        <v>12902</v>
      </c>
      <c r="W6231" t="s">
        <v>19080</v>
      </c>
      <c r="X6231">
        <v>8</v>
      </c>
      <c r="Y6231" t="s">
        <v>25361</v>
      </c>
      <c r="Z6231" t="s">
        <v>31806</v>
      </c>
      <c r="AA6231">
        <v>0.60898528684672903</v>
      </c>
      <c r="AB6231" t="str">
        <f>HYPERLINK("Melting_Curves/meltCurve_Q9Y276_BCS1L.pdf", "Melting_Curves/meltCurve_Q9Y276_BCS1L.pdf")</f>
        <v>Melting_Curves/meltCurve_Q9Y276_BCS1L.pdf</v>
      </c>
    </row>
    <row r="6232" spans="1:28" x14ac:dyDescent="0.25">
      <c r="A6232" t="s">
        <v>6236</v>
      </c>
      <c r="B6232">
        <v>0.99673306730245903</v>
      </c>
      <c r="C6232">
        <v>1.1864265267979299</v>
      </c>
      <c r="D6232">
        <v>1.01712203423471</v>
      </c>
      <c r="E6232">
        <v>0.98612611049090304</v>
      </c>
      <c r="F6232">
        <v>0.66859158402898</v>
      </c>
      <c r="G6232">
        <v>0.50135851941260101</v>
      </c>
      <c r="H6232">
        <v>0.385917003704082</v>
      </c>
      <c r="I6232">
        <v>0.54639801980579905</v>
      </c>
      <c r="J6232">
        <v>0.59701542847191602</v>
      </c>
      <c r="K6232">
        <v>0.49839952243386298</v>
      </c>
      <c r="L6232">
        <v>3443.6933938786001</v>
      </c>
      <c r="M6232">
        <v>65.4445055493822</v>
      </c>
      <c r="O6232">
        <v>52.570994066978798</v>
      </c>
      <c r="P6232">
        <v>-0.15402105749656</v>
      </c>
      <c r="Q6232">
        <v>0.50510518545151795</v>
      </c>
      <c r="R6232">
        <v>0.91566447219837599</v>
      </c>
      <c r="S6232" t="s">
        <v>12684</v>
      </c>
      <c r="T6232" t="s">
        <v>12902</v>
      </c>
      <c r="U6232" t="s">
        <v>12902</v>
      </c>
      <c r="V6232" t="s">
        <v>12902</v>
      </c>
      <c r="W6232" t="s">
        <v>19081</v>
      </c>
      <c r="X6232">
        <v>15</v>
      </c>
      <c r="Y6232" t="s">
        <v>25362</v>
      </c>
      <c r="Z6232" t="s">
        <v>31807</v>
      </c>
      <c r="AA6232">
        <v>0.71396075595402064</v>
      </c>
      <c r="AB6232" t="str">
        <f>HYPERLINK("Melting_Curves/meltCurve_Q9Y277_VDAC3.pdf", "Melting_Curves/meltCurve_Q9Y277_VDAC3.pdf")</f>
        <v>Melting_Curves/meltCurve_Q9Y277_VDAC3.pdf</v>
      </c>
    </row>
    <row r="6233" spans="1:28" x14ac:dyDescent="0.25">
      <c r="A6233" t="s">
        <v>6237</v>
      </c>
      <c r="B6233">
        <v>0.99673306730245903</v>
      </c>
      <c r="C6233">
        <v>1.03163605085502</v>
      </c>
      <c r="D6233">
        <v>0.97660137573440498</v>
      </c>
      <c r="E6233">
        <v>0.91662499774963602</v>
      </c>
      <c r="F6233">
        <v>0.64369954169295696</v>
      </c>
      <c r="G6233">
        <v>0.26674686666834202</v>
      </c>
      <c r="H6233">
        <v>0.118864634297178</v>
      </c>
      <c r="I6233">
        <v>8.8152510071513396E-2</v>
      </c>
      <c r="J6233">
        <v>7.7099972684686199E-2</v>
      </c>
      <c r="K6233">
        <v>7.7697248822232098E-2</v>
      </c>
      <c r="L6233">
        <v>1454.9242402079401</v>
      </c>
      <c r="M6233">
        <v>26.9092191656868</v>
      </c>
      <c r="N6233">
        <v>54.388382482115396</v>
      </c>
      <c r="O6233">
        <v>53.771922737078597</v>
      </c>
      <c r="P6233">
        <v>-0.115936273222247</v>
      </c>
      <c r="Q6233">
        <v>7.3320798221245806E-2</v>
      </c>
      <c r="R6233">
        <v>0.99913289601866495</v>
      </c>
      <c r="S6233" t="s">
        <v>12685</v>
      </c>
      <c r="T6233" t="s">
        <v>12902</v>
      </c>
      <c r="U6233" t="s">
        <v>12902</v>
      </c>
      <c r="V6233" t="s">
        <v>12902</v>
      </c>
      <c r="W6233" t="s">
        <v>19082</v>
      </c>
      <c r="X6233">
        <v>9</v>
      </c>
      <c r="Y6233" t="s">
        <v>25363</v>
      </c>
      <c r="Z6233" t="s">
        <v>31808</v>
      </c>
      <c r="AA6233">
        <v>0.51535638738442502</v>
      </c>
      <c r="AB6233" t="str">
        <f>HYPERLINK("Melting_Curves/meltCurve_Q9Y281_CFL2.pdf", "Melting_Curves/meltCurve_Q9Y281_CFL2.pdf")</f>
        <v>Melting_Curves/meltCurve_Q9Y281_CFL2.pdf</v>
      </c>
    </row>
    <row r="6234" spans="1:28" x14ac:dyDescent="0.25">
      <c r="A6234" t="s">
        <v>6238</v>
      </c>
      <c r="B6234">
        <v>0.99673306730245903</v>
      </c>
      <c r="C6234">
        <v>0.87497159233437605</v>
      </c>
      <c r="D6234">
        <v>0.86716437490716902</v>
      </c>
      <c r="E6234">
        <v>0.79490902568191801</v>
      </c>
      <c r="F6234">
        <v>0.72927308694647297</v>
      </c>
      <c r="G6234">
        <v>0.57460257958587702</v>
      </c>
      <c r="H6234">
        <v>0.46298841232361199</v>
      </c>
      <c r="I6234">
        <v>0.37460293692325097</v>
      </c>
      <c r="J6234">
        <v>0.28938010790726698</v>
      </c>
      <c r="K6234">
        <v>0.19562441830181301</v>
      </c>
      <c r="L6234">
        <v>434.79034816933802</v>
      </c>
      <c r="M6234">
        <v>7.3622492406243296</v>
      </c>
      <c r="N6234">
        <v>59.056728179830003</v>
      </c>
      <c r="O6234">
        <v>55.1685478715263</v>
      </c>
      <c r="P6234">
        <v>-3.3413902240434501E-2</v>
      </c>
      <c r="Q6234">
        <v>0</v>
      </c>
      <c r="R6234">
        <v>0.98627163481534397</v>
      </c>
      <c r="S6234" t="s">
        <v>12686</v>
      </c>
      <c r="T6234" t="s">
        <v>12902</v>
      </c>
      <c r="U6234" t="s">
        <v>12902</v>
      </c>
      <c r="V6234" t="s">
        <v>12902</v>
      </c>
      <c r="W6234" t="s">
        <v>19083</v>
      </c>
      <c r="X6234">
        <v>3</v>
      </c>
      <c r="Y6234" t="s">
        <v>25364</v>
      </c>
      <c r="Z6234" t="s">
        <v>31809</v>
      </c>
      <c r="AA6234">
        <v>0.62514483251552255</v>
      </c>
      <c r="AB6234" t="str">
        <f>HYPERLINK("Melting_Curves/meltCurve_Q9Y289_SLC5A6.pdf", "Melting_Curves/meltCurve_Q9Y289_SLC5A6.pdf")</f>
        <v>Melting_Curves/meltCurve_Q9Y289_SLC5A6.pdf</v>
      </c>
    </row>
    <row r="6235" spans="1:28" x14ac:dyDescent="0.25">
      <c r="A6235" t="s">
        <v>6239</v>
      </c>
      <c r="B6235">
        <v>0.99673306730245903</v>
      </c>
      <c r="C6235">
        <v>1.02221301740274</v>
      </c>
      <c r="D6235">
        <v>0.94209497981689705</v>
      </c>
      <c r="E6235">
        <v>0.90226174947982696</v>
      </c>
      <c r="F6235">
        <v>0.37864714391603499</v>
      </c>
      <c r="G6235">
        <v>0.207691882968948</v>
      </c>
      <c r="H6235">
        <v>0.127765511228599</v>
      </c>
      <c r="I6235">
        <v>0.10724645797634599</v>
      </c>
      <c r="J6235">
        <v>0.10888241767573301</v>
      </c>
      <c r="K6235">
        <v>8.1415033706535495E-2</v>
      </c>
      <c r="L6235">
        <v>1878.1572892030799</v>
      </c>
      <c r="M6235">
        <v>36.0370485724209</v>
      </c>
      <c r="N6235">
        <v>52.493152948894704</v>
      </c>
      <c r="O6235">
        <v>51.957695062641903</v>
      </c>
      <c r="P6235">
        <v>-0.153683860567531</v>
      </c>
      <c r="Q6235">
        <v>0.113686136912094</v>
      </c>
      <c r="R6235">
        <v>0.99498616113524696</v>
      </c>
      <c r="S6235" t="s">
        <v>12687</v>
      </c>
      <c r="T6235" t="s">
        <v>12902</v>
      </c>
      <c r="U6235" t="s">
        <v>12902</v>
      </c>
      <c r="V6235" t="s">
        <v>12902</v>
      </c>
      <c r="W6235" t="s">
        <v>19084</v>
      </c>
      <c r="X6235">
        <v>2</v>
      </c>
      <c r="Y6235" t="s">
        <v>25365</v>
      </c>
      <c r="Z6235" t="s">
        <v>31810</v>
      </c>
      <c r="AA6235">
        <v>0.47561530578394368</v>
      </c>
      <c r="AB6235" t="str">
        <f>HYPERLINK("Melting_Curves/meltCurve_Q9Y294_ASF1A.pdf", "Melting_Curves/meltCurve_Q9Y294_ASF1A.pdf")</f>
        <v>Melting_Curves/meltCurve_Q9Y294_ASF1A.pdf</v>
      </c>
    </row>
    <row r="6236" spans="1:28" x14ac:dyDescent="0.25">
      <c r="A6236" t="s">
        <v>6240</v>
      </c>
      <c r="B6236">
        <v>0.99673306730245903</v>
      </c>
      <c r="C6236">
        <v>0.947896030330587</v>
      </c>
      <c r="D6236">
        <v>0.916857357333137</v>
      </c>
      <c r="E6236">
        <v>0.94100390775889697</v>
      </c>
      <c r="F6236">
        <v>0.632512245745808</v>
      </c>
      <c r="G6236">
        <v>0.25944210309973298</v>
      </c>
      <c r="H6236">
        <v>6.1220159643205201E-2</v>
      </c>
      <c r="I6236">
        <v>5.1814779394378903E-2</v>
      </c>
      <c r="J6236">
        <v>5.3531194156497097E-2</v>
      </c>
      <c r="K6236">
        <v>5.4586367958784299E-2</v>
      </c>
      <c r="L6236">
        <v>1481.4311704914501</v>
      </c>
      <c r="M6236">
        <v>27.3556929894565</v>
      </c>
      <c r="N6236">
        <v>54.322011790784899</v>
      </c>
      <c r="O6236">
        <v>53.867487216140603</v>
      </c>
      <c r="P6236">
        <v>-0.121820848398002</v>
      </c>
      <c r="Q6236">
        <v>4.0474494446280401E-2</v>
      </c>
      <c r="R6236">
        <v>0.99435075282688901</v>
      </c>
      <c r="S6236" t="s">
        <v>12688</v>
      </c>
      <c r="T6236" t="s">
        <v>12902</v>
      </c>
      <c r="U6236" t="s">
        <v>12902</v>
      </c>
      <c r="V6236" t="s">
        <v>12902</v>
      </c>
      <c r="W6236" t="s">
        <v>19085</v>
      </c>
      <c r="X6236">
        <v>17</v>
      </c>
      <c r="Y6236" t="s">
        <v>25366</v>
      </c>
      <c r="Z6236" t="s">
        <v>31811</v>
      </c>
      <c r="AA6236">
        <v>0.50071499018630594</v>
      </c>
      <c r="AB6236" t="str">
        <f>HYPERLINK("Melting_Curves/meltCurve_Q9Y295_DRG1.pdf", "Melting_Curves/meltCurve_Q9Y295_DRG1.pdf")</f>
        <v>Melting_Curves/meltCurve_Q9Y295_DRG1.pdf</v>
      </c>
    </row>
    <row r="6237" spans="1:28" x14ac:dyDescent="0.25">
      <c r="A6237" t="s">
        <v>6241</v>
      </c>
      <c r="B6237">
        <v>0.99673306730245903</v>
      </c>
      <c r="C6237">
        <v>0.99184756225832704</v>
      </c>
      <c r="D6237">
        <v>0.89124892293657398</v>
      </c>
      <c r="E6237">
        <v>0.79603814735805301</v>
      </c>
      <c r="F6237">
        <v>0.64879394902018195</v>
      </c>
      <c r="G6237">
        <v>0.36346424353031698</v>
      </c>
      <c r="H6237">
        <v>0.158570373083086</v>
      </c>
      <c r="I6237">
        <v>0.145578828289882</v>
      </c>
      <c r="J6237">
        <v>0.152751344655048</v>
      </c>
      <c r="K6237">
        <v>0.124194610771641</v>
      </c>
      <c r="L6237">
        <v>858.63575938375095</v>
      </c>
      <c r="M6237">
        <v>15.915309311029199</v>
      </c>
      <c r="N6237">
        <v>54.588279274910803</v>
      </c>
      <c r="O6237">
        <v>53.1200983687487</v>
      </c>
      <c r="P6237">
        <v>-6.8551322294058206E-2</v>
      </c>
      <c r="Q6237">
        <v>8.4865683308575607E-2</v>
      </c>
      <c r="R6237">
        <v>0.99136421891383697</v>
      </c>
      <c r="S6237" t="s">
        <v>12689</v>
      </c>
      <c r="T6237" t="s">
        <v>12902</v>
      </c>
      <c r="U6237" t="s">
        <v>12902</v>
      </c>
      <c r="V6237" t="s">
        <v>12902</v>
      </c>
      <c r="W6237" t="s">
        <v>19086</v>
      </c>
      <c r="X6237">
        <v>5</v>
      </c>
      <c r="Y6237" t="s">
        <v>25367</v>
      </c>
      <c r="Z6237" t="s">
        <v>31812</v>
      </c>
      <c r="AA6237">
        <v>0.52785531215909687</v>
      </c>
      <c r="AB6237" t="str">
        <f>HYPERLINK("Melting_Curves/meltCurve_Q9Y296_TRAPPC4.pdf", "Melting_Curves/meltCurve_Q9Y296_TRAPPC4.pdf")</f>
        <v>Melting_Curves/meltCurve_Q9Y296_TRAPPC4.pdf</v>
      </c>
    </row>
    <row r="6238" spans="1:28" x14ac:dyDescent="0.25">
      <c r="A6238" t="s">
        <v>6242</v>
      </c>
      <c r="B6238">
        <v>0.99673306730245903</v>
      </c>
      <c r="C6238">
        <v>0.91556758936142102</v>
      </c>
      <c r="D6238">
        <v>0.997178792429806</v>
      </c>
      <c r="E6238">
        <v>0.97949856316453199</v>
      </c>
      <c r="F6238">
        <v>0.27136254358822298</v>
      </c>
      <c r="G6238">
        <v>0.137663016363749</v>
      </c>
      <c r="H6238">
        <v>7.8889716320551306E-2</v>
      </c>
      <c r="I6238">
        <v>6.6639715475038497E-2</v>
      </c>
      <c r="J6238">
        <v>7.7366610411971404E-2</v>
      </c>
      <c r="K6238">
        <v>7.4681529830791807E-2</v>
      </c>
      <c r="L6238">
        <v>3582.5412592827402</v>
      </c>
      <c r="M6238">
        <v>68.696801589748205</v>
      </c>
      <c r="N6238">
        <v>52.293830941211503</v>
      </c>
      <c r="O6238">
        <v>52.105911365288001</v>
      </c>
      <c r="P6238">
        <v>-0.30123629293958398</v>
      </c>
      <c r="Q6238">
        <v>8.6060165468878999E-2</v>
      </c>
      <c r="R6238">
        <v>0.99432478016388803</v>
      </c>
      <c r="S6238" t="s">
        <v>12690</v>
      </c>
      <c r="T6238" t="s">
        <v>12902</v>
      </c>
      <c r="U6238" t="s">
        <v>12902</v>
      </c>
      <c r="V6238" t="s">
        <v>12902</v>
      </c>
      <c r="W6238" t="s">
        <v>19087</v>
      </c>
      <c r="X6238">
        <v>19</v>
      </c>
      <c r="Y6238" t="s">
        <v>25368</v>
      </c>
      <c r="Z6238" t="s">
        <v>31813</v>
      </c>
      <c r="AA6238">
        <v>0.45731794977050072</v>
      </c>
      <c r="AB6238" t="str">
        <f>HYPERLINK("Melting_Curves/meltCurve_Q9Y2A7_NCKAP1.pdf", "Melting_Curves/meltCurve_Q9Y2A7_NCKAP1.pdf")</f>
        <v>Melting_Curves/meltCurve_Q9Y2A7_NCKAP1.pdf</v>
      </c>
    </row>
    <row r="6239" spans="1:28" x14ac:dyDescent="0.25">
      <c r="A6239" t="s">
        <v>6243</v>
      </c>
      <c r="B6239">
        <v>0.99673306730245903</v>
      </c>
      <c r="C6239">
        <v>0.79573179835121199</v>
      </c>
      <c r="D6239">
        <v>0.81874567732111103</v>
      </c>
      <c r="E6239">
        <v>0.57958735094948199</v>
      </c>
      <c r="F6239">
        <v>0.33964561455968501</v>
      </c>
      <c r="G6239">
        <v>0.22614003098989499</v>
      </c>
      <c r="H6239">
        <v>0.164336469773013</v>
      </c>
      <c r="I6239">
        <v>0.187717967307202</v>
      </c>
      <c r="J6239">
        <v>0.14044549791000699</v>
      </c>
      <c r="K6239">
        <v>0.17332328072054901</v>
      </c>
      <c r="L6239">
        <v>690.04478702588301</v>
      </c>
      <c r="M6239">
        <v>13.983262240743301</v>
      </c>
      <c r="N6239">
        <v>50.434532224627297</v>
      </c>
      <c r="O6239">
        <v>48.371513437289998</v>
      </c>
      <c r="P6239">
        <v>-6.2878911382849401E-2</v>
      </c>
      <c r="Q6239">
        <v>0.130061586706161</v>
      </c>
      <c r="R6239">
        <v>0.97975047752456401</v>
      </c>
      <c r="S6239" t="s">
        <v>12691</v>
      </c>
      <c r="T6239" t="s">
        <v>12902</v>
      </c>
      <c r="U6239" t="s">
        <v>12902</v>
      </c>
      <c r="V6239" t="s">
        <v>12902</v>
      </c>
      <c r="W6239" t="s">
        <v>19088</v>
      </c>
      <c r="X6239">
        <v>2</v>
      </c>
      <c r="Y6239" t="s">
        <v>25369</v>
      </c>
      <c r="Z6239" t="s">
        <v>31814</v>
      </c>
      <c r="AA6239">
        <v>0.42521522424277941</v>
      </c>
      <c r="AB6239" t="str">
        <f>HYPERLINK("Melting_Curves/meltCurve_Q9Y2A9_B3GNT3.pdf", "Melting_Curves/meltCurve_Q9Y2A9_B3GNT3.pdf")</f>
        <v>Melting_Curves/meltCurve_Q9Y2A9_B3GNT3.pdf</v>
      </c>
    </row>
    <row r="6240" spans="1:28" x14ac:dyDescent="0.25">
      <c r="A6240" t="s">
        <v>6244</v>
      </c>
      <c r="B6240">
        <v>0.99673306730245903</v>
      </c>
      <c r="C6240">
        <v>0.91567232851931901</v>
      </c>
      <c r="D6240">
        <v>0.88320121932905005</v>
      </c>
      <c r="E6240">
        <v>0.74829303220464805</v>
      </c>
      <c r="F6240">
        <v>0.58677477022829105</v>
      </c>
      <c r="G6240">
        <v>0.32138466893824302</v>
      </c>
      <c r="H6240">
        <v>0.29870730207784801</v>
      </c>
      <c r="I6240">
        <v>0.28543518430449499</v>
      </c>
      <c r="J6240">
        <v>0.42835527736842699</v>
      </c>
      <c r="K6240">
        <v>0.39781302553762998</v>
      </c>
      <c r="L6240">
        <v>971.84295332356305</v>
      </c>
      <c r="M6240">
        <v>19.1846158551316</v>
      </c>
      <c r="N6240">
        <v>53.734224318207303</v>
      </c>
      <c r="O6240">
        <v>50.116628939591699</v>
      </c>
      <c r="P6240">
        <v>-6.3804005823458201E-2</v>
      </c>
      <c r="Q6240">
        <v>0.33331602301295399</v>
      </c>
      <c r="R6240">
        <v>0.94850318340426898</v>
      </c>
      <c r="S6240" t="s">
        <v>12692</v>
      </c>
      <c r="T6240" t="s">
        <v>12902</v>
      </c>
      <c r="U6240" t="s">
        <v>12902</v>
      </c>
      <c r="V6240" t="s">
        <v>12902</v>
      </c>
      <c r="W6240" t="s">
        <v>19089</v>
      </c>
      <c r="X6240">
        <v>18</v>
      </c>
      <c r="Y6240" t="s">
        <v>25370</v>
      </c>
      <c r="Z6240" t="s">
        <v>31815</v>
      </c>
      <c r="AA6240">
        <v>0.58017300924209225</v>
      </c>
      <c r="AB6240" t="str">
        <f>HYPERLINK("Melting_Curves/meltCurve_Q9Y2B0_CNPY2.pdf", "Melting_Curves/meltCurve_Q9Y2B0_CNPY2.pdf")</f>
        <v>Melting_Curves/meltCurve_Q9Y2B0_CNPY2.pdf</v>
      </c>
    </row>
    <row r="6241" spans="1:28" x14ac:dyDescent="0.25">
      <c r="A6241" t="s">
        <v>6245</v>
      </c>
      <c r="B6241">
        <v>0.99673306730245903</v>
      </c>
      <c r="C6241">
        <v>0.91693351491179398</v>
      </c>
      <c r="D6241">
        <v>0.93824112499881795</v>
      </c>
      <c r="E6241">
        <v>0.90669532591892199</v>
      </c>
      <c r="F6241">
        <v>0.82706178096563898</v>
      </c>
      <c r="G6241">
        <v>0.58735211030551304</v>
      </c>
      <c r="H6241">
        <v>0.44376556565261099</v>
      </c>
      <c r="I6241">
        <v>0.446109191716894</v>
      </c>
      <c r="J6241">
        <v>0.40534136211927602</v>
      </c>
      <c r="K6241">
        <v>0.33691249218892699</v>
      </c>
      <c r="L6241">
        <v>856.55513333651902</v>
      </c>
      <c r="M6241">
        <v>15.403933666910801</v>
      </c>
      <c r="N6241">
        <v>59.9344619576691</v>
      </c>
      <c r="O6241">
        <v>54.694372940706401</v>
      </c>
      <c r="P6241">
        <v>-4.6782939426084497E-2</v>
      </c>
      <c r="Q6241">
        <v>0.335616182968486</v>
      </c>
      <c r="R6241">
        <v>0.97766067842006399</v>
      </c>
      <c r="S6241" t="s">
        <v>12693</v>
      </c>
      <c r="T6241" t="s">
        <v>12902</v>
      </c>
      <c r="U6241" t="s">
        <v>12902</v>
      </c>
      <c r="V6241" t="s">
        <v>12902</v>
      </c>
      <c r="W6241" t="s">
        <v>19090</v>
      </c>
      <c r="X6241">
        <v>2</v>
      </c>
      <c r="Y6241" t="s">
        <v>25371</v>
      </c>
      <c r="Z6241" t="s">
        <v>31816</v>
      </c>
      <c r="AA6241">
        <v>0.69314381688557958</v>
      </c>
      <c r="AB6241" t="str">
        <f>HYPERLINK("Melting_Curves/meltCurve_Q9Y2C4_EXOG.pdf", "Melting_Curves/meltCurve_Q9Y2C4_EXOG.pdf")</f>
        <v>Melting_Curves/meltCurve_Q9Y2C4_EXOG.pdf</v>
      </c>
    </row>
    <row r="6242" spans="1:28" x14ac:dyDescent="0.25">
      <c r="A6242" t="s">
        <v>6246</v>
      </c>
      <c r="B6242">
        <v>0.99673306730245903</v>
      </c>
      <c r="C6242">
        <v>1.06216026387647</v>
      </c>
      <c r="D6242">
        <v>0.92782141687505604</v>
      </c>
      <c r="E6242">
        <v>0.80045287956369704</v>
      </c>
      <c r="F6242">
        <v>0.551536802770074</v>
      </c>
      <c r="G6242">
        <v>0.37371129522735103</v>
      </c>
      <c r="H6242">
        <v>0.226163857760728</v>
      </c>
      <c r="I6242">
        <v>0.18379484533134799</v>
      </c>
      <c r="J6242">
        <v>0.13893063186665799</v>
      </c>
      <c r="K6242">
        <v>9.7526952000583395E-2</v>
      </c>
      <c r="L6242">
        <v>836.93745293497398</v>
      </c>
      <c r="M6242">
        <v>15.629921164222001</v>
      </c>
      <c r="N6242">
        <v>54.323481360618601</v>
      </c>
      <c r="O6242">
        <v>52.693582693961098</v>
      </c>
      <c r="P6242">
        <v>-6.6738308385710696E-2</v>
      </c>
      <c r="Q6242">
        <v>0.100090872009267</v>
      </c>
      <c r="R6242">
        <v>0.99377779727136095</v>
      </c>
      <c r="S6242" t="s">
        <v>12694</v>
      </c>
      <c r="T6242" t="s">
        <v>12902</v>
      </c>
      <c r="U6242" t="s">
        <v>12902</v>
      </c>
      <c r="V6242" t="s">
        <v>12902</v>
      </c>
      <c r="W6242" t="s">
        <v>19091</v>
      </c>
      <c r="X6242">
        <v>1</v>
      </c>
      <c r="Y6242" t="s">
        <v>25372</v>
      </c>
      <c r="Z6242" t="s">
        <v>31817</v>
      </c>
      <c r="AA6242">
        <v>0.52434631481682537</v>
      </c>
      <c r="AB6242" t="str">
        <f>HYPERLINK("Melting_Curves/meltCurve_Q9Y2D0_CA5B.pdf", "Melting_Curves/meltCurve_Q9Y2D0_CA5B.pdf")</f>
        <v>Melting_Curves/meltCurve_Q9Y2D0_CA5B.pdf</v>
      </c>
    </row>
    <row r="6243" spans="1:28" x14ac:dyDescent="0.25">
      <c r="A6243" t="s">
        <v>6247</v>
      </c>
      <c r="B6243">
        <v>0.99673306730245903</v>
      </c>
      <c r="C6243">
        <v>0.95334969508657796</v>
      </c>
      <c r="D6243">
        <v>0.89962659734313299</v>
      </c>
      <c r="E6243">
        <v>0.52770888164362895</v>
      </c>
      <c r="F6243">
        <v>0.35087318120056499</v>
      </c>
      <c r="G6243">
        <v>0.29119825566229801</v>
      </c>
      <c r="H6243">
        <v>0.20796395011951699</v>
      </c>
      <c r="I6243">
        <v>0.22083573567316001</v>
      </c>
      <c r="J6243">
        <v>0.19894544057643901</v>
      </c>
      <c r="K6243">
        <v>0.20201583488960001</v>
      </c>
      <c r="L6243">
        <v>1112.0465045608501</v>
      </c>
      <c r="M6243">
        <v>22.6385040207185</v>
      </c>
      <c r="N6243">
        <v>50.363919745356597</v>
      </c>
      <c r="O6243">
        <v>48.7434347825263</v>
      </c>
      <c r="P6243">
        <v>-9.1275693360602095E-2</v>
      </c>
      <c r="Q6243">
        <v>0.213905319961438</v>
      </c>
      <c r="R6243">
        <v>0.99409051012428795</v>
      </c>
      <c r="S6243" t="s">
        <v>12695</v>
      </c>
      <c r="T6243" t="s">
        <v>12902</v>
      </c>
      <c r="U6243" t="s">
        <v>12902</v>
      </c>
      <c r="V6243" t="s">
        <v>12902</v>
      </c>
      <c r="W6243" t="s">
        <v>19092</v>
      </c>
      <c r="X6243">
        <v>8</v>
      </c>
      <c r="Y6243" t="s">
        <v>25373</v>
      </c>
      <c r="Z6243" t="s">
        <v>31818</v>
      </c>
      <c r="AA6243">
        <v>0.46147378273071432</v>
      </c>
      <c r="AB6243" t="str">
        <f>HYPERLINK("Melting_Curves/meltCurve_Q9Y2D4_EXOC6B.pdf", "Melting_Curves/meltCurve_Q9Y2D4_EXOC6B.pdf")</f>
        <v>Melting_Curves/meltCurve_Q9Y2D4_EXOC6B.pdf</v>
      </c>
    </row>
    <row r="6244" spans="1:28" x14ac:dyDescent="0.25">
      <c r="A6244" t="s">
        <v>6248</v>
      </c>
      <c r="B6244">
        <v>0.99673306730245903</v>
      </c>
      <c r="C6244">
        <v>0.95147593207442305</v>
      </c>
      <c r="D6244">
        <v>0.96402777675515605</v>
      </c>
      <c r="E6244">
        <v>0.75074755540590099</v>
      </c>
      <c r="F6244">
        <v>0.61016768750388095</v>
      </c>
      <c r="G6244">
        <v>0.51133357093812803</v>
      </c>
      <c r="H6244">
        <v>0.50150756354653403</v>
      </c>
      <c r="I6244">
        <v>0.84850467110135397</v>
      </c>
      <c r="J6244">
        <v>1.85228340524073</v>
      </c>
      <c r="K6244">
        <v>1.8176155917858201</v>
      </c>
      <c r="L6244">
        <v>15000</v>
      </c>
      <c r="M6244">
        <v>229.37777670612499</v>
      </c>
      <c r="O6244">
        <v>65.3893396819158</v>
      </c>
      <c r="P6244">
        <v>0.43848470281262197</v>
      </c>
      <c r="Q6244">
        <v>1.5</v>
      </c>
      <c r="R6244">
        <v>0.549307711897151</v>
      </c>
      <c r="S6244" t="s">
        <v>12696</v>
      </c>
      <c r="T6244" t="s">
        <v>12902</v>
      </c>
      <c r="U6244" t="s">
        <v>12902</v>
      </c>
      <c r="V6244" t="s">
        <v>12902</v>
      </c>
      <c r="W6244" t="s">
        <v>19093</v>
      </c>
      <c r="X6244">
        <v>9</v>
      </c>
      <c r="Y6244" t="s">
        <v>25374</v>
      </c>
      <c r="Z6244" t="s">
        <v>31819</v>
      </c>
      <c r="AA6244">
        <v>1.0766934382566931</v>
      </c>
      <c r="AB6244" t="str">
        <f>HYPERLINK("Melting_Curves/meltCurve_Q9Y2D5_AKAP2.pdf", "Melting_Curves/meltCurve_Q9Y2D5_AKAP2.pdf")</f>
        <v>Melting_Curves/meltCurve_Q9Y2D5_AKAP2.pdf</v>
      </c>
    </row>
    <row r="6245" spans="1:28" x14ac:dyDescent="0.25">
      <c r="A6245" t="s">
        <v>6249</v>
      </c>
      <c r="B6245">
        <v>0.99673306730245903</v>
      </c>
      <c r="C6245">
        <v>0.98883082112216503</v>
      </c>
      <c r="D6245">
        <v>0.96407211496115097</v>
      </c>
      <c r="E6245">
        <v>0.80502304944486602</v>
      </c>
      <c r="F6245">
        <v>0.31402129735203399</v>
      </c>
      <c r="G6245">
        <v>0.19404716110688999</v>
      </c>
      <c r="H6245">
        <v>0.13572830935298899</v>
      </c>
      <c r="I6245">
        <v>0.14393257532149101</v>
      </c>
      <c r="J6245">
        <v>0.16020188944837899</v>
      </c>
      <c r="K6245">
        <v>0.13976726998876601</v>
      </c>
      <c r="L6245">
        <v>1850.65958285022</v>
      </c>
      <c r="M6245">
        <v>36.141777721629502</v>
      </c>
      <c r="N6245">
        <v>51.7078318658657</v>
      </c>
      <c r="O6245">
        <v>51.049541196305398</v>
      </c>
      <c r="P6245">
        <v>-0.150792322420153</v>
      </c>
      <c r="Q6245">
        <v>0.14803804427172801</v>
      </c>
      <c r="R6245">
        <v>0.99881404189095202</v>
      </c>
      <c r="S6245" t="s">
        <v>12697</v>
      </c>
      <c r="T6245" t="s">
        <v>12902</v>
      </c>
      <c r="U6245" t="s">
        <v>12902</v>
      </c>
      <c r="V6245" t="s">
        <v>12902</v>
      </c>
      <c r="W6245" t="s">
        <v>19094</v>
      </c>
      <c r="X6245">
        <v>10</v>
      </c>
      <c r="Y6245" t="s">
        <v>25375</v>
      </c>
      <c r="Z6245" t="s">
        <v>31820</v>
      </c>
      <c r="AA6245">
        <v>0.46995958803477589</v>
      </c>
      <c r="AB6245" t="str">
        <f>HYPERLINK("Melting_Curves/meltCurve_Q9Y2G5_POFUT2.pdf", "Melting_Curves/meltCurve_Q9Y2G5_POFUT2.pdf")</f>
        <v>Melting_Curves/meltCurve_Q9Y2G5_POFUT2.pdf</v>
      </c>
    </row>
    <row r="6246" spans="1:28" x14ac:dyDescent="0.25">
      <c r="A6246" t="s">
        <v>6250</v>
      </c>
      <c r="B6246">
        <v>0.99673306730245903</v>
      </c>
      <c r="C6246">
        <v>0.98301129641529605</v>
      </c>
      <c r="D6246">
        <v>0.94327231363744302</v>
      </c>
      <c r="E6246">
        <v>0.99555716034703601</v>
      </c>
      <c r="F6246">
        <v>0.65332334827699001</v>
      </c>
      <c r="G6246">
        <v>0.38912747144043502</v>
      </c>
      <c r="H6246">
        <v>0.18332802899819201</v>
      </c>
      <c r="I6246">
        <v>0.16940683861566599</v>
      </c>
      <c r="J6246">
        <v>0.164467031891149</v>
      </c>
      <c r="K6246">
        <v>0.17123077875145501</v>
      </c>
      <c r="L6246">
        <v>1446.5335026247001</v>
      </c>
      <c r="M6246">
        <v>26.655688512685</v>
      </c>
      <c r="N6246">
        <v>55.062205126734803</v>
      </c>
      <c r="O6246">
        <v>53.964684473505699</v>
      </c>
      <c r="P6246">
        <v>-0.10376607674218299</v>
      </c>
      <c r="Q6246">
        <v>0.159707389628722</v>
      </c>
      <c r="R6246">
        <v>0.99315397475352896</v>
      </c>
      <c r="S6246" t="s">
        <v>12698</v>
      </c>
      <c r="T6246" t="s">
        <v>12902</v>
      </c>
      <c r="U6246" t="s">
        <v>12902</v>
      </c>
      <c r="V6246" t="s">
        <v>12902</v>
      </c>
      <c r="W6246" t="s">
        <v>19095</v>
      </c>
      <c r="X6246">
        <v>7</v>
      </c>
      <c r="Y6246" t="s">
        <v>25376</v>
      </c>
      <c r="Z6246" t="s">
        <v>31821</v>
      </c>
      <c r="AA6246">
        <v>0.56625164926294747</v>
      </c>
      <c r="AB6246" t="str">
        <f>HYPERLINK("Melting_Curves/meltCurve_Q9Y2H0_3_DLGAP4.pdf", "Melting_Curves/meltCurve_Q9Y2H0_3_DLGAP4.pdf")</f>
        <v>Melting_Curves/meltCurve_Q9Y2H0_3_DLGAP4.pdf</v>
      </c>
    </row>
    <row r="6247" spans="1:28" x14ac:dyDescent="0.25">
      <c r="A6247" t="s">
        <v>6251</v>
      </c>
      <c r="B6247">
        <v>0.99673306730245903</v>
      </c>
      <c r="C6247">
        <v>1.03357727414531</v>
      </c>
      <c r="D6247">
        <v>0.30447247651312698</v>
      </c>
      <c r="E6247">
        <v>0.33526643005465001</v>
      </c>
      <c r="F6247">
        <v>0.143834141904427</v>
      </c>
      <c r="G6247">
        <v>9.8644275704363696E-2</v>
      </c>
      <c r="H6247">
        <v>5.9214955012607297E-2</v>
      </c>
      <c r="I6247">
        <v>3.8093882637402703E-2</v>
      </c>
      <c r="J6247">
        <v>3.75920281104727E-2</v>
      </c>
      <c r="K6247">
        <v>3.2403859489258703E-2</v>
      </c>
      <c r="L6247">
        <v>11442.2139960318</v>
      </c>
      <c r="M6247">
        <v>250</v>
      </c>
      <c r="N6247">
        <v>45.8127085270539</v>
      </c>
      <c r="O6247">
        <v>45.7659270563882</v>
      </c>
      <c r="P6247">
        <v>-1.2202915020029099</v>
      </c>
      <c r="Q6247">
        <v>0.106435650677227</v>
      </c>
      <c r="R6247">
        <v>0.94684914670861497</v>
      </c>
      <c r="S6247" t="s">
        <v>12699</v>
      </c>
      <c r="T6247" t="s">
        <v>12902</v>
      </c>
      <c r="U6247" t="s">
        <v>12902</v>
      </c>
      <c r="V6247" t="s">
        <v>12902</v>
      </c>
      <c r="W6247" t="s">
        <v>19096</v>
      </c>
      <c r="X6247">
        <v>9</v>
      </c>
      <c r="Y6247" t="s">
        <v>25377</v>
      </c>
      <c r="Z6247" t="s">
        <v>31822</v>
      </c>
      <c r="AA6247">
        <v>0.27833555980245528</v>
      </c>
      <c r="AB6247" t="str">
        <f>HYPERLINK("Melting_Curves/meltCurve_Q9Y2H1_STK38L.pdf", "Melting_Curves/meltCurve_Q9Y2H1_STK38L.pdf")</f>
        <v>Melting_Curves/meltCurve_Q9Y2H1_STK38L.pdf</v>
      </c>
    </row>
    <row r="6248" spans="1:28" x14ac:dyDescent="0.25">
      <c r="A6248" t="s">
        <v>6252</v>
      </c>
      <c r="B6248">
        <v>0.99673306730245903</v>
      </c>
      <c r="C6248">
        <v>0.80689089959663296</v>
      </c>
      <c r="D6248">
        <v>0.35704781296959598</v>
      </c>
      <c r="E6248">
        <v>0.18943958991302801</v>
      </c>
      <c r="F6248">
        <v>0.13846441564314199</v>
      </c>
      <c r="G6248">
        <v>9.4914593288836002E-2</v>
      </c>
      <c r="H6248">
        <v>5.6145652508214398E-2</v>
      </c>
      <c r="I6248">
        <v>4.9308153189318103E-2</v>
      </c>
      <c r="J6248">
        <v>5.1739582953523197E-2</v>
      </c>
      <c r="K6248">
        <v>3.99680256731949E-2</v>
      </c>
      <c r="L6248">
        <v>1202.4231969284899</v>
      </c>
      <c r="M6248">
        <v>26.787660482440799</v>
      </c>
      <c r="N6248">
        <v>45.153505492645998</v>
      </c>
      <c r="O6248">
        <v>44.639289894351499</v>
      </c>
      <c r="P6248">
        <v>-0.139062501761858</v>
      </c>
      <c r="Q6248">
        <v>7.3067559738955207E-2</v>
      </c>
      <c r="R6248">
        <v>0.99051078550822003</v>
      </c>
      <c r="S6248" t="s">
        <v>12700</v>
      </c>
      <c r="T6248" t="s">
        <v>12902</v>
      </c>
      <c r="U6248" t="s">
        <v>12902</v>
      </c>
      <c r="V6248" t="s">
        <v>12902</v>
      </c>
      <c r="W6248" t="s">
        <v>19097</v>
      </c>
      <c r="X6248">
        <v>14</v>
      </c>
      <c r="Y6248" t="s">
        <v>25378</v>
      </c>
      <c r="Z6248" t="s">
        <v>31823</v>
      </c>
      <c r="AA6248">
        <v>0.23198399079512741</v>
      </c>
      <c r="AB6248" t="str">
        <f>HYPERLINK("Melting_Curves/meltCurve_Q9Y2H6_2_FNDC3A.pdf", "Melting_Curves/meltCurve_Q9Y2H6_2_FNDC3A.pdf")</f>
        <v>Melting_Curves/meltCurve_Q9Y2H6_2_FNDC3A.pdf</v>
      </c>
    </row>
    <row r="6249" spans="1:28" x14ac:dyDescent="0.25">
      <c r="A6249" t="s">
        <v>6253</v>
      </c>
      <c r="B6249">
        <v>0.99673306730245903</v>
      </c>
      <c r="C6249">
        <v>0.95932913152926402</v>
      </c>
      <c r="D6249">
        <v>0.87816415956844396</v>
      </c>
      <c r="E6249">
        <v>0.57002344397990201</v>
      </c>
      <c r="F6249">
        <v>0.281145778256782</v>
      </c>
      <c r="G6249">
        <v>0.22436358238243201</v>
      </c>
      <c r="H6249">
        <v>0.16819667076716199</v>
      </c>
      <c r="I6249">
        <v>0.187283873940954</v>
      </c>
      <c r="J6249">
        <v>0.17352960124578001</v>
      </c>
      <c r="K6249">
        <v>0.13625856920244001</v>
      </c>
      <c r="L6249">
        <v>1151.26345214802</v>
      </c>
      <c r="M6249">
        <v>23.294967137948099</v>
      </c>
      <c r="N6249">
        <v>50.280495349503703</v>
      </c>
      <c r="O6249">
        <v>49.061238764947902</v>
      </c>
      <c r="P6249">
        <v>-9.9211562122658803E-2</v>
      </c>
      <c r="Q6249">
        <v>0.16422183732678799</v>
      </c>
      <c r="R6249">
        <v>0.99794069540431296</v>
      </c>
      <c r="S6249" t="s">
        <v>12701</v>
      </c>
      <c r="T6249" t="s">
        <v>12902</v>
      </c>
      <c r="U6249" t="s">
        <v>12902</v>
      </c>
      <c r="V6249" t="s">
        <v>12902</v>
      </c>
      <c r="W6249" t="s">
        <v>19098</v>
      </c>
      <c r="X6249">
        <v>11</v>
      </c>
      <c r="Y6249" t="s">
        <v>25379</v>
      </c>
      <c r="Z6249" t="s">
        <v>31824</v>
      </c>
      <c r="AA6249">
        <v>0.43526598296631802</v>
      </c>
      <c r="AB6249" t="str">
        <f>HYPERLINK("Melting_Curves/meltCurve_Q9Y2I1_NISCH.pdf", "Melting_Curves/meltCurve_Q9Y2I1_NISCH.pdf")</f>
        <v>Melting_Curves/meltCurve_Q9Y2I1_NISCH.pdf</v>
      </c>
    </row>
    <row r="6250" spans="1:28" x14ac:dyDescent="0.25">
      <c r="A6250" t="s">
        <v>6254</v>
      </c>
      <c r="B6250">
        <v>0.99673306730245903</v>
      </c>
      <c r="C6250">
        <v>0.93745334716648399</v>
      </c>
      <c r="D6250">
        <v>0.96232312462230796</v>
      </c>
      <c r="E6250">
        <v>0.98301318550221595</v>
      </c>
      <c r="F6250">
        <v>0.57872154577122803</v>
      </c>
      <c r="G6250">
        <v>0.249773258192861</v>
      </c>
      <c r="H6250">
        <v>0.111100383086268</v>
      </c>
      <c r="I6250">
        <v>0.104087018970637</v>
      </c>
      <c r="J6250">
        <v>8.3406426195746494E-2</v>
      </c>
      <c r="K6250">
        <v>9.4160154868877702E-2</v>
      </c>
      <c r="L6250">
        <v>1714.93097821332</v>
      </c>
      <c r="M6250">
        <v>31.9903035390501</v>
      </c>
      <c r="N6250">
        <v>53.9639516438993</v>
      </c>
      <c r="O6250">
        <v>53.399671047983901</v>
      </c>
      <c r="P6250">
        <v>-0.135517481702328</v>
      </c>
      <c r="Q6250">
        <v>9.5156964996646595E-2</v>
      </c>
      <c r="R6250">
        <v>0.99461832369354297</v>
      </c>
      <c r="S6250" t="s">
        <v>12702</v>
      </c>
      <c r="T6250" t="s">
        <v>12902</v>
      </c>
      <c r="U6250" t="s">
        <v>12902</v>
      </c>
      <c r="V6250" t="s">
        <v>12902</v>
      </c>
      <c r="W6250" t="s">
        <v>19099</v>
      </c>
      <c r="X6250">
        <v>4</v>
      </c>
      <c r="Y6250" t="s">
        <v>25380</v>
      </c>
      <c r="Z6250" t="s">
        <v>31825</v>
      </c>
      <c r="AA6250">
        <v>0.51080706307973645</v>
      </c>
      <c r="AB6250" t="str">
        <f>HYPERLINK("Melting_Curves/meltCurve_Q9Y2I8_WDR37.pdf", "Melting_Curves/meltCurve_Q9Y2I8_WDR37.pdf")</f>
        <v>Melting_Curves/meltCurve_Q9Y2I8_WDR37.pdf</v>
      </c>
    </row>
    <row r="6251" spans="1:28" x14ac:dyDescent="0.25">
      <c r="A6251" t="s">
        <v>6255</v>
      </c>
      <c r="B6251">
        <v>0.99673306730245903</v>
      </c>
      <c r="C6251">
        <v>0.93622920341627502</v>
      </c>
      <c r="D6251">
        <v>0.78910768686868005</v>
      </c>
      <c r="E6251">
        <v>0.39805080182864</v>
      </c>
      <c r="F6251">
        <v>0.26339160834631298</v>
      </c>
      <c r="G6251">
        <v>0.185682628023634</v>
      </c>
      <c r="H6251">
        <v>0.12661251237680801</v>
      </c>
      <c r="I6251">
        <v>0.13492217852218699</v>
      </c>
      <c r="J6251">
        <v>0.13648673833545899</v>
      </c>
      <c r="K6251">
        <v>0.124194521731306</v>
      </c>
      <c r="L6251">
        <v>1052.21122151859</v>
      </c>
      <c r="M6251">
        <v>21.867758459868099</v>
      </c>
      <c r="N6251">
        <v>48.8199991532097</v>
      </c>
      <c r="O6251">
        <v>47.720049791887298</v>
      </c>
      <c r="P6251">
        <v>-9.9091444441529702E-2</v>
      </c>
      <c r="Q6251">
        <v>0.135066246137238</v>
      </c>
      <c r="R6251">
        <v>0.99686348298208105</v>
      </c>
      <c r="S6251" t="s">
        <v>12703</v>
      </c>
      <c r="T6251" t="s">
        <v>12902</v>
      </c>
      <c r="U6251" t="s">
        <v>12902</v>
      </c>
      <c r="V6251" t="s">
        <v>12902</v>
      </c>
      <c r="W6251" t="s">
        <v>19100</v>
      </c>
      <c r="X6251">
        <v>5</v>
      </c>
      <c r="Y6251" t="s">
        <v>25381</v>
      </c>
      <c r="Z6251" t="s">
        <v>31826</v>
      </c>
      <c r="AA6251">
        <v>0.37924055389420541</v>
      </c>
      <c r="AB6251" t="str">
        <f>HYPERLINK("Melting_Curves/meltCurve_Q9Y2K6_USP20.pdf", "Melting_Curves/meltCurve_Q9Y2K6_USP20.pdf")</f>
        <v>Melting_Curves/meltCurve_Q9Y2K6_USP20.pdf</v>
      </c>
    </row>
    <row r="6252" spans="1:28" x14ac:dyDescent="0.25">
      <c r="A6252" t="s">
        <v>6256</v>
      </c>
      <c r="B6252">
        <v>0.99673306730245903</v>
      </c>
      <c r="C6252">
        <v>0.91689736431883295</v>
      </c>
      <c r="D6252">
        <v>0.85422882202289696</v>
      </c>
      <c r="E6252">
        <v>0.69101653070317504</v>
      </c>
      <c r="F6252">
        <v>0.25122059118915402</v>
      </c>
      <c r="G6252">
        <v>0.16563576990921999</v>
      </c>
      <c r="H6252">
        <v>0.13430221631485301</v>
      </c>
      <c r="I6252">
        <v>0.13451138112460301</v>
      </c>
      <c r="J6252">
        <v>0.16066267773659201</v>
      </c>
      <c r="K6252">
        <v>0.14483445793000299</v>
      </c>
      <c r="L6252">
        <v>1266.6246148953601</v>
      </c>
      <c r="M6252">
        <v>25.234170388886501</v>
      </c>
      <c r="N6252">
        <v>50.811199808775299</v>
      </c>
      <c r="O6252">
        <v>49.882767366975401</v>
      </c>
      <c r="P6252">
        <v>-0.109794387768141</v>
      </c>
      <c r="Q6252">
        <v>0.131847492449464</v>
      </c>
      <c r="R6252">
        <v>0.98655739858171698</v>
      </c>
      <c r="S6252" t="s">
        <v>12704</v>
      </c>
      <c r="T6252" t="s">
        <v>12902</v>
      </c>
      <c r="U6252" t="s">
        <v>12902</v>
      </c>
      <c r="V6252" t="s">
        <v>12902</v>
      </c>
      <c r="W6252" t="s">
        <v>19101</v>
      </c>
      <c r="X6252">
        <v>7</v>
      </c>
      <c r="Y6252" t="s">
        <v>25382</v>
      </c>
      <c r="Z6252" t="s">
        <v>31827</v>
      </c>
      <c r="AA6252">
        <v>0.43450049941992941</v>
      </c>
      <c r="AB6252" t="str">
        <f>HYPERLINK("Melting_Curves/meltCurve_Q9Y2K7_KDM2A.pdf", "Melting_Curves/meltCurve_Q9Y2K7_KDM2A.pdf")</f>
        <v>Melting_Curves/meltCurve_Q9Y2K7_KDM2A.pdf</v>
      </c>
    </row>
    <row r="6253" spans="1:28" x14ac:dyDescent="0.25">
      <c r="A6253" t="s">
        <v>6257</v>
      </c>
      <c r="B6253">
        <v>0.99673306730245903</v>
      </c>
      <c r="C6253">
        <v>0.85543187343276805</v>
      </c>
      <c r="D6253">
        <v>0.527756761863862</v>
      </c>
      <c r="E6253">
        <v>0.27090294139036197</v>
      </c>
      <c r="F6253">
        <v>0.15555023920341601</v>
      </c>
      <c r="G6253">
        <v>9.5521488298816598E-2</v>
      </c>
      <c r="H6253">
        <v>6.5956612576946599E-2</v>
      </c>
      <c r="I6253">
        <v>5.0028868489117001E-2</v>
      </c>
      <c r="J6253">
        <v>5.5533277595086E-2</v>
      </c>
      <c r="K6253">
        <v>4.7940987056911299E-2</v>
      </c>
      <c r="L6253">
        <v>913.258268218387</v>
      </c>
      <c r="M6253">
        <v>19.724463582858402</v>
      </c>
      <c r="N6253">
        <v>46.602592579278699</v>
      </c>
      <c r="O6253">
        <v>45.8327751356737</v>
      </c>
      <c r="P6253">
        <v>-0.101142013460258</v>
      </c>
      <c r="Q6253">
        <v>5.9957628323024398E-2</v>
      </c>
      <c r="R6253">
        <v>0.99632232216564198</v>
      </c>
      <c r="S6253" t="s">
        <v>12705</v>
      </c>
      <c r="T6253" t="s">
        <v>12902</v>
      </c>
      <c r="U6253" t="s">
        <v>12902</v>
      </c>
      <c r="V6253" t="s">
        <v>12902</v>
      </c>
      <c r="W6253" t="s">
        <v>19102</v>
      </c>
      <c r="X6253">
        <v>37</v>
      </c>
      <c r="Y6253" t="s">
        <v>25383</v>
      </c>
      <c r="Z6253" t="s">
        <v>31828</v>
      </c>
      <c r="AA6253">
        <v>0.27209558990446708</v>
      </c>
      <c r="AB6253" t="str">
        <f>HYPERLINK("Melting_Curves/meltCurve_Q9Y2L1_DIS3.pdf", "Melting_Curves/meltCurve_Q9Y2L1_DIS3.pdf")</f>
        <v>Melting_Curves/meltCurve_Q9Y2L1_DIS3.pdf</v>
      </c>
    </row>
    <row r="6254" spans="1:28" x14ac:dyDescent="0.25">
      <c r="A6254" t="s">
        <v>6258</v>
      </c>
      <c r="B6254">
        <v>0.99673306730245903</v>
      </c>
      <c r="C6254">
        <v>0.80455042716825897</v>
      </c>
      <c r="D6254">
        <v>0.65493174546035504</v>
      </c>
      <c r="E6254">
        <v>0.27950326318204299</v>
      </c>
      <c r="F6254">
        <v>0.241649773640042</v>
      </c>
      <c r="G6254">
        <v>0.15861105519997101</v>
      </c>
      <c r="H6254">
        <v>0.10578322717826399</v>
      </c>
      <c r="I6254">
        <v>5.5263915134294801E-2</v>
      </c>
      <c r="J6254">
        <v>6.2760136706378505E-2</v>
      </c>
      <c r="K6254">
        <v>4.3101539840368297E-2</v>
      </c>
      <c r="L6254">
        <v>754.44361284624301</v>
      </c>
      <c r="M6254">
        <v>16.0339613722122</v>
      </c>
      <c r="N6254">
        <v>47.463767042560598</v>
      </c>
      <c r="O6254">
        <v>46.339214463450503</v>
      </c>
      <c r="P6254">
        <v>-8.09037353424919E-2</v>
      </c>
      <c r="Q6254">
        <v>6.4804396432443206E-2</v>
      </c>
      <c r="R6254">
        <v>0.98596281610622505</v>
      </c>
      <c r="S6254" t="s">
        <v>12706</v>
      </c>
      <c r="T6254" t="s">
        <v>12902</v>
      </c>
      <c r="U6254" t="s">
        <v>12902</v>
      </c>
      <c r="V6254" t="s">
        <v>12902</v>
      </c>
      <c r="W6254" t="s">
        <v>19103</v>
      </c>
      <c r="X6254">
        <v>2</v>
      </c>
      <c r="Y6254" t="s">
        <v>25384</v>
      </c>
      <c r="Z6254" t="s">
        <v>31829</v>
      </c>
      <c r="AA6254">
        <v>0.30671029912137909</v>
      </c>
      <c r="AB6254" t="str">
        <f>HYPERLINK("Melting_Curves/meltCurve_Q9Y2L9_2_LRCH1.pdf", "Melting_Curves/meltCurve_Q9Y2L9_2_LRCH1.pdf")</f>
        <v>Melting_Curves/meltCurve_Q9Y2L9_2_LRCH1.pdf</v>
      </c>
    </row>
    <row r="6255" spans="1:28" x14ac:dyDescent="0.25">
      <c r="A6255" t="s">
        <v>6259</v>
      </c>
      <c r="B6255">
        <v>0.99673306730245903</v>
      </c>
      <c r="C6255">
        <v>1.01058204296786</v>
      </c>
      <c r="D6255">
        <v>0.95720828094909505</v>
      </c>
      <c r="E6255">
        <v>0.84377558056354096</v>
      </c>
      <c r="F6255">
        <v>0.31600317975408398</v>
      </c>
      <c r="G6255">
        <v>0.13510787812078601</v>
      </c>
      <c r="H6255">
        <v>6.4067250560295497E-2</v>
      </c>
      <c r="I6255">
        <v>6.5255975854416504E-2</v>
      </c>
      <c r="J6255">
        <v>6.6140873946242101E-2</v>
      </c>
      <c r="K6255">
        <v>5.5480055403757E-2</v>
      </c>
      <c r="L6255">
        <v>1799.78568897063</v>
      </c>
      <c r="M6255">
        <v>34.769816715818898</v>
      </c>
      <c r="N6255">
        <v>51.974343705221798</v>
      </c>
      <c r="O6255">
        <v>51.592546032504998</v>
      </c>
      <c r="P6255">
        <v>-0.15736976691037799</v>
      </c>
      <c r="Q6255">
        <v>6.5962555869473805E-2</v>
      </c>
      <c r="R6255">
        <v>0.99864619295784396</v>
      </c>
      <c r="S6255" t="s">
        <v>12707</v>
      </c>
      <c r="T6255" t="s">
        <v>12902</v>
      </c>
      <c r="U6255" t="s">
        <v>12902</v>
      </c>
      <c r="V6255" t="s">
        <v>12902</v>
      </c>
      <c r="W6255" t="s">
        <v>19104</v>
      </c>
      <c r="X6255">
        <v>14</v>
      </c>
      <c r="Y6255" t="s">
        <v>25385</v>
      </c>
      <c r="Z6255" t="s">
        <v>31830</v>
      </c>
      <c r="AA6255">
        <v>0.43662212653335147</v>
      </c>
      <c r="AB6255" t="str">
        <f>HYPERLINK("Melting_Curves/meltCurve_Q9Y2Q3_GSTK1.pdf", "Melting_Curves/meltCurve_Q9Y2Q3_GSTK1.pdf")</f>
        <v>Melting_Curves/meltCurve_Q9Y2Q3_GSTK1.pdf</v>
      </c>
    </row>
    <row r="6256" spans="1:28" x14ac:dyDescent="0.25">
      <c r="A6256" t="s">
        <v>6260</v>
      </c>
      <c r="B6256">
        <v>0.99673306730245903</v>
      </c>
      <c r="C6256">
        <v>1.01993569428801</v>
      </c>
      <c r="D6256">
        <v>0.99209994710910598</v>
      </c>
      <c r="E6256">
        <v>0.91519445482954598</v>
      </c>
      <c r="F6256">
        <v>0.85465083120496599</v>
      </c>
      <c r="G6256">
        <v>0.74408905309562101</v>
      </c>
      <c r="H6256">
        <v>0.648218659316251</v>
      </c>
      <c r="I6256">
        <v>1.01888122553135</v>
      </c>
      <c r="J6256">
        <v>0.96387982864535604</v>
      </c>
      <c r="K6256">
        <v>0.44994613802045502</v>
      </c>
      <c r="L6256">
        <v>1337.78350226064</v>
      </c>
      <c r="M6256">
        <v>26.141555915662199</v>
      </c>
      <c r="O6256">
        <v>50.877945836964997</v>
      </c>
      <c r="P6256">
        <v>-3.0270787099015602E-2</v>
      </c>
      <c r="Q6256">
        <v>0.76434484303363104</v>
      </c>
      <c r="R6256">
        <v>0.32825223786364799</v>
      </c>
      <c r="S6256" t="s">
        <v>12708</v>
      </c>
      <c r="T6256" t="s">
        <v>12902</v>
      </c>
      <c r="U6256" t="s">
        <v>12902</v>
      </c>
      <c r="V6256" t="s">
        <v>12902</v>
      </c>
      <c r="W6256" t="s">
        <v>19105</v>
      </c>
      <c r="X6256">
        <v>8</v>
      </c>
      <c r="Y6256" t="s">
        <v>25386</v>
      </c>
      <c r="Z6256" t="s">
        <v>31831</v>
      </c>
      <c r="AA6256">
        <v>0.85407681886653841</v>
      </c>
      <c r="AB6256" t="str">
        <f>HYPERLINK("Melting_Curves/meltCurve_Q9Y2Q5_LAMTOR2.pdf", "Melting_Curves/meltCurve_Q9Y2Q5_LAMTOR2.pdf")</f>
        <v>Melting_Curves/meltCurve_Q9Y2Q5_LAMTOR2.pdf</v>
      </c>
    </row>
    <row r="6257" spans="1:28" x14ac:dyDescent="0.25">
      <c r="A6257" t="s">
        <v>6261</v>
      </c>
      <c r="B6257">
        <v>0.99673306730245903</v>
      </c>
      <c r="C6257">
        <v>1.0967450475642999</v>
      </c>
      <c r="D6257">
        <v>1.2901268961769099</v>
      </c>
      <c r="E6257">
        <v>0.908022199543293</v>
      </c>
      <c r="F6257">
        <v>0.26591989298673502</v>
      </c>
      <c r="G6257">
        <v>0.16465528860692299</v>
      </c>
      <c r="H6257">
        <v>0.11173654472353101</v>
      </c>
      <c r="I6257">
        <v>0.13140074614070499</v>
      </c>
      <c r="J6257">
        <v>0.17052479075728</v>
      </c>
      <c r="K6257">
        <v>0.119470240695762</v>
      </c>
      <c r="L6257">
        <v>2914.28769630442</v>
      </c>
      <c r="M6257">
        <v>56.5462379111978</v>
      </c>
      <c r="N6257">
        <v>51.836136583069198</v>
      </c>
      <c r="O6257">
        <v>51.4737966656417</v>
      </c>
      <c r="P6257">
        <v>-0.236526389158531</v>
      </c>
      <c r="Q6257">
        <v>0.13876463938143299</v>
      </c>
      <c r="R6257">
        <v>0.95379123569786095</v>
      </c>
      <c r="S6257" t="s">
        <v>12709</v>
      </c>
      <c r="T6257" t="s">
        <v>12902</v>
      </c>
      <c r="U6257" t="s">
        <v>12902</v>
      </c>
      <c r="V6257" t="s">
        <v>12902</v>
      </c>
      <c r="W6257" t="s">
        <v>19106</v>
      </c>
      <c r="X6257">
        <v>5</v>
      </c>
      <c r="Y6257" t="s">
        <v>25387</v>
      </c>
      <c r="Z6257" t="s">
        <v>31832</v>
      </c>
      <c r="AA6257">
        <v>0.47152859013662313</v>
      </c>
      <c r="AB6257" t="str">
        <f>HYPERLINK("Melting_Curves/meltCurve_Q9Y2Q9_MRPS28.pdf", "Melting_Curves/meltCurve_Q9Y2Q9_MRPS28.pdf")</f>
        <v>Melting_Curves/meltCurve_Q9Y2Q9_MRPS28.pdf</v>
      </c>
    </row>
    <row r="6258" spans="1:28" x14ac:dyDescent="0.25">
      <c r="A6258" t="s">
        <v>6262</v>
      </c>
      <c r="B6258">
        <v>0.99673306730245903</v>
      </c>
      <c r="C6258">
        <v>0.99943289538049995</v>
      </c>
      <c r="D6258">
        <v>0.93668144174560697</v>
      </c>
      <c r="E6258">
        <v>0.83087418870292296</v>
      </c>
      <c r="F6258">
        <v>0.70983620112467405</v>
      </c>
      <c r="G6258">
        <v>0.59758259848684703</v>
      </c>
      <c r="H6258">
        <v>0.49879577656278201</v>
      </c>
      <c r="I6258">
        <v>0.57088709020433004</v>
      </c>
      <c r="J6258">
        <v>0.64637202466066301</v>
      </c>
      <c r="K6258">
        <v>0.67666657682487197</v>
      </c>
      <c r="L6258">
        <v>1183.24784451238</v>
      </c>
      <c r="M6258">
        <v>23.536856837293499</v>
      </c>
      <c r="O6258">
        <v>49.913430129440698</v>
      </c>
      <c r="P6258">
        <v>-4.7698796702765098E-2</v>
      </c>
      <c r="Q6258">
        <v>0.59539699138775504</v>
      </c>
      <c r="R6258">
        <v>0.92590434072004102</v>
      </c>
      <c r="S6258" t="s">
        <v>12710</v>
      </c>
      <c r="T6258" t="s">
        <v>12902</v>
      </c>
      <c r="U6258" t="s">
        <v>12902</v>
      </c>
      <c r="V6258" t="s">
        <v>12902</v>
      </c>
      <c r="W6258" t="s">
        <v>19107</v>
      </c>
      <c r="X6258">
        <v>4</v>
      </c>
      <c r="Y6258" t="s">
        <v>25388</v>
      </c>
      <c r="Z6258" t="s">
        <v>31833</v>
      </c>
      <c r="AA6258">
        <v>0.7380242728660743</v>
      </c>
      <c r="AB6258" t="str">
        <f>HYPERLINK("Melting_Curves/meltCurve_Q9Y2R0_COA3.pdf", "Melting_Curves/meltCurve_Q9Y2R0_COA3.pdf")</f>
        <v>Melting_Curves/meltCurve_Q9Y2R0_COA3.pdf</v>
      </c>
    </row>
    <row r="6259" spans="1:28" x14ac:dyDescent="0.25">
      <c r="A6259" t="s">
        <v>6263</v>
      </c>
      <c r="B6259">
        <v>0.99673306730245903</v>
      </c>
      <c r="C6259">
        <v>0.84182031353428999</v>
      </c>
      <c r="D6259">
        <v>0.66287684893478704</v>
      </c>
      <c r="E6259">
        <v>0.29660757052984499</v>
      </c>
      <c r="F6259">
        <v>0.100147841802103</v>
      </c>
      <c r="G6259">
        <v>5.1128503930262997E-2</v>
      </c>
      <c r="H6259">
        <v>3.35911084593839E-2</v>
      </c>
      <c r="I6259">
        <v>3.0965330224688899E-2</v>
      </c>
      <c r="J6259">
        <v>3.27524064316791E-2</v>
      </c>
      <c r="K6259">
        <v>2.7670680103863501E-2</v>
      </c>
      <c r="L6259">
        <v>935.71842510817305</v>
      </c>
      <c r="M6259">
        <v>19.804643937732099</v>
      </c>
      <c r="N6259">
        <v>47.354126113809798</v>
      </c>
      <c r="O6259">
        <v>46.7736162730627</v>
      </c>
      <c r="P6259">
        <v>-0.103547276268538</v>
      </c>
      <c r="Q6259">
        <v>2.1822013520806899E-2</v>
      </c>
      <c r="R6259">
        <v>0.99744906286933799</v>
      </c>
      <c r="S6259" t="s">
        <v>12711</v>
      </c>
      <c r="T6259" t="s">
        <v>12902</v>
      </c>
      <c r="U6259" t="s">
        <v>12902</v>
      </c>
      <c r="V6259" t="s">
        <v>12902</v>
      </c>
      <c r="W6259" t="s">
        <v>19108</v>
      </c>
      <c r="X6259">
        <v>7</v>
      </c>
      <c r="Y6259" t="s">
        <v>25389</v>
      </c>
      <c r="Z6259" t="s">
        <v>31834</v>
      </c>
      <c r="AA6259">
        <v>0.27262729635460159</v>
      </c>
      <c r="AB6259" t="str">
        <f>HYPERLINK("Melting_Curves/meltCurve_Q9Y2R4_DDX52.pdf", "Melting_Curves/meltCurve_Q9Y2R4_DDX52.pdf")</f>
        <v>Melting_Curves/meltCurve_Q9Y2R4_DDX52.pdf</v>
      </c>
    </row>
    <row r="6260" spans="1:28" x14ac:dyDescent="0.25">
      <c r="A6260" t="s">
        <v>6264</v>
      </c>
      <c r="B6260">
        <v>0.99673306730245903</v>
      </c>
      <c r="C6260">
        <v>0.976122627165391</v>
      </c>
      <c r="D6260">
        <v>0.86293466524578399</v>
      </c>
      <c r="E6260">
        <v>0.464092662633451</v>
      </c>
      <c r="F6260">
        <v>0.260911343377004</v>
      </c>
      <c r="G6260">
        <v>0.15203854441886</v>
      </c>
      <c r="H6260">
        <v>9.8716171079395801E-2</v>
      </c>
      <c r="I6260">
        <v>0.108896134720449</v>
      </c>
      <c r="J6260">
        <v>0.15683538689641799</v>
      </c>
      <c r="K6260">
        <v>0.204883639335458</v>
      </c>
      <c r="L6260">
        <v>1278.12794993227</v>
      </c>
      <c r="M6260">
        <v>26.206492309463101</v>
      </c>
      <c r="N6260">
        <v>49.405845110057903</v>
      </c>
      <c r="O6260">
        <v>48.490098065126901</v>
      </c>
      <c r="P6260">
        <v>-0.115809874407758</v>
      </c>
      <c r="Q6260">
        <v>0.14287362906348</v>
      </c>
      <c r="R6260">
        <v>0.99276053082468196</v>
      </c>
      <c r="S6260" t="s">
        <v>12712</v>
      </c>
      <c r="T6260" t="s">
        <v>12902</v>
      </c>
      <c r="U6260" t="s">
        <v>12902</v>
      </c>
      <c r="V6260" t="s">
        <v>12902</v>
      </c>
      <c r="W6260" t="s">
        <v>19109</v>
      </c>
      <c r="X6260">
        <v>5</v>
      </c>
      <c r="Y6260" t="s">
        <v>25390</v>
      </c>
      <c r="Z6260" t="s">
        <v>31835</v>
      </c>
      <c r="AA6260">
        <v>0.40036049891722719</v>
      </c>
      <c r="AB6260" t="str">
        <f>HYPERLINK("Melting_Curves/meltCurve_Q9Y2S0_POLR1D.pdf", "Melting_Curves/meltCurve_Q9Y2S0_POLR1D.pdf")</f>
        <v>Melting_Curves/meltCurve_Q9Y2S0_POLR1D.pdf</v>
      </c>
    </row>
    <row r="6261" spans="1:28" x14ac:dyDescent="0.25">
      <c r="A6261" t="s">
        <v>6265</v>
      </c>
      <c r="B6261">
        <v>0.99673306730245903</v>
      </c>
      <c r="C6261">
        <v>0.99521036460796797</v>
      </c>
      <c r="D6261">
        <v>0.99540176006619197</v>
      </c>
      <c r="E6261">
        <v>0.87006831913431404</v>
      </c>
      <c r="F6261">
        <v>0.39240328555269699</v>
      </c>
      <c r="G6261">
        <v>0.19275596969426001</v>
      </c>
      <c r="H6261">
        <v>0.12553047316963001</v>
      </c>
      <c r="I6261">
        <v>9.7836065173511205E-2</v>
      </c>
      <c r="J6261">
        <v>9.5660975310774304E-2</v>
      </c>
      <c r="K6261">
        <v>8.2410004163377099E-2</v>
      </c>
      <c r="L6261">
        <v>1702.0046554380999</v>
      </c>
      <c r="M6261">
        <v>32.648207711560197</v>
      </c>
      <c r="N6261">
        <v>52.501877440285703</v>
      </c>
      <c r="O6261">
        <v>51.937219725599199</v>
      </c>
      <c r="P6261">
        <v>-0.140993758460248</v>
      </c>
      <c r="Q6261">
        <v>0.102824845807805</v>
      </c>
      <c r="R6261">
        <v>0.99856587124308605</v>
      </c>
      <c r="S6261" t="s">
        <v>12713</v>
      </c>
      <c r="T6261" t="s">
        <v>12902</v>
      </c>
      <c r="U6261" t="s">
        <v>12902</v>
      </c>
      <c r="V6261" t="s">
        <v>12902</v>
      </c>
      <c r="W6261" t="s">
        <v>19110</v>
      </c>
      <c r="X6261">
        <v>10</v>
      </c>
      <c r="Y6261" t="s">
        <v>25391</v>
      </c>
      <c r="Z6261" t="s">
        <v>31836</v>
      </c>
      <c r="AA6261">
        <v>0.47048667860115218</v>
      </c>
      <c r="AB6261" t="str">
        <f>HYPERLINK("Melting_Curves/meltCurve_Q9Y2S2_2_CRYL1.pdf", "Melting_Curves/meltCurve_Q9Y2S2_2_CRYL1.pdf")</f>
        <v>Melting_Curves/meltCurve_Q9Y2S2_2_CRYL1.pdf</v>
      </c>
    </row>
    <row r="6262" spans="1:28" x14ac:dyDescent="0.25">
      <c r="A6262" t="s">
        <v>6266</v>
      </c>
      <c r="B6262">
        <v>0.99673306730245903</v>
      </c>
      <c r="C6262">
        <v>1.0108946406456101</v>
      </c>
      <c r="D6262">
        <v>1.02075992303888</v>
      </c>
      <c r="E6262">
        <v>0.99766443110944103</v>
      </c>
      <c r="F6262">
        <v>1.0440007949890699</v>
      </c>
      <c r="G6262">
        <v>1.14573015018789</v>
      </c>
      <c r="H6262">
        <v>1.05369167889488</v>
      </c>
      <c r="I6262">
        <v>1.5673790285853999</v>
      </c>
      <c r="J6262">
        <v>2.6092659968338898</v>
      </c>
      <c r="K6262">
        <v>2.4272448772123498</v>
      </c>
      <c r="L6262">
        <v>15000</v>
      </c>
      <c r="M6262">
        <v>244.59330966822199</v>
      </c>
      <c r="O6262">
        <v>61.322188825526403</v>
      </c>
      <c r="P6262">
        <v>0.49858239204407201</v>
      </c>
      <c r="Q6262">
        <v>1.5</v>
      </c>
      <c r="R6262">
        <v>0.39035130676552898</v>
      </c>
      <c r="S6262" t="s">
        <v>12714</v>
      </c>
      <c r="T6262" t="s">
        <v>12902</v>
      </c>
      <c r="U6262" t="s">
        <v>12902</v>
      </c>
      <c r="V6262" t="s">
        <v>12902</v>
      </c>
      <c r="W6262" t="s">
        <v>19111</v>
      </c>
      <c r="X6262">
        <v>7</v>
      </c>
      <c r="Y6262" t="s">
        <v>25392</v>
      </c>
      <c r="Z6262" t="s">
        <v>31837</v>
      </c>
      <c r="AA6262">
        <v>1.1445056304797669</v>
      </c>
      <c r="AB6262" t="str">
        <f>HYPERLINK("Melting_Curves/meltCurve_Q9Y2S6_TMA7.pdf", "Melting_Curves/meltCurve_Q9Y2S6_TMA7.pdf")</f>
        <v>Melting_Curves/meltCurve_Q9Y2S6_TMA7.pdf</v>
      </c>
    </row>
    <row r="6263" spans="1:28" x14ac:dyDescent="0.25">
      <c r="A6263" t="s">
        <v>6267</v>
      </c>
      <c r="B6263">
        <v>0.99673306730245903</v>
      </c>
      <c r="C6263">
        <v>0.98209136806547004</v>
      </c>
      <c r="D6263">
        <v>0.67082347653641405</v>
      </c>
      <c r="E6263">
        <v>0.721512613520783</v>
      </c>
      <c r="F6263">
        <v>0.43555775647029599</v>
      </c>
      <c r="G6263">
        <v>0.205049253610944</v>
      </c>
      <c r="H6263">
        <v>0.102288179843063</v>
      </c>
      <c r="I6263">
        <v>7.8499564830860499E-2</v>
      </c>
      <c r="J6263">
        <v>7.1882439564836198E-2</v>
      </c>
      <c r="K6263">
        <v>6.5248682285402607E-2</v>
      </c>
      <c r="L6263">
        <v>637.666752155719</v>
      </c>
      <c r="M6263">
        <v>12.344424729798</v>
      </c>
      <c r="N6263">
        <v>51.6660865490826</v>
      </c>
      <c r="O6263">
        <v>50.356774263452103</v>
      </c>
      <c r="P6263">
        <v>-6.1226127755548802E-2</v>
      </c>
      <c r="Q6263">
        <v>1.17312624607586E-3</v>
      </c>
      <c r="R6263">
        <v>0.96967662673337296</v>
      </c>
      <c r="S6263" t="s">
        <v>12715</v>
      </c>
      <c r="T6263" t="s">
        <v>12902</v>
      </c>
      <c r="U6263" t="s">
        <v>12902</v>
      </c>
      <c r="V6263" t="s">
        <v>12902</v>
      </c>
      <c r="W6263" t="s">
        <v>19112</v>
      </c>
      <c r="X6263">
        <v>21</v>
      </c>
      <c r="Y6263" t="s">
        <v>25393</v>
      </c>
      <c r="Z6263" t="s">
        <v>31838</v>
      </c>
      <c r="AA6263">
        <v>0.41935217872530978</v>
      </c>
      <c r="AB6263" t="str">
        <f>HYPERLINK("Melting_Curves/meltCurve_Q9Y2S7_POLDIP2.pdf", "Melting_Curves/meltCurve_Q9Y2S7_POLDIP2.pdf")</f>
        <v>Melting_Curves/meltCurve_Q9Y2S7_POLDIP2.pdf</v>
      </c>
    </row>
    <row r="6264" spans="1:28" x14ac:dyDescent="0.25">
      <c r="A6264" t="s">
        <v>6268</v>
      </c>
      <c r="B6264">
        <v>0.99673306730245903</v>
      </c>
      <c r="C6264">
        <v>0.86535250719471601</v>
      </c>
      <c r="D6264">
        <v>0.853427791972723</v>
      </c>
      <c r="E6264">
        <v>0.79045053847784197</v>
      </c>
      <c r="F6264">
        <v>0.32363117883367498</v>
      </c>
      <c r="G6264">
        <v>0.236624028589528</v>
      </c>
      <c r="H6264">
        <v>8.0480885811303998E-2</v>
      </c>
      <c r="I6264">
        <v>5.0677421720141197E-2</v>
      </c>
      <c r="J6264">
        <v>5.3898896486748601E-2</v>
      </c>
      <c r="K6264">
        <v>4.9659689555401301E-2</v>
      </c>
      <c r="L6264">
        <v>900.99918822055599</v>
      </c>
      <c r="M6264">
        <v>17.402704135089799</v>
      </c>
      <c r="N6264">
        <v>51.944957262310197</v>
      </c>
      <c r="O6264">
        <v>51.104389276458903</v>
      </c>
      <c r="P6264">
        <v>-8.2761798970475295E-2</v>
      </c>
      <c r="Q6264">
        <v>2.7909040248088299E-2</v>
      </c>
      <c r="R6264">
        <v>0.97729034803006098</v>
      </c>
      <c r="S6264" t="s">
        <v>12716</v>
      </c>
      <c r="T6264" t="s">
        <v>12902</v>
      </c>
      <c r="U6264" t="s">
        <v>12902</v>
      </c>
      <c r="V6264" t="s">
        <v>12902</v>
      </c>
      <c r="W6264" t="s">
        <v>19113</v>
      </c>
      <c r="X6264">
        <v>12</v>
      </c>
      <c r="Y6264" t="s">
        <v>25394</v>
      </c>
      <c r="Z6264" t="s">
        <v>31839</v>
      </c>
      <c r="AA6264">
        <v>0.4265983378695542</v>
      </c>
      <c r="AB6264" t="str">
        <f>HYPERLINK("Melting_Curves/meltCurve_Q9Y2T2_AP3M1.pdf", "Melting_Curves/meltCurve_Q9Y2T2_AP3M1.pdf")</f>
        <v>Melting_Curves/meltCurve_Q9Y2T2_AP3M1.pdf</v>
      </c>
    </row>
    <row r="6265" spans="1:28" x14ac:dyDescent="0.25">
      <c r="A6265" t="s">
        <v>6269</v>
      </c>
      <c r="B6265">
        <v>0.99673306730245903</v>
      </c>
      <c r="C6265">
        <v>0.92484587109014804</v>
      </c>
      <c r="D6265">
        <v>0.85253411264478596</v>
      </c>
      <c r="E6265">
        <v>0.47397200376837101</v>
      </c>
      <c r="F6265">
        <v>0.31808290240908799</v>
      </c>
      <c r="G6265">
        <v>0.229814680183345</v>
      </c>
      <c r="H6265">
        <v>0.181694054114375</v>
      </c>
      <c r="I6265">
        <v>0.173655604729267</v>
      </c>
      <c r="J6265">
        <v>0.21915498248580201</v>
      </c>
      <c r="K6265">
        <v>0.19606340928090599</v>
      </c>
      <c r="L6265">
        <v>1098.1678743313601</v>
      </c>
      <c r="M6265">
        <v>22.619754304526499</v>
      </c>
      <c r="N6265">
        <v>49.623906568359999</v>
      </c>
      <c r="O6265">
        <v>48.174410956271998</v>
      </c>
      <c r="P6265">
        <v>-9.4652949536596906E-2</v>
      </c>
      <c r="Q6265">
        <v>0.19366820131686099</v>
      </c>
      <c r="R6265">
        <v>0.99471269237187498</v>
      </c>
      <c r="S6265" t="s">
        <v>12717</v>
      </c>
      <c r="T6265" t="s">
        <v>12902</v>
      </c>
      <c r="U6265" t="s">
        <v>12902</v>
      </c>
      <c r="V6265" t="s">
        <v>12902</v>
      </c>
      <c r="W6265" t="s">
        <v>19114</v>
      </c>
      <c r="X6265">
        <v>15</v>
      </c>
      <c r="Y6265" t="s">
        <v>25395</v>
      </c>
      <c r="Z6265" t="s">
        <v>31840</v>
      </c>
      <c r="AA6265">
        <v>0.43223388318467448</v>
      </c>
      <c r="AB6265" t="str">
        <f>HYPERLINK("Melting_Curves/meltCurve_Q9Y2U8_LEMD3.pdf", "Melting_Curves/meltCurve_Q9Y2U8_LEMD3.pdf")</f>
        <v>Melting_Curves/meltCurve_Q9Y2U8_LEMD3.pdf</v>
      </c>
    </row>
    <row r="6266" spans="1:28" x14ac:dyDescent="0.25">
      <c r="A6266" t="s">
        <v>6270</v>
      </c>
      <c r="B6266">
        <v>0.99673306730245903</v>
      </c>
      <c r="C6266">
        <v>0.95737818406402797</v>
      </c>
      <c r="D6266">
        <v>1.09407003615273</v>
      </c>
      <c r="E6266">
        <v>0.66803581113856902</v>
      </c>
      <c r="F6266">
        <v>0.38588847406705401</v>
      </c>
      <c r="G6266">
        <v>0.21585596448253899</v>
      </c>
      <c r="H6266">
        <v>0.17402604919110901</v>
      </c>
      <c r="I6266">
        <v>0.19394292525800899</v>
      </c>
      <c r="J6266">
        <v>0.29082541689341501</v>
      </c>
      <c r="K6266">
        <v>0.28667032318289798</v>
      </c>
      <c r="L6266">
        <v>1793.93995027507</v>
      </c>
      <c r="M6266">
        <v>35.693088541722098</v>
      </c>
      <c r="N6266">
        <v>51.1819787538954</v>
      </c>
      <c r="O6266">
        <v>50.1031671073303</v>
      </c>
      <c r="P6266">
        <v>-0.13587069360246201</v>
      </c>
      <c r="Q6266">
        <v>0.23710386538353001</v>
      </c>
      <c r="R6266">
        <v>0.97236771534913402</v>
      </c>
      <c r="S6266" t="s">
        <v>12718</v>
      </c>
      <c r="T6266" t="s">
        <v>12902</v>
      </c>
      <c r="U6266" t="s">
        <v>12902</v>
      </c>
      <c r="V6266" t="s">
        <v>12902</v>
      </c>
      <c r="W6266" t="s">
        <v>19115</v>
      </c>
      <c r="X6266">
        <v>7</v>
      </c>
      <c r="Y6266" t="s">
        <v>20190</v>
      </c>
      <c r="Z6266" t="s">
        <v>31841</v>
      </c>
      <c r="AA6266">
        <v>0.50135441650831969</v>
      </c>
      <c r="AB6266" t="str">
        <f>HYPERLINK("Melting_Curves/meltCurve_Q9Y2V2_CARHSP1.pdf", "Melting_Curves/meltCurve_Q9Y2V2_CARHSP1.pdf")</f>
        <v>Melting_Curves/meltCurve_Q9Y2V2_CARHSP1.pdf</v>
      </c>
    </row>
    <row r="6267" spans="1:28" x14ac:dyDescent="0.25">
      <c r="A6267" t="s">
        <v>6271</v>
      </c>
      <c r="B6267">
        <v>0.99673306730245903</v>
      </c>
      <c r="C6267">
        <v>0.88564219072304795</v>
      </c>
      <c r="D6267">
        <v>0.53693419807504095</v>
      </c>
      <c r="E6267">
        <v>0.253698868097601</v>
      </c>
      <c r="F6267">
        <v>0.233768551595437</v>
      </c>
      <c r="G6267">
        <v>0.13742972244277399</v>
      </c>
      <c r="H6267">
        <v>0.112854972162161</v>
      </c>
      <c r="I6267">
        <v>9.1845904169690407E-2</v>
      </c>
      <c r="J6267">
        <v>4.2687085390824803E-2</v>
      </c>
      <c r="K6267">
        <v>3.3265251470152898E-2</v>
      </c>
      <c r="L6267">
        <v>936.21641230233399</v>
      </c>
      <c r="M6267">
        <v>20.221124544478599</v>
      </c>
      <c r="N6267">
        <v>46.741158937807597</v>
      </c>
      <c r="O6267">
        <v>45.853256424691999</v>
      </c>
      <c r="P6267">
        <v>-0.100653514993499</v>
      </c>
      <c r="Q6267">
        <v>8.7064059416248202E-2</v>
      </c>
      <c r="R6267">
        <v>0.98402000188058703</v>
      </c>
      <c r="S6267" t="s">
        <v>12719</v>
      </c>
      <c r="T6267" t="s">
        <v>12902</v>
      </c>
      <c r="U6267" t="s">
        <v>12902</v>
      </c>
      <c r="V6267" t="s">
        <v>12902</v>
      </c>
      <c r="W6267" t="s">
        <v>19116</v>
      </c>
      <c r="X6267">
        <v>5</v>
      </c>
      <c r="Y6267" t="s">
        <v>25396</v>
      </c>
      <c r="Z6267" t="s">
        <v>31842</v>
      </c>
      <c r="AA6267">
        <v>0.29224663307369142</v>
      </c>
      <c r="AB6267" t="str">
        <f>HYPERLINK("Melting_Curves/meltCurve_Q9Y2V7_2_COG6.pdf", "Melting_Curves/meltCurve_Q9Y2V7_2_COG6.pdf")</f>
        <v>Melting_Curves/meltCurve_Q9Y2V7_2_COG6.pdf</v>
      </c>
    </row>
    <row r="6268" spans="1:28" x14ac:dyDescent="0.25">
      <c r="A6268" t="s">
        <v>6272</v>
      </c>
      <c r="B6268">
        <v>0.99673306730245903</v>
      </c>
      <c r="C6268">
        <v>0.90658391098472002</v>
      </c>
      <c r="D6268">
        <v>0.899816163849951</v>
      </c>
      <c r="E6268">
        <v>0.83685945302480702</v>
      </c>
      <c r="F6268">
        <v>0.57308851983667697</v>
      </c>
      <c r="G6268">
        <v>0.37514424340274599</v>
      </c>
      <c r="H6268">
        <v>0.30356488578754198</v>
      </c>
      <c r="I6268">
        <v>0.38019716552576199</v>
      </c>
      <c r="J6268">
        <v>0.48760633671769299</v>
      </c>
      <c r="K6268">
        <v>0.45126307240642599</v>
      </c>
      <c r="L6268">
        <v>1403.88141444034</v>
      </c>
      <c r="M6268">
        <v>27.4466030713217</v>
      </c>
      <c r="N6268">
        <v>54.221936127043598</v>
      </c>
      <c r="O6268">
        <v>50.880333556086597</v>
      </c>
      <c r="P6268">
        <v>-8.1667406374380594E-2</v>
      </c>
      <c r="Q6268">
        <v>0.39442760495172502</v>
      </c>
      <c r="R6268">
        <v>0.93622786058993201</v>
      </c>
      <c r="S6268" t="s">
        <v>12720</v>
      </c>
      <c r="T6268" t="s">
        <v>12902</v>
      </c>
      <c r="U6268" t="s">
        <v>12902</v>
      </c>
      <c r="V6268" t="s">
        <v>12902</v>
      </c>
      <c r="W6268" t="s">
        <v>19117</v>
      </c>
      <c r="X6268">
        <v>23</v>
      </c>
      <c r="Y6268" t="s">
        <v>25397</v>
      </c>
      <c r="Z6268" t="s">
        <v>31843</v>
      </c>
      <c r="AA6268">
        <v>0.62404689426489313</v>
      </c>
      <c r="AB6268" t="str">
        <f>HYPERLINK("Melting_Curves/meltCurve_Q9Y2W1_THRAP3.pdf", "Melting_Curves/meltCurve_Q9Y2W1_THRAP3.pdf")</f>
        <v>Melting_Curves/meltCurve_Q9Y2W1_THRAP3.pdf</v>
      </c>
    </row>
    <row r="6269" spans="1:28" x14ac:dyDescent="0.25">
      <c r="A6269" t="s">
        <v>6273</v>
      </c>
      <c r="B6269">
        <v>0.99673306730245903</v>
      </c>
      <c r="C6269">
        <v>0.92601395532514297</v>
      </c>
      <c r="D6269">
        <v>0.80034912886399001</v>
      </c>
      <c r="E6269">
        <v>0.83429849461260797</v>
      </c>
      <c r="F6269">
        <v>0.78746531015883203</v>
      </c>
      <c r="G6269">
        <v>0.34046118638217898</v>
      </c>
      <c r="H6269">
        <v>0.118443512715735</v>
      </c>
      <c r="I6269">
        <v>0.14020409300334</v>
      </c>
      <c r="J6269">
        <v>0.105450533455382</v>
      </c>
      <c r="K6269">
        <v>0.13043304996492799</v>
      </c>
      <c r="L6269">
        <v>1246.9087149797499</v>
      </c>
      <c r="M6269">
        <v>22.7471685139252</v>
      </c>
      <c r="N6269">
        <v>55.292434264658901</v>
      </c>
      <c r="O6269">
        <v>54.397624405951802</v>
      </c>
      <c r="P6269">
        <v>-9.52394025213808E-2</v>
      </c>
      <c r="Q6269">
        <v>8.8995033613048904E-2</v>
      </c>
      <c r="R6269">
        <v>0.95163867558957105</v>
      </c>
      <c r="S6269" t="s">
        <v>12721</v>
      </c>
      <c r="T6269" t="s">
        <v>12902</v>
      </c>
      <c r="U6269" t="s">
        <v>12902</v>
      </c>
      <c r="V6269" t="s">
        <v>12902</v>
      </c>
      <c r="W6269" t="s">
        <v>19118</v>
      </c>
      <c r="X6269">
        <v>3</v>
      </c>
      <c r="Y6269" t="s">
        <v>25398</v>
      </c>
      <c r="Z6269" t="s">
        <v>31844</v>
      </c>
      <c r="AA6269">
        <v>0.54883005145738328</v>
      </c>
      <c r="AB6269" t="str">
        <f>HYPERLINK("Melting_Curves/meltCurve_Q9Y2X0_2_MED16.pdf", "Melting_Curves/meltCurve_Q9Y2X0_2_MED16.pdf")</f>
        <v>Melting_Curves/meltCurve_Q9Y2X0_2_MED16.pdf</v>
      </c>
    </row>
    <row r="6270" spans="1:28" x14ac:dyDescent="0.25">
      <c r="A6270" t="s">
        <v>6274</v>
      </c>
      <c r="B6270">
        <v>0.99673306730245903</v>
      </c>
      <c r="C6270">
        <v>0.92163823790513499</v>
      </c>
      <c r="D6270">
        <v>0.97402505360802705</v>
      </c>
      <c r="E6270">
        <v>0.98936297776159698</v>
      </c>
      <c r="F6270">
        <v>0.58982028293229305</v>
      </c>
      <c r="G6270">
        <v>0.24945378280741101</v>
      </c>
      <c r="H6270">
        <v>0.121409279917084</v>
      </c>
      <c r="I6270">
        <v>0.108898969083944</v>
      </c>
      <c r="J6270">
        <v>0.13009477736567401</v>
      </c>
      <c r="K6270">
        <v>0.112594805111826</v>
      </c>
      <c r="L6270">
        <v>1868.6348961767501</v>
      </c>
      <c r="M6270">
        <v>34.8973103468091</v>
      </c>
      <c r="N6270">
        <v>53.963462529515503</v>
      </c>
      <c r="O6270">
        <v>53.371759389721099</v>
      </c>
      <c r="P6270">
        <v>-0.144153792092996</v>
      </c>
      <c r="Q6270">
        <v>0.118131090627318</v>
      </c>
      <c r="R6270">
        <v>0.99362909864940896</v>
      </c>
      <c r="S6270" t="s">
        <v>12722</v>
      </c>
      <c r="T6270" t="s">
        <v>12902</v>
      </c>
      <c r="U6270" t="s">
        <v>12902</v>
      </c>
      <c r="V6270" t="s">
        <v>12902</v>
      </c>
      <c r="W6270" t="s">
        <v>19119</v>
      </c>
      <c r="X6270">
        <v>12</v>
      </c>
      <c r="Y6270" t="s">
        <v>25399</v>
      </c>
      <c r="Z6270" t="s">
        <v>31845</v>
      </c>
      <c r="AA6270">
        <v>0.52062308486422226</v>
      </c>
      <c r="AB6270" t="str">
        <f>HYPERLINK("Melting_Curves/meltCurve_Q9Y2X3_NOP58.pdf", "Melting_Curves/meltCurve_Q9Y2X3_NOP58.pdf")</f>
        <v>Melting_Curves/meltCurve_Q9Y2X3_NOP58.pdf</v>
      </c>
    </row>
    <row r="6271" spans="1:28" x14ac:dyDescent="0.25">
      <c r="A6271" t="s">
        <v>6275</v>
      </c>
      <c r="B6271">
        <v>0.99673306730245903</v>
      </c>
      <c r="C6271">
        <v>0.94057895024134397</v>
      </c>
      <c r="D6271">
        <v>0.98764838287854795</v>
      </c>
      <c r="E6271">
        <v>0.63421227290634996</v>
      </c>
      <c r="F6271">
        <v>0.28263592979026497</v>
      </c>
      <c r="G6271">
        <v>0.20887623810480199</v>
      </c>
      <c r="H6271">
        <v>0.12435918478533101</v>
      </c>
      <c r="I6271">
        <v>0.131118428640323</v>
      </c>
      <c r="J6271">
        <v>0.143515839033343</v>
      </c>
      <c r="K6271">
        <v>0.135987030732517</v>
      </c>
      <c r="L6271">
        <v>1466.63539812719</v>
      </c>
      <c r="M6271">
        <v>29.201049621715001</v>
      </c>
      <c r="N6271">
        <v>50.801103068260403</v>
      </c>
      <c r="O6271">
        <v>49.991659478891698</v>
      </c>
      <c r="P6271">
        <v>-0.12546053867898799</v>
      </c>
      <c r="Q6271">
        <v>0.14086180003594501</v>
      </c>
      <c r="R6271">
        <v>0.994717421085208</v>
      </c>
      <c r="S6271" t="s">
        <v>12723</v>
      </c>
      <c r="T6271" t="s">
        <v>12902</v>
      </c>
      <c r="U6271" t="s">
        <v>12902</v>
      </c>
      <c r="V6271" t="s">
        <v>12902</v>
      </c>
      <c r="W6271" t="s">
        <v>19120</v>
      </c>
      <c r="X6271">
        <v>8</v>
      </c>
      <c r="Y6271" t="s">
        <v>25400</v>
      </c>
      <c r="Z6271" t="s">
        <v>31846</v>
      </c>
      <c r="AA6271">
        <v>0.43932920427730421</v>
      </c>
      <c r="AB6271" t="str">
        <f>HYPERLINK("Melting_Curves/meltCurve_Q9Y2X7_3_GIT1.pdf", "Melting_Curves/meltCurve_Q9Y2X7_3_GIT1.pdf")</f>
        <v>Melting_Curves/meltCurve_Q9Y2X7_3_GIT1.pdf</v>
      </c>
    </row>
    <row r="6272" spans="1:28" x14ac:dyDescent="0.25">
      <c r="A6272" t="s">
        <v>6276</v>
      </c>
      <c r="B6272">
        <v>0.99673306730245903</v>
      </c>
      <c r="C6272">
        <v>1.0076741217463201</v>
      </c>
      <c r="D6272">
        <v>1.0414257252486501</v>
      </c>
      <c r="E6272">
        <v>0.98450649871930296</v>
      </c>
      <c r="F6272">
        <v>1.2671156291797101</v>
      </c>
      <c r="G6272">
        <v>1.24661601159564</v>
      </c>
      <c r="H6272">
        <v>0.729145143210295</v>
      </c>
      <c r="I6272">
        <v>0.44441369715027401</v>
      </c>
      <c r="J6272">
        <v>0.47465351707984299</v>
      </c>
      <c r="K6272">
        <v>0.66612352605761505</v>
      </c>
      <c r="L6272">
        <v>15000</v>
      </c>
      <c r="M6272">
        <v>247.010066185178</v>
      </c>
      <c r="O6272">
        <v>60.7223109022625</v>
      </c>
      <c r="P6272">
        <v>-0.47960461872962601</v>
      </c>
      <c r="Q6272">
        <v>0.52839670180752396</v>
      </c>
      <c r="R6272">
        <v>0.789097546820553</v>
      </c>
      <c r="S6272" t="s">
        <v>12724</v>
      </c>
      <c r="T6272" t="s">
        <v>12902</v>
      </c>
      <c r="U6272" t="s">
        <v>12902</v>
      </c>
      <c r="V6272" t="s">
        <v>12902</v>
      </c>
      <c r="W6272" t="s">
        <v>19121</v>
      </c>
      <c r="X6272">
        <v>1</v>
      </c>
      <c r="Y6272" t="s">
        <v>25401</v>
      </c>
      <c r="Z6272" t="s">
        <v>31847</v>
      </c>
      <c r="AA6272">
        <v>0.85426743152509499</v>
      </c>
      <c r="AB6272" t="str">
        <f>HYPERLINK("Melting_Curves/meltCurve_Q9Y2Y1_POLR3K.pdf", "Melting_Curves/meltCurve_Q9Y2Y1_POLR3K.pdf")</f>
        <v>Melting_Curves/meltCurve_Q9Y2Y1_POLR3K.pdf</v>
      </c>
    </row>
    <row r="6273" spans="1:28" x14ac:dyDescent="0.25">
      <c r="A6273" t="s">
        <v>6277</v>
      </c>
      <c r="B6273">
        <v>0.99673306730245903</v>
      </c>
      <c r="C6273">
        <v>1.0097670196863699</v>
      </c>
      <c r="D6273">
        <v>0.76563667036800398</v>
      </c>
      <c r="E6273">
        <v>0.70183210564373899</v>
      </c>
      <c r="F6273">
        <v>0.33301726091235201</v>
      </c>
      <c r="G6273">
        <v>0.152321494120118</v>
      </c>
      <c r="H6273">
        <v>9.6950976918310103E-2</v>
      </c>
      <c r="I6273">
        <v>8.7399003535200206E-2</v>
      </c>
      <c r="J6273">
        <v>0.105898435737457</v>
      </c>
      <c r="K6273">
        <v>8.6246574508872506E-2</v>
      </c>
      <c r="L6273">
        <v>908.28448234007305</v>
      </c>
      <c r="M6273">
        <v>17.912628059179902</v>
      </c>
      <c r="N6273">
        <v>51.117841550985801</v>
      </c>
      <c r="O6273">
        <v>50.087078533920703</v>
      </c>
      <c r="P6273">
        <v>-8.3409170006758598E-2</v>
      </c>
      <c r="Q6273">
        <v>6.7135984323707001E-2</v>
      </c>
      <c r="R6273">
        <v>0.98443750855256096</v>
      </c>
      <c r="S6273" t="s">
        <v>12725</v>
      </c>
      <c r="T6273" t="s">
        <v>12902</v>
      </c>
      <c r="U6273" t="s">
        <v>12902</v>
      </c>
      <c r="V6273" t="s">
        <v>12902</v>
      </c>
      <c r="W6273" t="s">
        <v>19122</v>
      </c>
      <c r="X6273">
        <v>23</v>
      </c>
      <c r="Y6273" t="s">
        <v>25402</v>
      </c>
      <c r="Z6273" t="s">
        <v>31848</v>
      </c>
      <c r="AA6273">
        <v>0.4159688810078509</v>
      </c>
      <c r="AB6273" t="str">
        <f>HYPERLINK("Melting_Curves/meltCurve_Q9Y2Z0_2_SUGT1.pdf", "Melting_Curves/meltCurve_Q9Y2Z0_2_SUGT1.pdf")</f>
        <v>Melting_Curves/meltCurve_Q9Y2Z0_2_SUGT1.pdf</v>
      </c>
    </row>
    <row r="6274" spans="1:28" x14ac:dyDescent="0.25">
      <c r="A6274" t="s">
        <v>6278</v>
      </c>
      <c r="B6274">
        <v>0.99673306730245903</v>
      </c>
      <c r="C6274">
        <v>0.85087238003142895</v>
      </c>
      <c r="D6274">
        <v>0.692213092701085</v>
      </c>
      <c r="E6274">
        <v>0.52808740077425098</v>
      </c>
      <c r="F6274">
        <v>0.254652324775068</v>
      </c>
      <c r="G6274">
        <v>0.133657938420357</v>
      </c>
      <c r="H6274">
        <v>7.3090647472919795E-2</v>
      </c>
      <c r="I6274">
        <v>5.7396786271727597E-2</v>
      </c>
      <c r="J6274">
        <v>6.61020252381809E-2</v>
      </c>
      <c r="K6274">
        <v>5.6786319514426198E-2</v>
      </c>
      <c r="L6274">
        <v>676.49508666356098</v>
      </c>
      <c r="M6274">
        <v>13.799995121324701</v>
      </c>
      <c r="N6274">
        <v>49.212220080449498</v>
      </c>
      <c r="O6274">
        <v>48.026383163847697</v>
      </c>
      <c r="P6274">
        <v>-6.9973834185691697E-2</v>
      </c>
      <c r="Q6274">
        <v>2.6051426963074401E-2</v>
      </c>
      <c r="R6274">
        <v>0.99368115403355795</v>
      </c>
      <c r="S6274" t="s">
        <v>12726</v>
      </c>
      <c r="T6274" t="s">
        <v>12902</v>
      </c>
      <c r="U6274" t="s">
        <v>12902</v>
      </c>
      <c r="V6274" t="s">
        <v>12902</v>
      </c>
      <c r="W6274" t="s">
        <v>19123</v>
      </c>
      <c r="X6274">
        <v>14</v>
      </c>
      <c r="Y6274" t="s">
        <v>25403</v>
      </c>
      <c r="Z6274" t="s">
        <v>31849</v>
      </c>
      <c r="AA6274">
        <v>0.34694264967104121</v>
      </c>
      <c r="AB6274" t="str">
        <f>HYPERLINK("Melting_Curves/meltCurve_Q9Y2Z2_4_MTO1.pdf", "Melting_Curves/meltCurve_Q9Y2Z2_4_MTO1.pdf")</f>
        <v>Melting_Curves/meltCurve_Q9Y2Z2_4_MTO1.pdf</v>
      </c>
    </row>
    <row r="6275" spans="1:28" x14ac:dyDescent="0.25">
      <c r="A6275" t="s">
        <v>6279</v>
      </c>
      <c r="B6275">
        <v>0.99673306730245903</v>
      </c>
      <c r="C6275">
        <v>0.92882680158238795</v>
      </c>
      <c r="D6275">
        <v>0.663120577744575</v>
      </c>
      <c r="E6275">
        <v>0.31801971321258399</v>
      </c>
      <c r="F6275">
        <v>0.20487711084682</v>
      </c>
      <c r="G6275">
        <v>0.12329320737283</v>
      </c>
      <c r="H6275">
        <v>7.83728305408148E-2</v>
      </c>
      <c r="I6275">
        <v>8.0711897371607999E-2</v>
      </c>
      <c r="J6275">
        <v>8.4133764705118297E-2</v>
      </c>
      <c r="K6275">
        <v>6.9049589100457498E-2</v>
      </c>
      <c r="L6275">
        <v>991.42493487177001</v>
      </c>
      <c r="M6275">
        <v>20.9565958414825</v>
      </c>
      <c r="N6275">
        <v>47.722419289110498</v>
      </c>
      <c r="O6275">
        <v>46.884038583134299</v>
      </c>
      <c r="P6275">
        <v>-0.102462965272499</v>
      </c>
      <c r="Q6275">
        <v>8.3105353621702793E-2</v>
      </c>
      <c r="R6275">
        <v>0.99714332347015699</v>
      </c>
      <c r="S6275" t="s">
        <v>12727</v>
      </c>
      <c r="T6275" t="s">
        <v>12902</v>
      </c>
      <c r="U6275" t="s">
        <v>12902</v>
      </c>
      <c r="V6275" t="s">
        <v>12902</v>
      </c>
      <c r="W6275" t="s">
        <v>19124</v>
      </c>
      <c r="X6275">
        <v>11</v>
      </c>
      <c r="Y6275" t="s">
        <v>25404</v>
      </c>
      <c r="Z6275" t="s">
        <v>31850</v>
      </c>
      <c r="AA6275">
        <v>0.31845887603567657</v>
      </c>
      <c r="AB6275" t="str">
        <f>HYPERLINK("Melting_Curves/meltCurve_Q9Y2Z4_YARS2.pdf", "Melting_Curves/meltCurve_Q9Y2Z4_YARS2.pdf")</f>
        <v>Melting_Curves/meltCurve_Q9Y2Z4_YARS2.pdf</v>
      </c>
    </row>
    <row r="6276" spans="1:28" x14ac:dyDescent="0.25">
      <c r="A6276" t="s">
        <v>6280</v>
      </c>
      <c r="B6276">
        <v>0.99673306730245903</v>
      </c>
      <c r="C6276">
        <v>1.0114079348636</v>
      </c>
      <c r="D6276">
        <v>0.93127922962114296</v>
      </c>
      <c r="E6276">
        <v>0.83072163370199603</v>
      </c>
      <c r="F6276">
        <v>0.63452422157456201</v>
      </c>
      <c r="G6276">
        <v>0.447694775924039</v>
      </c>
      <c r="H6276">
        <v>0.19609366483816301</v>
      </c>
      <c r="I6276">
        <v>0.130946577034498</v>
      </c>
      <c r="J6276">
        <v>0.136316715913365</v>
      </c>
      <c r="K6276">
        <v>8.7072051873723896E-2</v>
      </c>
      <c r="L6276">
        <v>812.48852808994695</v>
      </c>
      <c r="M6276">
        <v>14.7811203471359</v>
      </c>
      <c r="N6276">
        <v>55.332382928245899</v>
      </c>
      <c r="O6276">
        <v>53.991296922455199</v>
      </c>
      <c r="P6276">
        <v>-6.5275022679237293E-2</v>
      </c>
      <c r="Q6276">
        <v>4.6376477923331501E-2</v>
      </c>
      <c r="R6276">
        <v>0.99630012984907401</v>
      </c>
      <c r="S6276" t="s">
        <v>12728</v>
      </c>
      <c r="T6276" t="s">
        <v>12902</v>
      </c>
      <c r="U6276" t="s">
        <v>12902</v>
      </c>
      <c r="V6276" t="s">
        <v>12902</v>
      </c>
      <c r="W6276" t="s">
        <v>19125</v>
      </c>
      <c r="X6276">
        <v>7</v>
      </c>
      <c r="Y6276" t="s">
        <v>25405</v>
      </c>
      <c r="Z6276" t="s">
        <v>31851</v>
      </c>
      <c r="AA6276">
        <v>0.54088962251670225</v>
      </c>
      <c r="AB6276" t="str">
        <f>HYPERLINK("Melting_Curves/meltCurve_Q9Y2Z9_3_COQ6.pdf", "Melting_Curves/meltCurve_Q9Y2Z9_3_COQ6.pdf")</f>
        <v>Melting_Curves/meltCurve_Q9Y2Z9_3_COQ6.pdf</v>
      </c>
    </row>
    <row r="6277" spans="1:28" x14ac:dyDescent="0.25">
      <c r="A6277" t="s">
        <v>6281</v>
      </c>
      <c r="B6277">
        <v>0.99673306730245903</v>
      </c>
      <c r="C6277">
        <v>1.0076923112056899</v>
      </c>
      <c r="D6277">
        <v>1.0084210384771199</v>
      </c>
      <c r="E6277">
        <v>1.05307919767641</v>
      </c>
      <c r="F6277">
        <v>0.89746078415114905</v>
      </c>
      <c r="G6277">
        <v>0.56028270658658497</v>
      </c>
      <c r="H6277">
        <v>0.195697749294583</v>
      </c>
      <c r="I6277">
        <v>0.111974526628127</v>
      </c>
      <c r="J6277">
        <v>8.7531497379691695E-2</v>
      </c>
      <c r="K6277">
        <v>7.6520221465476504E-2</v>
      </c>
      <c r="L6277">
        <v>1766.08893844461</v>
      </c>
      <c r="M6277">
        <v>31.0016740318889</v>
      </c>
      <c r="N6277">
        <v>57.284891790214502</v>
      </c>
      <c r="O6277">
        <v>56.732075383975101</v>
      </c>
      <c r="P6277">
        <v>-0.12583540588337</v>
      </c>
      <c r="Q6277">
        <v>7.8906158928096506E-2</v>
      </c>
      <c r="R6277">
        <v>0.99758011676943403</v>
      </c>
      <c r="S6277" t="s">
        <v>12729</v>
      </c>
      <c r="T6277" t="s">
        <v>12902</v>
      </c>
      <c r="U6277" t="s">
        <v>12902</v>
      </c>
      <c r="V6277" t="s">
        <v>12902</v>
      </c>
      <c r="W6277" t="s">
        <v>19126</v>
      </c>
      <c r="X6277">
        <v>12</v>
      </c>
      <c r="Y6277" t="s">
        <v>25406</v>
      </c>
      <c r="Z6277" t="s">
        <v>31852</v>
      </c>
      <c r="AA6277">
        <v>0.60564990315546785</v>
      </c>
      <c r="AB6277" t="str">
        <f>HYPERLINK("Melting_Curves/meltCurve_Q9Y303_AMDHD2.pdf", "Melting_Curves/meltCurve_Q9Y303_AMDHD2.pdf")</f>
        <v>Melting_Curves/meltCurve_Q9Y303_AMDHD2.pdf</v>
      </c>
    </row>
    <row r="6278" spans="1:28" x14ac:dyDescent="0.25">
      <c r="A6278" t="s">
        <v>6282</v>
      </c>
      <c r="B6278">
        <v>0.99673306730245903</v>
      </c>
      <c r="C6278">
        <v>0.93820848270262103</v>
      </c>
      <c r="D6278">
        <v>0.967273254084829</v>
      </c>
      <c r="E6278">
        <v>0.940620305665264</v>
      </c>
      <c r="F6278">
        <v>0.300743915473978</v>
      </c>
      <c r="G6278">
        <v>0.151167754269319</v>
      </c>
      <c r="H6278">
        <v>9.4083702314602197E-2</v>
      </c>
      <c r="I6278">
        <v>9.4154649518152805E-2</v>
      </c>
      <c r="J6278">
        <v>0.10551128604776799</v>
      </c>
      <c r="K6278">
        <v>0.101100077653316</v>
      </c>
      <c r="L6278">
        <v>2787.4510207610401</v>
      </c>
      <c r="M6278">
        <v>53.651438087569602</v>
      </c>
      <c r="N6278">
        <v>52.188283195174598</v>
      </c>
      <c r="O6278">
        <v>51.882793081913697</v>
      </c>
      <c r="P6278">
        <v>-0.23094246196156101</v>
      </c>
      <c r="Q6278">
        <v>0.10668323511917099</v>
      </c>
      <c r="R6278">
        <v>0.99605409697105896</v>
      </c>
      <c r="S6278" t="s">
        <v>12730</v>
      </c>
      <c r="T6278" t="s">
        <v>12902</v>
      </c>
      <c r="U6278" t="s">
        <v>12902</v>
      </c>
      <c r="V6278" t="s">
        <v>12902</v>
      </c>
      <c r="W6278" t="s">
        <v>19127</v>
      </c>
      <c r="X6278">
        <v>15</v>
      </c>
      <c r="Y6278" t="s">
        <v>25407</v>
      </c>
      <c r="Z6278" t="s">
        <v>31853</v>
      </c>
      <c r="AA6278">
        <v>0.46444143038986069</v>
      </c>
      <c r="AB6278" t="str">
        <f>HYPERLINK("Melting_Curves/meltCurve_Q9Y305_ACOT9.pdf", "Melting_Curves/meltCurve_Q9Y305_ACOT9.pdf")</f>
        <v>Melting_Curves/meltCurve_Q9Y305_ACOT9.pdf</v>
      </c>
    </row>
    <row r="6279" spans="1:28" x14ac:dyDescent="0.25">
      <c r="A6279" t="s">
        <v>6283</v>
      </c>
      <c r="B6279">
        <v>0.99673306730245903</v>
      </c>
      <c r="C6279">
        <v>0.80572979721571103</v>
      </c>
      <c r="D6279">
        <v>0.57785103697422902</v>
      </c>
      <c r="E6279">
        <v>0.234990655020066</v>
      </c>
      <c r="F6279">
        <v>0.13003093958359899</v>
      </c>
      <c r="G6279">
        <v>7.7955069476313907E-2</v>
      </c>
      <c r="H6279">
        <v>4.2779475970502502E-2</v>
      </c>
      <c r="I6279">
        <v>4.7210623724462102E-2</v>
      </c>
      <c r="J6279">
        <v>5.4883807497936601E-2</v>
      </c>
      <c r="K6279">
        <v>5.22353782716206E-2</v>
      </c>
      <c r="L6279">
        <v>912.63799114134099</v>
      </c>
      <c r="M6279">
        <v>19.696238601492102</v>
      </c>
      <c r="N6279">
        <v>46.572301129759502</v>
      </c>
      <c r="O6279">
        <v>45.865919059653599</v>
      </c>
      <c r="P6279">
        <v>-0.102248864788532</v>
      </c>
      <c r="Q6279">
        <v>4.76195356429382E-2</v>
      </c>
      <c r="R6279">
        <v>0.99698134238343195</v>
      </c>
      <c r="S6279" t="s">
        <v>12731</v>
      </c>
      <c r="T6279" t="s">
        <v>12902</v>
      </c>
      <c r="U6279" t="s">
        <v>12902</v>
      </c>
      <c r="V6279" t="s">
        <v>12902</v>
      </c>
      <c r="W6279" t="s">
        <v>19128</v>
      </c>
      <c r="X6279">
        <v>9</v>
      </c>
      <c r="Y6279" t="s">
        <v>25408</v>
      </c>
      <c r="Z6279" t="s">
        <v>31854</v>
      </c>
      <c r="AA6279">
        <v>0.26366512793534852</v>
      </c>
      <c r="AB6279" t="str">
        <f>HYPERLINK("Melting_Curves/meltCurve_Q9Y314_NOSIP.pdf", "Melting_Curves/meltCurve_Q9Y314_NOSIP.pdf")</f>
        <v>Melting_Curves/meltCurve_Q9Y314_NOSIP.pdf</v>
      </c>
    </row>
    <row r="6280" spans="1:28" x14ac:dyDescent="0.25">
      <c r="A6280" t="s">
        <v>6284</v>
      </c>
      <c r="B6280">
        <v>0.99673306730245903</v>
      </c>
      <c r="C6280">
        <v>0.95664720355483401</v>
      </c>
      <c r="D6280">
        <v>1.0825173275511699</v>
      </c>
      <c r="E6280">
        <v>1.1383684171492801</v>
      </c>
      <c r="F6280">
        <v>1.1782058294814099</v>
      </c>
      <c r="G6280">
        <v>1.1854994840333799</v>
      </c>
      <c r="H6280">
        <v>1.1472425087658</v>
      </c>
      <c r="I6280">
        <v>0.76200996241281405</v>
      </c>
      <c r="J6280">
        <v>0.398745895661131</v>
      </c>
      <c r="K6280">
        <v>0.17109567941919801</v>
      </c>
      <c r="L6280">
        <v>3140.9220710105901</v>
      </c>
      <c r="M6280">
        <v>47.820971926760897</v>
      </c>
      <c r="N6280">
        <v>66.144450392295099</v>
      </c>
      <c r="O6280">
        <v>65.566299617234705</v>
      </c>
      <c r="P6280">
        <v>-0.156374748116445</v>
      </c>
      <c r="Q6280">
        <v>0.142392749656923</v>
      </c>
      <c r="R6280">
        <v>0.88902241049302</v>
      </c>
      <c r="S6280" t="s">
        <v>12732</v>
      </c>
      <c r="T6280" t="s">
        <v>12902</v>
      </c>
      <c r="U6280" t="s">
        <v>12902</v>
      </c>
      <c r="V6280" t="s">
        <v>12902</v>
      </c>
      <c r="W6280" t="s">
        <v>19129</v>
      </c>
      <c r="X6280">
        <v>10</v>
      </c>
      <c r="Y6280" t="s">
        <v>25409</v>
      </c>
      <c r="Z6280" t="s">
        <v>31855</v>
      </c>
      <c r="AA6280">
        <v>0.87686258463504529</v>
      </c>
      <c r="AB6280" t="str">
        <f>HYPERLINK("Melting_Curves/meltCurve_Q9Y315_DERA.pdf", "Melting_Curves/meltCurve_Q9Y315_DERA.pdf")</f>
        <v>Melting_Curves/meltCurve_Q9Y315_DERA.pdf</v>
      </c>
    </row>
    <row r="6281" spans="1:28" x14ac:dyDescent="0.25">
      <c r="A6281" t="s">
        <v>6285</v>
      </c>
      <c r="B6281">
        <v>0.99673306730245903</v>
      </c>
      <c r="C6281">
        <v>1.02559302991365</v>
      </c>
      <c r="D6281">
        <v>0.99175005235917402</v>
      </c>
      <c r="E6281">
        <v>0.81276127299338796</v>
      </c>
      <c r="F6281">
        <v>0.42550340567212702</v>
      </c>
      <c r="G6281">
        <v>0.218770941155916</v>
      </c>
      <c r="H6281">
        <v>0.14250963918402201</v>
      </c>
      <c r="I6281">
        <v>0.11305222618341999</v>
      </c>
      <c r="J6281">
        <v>0.109793056132961</v>
      </c>
      <c r="K6281">
        <v>9.2739566933388307E-2</v>
      </c>
      <c r="L6281">
        <v>1358.2610609579101</v>
      </c>
      <c r="M6281">
        <v>26.069219212973799</v>
      </c>
      <c r="N6281">
        <v>52.597432981932997</v>
      </c>
      <c r="O6281">
        <v>51.798413009678903</v>
      </c>
      <c r="P6281">
        <v>-0.112126833597939</v>
      </c>
      <c r="Q6281">
        <v>0.108845438641077</v>
      </c>
      <c r="R6281">
        <v>0.99862454738836104</v>
      </c>
      <c r="S6281" t="s">
        <v>12733</v>
      </c>
      <c r="T6281" t="s">
        <v>12902</v>
      </c>
      <c r="U6281" t="s">
        <v>12902</v>
      </c>
      <c r="V6281" t="s">
        <v>12902</v>
      </c>
      <c r="W6281" t="s">
        <v>19130</v>
      </c>
      <c r="X6281">
        <v>13</v>
      </c>
      <c r="Y6281" t="s">
        <v>25410</v>
      </c>
      <c r="Z6281" t="s">
        <v>31856</v>
      </c>
      <c r="AA6281">
        <v>0.475851465407302</v>
      </c>
      <c r="AB6281" t="str">
        <f>HYPERLINK("Melting_Curves/meltCurve_Q9Y316_MEMO1.pdf", "Melting_Curves/meltCurve_Q9Y316_MEMO1.pdf")</f>
        <v>Melting_Curves/meltCurve_Q9Y316_MEMO1.pdf</v>
      </c>
    </row>
    <row r="6282" spans="1:28" x14ac:dyDescent="0.25">
      <c r="A6282" t="s">
        <v>6286</v>
      </c>
      <c r="B6282">
        <v>0.99673306730245903</v>
      </c>
      <c r="C6282">
        <v>0.92021424474381197</v>
      </c>
      <c r="D6282">
        <v>0.805326154613767</v>
      </c>
      <c r="E6282">
        <v>0.66860114228338996</v>
      </c>
      <c r="F6282">
        <v>0.36769237421372702</v>
      </c>
      <c r="G6282">
        <v>0.18705898022538101</v>
      </c>
      <c r="H6282">
        <v>8.2350720333127E-2</v>
      </c>
      <c r="I6282">
        <v>7.1959600780716698E-2</v>
      </c>
      <c r="J6282">
        <v>5.1249914885525001E-2</v>
      </c>
      <c r="K6282">
        <v>4.3291979680897999E-2</v>
      </c>
      <c r="L6282">
        <v>748.34396985184003</v>
      </c>
      <c r="M6282">
        <v>14.6130773474412</v>
      </c>
      <c r="N6282">
        <v>51.307017207276402</v>
      </c>
      <c r="O6282">
        <v>50.280192209110801</v>
      </c>
      <c r="P6282">
        <v>-7.1681804311654204E-2</v>
      </c>
      <c r="Q6282">
        <v>1.3548402535109701E-2</v>
      </c>
      <c r="R6282">
        <v>0.99612295364571402</v>
      </c>
      <c r="S6282" t="s">
        <v>12734</v>
      </c>
      <c r="T6282" t="s">
        <v>12902</v>
      </c>
      <c r="U6282" t="s">
        <v>12902</v>
      </c>
      <c r="V6282" t="s">
        <v>12902</v>
      </c>
      <c r="W6282" t="s">
        <v>19131</v>
      </c>
      <c r="X6282">
        <v>3</v>
      </c>
      <c r="Y6282" t="s">
        <v>25411</v>
      </c>
      <c r="Z6282" t="s">
        <v>31857</v>
      </c>
      <c r="AA6282">
        <v>0.40578726258515779</v>
      </c>
      <c r="AB6282" t="str">
        <f>HYPERLINK("Melting_Curves/meltCurve_Q9Y320_2_TMX2.pdf", "Melting_Curves/meltCurve_Q9Y320_2_TMX2.pdf")</f>
        <v>Melting_Curves/meltCurve_Q9Y320_2_TMX2.pdf</v>
      </c>
    </row>
    <row r="6283" spans="1:28" x14ac:dyDescent="0.25">
      <c r="A6283" t="s">
        <v>6287</v>
      </c>
      <c r="B6283">
        <v>0.99673306730245903</v>
      </c>
      <c r="C6283">
        <v>1.0558890737069999</v>
      </c>
      <c r="D6283">
        <v>1.0997981565198101</v>
      </c>
      <c r="E6283">
        <v>1.2821259196663299</v>
      </c>
      <c r="F6283">
        <v>1.27422409432207</v>
      </c>
      <c r="G6283">
        <v>1.25593379024314</v>
      </c>
      <c r="H6283">
        <v>0.92606198017286101</v>
      </c>
      <c r="I6283">
        <v>1.3217928306634099</v>
      </c>
      <c r="J6283">
        <v>1.7344009920472301</v>
      </c>
      <c r="K6283">
        <v>1.4292190599903101</v>
      </c>
      <c r="L6283">
        <v>375.12133825051399</v>
      </c>
      <c r="M6283">
        <v>6.7965705427924501</v>
      </c>
      <c r="O6283">
        <v>51.0057646322159</v>
      </c>
      <c r="P6283">
        <v>1.66907806901327E-2</v>
      </c>
      <c r="Q6283">
        <v>1.5</v>
      </c>
      <c r="R6283">
        <v>0.39300358139079899</v>
      </c>
      <c r="S6283" t="s">
        <v>12735</v>
      </c>
      <c r="T6283" t="s">
        <v>12902</v>
      </c>
      <c r="U6283" t="s">
        <v>12902</v>
      </c>
      <c r="V6283" t="s">
        <v>12902</v>
      </c>
      <c r="W6283" t="s">
        <v>19132</v>
      </c>
      <c r="X6283">
        <v>9</v>
      </c>
      <c r="Y6283" t="s">
        <v>25412</v>
      </c>
      <c r="Z6283" t="s">
        <v>31858</v>
      </c>
      <c r="AA6283">
        <v>1.234227895834153</v>
      </c>
      <c r="AB6283" t="str">
        <f>HYPERLINK("Melting_Curves/meltCurve_Q9Y333_LSM2.pdf", "Melting_Curves/meltCurve_Q9Y333_LSM2.pdf")</f>
        <v>Melting_Curves/meltCurve_Q9Y333_LSM2.pdf</v>
      </c>
    </row>
    <row r="6284" spans="1:28" x14ac:dyDescent="0.25">
      <c r="A6284" t="s">
        <v>6288</v>
      </c>
      <c r="B6284">
        <v>0.99673306730245903</v>
      </c>
      <c r="C6284">
        <v>0.87286289944932205</v>
      </c>
      <c r="D6284">
        <v>0.46981388950602099</v>
      </c>
      <c r="E6284">
        <v>0.22941587439852801</v>
      </c>
      <c r="F6284">
        <v>0.133004111808328</v>
      </c>
      <c r="G6284">
        <v>0.108010501322966</v>
      </c>
      <c r="H6284">
        <v>5.4792746056570599E-2</v>
      </c>
      <c r="I6284">
        <v>5.4465343828878202E-2</v>
      </c>
      <c r="J6284">
        <v>5.2885017971250899E-2</v>
      </c>
      <c r="K6284">
        <v>4.5728613672918798E-2</v>
      </c>
      <c r="L6284">
        <v>1075.64067543742</v>
      </c>
      <c r="M6284">
        <v>23.486013576660199</v>
      </c>
      <c r="N6284">
        <v>46.086510168764399</v>
      </c>
      <c r="O6284">
        <v>45.4710271454855</v>
      </c>
      <c r="P6284">
        <v>-0.12033440651715401</v>
      </c>
      <c r="Q6284">
        <v>6.8103059085800402E-2</v>
      </c>
      <c r="R6284">
        <v>0.99374413395430194</v>
      </c>
      <c r="S6284" t="s">
        <v>12736</v>
      </c>
      <c r="T6284" t="s">
        <v>12902</v>
      </c>
      <c r="U6284" t="s">
        <v>12902</v>
      </c>
      <c r="V6284" t="s">
        <v>12902</v>
      </c>
      <c r="W6284" t="s">
        <v>19133</v>
      </c>
      <c r="X6284">
        <v>12</v>
      </c>
      <c r="Y6284" t="s">
        <v>25413</v>
      </c>
      <c r="Z6284" t="s">
        <v>31859</v>
      </c>
      <c r="AA6284">
        <v>0.25831457509081729</v>
      </c>
      <c r="AB6284" t="str">
        <f>HYPERLINK("Melting_Curves/meltCurve_Q9Y371_SH3GLB1.pdf", "Melting_Curves/meltCurve_Q9Y371_SH3GLB1.pdf")</f>
        <v>Melting_Curves/meltCurve_Q9Y371_SH3GLB1.pdf</v>
      </c>
    </row>
    <row r="6285" spans="1:28" x14ac:dyDescent="0.25">
      <c r="A6285" t="s">
        <v>6289</v>
      </c>
      <c r="B6285">
        <v>0.99673306730245903</v>
      </c>
      <c r="C6285">
        <v>0.88979190549151399</v>
      </c>
      <c r="D6285">
        <v>0.85195187440300102</v>
      </c>
      <c r="E6285">
        <v>0.77043484575425303</v>
      </c>
      <c r="F6285">
        <v>0.68869829632323398</v>
      </c>
      <c r="G6285">
        <v>0.52297483436208503</v>
      </c>
      <c r="H6285">
        <v>0.35057995320256202</v>
      </c>
      <c r="I6285">
        <v>0.13950192212543999</v>
      </c>
      <c r="J6285">
        <v>0.12989867618835099</v>
      </c>
      <c r="K6285">
        <v>9.4630297364182006E-2</v>
      </c>
      <c r="L6285">
        <v>585.701130710656</v>
      </c>
      <c r="M6285">
        <v>10.420061884986101</v>
      </c>
      <c r="N6285">
        <v>56.209001855937998</v>
      </c>
      <c r="O6285">
        <v>54.257030301133</v>
      </c>
      <c r="P6285">
        <v>-4.8032444251347797E-2</v>
      </c>
      <c r="Q6285">
        <v>0</v>
      </c>
      <c r="R6285">
        <v>0.97840912191665697</v>
      </c>
      <c r="S6285" t="s">
        <v>12737</v>
      </c>
      <c r="T6285" t="s">
        <v>12902</v>
      </c>
      <c r="U6285" t="s">
        <v>12902</v>
      </c>
      <c r="V6285" t="s">
        <v>12902</v>
      </c>
      <c r="W6285" t="s">
        <v>19134</v>
      </c>
      <c r="X6285">
        <v>4</v>
      </c>
      <c r="Y6285" t="s">
        <v>25414</v>
      </c>
      <c r="Z6285" t="s">
        <v>31860</v>
      </c>
      <c r="AA6285">
        <v>0.56039908945918759</v>
      </c>
      <c r="AB6285" t="str">
        <f>HYPERLINK("Melting_Curves/meltCurve_Q9Y375_NDUFAF1.pdf", "Melting_Curves/meltCurve_Q9Y375_NDUFAF1.pdf")</f>
        <v>Melting_Curves/meltCurve_Q9Y375_NDUFAF1.pdf</v>
      </c>
    </row>
    <row r="6286" spans="1:28" x14ac:dyDescent="0.25">
      <c r="A6286" t="s">
        <v>6290</v>
      </c>
      <c r="B6286">
        <v>0.99673306730245903</v>
      </c>
      <c r="C6286">
        <v>0.90475479645693202</v>
      </c>
      <c r="D6286">
        <v>0.95379473960111605</v>
      </c>
      <c r="E6286">
        <v>0.98432760930916097</v>
      </c>
      <c r="F6286">
        <v>0.75215714266885902</v>
      </c>
      <c r="G6286">
        <v>0.475507131483007</v>
      </c>
      <c r="H6286">
        <v>0.12626319854259799</v>
      </c>
      <c r="I6286">
        <v>9.3025863165872302E-2</v>
      </c>
      <c r="J6286">
        <v>9.1742386305862497E-2</v>
      </c>
      <c r="K6286">
        <v>7.0573907599247504E-2</v>
      </c>
      <c r="L6286">
        <v>1350.92489662906</v>
      </c>
      <c r="M6286">
        <v>24.178255302191701</v>
      </c>
      <c r="N6286">
        <v>56.147358131943697</v>
      </c>
      <c r="O6286">
        <v>55.495543702298598</v>
      </c>
      <c r="P6286">
        <v>-0.102864330771207</v>
      </c>
      <c r="Q6286">
        <v>5.5610274586302702E-2</v>
      </c>
      <c r="R6286">
        <v>0.98934632007832501</v>
      </c>
      <c r="S6286" t="s">
        <v>12738</v>
      </c>
      <c r="T6286" t="s">
        <v>12902</v>
      </c>
      <c r="U6286" t="s">
        <v>12902</v>
      </c>
      <c r="V6286" t="s">
        <v>12902</v>
      </c>
      <c r="W6286" t="s">
        <v>19135</v>
      </c>
      <c r="X6286">
        <v>16</v>
      </c>
      <c r="Y6286" t="s">
        <v>25415</v>
      </c>
      <c r="Z6286" t="s">
        <v>31861</v>
      </c>
      <c r="AA6286">
        <v>0.56448029623892571</v>
      </c>
      <c r="AB6286" t="str">
        <f>HYPERLINK("Melting_Curves/meltCurve_Q9Y376_CAB39.pdf", "Melting_Curves/meltCurve_Q9Y376_CAB39.pdf")</f>
        <v>Melting_Curves/meltCurve_Q9Y376_CAB39.pdf</v>
      </c>
    </row>
    <row r="6287" spans="1:28" x14ac:dyDescent="0.25">
      <c r="A6287" t="s">
        <v>6291</v>
      </c>
      <c r="B6287">
        <v>0.99673306730245903</v>
      </c>
      <c r="C6287">
        <v>0.99985570488713305</v>
      </c>
      <c r="D6287">
        <v>0.88003634841513001</v>
      </c>
      <c r="E6287">
        <v>0.67364221984035599</v>
      </c>
      <c r="F6287">
        <v>0.188120961216271</v>
      </c>
      <c r="G6287">
        <v>0.13465482915851301</v>
      </c>
      <c r="H6287">
        <v>7.6592485755461001E-2</v>
      </c>
      <c r="I6287">
        <v>6.1262656069406798E-2</v>
      </c>
      <c r="J6287">
        <v>6.1830226305295201E-2</v>
      </c>
      <c r="K6287">
        <v>5.9969845625381997E-2</v>
      </c>
      <c r="L6287">
        <v>1447.4167057263601</v>
      </c>
      <c r="M6287">
        <v>28.727507849312801</v>
      </c>
      <c r="N6287">
        <v>50.627596055202801</v>
      </c>
      <c r="O6287">
        <v>50.142104588756801</v>
      </c>
      <c r="P6287">
        <v>-0.13399858437022</v>
      </c>
      <c r="Q6287">
        <v>6.4462185798268901E-2</v>
      </c>
      <c r="R6287">
        <v>0.994528578780566</v>
      </c>
      <c r="S6287" t="s">
        <v>12739</v>
      </c>
      <c r="T6287" t="s">
        <v>12902</v>
      </c>
      <c r="U6287" t="s">
        <v>12902</v>
      </c>
      <c r="V6287" t="s">
        <v>12902</v>
      </c>
      <c r="W6287" t="s">
        <v>19136</v>
      </c>
      <c r="X6287">
        <v>33</v>
      </c>
      <c r="Y6287" t="s">
        <v>25416</v>
      </c>
      <c r="Z6287" t="s">
        <v>31862</v>
      </c>
      <c r="AA6287">
        <v>0.39464780287255602</v>
      </c>
      <c r="AB6287" t="str">
        <f>HYPERLINK("Melting_Curves/meltCurve_Q9Y383_LUC7L2.pdf", "Melting_Curves/meltCurve_Q9Y383_LUC7L2.pdf")</f>
        <v>Melting_Curves/meltCurve_Q9Y383_LUC7L2.pdf</v>
      </c>
    </row>
    <row r="6288" spans="1:28" x14ac:dyDescent="0.25">
      <c r="A6288" t="s">
        <v>6292</v>
      </c>
      <c r="B6288">
        <v>0.99673306730245903</v>
      </c>
      <c r="C6288">
        <v>0.79755036959332704</v>
      </c>
      <c r="D6288">
        <v>0.76080688868956803</v>
      </c>
      <c r="E6288">
        <v>0.56803110349352504</v>
      </c>
      <c r="F6288">
        <v>0.29177186341730299</v>
      </c>
      <c r="G6288">
        <v>0.185254217373019</v>
      </c>
      <c r="H6288">
        <v>0.156737346461338</v>
      </c>
      <c r="I6288">
        <v>0.20080585366371301</v>
      </c>
      <c r="J6288">
        <v>0.178504145440116</v>
      </c>
      <c r="K6288">
        <v>0.12663277222281699</v>
      </c>
      <c r="L6288">
        <v>692.64992687690994</v>
      </c>
      <c r="M6288">
        <v>14.2218516084762</v>
      </c>
      <c r="N6288">
        <v>49.7499759567011</v>
      </c>
      <c r="O6288">
        <v>47.770648400378199</v>
      </c>
      <c r="P6288">
        <v>-6.4811847017714294E-2</v>
      </c>
      <c r="Q6288">
        <v>0.12930675608237799</v>
      </c>
      <c r="R6288">
        <v>0.978091704606736</v>
      </c>
      <c r="S6288" t="s">
        <v>12740</v>
      </c>
      <c r="T6288" t="s">
        <v>12902</v>
      </c>
      <c r="U6288" t="s">
        <v>12902</v>
      </c>
      <c r="V6288" t="s">
        <v>12902</v>
      </c>
      <c r="W6288" t="s">
        <v>19137</v>
      </c>
      <c r="X6288">
        <v>1</v>
      </c>
      <c r="Y6288" t="s">
        <v>25417</v>
      </c>
      <c r="Z6288" t="s">
        <v>31863</v>
      </c>
      <c r="AA6288">
        <v>0.405939472575502</v>
      </c>
      <c r="AB6288" t="str">
        <f>HYPERLINK("Melting_Curves/meltCurve_Q9Y388_RBMX2.pdf", "Melting_Curves/meltCurve_Q9Y388_RBMX2.pdf")</f>
        <v>Melting_Curves/meltCurve_Q9Y388_RBMX2.pdf</v>
      </c>
    </row>
    <row r="6289" spans="1:28" x14ac:dyDescent="0.25">
      <c r="A6289" t="s">
        <v>6293</v>
      </c>
      <c r="B6289">
        <v>0.99673306730245903</v>
      </c>
      <c r="C6289">
        <v>1.0246219329175601</v>
      </c>
      <c r="D6289">
        <v>1.00165447222891</v>
      </c>
      <c r="E6289">
        <v>0.894418230216525</v>
      </c>
      <c r="F6289">
        <v>0.76913376906517905</v>
      </c>
      <c r="G6289">
        <v>0.61638273029370705</v>
      </c>
      <c r="H6289">
        <v>0.34409651963599902</v>
      </c>
      <c r="I6289">
        <v>0.15323412917670901</v>
      </c>
      <c r="J6289">
        <v>9.9629878759829399E-2</v>
      </c>
      <c r="K6289">
        <v>8.2535676021523105E-2</v>
      </c>
      <c r="L6289">
        <v>882.00730471544705</v>
      </c>
      <c r="M6289">
        <v>15.215295140412</v>
      </c>
      <c r="N6289">
        <v>57.968465290186003</v>
      </c>
      <c r="O6289">
        <v>56.994791331859901</v>
      </c>
      <c r="P6289">
        <v>-6.6746225592384106E-2</v>
      </c>
      <c r="Q6289">
        <v>0</v>
      </c>
      <c r="R6289">
        <v>0.99513131768612695</v>
      </c>
      <c r="S6289" t="s">
        <v>12741</v>
      </c>
      <c r="T6289" t="s">
        <v>12902</v>
      </c>
      <c r="U6289" t="s">
        <v>12902</v>
      </c>
      <c r="V6289" t="s">
        <v>12902</v>
      </c>
      <c r="W6289" t="s">
        <v>19138</v>
      </c>
      <c r="X6289">
        <v>17</v>
      </c>
      <c r="Y6289" t="s">
        <v>25418</v>
      </c>
      <c r="Z6289" t="s">
        <v>31864</v>
      </c>
      <c r="AA6289">
        <v>0.61242232869415913</v>
      </c>
      <c r="AB6289" t="str">
        <f>HYPERLINK("Melting_Curves/meltCurve_Q9Y394_2_DHRS7.pdf", "Melting_Curves/meltCurve_Q9Y394_2_DHRS7.pdf")</f>
        <v>Melting_Curves/meltCurve_Q9Y394_2_DHRS7.pdf</v>
      </c>
    </row>
    <row r="6290" spans="1:28" x14ac:dyDescent="0.25">
      <c r="A6290" t="s">
        <v>6294</v>
      </c>
      <c r="B6290">
        <v>0.99673306730245903</v>
      </c>
      <c r="C6290">
        <v>0.96045041937660003</v>
      </c>
      <c r="D6290">
        <v>0.97228215164073595</v>
      </c>
      <c r="E6290">
        <v>0.38990818168240399</v>
      </c>
      <c r="F6290">
        <v>0.18673794972392499</v>
      </c>
      <c r="G6290">
        <v>0.13121837660501801</v>
      </c>
      <c r="H6290">
        <v>0.11445584848568199</v>
      </c>
      <c r="I6290">
        <v>0.14645324602398599</v>
      </c>
      <c r="J6290">
        <v>9.4088449063574997E-2</v>
      </c>
      <c r="K6290">
        <v>7.6244932080245603E-2</v>
      </c>
      <c r="L6290">
        <v>2324.7679104004901</v>
      </c>
      <c r="M6290">
        <v>47.645427175842798</v>
      </c>
      <c r="N6290">
        <v>49.0783476895365</v>
      </c>
      <c r="O6290">
        <v>48.7073721463806</v>
      </c>
      <c r="P6290">
        <v>-0.21497137504743799</v>
      </c>
      <c r="Q6290">
        <v>0.120949851518593</v>
      </c>
      <c r="R6290">
        <v>0.99465741044910505</v>
      </c>
      <c r="S6290" t="s">
        <v>12742</v>
      </c>
      <c r="T6290" t="s">
        <v>12902</v>
      </c>
      <c r="U6290" t="s">
        <v>12902</v>
      </c>
      <c r="V6290" t="s">
        <v>12902</v>
      </c>
      <c r="W6290" t="s">
        <v>19139</v>
      </c>
      <c r="X6290">
        <v>3</v>
      </c>
      <c r="Y6290" t="s">
        <v>25419</v>
      </c>
      <c r="Z6290" t="s">
        <v>31865</v>
      </c>
      <c r="AA6290">
        <v>0.3806875596031819</v>
      </c>
      <c r="AB6290" t="str">
        <f>HYPERLINK("Melting_Curves/meltCurve_Q9Y399_MRPS2.pdf", "Melting_Curves/meltCurve_Q9Y399_MRPS2.pdf")</f>
        <v>Melting_Curves/meltCurve_Q9Y399_MRPS2.pdf</v>
      </c>
    </row>
    <row r="6291" spans="1:28" x14ac:dyDescent="0.25">
      <c r="A6291" t="s">
        <v>6295</v>
      </c>
      <c r="B6291">
        <v>0.99673306730245903</v>
      </c>
      <c r="C6291">
        <v>0.87965678683068305</v>
      </c>
      <c r="D6291">
        <v>0.57243764870298197</v>
      </c>
      <c r="E6291">
        <v>0.318322369020069</v>
      </c>
      <c r="F6291">
        <v>0.18914858722255101</v>
      </c>
      <c r="G6291">
        <v>0.114171749556445</v>
      </c>
      <c r="H6291">
        <v>7.7502589430181207E-2</v>
      </c>
      <c r="I6291">
        <v>5.8835771800540698E-2</v>
      </c>
      <c r="J6291">
        <v>4.6671931386273499E-2</v>
      </c>
      <c r="K6291">
        <v>4.0837694158964898E-2</v>
      </c>
      <c r="L6291">
        <v>837.95580111112395</v>
      </c>
      <c r="M6291">
        <v>17.863042370841999</v>
      </c>
      <c r="N6291">
        <v>47.230434614178797</v>
      </c>
      <c r="O6291">
        <v>46.3339694465215</v>
      </c>
      <c r="P6291">
        <v>-9.0886443956180396E-2</v>
      </c>
      <c r="Q6291">
        <v>5.7066331819244601E-2</v>
      </c>
      <c r="R6291">
        <v>0.99521946376204595</v>
      </c>
      <c r="S6291" t="s">
        <v>12743</v>
      </c>
      <c r="T6291" t="s">
        <v>12902</v>
      </c>
      <c r="U6291" t="s">
        <v>12902</v>
      </c>
      <c r="V6291" t="s">
        <v>12902</v>
      </c>
      <c r="W6291" t="s">
        <v>19140</v>
      </c>
      <c r="X6291">
        <v>3</v>
      </c>
      <c r="Y6291" t="s">
        <v>25420</v>
      </c>
      <c r="Z6291" t="s">
        <v>31866</v>
      </c>
      <c r="AA6291">
        <v>0.2920252687263335</v>
      </c>
      <c r="AB6291" t="str">
        <f>HYPERLINK("Melting_Curves/meltCurve_Q9Y3A0_2_COQ4.pdf", "Melting_Curves/meltCurve_Q9Y3A0_2_COQ4.pdf")</f>
        <v>Melting_Curves/meltCurve_Q9Y3A0_2_COQ4.pdf</v>
      </c>
    </row>
    <row r="6292" spans="1:28" x14ac:dyDescent="0.25">
      <c r="A6292" t="s">
        <v>6296</v>
      </c>
      <c r="B6292">
        <v>0.99673306730245903</v>
      </c>
      <c r="C6292">
        <v>0.97567642575305602</v>
      </c>
      <c r="D6292">
        <v>0.88518982988335304</v>
      </c>
      <c r="E6292">
        <v>0.85251344730209899</v>
      </c>
      <c r="F6292">
        <v>0.57550148298447101</v>
      </c>
      <c r="G6292">
        <v>0.32942267521560697</v>
      </c>
      <c r="H6292">
        <v>0.175963740629689</v>
      </c>
      <c r="I6292">
        <v>0.16300869416781899</v>
      </c>
      <c r="J6292">
        <v>0.12814303721963599</v>
      </c>
      <c r="K6292">
        <v>0.105380483441064</v>
      </c>
      <c r="L6292">
        <v>932.45421102733906</v>
      </c>
      <c r="M6292">
        <v>17.416678806971799</v>
      </c>
      <c r="N6292">
        <v>54.194669295951002</v>
      </c>
      <c r="O6292">
        <v>52.847158125620901</v>
      </c>
      <c r="P6292">
        <v>-7.45581200664273E-2</v>
      </c>
      <c r="Q6292">
        <v>9.5128650141615895E-2</v>
      </c>
      <c r="R6292">
        <v>0.99497276663947698</v>
      </c>
      <c r="S6292" t="s">
        <v>12744</v>
      </c>
      <c r="T6292" t="s">
        <v>12902</v>
      </c>
      <c r="U6292" t="s">
        <v>12902</v>
      </c>
      <c r="V6292" t="s">
        <v>12902</v>
      </c>
      <c r="W6292" t="s">
        <v>19141</v>
      </c>
      <c r="X6292">
        <v>6</v>
      </c>
      <c r="Y6292" t="s">
        <v>25421</v>
      </c>
      <c r="Z6292" t="s">
        <v>31867</v>
      </c>
      <c r="AA6292">
        <v>0.51886858072408781</v>
      </c>
      <c r="AB6292" t="str">
        <f>HYPERLINK("Melting_Curves/meltCurve_Q9Y3A3_3_MOB4.pdf", "Melting_Curves/meltCurve_Q9Y3A3_3_MOB4.pdf")</f>
        <v>Melting_Curves/meltCurve_Q9Y3A3_3_MOB4.pdf</v>
      </c>
    </row>
    <row r="6293" spans="1:28" x14ac:dyDescent="0.25">
      <c r="A6293" t="s">
        <v>6297</v>
      </c>
      <c r="B6293">
        <v>0.99673306730245903</v>
      </c>
      <c r="C6293">
        <v>0.98000270704730097</v>
      </c>
      <c r="D6293">
        <v>0.890723449740077</v>
      </c>
      <c r="E6293">
        <v>0.61622705268215605</v>
      </c>
      <c r="F6293">
        <v>0.22222263883961199</v>
      </c>
      <c r="G6293">
        <v>0.13092673664083901</v>
      </c>
      <c r="H6293">
        <v>7.7646067631456206E-2</v>
      </c>
      <c r="I6293">
        <v>6.5459969274745997E-2</v>
      </c>
      <c r="J6293">
        <v>6.4232258304490003E-2</v>
      </c>
      <c r="K6293">
        <v>5.1549552832283303E-2</v>
      </c>
      <c r="L6293">
        <v>1231.8104987797899</v>
      </c>
      <c r="M6293">
        <v>24.5482627877517</v>
      </c>
      <c r="N6293">
        <v>50.445367530049602</v>
      </c>
      <c r="O6293">
        <v>49.849693585148003</v>
      </c>
      <c r="P6293">
        <v>-0.115633007074001</v>
      </c>
      <c r="Q6293">
        <v>6.0758498215360002E-2</v>
      </c>
      <c r="R6293">
        <v>0.99878897622900997</v>
      </c>
      <c r="S6293" t="s">
        <v>12745</v>
      </c>
      <c r="T6293" t="s">
        <v>12902</v>
      </c>
      <c r="U6293" t="s">
        <v>12902</v>
      </c>
      <c r="V6293" t="s">
        <v>12902</v>
      </c>
      <c r="W6293" t="s">
        <v>19142</v>
      </c>
      <c r="X6293">
        <v>19</v>
      </c>
      <c r="Y6293" t="s">
        <v>25422</v>
      </c>
      <c r="Z6293" t="s">
        <v>31868</v>
      </c>
      <c r="AA6293">
        <v>0.3881700054913742</v>
      </c>
      <c r="AB6293" t="str">
        <f>HYPERLINK("Melting_Curves/meltCurve_Q9Y3A5_SBDS.pdf", "Melting_Curves/meltCurve_Q9Y3A5_SBDS.pdf")</f>
        <v>Melting_Curves/meltCurve_Q9Y3A5_SBDS.pdf</v>
      </c>
    </row>
    <row r="6294" spans="1:28" x14ac:dyDescent="0.25">
      <c r="A6294" t="s">
        <v>6298</v>
      </c>
      <c r="B6294">
        <v>0.99673306730245903</v>
      </c>
      <c r="C6294">
        <v>0.88418389859305602</v>
      </c>
      <c r="D6294">
        <v>0.80266592978746099</v>
      </c>
      <c r="E6294">
        <v>0.66718944299925698</v>
      </c>
      <c r="F6294">
        <v>0.25183851121283202</v>
      </c>
      <c r="G6294">
        <v>0.14460629895624</v>
      </c>
      <c r="H6294">
        <v>6.9247348743956993E-2</v>
      </c>
      <c r="I6294">
        <v>7.1415200363716305E-2</v>
      </c>
      <c r="J6294">
        <v>6.52450317479146E-2</v>
      </c>
      <c r="K6294">
        <v>7.1018540184372397E-2</v>
      </c>
      <c r="L6294">
        <v>886.06678487102704</v>
      </c>
      <c r="M6294">
        <v>17.617880828000899</v>
      </c>
      <c r="N6294">
        <v>50.5522848885104</v>
      </c>
      <c r="O6294">
        <v>49.659077394274398</v>
      </c>
      <c r="P6294">
        <v>-8.4875726053338402E-2</v>
      </c>
      <c r="Q6294">
        <v>4.3103461624918703E-2</v>
      </c>
      <c r="R6294">
        <v>0.98611078189970203</v>
      </c>
      <c r="S6294" t="s">
        <v>12746</v>
      </c>
      <c r="T6294" t="s">
        <v>12902</v>
      </c>
      <c r="U6294" t="s">
        <v>12902</v>
      </c>
      <c r="V6294" t="s">
        <v>12902</v>
      </c>
      <c r="W6294" t="s">
        <v>19143</v>
      </c>
      <c r="X6294">
        <v>2</v>
      </c>
      <c r="Y6294" t="s">
        <v>25423</v>
      </c>
      <c r="Z6294" t="s">
        <v>31869</v>
      </c>
      <c r="AA6294">
        <v>0.38835567884750438</v>
      </c>
      <c r="AB6294" t="str">
        <f>HYPERLINK("Melting_Curves/meltCurve_Q9Y3A6_TMED5.pdf", "Melting_Curves/meltCurve_Q9Y3A6_TMED5.pdf")</f>
        <v>Melting_Curves/meltCurve_Q9Y3A6_TMED5.pdf</v>
      </c>
    </row>
    <row r="6295" spans="1:28" x14ac:dyDescent="0.25">
      <c r="A6295" t="s">
        <v>6299</v>
      </c>
      <c r="B6295">
        <v>0.99673306730245903</v>
      </c>
      <c r="C6295">
        <v>1.0381648328483</v>
      </c>
      <c r="D6295">
        <v>0.95791352595165202</v>
      </c>
      <c r="E6295">
        <v>0.79281184490787604</v>
      </c>
      <c r="F6295">
        <v>0.497514076272766</v>
      </c>
      <c r="G6295">
        <v>0.26244210854067501</v>
      </c>
      <c r="H6295">
        <v>0.144966847173778</v>
      </c>
      <c r="I6295">
        <v>0.140617590071765</v>
      </c>
      <c r="J6295">
        <v>0.14269809480227799</v>
      </c>
      <c r="K6295">
        <v>0.135494939423352</v>
      </c>
      <c r="L6295">
        <v>1154.3922028801701</v>
      </c>
      <c r="M6295">
        <v>22.0396134183828</v>
      </c>
      <c r="N6295">
        <v>53.078216042617001</v>
      </c>
      <c r="O6295">
        <v>51.952566171722097</v>
      </c>
      <c r="P6295">
        <v>-9.2680449931130296E-2</v>
      </c>
      <c r="Q6295">
        <v>0.12614066314424899</v>
      </c>
      <c r="R6295">
        <v>0.99803504655360498</v>
      </c>
      <c r="S6295" t="s">
        <v>12747</v>
      </c>
      <c r="T6295" t="s">
        <v>12902</v>
      </c>
      <c r="U6295" t="s">
        <v>12902</v>
      </c>
      <c r="V6295" t="s">
        <v>12902</v>
      </c>
      <c r="W6295" t="s">
        <v>19144</v>
      </c>
      <c r="X6295">
        <v>3</v>
      </c>
      <c r="Y6295" t="s">
        <v>25424</v>
      </c>
      <c r="Z6295" t="s">
        <v>31870</v>
      </c>
      <c r="AA6295">
        <v>0.4968336259400975</v>
      </c>
      <c r="AB6295" t="str">
        <f>HYPERLINK("Melting_Curves/meltCurve_Q9Y3B1_SLMO2.pdf", "Melting_Curves/meltCurve_Q9Y3B1_SLMO2.pdf")</f>
        <v>Melting_Curves/meltCurve_Q9Y3B1_SLMO2.pdf</v>
      </c>
    </row>
    <row r="6296" spans="1:28" x14ac:dyDescent="0.25">
      <c r="A6296" t="s">
        <v>6300</v>
      </c>
      <c r="B6296">
        <v>0.99673306730245903</v>
      </c>
      <c r="C6296">
        <v>1.19960047246778</v>
      </c>
      <c r="D6296">
        <v>1.6029019568645799</v>
      </c>
      <c r="E6296">
        <v>0.86532876210766196</v>
      </c>
      <c r="F6296">
        <v>0.24807358843541399</v>
      </c>
      <c r="G6296">
        <v>0.14729834242232301</v>
      </c>
      <c r="H6296">
        <v>8.7080682419952093E-2</v>
      </c>
      <c r="I6296">
        <v>7.7531155107088606E-2</v>
      </c>
      <c r="J6296">
        <v>7.1751186554462901E-2</v>
      </c>
      <c r="K6296">
        <v>7.3458246746717804E-2</v>
      </c>
      <c r="L6296">
        <v>2622.4176899290101</v>
      </c>
      <c r="M6296">
        <v>50.897780217285501</v>
      </c>
      <c r="N6296">
        <v>51.725583783115603</v>
      </c>
      <c r="O6296">
        <v>51.443874341544799</v>
      </c>
      <c r="P6296">
        <v>-0.22501902701506801</v>
      </c>
      <c r="Q6296">
        <v>9.02675152335735E-2</v>
      </c>
      <c r="R6296">
        <v>0.86230337259066703</v>
      </c>
      <c r="S6296" t="s">
        <v>12748</v>
      </c>
      <c r="T6296" t="s">
        <v>12902</v>
      </c>
      <c r="U6296" t="s">
        <v>12902</v>
      </c>
      <c r="V6296" t="s">
        <v>12902</v>
      </c>
      <c r="W6296" t="s">
        <v>19145</v>
      </c>
      <c r="X6296">
        <v>3</v>
      </c>
      <c r="Y6296" t="s">
        <v>25425</v>
      </c>
      <c r="Z6296" t="s">
        <v>31871</v>
      </c>
      <c r="AA6296">
        <v>0.44169732212759433</v>
      </c>
      <c r="AB6296" t="str">
        <f>HYPERLINK("Melting_Curves/meltCurve_Q9Y3B2_EXOSC1.pdf", "Melting_Curves/meltCurve_Q9Y3B2_EXOSC1.pdf")</f>
        <v>Melting_Curves/meltCurve_Q9Y3B2_EXOSC1.pdf</v>
      </c>
    </row>
    <row r="6297" spans="1:28" x14ac:dyDescent="0.25">
      <c r="A6297" t="s">
        <v>6301</v>
      </c>
      <c r="B6297">
        <v>0.99673306730245903</v>
      </c>
      <c r="C6297">
        <v>0.948279949981504</v>
      </c>
      <c r="D6297">
        <v>0.88483228563780703</v>
      </c>
      <c r="E6297">
        <v>0.81857387838664197</v>
      </c>
      <c r="F6297">
        <v>0.56438726925298099</v>
      </c>
      <c r="G6297">
        <v>0.39675451541747803</v>
      </c>
      <c r="H6297">
        <v>0.13882725836390999</v>
      </c>
      <c r="I6297">
        <v>0.11817265820237501</v>
      </c>
      <c r="J6297">
        <v>0.107251917351235</v>
      </c>
      <c r="K6297">
        <v>0.121535873778803</v>
      </c>
      <c r="L6297">
        <v>801.45868055297603</v>
      </c>
      <c r="M6297">
        <v>14.8804769368948</v>
      </c>
      <c r="N6297">
        <v>54.281023969387</v>
      </c>
      <c r="O6297">
        <v>52.915107170859997</v>
      </c>
      <c r="P6297">
        <v>-6.6476578901575795E-2</v>
      </c>
      <c r="Q6297">
        <v>5.4533353002459303E-2</v>
      </c>
      <c r="R6297">
        <v>0.99129171116314996</v>
      </c>
      <c r="S6297" t="s">
        <v>12749</v>
      </c>
      <c r="T6297" t="s">
        <v>12902</v>
      </c>
      <c r="U6297" t="s">
        <v>12902</v>
      </c>
      <c r="V6297" t="s">
        <v>12902</v>
      </c>
      <c r="W6297" t="s">
        <v>19146</v>
      </c>
      <c r="X6297">
        <v>8</v>
      </c>
      <c r="Y6297" t="s">
        <v>25426</v>
      </c>
      <c r="Z6297" t="s">
        <v>31872</v>
      </c>
      <c r="AA6297">
        <v>0.51107157452101981</v>
      </c>
      <c r="AB6297" t="str">
        <f>HYPERLINK("Melting_Curves/meltCurve_Q9Y3B3_TMED7.pdf", "Melting_Curves/meltCurve_Q9Y3B3_TMED7.pdf")</f>
        <v>Melting_Curves/meltCurve_Q9Y3B3_TMED7.pdf</v>
      </c>
    </row>
    <row r="6298" spans="1:28" x14ac:dyDescent="0.25">
      <c r="A6298" t="s">
        <v>6302</v>
      </c>
      <c r="B6298">
        <v>0.99673306730245903</v>
      </c>
      <c r="C6298">
        <v>0.84906685724055997</v>
      </c>
      <c r="D6298">
        <v>0.77951917990666098</v>
      </c>
      <c r="E6298">
        <v>0.53546315810848499</v>
      </c>
      <c r="F6298">
        <v>0.26811785757814999</v>
      </c>
      <c r="G6298">
        <v>0.16812483365866701</v>
      </c>
      <c r="H6298">
        <v>8.9373660020779302E-2</v>
      </c>
      <c r="I6298">
        <v>9.1954443255280502E-2</v>
      </c>
      <c r="J6298">
        <v>0.106913039726657</v>
      </c>
      <c r="K6298">
        <v>0.11151984640764601</v>
      </c>
      <c r="L6298">
        <v>771.92720756011204</v>
      </c>
      <c r="M6298">
        <v>15.708105215299501</v>
      </c>
      <c r="N6298">
        <v>49.662697335814599</v>
      </c>
      <c r="O6298">
        <v>48.366197245318801</v>
      </c>
      <c r="P6298">
        <v>-7.50350834624499E-2</v>
      </c>
      <c r="Q6298">
        <v>7.5927807285314397E-2</v>
      </c>
      <c r="R6298">
        <v>0.992644279012875</v>
      </c>
      <c r="S6298" t="s">
        <v>12750</v>
      </c>
      <c r="T6298" t="s">
        <v>12902</v>
      </c>
      <c r="U6298" t="s">
        <v>12902</v>
      </c>
      <c r="V6298" t="s">
        <v>12902</v>
      </c>
      <c r="W6298" t="s">
        <v>19147</v>
      </c>
      <c r="X6298">
        <v>4</v>
      </c>
      <c r="Y6298" t="s">
        <v>25427</v>
      </c>
      <c r="Z6298" t="s">
        <v>31873</v>
      </c>
      <c r="AA6298">
        <v>0.37832254604760002</v>
      </c>
      <c r="AB6298" t="str">
        <f>HYPERLINK("Melting_Curves/meltCurve_Q9Y3B4_SF3B14.pdf", "Melting_Curves/meltCurve_Q9Y3B4_SF3B14.pdf")</f>
        <v>Melting_Curves/meltCurve_Q9Y3B4_SF3B14.pdf</v>
      </c>
    </row>
    <row r="6299" spans="1:28" x14ac:dyDescent="0.25">
      <c r="A6299" t="s">
        <v>6303</v>
      </c>
      <c r="B6299">
        <v>0.99673306730245903</v>
      </c>
      <c r="C6299">
        <v>0.869463326546426</v>
      </c>
      <c r="D6299">
        <v>0.52715470377068496</v>
      </c>
      <c r="E6299">
        <v>0.35583659868713502</v>
      </c>
      <c r="F6299">
        <v>0.25044172569286499</v>
      </c>
      <c r="G6299">
        <v>0.11611039069132099</v>
      </c>
      <c r="H6299">
        <v>7.5626715563494804E-2</v>
      </c>
      <c r="I6299">
        <v>4.5734131211638898E-2</v>
      </c>
      <c r="J6299">
        <v>3.9591458076587302E-2</v>
      </c>
      <c r="K6299">
        <v>4.87819417512107E-2</v>
      </c>
      <c r="L6299">
        <v>711.28564766287298</v>
      </c>
      <c r="M6299">
        <v>15.103960818850201</v>
      </c>
      <c r="N6299">
        <v>47.395279952701998</v>
      </c>
      <c r="O6299">
        <v>46.290292501923702</v>
      </c>
      <c r="P6299">
        <v>-7.7829943920275105E-2</v>
      </c>
      <c r="Q6299">
        <v>4.5967838777019002E-2</v>
      </c>
      <c r="R6299">
        <v>0.985504100919944</v>
      </c>
      <c r="S6299" t="s">
        <v>12751</v>
      </c>
      <c r="T6299" t="s">
        <v>12902</v>
      </c>
      <c r="U6299" t="s">
        <v>12902</v>
      </c>
      <c r="V6299" t="s">
        <v>12902</v>
      </c>
      <c r="W6299" t="s">
        <v>19148</v>
      </c>
      <c r="X6299">
        <v>2</v>
      </c>
      <c r="Y6299" t="s">
        <v>25428</v>
      </c>
      <c r="Z6299" t="s">
        <v>31874</v>
      </c>
      <c r="AA6299">
        <v>0.29693201434784727</v>
      </c>
      <c r="AB6299" t="str">
        <f>HYPERLINK("Melting_Curves/meltCurve_Q9Y3B7_2_MRPL11.pdf", "Melting_Curves/meltCurve_Q9Y3B7_2_MRPL11.pdf")</f>
        <v>Melting_Curves/meltCurve_Q9Y3B7_2_MRPL11.pdf</v>
      </c>
    </row>
    <row r="6300" spans="1:28" x14ac:dyDescent="0.25">
      <c r="A6300" t="s">
        <v>6304</v>
      </c>
      <c r="B6300">
        <v>0.99673306730245903</v>
      </c>
      <c r="C6300">
        <v>1.01843158774422</v>
      </c>
      <c r="D6300">
        <v>1.0422524160670601</v>
      </c>
      <c r="E6300">
        <v>1.15938882957016</v>
      </c>
      <c r="F6300">
        <v>1.7274793447824599</v>
      </c>
      <c r="G6300">
        <v>1.7249998649073</v>
      </c>
      <c r="H6300">
        <v>1.4433332460403001</v>
      </c>
      <c r="I6300">
        <v>2.0357840559549198</v>
      </c>
      <c r="J6300">
        <v>3.16118476590766</v>
      </c>
      <c r="K6300">
        <v>3.1191313907679099</v>
      </c>
      <c r="L6300">
        <v>12437.6659450961</v>
      </c>
      <c r="M6300">
        <v>250</v>
      </c>
      <c r="O6300">
        <v>49.7474628469107</v>
      </c>
      <c r="P6300">
        <v>0.62817252120905798</v>
      </c>
      <c r="Q6300">
        <v>1.5</v>
      </c>
      <c r="R6300">
        <v>3.64878687405523E-2</v>
      </c>
      <c r="S6300" t="s">
        <v>12752</v>
      </c>
      <c r="T6300" t="s">
        <v>12902</v>
      </c>
      <c r="U6300" t="s">
        <v>12902</v>
      </c>
      <c r="V6300" t="s">
        <v>12902</v>
      </c>
      <c r="W6300" t="s">
        <v>19149</v>
      </c>
      <c r="X6300">
        <v>9</v>
      </c>
      <c r="Y6300" t="s">
        <v>25429</v>
      </c>
      <c r="Z6300" t="s">
        <v>31875</v>
      </c>
      <c r="AA6300">
        <v>1.337445281173272</v>
      </c>
      <c r="AB6300" t="str">
        <f>HYPERLINK("Melting_Curves/meltCurve_Q9Y3B9_RRP15.pdf", "Melting_Curves/meltCurve_Q9Y3B9_RRP15.pdf")</f>
        <v>Melting_Curves/meltCurve_Q9Y3B9_RRP15.pdf</v>
      </c>
    </row>
    <row r="6301" spans="1:28" x14ac:dyDescent="0.25">
      <c r="A6301" t="s">
        <v>6305</v>
      </c>
      <c r="B6301">
        <v>0.99673306730245903</v>
      </c>
      <c r="C6301">
        <v>1.0106987936354399</v>
      </c>
      <c r="D6301">
        <v>1.11460462131065</v>
      </c>
      <c r="E6301">
        <v>1.08803639984833</v>
      </c>
      <c r="F6301">
        <v>0.68605942225688299</v>
      </c>
      <c r="G6301">
        <v>0.51791906059780402</v>
      </c>
      <c r="H6301">
        <v>0.31488698085281203</v>
      </c>
      <c r="I6301">
        <v>0.34028720126518802</v>
      </c>
      <c r="J6301">
        <v>0.476232729454516</v>
      </c>
      <c r="K6301">
        <v>0.49747665190689799</v>
      </c>
      <c r="L6301">
        <v>3454.2012138691898</v>
      </c>
      <c r="M6301">
        <v>65.061461901277397</v>
      </c>
      <c r="N6301">
        <v>54.7068574581319</v>
      </c>
      <c r="O6301">
        <v>53.041264111228301</v>
      </c>
      <c r="P6301">
        <v>-0.17577789901879901</v>
      </c>
      <c r="Q6301">
        <v>0.42678942889437899</v>
      </c>
      <c r="R6301">
        <v>0.93781983195798402</v>
      </c>
      <c r="S6301" t="s">
        <v>12753</v>
      </c>
      <c r="T6301" t="s">
        <v>12902</v>
      </c>
      <c r="U6301" t="s">
        <v>12902</v>
      </c>
      <c r="V6301" t="s">
        <v>12902</v>
      </c>
      <c r="W6301" t="s">
        <v>19150</v>
      </c>
      <c r="X6301">
        <v>9</v>
      </c>
      <c r="Y6301" t="s">
        <v>25430</v>
      </c>
      <c r="Z6301" t="s">
        <v>31876</v>
      </c>
      <c r="AA6301">
        <v>0.67771720113692413</v>
      </c>
      <c r="AB6301" t="str">
        <f>HYPERLINK("Melting_Curves/meltCurve_Q9Y3C1_NOP16.pdf", "Melting_Curves/meltCurve_Q9Y3C1_NOP16.pdf")</f>
        <v>Melting_Curves/meltCurve_Q9Y3C1_NOP16.pdf</v>
      </c>
    </row>
    <row r="6302" spans="1:28" x14ac:dyDescent="0.25">
      <c r="A6302" t="s">
        <v>6306</v>
      </c>
      <c r="B6302">
        <v>0.99673306730245903</v>
      </c>
      <c r="C6302">
        <v>1.0066281069862499</v>
      </c>
      <c r="D6302">
        <v>0.975225785054877</v>
      </c>
      <c r="E6302">
        <v>0.96832257630311702</v>
      </c>
      <c r="F6302">
        <v>0.88450762980345599</v>
      </c>
      <c r="G6302">
        <v>0.57676294145747997</v>
      </c>
      <c r="H6302">
        <v>0.32429081663800302</v>
      </c>
      <c r="I6302">
        <v>0.234827298640264</v>
      </c>
      <c r="J6302">
        <v>0.35315838784126202</v>
      </c>
      <c r="K6302">
        <v>0.30150231635744301</v>
      </c>
      <c r="L6302">
        <v>1855.08536829025</v>
      </c>
      <c r="M6302">
        <v>33.126809832273402</v>
      </c>
      <c r="N6302">
        <v>57.502297326067897</v>
      </c>
      <c r="O6302">
        <v>55.796629463769101</v>
      </c>
      <c r="P6302">
        <v>-0.105438128204643</v>
      </c>
      <c r="Q6302">
        <v>0.28963080420186299</v>
      </c>
      <c r="R6302">
        <v>0.99029229443505196</v>
      </c>
      <c r="S6302" t="s">
        <v>12754</v>
      </c>
      <c r="T6302" t="s">
        <v>12902</v>
      </c>
      <c r="U6302" t="s">
        <v>12902</v>
      </c>
      <c r="V6302" t="s">
        <v>12902</v>
      </c>
      <c r="W6302" t="s">
        <v>19151</v>
      </c>
      <c r="X6302">
        <v>4</v>
      </c>
      <c r="Y6302" t="s">
        <v>25431</v>
      </c>
      <c r="Z6302" t="s">
        <v>31877</v>
      </c>
      <c r="AA6302">
        <v>0.67241983280171491</v>
      </c>
      <c r="AB6302" t="str">
        <f>HYPERLINK("Melting_Curves/meltCurve_Q9Y3C4_TPRKB.pdf", "Melting_Curves/meltCurve_Q9Y3C4_TPRKB.pdf")</f>
        <v>Melting_Curves/meltCurve_Q9Y3C4_TPRKB.pdf</v>
      </c>
    </row>
    <row r="6303" spans="1:28" x14ac:dyDescent="0.25">
      <c r="A6303" t="s">
        <v>6307</v>
      </c>
      <c r="B6303">
        <v>0.99673306730245903</v>
      </c>
      <c r="C6303">
        <v>1.04344248650389</v>
      </c>
      <c r="D6303">
        <v>0.56999651957283903</v>
      </c>
      <c r="E6303">
        <v>0.43264319360827302</v>
      </c>
      <c r="F6303">
        <v>0.25630068688264401</v>
      </c>
      <c r="G6303">
        <v>0.108594659523884</v>
      </c>
      <c r="H6303">
        <v>5.2342592848175697E-2</v>
      </c>
      <c r="I6303">
        <v>4.4003442274447302E-2</v>
      </c>
      <c r="J6303">
        <v>3.7621724529434401E-2</v>
      </c>
      <c r="K6303">
        <v>3.4466456072866698E-2</v>
      </c>
      <c r="L6303">
        <v>799.12843482653898</v>
      </c>
      <c r="M6303">
        <v>16.565059928163901</v>
      </c>
      <c r="N6303">
        <v>48.455689960275102</v>
      </c>
      <c r="O6303">
        <v>47.555208299106503</v>
      </c>
      <c r="P6303">
        <v>-8.4019302333848106E-2</v>
      </c>
      <c r="Q6303">
        <v>3.5251017724935899E-2</v>
      </c>
      <c r="R6303">
        <v>0.967914468524816</v>
      </c>
      <c r="S6303" t="s">
        <v>12755</v>
      </c>
      <c r="T6303" t="s">
        <v>12902</v>
      </c>
      <c r="U6303" t="s">
        <v>12902</v>
      </c>
      <c r="V6303" t="s">
        <v>12902</v>
      </c>
      <c r="W6303" t="s">
        <v>19152</v>
      </c>
      <c r="X6303">
        <v>6</v>
      </c>
      <c r="Y6303" t="s">
        <v>25432</v>
      </c>
      <c r="Z6303" t="s">
        <v>31878</v>
      </c>
      <c r="AA6303">
        <v>0.32044244138740707</v>
      </c>
      <c r="AB6303" t="str">
        <f>HYPERLINK("Melting_Curves/meltCurve_Q9Y3C6_PPIL1.pdf", "Melting_Curves/meltCurve_Q9Y3C6_PPIL1.pdf")</f>
        <v>Melting_Curves/meltCurve_Q9Y3C6_PPIL1.pdf</v>
      </c>
    </row>
    <row r="6304" spans="1:28" x14ac:dyDescent="0.25">
      <c r="A6304" t="s">
        <v>6308</v>
      </c>
      <c r="B6304">
        <v>0.99673306730245903</v>
      </c>
      <c r="C6304">
        <v>1.0085147246761399</v>
      </c>
      <c r="D6304">
        <v>0.98753288969898001</v>
      </c>
      <c r="E6304">
        <v>0.98851373964390199</v>
      </c>
      <c r="F6304">
        <v>0.81949157296299802</v>
      </c>
      <c r="G6304">
        <v>0.66632614608857399</v>
      </c>
      <c r="H6304">
        <v>0.24693723495297901</v>
      </c>
      <c r="I6304">
        <v>0.11114878615744</v>
      </c>
      <c r="J6304">
        <v>9.0220416140553095E-2</v>
      </c>
      <c r="K6304">
        <v>7.63320866410441E-2</v>
      </c>
      <c r="L6304">
        <v>1323.1052655287899</v>
      </c>
      <c r="M6304">
        <v>22.9035206063126</v>
      </c>
      <c r="N6304">
        <v>57.988437273208199</v>
      </c>
      <c r="O6304">
        <v>57.333656803381601</v>
      </c>
      <c r="P6304">
        <v>-9.5719557503344793E-2</v>
      </c>
      <c r="Q6304">
        <v>4.1571306604950398E-2</v>
      </c>
      <c r="R6304">
        <v>0.99445480602658498</v>
      </c>
      <c r="S6304" t="s">
        <v>12756</v>
      </c>
      <c r="T6304" t="s">
        <v>12902</v>
      </c>
      <c r="U6304" t="s">
        <v>12902</v>
      </c>
      <c r="V6304" t="s">
        <v>12902</v>
      </c>
      <c r="W6304" t="s">
        <v>19153</v>
      </c>
      <c r="X6304">
        <v>8</v>
      </c>
      <c r="Y6304" t="s">
        <v>25433</v>
      </c>
      <c r="Z6304" t="s">
        <v>31879</v>
      </c>
      <c r="AA6304">
        <v>0.61872060918177063</v>
      </c>
      <c r="AB6304" t="str">
        <f>HYPERLINK("Melting_Curves/meltCurve_Q9Y3C8_UFC1.pdf", "Melting_Curves/meltCurve_Q9Y3C8_UFC1.pdf")</f>
        <v>Melting_Curves/meltCurve_Q9Y3C8_UFC1.pdf</v>
      </c>
    </row>
    <row r="6305" spans="1:28" x14ac:dyDescent="0.25">
      <c r="A6305" t="s">
        <v>6309</v>
      </c>
      <c r="B6305">
        <v>0.99673306730245903</v>
      </c>
      <c r="C6305">
        <v>0.90093460061028496</v>
      </c>
      <c r="D6305">
        <v>0.80047860656911096</v>
      </c>
      <c r="E6305">
        <v>0.40119125408172601</v>
      </c>
      <c r="F6305">
        <v>0.24531625331741999</v>
      </c>
      <c r="G6305">
        <v>0.17181555811295501</v>
      </c>
      <c r="H6305">
        <v>0.104042482744975</v>
      </c>
      <c r="I6305">
        <v>0.11336560397954799</v>
      </c>
      <c r="J6305">
        <v>0.120669000887261</v>
      </c>
      <c r="K6305">
        <v>0.11417051545587401</v>
      </c>
      <c r="L6305">
        <v>1006.06690997241</v>
      </c>
      <c r="M6305">
        <v>20.855617988080201</v>
      </c>
      <c r="N6305">
        <v>48.845974906863297</v>
      </c>
      <c r="O6305">
        <v>47.802666230860801</v>
      </c>
      <c r="P6305">
        <v>-9.6634875699791803E-2</v>
      </c>
      <c r="Q6305">
        <v>0.114046423732082</v>
      </c>
      <c r="R6305">
        <v>0.99553900335273005</v>
      </c>
      <c r="S6305" t="s">
        <v>12757</v>
      </c>
      <c r="T6305" t="s">
        <v>12902</v>
      </c>
      <c r="U6305" t="s">
        <v>12902</v>
      </c>
      <c r="V6305" t="s">
        <v>12902</v>
      </c>
      <c r="W6305" t="s">
        <v>19154</v>
      </c>
      <c r="X6305">
        <v>4</v>
      </c>
      <c r="Y6305" t="s">
        <v>25434</v>
      </c>
      <c r="Z6305" t="s">
        <v>31880</v>
      </c>
      <c r="AA6305">
        <v>0.3688535069560453</v>
      </c>
      <c r="AB6305" t="str">
        <f>HYPERLINK("Melting_Curves/meltCurve_Q9Y3D0_FAM96B.pdf", "Melting_Curves/meltCurve_Q9Y3D0_FAM96B.pdf")</f>
        <v>Melting_Curves/meltCurve_Q9Y3D0_FAM96B.pdf</v>
      </c>
    </row>
    <row r="6306" spans="1:28" x14ac:dyDescent="0.25">
      <c r="A6306" t="s">
        <v>6310</v>
      </c>
      <c r="B6306">
        <v>0.99673306730245903</v>
      </c>
      <c r="C6306">
        <v>1.0163533241162299</v>
      </c>
      <c r="D6306">
        <v>0.93853302386242199</v>
      </c>
      <c r="E6306">
        <v>0.80462233137569195</v>
      </c>
      <c r="F6306">
        <v>0.53457800521946897</v>
      </c>
      <c r="G6306">
        <v>0.38530625736809498</v>
      </c>
      <c r="H6306">
        <v>0.27628945057131299</v>
      </c>
      <c r="I6306">
        <v>0.26294427228977901</v>
      </c>
      <c r="J6306">
        <v>0.34297230473410301</v>
      </c>
      <c r="K6306">
        <v>0.31460458899906402</v>
      </c>
      <c r="L6306">
        <v>1181.0007687595401</v>
      </c>
      <c r="M6306">
        <v>22.8700524184855</v>
      </c>
      <c r="N6306">
        <v>53.720096617757498</v>
      </c>
      <c r="O6306">
        <v>51.249659603387201</v>
      </c>
      <c r="P6306">
        <v>-7.8787657481240198E-2</v>
      </c>
      <c r="Q6306">
        <v>0.293790285375574</v>
      </c>
      <c r="R6306">
        <v>0.99258491437039198</v>
      </c>
      <c r="S6306" t="s">
        <v>12758</v>
      </c>
      <c r="T6306" t="s">
        <v>12902</v>
      </c>
      <c r="U6306" t="s">
        <v>12902</v>
      </c>
      <c r="V6306" t="s">
        <v>12902</v>
      </c>
      <c r="W6306" t="s">
        <v>19155</v>
      </c>
      <c r="X6306">
        <v>8</v>
      </c>
      <c r="Y6306" t="s">
        <v>25435</v>
      </c>
      <c r="Z6306" t="s">
        <v>31881</v>
      </c>
      <c r="AA6306">
        <v>0.57541315799002934</v>
      </c>
      <c r="AB6306" t="str">
        <f>HYPERLINK("Melting_Curves/meltCurve_Q9Y3D2_MSRB2.pdf", "Melting_Curves/meltCurve_Q9Y3D2_MSRB2.pdf")</f>
        <v>Melting_Curves/meltCurve_Q9Y3D2_MSRB2.pdf</v>
      </c>
    </row>
    <row r="6307" spans="1:28" x14ac:dyDescent="0.25">
      <c r="A6307" t="s">
        <v>6311</v>
      </c>
      <c r="B6307">
        <v>0.99673306730245903</v>
      </c>
      <c r="C6307">
        <v>1.1145550997687399</v>
      </c>
      <c r="D6307">
        <v>1.2692758440983301</v>
      </c>
      <c r="E6307">
        <v>1.2998043014187699</v>
      </c>
      <c r="F6307">
        <v>1.08421282437192</v>
      </c>
      <c r="G6307">
        <v>0.78666790992883795</v>
      </c>
      <c r="H6307">
        <v>0.44779119427769998</v>
      </c>
      <c r="I6307">
        <v>0.57113518269632801</v>
      </c>
      <c r="J6307">
        <v>0.543851383758994</v>
      </c>
      <c r="K6307">
        <v>0.578265071023636</v>
      </c>
      <c r="L6307">
        <v>14209.327910935101</v>
      </c>
      <c r="M6307">
        <v>250</v>
      </c>
      <c r="O6307">
        <v>56.833675881498799</v>
      </c>
      <c r="P6307">
        <v>-0.51107387332061704</v>
      </c>
      <c r="Q6307">
        <v>0.535260702501556</v>
      </c>
      <c r="R6307">
        <v>0.79238485492656796</v>
      </c>
      <c r="S6307" t="s">
        <v>12759</v>
      </c>
      <c r="T6307" t="s">
        <v>12902</v>
      </c>
      <c r="U6307" t="s">
        <v>12902</v>
      </c>
      <c r="V6307" t="s">
        <v>12902</v>
      </c>
      <c r="W6307" t="s">
        <v>19156</v>
      </c>
      <c r="X6307">
        <v>1</v>
      </c>
      <c r="Y6307" t="s">
        <v>25436</v>
      </c>
      <c r="Z6307" t="s">
        <v>31882</v>
      </c>
      <c r="AA6307">
        <v>0.79613907243042481</v>
      </c>
      <c r="AB6307" t="str">
        <f>HYPERLINK("Melting_Curves/meltCurve_Q9Y3D5_MRPS18C.pdf", "Melting_Curves/meltCurve_Q9Y3D5_MRPS18C.pdf")</f>
        <v>Melting_Curves/meltCurve_Q9Y3D5_MRPS18C.pdf</v>
      </c>
    </row>
    <row r="6308" spans="1:28" x14ac:dyDescent="0.25">
      <c r="A6308" t="s">
        <v>6312</v>
      </c>
      <c r="B6308">
        <v>0.99673306730245903</v>
      </c>
      <c r="C6308">
        <v>0.91538680597180799</v>
      </c>
      <c r="D6308">
        <v>0.78248897206375501</v>
      </c>
      <c r="E6308">
        <v>0.83105417767939604</v>
      </c>
      <c r="F6308">
        <v>0.73122793448838797</v>
      </c>
      <c r="G6308">
        <v>0.701790591509874</v>
      </c>
      <c r="H6308">
        <v>0.483120324717911</v>
      </c>
      <c r="I6308">
        <v>0.71871926367005401</v>
      </c>
      <c r="J6308">
        <v>0.55545304526482997</v>
      </c>
      <c r="K6308">
        <v>0.57629950496055704</v>
      </c>
      <c r="L6308">
        <v>426.09231825013597</v>
      </c>
      <c r="M6308">
        <v>8.4381211655653097</v>
      </c>
      <c r="O6308">
        <v>47.899239253966002</v>
      </c>
      <c r="P6308">
        <v>-2.0552364481216799E-2</v>
      </c>
      <c r="Q6308">
        <v>0.53376743795588599</v>
      </c>
      <c r="R6308">
        <v>0.80495005798715902</v>
      </c>
      <c r="S6308" t="s">
        <v>12760</v>
      </c>
      <c r="T6308" t="s">
        <v>12902</v>
      </c>
      <c r="U6308" t="s">
        <v>12902</v>
      </c>
      <c r="V6308" t="s">
        <v>12902</v>
      </c>
      <c r="W6308" t="s">
        <v>19157</v>
      </c>
      <c r="X6308">
        <v>4</v>
      </c>
      <c r="Y6308" t="s">
        <v>25437</v>
      </c>
      <c r="Z6308" t="s">
        <v>31883</v>
      </c>
      <c r="AA6308">
        <v>0.72175097502568275</v>
      </c>
      <c r="AB6308" t="str">
        <f>HYPERLINK("Melting_Curves/meltCurve_Q9Y3D6_FIS1.pdf", "Melting_Curves/meltCurve_Q9Y3D6_FIS1.pdf")</f>
        <v>Melting_Curves/meltCurve_Q9Y3D6_FIS1.pdf</v>
      </c>
    </row>
    <row r="6309" spans="1:28" x14ac:dyDescent="0.25">
      <c r="A6309" t="s">
        <v>6313</v>
      </c>
      <c r="B6309">
        <v>0.99673306730245903</v>
      </c>
      <c r="C6309">
        <v>0.86350860891380299</v>
      </c>
      <c r="D6309">
        <v>0.62586909586596695</v>
      </c>
      <c r="E6309">
        <v>0.21018800065999399</v>
      </c>
      <c r="F6309">
        <v>0.100002583567116</v>
      </c>
      <c r="G6309">
        <v>5.5348035334229301E-2</v>
      </c>
      <c r="H6309">
        <v>3.5190603181591E-2</v>
      </c>
      <c r="I6309">
        <v>3.1101047176133899E-2</v>
      </c>
      <c r="J6309">
        <v>3.3465309567620803E-2</v>
      </c>
      <c r="K6309">
        <v>2.89174707425063E-2</v>
      </c>
      <c r="L6309">
        <v>1083.21769577236</v>
      </c>
      <c r="M6309">
        <v>23.182073312481901</v>
      </c>
      <c r="N6309">
        <v>46.861644949903202</v>
      </c>
      <c r="O6309">
        <v>46.3829903214681</v>
      </c>
      <c r="P6309">
        <v>-0.120911919299472</v>
      </c>
      <c r="Q6309">
        <v>3.2329158765085901E-2</v>
      </c>
      <c r="R6309">
        <v>0.998249795253497</v>
      </c>
      <c r="S6309" t="s">
        <v>12761</v>
      </c>
      <c r="T6309" t="s">
        <v>12902</v>
      </c>
      <c r="U6309" t="s">
        <v>12902</v>
      </c>
      <c r="V6309" t="s">
        <v>12902</v>
      </c>
      <c r="W6309" t="s">
        <v>19158</v>
      </c>
      <c r="X6309">
        <v>2</v>
      </c>
      <c r="Y6309" t="s">
        <v>25438</v>
      </c>
      <c r="Z6309" t="s">
        <v>31884</v>
      </c>
      <c r="AA6309">
        <v>0.25959318261214032</v>
      </c>
      <c r="AB6309" t="str">
        <f>HYPERLINK("Melting_Curves/meltCurve_Q9Y3D8_TAF9.pdf", "Melting_Curves/meltCurve_Q9Y3D8_TAF9.pdf")</f>
        <v>Melting_Curves/meltCurve_Q9Y3D8_TAF9.pdf</v>
      </c>
    </row>
    <row r="6310" spans="1:28" x14ac:dyDescent="0.25">
      <c r="A6310" t="s">
        <v>6314</v>
      </c>
      <c r="B6310">
        <v>0.99673306730245903</v>
      </c>
      <c r="C6310">
        <v>1.0705849931015801</v>
      </c>
      <c r="D6310">
        <v>1.0857508233148201</v>
      </c>
      <c r="E6310">
        <v>0.58325479471349395</v>
      </c>
      <c r="F6310">
        <v>0.36471064559375099</v>
      </c>
      <c r="G6310">
        <v>0.27325176736990497</v>
      </c>
      <c r="H6310">
        <v>0.17873592878372799</v>
      </c>
      <c r="I6310">
        <v>0.19291242158201399</v>
      </c>
      <c r="J6310">
        <v>0.239581722068333</v>
      </c>
      <c r="K6310">
        <v>0.242859059125831</v>
      </c>
      <c r="L6310">
        <v>2162.4300827461402</v>
      </c>
      <c r="M6310">
        <v>43.625119324476799</v>
      </c>
      <c r="N6310">
        <v>50.319439758527203</v>
      </c>
      <c r="O6310">
        <v>49.4646507273753</v>
      </c>
      <c r="P6310">
        <v>-0.167733873850819</v>
      </c>
      <c r="Q6310">
        <v>0.23925625294629299</v>
      </c>
      <c r="R6310">
        <v>0.97496083270595402</v>
      </c>
      <c r="S6310" t="s">
        <v>12762</v>
      </c>
      <c r="T6310" t="s">
        <v>12902</v>
      </c>
      <c r="U6310" t="s">
        <v>12902</v>
      </c>
      <c r="V6310" t="s">
        <v>12902</v>
      </c>
      <c r="W6310" t="s">
        <v>19159</v>
      </c>
      <c r="X6310">
        <v>6</v>
      </c>
      <c r="Y6310" t="s">
        <v>25439</v>
      </c>
      <c r="Z6310" t="s">
        <v>31885</v>
      </c>
      <c r="AA6310">
        <v>0.48408374774723673</v>
      </c>
      <c r="AB6310" t="str">
        <f>HYPERLINK("Melting_Curves/meltCurve_Q9Y3D9_MRPS23.pdf", "Melting_Curves/meltCurve_Q9Y3D9_MRPS23.pdf")</f>
        <v>Melting_Curves/meltCurve_Q9Y3D9_MRPS23.pdf</v>
      </c>
    </row>
    <row r="6311" spans="1:28" x14ac:dyDescent="0.25">
      <c r="A6311" t="s">
        <v>6315</v>
      </c>
      <c r="B6311">
        <v>0.99673306730245903</v>
      </c>
      <c r="C6311">
        <v>1.00731745402537</v>
      </c>
      <c r="D6311">
        <v>0.80766036121265095</v>
      </c>
      <c r="E6311">
        <v>0.63941943880535601</v>
      </c>
      <c r="F6311">
        <v>0.43439836665404302</v>
      </c>
      <c r="G6311">
        <v>0.29782072308666702</v>
      </c>
      <c r="H6311">
        <v>0.167859454187925</v>
      </c>
      <c r="I6311">
        <v>0.24676572241366199</v>
      </c>
      <c r="J6311">
        <v>0.33446753968152498</v>
      </c>
      <c r="K6311">
        <v>0.33755903589602698</v>
      </c>
      <c r="L6311">
        <v>972.81382493975002</v>
      </c>
      <c r="M6311">
        <v>19.704399412888002</v>
      </c>
      <c r="N6311">
        <v>51.347832978793498</v>
      </c>
      <c r="O6311">
        <v>48.870304093079298</v>
      </c>
      <c r="P6311">
        <v>-7.4000172503981707E-2</v>
      </c>
      <c r="Q6311">
        <v>0.26589236517897002</v>
      </c>
      <c r="R6311">
        <v>0.96688529307958304</v>
      </c>
      <c r="S6311" t="s">
        <v>12763</v>
      </c>
      <c r="T6311" t="s">
        <v>12902</v>
      </c>
      <c r="U6311" t="s">
        <v>12902</v>
      </c>
      <c r="V6311" t="s">
        <v>12902</v>
      </c>
      <c r="W6311" t="s">
        <v>19160</v>
      </c>
      <c r="X6311">
        <v>2</v>
      </c>
      <c r="Y6311" t="s">
        <v>25440</v>
      </c>
      <c r="Z6311" t="s">
        <v>31886</v>
      </c>
      <c r="AA6311">
        <v>0.50575079508621323</v>
      </c>
      <c r="AB6311" t="str">
        <f>HYPERLINK("Melting_Curves/meltCurve_Q9Y3E2_BOLA1.pdf", "Melting_Curves/meltCurve_Q9Y3E2_BOLA1.pdf")</f>
        <v>Melting_Curves/meltCurve_Q9Y3E2_BOLA1.pdf</v>
      </c>
    </row>
    <row r="6312" spans="1:28" x14ac:dyDescent="0.25">
      <c r="A6312" t="s">
        <v>6316</v>
      </c>
      <c r="B6312">
        <v>0.99673306730245903</v>
      </c>
      <c r="C6312">
        <v>1.0883269187656901</v>
      </c>
      <c r="D6312">
        <v>0.96139873696935996</v>
      </c>
      <c r="E6312">
        <v>0.86277059368606601</v>
      </c>
      <c r="F6312">
        <v>0.29382455854144301</v>
      </c>
      <c r="G6312">
        <v>0.116412632931694</v>
      </c>
      <c r="H6312">
        <v>6.4145613540996793E-2</v>
      </c>
      <c r="I6312">
        <v>5.8386322412335101E-2</v>
      </c>
      <c r="J6312">
        <v>8.1543705103701902E-2</v>
      </c>
      <c r="K6312">
        <v>7.39073527383865E-2</v>
      </c>
      <c r="L6312">
        <v>2073.1196017775301</v>
      </c>
      <c r="M6312">
        <v>40.0958312303651</v>
      </c>
      <c r="N6312">
        <v>51.907109859186598</v>
      </c>
      <c r="O6312">
        <v>51.576006256958799</v>
      </c>
      <c r="P6312">
        <v>-0.18025061468196699</v>
      </c>
      <c r="Q6312">
        <v>7.2563162485494007E-2</v>
      </c>
      <c r="R6312">
        <v>0.994744994014363</v>
      </c>
      <c r="S6312" t="s">
        <v>12764</v>
      </c>
      <c r="T6312" t="s">
        <v>12902</v>
      </c>
      <c r="U6312" t="s">
        <v>12902</v>
      </c>
      <c r="V6312" t="s">
        <v>12902</v>
      </c>
      <c r="W6312" t="s">
        <v>19161</v>
      </c>
      <c r="X6312">
        <v>6</v>
      </c>
      <c r="Y6312" t="s">
        <v>25441</v>
      </c>
      <c r="Z6312" t="s">
        <v>31887</v>
      </c>
      <c r="AA6312">
        <v>0.43768840783613489</v>
      </c>
      <c r="AB6312" t="str">
        <f>HYPERLINK("Melting_Curves/meltCurve_Q9Y3E7_4_CHMP3.pdf", "Melting_Curves/meltCurve_Q9Y3E7_4_CHMP3.pdf")</f>
        <v>Melting_Curves/meltCurve_Q9Y3E7_4_CHMP3.pdf</v>
      </c>
    </row>
    <row r="6313" spans="1:28" x14ac:dyDescent="0.25">
      <c r="A6313" t="s">
        <v>6317</v>
      </c>
      <c r="B6313">
        <v>0.99673306730245903</v>
      </c>
      <c r="C6313">
        <v>0.97284932277064196</v>
      </c>
      <c r="D6313">
        <v>0.81270204331685902</v>
      </c>
      <c r="E6313">
        <v>0.71083541869289602</v>
      </c>
      <c r="F6313">
        <v>0.68170151645112598</v>
      </c>
      <c r="G6313">
        <v>0.58190911114701804</v>
      </c>
      <c r="H6313">
        <v>0.29876133950702</v>
      </c>
      <c r="I6313">
        <v>0.140600784195096</v>
      </c>
      <c r="J6313">
        <v>7.7480870042204997E-2</v>
      </c>
      <c r="K6313">
        <v>6.3319198306403798E-2</v>
      </c>
      <c r="L6313">
        <v>602.73041671993303</v>
      </c>
      <c r="M6313">
        <v>10.7835352691687</v>
      </c>
      <c r="N6313">
        <v>55.893561559331602</v>
      </c>
      <c r="O6313">
        <v>54.074360571501003</v>
      </c>
      <c r="P6313">
        <v>-4.9873278946807403E-2</v>
      </c>
      <c r="Q6313">
        <v>0</v>
      </c>
      <c r="R6313">
        <v>0.96210171630723496</v>
      </c>
      <c r="S6313" t="s">
        <v>12765</v>
      </c>
      <c r="T6313" t="s">
        <v>12902</v>
      </c>
      <c r="U6313" t="s">
        <v>12902</v>
      </c>
      <c r="V6313" t="s">
        <v>12902</v>
      </c>
      <c r="W6313" t="s">
        <v>19162</v>
      </c>
      <c r="X6313">
        <v>17</v>
      </c>
      <c r="Y6313" t="s">
        <v>25442</v>
      </c>
      <c r="Z6313" t="s">
        <v>31888</v>
      </c>
      <c r="AA6313">
        <v>0.5512242973881275</v>
      </c>
      <c r="AB6313" t="str">
        <f>HYPERLINK("Melting_Curves/meltCurve_Q9Y3F4_STRAP.pdf", "Melting_Curves/meltCurve_Q9Y3F4_STRAP.pdf")</f>
        <v>Melting_Curves/meltCurve_Q9Y3F4_STRAP.pdf</v>
      </c>
    </row>
    <row r="6314" spans="1:28" x14ac:dyDescent="0.25">
      <c r="A6314" t="s">
        <v>6318</v>
      </c>
      <c r="B6314">
        <v>0.99673306730245903</v>
      </c>
      <c r="C6314">
        <v>0.96249705518367101</v>
      </c>
      <c r="D6314">
        <v>1.01471323382025</v>
      </c>
      <c r="E6314">
        <v>1.00409654902531</v>
      </c>
      <c r="F6314">
        <v>0.70242362430648098</v>
      </c>
      <c r="G6314">
        <v>0.46106730190679202</v>
      </c>
      <c r="H6314">
        <v>0.16495353612177799</v>
      </c>
      <c r="I6314">
        <v>0.10092815796795999</v>
      </c>
      <c r="J6314">
        <v>8.9059958384961294E-2</v>
      </c>
      <c r="K6314">
        <v>7.6802937741809907E-2</v>
      </c>
      <c r="L6314">
        <v>1257.1818426980701</v>
      </c>
      <c r="M6314">
        <v>22.598350017682399</v>
      </c>
      <c r="N6314">
        <v>55.9659296222802</v>
      </c>
      <c r="O6314">
        <v>55.201450417761997</v>
      </c>
      <c r="P6314">
        <v>-9.5884201068510103E-2</v>
      </c>
      <c r="Q6314">
        <v>6.3145802397378104E-2</v>
      </c>
      <c r="R6314">
        <v>0.99380349847294902</v>
      </c>
      <c r="S6314" t="s">
        <v>12766</v>
      </c>
      <c r="T6314" t="s">
        <v>12902</v>
      </c>
      <c r="U6314" t="s">
        <v>12902</v>
      </c>
      <c r="V6314" t="s">
        <v>12902</v>
      </c>
      <c r="W6314" t="s">
        <v>19163</v>
      </c>
      <c r="X6314">
        <v>32</v>
      </c>
      <c r="Y6314" t="s">
        <v>25443</v>
      </c>
      <c r="Z6314" t="s">
        <v>31889</v>
      </c>
      <c r="AA6314">
        <v>0.56148600754537381</v>
      </c>
      <c r="AB6314" t="str">
        <f>HYPERLINK("Melting_Curves/meltCurve_Q9Y3I0_C22orf28.pdf", "Melting_Curves/meltCurve_Q9Y3I0_C22orf28.pdf")</f>
        <v>Melting_Curves/meltCurve_Q9Y3I0_C22orf28.pdf</v>
      </c>
    </row>
    <row r="6315" spans="1:28" x14ac:dyDescent="0.25">
      <c r="A6315" t="s">
        <v>6319</v>
      </c>
      <c r="B6315">
        <v>0.99673306730245903</v>
      </c>
      <c r="C6315">
        <v>0.72198090822345296</v>
      </c>
      <c r="D6315">
        <v>0.554124170706494</v>
      </c>
      <c r="E6315">
        <v>0.432679990560567</v>
      </c>
      <c r="F6315">
        <v>0.31914926347421801</v>
      </c>
      <c r="G6315">
        <v>0.17711803732665099</v>
      </c>
      <c r="H6315">
        <v>0.13910237351431701</v>
      </c>
      <c r="I6315">
        <v>0.11917338417633799</v>
      </c>
      <c r="J6315">
        <v>0.104997297442309</v>
      </c>
      <c r="K6315">
        <v>0.102949355507339</v>
      </c>
      <c r="L6315">
        <v>543.96718024001598</v>
      </c>
      <c r="M6315">
        <v>11.5648103282142</v>
      </c>
      <c r="N6315">
        <v>47.786539195567897</v>
      </c>
      <c r="O6315">
        <v>45.695965000510803</v>
      </c>
      <c r="P6315">
        <v>-5.8034644870605501E-2</v>
      </c>
      <c r="Q6315">
        <v>8.3006802555749701E-2</v>
      </c>
      <c r="R6315">
        <v>0.97832403680054203</v>
      </c>
      <c r="S6315" t="s">
        <v>12767</v>
      </c>
      <c r="T6315" t="s">
        <v>12902</v>
      </c>
      <c r="U6315" t="s">
        <v>12902</v>
      </c>
      <c r="V6315" t="s">
        <v>12902</v>
      </c>
      <c r="W6315" t="s">
        <v>19164</v>
      </c>
      <c r="X6315">
        <v>2</v>
      </c>
      <c r="Y6315" t="s">
        <v>25444</v>
      </c>
      <c r="Z6315" t="s">
        <v>31890</v>
      </c>
      <c r="AA6315">
        <v>0.3391274167886319</v>
      </c>
      <c r="AB6315" t="str">
        <f>HYPERLINK("Melting_Curves/meltCurve_Q9Y3I1_FBXO7.pdf", "Melting_Curves/meltCurve_Q9Y3I1_FBXO7.pdf")</f>
        <v>Melting_Curves/meltCurve_Q9Y3I1_FBXO7.pdf</v>
      </c>
    </row>
    <row r="6316" spans="1:28" x14ac:dyDescent="0.25">
      <c r="A6316" t="s">
        <v>6320</v>
      </c>
      <c r="B6316">
        <v>0.99673306730245903</v>
      </c>
      <c r="C6316">
        <v>0.95032440381738503</v>
      </c>
      <c r="D6316">
        <v>0.96205180467281903</v>
      </c>
      <c r="E6316">
        <v>0.77203744352576598</v>
      </c>
      <c r="F6316">
        <v>0.72970358382036304</v>
      </c>
      <c r="G6316">
        <v>0.608880069660509</v>
      </c>
      <c r="H6316">
        <v>0.45059129036422302</v>
      </c>
      <c r="I6316">
        <v>0.46859142124539899</v>
      </c>
      <c r="J6316">
        <v>0.39977255040264198</v>
      </c>
      <c r="K6316">
        <v>0.26391144340681699</v>
      </c>
      <c r="L6316">
        <v>467.767784855321</v>
      </c>
      <c r="M6316">
        <v>8.0633596605812201</v>
      </c>
      <c r="N6316">
        <v>60.526203486842903</v>
      </c>
      <c r="O6316">
        <v>54.770108972268098</v>
      </c>
      <c r="P6316">
        <v>-3.1601476245669502E-2</v>
      </c>
      <c r="Q6316">
        <v>0.14233382038327799</v>
      </c>
      <c r="R6316">
        <v>0.97526617209329802</v>
      </c>
      <c r="S6316" t="s">
        <v>12768</v>
      </c>
      <c r="T6316" t="s">
        <v>12902</v>
      </c>
      <c r="U6316" t="s">
        <v>12902</v>
      </c>
      <c r="V6316" t="s">
        <v>12902</v>
      </c>
      <c r="W6316" t="s">
        <v>19165</v>
      </c>
      <c r="X6316">
        <v>6</v>
      </c>
      <c r="Y6316" t="s">
        <v>25445</v>
      </c>
      <c r="Z6316" t="s">
        <v>31891</v>
      </c>
      <c r="AA6316">
        <v>0.66049375596187698</v>
      </c>
      <c r="AB6316" t="str">
        <f>HYPERLINK("Melting_Curves/meltCurve_Q9Y3L5_RAP2C.pdf", "Melting_Curves/meltCurve_Q9Y3L5_RAP2C.pdf")</f>
        <v>Melting_Curves/meltCurve_Q9Y3L5_RAP2C.pdf</v>
      </c>
    </row>
    <row r="6317" spans="1:28" x14ac:dyDescent="0.25">
      <c r="A6317" t="s">
        <v>6321</v>
      </c>
      <c r="B6317">
        <v>0.99673306730245903</v>
      </c>
      <c r="C6317">
        <v>0.94081154486819896</v>
      </c>
      <c r="D6317">
        <v>0.70977762190576199</v>
      </c>
      <c r="E6317">
        <v>0.59137899378695902</v>
      </c>
      <c r="F6317">
        <v>0.302262976083362</v>
      </c>
      <c r="G6317">
        <v>0.217805759845309</v>
      </c>
      <c r="H6317">
        <v>0.15039415644849399</v>
      </c>
      <c r="I6317">
        <v>0.16232663600512301</v>
      </c>
      <c r="J6317">
        <v>0.20869254697821801</v>
      </c>
      <c r="K6317">
        <v>0.23373331534231301</v>
      </c>
      <c r="L6317">
        <v>829.56606949145896</v>
      </c>
      <c r="M6317">
        <v>17.055834200576999</v>
      </c>
      <c r="N6317">
        <v>49.878211041942201</v>
      </c>
      <c r="O6317">
        <v>47.9843982922186</v>
      </c>
      <c r="P6317">
        <v>-7.3511623639680501E-2</v>
      </c>
      <c r="Q6317">
        <v>0.17278843335223501</v>
      </c>
      <c r="R6317">
        <v>0.981573397420612</v>
      </c>
      <c r="S6317" t="s">
        <v>12769</v>
      </c>
      <c r="T6317" t="s">
        <v>12902</v>
      </c>
      <c r="U6317" t="s">
        <v>12902</v>
      </c>
      <c r="V6317" t="s">
        <v>12902</v>
      </c>
      <c r="W6317" t="s">
        <v>19166</v>
      </c>
      <c r="X6317">
        <v>2</v>
      </c>
      <c r="Y6317" t="s">
        <v>25446</v>
      </c>
      <c r="Z6317" t="s">
        <v>31892</v>
      </c>
      <c r="AA6317">
        <v>0.42706792503288282</v>
      </c>
      <c r="AB6317" t="str">
        <f>HYPERLINK("Melting_Curves/meltCurve_Q9Y3P8_SIT1.pdf", "Melting_Curves/meltCurve_Q9Y3P8_SIT1.pdf")</f>
        <v>Melting_Curves/meltCurve_Q9Y3P8_SIT1.pdf</v>
      </c>
    </row>
    <row r="6318" spans="1:28" x14ac:dyDescent="0.25">
      <c r="A6318" t="s">
        <v>6322</v>
      </c>
      <c r="B6318">
        <v>0.99673306730245903</v>
      </c>
      <c r="C6318">
        <v>0.94055767664592504</v>
      </c>
      <c r="D6318">
        <v>0.87896625500551195</v>
      </c>
      <c r="E6318">
        <v>0.63620103917240101</v>
      </c>
      <c r="F6318">
        <v>0.232495457777947</v>
      </c>
      <c r="G6318">
        <v>0.15518604234712</v>
      </c>
      <c r="H6318">
        <v>9.6597433092574E-2</v>
      </c>
      <c r="I6318">
        <v>0.104819584238979</v>
      </c>
      <c r="J6318">
        <v>0.124133990137094</v>
      </c>
      <c r="K6318">
        <v>0.116365643605178</v>
      </c>
      <c r="L6318">
        <v>1262.45270375627</v>
      </c>
      <c r="M6318">
        <v>25.231832584056399</v>
      </c>
      <c r="N6318">
        <v>50.502538747147398</v>
      </c>
      <c r="O6318">
        <v>49.723017910219902</v>
      </c>
      <c r="P6318">
        <v>-0.113628338137075</v>
      </c>
      <c r="Q6318">
        <v>0.104326543277815</v>
      </c>
      <c r="R6318">
        <v>0.99517527947725304</v>
      </c>
      <c r="S6318" t="s">
        <v>12770</v>
      </c>
      <c r="T6318" t="s">
        <v>12902</v>
      </c>
      <c r="U6318" t="s">
        <v>12902</v>
      </c>
      <c r="V6318" t="s">
        <v>12902</v>
      </c>
      <c r="W6318" t="s">
        <v>19167</v>
      </c>
      <c r="X6318">
        <v>15</v>
      </c>
      <c r="Y6318" t="s">
        <v>25447</v>
      </c>
      <c r="Z6318" t="s">
        <v>31893</v>
      </c>
      <c r="AA6318">
        <v>0.41176411003130131</v>
      </c>
      <c r="AB6318" t="str">
        <f>HYPERLINK("Melting_Curves/meltCurve_Q9Y3P9_RABGAP1.pdf", "Melting_Curves/meltCurve_Q9Y3P9_RABGAP1.pdf")</f>
        <v>Melting_Curves/meltCurve_Q9Y3P9_RABGAP1.pdf</v>
      </c>
    </row>
    <row r="6319" spans="1:28" x14ac:dyDescent="0.25">
      <c r="A6319" t="s">
        <v>6323</v>
      </c>
      <c r="B6319">
        <v>0.99673306730245903</v>
      </c>
      <c r="C6319">
        <v>0.936441795676901</v>
      </c>
      <c r="D6319">
        <v>0.90534677290516397</v>
      </c>
      <c r="E6319">
        <v>0.87558773313010096</v>
      </c>
      <c r="F6319">
        <v>0.33850869297040798</v>
      </c>
      <c r="G6319">
        <v>0.184674728892947</v>
      </c>
      <c r="H6319">
        <v>0.12901640226654301</v>
      </c>
      <c r="I6319">
        <v>0.142143070818738</v>
      </c>
      <c r="J6319">
        <v>0.14106351942902501</v>
      </c>
      <c r="K6319">
        <v>0.145499790213518</v>
      </c>
      <c r="L6319">
        <v>2058.16864739722</v>
      </c>
      <c r="M6319">
        <v>39.843898850424203</v>
      </c>
      <c r="N6319">
        <v>52.093556997015199</v>
      </c>
      <c r="O6319">
        <v>51.526195007420696</v>
      </c>
      <c r="P6319">
        <v>-0.16581716690009199</v>
      </c>
      <c r="Q6319">
        <v>0.14226168119605401</v>
      </c>
      <c r="R6319">
        <v>0.99080763527526405</v>
      </c>
      <c r="S6319" t="s">
        <v>12771</v>
      </c>
      <c r="T6319" t="s">
        <v>12902</v>
      </c>
      <c r="U6319" t="s">
        <v>12902</v>
      </c>
      <c r="V6319" t="s">
        <v>12902</v>
      </c>
      <c r="W6319" t="s">
        <v>19168</v>
      </c>
      <c r="X6319">
        <v>7</v>
      </c>
      <c r="Y6319" t="s">
        <v>25448</v>
      </c>
      <c r="Z6319" t="s">
        <v>31894</v>
      </c>
      <c r="AA6319">
        <v>0.47860186287386608</v>
      </c>
      <c r="AB6319" t="str">
        <f>HYPERLINK("Melting_Curves/meltCurve_Q9Y3R5_2_DOPEY2.pdf", "Melting_Curves/meltCurve_Q9Y3R5_2_DOPEY2.pdf")</f>
        <v>Melting_Curves/meltCurve_Q9Y3R5_2_DOPEY2.pdf</v>
      </c>
    </row>
    <row r="6320" spans="1:28" x14ac:dyDescent="0.25">
      <c r="A6320" t="s">
        <v>6324</v>
      </c>
      <c r="B6320">
        <v>0.99673306730245903</v>
      </c>
      <c r="C6320">
        <v>0.89861360776102395</v>
      </c>
      <c r="D6320">
        <v>0.71718747919918102</v>
      </c>
      <c r="E6320">
        <v>0.431143444259389</v>
      </c>
      <c r="F6320">
        <v>0.30244145549689999</v>
      </c>
      <c r="G6320">
        <v>0.21351741011728601</v>
      </c>
      <c r="H6320">
        <v>0.158266140171511</v>
      </c>
      <c r="I6320">
        <v>0.22402076627261999</v>
      </c>
      <c r="J6320">
        <v>0.27785739922786701</v>
      </c>
      <c r="K6320">
        <v>0.21191976258144499</v>
      </c>
      <c r="L6320">
        <v>964.316202716151</v>
      </c>
      <c r="M6320">
        <v>20.400651916939001</v>
      </c>
      <c r="N6320">
        <v>48.5863077625133</v>
      </c>
      <c r="O6320">
        <v>46.821732298915499</v>
      </c>
      <c r="P6320">
        <v>-8.5789827183771594E-2</v>
      </c>
      <c r="Q6320">
        <v>0.212435474346096</v>
      </c>
      <c r="R6320">
        <v>0.98934774950178095</v>
      </c>
      <c r="S6320" t="s">
        <v>12772</v>
      </c>
      <c r="T6320" t="s">
        <v>12902</v>
      </c>
      <c r="U6320" t="s">
        <v>12902</v>
      </c>
      <c r="V6320" t="s">
        <v>12902</v>
      </c>
      <c r="W6320" t="s">
        <v>19169</v>
      </c>
      <c r="X6320">
        <v>9</v>
      </c>
      <c r="Y6320" t="s">
        <v>25449</v>
      </c>
      <c r="Z6320" t="s">
        <v>31895</v>
      </c>
      <c r="AA6320">
        <v>0.41418971747622851</v>
      </c>
      <c r="AB6320" t="str">
        <f>HYPERLINK("Melting_Curves/meltCurve_Q9Y3S2_ZNF330.pdf", "Melting_Curves/meltCurve_Q9Y3S2_ZNF330.pdf")</f>
        <v>Melting_Curves/meltCurve_Q9Y3S2_ZNF330.pdf</v>
      </c>
    </row>
    <row r="6321" spans="1:28" x14ac:dyDescent="0.25">
      <c r="A6321" t="s">
        <v>6325</v>
      </c>
      <c r="B6321">
        <v>0.99673306730245903</v>
      </c>
      <c r="C6321">
        <v>1.0053618203677801</v>
      </c>
      <c r="D6321">
        <v>0.81076270900555203</v>
      </c>
      <c r="E6321">
        <v>0.57597971919488899</v>
      </c>
      <c r="F6321">
        <v>0.246199563399081</v>
      </c>
      <c r="G6321">
        <v>0.11260776396542101</v>
      </c>
      <c r="H6321">
        <v>6.9851788675539803E-2</v>
      </c>
      <c r="I6321">
        <v>4.0176540352867898E-2</v>
      </c>
      <c r="J6321">
        <v>2.5006809956815399E-2</v>
      </c>
      <c r="K6321">
        <v>3.0795698390531E-2</v>
      </c>
      <c r="L6321">
        <v>966.271236839013</v>
      </c>
      <c r="M6321">
        <v>19.314674654992501</v>
      </c>
      <c r="N6321">
        <v>50.166005607587799</v>
      </c>
      <c r="O6321">
        <v>49.500828025111502</v>
      </c>
      <c r="P6321">
        <v>-9.5023538153208104E-2</v>
      </c>
      <c r="Q6321">
        <v>2.59082031813818E-2</v>
      </c>
      <c r="R6321">
        <v>0.99725384338607903</v>
      </c>
      <c r="S6321" t="s">
        <v>12773</v>
      </c>
      <c r="T6321" t="s">
        <v>12902</v>
      </c>
      <c r="U6321" t="s">
        <v>12902</v>
      </c>
      <c r="V6321" t="s">
        <v>12902</v>
      </c>
      <c r="W6321" t="s">
        <v>19170</v>
      </c>
      <c r="X6321">
        <v>2</v>
      </c>
      <c r="Y6321" t="s">
        <v>25450</v>
      </c>
      <c r="Z6321" t="s">
        <v>31896</v>
      </c>
      <c r="AA6321">
        <v>0.36601761347270478</v>
      </c>
      <c r="AB6321" t="str">
        <f>HYPERLINK("Melting_Curves/meltCurve_Q9Y3T6_R3HCC1.pdf", "Melting_Curves/meltCurve_Q9Y3T6_R3HCC1.pdf")</f>
        <v>Melting_Curves/meltCurve_Q9Y3T6_R3HCC1.pdf</v>
      </c>
    </row>
    <row r="6322" spans="1:28" x14ac:dyDescent="0.25">
      <c r="A6322" t="s">
        <v>6326</v>
      </c>
      <c r="B6322">
        <v>0.99673306730245903</v>
      </c>
      <c r="C6322">
        <v>0.93895946374947803</v>
      </c>
      <c r="D6322">
        <v>0.78443711402293803</v>
      </c>
      <c r="E6322">
        <v>0.55487912609621803</v>
      </c>
      <c r="F6322">
        <v>0.20187445531915801</v>
      </c>
      <c r="G6322">
        <v>0.114290789079574</v>
      </c>
      <c r="H6322">
        <v>7.7058370369952306E-2</v>
      </c>
      <c r="I6322">
        <v>7.4838528649591604E-2</v>
      </c>
      <c r="J6322">
        <v>9.0219471173567906E-2</v>
      </c>
      <c r="K6322">
        <v>8.7125977483983805E-2</v>
      </c>
      <c r="L6322">
        <v>984.33362758876694</v>
      </c>
      <c r="M6322">
        <v>19.9761201088916</v>
      </c>
      <c r="N6322">
        <v>49.632153394826403</v>
      </c>
      <c r="O6322">
        <v>48.789674037140401</v>
      </c>
      <c r="P6322">
        <v>-9.5518073012393595E-2</v>
      </c>
      <c r="Q6322">
        <v>6.6857101424922905E-2</v>
      </c>
      <c r="R6322">
        <v>0.99505503597454104</v>
      </c>
      <c r="S6322" t="s">
        <v>12774</v>
      </c>
      <c r="T6322" t="s">
        <v>12902</v>
      </c>
      <c r="U6322" t="s">
        <v>12902</v>
      </c>
      <c r="V6322" t="s">
        <v>12902</v>
      </c>
      <c r="W6322" t="s">
        <v>19171</v>
      </c>
      <c r="X6322">
        <v>7</v>
      </c>
      <c r="Y6322" t="s">
        <v>25451</v>
      </c>
      <c r="Z6322" t="s">
        <v>31897</v>
      </c>
      <c r="AA6322">
        <v>0.36844252430364699</v>
      </c>
      <c r="AB6322" t="str">
        <f>HYPERLINK("Melting_Curves/meltCurve_Q9Y3T9_NOC2L.pdf", "Melting_Curves/meltCurve_Q9Y3T9_NOC2L.pdf")</f>
        <v>Melting_Curves/meltCurve_Q9Y3T9_NOC2L.pdf</v>
      </c>
    </row>
    <row r="6323" spans="1:28" x14ac:dyDescent="0.25">
      <c r="A6323" t="s">
        <v>6327</v>
      </c>
      <c r="B6323">
        <v>0.99673306730245903</v>
      </c>
      <c r="C6323">
        <v>1.07715996109884</v>
      </c>
      <c r="D6323">
        <v>1.0204564828863101</v>
      </c>
      <c r="E6323">
        <v>1.1373439935716501</v>
      </c>
      <c r="F6323">
        <v>1.02351721698552</v>
      </c>
      <c r="G6323">
        <v>0.854112374596949</v>
      </c>
      <c r="H6323">
        <v>0.47593558557031401</v>
      </c>
      <c r="I6323">
        <v>0.33230956891669899</v>
      </c>
      <c r="J6323">
        <v>0.44973976773044799</v>
      </c>
      <c r="K6323">
        <v>0.392518064314273</v>
      </c>
      <c r="L6323">
        <v>2843.2057071010299</v>
      </c>
      <c r="M6323">
        <v>48.847154457278499</v>
      </c>
      <c r="N6323">
        <v>60.105911108964698</v>
      </c>
      <c r="O6323">
        <v>58.108876362759901</v>
      </c>
      <c r="P6323">
        <v>-0.127516071921944</v>
      </c>
      <c r="Q6323">
        <v>0.39322508505181902</v>
      </c>
      <c r="R6323">
        <v>0.96355389817231196</v>
      </c>
      <c r="S6323" t="s">
        <v>12775</v>
      </c>
      <c r="T6323" t="s">
        <v>12902</v>
      </c>
      <c r="U6323" t="s">
        <v>12902</v>
      </c>
      <c r="V6323" t="s">
        <v>12902</v>
      </c>
      <c r="W6323" t="s">
        <v>19172</v>
      </c>
      <c r="X6323">
        <v>3</v>
      </c>
      <c r="Y6323" t="s">
        <v>25452</v>
      </c>
      <c r="Z6323" t="s">
        <v>31898</v>
      </c>
      <c r="AA6323">
        <v>0.76308291785075455</v>
      </c>
      <c r="AB6323" t="str">
        <f>HYPERLINK("Melting_Curves/meltCurve_Q9Y3U8_RPL36.pdf", "Melting_Curves/meltCurve_Q9Y3U8_RPL36.pdf")</f>
        <v>Melting_Curves/meltCurve_Q9Y3U8_RPL36.pdf</v>
      </c>
    </row>
    <row r="6324" spans="1:28" x14ac:dyDescent="0.25">
      <c r="A6324" t="s">
        <v>6328</v>
      </c>
      <c r="B6324">
        <v>0.99673306730245903</v>
      </c>
      <c r="C6324">
        <v>0.97395491300975801</v>
      </c>
      <c r="D6324">
        <v>0.94863275183025297</v>
      </c>
      <c r="E6324">
        <v>0.846926786261474</v>
      </c>
      <c r="F6324">
        <v>0.79344374168291998</v>
      </c>
      <c r="G6324">
        <v>0.72404369960839099</v>
      </c>
      <c r="H6324">
        <v>0.71048925718038303</v>
      </c>
      <c r="I6324">
        <v>1.2298419955665101</v>
      </c>
      <c r="J6324">
        <v>1.7608580200586399</v>
      </c>
      <c r="K6324">
        <v>1.7998808246425699</v>
      </c>
      <c r="L6324">
        <v>15000</v>
      </c>
      <c r="M6324">
        <v>234.21354718220499</v>
      </c>
      <c r="O6324">
        <v>64.039453163655907</v>
      </c>
      <c r="P6324">
        <v>0.45716654651850103</v>
      </c>
      <c r="Q6324">
        <v>1.5</v>
      </c>
      <c r="R6324">
        <v>0.73086640456470897</v>
      </c>
      <c r="S6324" t="s">
        <v>12776</v>
      </c>
      <c r="T6324" t="s">
        <v>12902</v>
      </c>
      <c r="U6324" t="s">
        <v>12902</v>
      </c>
      <c r="V6324" t="s">
        <v>12902</v>
      </c>
      <c r="W6324" t="s">
        <v>19173</v>
      </c>
      <c r="X6324">
        <v>19</v>
      </c>
      <c r="Y6324" t="s">
        <v>25453</v>
      </c>
      <c r="Z6324" t="s">
        <v>31899</v>
      </c>
      <c r="AA6324">
        <v>1.099200672540035</v>
      </c>
      <c r="AB6324" t="str">
        <f>HYPERLINK("Melting_Curves/meltCurve_Q9Y3X0_CCDC9.pdf", "Melting_Curves/meltCurve_Q9Y3X0_CCDC9.pdf")</f>
        <v>Melting_Curves/meltCurve_Q9Y3X0_CCDC9.pdf</v>
      </c>
    </row>
    <row r="6325" spans="1:28" x14ac:dyDescent="0.25">
      <c r="A6325" t="s">
        <v>6329</v>
      </c>
      <c r="B6325">
        <v>0.99673306730245903</v>
      </c>
      <c r="C6325">
        <v>0.99522690035170502</v>
      </c>
      <c r="D6325">
        <v>0.94193791505149604</v>
      </c>
      <c r="E6325">
        <v>0.93175125525458502</v>
      </c>
      <c r="F6325">
        <v>0.50646250246129598</v>
      </c>
      <c r="G6325">
        <v>0.23095508937115</v>
      </c>
      <c r="H6325">
        <v>0.17668355662215801</v>
      </c>
      <c r="I6325">
        <v>0.19960833103972001</v>
      </c>
      <c r="J6325">
        <v>0.48392257507562902</v>
      </c>
      <c r="K6325">
        <v>0.54418917260250899</v>
      </c>
      <c r="L6325">
        <v>2668.4359810886099</v>
      </c>
      <c r="M6325">
        <v>51.290750084990201</v>
      </c>
      <c r="N6325">
        <v>53.127949625257102</v>
      </c>
      <c r="O6325">
        <v>51.946757256496198</v>
      </c>
      <c r="P6325">
        <v>-0.16600368535222601</v>
      </c>
      <c r="Q6325">
        <v>0.32749285065657402</v>
      </c>
      <c r="R6325">
        <v>0.87939537322507799</v>
      </c>
      <c r="S6325" t="s">
        <v>12777</v>
      </c>
      <c r="T6325" t="s">
        <v>12902</v>
      </c>
      <c r="U6325" t="s">
        <v>12902</v>
      </c>
      <c r="V6325" t="s">
        <v>12902</v>
      </c>
      <c r="W6325" t="s">
        <v>19174</v>
      </c>
      <c r="X6325">
        <v>3</v>
      </c>
      <c r="Y6325" t="s">
        <v>25454</v>
      </c>
      <c r="Z6325" t="s">
        <v>31900</v>
      </c>
      <c r="AA6325">
        <v>0.59853743266406201</v>
      </c>
      <c r="AB6325" t="str">
        <f>HYPERLINK("Melting_Curves/meltCurve_Q9Y3Y2_4_CHTOP.pdf", "Melting_Curves/meltCurve_Q9Y3Y2_4_CHTOP.pdf")</f>
        <v>Melting_Curves/meltCurve_Q9Y3Y2_4_CHTOP.pdf</v>
      </c>
    </row>
    <row r="6326" spans="1:28" x14ac:dyDescent="0.25">
      <c r="A6326" t="s">
        <v>6330</v>
      </c>
      <c r="B6326">
        <v>0.99673306730245903</v>
      </c>
      <c r="C6326">
        <v>0.97196676780031099</v>
      </c>
      <c r="D6326">
        <v>0.97697288206710298</v>
      </c>
      <c r="E6326">
        <v>0.98579064546343198</v>
      </c>
      <c r="F6326">
        <v>0.60862735689424596</v>
      </c>
      <c r="G6326">
        <v>0.29710807716476001</v>
      </c>
      <c r="H6326">
        <v>0.15489930102457</v>
      </c>
      <c r="I6326">
        <v>0.105485426748886</v>
      </c>
      <c r="J6326">
        <v>9.4389255022019003E-2</v>
      </c>
      <c r="K6326">
        <v>6.8140973584902398E-2</v>
      </c>
      <c r="L6326">
        <v>1482.3185226410999</v>
      </c>
      <c r="M6326">
        <v>27.437419621447798</v>
      </c>
      <c r="N6326">
        <v>54.428350319265498</v>
      </c>
      <c r="O6326">
        <v>53.7408893574434</v>
      </c>
      <c r="P6326">
        <v>-0.11590795214626801</v>
      </c>
      <c r="Q6326">
        <v>9.1906028981281002E-2</v>
      </c>
      <c r="R6326">
        <v>0.99572818299825405</v>
      </c>
      <c r="S6326" t="s">
        <v>12778</v>
      </c>
      <c r="T6326" t="s">
        <v>12902</v>
      </c>
      <c r="U6326" t="s">
        <v>12902</v>
      </c>
      <c r="V6326" t="s">
        <v>12902</v>
      </c>
      <c r="W6326" t="s">
        <v>19175</v>
      </c>
      <c r="X6326">
        <v>17</v>
      </c>
      <c r="Y6326" t="s">
        <v>25455</v>
      </c>
      <c r="Z6326" t="s">
        <v>31901</v>
      </c>
      <c r="AA6326">
        <v>0.52352685266719701</v>
      </c>
      <c r="AB6326" t="str">
        <f>HYPERLINK("Melting_Curves/meltCurve_Q9Y3Z3_SAMHD1.pdf", "Melting_Curves/meltCurve_Q9Y3Z3_SAMHD1.pdf")</f>
        <v>Melting_Curves/meltCurve_Q9Y3Z3_SAMHD1.pdf</v>
      </c>
    </row>
    <row r="6327" spans="1:28" x14ac:dyDescent="0.25">
      <c r="A6327" t="s">
        <v>6331</v>
      </c>
      <c r="B6327">
        <v>0.99673306730245903</v>
      </c>
      <c r="C6327">
        <v>1.0122405117870099</v>
      </c>
      <c r="D6327">
        <v>0.97142605092041501</v>
      </c>
      <c r="E6327">
        <v>0.88901985862648802</v>
      </c>
      <c r="F6327">
        <v>0.71298494164338599</v>
      </c>
      <c r="G6327">
        <v>0.47727689800694101</v>
      </c>
      <c r="H6327">
        <v>0.402761546159289</v>
      </c>
      <c r="I6327">
        <v>0.56362723554906202</v>
      </c>
      <c r="J6327">
        <v>0.74107989986735601</v>
      </c>
      <c r="K6327">
        <v>0.85157349951130601</v>
      </c>
      <c r="L6327">
        <v>1988.3114138134999</v>
      </c>
      <c r="M6327">
        <v>39.032288170705101</v>
      </c>
      <c r="O6327">
        <v>50.807016653704999</v>
      </c>
      <c r="P6327">
        <v>-7.4484177061014303E-2</v>
      </c>
      <c r="Q6327">
        <v>0.61218674900708403</v>
      </c>
      <c r="R6327">
        <v>0.67398574028528602</v>
      </c>
      <c r="S6327" t="s">
        <v>12779</v>
      </c>
      <c r="T6327" t="s">
        <v>12902</v>
      </c>
      <c r="U6327" t="s">
        <v>12902</v>
      </c>
      <c r="V6327" t="s">
        <v>12902</v>
      </c>
      <c r="W6327" t="s">
        <v>19176</v>
      </c>
      <c r="X6327">
        <v>2</v>
      </c>
      <c r="Y6327" t="s">
        <v>25456</v>
      </c>
      <c r="Z6327" t="s">
        <v>31902</v>
      </c>
      <c r="AA6327">
        <v>0.75504606375654215</v>
      </c>
      <c r="AB6327" t="str">
        <f>HYPERLINK("Melting_Curves/meltCurve_Q9Y421_FAM32A.pdf", "Melting_Curves/meltCurve_Q9Y421_FAM32A.pdf")</f>
        <v>Melting_Curves/meltCurve_Q9Y421_FAM32A.pdf</v>
      </c>
    </row>
    <row r="6328" spans="1:28" x14ac:dyDescent="0.25">
      <c r="A6328" t="s">
        <v>6332</v>
      </c>
      <c r="B6328">
        <v>0.99673306730245903</v>
      </c>
      <c r="C6328">
        <v>0.92399021653695701</v>
      </c>
      <c r="D6328">
        <v>0.74225468714936604</v>
      </c>
      <c r="E6328">
        <v>0.30915779673217902</v>
      </c>
      <c r="F6328">
        <v>0.19476088668355401</v>
      </c>
      <c r="G6328">
        <v>0.110322993473026</v>
      </c>
      <c r="H6328">
        <v>7.0506160066224899E-2</v>
      </c>
      <c r="I6328">
        <v>6.4018424077711605E-2</v>
      </c>
      <c r="J6328">
        <v>7.6358445159754901E-2</v>
      </c>
      <c r="K6328">
        <v>7.5862931537452993E-2</v>
      </c>
      <c r="L6328">
        <v>1111.8029155418501</v>
      </c>
      <c r="M6328">
        <v>23.3250884145206</v>
      </c>
      <c r="N6328">
        <v>48.011253077271299</v>
      </c>
      <c r="O6328">
        <v>47.319339963691398</v>
      </c>
      <c r="P6328">
        <v>-0.113707914852613</v>
      </c>
      <c r="Q6328">
        <v>7.7304743601794498E-2</v>
      </c>
      <c r="R6328">
        <v>0.99688664554005602</v>
      </c>
      <c r="S6328" t="s">
        <v>12780</v>
      </c>
      <c r="T6328" t="s">
        <v>12902</v>
      </c>
      <c r="U6328" t="s">
        <v>12902</v>
      </c>
      <c r="V6328" t="s">
        <v>12902</v>
      </c>
      <c r="W6328" t="s">
        <v>19177</v>
      </c>
      <c r="X6328">
        <v>17</v>
      </c>
      <c r="Y6328" t="s">
        <v>25457</v>
      </c>
      <c r="Z6328" t="s">
        <v>31903</v>
      </c>
      <c r="AA6328">
        <v>0.3225534339894382</v>
      </c>
      <c r="AB6328" t="str">
        <f>HYPERLINK("Melting_Curves/meltCurve_Q9Y446_PKP3.pdf", "Melting_Curves/meltCurve_Q9Y446_PKP3.pdf")</f>
        <v>Melting_Curves/meltCurve_Q9Y446_PKP3.pdf</v>
      </c>
    </row>
    <row r="6329" spans="1:28" x14ac:dyDescent="0.25">
      <c r="A6329" t="s">
        <v>6333</v>
      </c>
      <c r="B6329">
        <v>0.99673306730245903</v>
      </c>
      <c r="C6329">
        <v>0.93987499568097699</v>
      </c>
      <c r="D6329">
        <v>0.78837609024747601</v>
      </c>
      <c r="E6329">
        <v>0.76117972501556697</v>
      </c>
      <c r="F6329">
        <v>0.94093303848337295</v>
      </c>
      <c r="G6329">
        <v>0.94797467393270696</v>
      </c>
      <c r="H6329">
        <v>0.56786147004674004</v>
      </c>
      <c r="I6329">
        <v>0.24839171408545599</v>
      </c>
      <c r="J6329">
        <v>0.341494866880663</v>
      </c>
      <c r="K6329">
        <v>0.31177484762974</v>
      </c>
      <c r="L6329">
        <v>15000</v>
      </c>
      <c r="M6329">
        <v>247.19087421540101</v>
      </c>
      <c r="N6329">
        <v>60.908313563627601</v>
      </c>
      <c r="O6329">
        <v>60.677869622919999</v>
      </c>
      <c r="P6329">
        <v>-0.71235526756546597</v>
      </c>
      <c r="Q6329">
        <v>0.30055334890605501</v>
      </c>
      <c r="R6329">
        <v>0.85009606317092401</v>
      </c>
      <c r="S6329" t="s">
        <v>12781</v>
      </c>
      <c r="T6329" t="s">
        <v>12902</v>
      </c>
      <c r="U6329" t="s">
        <v>12902</v>
      </c>
      <c r="V6329" t="s">
        <v>12902</v>
      </c>
      <c r="W6329" t="s">
        <v>19178</v>
      </c>
      <c r="X6329">
        <v>3</v>
      </c>
      <c r="Y6329" t="s">
        <v>25458</v>
      </c>
      <c r="Z6329" t="s">
        <v>31904</v>
      </c>
      <c r="AA6329">
        <v>0.78282460639652462</v>
      </c>
      <c r="AB6329" t="str">
        <f>HYPERLINK("Melting_Curves/meltCurve_Q9Y448_2_KNSTRN.pdf", "Melting_Curves/meltCurve_Q9Y448_2_KNSTRN.pdf")</f>
        <v>Melting_Curves/meltCurve_Q9Y448_2_KNSTRN.pdf</v>
      </c>
    </row>
    <row r="6330" spans="1:28" x14ac:dyDescent="0.25">
      <c r="A6330" t="s">
        <v>6334</v>
      </c>
      <c r="B6330">
        <v>0.99673306730245903</v>
      </c>
      <c r="C6330">
        <v>0.86438383758165804</v>
      </c>
      <c r="D6330">
        <v>0.83647288590650104</v>
      </c>
      <c r="E6330">
        <v>0.81327207358896603</v>
      </c>
      <c r="F6330">
        <v>0.24509938567131001</v>
      </c>
      <c r="G6330">
        <v>9.7426463169348207E-2</v>
      </c>
      <c r="H6330">
        <v>5.5480464703758003E-2</v>
      </c>
      <c r="I6330">
        <v>4.34566338144078E-2</v>
      </c>
      <c r="J6330">
        <v>3.74777203912008E-2</v>
      </c>
      <c r="K6330">
        <v>3.4837880745994997E-2</v>
      </c>
      <c r="L6330">
        <v>1673.9179715256901</v>
      </c>
      <c r="M6330">
        <v>32.5977478852842</v>
      </c>
      <c r="N6330">
        <v>51.485488620782597</v>
      </c>
      <c r="O6330">
        <v>51.158628719954002</v>
      </c>
      <c r="P6330">
        <v>-0.152784723486138</v>
      </c>
      <c r="Q6330">
        <v>4.0888298243731303E-2</v>
      </c>
      <c r="R6330">
        <v>0.97342736045057399</v>
      </c>
      <c r="S6330" t="s">
        <v>12782</v>
      </c>
      <c r="T6330" t="s">
        <v>12902</v>
      </c>
      <c r="U6330" t="s">
        <v>12902</v>
      </c>
      <c r="V6330" t="s">
        <v>12902</v>
      </c>
      <c r="W6330" t="s">
        <v>19179</v>
      </c>
      <c r="X6330">
        <v>23</v>
      </c>
      <c r="Y6330" t="s">
        <v>25459</v>
      </c>
      <c r="Z6330" t="s">
        <v>31905</v>
      </c>
      <c r="AA6330">
        <v>0.40891172429254802</v>
      </c>
      <c r="AB6330" t="str">
        <f>HYPERLINK("Melting_Curves/meltCurve_Q9Y450_HBS1L.pdf", "Melting_Curves/meltCurve_Q9Y450_HBS1L.pdf")</f>
        <v>Melting_Curves/meltCurve_Q9Y450_HBS1L.pdf</v>
      </c>
    </row>
    <row r="6331" spans="1:28" x14ac:dyDescent="0.25">
      <c r="A6331" t="s">
        <v>6335</v>
      </c>
      <c r="B6331">
        <v>0.99673306730245903</v>
      </c>
      <c r="C6331">
        <v>0.945543045232762</v>
      </c>
      <c r="D6331">
        <v>0.92000454398607701</v>
      </c>
      <c r="E6331">
        <v>0.75809140583395196</v>
      </c>
      <c r="F6331">
        <v>0.37368413647652798</v>
      </c>
      <c r="G6331">
        <v>0.19807798143036201</v>
      </c>
      <c r="H6331">
        <v>9.6865295068896906E-2</v>
      </c>
      <c r="I6331">
        <v>7.5503422757554395E-2</v>
      </c>
      <c r="J6331">
        <v>7.4238219299858299E-2</v>
      </c>
      <c r="K6331">
        <v>4.7014863659120901E-2</v>
      </c>
      <c r="L6331">
        <v>1087.1943933395501</v>
      </c>
      <c r="M6331">
        <v>21.002459525695699</v>
      </c>
      <c r="N6331">
        <v>52.0652429695865</v>
      </c>
      <c r="O6331">
        <v>51.302657542790698</v>
      </c>
      <c r="P6331">
        <v>-9.6513139893906502E-2</v>
      </c>
      <c r="Q6331">
        <v>5.7015637377469501E-2</v>
      </c>
      <c r="R6331">
        <v>0.99737832257597103</v>
      </c>
      <c r="S6331" t="s">
        <v>12783</v>
      </c>
      <c r="T6331" t="s">
        <v>12902</v>
      </c>
      <c r="U6331" t="s">
        <v>12902</v>
      </c>
      <c r="V6331" t="s">
        <v>12902</v>
      </c>
      <c r="W6331" t="s">
        <v>19180</v>
      </c>
      <c r="X6331">
        <v>1</v>
      </c>
      <c r="Y6331" t="s">
        <v>25460</v>
      </c>
      <c r="Z6331" t="s">
        <v>31906</v>
      </c>
      <c r="AA6331">
        <v>0.43877025016259069</v>
      </c>
      <c r="AB6331" t="str">
        <f>HYPERLINK("Melting_Curves/meltCurve_Q9Y478_PRKAB1.pdf", "Melting_Curves/meltCurve_Q9Y478_PRKAB1.pdf")</f>
        <v>Melting_Curves/meltCurve_Q9Y478_PRKAB1.pdf</v>
      </c>
    </row>
    <row r="6332" spans="1:28" x14ac:dyDescent="0.25">
      <c r="A6332" t="s">
        <v>6336</v>
      </c>
      <c r="B6332">
        <v>0.99673306730245903</v>
      </c>
      <c r="C6332">
        <v>0.979353284653806</v>
      </c>
      <c r="D6332">
        <v>0.83600691136902205</v>
      </c>
      <c r="E6332">
        <v>0.68869359975469402</v>
      </c>
      <c r="F6332">
        <v>0.52914106682426898</v>
      </c>
      <c r="G6332">
        <v>0.27820174622215699</v>
      </c>
      <c r="H6332">
        <v>0.19933505351092401</v>
      </c>
      <c r="I6332">
        <v>0.139406623099737</v>
      </c>
      <c r="J6332">
        <v>0.12870568988063999</v>
      </c>
      <c r="K6332">
        <v>9.4391091372149502E-2</v>
      </c>
      <c r="L6332">
        <v>683.23788245628702</v>
      </c>
      <c r="M6332">
        <v>13.036913936230301</v>
      </c>
      <c r="N6332">
        <v>52.960061526868401</v>
      </c>
      <c r="O6332">
        <v>51.220831660865301</v>
      </c>
      <c r="P6332">
        <v>-5.95982186009072E-2</v>
      </c>
      <c r="Q6332">
        <v>6.3540046709192E-2</v>
      </c>
      <c r="R6332">
        <v>0.99541397146702004</v>
      </c>
      <c r="S6332" t="s">
        <v>12784</v>
      </c>
      <c r="T6332" t="s">
        <v>12902</v>
      </c>
      <c r="U6332" t="s">
        <v>12902</v>
      </c>
      <c r="V6332" t="s">
        <v>12902</v>
      </c>
      <c r="W6332" t="s">
        <v>19181</v>
      </c>
      <c r="X6332">
        <v>6</v>
      </c>
      <c r="Y6332" t="s">
        <v>25461</v>
      </c>
      <c r="Z6332" t="s">
        <v>31907</v>
      </c>
      <c r="AA6332">
        <v>0.47594585692678693</v>
      </c>
      <c r="AB6332" t="str">
        <f>HYPERLINK("Melting_Curves/meltCurve_Q9Y487_ATP6V0A2.pdf", "Melting_Curves/meltCurve_Q9Y487_ATP6V0A2.pdf")</f>
        <v>Melting_Curves/meltCurve_Q9Y487_ATP6V0A2.pdf</v>
      </c>
    </row>
    <row r="6333" spans="1:28" x14ac:dyDescent="0.25">
      <c r="A6333" t="s">
        <v>6337</v>
      </c>
      <c r="B6333">
        <v>0.99673306730245903</v>
      </c>
      <c r="C6333">
        <v>0.83388140004880296</v>
      </c>
      <c r="D6333">
        <v>0.904056936304236</v>
      </c>
      <c r="E6333">
        <v>0.55527385813003005</v>
      </c>
      <c r="F6333">
        <v>0.17062908563440399</v>
      </c>
      <c r="G6333">
        <v>0.113326756758973</v>
      </c>
      <c r="H6333">
        <v>7.2896886642554004E-2</v>
      </c>
      <c r="I6333">
        <v>7.3807064632910493E-2</v>
      </c>
      <c r="J6333">
        <v>7.7941251917752793E-2</v>
      </c>
      <c r="K6333">
        <v>6.9932729495472995E-2</v>
      </c>
      <c r="L6333">
        <v>1257.81773853142</v>
      </c>
      <c r="M6333">
        <v>25.360810857473101</v>
      </c>
      <c r="N6333">
        <v>49.8804981718569</v>
      </c>
      <c r="O6333">
        <v>49.291614103391801</v>
      </c>
      <c r="P6333">
        <v>-0.119992363194731</v>
      </c>
      <c r="Q6333">
        <v>6.7136777842711007E-2</v>
      </c>
      <c r="R6333">
        <v>0.982214400715681</v>
      </c>
      <c r="S6333" t="s">
        <v>12785</v>
      </c>
      <c r="T6333" t="s">
        <v>12902</v>
      </c>
      <c r="U6333" t="s">
        <v>12902</v>
      </c>
      <c r="V6333" t="s">
        <v>12902</v>
      </c>
      <c r="W6333" t="s">
        <v>19182</v>
      </c>
      <c r="X6333">
        <v>103</v>
      </c>
      <c r="Y6333" t="s">
        <v>25462</v>
      </c>
      <c r="Z6333" t="s">
        <v>31908</v>
      </c>
      <c r="AA6333">
        <v>0.37362399595349938</v>
      </c>
      <c r="AB6333" t="str">
        <f>HYPERLINK("Melting_Curves/meltCurve_Q9Y490_TLN1.pdf", "Melting_Curves/meltCurve_Q9Y490_TLN1.pdf")</f>
        <v>Melting_Curves/meltCurve_Q9Y490_TLN1.pdf</v>
      </c>
    </row>
    <row r="6334" spans="1:28" x14ac:dyDescent="0.25">
      <c r="A6334" t="s">
        <v>6338</v>
      </c>
      <c r="B6334">
        <v>0.99673306730245903</v>
      </c>
      <c r="C6334">
        <v>0.89558407008741403</v>
      </c>
      <c r="D6334">
        <v>0.97589811458702602</v>
      </c>
      <c r="E6334">
        <v>1.24566317274782</v>
      </c>
      <c r="F6334">
        <v>0.52065308767089902</v>
      </c>
      <c r="G6334">
        <v>0.25146244564071502</v>
      </c>
      <c r="H6334">
        <v>0.141503557491518</v>
      </c>
      <c r="I6334">
        <v>0.114430068056079</v>
      </c>
      <c r="J6334">
        <v>7.9275705516272305E-2</v>
      </c>
      <c r="K6334">
        <v>6.6798703215162902E-2</v>
      </c>
      <c r="L6334">
        <v>7274.5197210173501</v>
      </c>
      <c r="M6334">
        <v>136.94477979305</v>
      </c>
      <c r="N6334">
        <v>53.237838219554</v>
      </c>
      <c r="O6334">
        <v>53.108768813984497</v>
      </c>
      <c r="P6334">
        <v>-0.56041705394112995</v>
      </c>
      <c r="Q6334">
        <v>0.13065515793799701</v>
      </c>
      <c r="R6334">
        <v>0.95028719430879505</v>
      </c>
      <c r="S6334" t="s">
        <v>12786</v>
      </c>
      <c r="T6334" t="s">
        <v>12902</v>
      </c>
      <c r="U6334" t="s">
        <v>12902</v>
      </c>
      <c r="V6334" t="s">
        <v>12902</v>
      </c>
      <c r="W6334" t="s">
        <v>19183</v>
      </c>
      <c r="X6334">
        <v>10</v>
      </c>
      <c r="Y6334" t="s">
        <v>25463</v>
      </c>
      <c r="Z6334" t="s">
        <v>31909</v>
      </c>
      <c r="AA6334">
        <v>0.51112162279830253</v>
      </c>
      <c r="AB6334" t="str">
        <f>HYPERLINK("Melting_Curves/meltCurve_Q9Y4B6_VPRBP.pdf", "Melting_Curves/meltCurve_Q9Y4B6_VPRBP.pdf")</f>
        <v>Melting_Curves/meltCurve_Q9Y4B6_VPRBP.pdf</v>
      </c>
    </row>
    <row r="6335" spans="1:28" x14ac:dyDescent="0.25">
      <c r="A6335" t="s">
        <v>6339</v>
      </c>
      <c r="B6335">
        <v>0.99673306730245903</v>
      </c>
      <c r="C6335">
        <v>0.90212373337997598</v>
      </c>
      <c r="D6335">
        <v>0.71493103525132196</v>
      </c>
      <c r="E6335">
        <v>0.370100696287118</v>
      </c>
      <c r="F6335">
        <v>0.21688252473203701</v>
      </c>
      <c r="G6335">
        <v>0.12564740722231901</v>
      </c>
      <c r="H6335">
        <v>8.3021240743374997E-2</v>
      </c>
      <c r="I6335">
        <v>7.0173204742645795E-2</v>
      </c>
      <c r="J6335">
        <v>7.0323215269460698E-2</v>
      </c>
      <c r="K6335">
        <v>5.9929785397326497E-2</v>
      </c>
      <c r="L6335">
        <v>889.494778655294</v>
      </c>
      <c r="M6335">
        <v>18.557357672756002</v>
      </c>
      <c r="N6335">
        <v>48.304515803506497</v>
      </c>
      <c r="O6335">
        <v>47.385988173603899</v>
      </c>
      <c r="P6335">
        <v>-9.1384808300298104E-2</v>
      </c>
      <c r="Q6335">
        <v>6.6640811402637598E-2</v>
      </c>
      <c r="R6335">
        <v>0.99865056212591696</v>
      </c>
      <c r="S6335" t="s">
        <v>12787</v>
      </c>
      <c r="T6335" t="s">
        <v>12902</v>
      </c>
      <c r="U6335" t="s">
        <v>12902</v>
      </c>
      <c r="V6335" t="s">
        <v>12902</v>
      </c>
      <c r="W6335" t="s">
        <v>19184</v>
      </c>
      <c r="X6335">
        <v>29</v>
      </c>
      <c r="Y6335" t="s">
        <v>25464</v>
      </c>
      <c r="Z6335" t="s">
        <v>31910</v>
      </c>
      <c r="AA6335">
        <v>0.32899200407981638</v>
      </c>
      <c r="AB6335" t="str">
        <f>HYPERLINK("Melting_Curves/meltCurve_Q9Y4C1_KDM3A.pdf", "Melting_Curves/meltCurve_Q9Y4C1_KDM3A.pdf")</f>
        <v>Melting_Curves/meltCurve_Q9Y4C1_KDM3A.pdf</v>
      </c>
    </row>
    <row r="6336" spans="1:28" x14ac:dyDescent="0.25">
      <c r="A6336" t="s">
        <v>6340</v>
      </c>
      <c r="B6336">
        <v>0.99673306730245903</v>
      </c>
      <c r="C6336">
        <v>0.91452274872893002</v>
      </c>
      <c r="D6336">
        <v>0.88186087250574696</v>
      </c>
      <c r="E6336">
        <v>0.71197500867123498</v>
      </c>
      <c r="F6336">
        <v>0.596554322068929</v>
      </c>
      <c r="G6336">
        <v>0.35939139114799501</v>
      </c>
      <c r="H6336">
        <v>0.13819056020658901</v>
      </c>
      <c r="I6336">
        <v>7.7415705750431094E-2</v>
      </c>
      <c r="J6336">
        <v>9.6525813588704795E-2</v>
      </c>
      <c r="K6336">
        <v>3.6191804301865402E-2</v>
      </c>
      <c r="L6336">
        <v>687.80878395259197</v>
      </c>
      <c r="M6336">
        <v>12.784261338613</v>
      </c>
      <c r="N6336">
        <v>53.801213827987901</v>
      </c>
      <c r="O6336">
        <v>52.535778782590199</v>
      </c>
      <c r="P6336">
        <v>-6.0847445544411398E-2</v>
      </c>
      <c r="Q6336">
        <v>0</v>
      </c>
      <c r="R6336">
        <v>0.99054860382669396</v>
      </c>
      <c r="S6336" t="s">
        <v>12788</v>
      </c>
      <c r="T6336" t="s">
        <v>12902</v>
      </c>
      <c r="U6336" t="s">
        <v>12902</v>
      </c>
      <c r="V6336" t="s">
        <v>12902</v>
      </c>
      <c r="W6336" t="s">
        <v>19185</v>
      </c>
      <c r="X6336">
        <v>3</v>
      </c>
      <c r="Y6336" t="s">
        <v>25465</v>
      </c>
      <c r="Z6336" t="s">
        <v>31911</v>
      </c>
      <c r="AA6336">
        <v>0.48500336602164729</v>
      </c>
      <c r="AB6336" t="str">
        <f>HYPERLINK("Melting_Curves/meltCurve_Q9Y4C2_2_FAM115A.pdf", "Melting_Curves/meltCurve_Q9Y4C2_2_FAM115A.pdf")</f>
        <v>Melting_Curves/meltCurve_Q9Y4C2_2_FAM115A.pdf</v>
      </c>
    </row>
    <row r="6337" spans="1:28" x14ac:dyDescent="0.25">
      <c r="A6337" t="s">
        <v>6341</v>
      </c>
      <c r="B6337">
        <v>0.99673306730245903</v>
      </c>
      <c r="C6337">
        <v>0.90633921555658303</v>
      </c>
      <c r="D6337">
        <v>0.94178795576017804</v>
      </c>
      <c r="E6337">
        <v>0.77495684515586205</v>
      </c>
      <c r="F6337">
        <v>0.55884818941486603</v>
      </c>
      <c r="G6337">
        <v>0.39834190297668998</v>
      </c>
      <c r="H6337">
        <v>0.31110550309110702</v>
      </c>
      <c r="I6337">
        <v>0.46511988401679599</v>
      </c>
      <c r="J6337">
        <v>0.73858481099995299</v>
      </c>
      <c r="K6337">
        <v>0.92320093191136599</v>
      </c>
      <c r="L6337">
        <v>2208.1143660624002</v>
      </c>
      <c r="M6337">
        <v>44.692425127279698</v>
      </c>
      <c r="O6337">
        <v>49.308290435737902</v>
      </c>
      <c r="P6337">
        <v>-9.8841582226113098E-2</v>
      </c>
      <c r="Q6337">
        <v>0.56380052889880405</v>
      </c>
      <c r="R6337">
        <v>0.51655421072518204</v>
      </c>
      <c r="S6337" t="s">
        <v>12789</v>
      </c>
      <c r="T6337" t="s">
        <v>12902</v>
      </c>
      <c r="U6337" t="s">
        <v>12902</v>
      </c>
      <c r="V6337" t="s">
        <v>12902</v>
      </c>
      <c r="W6337" t="s">
        <v>19186</v>
      </c>
      <c r="X6337">
        <v>9</v>
      </c>
      <c r="Y6337" t="s">
        <v>25466</v>
      </c>
      <c r="Z6337" t="s">
        <v>31912</v>
      </c>
      <c r="AA6337">
        <v>0.70176848752931831</v>
      </c>
      <c r="AB6337" t="str">
        <f>HYPERLINK("Melting_Curves/meltCurve_Q9Y4E1_2_FAM21C.pdf", "Melting_Curves/meltCurve_Q9Y4E1_2_FAM21C.pdf")</f>
        <v>Melting_Curves/meltCurve_Q9Y4E1_2_FAM21C.pdf</v>
      </c>
    </row>
    <row r="6338" spans="1:28" x14ac:dyDescent="0.25">
      <c r="A6338" t="s">
        <v>6342</v>
      </c>
      <c r="B6338">
        <v>0.99673306730245903</v>
      </c>
      <c r="C6338">
        <v>0.93804700748298597</v>
      </c>
      <c r="D6338">
        <v>0.96739617965201496</v>
      </c>
      <c r="E6338">
        <v>0.83409419467941903</v>
      </c>
      <c r="F6338">
        <v>0.521518453984404</v>
      </c>
      <c r="G6338">
        <v>0.28277025773040998</v>
      </c>
      <c r="H6338">
        <v>0.185658215702484</v>
      </c>
      <c r="I6338">
        <v>9.5901676856431098E-2</v>
      </c>
      <c r="J6338">
        <v>8.6144254423885305E-2</v>
      </c>
      <c r="K6338">
        <v>5.6925466556553499E-2</v>
      </c>
      <c r="L6338">
        <v>993.19200750103505</v>
      </c>
      <c r="M6338">
        <v>18.6334877474042</v>
      </c>
      <c r="N6338">
        <v>53.6958376129881</v>
      </c>
      <c r="O6338">
        <v>52.698933152391398</v>
      </c>
      <c r="P6338">
        <v>-8.2746354494851404E-2</v>
      </c>
      <c r="Q6338">
        <v>6.3952653431370396E-2</v>
      </c>
      <c r="R6338">
        <v>0.99626443617626403</v>
      </c>
      <c r="S6338" t="s">
        <v>12790</v>
      </c>
      <c r="T6338" t="s">
        <v>12902</v>
      </c>
      <c r="U6338" t="s">
        <v>12902</v>
      </c>
      <c r="V6338" t="s">
        <v>12902</v>
      </c>
      <c r="W6338" t="s">
        <v>19187</v>
      </c>
      <c r="X6338">
        <v>1</v>
      </c>
      <c r="Y6338" t="s">
        <v>25467</v>
      </c>
      <c r="Z6338" t="s">
        <v>31913</v>
      </c>
      <c r="AA6338">
        <v>0.49339939244651593</v>
      </c>
      <c r="AB6338" t="str">
        <f>HYPERLINK("Melting_Curves/meltCurve_Q9Y4E6_2_WDR7.pdf", "Melting_Curves/meltCurve_Q9Y4E6_2_WDR7.pdf")</f>
        <v>Melting_Curves/meltCurve_Q9Y4E6_2_WDR7.pdf</v>
      </c>
    </row>
    <row r="6339" spans="1:28" x14ac:dyDescent="0.25">
      <c r="A6339" t="s">
        <v>6343</v>
      </c>
      <c r="B6339">
        <v>0.99673306730245903</v>
      </c>
      <c r="C6339">
        <v>0.91501220443605502</v>
      </c>
      <c r="D6339">
        <v>0.96265136289505504</v>
      </c>
      <c r="E6339">
        <v>0.50509022459247699</v>
      </c>
      <c r="F6339">
        <v>0.169071513440162</v>
      </c>
      <c r="G6339">
        <v>0.11033786679119501</v>
      </c>
      <c r="H6339">
        <v>7.3739879836487707E-2</v>
      </c>
      <c r="I6339">
        <v>5.9713001833751202E-2</v>
      </c>
      <c r="J6339">
        <v>7.1180375155640505E-2</v>
      </c>
      <c r="K6339">
        <v>6.3548573762385402E-2</v>
      </c>
      <c r="L6339">
        <v>1635.76507740278</v>
      </c>
      <c r="M6339">
        <v>33.062585132581397</v>
      </c>
      <c r="N6339">
        <v>49.715042703424103</v>
      </c>
      <c r="O6339">
        <v>49.294866590916698</v>
      </c>
      <c r="P6339">
        <v>-0.15530010075855599</v>
      </c>
      <c r="Q6339">
        <v>7.3821494660232204E-2</v>
      </c>
      <c r="R6339">
        <v>0.99439830806465102</v>
      </c>
      <c r="S6339" t="s">
        <v>12791</v>
      </c>
      <c r="T6339" t="s">
        <v>12902</v>
      </c>
      <c r="U6339" t="s">
        <v>12902</v>
      </c>
      <c r="V6339" t="s">
        <v>12902</v>
      </c>
      <c r="W6339" t="s">
        <v>19188</v>
      </c>
      <c r="X6339">
        <v>18</v>
      </c>
      <c r="Y6339" t="s">
        <v>25468</v>
      </c>
      <c r="Z6339" t="s">
        <v>31914</v>
      </c>
      <c r="AA6339">
        <v>0.37099554401415552</v>
      </c>
      <c r="AB6339" t="str">
        <f>HYPERLINK("Melting_Curves/meltCurve_Q9Y4E8_USP15.pdf", "Melting_Curves/meltCurve_Q9Y4E8_USP15.pdf")</f>
        <v>Melting_Curves/meltCurve_Q9Y4E8_USP15.pdf</v>
      </c>
    </row>
    <row r="6340" spans="1:28" x14ac:dyDescent="0.25">
      <c r="A6340" t="s">
        <v>6344</v>
      </c>
      <c r="B6340">
        <v>0.99673306730245903</v>
      </c>
      <c r="C6340">
        <v>0.91471690916704396</v>
      </c>
      <c r="D6340">
        <v>0.80024513776925299</v>
      </c>
      <c r="E6340">
        <v>0.53699900063862205</v>
      </c>
      <c r="F6340">
        <v>0.427718136164146</v>
      </c>
      <c r="G6340">
        <v>0.29936088343842898</v>
      </c>
      <c r="H6340">
        <v>0.235380682723699</v>
      </c>
      <c r="I6340">
        <v>0.27810349147896002</v>
      </c>
      <c r="J6340">
        <v>0.411436722186652</v>
      </c>
      <c r="K6340">
        <v>0.466011984946193</v>
      </c>
      <c r="L6340">
        <v>1042.68009869966</v>
      </c>
      <c r="M6340">
        <v>21.888317440534198</v>
      </c>
      <c r="N6340">
        <v>50.228454123983802</v>
      </c>
      <c r="O6340">
        <v>47.244106973557898</v>
      </c>
      <c r="P6340">
        <v>-7.6630515826963605E-2</v>
      </c>
      <c r="Q6340">
        <v>0.33841279449177403</v>
      </c>
      <c r="R6340">
        <v>0.93690690394107701</v>
      </c>
      <c r="S6340" t="s">
        <v>12792</v>
      </c>
      <c r="T6340" t="s">
        <v>12902</v>
      </c>
      <c r="U6340" t="s">
        <v>12902</v>
      </c>
      <c r="V6340" t="s">
        <v>12902</v>
      </c>
      <c r="W6340" t="s">
        <v>19189</v>
      </c>
      <c r="X6340">
        <v>4</v>
      </c>
      <c r="Y6340" t="s">
        <v>25469</v>
      </c>
      <c r="Z6340" t="s">
        <v>31915</v>
      </c>
      <c r="AA6340">
        <v>0.51462162141593915</v>
      </c>
      <c r="AB6340" t="str">
        <f>HYPERLINK("Melting_Curves/meltCurve_Q9Y4H2_IRS2.pdf", "Melting_Curves/meltCurve_Q9Y4H2_IRS2.pdf")</f>
        <v>Melting_Curves/meltCurve_Q9Y4H2_IRS2.pdf</v>
      </c>
    </row>
    <row r="6341" spans="1:28" x14ac:dyDescent="0.25">
      <c r="A6341" t="s">
        <v>6345</v>
      </c>
      <c r="B6341">
        <v>0.99673306730245903</v>
      </c>
      <c r="C6341">
        <v>0.85700634207234905</v>
      </c>
      <c r="D6341">
        <v>0.82442724871513395</v>
      </c>
      <c r="E6341">
        <v>0.55744359161733303</v>
      </c>
      <c r="F6341">
        <v>0.42169771773854797</v>
      </c>
      <c r="G6341">
        <v>0.26771976375741702</v>
      </c>
      <c r="H6341">
        <v>0.19858292730716401</v>
      </c>
      <c r="I6341">
        <v>0.232066815265245</v>
      </c>
      <c r="J6341">
        <v>0.31186394726017802</v>
      </c>
      <c r="K6341">
        <v>0.36591311623662098</v>
      </c>
      <c r="L6341">
        <v>857.481481344396</v>
      </c>
      <c r="M6341">
        <v>17.703912155107499</v>
      </c>
      <c r="N6341">
        <v>50.5859587016473</v>
      </c>
      <c r="O6341">
        <v>47.829283946011302</v>
      </c>
      <c r="P6341">
        <v>-6.8063739308233007E-2</v>
      </c>
      <c r="Q6341">
        <v>0.26450867813647699</v>
      </c>
      <c r="R6341">
        <v>0.959675918622242</v>
      </c>
      <c r="S6341" t="s">
        <v>12793</v>
      </c>
      <c r="T6341" t="s">
        <v>12902</v>
      </c>
      <c r="U6341" t="s">
        <v>12902</v>
      </c>
      <c r="V6341" t="s">
        <v>12902</v>
      </c>
      <c r="W6341" t="s">
        <v>19190</v>
      </c>
      <c r="X6341">
        <v>3</v>
      </c>
      <c r="Y6341" t="s">
        <v>25470</v>
      </c>
      <c r="Z6341" t="s">
        <v>31916</v>
      </c>
      <c r="AA6341">
        <v>0.48463400665168788</v>
      </c>
      <c r="AB6341" t="str">
        <f>HYPERLINK("Melting_Curves/meltCurve_Q9Y4K1_AIM1.pdf", "Melting_Curves/meltCurve_Q9Y4K1_AIM1.pdf")</f>
        <v>Melting_Curves/meltCurve_Q9Y4K1_AIM1.pdf</v>
      </c>
    </row>
    <row r="6342" spans="1:28" x14ac:dyDescent="0.25">
      <c r="A6342" t="s">
        <v>6346</v>
      </c>
      <c r="B6342">
        <v>0.99673306730245903</v>
      </c>
      <c r="C6342">
        <v>0.94037879142372804</v>
      </c>
      <c r="D6342">
        <v>0.83825130494628897</v>
      </c>
      <c r="E6342">
        <v>0.79794145312971498</v>
      </c>
      <c r="F6342">
        <v>0.24749494041291001</v>
      </c>
      <c r="G6342">
        <v>0.17375619347228599</v>
      </c>
      <c r="H6342">
        <v>0.100787493357202</v>
      </c>
      <c r="I6342">
        <v>0.11872014314966101</v>
      </c>
      <c r="J6342">
        <v>8.0131489763083499E-2</v>
      </c>
      <c r="K6342">
        <v>8.8575480073157506E-2</v>
      </c>
      <c r="L6342">
        <v>1670.0436743339301</v>
      </c>
      <c r="M6342">
        <v>32.707325989400204</v>
      </c>
      <c r="N6342">
        <v>51.409183794734197</v>
      </c>
      <c r="O6342">
        <v>50.870494151337901</v>
      </c>
      <c r="P6342">
        <v>-0.14473799686043201</v>
      </c>
      <c r="Q6342">
        <v>9.9546161759051899E-2</v>
      </c>
      <c r="R6342">
        <v>0.97968994392478104</v>
      </c>
      <c r="S6342" t="s">
        <v>12794</v>
      </c>
      <c r="T6342" t="s">
        <v>12902</v>
      </c>
      <c r="U6342" t="s">
        <v>12902</v>
      </c>
      <c r="V6342" t="s">
        <v>12902</v>
      </c>
      <c r="W6342" t="s">
        <v>19191</v>
      </c>
      <c r="X6342">
        <v>3</v>
      </c>
      <c r="Y6342" t="s">
        <v>25471</v>
      </c>
      <c r="Z6342" t="s">
        <v>31917</v>
      </c>
      <c r="AA6342">
        <v>0.43628575949697768</v>
      </c>
      <c r="AB6342" t="str">
        <f>HYPERLINK("Melting_Curves/meltCurve_Q9Y4K3_TRAF6.pdf", "Melting_Curves/meltCurve_Q9Y4K3_TRAF6.pdf")</f>
        <v>Melting_Curves/meltCurve_Q9Y4K3_TRAF6.pdf</v>
      </c>
    </row>
    <row r="6343" spans="1:28" x14ac:dyDescent="0.25">
      <c r="A6343" t="s">
        <v>6347</v>
      </c>
      <c r="B6343">
        <v>0.99673306730245903</v>
      </c>
      <c r="C6343">
        <v>0.96027040120431695</v>
      </c>
      <c r="D6343">
        <v>0.90569965703605404</v>
      </c>
      <c r="E6343">
        <v>0.80533776801146495</v>
      </c>
      <c r="F6343">
        <v>0.34034165821460099</v>
      </c>
      <c r="G6343">
        <v>0.17851829436778599</v>
      </c>
      <c r="H6343">
        <v>0.102043495429386</v>
      </c>
      <c r="I6343">
        <v>8.94590395040612E-2</v>
      </c>
      <c r="J6343">
        <v>0.11764891608344499</v>
      </c>
      <c r="K6343">
        <v>0.101813882585536</v>
      </c>
      <c r="L6343">
        <v>1466.1688241852401</v>
      </c>
      <c r="M6343">
        <v>28.4553234641456</v>
      </c>
      <c r="N6343">
        <v>51.9344836450367</v>
      </c>
      <c r="O6343">
        <v>51.272828662150999</v>
      </c>
      <c r="P6343">
        <v>-0.124812594878079</v>
      </c>
      <c r="Q6343">
        <v>0.100422336822102</v>
      </c>
      <c r="R6343">
        <v>0.99460742070636499</v>
      </c>
      <c r="S6343" t="s">
        <v>12795</v>
      </c>
      <c r="T6343" t="s">
        <v>12902</v>
      </c>
      <c r="U6343" t="s">
        <v>12902</v>
      </c>
      <c r="V6343" t="s">
        <v>12902</v>
      </c>
      <c r="W6343" t="s">
        <v>19192</v>
      </c>
      <c r="X6343">
        <v>8</v>
      </c>
      <c r="Y6343" t="s">
        <v>25472</v>
      </c>
      <c r="Z6343" t="s">
        <v>31918</v>
      </c>
      <c r="AA6343">
        <v>0.45235543967926539</v>
      </c>
      <c r="AB6343" t="str">
        <f>HYPERLINK("Melting_Curves/meltCurve_Q9Y4K4_MAP4K5.pdf", "Melting_Curves/meltCurve_Q9Y4K4_MAP4K5.pdf")</f>
        <v>Melting_Curves/meltCurve_Q9Y4K4_MAP4K5.pdf</v>
      </c>
    </row>
    <row r="6344" spans="1:28" x14ac:dyDescent="0.25">
      <c r="A6344" t="s">
        <v>6348</v>
      </c>
      <c r="B6344">
        <v>0.99673306730245903</v>
      </c>
      <c r="C6344">
        <v>0.96760842026966898</v>
      </c>
      <c r="D6344">
        <v>0.860270085612305</v>
      </c>
      <c r="E6344">
        <v>0.72932367986109803</v>
      </c>
      <c r="F6344">
        <v>0.24330651127882799</v>
      </c>
      <c r="G6344">
        <v>0.15172993568884999</v>
      </c>
      <c r="H6344">
        <v>0.116179172919031</v>
      </c>
      <c r="I6344">
        <v>9.9218072626605106E-2</v>
      </c>
      <c r="J6344">
        <v>9.10545797974667E-2</v>
      </c>
      <c r="K6344">
        <v>6.5147524081730301E-2</v>
      </c>
      <c r="L6344">
        <v>1353.5992001566301</v>
      </c>
      <c r="M6344">
        <v>26.690864026335699</v>
      </c>
      <c r="N6344">
        <v>51.078217716194402</v>
      </c>
      <c r="O6344">
        <v>50.431839512557303</v>
      </c>
      <c r="P6344">
        <v>-0.120846215682253</v>
      </c>
      <c r="Q6344">
        <v>8.6663699585350196E-2</v>
      </c>
      <c r="R6344">
        <v>0.99040884882028601</v>
      </c>
      <c r="S6344" t="s">
        <v>12796</v>
      </c>
      <c r="T6344" t="s">
        <v>12902</v>
      </c>
      <c r="U6344" t="s">
        <v>12902</v>
      </c>
      <c r="V6344" t="s">
        <v>12902</v>
      </c>
      <c r="W6344" t="s">
        <v>19193</v>
      </c>
      <c r="X6344">
        <v>66</v>
      </c>
      <c r="Y6344" t="s">
        <v>25473</v>
      </c>
      <c r="Z6344" t="s">
        <v>31919</v>
      </c>
      <c r="AA6344">
        <v>0.42006743236941041</v>
      </c>
      <c r="AB6344" t="str">
        <f>HYPERLINK("Melting_Curves/meltCurve_Q9Y4L1_HYOU1.pdf", "Melting_Curves/meltCurve_Q9Y4L1_HYOU1.pdf")</f>
        <v>Melting_Curves/meltCurve_Q9Y4L1_HYOU1.pdf</v>
      </c>
    </row>
    <row r="6345" spans="1:28" x14ac:dyDescent="0.25">
      <c r="A6345" t="s">
        <v>6349</v>
      </c>
      <c r="B6345">
        <v>0.99673306730245903</v>
      </c>
      <c r="C6345">
        <v>0.95791752757507898</v>
      </c>
      <c r="D6345">
        <v>0.64782190968314801</v>
      </c>
      <c r="E6345">
        <v>0.32254180895658902</v>
      </c>
      <c r="F6345">
        <v>0.25325133500962999</v>
      </c>
      <c r="G6345">
        <v>0.166515256216443</v>
      </c>
      <c r="H6345">
        <v>0.10865645698563001</v>
      </c>
      <c r="I6345">
        <v>0.120731768008333</v>
      </c>
      <c r="J6345">
        <v>0.129915861744582</v>
      </c>
      <c r="K6345">
        <v>0.10718750205465601</v>
      </c>
      <c r="L6345">
        <v>1051.0614503736599</v>
      </c>
      <c r="M6345">
        <v>22.339243609163798</v>
      </c>
      <c r="N6345">
        <v>47.688667145577803</v>
      </c>
      <c r="O6345">
        <v>46.677843858031103</v>
      </c>
      <c r="P6345">
        <v>-0.104179611975397</v>
      </c>
      <c r="Q6345">
        <v>0.129285262397664</v>
      </c>
      <c r="R6345">
        <v>0.99202721857396003</v>
      </c>
      <c r="S6345" t="s">
        <v>12797</v>
      </c>
      <c r="T6345" t="s">
        <v>12902</v>
      </c>
      <c r="U6345" t="s">
        <v>12902</v>
      </c>
      <c r="V6345" t="s">
        <v>12902</v>
      </c>
      <c r="W6345" t="s">
        <v>19194</v>
      </c>
      <c r="X6345">
        <v>7</v>
      </c>
      <c r="Y6345" t="s">
        <v>25474</v>
      </c>
      <c r="Z6345" t="s">
        <v>31920</v>
      </c>
      <c r="AA6345">
        <v>0.34386277165665141</v>
      </c>
      <c r="AB6345" t="str">
        <f>HYPERLINK("Melting_Curves/meltCurve_Q9Y4P1_6_ATG4B.pdf", "Melting_Curves/meltCurve_Q9Y4P1_6_ATG4B.pdf")</f>
        <v>Melting_Curves/meltCurve_Q9Y4P1_6_ATG4B.pdf</v>
      </c>
    </row>
    <row r="6346" spans="1:28" x14ac:dyDescent="0.25">
      <c r="A6346" t="s">
        <v>6350</v>
      </c>
      <c r="B6346">
        <v>0.99673306730245903</v>
      </c>
      <c r="C6346">
        <v>0.95837529643139396</v>
      </c>
      <c r="D6346">
        <v>1.0405903284784099</v>
      </c>
      <c r="E6346">
        <v>0.83076243008949802</v>
      </c>
      <c r="F6346">
        <v>0.42348038235726898</v>
      </c>
      <c r="G6346">
        <v>0.16971992783777601</v>
      </c>
      <c r="H6346">
        <v>9.9301410218460201E-2</v>
      </c>
      <c r="I6346">
        <v>6.3590218749741703E-2</v>
      </c>
      <c r="J6346">
        <v>5.3495070250318001E-2</v>
      </c>
      <c r="K6346">
        <v>4.6369177449417799E-2</v>
      </c>
      <c r="L6346">
        <v>1454.0878549162601</v>
      </c>
      <c r="M6346">
        <v>27.759562159394399</v>
      </c>
      <c r="N6346">
        <v>52.624198581840403</v>
      </c>
      <c r="O6346">
        <v>52.111941989355103</v>
      </c>
      <c r="P6346">
        <v>-0.12517340717775699</v>
      </c>
      <c r="Q6346">
        <v>6.0075787104881997E-2</v>
      </c>
      <c r="R6346">
        <v>0.99644328219215195</v>
      </c>
      <c r="S6346" t="s">
        <v>12798</v>
      </c>
      <c r="T6346" t="s">
        <v>12902</v>
      </c>
      <c r="U6346" t="s">
        <v>12902</v>
      </c>
      <c r="V6346" t="s">
        <v>12902</v>
      </c>
      <c r="W6346" t="s">
        <v>19195</v>
      </c>
      <c r="X6346">
        <v>9</v>
      </c>
      <c r="Y6346" t="s">
        <v>25475</v>
      </c>
      <c r="Z6346" t="s">
        <v>31921</v>
      </c>
      <c r="AA6346">
        <v>0.45503371658038783</v>
      </c>
      <c r="AB6346" t="str">
        <f>HYPERLINK("Melting_Curves/meltCurve_Q9Y4P8_3_WIPI2.pdf", "Melting_Curves/meltCurve_Q9Y4P8_3_WIPI2.pdf")</f>
        <v>Melting_Curves/meltCurve_Q9Y4P8_3_WIPI2.pdf</v>
      </c>
    </row>
    <row r="6347" spans="1:28" x14ac:dyDescent="0.25">
      <c r="A6347" t="s">
        <v>6351</v>
      </c>
      <c r="B6347">
        <v>0.99673306730245903</v>
      </c>
      <c r="C6347">
        <v>0.82828374811078398</v>
      </c>
      <c r="D6347">
        <v>0.54032623841669902</v>
      </c>
      <c r="E6347">
        <v>0.27179384829641001</v>
      </c>
      <c r="F6347">
        <v>0.25203460868815702</v>
      </c>
      <c r="G6347">
        <v>0.15955683209711599</v>
      </c>
      <c r="H6347">
        <v>0.15217404299374901</v>
      </c>
      <c r="I6347">
        <v>0.13123100596496301</v>
      </c>
      <c r="J6347">
        <v>6.9140524285039001E-2</v>
      </c>
      <c r="K6347">
        <v>4.5754972755502103E-2</v>
      </c>
      <c r="L6347">
        <v>842.79812230625896</v>
      </c>
      <c r="M6347">
        <v>18.285710804478999</v>
      </c>
      <c r="N6347">
        <v>46.720151031561699</v>
      </c>
      <c r="O6347">
        <v>45.549902204027902</v>
      </c>
      <c r="P6347">
        <v>-8.9405033558149993E-2</v>
      </c>
      <c r="Q6347">
        <v>0.109205713729755</v>
      </c>
      <c r="R6347">
        <v>0.982999026638669</v>
      </c>
      <c r="S6347" t="s">
        <v>12799</v>
      </c>
      <c r="T6347" t="s">
        <v>12902</v>
      </c>
      <c r="U6347" t="s">
        <v>12902</v>
      </c>
      <c r="V6347" t="s">
        <v>12902</v>
      </c>
      <c r="W6347" t="s">
        <v>19196</v>
      </c>
      <c r="X6347">
        <v>4</v>
      </c>
      <c r="Y6347" t="s">
        <v>25476</v>
      </c>
      <c r="Z6347" t="s">
        <v>31922</v>
      </c>
      <c r="AA6347">
        <v>0.30681977713941933</v>
      </c>
      <c r="AB6347" t="str">
        <f>HYPERLINK("Melting_Curves/meltCurve_Q9Y4R8_TELO2.pdf", "Melting_Curves/meltCurve_Q9Y4R8_TELO2.pdf")</f>
        <v>Melting_Curves/meltCurve_Q9Y4R8_TELO2.pdf</v>
      </c>
    </row>
    <row r="6348" spans="1:28" x14ac:dyDescent="0.25">
      <c r="A6348" t="s">
        <v>6352</v>
      </c>
      <c r="B6348">
        <v>0.99673306730245903</v>
      </c>
      <c r="C6348">
        <v>0.93022501324645601</v>
      </c>
      <c r="D6348">
        <v>0.64759217622185505</v>
      </c>
      <c r="E6348">
        <v>0.41509180352395902</v>
      </c>
      <c r="F6348">
        <v>0.19202569703595901</v>
      </c>
      <c r="G6348">
        <v>0.176433649956246</v>
      </c>
      <c r="H6348">
        <v>0.115022901242435</v>
      </c>
      <c r="I6348">
        <v>0.117677319333265</v>
      </c>
      <c r="J6348">
        <v>0.14497950275194399</v>
      </c>
      <c r="K6348">
        <v>0.14282003071492599</v>
      </c>
      <c r="L6348">
        <v>940.10458033210602</v>
      </c>
      <c r="M6348">
        <v>19.8600252930325</v>
      </c>
      <c r="N6348">
        <v>48.052662903017499</v>
      </c>
      <c r="O6348">
        <v>46.8644228669475</v>
      </c>
      <c r="P6348">
        <v>-9.2375910098979594E-2</v>
      </c>
      <c r="Q6348">
        <v>0.128098021969973</v>
      </c>
      <c r="R6348">
        <v>0.99437024779494598</v>
      </c>
      <c r="S6348" t="s">
        <v>12800</v>
      </c>
      <c r="T6348" t="s">
        <v>12902</v>
      </c>
      <c r="U6348" t="s">
        <v>12902</v>
      </c>
      <c r="V6348" t="s">
        <v>12902</v>
      </c>
      <c r="W6348" t="s">
        <v>19197</v>
      </c>
      <c r="X6348">
        <v>2</v>
      </c>
      <c r="Y6348" t="s">
        <v>25477</v>
      </c>
      <c r="Z6348" t="s">
        <v>31923</v>
      </c>
      <c r="AA6348">
        <v>0.35412592893634431</v>
      </c>
      <c r="AB6348" t="str">
        <f>HYPERLINK("Melting_Curves/meltCurve_Q9Y4U1_MMACHC.pdf", "Melting_Curves/meltCurve_Q9Y4U1_MMACHC.pdf")</f>
        <v>Melting_Curves/meltCurve_Q9Y4U1_MMACHC.pdf</v>
      </c>
    </row>
    <row r="6349" spans="1:28" x14ac:dyDescent="0.25">
      <c r="A6349" t="s">
        <v>6353</v>
      </c>
      <c r="B6349">
        <v>0.99673306730245903</v>
      </c>
      <c r="C6349">
        <v>0.94559935174975995</v>
      </c>
      <c r="D6349">
        <v>0.86719026955892997</v>
      </c>
      <c r="E6349">
        <v>0.75929555897235501</v>
      </c>
      <c r="F6349">
        <v>0.52473374489593805</v>
      </c>
      <c r="G6349">
        <v>0.29585112169813299</v>
      </c>
      <c r="H6349">
        <v>8.7277541193504907E-2</v>
      </c>
      <c r="I6349">
        <v>7.4666043057984494E-2</v>
      </c>
      <c r="J6349">
        <v>8.0136938655466894E-2</v>
      </c>
      <c r="K6349">
        <v>7.2360544394862295E-2</v>
      </c>
      <c r="L6349">
        <v>793.966483315917</v>
      </c>
      <c r="M6349">
        <v>14.957220644102501</v>
      </c>
      <c r="N6349">
        <v>53.215494022680502</v>
      </c>
      <c r="O6349">
        <v>52.160739294562497</v>
      </c>
      <c r="P6349">
        <v>-7.0380183184048206E-2</v>
      </c>
      <c r="Q6349">
        <v>1.8345066334297701E-2</v>
      </c>
      <c r="R6349">
        <v>0.99396817852297903</v>
      </c>
      <c r="S6349" t="s">
        <v>12801</v>
      </c>
      <c r="T6349" t="s">
        <v>12902</v>
      </c>
      <c r="U6349" t="s">
        <v>12902</v>
      </c>
      <c r="V6349" t="s">
        <v>12902</v>
      </c>
      <c r="W6349" t="s">
        <v>19198</v>
      </c>
      <c r="X6349">
        <v>36</v>
      </c>
      <c r="Y6349" t="s">
        <v>25478</v>
      </c>
      <c r="Z6349" t="s">
        <v>31924</v>
      </c>
      <c r="AA6349">
        <v>0.46756095670386189</v>
      </c>
      <c r="AB6349" t="str">
        <f>HYPERLINK("Melting_Curves/meltCurve_Q9Y4W6_AFG3L2.pdf", "Melting_Curves/meltCurve_Q9Y4W6_AFG3L2.pdf")</f>
        <v>Melting_Curves/meltCurve_Q9Y4W6_AFG3L2.pdf</v>
      </c>
    </row>
    <row r="6350" spans="1:28" x14ac:dyDescent="0.25">
      <c r="A6350" t="s">
        <v>6354</v>
      </c>
      <c r="B6350">
        <v>0.99673306730245903</v>
      </c>
      <c r="C6350">
        <v>0.935548185649408</v>
      </c>
      <c r="D6350">
        <v>0.75900331188824099</v>
      </c>
      <c r="E6350">
        <v>0.60077329865259799</v>
      </c>
      <c r="F6350">
        <v>0.37189454203460298</v>
      </c>
      <c r="G6350">
        <v>0.26728208092404898</v>
      </c>
      <c r="H6350">
        <v>0.17595064191136101</v>
      </c>
      <c r="I6350">
        <v>0.15685048113484401</v>
      </c>
      <c r="J6350">
        <v>0.20943886683587801</v>
      </c>
      <c r="K6350">
        <v>0.195686702770728</v>
      </c>
      <c r="L6350">
        <v>755.73388809158496</v>
      </c>
      <c r="M6350">
        <v>15.2922839985116</v>
      </c>
      <c r="N6350">
        <v>50.734034600357901</v>
      </c>
      <c r="O6350">
        <v>48.597330871044399</v>
      </c>
      <c r="P6350">
        <v>-6.5804855585361394E-2</v>
      </c>
      <c r="Q6350">
        <v>0.16359374676368399</v>
      </c>
      <c r="R6350">
        <v>0.99339932256386798</v>
      </c>
      <c r="S6350" t="s">
        <v>12802</v>
      </c>
      <c r="T6350" t="s">
        <v>12902</v>
      </c>
      <c r="U6350" t="s">
        <v>12902</v>
      </c>
      <c r="V6350" t="s">
        <v>12902</v>
      </c>
      <c r="W6350" t="s">
        <v>19199</v>
      </c>
      <c r="X6350">
        <v>2</v>
      </c>
      <c r="Y6350" t="s">
        <v>25479</v>
      </c>
      <c r="Z6350" t="s">
        <v>31925</v>
      </c>
      <c r="AA6350">
        <v>0.44582967629643411</v>
      </c>
      <c r="AB6350" t="str">
        <f>HYPERLINK("Melting_Curves/meltCurve_Q9Y4X0_4_AMMECR1.pdf", "Melting_Curves/meltCurve_Q9Y4X0_4_AMMECR1.pdf")</f>
        <v>Melting_Curves/meltCurve_Q9Y4X0_4_AMMECR1.pdf</v>
      </c>
    </row>
    <row r="6351" spans="1:28" x14ac:dyDescent="0.25">
      <c r="A6351" t="s">
        <v>6355</v>
      </c>
      <c r="B6351">
        <v>0.99673306730245903</v>
      </c>
      <c r="C6351">
        <v>1.01828477726181</v>
      </c>
      <c r="D6351">
        <v>1.0101514158292499</v>
      </c>
      <c r="E6351">
        <v>0.96023128675645897</v>
      </c>
      <c r="F6351">
        <v>0.87246336162525095</v>
      </c>
      <c r="G6351">
        <v>0.57857370244189499</v>
      </c>
      <c r="H6351">
        <v>0.18070815204650101</v>
      </c>
      <c r="I6351">
        <v>0.122910871670729</v>
      </c>
      <c r="J6351">
        <v>0.131968401264389</v>
      </c>
      <c r="K6351">
        <v>0.124096799528228</v>
      </c>
      <c r="L6351">
        <v>1733.6070699279701</v>
      </c>
      <c r="M6351">
        <v>30.526038228604701</v>
      </c>
      <c r="N6351">
        <v>57.244284724332502</v>
      </c>
      <c r="O6351">
        <v>56.549042767419401</v>
      </c>
      <c r="P6351">
        <v>-0.120468361143584</v>
      </c>
      <c r="Q6351">
        <v>0.107341877831563</v>
      </c>
      <c r="R6351">
        <v>0.99721099158292004</v>
      </c>
      <c r="S6351" t="s">
        <v>12803</v>
      </c>
      <c r="T6351" t="s">
        <v>12902</v>
      </c>
      <c r="U6351" t="s">
        <v>12902</v>
      </c>
      <c r="V6351" t="s">
        <v>12902</v>
      </c>
      <c r="W6351" t="s">
        <v>19200</v>
      </c>
      <c r="X6351">
        <v>12</v>
      </c>
      <c r="Y6351" t="s">
        <v>25480</v>
      </c>
      <c r="Z6351" t="s">
        <v>31926</v>
      </c>
      <c r="AA6351">
        <v>0.61273402528305521</v>
      </c>
      <c r="AB6351" t="str">
        <f>HYPERLINK("Melting_Curves/meltCurve_Q9Y4X5_ARIH1.pdf", "Melting_Curves/meltCurve_Q9Y4X5_ARIH1.pdf")</f>
        <v>Melting_Curves/meltCurve_Q9Y4X5_ARIH1.pdf</v>
      </c>
    </row>
    <row r="6352" spans="1:28" x14ac:dyDescent="0.25">
      <c r="A6352" t="s">
        <v>6356</v>
      </c>
      <c r="B6352">
        <v>0.99673306730245903</v>
      </c>
      <c r="C6352">
        <v>0.99661125059729405</v>
      </c>
      <c r="D6352">
        <v>1.0924895977373299</v>
      </c>
      <c r="E6352">
        <v>1.22459931963748</v>
      </c>
      <c r="F6352">
        <v>1.2196000394847499</v>
      </c>
      <c r="G6352">
        <v>0.99221148013073701</v>
      </c>
      <c r="H6352">
        <v>0.88969311179828903</v>
      </c>
      <c r="I6352">
        <v>1.1339375544491801</v>
      </c>
      <c r="J6352">
        <v>1.2864820001480499</v>
      </c>
      <c r="K6352">
        <v>1.0761017959085299</v>
      </c>
      <c r="L6352">
        <v>11439.8715655628</v>
      </c>
      <c r="M6352">
        <v>250</v>
      </c>
      <c r="O6352">
        <v>45.756557973958202</v>
      </c>
      <c r="P6352">
        <v>0.160520429456561</v>
      </c>
      <c r="Q6352">
        <v>1.1175177972058701</v>
      </c>
      <c r="R6352">
        <v>0.159006936264346</v>
      </c>
      <c r="S6352" t="s">
        <v>12804</v>
      </c>
      <c r="T6352" t="s">
        <v>12902</v>
      </c>
      <c r="U6352" t="s">
        <v>12902</v>
      </c>
      <c r="V6352" t="s">
        <v>12902</v>
      </c>
      <c r="W6352" t="s">
        <v>19201</v>
      </c>
      <c r="X6352">
        <v>10</v>
      </c>
      <c r="Y6352" t="s">
        <v>25481</v>
      </c>
      <c r="Z6352" t="s">
        <v>31927</v>
      </c>
      <c r="AA6352">
        <v>1.094946955063004</v>
      </c>
      <c r="AB6352" t="str">
        <f>HYPERLINK("Melting_Curves/meltCurve_Q9Y4Z0_LSM4.pdf", "Melting_Curves/meltCurve_Q9Y4Z0_LSM4.pdf")</f>
        <v>Melting_Curves/meltCurve_Q9Y4Z0_LSM4.pdf</v>
      </c>
    </row>
    <row r="6353" spans="1:28" x14ac:dyDescent="0.25">
      <c r="A6353" t="s">
        <v>6357</v>
      </c>
      <c r="B6353">
        <v>0.99673306730245903</v>
      </c>
      <c r="C6353">
        <v>1.01350360322217</v>
      </c>
      <c r="D6353">
        <v>0.95580518007403503</v>
      </c>
      <c r="E6353">
        <v>0.78868593271137699</v>
      </c>
      <c r="F6353">
        <v>0.53756756704549202</v>
      </c>
      <c r="G6353">
        <v>0.33567146632262201</v>
      </c>
      <c r="H6353">
        <v>0.185334554094157</v>
      </c>
      <c r="I6353">
        <v>0.14424390649289101</v>
      </c>
      <c r="J6353">
        <v>0.16594355063906299</v>
      </c>
      <c r="K6353">
        <v>0.15944560836497301</v>
      </c>
      <c r="L6353">
        <v>993.09758466363405</v>
      </c>
      <c r="M6353">
        <v>18.816449700174999</v>
      </c>
      <c r="N6353">
        <v>53.693711862828998</v>
      </c>
      <c r="O6353">
        <v>52.192884421355402</v>
      </c>
      <c r="P6353">
        <v>-7.7764052015122695E-2</v>
      </c>
      <c r="Q6353">
        <v>0.137231064393281</v>
      </c>
      <c r="R6353">
        <v>0.99810251643341397</v>
      </c>
      <c r="S6353" t="s">
        <v>12805</v>
      </c>
      <c r="T6353" t="s">
        <v>12902</v>
      </c>
      <c r="U6353" t="s">
        <v>12902</v>
      </c>
      <c r="V6353" t="s">
        <v>12902</v>
      </c>
      <c r="W6353" t="s">
        <v>19202</v>
      </c>
      <c r="X6353">
        <v>8</v>
      </c>
      <c r="Y6353" t="s">
        <v>25482</v>
      </c>
      <c r="Z6353" t="s">
        <v>31928</v>
      </c>
      <c r="AA6353">
        <v>0.51790259324838539</v>
      </c>
      <c r="AB6353" t="str">
        <f>HYPERLINK("Melting_Curves/meltCurve_Q9Y508_RNF114.pdf", "Melting_Curves/meltCurve_Q9Y508_RNF114.pdf")</f>
        <v>Melting_Curves/meltCurve_Q9Y508_RNF114.pdf</v>
      </c>
    </row>
    <row r="6354" spans="1:28" x14ac:dyDescent="0.25">
      <c r="A6354" t="s">
        <v>6358</v>
      </c>
      <c r="B6354">
        <v>0.99673306730245903</v>
      </c>
      <c r="C6354">
        <v>1.01473688650878</v>
      </c>
      <c r="D6354">
        <v>0.91869508495966401</v>
      </c>
      <c r="E6354">
        <v>0.777228689162758</v>
      </c>
      <c r="F6354">
        <v>0.51253496747023297</v>
      </c>
      <c r="G6354">
        <v>0.34222692419394701</v>
      </c>
      <c r="H6354">
        <v>0.219696438976277</v>
      </c>
      <c r="I6354">
        <v>0.21810995723333701</v>
      </c>
      <c r="J6354">
        <v>0.23319385226652301</v>
      </c>
      <c r="K6354">
        <v>0.19371335726494701</v>
      </c>
      <c r="L6354">
        <v>990.29251811965298</v>
      </c>
      <c r="M6354">
        <v>19.0387704043452</v>
      </c>
      <c r="N6354">
        <v>53.417742365710502</v>
      </c>
      <c r="O6354">
        <v>51.450866692650699</v>
      </c>
      <c r="P6354">
        <v>-7.4309049928550697E-2</v>
      </c>
      <c r="Q6354">
        <v>0.196772966593875</v>
      </c>
      <c r="R6354">
        <v>0.99750732577263301</v>
      </c>
      <c r="S6354" t="s">
        <v>12806</v>
      </c>
      <c r="T6354" t="s">
        <v>12902</v>
      </c>
      <c r="U6354" t="s">
        <v>12902</v>
      </c>
      <c r="V6354" t="s">
        <v>12902</v>
      </c>
      <c r="W6354" t="s">
        <v>19203</v>
      </c>
      <c r="X6354">
        <v>12</v>
      </c>
      <c r="Y6354" t="s">
        <v>25483</v>
      </c>
      <c r="Z6354" t="s">
        <v>31929</v>
      </c>
      <c r="AA6354">
        <v>0.53058112201407515</v>
      </c>
      <c r="AB6354" t="str">
        <f>HYPERLINK("Melting_Curves/meltCurve_Q9Y512_SAMM50.pdf", "Melting_Curves/meltCurve_Q9Y512_SAMM50.pdf")</f>
        <v>Melting_Curves/meltCurve_Q9Y512_SAMM50.pdf</v>
      </c>
    </row>
    <row r="6355" spans="1:28" x14ac:dyDescent="0.25">
      <c r="A6355" t="s">
        <v>6359</v>
      </c>
      <c r="B6355">
        <v>0.99673306730245903</v>
      </c>
      <c r="C6355">
        <v>0.89507197526770499</v>
      </c>
      <c r="D6355">
        <v>0.92740208324704698</v>
      </c>
      <c r="E6355">
        <v>0.933386169840424</v>
      </c>
      <c r="F6355">
        <v>0.74158112467525195</v>
      </c>
      <c r="G6355">
        <v>0.55669281419171401</v>
      </c>
      <c r="H6355">
        <v>0.48164243200696899</v>
      </c>
      <c r="I6355">
        <v>0.62380044024009296</v>
      </c>
      <c r="J6355">
        <v>0.942037239134079</v>
      </c>
      <c r="K6355">
        <v>1.10639441262814</v>
      </c>
      <c r="L6355">
        <v>4339.4988712694203</v>
      </c>
      <c r="M6355">
        <v>86.438359866589195</v>
      </c>
      <c r="O6355">
        <v>50.176524941732303</v>
      </c>
      <c r="P6355">
        <v>-0.11123993430076801</v>
      </c>
      <c r="Q6355">
        <v>0.74170567843855795</v>
      </c>
      <c r="R6355">
        <v>0.21067484982232901</v>
      </c>
      <c r="S6355" t="s">
        <v>12807</v>
      </c>
      <c r="T6355" t="s">
        <v>12902</v>
      </c>
      <c r="U6355" t="s">
        <v>12902</v>
      </c>
      <c r="V6355" t="s">
        <v>12902</v>
      </c>
      <c r="W6355" t="s">
        <v>19204</v>
      </c>
      <c r="X6355">
        <v>65</v>
      </c>
      <c r="Y6355" t="s">
        <v>19722</v>
      </c>
      <c r="Z6355" t="s">
        <v>31930</v>
      </c>
      <c r="AA6355">
        <v>0.82974562977410948</v>
      </c>
      <c r="AB6355" t="str">
        <f>HYPERLINK("Melting_Curves/meltCurve_Q9Y520_7_PRRC2C.pdf", "Melting_Curves/meltCurve_Q9Y520_7_PRRC2C.pdf")</f>
        <v>Melting_Curves/meltCurve_Q9Y520_7_PRRC2C.pdf</v>
      </c>
    </row>
    <row r="6356" spans="1:28" x14ac:dyDescent="0.25">
      <c r="A6356" t="s">
        <v>6360</v>
      </c>
      <c r="B6356">
        <v>0.99673306730245903</v>
      </c>
      <c r="C6356">
        <v>0.997560236379615</v>
      </c>
      <c r="D6356">
        <v>0.98797216901017304</v>
      </c>
      <c r="E6356">
        <v>0.94791379391701203</v>
      </c>
      <c r="F6356">
        <v>0.47098537972399102</v>
      </c>
      <c r="G6356">
        <v>0.15795455533253999</v>
      </c>
      <c r="H6356">
        <v>9.2036609144507495E-2</v>
      </c>
      <c r="I6356">
        <v>7.8160344196022496E-2</v>
      </c>
      <c r="J6356">
        <v>7.3453162654895904E-2</v>
      </c>
      <c r="K6356">
        <v>6.0768570392046202E-2</v>
      </c>
      <c r="L6356">
        <v>2022.8204873663601</v>
      </c>
      <c r="M6356">
        <v>38.2755293962339</v>
      </c>
      <c r="N6356">
        <v>53.083401347566102</v>
      </c>
      <c r="O6356">
        <v>52.705281723857297</v>
      </c>
      <c r="P6356">
        <v>-0.167434494258075</v>
      </c>
      <c r="Q6356">
        <v>7.7775253213949902E-2</v>
      </c>
      <c r="R6356">
        <v>0.99927644035390695</v>
      </c>
      <c r="S6356" t="s">
        <v>12808</v>
      </c>
      <c r="T6356" t="s">
        <v>12902</v>
      </c>
      <c r="U6356" t="s">
        <v>12902</v>
      </c>
      <c r="V6356" t="s">
        <v>12902</v>
      </c>
      <c r="W6356" t="s">
        <v>19205</v>
      </c>
      <c r="X6356">
        <v>16</v>
      </c>
      <c r="Y6356" t="s">
        <v>25484</v>
      </c>
      <c r="Z6356" t="s">
        <v>31931</v>
      </c>
      <c r="AA6356">
        <v>0.47643850155449818</v>
      </c>
      <c r="AB6356" t="str">
        <f>HYPERLINK("Melting_Curves/meltCurve_Q9Y570_PPME1.pdf", "Melting_Curves/meltCurve_Q9Y570_PPME1.pdf")</f>
        <v>Melting_Curves/meltCurve_Q9Y570_PPME1.pdf</v>
      </c>
    </row>
    <row r="6357" spans="1:28" x14ac:dyDescent="0.25">
      <c r="A6357" t="s">
        <v>6361</v>
      </c>
      <c r="B6357">
        <v>0.99673306730245903</v>
      </c>
      <c r="C6357">
        <v>0.90243503586557905</v>
      </c>
      <c r="D6357">
        <v>0.90999849271225697</v>
      </c>
      <c r="E6357">
        <v>0.78889983456680601</v>
      </c>
      <c r="F6357">
        <v>0.756148906053416</v>
      </c>
      <c r="G6357">
        <v>0.65795079047953597</v>
      </c>
      <c r="H6357">
        <v>0.67853965506841796</v>
      </c>
      <c r="I6357">
        <v>0.93443630166557101</v>
      </c>
      <c r="J6357">
        <v>1.0034456671360099</v>
      </c>
      <c r="K6357">
        <v>1.1288479891848999</v>
      </c>
      <c r="L6357">
        <v>1398.9584745257901</v>
      </c>
      <c r="M6357">
        <v>32.8871053955706</v>
      </c>
      <c r="O6357">
        <v>42.381870712849</v>
      </c>
      <c r="P6357">
        <v>-2.8231749163440598E-2</v>
      </c>
      <c r="Q6357">
        <v>0.85447082993743095</v>
      </c>
      <c r="R6357">
        <v>8.8851303430813794E-2</v>
      </c>
      <c r="S6357" t="s">
        <v>12809</v>
      </c>
      <c r="T6357" t="s">
        <v>12902</v>
      </c>
      <c r="U6357" t="s">
        <v>12902</v>
      </c>
      <c r="V6357" t="s">
        <v>12902</v>
      </c>
      <c r="W6357" t="s">
        <v>19206</v>
      </c>
      <c r="X6357">
        <v>4</v>
      </c>
      <c r="Y6357" t="s">
        <v>25485</v>
      </c>
      <c r="Z6357" t="s">
        <v>31932</v>
      </c>
      <c r="AA6357">
        <v>0.86803318819686259</v>
      </c>
      <c r="AB6357" t="str">
        <f>HYPERLINK("Melting_Curves/meltCurve_Q9Y584_TIMM22.pdf", "Melting_Curves/meltCurve_Q9Y584_TIMM22.pdf")</f>
        <v>Melting_Curves/meltCurve_Q9Y584_TIMM22.pdf</v>
      </c>
    </row>
    <row r="6358" spans="1:28" x14ac:dyDescent="0.25">
      <c r="A6358" t="s">
        <v>6362</v>
      </c>
      <c r="B6358">
        <v>0.99673306730245903</v>
      </c>
      <c r="C6358">
        <v>0.93835138430807097</v>
      </c>
      <c r="D6358">
        <v>0.886668534161422</v>
      </c>
      <c r="E6358">
        <v>0.86430969829095605</v>
      </c>
      <c r="F6358">
        <v>0.72025031208855395</v>
      </c>
      <c r="G6358">
        <v>0.53015676761278996</v>
      </c>
      <c r="H6358">
        <v>0.57986094860356296</v>
      </c>
      <c r="I6358">
        <v>0.61012382547063004</v>
      </c>
      <c r="J6358">
        <v>0.822102189899661</v>
      </c>
      <c r="K6358">
        <v>0.63140010774385802</v>
      </c>
      <c r="L6358">
        <v>1019.12343287606</v>
      </c>
      <c r="M6358">
        <v>20.671680078829699</v>
      </c>
      <c r="O6358">
        <v>48.8460535006162</v>
      </c>
      <c r="P6358">
        <v>-3.8462005451970802E-2</v>
      </c>
      <c r="Q6358">
        <v>0.63647591542634696</v>
      </c>
      <c r="R6358">
        <v>0.74125366903845702</v>
      </c>
      <c r="S6358" t="s">
        <v>12810</v>
      </c>
      <c r="T6358" t="s">
        <v>12902</v>
      </c>
      <c r="U6358" t="s">
        <v>12902</v>
      </c>
      <c r="V6358" t="s">
        <v>12902</v>
      </c>
      <c r="W6358" t="s">
        <v>19207</v>
      </c>
      <c r="X6358">
        <v>2</v>
      </c>
      <c r="Y6358" t="s">
        <v>25486</v>
      </c>
      <c r="Z6358" t="s">
        <v>31933</v>
      </c>
      <c r="AA6358">
        <v>0.75392688725086587</v>
      </c>
      <c r="AB6358" t="str">
        <f>HYPERLINK("Melting_Curves/meltCurve_Q9Y597_2_KCTD3.pdf", "Melting_Curves/meltCurve_Q9Y597_2_KCTD3.pdf")</f>
        <v>Melting_Curves/meltCurve_Q9Y597_2_KCTD3.pdf</v>
      </c>
    </row>
    <row r="6359" spans="1:28" x14ac:dyDescent="0.25">
      <c r="A6359" t="s">
        <v>6363</v>
      </c>
      <c r="B6359">
        <v>0.99673306730245903</v>
      </c>
      <c r="C6359">
        <v>0.90065743323288805</v>
      </c>
      <c r="D6359">
        <v>0.83985286661185099</v>
      </c>
      <c r="E6359">
        <v>0.71444326163018401</v>
      </c>
      <c r="F6359">
        <v>0.31732407444180399</v>
      </c>
      <c r="G6359">
        <v>0.22312762916144799</v>
      </c>
      <c r="H6359">
        <v>0.129203852752514</v>
      </c>
      <c r="I6359">
        <v>0.156479984710996</v>
      </c>
      <c r="J6359">
        <v>0.19766543103804099</v>
      </c>
      <c r="K6359">
        <v>0.19547090063528</v>
      </c>
      <c r="L6359">
        <v>1051.10603764387</v>
      </c>
      <c r="M6359">
        <v>20.8876378206343</v>
      </c>
      <c r="N6359">
        <v>51.240925722521602</v>
      </c>
      <c r="O6359">
        <v>49.867488922966103</v>
      </c>
      <c r="P6359">
        <v>-8.8358837088580305E-2</v>
      </c>
      <c r="Q6359">
        <v>0.15622578145890401</v>
      </c>
      <c r="R6359">
        <v>0.98041176619058201</v>
      </c>
      <c r="S6359" t="s">
        <v>12811</v>
      </c>
      <c r="T6359" t="s">
        <v>12902</v>
      </c>
      <c r="U6359" t="s">
        <v>12902</v>
      </c>
      <c r="V6359" t="s">
        <v>12902</v>
      </c>
      <c r="W6359" t="s">
        <v>19208</v>
      </c>
      <c r="X6359">
        <v>8</v>
      </c>
      <c r="Y6359" t="s">
        <v>25487</v>
      </c>
      <c r="Z6359" t="s">
        <v>31934</v>
      </c>
      <c r="AA6359">
        <v>0.45732617278674298</v>
      </c>
      <c r="AB6359" t="str">
        <f>HYPERLINK("Melting_Curves/meltCurve_Q9Y5A9_2_YTHDF2.pdf", "Melting_Curves/meltCurve_Q9Y5A9_2_YTHDF2.pdf")</f>
        <v>Melting_Curves/meltCurve_Q9Y5A9_2_YTHDF2.pdf</v>
      </c>
    </row>
    <row r="6360" spans="1:28" x14ac:dyDescent="0.25">
      <c r="A6360" t="s">
        <v>6364</v>
      </c>
      <c r="B6360">
        <v>0.99673306730245903</v>
      </c>
      <c r="C6360">
        <v>0.90164688924500502</v>
      </c>
      <c r="D6360">
        <v>0.61058852235787597</v>
      </c>
      <c r="E6360">
        <v>0.309303243174335</v>
      </c>
      <c r="F6360">
        <v>0.212318900050225</v>
      </c>
      <c r="G6360">
        <v>0.12219764212523999</v>
      </c>
      <c r="H6360">
        <v>9.3675649278086498E-2</v>
      </c>
      <c r="I6360">
        <v>8.9045267933476599E-2</v>
      </c>
      <c r="J6360">
        <v>4.78591205995803E-2</v>
      </c>
      <c r="K6360">
        <v>4.3848814716982598E-2</v>
      </c>
      <c r="L6360">
        <v>887.71038721477396</v>
      </c>
      <c r="M6360">
        <v>18.866244818895201</v>
      </c>
      <c r="N6360">
        <v>47.444535595008396</v>
      </c>
      <c r="O6360">
        <v>46.533754685828399</v>
      </c>
      <c r="P6360">
        <v>-9.4052050864410597E-2</v>
      </c>
      <c r="Q6360">
        <v>7.2117272907749205E-2</v>
      </c>
      <c r="R6360">
        <v>0.99419133635144297</v>
      </c>
      <c r="S6360" t="s">
        <v>12812</v>
      </c>
      <c r="T6360" t="s">
        <v>12902</v>
      </c>
      <c r="U6360" t="s">
        <v>12902</v>
      </c>
      <c r="V6360" t="s">
        <v>12902</v>
      </c>
      <c r="W6360" t="s">
        <v>19209</v>
      </c>
      <c r="X6360">
        <v>11</v>
      </c>
      <c r="Y6360" t="s">
        <v>25488</v>
      </c>
      <c r="Z6360" t="s">
        <v>31935</v>
      </c>
      <c r="AA6360">
        <v>0.30566858571356109</v>
      </c>
      <c r="AB6360" t="str">
        <f>HYPERLINK("Melting_Curves/meltCurve_Q9Y5B0_CTDP1.pdf", "Melting_Curves/meltCurve_Q9Y5B0_CTDP1.pdf")</f>
        <v>Melting_Curves/meltCurve_Q9Y5B0_CTDP1.pdf</v>
      </c>
    </row>
    <row r="6361" spans="1:28" x14ac:dyDescent="0.25">
      <c r="A6361" t="s">
        <v>6365</v>
      </c>
      <c r="B6361">
        <v>0.99673306730245903</v>
      </c>
      <c r="C6361">
        <v>0.87452619941877696</v>
      </c>
      <c r="D6361">
        <v>0.64265228033830701</v>
      </c>
      <c r="E6361">
        <v>0.28123716426779299</v>
      </c>
      <c r="F6361">
        <v>0.20466289480462399</v>
      </c>
      <c r="G6361">
        <v>0.13780832822021899</v>
      </c>
      <c r="H6361">
        <v>0.1182994958428</v>
      </c>
      <c r="I6361">
        <v>0.112028948708814</v>
      </c>
      <c r="J6361">
        <v>0.13578167234397501</v>
      </c>
      <c r="K6361">
        <v>0.129073451556969</v>
      </c>
      <c r="L6361">
        <v>1052.9433249056301</v>
      </c>
      <c r="M6361">
        <v>22.5889860519789</v>
      </c>
      <c r="N6361">
        <v>47.2143029114619</v>
      </c>
      <c r="O6361">
        <v>46.252451654100703</v>
      </c>
      <c r="P6361">
        <v>-0.106839450825117</v>
      </c>
      <c r="Q6361">
        <v>0.124974521354107</v>
      </c>
      <c r="R6361">
        <v>0.99750574299711303</v>
      </c>
      <c r="S6361" t="s">
        <v>12813</v>
      </c>
      <c r="T6361" t="s">
        <v>12902</v>
      </c>
      <c r="U6361" t="s">
        <v>12902</v>
      </c>
      <c r="V6361" t="s">
        <v>12902</v>
      </c>
      <c r="W6361" t="s">
        <v>19210</v>
      </c>
      <c r="X6361">
        <v>5</v>
      </c>
      <c r="Y6361" t="s">
        <v>25489</v>
      </c>
      <c r="Z6361" t="s">
        <v>31936</v>
      </c>
      <c r="AA6361">
        <v>0.32777305550917929</v>
      </c>
      <c r="AB6361" t="str">
        <f>HYPERLINK("Melting_Curves/meltCurve_Q9Y5B6_PAXBP1.pdf", "Melting_Curves/meltCurve_Q9Y5B6_PAXBP1.pdf")</f>
        <v>Melting_Curves/meltCurve_Q9Y5B6_PAXBP1.pdf</v>
      </c>
    </row>
    <row r="6362" spans="1:28" x14ac:dyDescent="0.25">
      <c r="A6362" t="s">
        <v>6366</v>
      </c>
      <c r="B6362">
        <v>0.99673306730245903</v>
      </c>
      <c r="C6362">
        <v>0.93621658909086203</v>
      </c>
      <c r="D6362">
        <v>0.50024336018096105</v>
      </c>
      <c r="E6362">
        <v>0.245177510623866</v>
      </c>
      <c r="F6362">
        <v>0.145281059636682</v>
      </c>
      <c r="G6362">
        <v>0.112034289021438</v>
      </c>
      <c r="H6362">
        <v>7.0257070411948605E-2</v>
      </c>
      <c r="I6362">
        <v>5.9905182681867501E-2</v>
      </c>
      <c r="J6362">
        <v>4.0390032571132502E-2</v>
      </c>
      <c r="K6362">
        <v>2.7633352302308099E-2</v>
      </c>
      <c r="L6362">
        <v>1137.0686856498401</v>
      </c>
      <c r="M6362">
        <v>24.6355386504911</v>
      </c>
      <c r="N6362">
        <v>46.437744904299798</v>
      </c>
      <c r="O6362">
        <v>45.854724003182902</v>
      </c>
      <c r="P6362">
        <v>-0.12498018008488899</v>
      </c>
      <c r="Q6362">
        <v>6.9498734077287294E-2</v>
      </c>
      <c r="R6362">
        <v>0.98908649053925102</v>
      </c>
      <c r="S6362" t="s">
        <v>12814</v>
      </c>
      <c r="T6362" t="s">
        <v>12902</v>
      </c>
      <c r="U6362" t="s">
        <v>12902</v>
      </c>
      <c r="V6362" t="s">
        <v>12902</v>
      </c>
      <c r="W6362" t="s">
        <v>19211</v>
      </c>
      <c r="X6362">
        <v>3</v>
      </c>
      <c r="Y6362" t="s">
        <v>25490</v>
      </c>
      <c r="Z6362" t="s">
        <v>31937</v>
      </c>
      <c r="AA6362">
        <v>0.26924955581557858</v>
      </c>
      <c r="AB6362" t="str">
        <f>HYPERLINK("Melting_Curves/meltCurve_Q9Y5B8_NME7.pdf", "Melting_Curves/meltCurve_Q9Y5B8_NME7.pdf")</f>
        <v>Melting_Curves/meltCurve_Q9Y5B8_NME7.pdf</v>
      </c>
    </row>
    <row r="6363" spans="1:28" x14ac:dyDescent="0.25">
      <c r="A6363" t="s">
        <v>6367</v>
      </c>
      <c r="B6363">
        <v>0.99673306730245903</v>
      </c>
      <c r="C6363">
        <v>0.94827087874874805</v>
      </c>
      <c r="D6363">
        <v>0.48933884303337999</v>
      </c>
      <c r="E6363">
        <v>0.36879165557756399</v>
      </c>
      <c r="F6363">
        <v>0.11388443043142001</v>
      </c>
      <c r="G6363">
        <v>7.0917379700056599E-2</v>
      </c>
      <c r="H6363">
        <v>4.28058664780663E-2</v>
      </c>
      <c r="I6363">
        <v>4.0333254105998001E-2</v>
      </c>
      <c r="J6363">
        <v>5.0337842952906803E-2</v>
      </c>
      <c r="K6363">
        <v>4.6277842834367797E-2</v>
      </c>
      <c r="L6363">
        <v>909.25724572260299</v>
      </c>
      <c r="M6363">
        <v>19.436126122545001</v>
      </c>
      <c r="N6363">
        <v>47.005710247665299</v>
      </c>
      <c r="O6363">
        <v>46.2950261639186</v>
      </c>
      <c r="P6363">
        <v>-0.10032135369673099</v>
      </c>
      <c r="Q6363">
        <v>4.4210681652770097E-2</v>
      </c>
      <c r="R6363">
        <v>0.97745728903898199</v>
      </c>
      <c r="S6363" t="s">
        <v>12815</v>
      </c>
      <c r="T6363" t="s">
        <v>12902</v>
      </c>
      <c r="U6363" t="s">
        <v>12902</v>
      </c>
      <c r="V6363" t="s">
        <v>12902</v>
      </c>
      <c r="W6363" t="s">
        <v>19212</v>
      </c>
      <c r="X6363">
        <v>30</v>
      </c>
      <c r="Y6363" t="s">
        <v>25491</v>
      </c>
      <c r="Z6363" t="s">
        <v>31938</v>
      </c>
      <c r="AA6363">
        <v>0.27532947025486892</v>
      </c>
      <c r="AB6363" t="str">
        <f>HYPERLINK("Melting_Curves/meltCurve_Q9Y5B9_SUPT16H.pdf", "Melting_Curves/meltCurve_Q9Y5B9_SUPT16H.pdf")</f>
        <v>Melting_Curves/meltCurve_Q9Y5B9_SUPT16H.pdf</v>
      </c>
    </row>
    <row r="6364" spans="1:28" x14ac:dyDescent="0.25">
      <c r="A6364" t="s">
        <v>6368</v>
      </c>
      <c r="B6364">
        <v>0.99673306730245903</v>
      </c>
      <c r="C6364">
        <v>0.91982814253871703</v>
      </c>
      <c r="D6364">
        <v>1.1689646593654499</v>
      </c>
      <c r="E6364">
        <v>1.1164514751308801</v>
      </c>
      <c r="F6364">
        <v>0.38383756216243198</v>
      </c>
      <c r="G6364">
        <v>0.27375609427075898</v>
      </c>
      <c r="H6364">
        <v>0.219058102769154</v>
      </c>
      <c r="I6364">
        <v>0.30158065378143101</v>
      </c>
      <c r="J6364">
        <v>0.51833347309376498</v>
      </c>
      <c r="K6364">
        <v>0.51059022783555896</v>
      </c>
      <c r="L6364">
        <v>13115.405772444699</v>
      </c>
      <c r="M6364">
        <v>250</v>
      </c>
      <c r="N6364">
        <v>52.737309364084297</v>
      </c>
      <c r="O6364">
        <v>52.458278627193401</v>
      </c>
      <c r="P6364">
        <v>-0.75695497506218001</v>
      </c>
      <c r="Q6364">
        <v>0.36466327453665198</v>
      </c>
      <c r="R6364">
        <v>0.89727760045892102</v>
      </c>
      <c r="S6364" t="s">
        <v>12816</v>
      </c>
      <c r="T6364" t="s">
        <v>12902</v>
      </c>
      <c r="U6364" t="s">
        <v>12902</v>
      </c>
      <c r="V6364" t="s">
        <v>12902</v>
      </c>
      <c r="W6364" t="s">
        <v>19213</v>
      </c>
      <c r="X6364">
        <v>3</v>
      </c>
      <c r="Y6364" t="s">
        <v>25492</v>
      </c>
      <c r="Z6364" t="s">
        <v>31939</v>
      </c>
      <c r="AA6364">
        <v>0.62863266315853583</v>
      </c>
      <c r="AB6364" t="str">
        <f>HYPERLINK("Melting_Curves/meltCurve_Q9Y5J1_UTP18.pdf", "Melting_Curves/meltCurve_Q9Y5J1_UTP18.pdf")</f>
        <v>Melting_Curves/meltCurve_Q9Y5J1_UTP18.pdf</v>
      </c>
    </row>
    <row r="6365" spans="1:28" x14ac:dyDescent="0.25">
      <c r="A6365" t="s">
        <v>6369</v>
      </c>
      <c r="B6365">
        <v>0.99673306730245903</v>
      </c>
      <c r="C6365">
        <v>1.0621390653429601</v>
      </c>
      <c r="D6365">
        <v>1.0092978176894101</v>
      </c>
      <c r="E6365">
        <v>0.97536232249098997</v>
      </c>
      <c r="F6365">
        <v>0.76485366563211299</v>
      </c>
      <c r="G6365">
        <v>0.54273664042820902</v>
      </c>
      <c r="H6365">
        <v>0.33853847561716299</v>
      </c>
      <c r="I6365">
        <v>0.41478932237002503</v>
      </c>
      <c r="J6365">
        <v>0.42418289181060098</v>
      </c>
      <c r="K6365">
        <v>0.30099698459157498</v>
      </c>
      <c r="L6365">
        <v>1500.0841859817001</v>
      </c>
      <c r="M6365">
        <v>27.543370511827799</v>
      </c>
      <c r="N6365">
        <v>57.125134676436602</v>
      </c>
      <c r="O6365">
        <v>54.177951913610499</v>
      </c>
      <c r="P6365">
        <v>-8.1151896446603602E-2</v>
      </c>
      <c r="Q6365">
        <v>0.36150094843469099</v>
      </c>
      <c r="R6365">
        <v>0.97948737910901895</v>
      </c>
      <c r="S6365" t="s">
        <v>12817</v>
      </c>
      <c r="T6365" t="s">
        <v>12902</v>
      </c>
      <c r="U6365" t="s">
        <v>12902</v>
      </c>
      <c r="V6365" t="s">
        <v>12902</v>
      </c>
      <c r="W6365" t="s">
        <v>19214</v>
      </c>
      <c r="X6365">
        <v>4</v>
      </c>
      <c r="Y6365" t="s">
        <v>25493</v>
      </c>
      <c r="Z6365" t="s">
        <v>31940</v>
      </c>
      <c r="AA6365">
        <v>0.67426614549025288</v>
      </c>
      <c r="AB6365" t="str">
        <f>HYPERLINK("Melting_Curves/meltCurve_Q9Y5J6_TIMM10B.pdf", "Melting_Curves/meltCurve_Q9Y5J6_TIMM10B.pdf")</f>
        <v>Melting_Curves/meltCurve_Q9Y5J6_TIMM10B.pdf</v>
      </c>
    </row>
    <row r="6366" spans="1:28" x14ac:dyDescent="0.25">
      <c r="A6366" t="s">
        <v>6370</v>
      </c>
      <c r="B6366">
        <v>0.99673306730245903</v>
      </c>
      <c r="C6366">
        <v>1.0117665559431701</v>
      </c>
      <c r="D6366">
        <v>0.99448895013385696</v>
      </c>
      <c r="E6366">
        <v>0.94818519043848004</v>
      </c>
      <c r="F6366">
        <v>0.86886419619342803</v>
      </c>
      <c r="G6366">
        <v>0.80347947218485805</v>
      </c>
      <c r="H6366">
        <v>0.71768767402932399</v>
      </c>
      <c r="I6366">
        <v>1.0268888114074</v>
      </c>
      <c r="J6366">
        <v>1.17305211316282</v>
      </c>
      <c r="K6366">
        <v>0.76547856438272099</v>
      </c>
      <c r="L6366">
        <v>12403.506115414801</v>
      </c>
      <c r="M6366">
        <v>250</v>
      </c>
      <c r="O6366">
        <v>49.610849503907097</v>
      </c>
      <c r="P6366">
        <v>-0.13533438625837599</v>
      </c>
      <c r="Q6366">
        <v>0.89257513823926604</v>
      </c>
      <c r="R6366">
        <v>0.135521842128352</v>
      </c>
      <c r="S6366" t="s">
        <v>12818</v>
      </c>
      <c r="T6366" t="s">
        <v>12902</v>
      </c>
      <c r="U6366" t="s">
        <v>12902</v>
      </c>
      <c r="V6366" t="s">
        <v>12902</v>
      </c>
      <c r="W6366" t="s">
        <v>19215</v>
      </c>
      <c r="X6366">
        <v>6</v>
      </c>
      <c r="Y6366" t="s">
        <v>25494</v>
      </c>
      <c r="Z6366" t="s">
        <v>31941</v>
      </c>
      <c r="AA6366">
        <v>0.92701066687832445</v>
      </c>
      <c r="AB6366" t="str">
        <f>HYPERLINK("Melting_Curves/meltCurve_Q9Y5J7_TIMM9.pdf", "Melting_Curves/meltCurve_Q9Y5J7_TIMM9.pdf")</f>
        <v>Melting_Curves/meltCurve_Q9Y5J7_TIMM9.pdf</v>
      </c>
    </row>
    <row r="6367" spans="1:28" x14ac:dyDescent="0.25">
      <c r="A6367" t="s">
        <v>6371</v>
      </c>
      <c r="B6367">
        <v>0.99673306730245903</v>
      </c>
      <c r="C6367">
        <v>0.98776910957164599</v>
      </c>
      <c r="D6367">
        <v>0.93715476979375201</v>
      </c>
      <c r="E6367">
        <v>0.80967414219695799</v>
      </c>
      <c r="F6367">
        <v>0.63609127831363999</v>
      </c>
      <c r="G6367">
        <v>0.44609971725235997</v>
      </c>
      <c r="H6367">
        <v>0.19962508074458599</v>
      </c>
      <c r="I6367">
        <v>0.14566277813628201</v>
      </c>
      <c r="J6367">
        <v>0.119314650688486</v>
      </c>
      <c r="K6367">
        <v>8.2574730588911294E-2</v>
      </c>
      <c r="L6367">
        <v>760.36940601429296</v>
      </c>
      <c r="M6367">
        <v>13.799940425329</v>
      </c>
      <c r="N6367">
        <v>55.334207488515901</v>
      </c>
      <c r="O6367">
        <v>53.981118569119502</v>
      </c>
      <c r="P6367">
        <v>-6.2102649752657203E-2</v>
      </c>
      <c r="Q6367">
        <v>2.8430561392725401E-2</v>
      </c>
      <c r="R6367">
        <v>0.99766500002692804</v>
      </c>
      <c r="S6367" t="s">
        <v>12819</v>
      </c>
      <c r="T6367" t="s">
        <v>12902</v>
      </c>
      <c r="U6367" t="s">
        <v>12902</v>
      </c>
      <c r="V6367" t="s">
        <v>12902</v>
      </c>
      <c r="W6367" t="s">
        <v>19216</v>
      </c>
      <c r="X6367">
        <v>12</v>
      </c>
      <c r="Y6367" t="s">
        <v>25495</v>
      </c>
      <c r="Z6367" t="s">
        <v>31942</v>
      </c>
      <c r="AA6367">
        <v>0.53760956737084276</v>
      </c>
      <c r="AB6367" t="str">
        <f>HYPERLINK("Melting_Curves/meltCurve_Q9Y5K3_2_PCYT1B.pdf", "Melting_Curves/meltCurve_Q9Y5K3_2_PCYT1B.pdf")</f>
        <v>Melting_Curves/meltCurve_Q9Y5K3_2_PCYT1B.pdf</v>
      </c>
    </row>
    <row r="6368" spans="1:28" x14ac:dyDescent="0.25">
      <c r="A6368" t="s">
        <v>6372</v>
      </c>
      <c r="B6368">
        <v>0.99673306730245903</v>
      </c>
      <c r="C6368">
        <v>0.957039381205947</v>
      </c>
      <c r="D6368">
        <v>0.55014854342916097</v>
      </c>
      <c r="E6368">
        <v>0.30832291437211101</v>
      </c>
      <c r="F6368">
        <v>0.16501515120346399</v>
      </c>
      <c r="G6368">
        <v>9.7599671237964203E-2</v>
      </c>
      <c r="H6368">
        <v>6.2392300008689901E-2</v>
      </c>
      <c r="I6368">
        <v>5.8025421845375E-2</v>
      </c>
      <c r="J6368">
        <v>6.8667307599772007E-2</v>
      </c>
      <c r="K6368">
        <v>6.03067258339329E-2</v>
      </c>
      <c r="L6368">
        <v>1015.91138538207</v>
      </c>
      <c r="M6368">
        <v>21.735720893629999</v>
      </c>
      <c r="N6368">
        <v>47.069849664925002</v>
      </c>
      <c r="O6368">
        <v>46.349036144160401</v>
      </c>
      <c r="P6368">
        <v>-0.108942592228307</v>
      </c>
      <c r="Q6368">
        <v>7.0789581979300201E-2</v>
      </c>
      <c r="R6368">
        <v>0.98985860125415004</v>
      </c>
      <c r="S6368" t="s">
        <v>12820</v>
      </c>
      <c r="T6368" t="s">
        <v>12902</v>
      </c>
      <c r="U6368" t="s">
        <v>12902</v>
      </c>
      <c r="V6368" t="s">
        <v>12902</v>
      </c>
      <c r="W6368" t="s">
        <v>19217</v>
      </c>
      <c r="X6368">
        <v>19</v>
      </c>
      <c r="Y6368" t="s">
        <v>25496</v>
      </c>
      <c r="Z6368" t="s">
        <v>31943</v>
      </c>
      <c r="AA6368">
        <v>0.29094783513623201</v>
      </c>
      <c r="AB6368" t="str">
        <f>HYPERLINK("Melting_Curves/meltCurve_Q9Y5K5_2_UCHL5.pdf", "Melting_Curves/meltCurve_Q9Y5K5_2_UCHL5.pdf")</f>
        <v>Melting_Curves/meltCurve_Q9Y5K5_2_UCHL5.pdf</v>
      </c>
    </row>
    <row r="6369" spans="1:28" x14ac:dyDescent="0.25">
      <c r="A6369" t="s">
        <v>6373</v>
      </c>
      <c r="B6369">
        <v>0.99673306730245903</v>
      </c>
      <c r="C6369">
        <v>0.82316782768442998</v>
      </c>
      <c r="D6369">
        <v>1.0169553193713901</v>
      </c>
      <c r="E6369">
        <v>0.99125928152800602</v>
      </c>
      <c r="F6369">
        <v>0.43006369626505803</v>
      </c>
      <c r="G6369">
        <v>0.23940601430047401</v>
      </c>
      <c r="H6369">
        <v>0.14738532671361601</v>
      </c>
      <c r="I6369">
        <v>0.170821118094208</v>
      </c>
      <c r="J6369">
        <v>0.22200629499584601</v>
      </c>
      <c r="K6369">
        <v>0.228138901723732</v>
      </c>
      <c r="L6369">
        <v>3451.9628215696198</v>
      </c>
      <c r="M6369">
        <v>65.782707954703199</v>
      </c>
      <c r="N6369">
        <v>52.886425692586599</v>
      </c>
      <c r="O6369">
        <v>52.426801011304001</v>
      </c>
      <c r="P6369">
        <v>-0.25089188513844601</v>
      </c>
      <c r="Q6369">
        <v>0.200187679673588</v>
      </c>
      <c r="R6369">
        <v>0.97119591255725801</v>
      </c>
      <c r="S6369" t="s">
        <v>12821</v>
      </c>
      <c r="T6369" t="s">
        <v>12902</v>
      </c>
      <c r="U6369" t="s">
        <v>12902</v>
      </c>
      <c r="V6369" t="s">
        <v>12902</v>
      </c>
      <c r="W6369" t="s">
        <v>19218</v>
      </c>
      <c r="X6369">
        <v>22</v>
      </c>
      <c r="Y6369" t="s">
        <v>25497</v>
      </c>
      <c r="Z6369" t="s">
        <v>31944</v>
      </c>
      <c r="AA6369">
        <v>0.53384948483838002</v>
      </c>
      <c r="AB6369" t="str">
        <f>HYPERLINK("Melting_Curves/meltCurve_Q9Y5K6_CD2AP.pdf", "Melting_Curves/meltCurve_Q9Y5K6_CD2AP.pdf")</f>
        <v>Melting_Curves/meltCurve_Q9Y5K6_CD2AP.pdf</v>
      </c>
    </row>
    <row r="6370" spans="1:28" x14ac:dyDescent="0.25">
      <c r="A6370" t="s">
        <v>6374</v>
      </c>
      <c r="B6370">
        <v>0.99673306730245903</v>
      </c>
      <c r="C6370">
        <v>0.99306258009026205</v>
      </c>
      <c r="D6370">
        <v>0.92779578690767495</v>
      </c>
      <c r="E6370">
        <v>0.934852101291202</v>
      </c>
      <c r="F6370">
        <v>0.98660781179338397</v>
      </c>
      <c r="G6370">
        <v>0.812985744537019</v>
      </c>
      <c r="H6370">
        <v>0.54818768107834304</v>
      </c>
      <c r="I6370">
        <v>0.27953962050086301</v>
      </c>
      <c r="J6370">
        <v>0.23547806477913899</v>
      </c>
      <c r="K6370">
        <v>0.16029945069050699</v>
      </c>
      <c r="L6370">
        <v>1374.4924744836701</v>
      </c>
      <c r="M6370">
        <v>22.795648358208201</v>
      </c>
      <c r="N6370">
        <v>61.113566497045198</v>
      </c>
      <c r="O6370">
        <v>59.837997446776598</v>
      </c>
      <c r="P6370">
        <v>-8.2727588879064395E-2</v>
      </c>
      <c r="Q6370">
        <v>0.131385587342815</v>
      </c>
      <c r="R6370">
        <v>0.98886254390633899</v>
      </c>
      <c r="S6370" t="s">
        <v>12822</v>
      </c>
      <c r="T6370" t="s">
        <v>12902</v>
      </c>
      <c r="U6370" t="s">
        <v>12902</v>
      </c>
      <c r="V6370" t="s">
        <v>12902</v>
      </c>
      <c r="W6370" t="s">
        <v>19219</v>
      </c>
      <c r="X6370">
        <v>10</v>
      </c>
      <c r="Y6370" t="s">
        <v>25498</v>
      </c>
      <c r="Z6370" t="s">
        <v>31945</v>
      </c>
      <c r="AA6370">
        <v>0.72558995642006563</v>
      </c>
      <c r="AB6370" t="str">
        <f>HYPERLINK("Melting_Curves/meltCurve_Q9Y5K8_ATP6V1D.pdf", "Melting_Curves/meltCurve_Q9Y5K8_ATP6V1D.pdf")</f>
        <v>Melting_Curves/meltCurve_Q9Y5K8_ATP6V1D.pdf</v>
      </c>
    </row>
    <row r="6371" spans="1:28" x14ac:dyDescent="0.25">
      <c r="A6371" t="s">
        <v>6375</v>
      </c>
      <c r="B6371">
        <v>0.99673306730245903</v>
      </c>
      <c r="C6371">
        <v>0.57717253192282902</v>
      </c>
      <c r="D6371">
        <v>0.78805002331303897</v>
      </c>
      <c r="E6371">
        <v>0.65588508180208005</v>
      </c>
      <c r="F6371">
        <v>0.133598683371149</v>
      </c>
      <c r="G6371">
        <v>8.4029822647911298E-2</v>
      </c>
      <c r="H6371">
        <v>4.8507511512880901E-2</v>
      </c>
      <c r="I6371">
        <v>4.3528389056838902E-2</v>
      </c>
      <c r="J6371">
        <v>4.7048620442118903E-2</v>
      </c>
      <c r="K6371">
        <v>4.1357040307910702E-2</v>
      </c>
      <c r="L6371">
        <v>616.712056419188</v>
      </c>
      <c r="M6371">
        <v>12.5897072601411</v>
      </c>
      <c r="N6371">
        <v>48.985416710521797</v>
      </c>
      <c r="O6371">
        <v>47.798797685343096</v>
      </c>
      <c r="P6371">
        <v>-6.5860582902539697E-2</v>
      </c>
      <c r="Q6371">
        <v>0</v>
      </c>
      <c r="R6371">
        <v>0.87777940510966501</v>
      </c>
      <c r="S6371" t="s">
        <v>12823</v>
      </c>
      <c r="T6371" t="s">
        <v>12902</v>
      </c>
      <c r="U6371" t="s">
        <v>12902</v>
      </c>
      <c r="V6371" t="s">
        <v>12902</v>
      </c>
      <c r="W6371" t="s">
        <v>19220</v>
      </c>
      <c r="X6371">
        <v>8</v>
      </c>
      <c r="Y6371" t="s">
        <v>25499</v>
      </c>
      <c r="Z6371" t="s">
        <v>31946</v>
      </c>
      <c r="AA6371">
        <v>0.33340395702142378</v>
      </c>
      <c r="AB6371" t="str">
        <f>HYPERLINK("Melting_Curves/meltCurve_Q9Y5L0_TNPO3.pdf", "Melting_Curves/meltCurve_Q9Y5L0_TNPO3.pdf")</f>
        <v>Melting_Curves/meltCurve_Q9Y5L0_TNPO3.pdf</v>
      </c>
    </row>
    <row r="6372" spans="1:28" x14ac:dyDescent="0.25">
      <c r="A6372" t="s">
        <v>6376</v>
      </c>
      <c r="B6372">
        <v>0.99673306730245903</v>
      </c>
      <c r="C6372">
        <v>0.97377375995444204</v>
      </c>
      <c r="D6372">
        <v>0.95520070095791598</v>
      </c>
      <c r="E6372">
        <v>0.84584539342043397</v>
      </c>
      <c r="F6372">
        <v>0.70362350172265098</v>
      </c>
      <c r="G6372">
        <v>0.59647831706832399</v>
      </c>
      <c r="H6372">
        <v>0.43877759744707201</v>
      </c>
      <c r="I6372">
        <v>0.34648738688820302</v>
      </c>
      <c r="J6372">
        <v>0.23341727619696301</v>
      </c>
      <c r="K6372">
        <v>0.15963322391394999</v>
      </c>
      <c r="L6372">
        <v>553.41942489124199</v>
      </c>
      <c r="M6372">
        <v>9.3926559890970207</v>
      </c>
      <c r="N6372">
        <v>58.920438826049299</v>
      </c>
      <c r="O6372">
        <v>56.434769478889699</v>
      </c>
      <c r="P6372">
        <v>-4.1634160764065301E-2</v>
      </c>
      <c r="Q6372">
        <v>0</v>
      </c>
      <c r="R6372">
        <v>0.99670718095286603</v>
      </c>
      <c r="S6372" t="s">
        <v>12824</v>
      </c>
      <c r="T6372" t="s">
        <v>12902</v>
      </c>
      <c r="U6372" t="s">
        <v>12902</v>
      </c>
      <c r="V6372" t="s">
        <v>12902</v>
      </c>
      <c r="W6372" t="s">
        <v>19221</v>
      </c>
      <c r="X6372">
        <v>11</v>
      </c>
      <c r="Y6372" t="s">
        <v>25500</v>
      </c>
      <c r="Z6372" t="s">
        <v>31947</v>
      </c>
      <c r="AA6372">
        <v>0.63250504364614557</v>
      </c>
      <c r="AB6372" t="str">
        <f>HYPERLINK("Melting_Curves/meltCurve_Q9Y5L3_ENTPD2.pdf", "Melting_Curves/meltCurve_Q9Y5L3_ENTPD2.pdf")</f>
        <v>Melting_Curves/meltCurve_Q9Y5L3_ENTPD2.pdf</v>
      </c>
    </row>
    <row r="6373" spans="1:28" x14ac:dyDescent="0.25">
      <c r="A6373" t="s">
        <v>6377</v>
      </c>
      <c r="B6373">
        <v>0.99673306730245903</v>
      </c>
      <c r="C6373">
        <v>0.95709198152131003</v>
      </c>
      <c r="D6373">
        <v>1.0184145992650799</v>
      </c>
      <c r="E6373">
        <v>1.00612007946393</v>
      </c>
      <c r="F6373">
        <v>0.965747920554758</v>
      </c>
      <c r="G6373">
        <v>0.74829764948047695</v>
      </c>
      <c r="H6373">
        <v>0.49921442072823102</v>
      </c>
      <c r="I6373">
        <v>0.54873629663100498</v>
      </c>
      <c r="J6373">
        <v>0.70881246086328398</v>
      </c>
      <c r="K6373">
        <v>0.62966912307278899</v>
      </c>
      <c r="L6373">
        <v>14171.2358332819</v>
      </c>
      <c r="M6373">
        <v>250</v>
      </c>
      <c r="O6373">
        <v>56.6813056986975</v>
      </c>
      <c r="P6373">
        <v>-0.44480257674351598</v>
      </c>
      <c r="Q6373">
        <v>0.59660807461478804</v>
      </c>
      <c r="R6373">
        <v>0.92283595793499895</v>
      </c>
      <c r="S6373" t="s">
        <v>12825</v>
      </c>
      <c r="T6373" t="s">
        <v>12902</v>
      </c>
      <c r="U6373" t="s">
        <v>12902</v>
      </c>
      <c r="V6373" t="s">
        <v>12902</v>
      </c>
      <c r="W6373" t="s">
        <v>19222</v>
      </c>
      <c r="X6373">
        <v>6</v>
      </c>
      <c r="Y6373" t="s">
        <v>25501</v>
      </c>
      <c r="Z6373" t="s">
        <v>31948</v>
      </c>
      <c r="AA6373">
        <v>0.82100058506135798</v>
      </c>
      <c r="AB6373" t="str">
        <f>HYPERLINK("Melting_Curves/meltCurve_Q9Y5L4_TIMM13.pdf", "Melting_Curves/meltCurve_Q9Y5L4_TIMM13.pdf")</f>
        <v>Melting_Curves/meltCurve_Q9Y5L4_TIMM13.pdf</v>
      </c>
    </row>
    <row r="6374" spans="1:28" x14ac:dyDescent="0.25">
      <c r="A6374" t="s">
        <v>6378</v>
      </c>
      <c r="B6374">
        <v>0.99673306730245903</v>
      </c>
      <c r="C6374">
        <v>0.89494849591437298</v>
      </c>
      <c r="D6374">
        <v>0.700828216175853</v>
      </c>
      <c r="E6374">
        <v>0.57988990326317902</v>
      </c>
      <c r="F6374">
        <v>0.19813599267658299</v>
      </c>
      <c r="G6374">
        <v>0.13402633816360801</v>
      </c>
      <c r="H6374">
        <v>8.1727499914423907E-2</v>
      </c>
      <c r="I6374">
        <v>7.3755918566244999E-2</v>
      </c>
      <c r="J6374">
        <v>6.5910022225665499E-2</v>
      </c>
      <c r="K6374">
        <v>5.2170023013383401E-2</v>
      </c>
      <c r="L6374">
        <v>763.74754683981496</v>
      </c>
      <c r="M6374">
        <v>15.535148535781399</v>
      </c>
      <c r="N6374">
        <v>49.415140190699503</v>
      </c>
      <c r="O6374">
        <v>48.369542476563602</v>
      </c>
      <c r="P6374">
        <v>-7.7236129555987298E-2</v>
      </c>
      <c r="Q6374">
        <v>3.8168856498278003E-2</v>
      </c>
      <c r="R6374">
        <v>0.98649228023902602</v>
      </c>
      <c r="S6374" t="s">
        <v>12826</v>
      </c>
      <c r="T6374" t="s">
        <v>12902</v>
      </c>
      <c r="U6374" t="s">
        <v>12902</v>
      </c>
      <c r="V6374" t="s">
        <v>12902</v>
      </c>
      <c r="W6374" t="s">
        <v>19223</v>
      </c>
      <c r="X6374">
        <v>18</v>
      </c>
      <c r="Y6374" t="s">
        <v>25502</v>
      </c>
      <c r="Z6374" t="s">
        <v>31949</v>
      </c>
      <c r="AA6374">
        <v>0.3540243638220959</v>
      </c>
      <c r="AB6374" t="str">
        <f>HYPERLINK("Melting_Curves/meltCurve_Q9Y5M8_SRPRB.pdf", "Melting_Curves/meltCurve_Q9Y5M8_SRPRB.pdf")</f>
        <v>Melting_Curves/meltCurve_Q9Y5M8_SRPRB.pdf</v>
      </c>
    </row>
    <row r="6375" spans="1:28" x14ac:dyDescent="0.25">
      <c r="A6375" t="s">
        <v>6379</v>
      </c>
      <c r="B6375">
        <v>0.99673306730245903</v>
      </c>
      <c r="C6375">
        <v>1.00034374542239</v>
      </c>
      <c r="D6375">
        <v>0.96411318981317595</v>
      </c>
      <c r="E6375">
        <v>0.68201012269475603</v>
      </c>
      <c r="F6375">
        <v>0.20897869515949799</v>
      </c>
      <c r="G6375">
        <v>0.13339191874546699</v>
      </c>
      <c r="H6375">
        <v>8.0332301104127896E-2</v>
      </c>
      <c r="I6375">
        <v>7.1803478976009097E-2</v>
      </c>
      <c r="J6375">
        <v>8.9604603654022799E-2</v>
      </c>
      <c r="K6375">
        <v>6.9742305127866E-2</v>
      </c>
      <c r="L6375">
        <v>1727.60496484489</v>
      </c>
      <c r="M6375">
        <v>34.2143740494895</v>
      </c>
      <c r="N6375">
        <v>50.761185427727497</v>
      </c>
      <c r="O6375">
        <v>50.321991938337099</v>
      </c>
      <c r="P6375">
        <v>-0.15594946108288199</v>
      </c>
      <c r="Q6375">
        <v>8.2531112900257095E-2</v>
      </c>
      <c r="R6375">
        <v>0.99909501818180002</v>
      </c>
      <c r="S6375" t="s">
        <v>12827</v>
      </c>
      <c r="T6375" t="s">
        <v>12902</v>
      </c>
      <c r="U6375" t="s">
        <v>12902</v>
      </c>
      <c r="V6375" t="s">
        <v>12902</v>
      </c>
      <c r="W6375" t="s">
        <v>19224</v>
      </c>
      <c r="X6375">
        <v>9</v>
      </c>
      <c r="Y6375" t="s">
        <v>25503</v>
      </c>
      <c r="Z6375" t="s">
        <v>31950</v>
      </c>
      <c r="AA6375">
        <v>0.40783675818660731</v>
      </c>
      <c r="AB6375" t="str">
        <f>HYPERLINK("Melting_Curves/meltCurve_Q9Y5P4_2_COL4A3BP.pdf", "Melting_Curves/meltCurve_Q9Y5P4_2_COL4A3BP.pdf")</f>
        <v>Melting_Curves/meltCurve_Q9Y5P4_2_COL4A3BP.pdf</v>
      </c>
    </row>
    <row r="6376" spans="1:28" x14ac:dyDescent="0.25">
      <c r="A6376" t="s">
        <v>6380</v>
      </c>
      <c r="B6376">
        <v>0.99673306730245903</v>
      </c>
      <c r="C6376">
        <v>0.95486695690782897</v>
      </c>
      <c r="D6376">
        <v>1.0518691568920999</v>
      </c>
      <c r="E6376">
        <v>1.2928238122523501</v>
      </c>
      <c r="F6376">
        <v>1.22320758137847</v>
      </c>
      <c r="G6376">
        <v>1.1115720643020199</v>
      </c>
      <c r="H6376">
        <v>0.60023961506119505</v>
      </c>
      <c r="I6376">
        <v>0.177431760883029</v>
      </c>
      <c r="J6376">
        <v>0.13220752773179301</v>
      </c>
      <c r="K6376">
        <v>0.119522230347331</v>
      </c>
      <c r="L6376">
        <v>4926.5621696212602</v>
      </c>
      <c r="M6376">
        <v>80.866015130623396</v>
      </c>
      <c r="N6376">
        <v>61.163828738843499</v>
      </c>
      <c r="O6376">
        <v>60.885302373390601</v>
      </c>
      <c r="P6376">
        <v>-0.28669472115262101</v>
      </c>
      <c r="Q6376">
        <v>0.136572147947635</v>
      </c>
      <c r="R6376">
        <v>0.92173957131918105</v>
      </c>
      <c r="S6376" t="s">
        <v>12828</v>
      </c>
      <c r="T6376" t="s">
        <v>12902</v>
      </c>
      <c r="U6376" t="s">
        <v>12902</v>
      </c>
      <c r="V6376" t="s">
        <v>12902</v>
      </c>
      <c r="W6376" t="s">
        <v>19225</v>
      </c>
      <c r="X6376">
        <v>12</v>
      </c>
      <c r="Y6376" t="s">
        <v>25504</v>
      </c>
      <c r="Z6376" t="s">
        <v>31951</v>
      </c>
      <c r="AA6376">
        <v>0.73962513659678131</v>
      </c>
      <c r="AB6376" t="str">
        <f>HYPERLINK("Melting_Curves/meltCurve_Q9Y5P6_GMPPB.pdf", "Melting_Curves/meltCurve_Q9Y5P6_GMPPB.pdf")</f>
        <v>Melting_Curves/meltCurve_Q9Y5P6_GMPPB.pdf</v>
      </c>
    </row>
    <row r="6377" spans="1:28" x14ac:dyDescent="0.25">
      <c r="A6377" t="s">
        <v>6381</v>
      </c>
      <c r="B6377">
        <v>0.99673306730245903</v>
      </c>
      <c r="C6377">
        <v>0.69454409458170197</v>
      </c>
      <c r="D6377">
        <v>0.41945102198695899</v>
      </c>
      <c r="E6377">
        <v>0.32548115905415498</v>
      </c>
      <c r="F6377">
        <v>0.22689396980197199</v>
      </c>
      <c r="G6377">
        <v>0.160664845913157</v>
      </c>
      <c r="H6377">
        <v>7.5982445865768203E-2</v>
      </c>
      <c r="I6377">
        <v>4.5639197740322303E-2</v>
      </c>
      <c r="J6377">
        <v>4.4918214107934798E-2</v>
      </c>
      <c r="K6377">
        <v>4.5865205572086599E-2</v>
      </c>
      <c r="L6377">
        <v>635.53094691458898</v>
      </c>
      <c r="M6377">
        <v>13.9355457001055</v>
      </c>
      <c r="N6377">
        <v>46.012694858564501</v>
      </c>
      <c r="O6377">
        <v>44.696706572008303</v>
      </c>
      <c r="P6377">
        <v>-7.3428289930431503E-2</v>
      </c>
      <c r="Q6377">
        <v>5.8074754012461302E-2</v>
      </c>
      <c r="R6377">
        <v>0.96885586155839498</v>
      </c>
      <c r="S6377" t="s">
        <v>12829</v>
      </c>
      <c r="T6377" t="s">
        <v>12902</v>
      </c>
      <c r="U6377" t="s">
        <v>12902</v>
      </c>
      <c r="V6377" t="s">
        <v>12902</v>
      </c>
      <c r="W6377" t="s">
        <v>19226</v>
      </c>
      <c r="X6377">
        <v>3</v>
      </c>
      <c r="Y6377" t="s">
        <v>25505</v>
      </c>
      <c r="Z6377" t="s">
        <v>31952</v>
      </c>
      <c r="AA6377">
        <v>0.26722850892369049</v>
      </c>
      <c r="AB6377" t="str">
        <f>HYPERLINK("Melting_Curves/meltCurve_Q9Y5Q8_GTF3C5.pdf", "Melting_Curves/meltCurve_Q9Y5Q8_GTF3C5.pdf")</f>
        <v>Melting_Curves/meltCurve_Q9Y5Q8_GTF3C5.pdf</v>
      </c>
    </row>
    <row r="6378" spans="1:28" x14ac:dyDescent="0.25">
      <c r="A6378" t="s">
        <v>6382</v>
      </c>
      <c r="B6378">
        <v>0.99673306730245903</v>
      </c>
      <c r="C6378">
        <v>0.65922275791081897</v>
      </c>
      <c r="D6378">
        <v>0.539013828098868</v>
      </c>
      <c r="E6378">
        <v>0.56788641096639403</v>
      </c>
      <c r="F6378">
        <v>0.32562821000723702</v>
      </c>
      <c r="G6378">
        <v>0.27360282857771601</v>
      </c>
      <c r="H6378">
        <v>0.17315832404950199</v>
      </c>
      <c r="I6378">
        <v>0.16667054070173601</v>
      </c>
      <c r="J6378">
        <v>0.14898341853236599</v>
      </c>
      <c r="K6378">
        <v>0.116388391605596</v>
      </c>
      <c r="L6378">
        <v>425.14172888328198</v>
      </c>
      <c r="M6378">
        <v>8.8825126775037795</v>
      </c>
      <c r="N6378">
        <v>48.747041850518301</v>
      </c>
      <c r="O6378">
        <v>45.6232002466122</v>
      </c>
      <c r="P6378">
        <v>-4.5085967248685403E-2</v>
      </c>
      <c r="Q6378">
        <v>7.4407362619474199E-2</v>
      </c>
      <c r="R6378">
        <v>0.93854868504929201</v>
      </c>
      <c r="S6378" t="s">
        <v>12830</v>
      </c>
      <c r="T6378" t="s">
        <v>12902</v>
      </c>
      <c r="U6378" t="s">
        <v>12902</v>
      </c>
      <c r="V6378" t="s">
        <v>12902</v>
      </c>
      <c r="W6378" t="s">
        <v>19227</v>
      </c>
      <c r="X6378">
        <v>3</v>
      </c>
      <c r="Y6378" t="s">
        <v>25506</v>
      </c>
      <c r="Z6378" t="s">
        <v>31953</v>
      </c>
      <c r="AA6378">
        <v>0.37612217135546738</v>
      </c>
      <c r="AB6378" t="str">
        <f>HYPERLINK("Melting_Curves/meltCurve_Q9Y5Q9_GTF3C3.pdf", "Melting_Curves/meltCurve_Q9Y5Q9_GTF3C3.pdf")</f>
        <v>Melting_Curves/meltCurve_Q9Y5Q9_GTF3C3.pdf</v>
      </c>
    </row>
    <row r="6379" spans="1:28" x14ac:dyDescent="0.25">
      <c r="A6379" t="s">
        <v>6383</v>
      </c>
      <c r="B6379">
        <v>0.99673306730245903</v>
      </c>
      <c r="C6379">
        <v>0.99202630278109405</v>
      </c>
      <c r="D6379">
        <v>0.94807864246302698</v>
      </c>
      <c r="E6379">
        <v>0.81793688370038597</v>
      </c>
      <c r="F6379">
        <v>0.67389839171251198</v>
      </c>
      <c r="G6379">
        <v>0.33895947365539503</v>
      </c>
      <c r="H6379">
        <v>0.106676485643553</v>
      </c>
      <c r="I6379">
        <v>6.24438904525349E-2</v>
      </c>
      <c r="J6379">
        <v>5.4187009791088703E-2</v>
      </c>
      <c r="K6379">
        <v>3.3437709083631403E-2</v>
      </c>
      <c r="L6379">
        <v>984.75782373210495</v>
      </c>
      <c r="M6379">
        <v>17.993877488939201</v>
      </c>
      <c r="N6379">
        <v>54.735079020114398</v>
      </c>
      <c r="O6379">
        <v>54.0648779149302</v>
      </c>
      <c r="P6379">
        <v>-8.3104239558463106E-2</v>
      </c>
      <c r="Q6379">
        <v>1.26064827178061E-3</v>
      </c>
      <c r="R6379">
        <v>0.99578703439558702</v>
      </c>
      <c r="S6379" t="s">
        <v>12831</v>
      </c>
      <c r="T6379" t="s">
        <v>12902</v>
      </c>
      <c r="U6379" t="s">
        <v>12902</v>
      </c>
      <c r="V6379" t="s">
        <v>12902</v>
      </c>
      <c r="W6379" t="s">
        <v>19228</v>
      </c>
      <c r="X6379">
        <v>4</v>
      </c>
      <c r="Y6379" t="s">
        <v>25507</v>
      </c>
      <c r="Z6379" t="s">
        <v>31954</v>
      </c>
      <c r="AA6379">
        <v>0.50717509065820243</v>
      </c>
      <c r="AB6379" t="str">
        <f>HYPERLINK("Melting_Curves/meltCurve_Q9Y5R8_TRAPPC1.pdf", "Melting_Curves/meltCurve_Q9Y5R8_TRAPPC1.pdf")</f>
        <v>Melting_Curves/meltCurve_Q9Y5R8_TRAPPC1.pdf</v>
      </c>
    </row>
    <row r="6380" spans="1:28" x14ac:dyDescent="0.25">
      <c r="A6380" t="s">
        <v>6384</v>
      </c>
      <c r="B6380">
        <v>0.99673306730245903</v>
      </c>
      <c r="C6380">
        <v>0.88856145070635095</v>
      </c>
      <c r="D6380">
        <v>0.88346365417727402</v>
      </c>
      <c r="E6380">
        <v>0.66755644354323795</v>
      </c>
      <c r="F6380">
        <v>0.28378578904380602</v>
      </c>
      <c r="G6380">
        <v>0.18815771355715399</v>
      </c>
      <c r="H6380">
        <v>0.13183351057973799</v>
      </c>
      <c r="I6380">
        <v>0.12900379237231799</v>
      </c>
      <c r="J6380">
        <v>0.13921919315303699</v>
      </c>
      <c r="K6380">
        <v>0.12953923279753399</v>
      </c>
      <c r="L6380">
        <v>1113.0402553942399</v>
      </c>
      <c r="M6380">
        <v>22.142162596835799</v>
      </c>
      <c r="N6380">
        <v>50.9077184562966</v>
      </c>
      <c r="O6380">
        <v>49.8632813078341</v>
      </c>
      <c r="P6380">
        <v>-9.7533101812945597E-2</v>
      </c>
      <c r="Q6380">
        <v>0.121456236739476</v>
      </c>
      <c r="R6380">
        <v>0.98996700816229299</v>
      </c>
      <c r="S6380" t="s">
        <v>12832</v>
      </c>
      <c r="T6380" t="s">
        <v>12902</v>
      </c>
      <c r="U6380" t="s">
        <v>12902</v>
      </c>
      <c r="V6380" t="s">
        <v>12902</v>
      </c>
      <c r="W6380" t="s">
        <v>19229</v>
      </c>
      <c r="X6380">
        <v>27</v>
      </c>
      <c r="Y6380" t="s">
        <v>25508</v>
      </c>
      <c r="Z6380" t="s">
        <v>31955</v>
      </c>
      <c r="AA6380">
        <v>0.43216967215921642</v>
      </c>
      <c r="AB6380" t="str">
        <f>HYPERLINK("Melting_Curves/meltCurve_Q9Y5S2_CDC42BPB.pdf", "Melting_Curves/meltCurve_Q9Y5S2_CDC42BPB.pdf")</f>
        <v>Melting_Curves/meltCurve_Q9Y5S2_CDC42BPB.pdf</v>
      </c>
    </row>
    <row r="6381" spans="1:28" x14ac:dyDescent="0.25">
      <c r="A6381" t="s">
        <v>6385</v>
      </c>
      <c r="B6381">
        <v>0.99673306730245903</v>
      </c>
      <c r="C6381">
        <v>0.99489537579051401</v>
      </c>
      <c r="D6381">
        <v>1.01286644773641</v>
      </c>
      <c r="E6381">
        <v>0.98165611717196</v>
      </c>
      <c r="F6381">
        <v>0.58812373538632501</v>
      </c>
      <c r="G6381">
        <v>0.41641024453953401</v>
      </c>
      <c r="H6381">
        <v>0.24188762628188701</v>
      </c>
      <c r="I6381">
        <v>0.27285618712697202</v>
      </c>
      <c r="J6381">
        <v>0.283323282684528</v>
      </c>
      <c r="K6381">
        <v>0.260742715086759</v>
      </c>
      <c r="L6381">
        <v>1706.9197882575199</v>
      </c>
      <c r="M6381">
        <v>32.128161973616798</v>
      </c>
      <c r="N6381">
        <v>54.452369877083598</v>
      </c>
      <c r="O6381">
        <v>52.9238844375095</v>
      </c>
      <c r="P6381">
        <v>-0.110629150494137</v>
      </c>
      <c r="Q6381">
        <v>0.27105732932780402</v>
      </c>
      <c r="R6381">
        <v>0.99065868671552404</v>
      </c>
      <c r="S6381" t="s">
        <v>12833</v>
      </c>
      <c r="T6381" t="s">
        <v>12902</v>
      </c>
      <c r="U6381" t="s">
        <v>12902</v>
      </c>
      <c r="V6381" t="s">
        <v>12902</v>
      </c>
      <c r="W6381" t="s">
        <v>19230</v>
      </c>
      <c r="X6381">
        <v>7</v>
      </c>
      <c r="Y6381" t="s">
        <v>25509</v>
      </c>
      <c r="Z6381" t="s">
        <v>31956</v>
      </c>
      <c r="AA6381">
        <v>0.59419256541555443</v>
      </c>
      <c r="AB6381" t="str">
        <f>HYPERLINK("Melting_Curves/meltCurve_Q9Y5S9_RBM8A.pdf", "Melting_Curves/meltCurve_Q9Y5S9_RBM8A.pdf")</f>
        <v>Melting_Curves/meltCurve_Q9Y5S9_RBM8A.pdf</v>
      </c>
    </row>
    <row r="6382" spans="1:28" x14ac:dyDescent="0.25">
      <c r="A6382" t="s">
        <v>6386</v>
      </c>
      <c r="B6382">
        <v>0.99673306730245903</v>
      </c>
      <c r="C6382">
        <v>0.96282978260471797</v>
      </c>
      <c r="D6382">
        <v>0.84959177183077095</v>
      </c>
      <c r="E6382">
        <v>0.702690931352559</v>
      </c>
      <c r="F6382">
        <v>0.52086528022141698</v>
      </c>
      <c r="G6382">
        <v>0.40843563758089402</v>
      </c>
      <c r="H6382">
        <v>0.32449615906788798</v>
      </c>
      <c r="I6382">
        <v>0.40586690805659897</v>
      </c>
      <c r="J6382">
        <v>0.49031333854024101</v>
      </c>
      <c r="K6382">
        <v>0.54053547745327002</v>
      </c>
      <c r="L6382">
        <v>1047.92666763545</v>
      </c>
      <c r="M6382">
        <v>21.4568291473473</v>
      </c>
      <c r="N6382">
        <v>53.774434888750797</v>
      </c>
      <c r="O6382">
        <v>48.420571411346003</v>
      </c>
      <c r="P6382">
        <v>-6.3122962185896594E-2</v>
      </c>
      <c r="Q6382">
        <v>0.43022819043398702</v>
      </c>
      <c r="R6382">
        <v>0.93628384966144795</v>
      </c>
      <c r="S6382" t="s">
        <v>12834</v>
      </c>
      <c r="T6382" t="s">
        <v>12902</v>
      </c>
      <c r="U6382" t="s">
        <v>12902</v>
      </c>
      <c r="V6382" t="s">
        <v>12902</v>
      </c>
      <c r="W6382" t="s">
        <v>19231</v>
      </c>
      <c r="X6382">
        <v>6</v>
      </c>
      <c r="Y6382" t="s">
        <v>25510</v>
      </c>
      <c r="Z6382" t="s">
        <v>31957</v>
      </c>
      <c r="AA6382">
        <v>0.60501776977663912</v>
      </c>
      <c r="AB6382" t="str">
        <f>HYPERLINK("Melting_Curves/meltCurve_Q9Y5T4_DNAJC15.pdf", "Melting_Curves/meltCurve_Q9Y5T4_DNAJC15.pdf")</f>
        <v>Melting_Curves/meltCurve_Q9Y5T4_DNAJC15.pdf</v>
      </c>
    </row>
    <row r="6383" spans="1:28" x14ac:dyDescent="0.25">
      <c r="A6383" t="s">
        <v>6387</v>
      </c>
      <c r="B6383">
        <v>0.99673306730245903</v>
      </c>
      <c r="C6383">
        <v>0.87622665735622196</v>
      </c>
      <c r="D6383">
        <v>0.86147990348135195</v>
      </c>
      <c r="E6383">
        <v>0.75536412714305301</v>
      </c>
      <c r="F6383">
        <v>0.98391979835573895</v>
      </c>
      <c r="G6383">
        <v>1.37264459510881</v>
      </c>
      <c r="H6383">
        <v>1.34307190359003</v>
      </c>
      <c r="I6383">
        <v>1.9025772227983999</v>
      </c>
      <c r="J6383">
        <v>3.18058382320651</v>
      </c>
      <c r="K6383">
        <v>3.0446365512404099</v>
      </c>
      <c r="L6383">
        <v>5039.4137347823598</v>
      </c>
      <c r="M6383">
        <v>89.779812937240806</v>
      </c>
      <c r="O6383">
        <v>56.102979247615302</v>
      </c>
      <c r="P6383">
        <v>0.20003353996588799</v>
      </c>
      <c r="Q6383">
        <v>1.5</v>
      </c>
      <c r="R6383">
        <v>0.245043937125203</v>
      </c>
      <c r="S6383" t="s">
        <v>12835</v>
      </c>
      <c r="T6383" t="s">
        <v>12902</v>
      </c>
      <c r="U6383" t="s">
        <v>12902</v>
      </c>
      <c r="V6383" t="s">
        <v>12902</v>
      </c>
      <c r="W6383" t="s">
        <v>19232</v>
      </c>
      <c r="X6383">
        <v>6</v>
      </c>
      <c r="Y6383" t="s">
        <v>25511</v>
      </c>
      <c r="Z6383" t="s">
        <v>31958</v>
      </c>
      <c r="AA6383">
        <v>1.2307706579234621</v>
      </c>
      <c r="AB6383" t="str">
        <f>HYPERLINK("Melting_Curves/meltCurve_Q9Y5U2_2_TSSC4.pdf", "Melting_Curves/meltCurve_Q9Y5U2_2_TSSC4.pdf")</f>
        <v>Melting_Curves/meltCurve_Q9Y5U2_2_TSSC4.pdf</v>
      </c>
    </row>
    <row r="6384" spans="1:28" x14ac:dyDescent="0.25">
      <c r="A6384" t="s">
        <v>6388</v>
      </c>
      <c r="B6384">
        <v>0.99673306730245903</v>
      </c>
      <c r="C6384">
        <v>1.0157879517599699</v>
      </c>
      <c r="D6384">
        <v>0.99960567235133202</v>
      </c>
      <c r="E6384">
        <v>0.92166954121980504</v>
      </c>
      <c r="F6384">
        <v>0.86751316030040304</v>
      </c>
      <c r="G6384">
        <v>0.77735022475343696</v>
      </c>
      <c r="H6384">
        <v>0.530411535852926</v>
      </c>
      <c r="I6384">
        <v>0.58488630399581598</v>
      </c>
      <c r="J6384">
        <v>0.80303315418733801</v>
      </c>
      <c r="K6384">
        <v>0.72076978868139396</v>
      </c>
      <c r="L6384">
        <v>1475.0861798184601</v>
      </c>
      <c r="M6384">
        <v>27.443210523617001</v>
      </c>
      <c r="O6384">
        <v>53.467519678387902</v>
      </c>
      <c r="P6384">
        <v>-4.2794687162969698E-2</v>
      </c>
      <c r="Q6384">
        <v>0.66649608570666996</v>
      </c>
      <c r="R6384">
        <v>0.78963549252672505</v>
      </c>
      <c r="S6384" t="s">
        <v>12836</v>
      </c>
      <c r="T6384" t="s">
        <v>12902</v>
      </c>
      <c r="U6384" t="s">
        <v>12902</v>
      </c>
      <c r="V6384" t="s">
        <v>12902</v>
      </c>
      <c r="W6384" t="s">
        <v>19233</v>
      </c>
      <c r="X6384">
        <v>3</v>
      </c>
      <c r="Y6384" t="s">
        <v>25512</v>
      </c>
      <c r="Z6384" t="s">
        <v>31959</v>
      </c>
      <c r="AA6384">
        <v>0.82194849943108284</v>
      </c>
      <c r="AB6384" t="str">
        <f>HYPERLINK("Melting_Curves/meltCurve_Q9Y5V0_ZNF706.pdf", "Melting_Curves/meltCurve_Q9Y5V0_ZNF706.pdf")</f>
        <v>Melting_Curves/meltCurve_Q9Y5V0_ZNF706.pdf</v>
      </c>
    </row>
    <row r="6385" spans="1:28" x14ac:dyDescent="0.25">
      <c r="A6385" t="s">
        <v>6389</v>
      </c>
      <c r="B6385">
        <v>0.99673306730245903</v>
      </c>
      <c r="C6385">
        <v>0.94030413637561905</v>
      </c>
      <c r="D6385">
        <v>0.91078910371739397</v>
      </c>
      <c r="E6385">
        <v>0.53141825078744098</v>
      </c>
      <c r="F6385">
        <v>0.12946476534965101</v>
      </c>
      <c r="G6385">
        <v>8.5559692743127594E-2</v>
      </c>
      <c r="H6385">
        <v>5.9534921365894597E-2</v>
      </c>
      <c r="I6385">
        <v>5.45495868096166E-2</v>
      </c>
      <c r="J6385">
        <v>8.3458581439559698E-2</v>
      </c>
      <c r="K6385">
        <v>6.8712240226264099E-2</v>
      </c>
      <c r="L6385">
        <v>1583.64054751393</v>
      </c>
      <c r="M6385">
        <v>31.989757336630898</v>
      </c>
      <c r="N6385">
        <v>49.714704416643301</v>
      </c>
      <c r="O6385">
        <v>49.312349467633801</v>
      </c>
      <c r="P6385">
        <v>-0.15192681468494601</v>
      </c>
      <c r="Q6385">
        <v>6.3221104855136601E-2</v>
      </c>
      <c r="R6385">
        <v>0.99710921079439696</v>
      </c>
      <c r="S6385" t="s">
        <v>12837</v>
      </c>
      <c r="T6385" t="s">
        <v>12902</v>
      </c>
      <c r="U6385" t="s">
        <v>12902</v>
      </c>
      <c r="V6385" t="s">
        <v>12902</v>
      </c>
      <c r="W6385" t="s">
        <v>19234</v>
      </c>
      <c r="X6385">
        <v>6</v>
      </c>
      <c r="Y6385" t="s">
        <v>25513</v>
      </c>
      <c r="Z6385" t="s">
        <v>31960</v>
      </c>
      <c r="AA6385">
        <v>0.36505653238347691</v>
      </c>
      <c r="AB6385" t="str">
        <f>HYPERLINK("Melting_Curves/meltCurve_Q9Y5X1_SNX9.pdf", "Melting_Curves/meltCurve_Q9Y5X1_SNX9.pdf")</f>
        <v>Melting_Curves/meltCurve_Q9Y5X1_SNX9.pdf</v>
      </c>
    </row>
    <row r="6386" spans="1:28" x14ac:dyDescent="0.25">
      <c r="A6386" t="s">
        <v>6390</v>
      </c>
      <c r="B6386">
        <v>0.99673306730245903</v>
      </c>
      <c r="C6386">
        <v>0.99630749317244405</v>
      </c>
      <c r="D6386">
        <v>0.98065991614165604</v>
      </c>
      <c r="E6386">
        <v>0.98962063326948801</v>
      </c>
      <c r="F6386">
        <v>0.93289676342785299</v>
      </c>
      <c r="G6386">
        <v>0.77410575623903499</v>
      </c>
      <c r="H6386">
        <v>0.37238547337622402</v>
      </c>
      <c r="I6386">
        <v>9.78790591375263E-2</v>
      </c>
      <c r="J6386">
        <v>6.7060661768036503E-2</v>
      </c>
      <c r="K6386">
        <v>5.5313918934622702E-2</v>
      </c>
      <c r="L6386">
        <v>1624.13755662013</v>
      </c>
      <c r="M6386">
        <v>27.394727175865899</v>
      </c>
      <c r="N6386">
        <v>59.389588453259996</v>
      </c>
      <c r="O6386">
        <v>58.973285285528299</v>
      </c>
      <c r="P6386">
        <v>-0.11343654949858301</v>
      </c>
      <c r="Q6386">
        <v>2.3218833223217598E-2</v>
      </c>
      <c r="R6386">
        <v>0.99785693101725204</v>
      </c>
      <c r="S6386" t="s">
        <v>12838</v>
      </c>
      <c r="T6386" t="s">
        <v>12902</v>
      </c>
      <c r="U6386" t="s">
        <v>12902</v>
      </c>
      <c r="V6386" t="s">
        <v>12902</v>
      </c>
      <c r="W6386" t="s">
        <v>19235</v>
      </c>
      <c r="X6386">
        <v>8</v>
      </c>
      <c r="Y6386" t="s">
        <v>25514</v>
      </c>
      <c r="Z6386" t="s">
        <v>31961</v>
      </c>
      <c r="AA6386">
        <v>0.65817994697060778</v>
      </c>
      <c r="AB6386" t="str">
        <f>HYPERLINK("Melting_Curves/meltCurve_Q9Y5X2_SNX8.pdf", "Melting_Curves/meltCurve_Q9Y5X2_SNX8.pdf")</f>
        <v>Melting_Curves/meltCurve_Q9Y5X2_SNX8.pdf</v>
      </c>
    </row>
    <row r="6387" spans="1:28" x14ac:dyDescent="0.25">
      <c r="A6387" t="s">
        <v>6391</v>
      </c>
      <c r="B6387">
        <v>0.99673306730245903</v>
      </c>
      <c r="C6387">
        <v>0.87675765518419202</v>
      </c>
      <c r="D6387">
        <v>0.644678039334871</v>
      </c>
      <c r="E6387">
        <v>0.74946833282444603</v>
      </c>
      <c r="F6387">
        <v>0.21605739275823299</v>
      </c>
      <c r="G6387">
        <v>0.1151816172282</v>
      </c>
      <c r="H6387">
        <v>6.9294826519047198E-2</v>
      </c>
      <c r="I6387">
        <v>4.9579685228565602E-2</v>
      </c>
      <c r="J6387">
        <v>5.6766313766249597E-2</v>
      </c>
      <c r="K6387">
        <v>4.0984623028301401E-2</v>
      </c>
      <c r="L6387">
        <v>695.67708348827</v>
      </c>
      <c r="M6387">
        <v>13.868420013857</v>
      </c>
      <c r="N6387">
        <v>50.162676856056002</v>
      </c>
      <c r="O6387">
        <v>49.154223211536298</v>
      </c>
      <c r="P6387">
        <v>-7.0544948130720805E-2</v>
      </c>
      <c r="Q6387">
        <v>0</v>
      </c>
      <c r="R6387">
        <v>0.94322101531060798</v>
      </c>
      <c r="S6387" t="s">
        <v>12839</v>
      </c>
      <c r="T6387" t="s">
        <v>12902</v>
      </c>
      <c r="U6387" t="s">
        <v>12902</v>
      </c>
      <c r="V6387" t="s">
        <v>12902</v>
      </c>
      <c r="W6387" t="s">
        <v>19236</v>
      </c>
      <c r="X6387">
        <v>14</v>
      </c>
      <c r="Y6387" t="s">
        <v>25515</v>
      </c>
      <c r="Z6387" t="s">
        <v>31962</v>
      </c>
      <c r="AA6387">
        <v>0.36590159861944233</v>
      </c>
      <c r="AB6387" t="str">
        <f>HYPERLINK("Melting_Curves/meltCurve_Q9Y5X3_SNX5.pdf", "Melting_Curves/meltCurve_Q9Y5X3_SNX5.pdf")</f>
        <v>Melting_Curves/meltCurve_Q9Y5X3_SNX5.pdf</v>
      </c>
    </row>
    <row r="6388" spans="1:28" x14ac:dyDescent="0.25">
      <c r="A6388" t="s">
        <v>6392</v>
      </c>
      <c r="B6388">
        <v>0.99673306730245903</v>
      </c>
      <c r="C6388">
        <v>0.94507572815829999</v>
      </c>
      <c r="D6388">
        <v>0.96949765687410405</v>
      </c>
      <c r="E6388">
        <v>0.75901568188761703</v>
      </c>
      <c r="F6388">
        <v>0.73186604671770605</v>
      </c>
      <c r="G6388">
        <v>0.58903991155625002</v>
      </c>
      <c r="H6388">
        <v>0.579572786387346</v>
      </c>
      <c r="I6388">
        <v>0.447817832617944</v>
      </c>
      <c r="J6388">
        <v>0.35053669040242502</v>
      </c>
      <c r="K6388">
        <v>0.26715701503168399</v>
      </c>
      <c r="L6388">
        <v>412.765497392366</v>
      </c>
      <c r="M6388">
        <v>6.74092606785638</v>
      </c>
      <c r="N6388">
        <v>61.232758412653098</v>
      </c>
      <c r="O6388">
        <v>56.520069155490603</v>
      </c>
      <c r="P6388">
        <v>-2.98799670992872E-2</v>
      </c>
      <c r="Q6388">
        <v>0</v>
      </c>
      <c r="R6388">
        <v>0.97118681420342301</v>
      </c>
      <c r="S6388" t="s">
        <v>12840</v>
      </c>
      <c r="T6388" t="s">
        <v>12902</v>
      </c>
      <c r="U6388" t="s">
        <v>12902</v>
      </c>
      <c r="V6388" t="s">
        <v>12902</v>
      </c>
      <c r="W6388" t="s">
        <v>19237</v>
      </c>
      <c r="X6388">
        <v>3</v>
      </c>
      <c r="Y6388" t="s">
        <v>25516</v>
      </c>
      <c r="Z6388" t="s">
        <v>31963</v>
      </c>
      <c r="AA6388">
        <v>0.66675559940110163</v>
      </c>
      <c r="AB6388" t="str">
        <f>HYPERLINK("Melting_Curves/meltCurve_Q9Y5Y0_FLVCR1.pdf", "Melting_Curves/meltCurve_Q9Y5Y0_FLVCR1.pdf")</f>
        <v>Melting_Curves/meltCurve_Q9Y5Y0_FLVCR1.pdf</v>
      </c>
    </row>
    <row r="6389" spans="1:28" x14ac:dyDescent="0.25">
      <c r="A6389" t="s">
        <v>6393</v>
      </c>
      <c r="B6389">
        <v>0.99673306730245903</v>
      </c>
      <c r="C6389">
        <v>1.0446102485787601</v>
      </c>
      <c r="D6389">
        <v>0.95044591948088697</v>
      </c>
      <c r="E6389">
        <v>0.78666714022972795</v>
      </c>
      <c r="F6389">
        <v>0.39373012897127402</v>
      </c>
      <c r="G6389">
        <v>0.182735982750904</v>
      </c>
      <c r="H6389">
        <v>9.2881525637432905E-2</v>
      </c>
      <c r="I6389">
        <v>8.5944903706126605E-2</v>
      </c>
      <c r="J6389">
        <v>0.10539212310462499</v>
      </c>
      <c r="K6389">
        <v>8.7203198793647393E-2</v>
      </c>
      <c r="L6389">
        <v>1339.7613836753901</v>
      </c>
      <c r="M6389">
        <v>25.846862969589299</v>
      </c>
      <c r="N6389">
        <v>52.221078032055097</v>
      </c>
      <c r="O6389">
        <v>51.527294610312403</v>
      </c>
      <c r="P6389">
        <v>-0.114487601799811</v>
      </c>
      <c r="Q6389">
        <v>8.7058877840604995E-2</v>
      </c>
      <c r="R6389">
        <v>0.99794640817720204</v>
      </c>
      <c r="S6389" t="s">
        <v>12841</v>
      </c>
      <c r="T6389" t="s">
        <v>12902</v>
      </c>
      <c r="U6389" t="s">
        <v>12902</v>
      </c>
      <c r="V6389" t="s">
        <v>12902</v>
      </c>
      <c r="W6389" t="s">
        <v>19238</v>
      </c>
      <c r="X6389">
        <v>7</v>
      </c>
      <c r="Y6389" t="s">
        <v>25517</v>
      </c>
      <c r="Z6389" t="s">
        <v>31964</v>
      </c>
      <c r="AA6389">
        <v>0.45500171236695502</v>
      </c>
      <c r="AB6389" t="str">
        <f>HYPERLINK("Melting_Curves/meltCurve_Q9Y5Y2_NUBP2.pdf", "Melting_Curves/meltCurve_Q9Y5Y2_NUBP2.pdf")</f>
        <v>Melting_Curves/meltCurve_Q9Y5Y2_NUBP2.pdf</v>
      </c>
    </row>
    <row r="6390" spans="1:28" x14ac:dyDescent="0.25">
      <c r="A6390" t="s">
        <v>6394</v>
      </c>
      <c r="B6390">
        <v>0.99673306730245903</v>
      </c>
      <c r="C6390">
        <v>0.96878545412263695</v>
      </c>
      <c r="D6390">
        <v>0.88269260385224102</v>
      </c>
      <c r="E6390">
        <v>0.68553038571628899</v>
      </c>
      <c r="F6390">
        <v>0.463073078883805</v>
      </c>
      <c r="G6390">
        <v>0.32976600290090802</v>
      </c>
      <c r="H6390">
        <v>0.243709531343685</v>
      </c>
      <c r="I6390">
        <v>0.25381075700414202</v>
      </c>
      <c r="J6390">
        <v>0.25610334935668899</v>
      </c>
      <c r="K6390">
        <v>0.22875512238457499</v>
      </c>
      <c r="L6390">
        <v>891.19125397909499</v>
      </c>
      <c r="M6390">
        <v>17.602260412706901</v>
      </c>
      <c r="N6390">
        <v>52.448469115977403</v>
      </c>
      <c r="O6390">
        <v>49.989468770736103</v>
      </c>
      <c r="P6390">
        <v>-6.7921916431861504E-2</v>
      </c>
      <c r="Q6390">
        <v>0.22846329082118999</v>
      </c>
      <c r="R6390">
        <v>0.99893952842292399</v>
      </c>
      <c r="S6390" t="s">
        <v>12842</v>
      </c>
      <c r="T6390" t="s">
        <v>12902</v>
      </c>
      <c r="U6390" t="s">
        <v>12902</v>
      </c>
      <c r="V6390" t="s">
        <v>12902</v>
      </c>
      <c r="W6390" t="s">
        <v>19239</v>
      </c>
      <c r="X6390">
        <v>17</v>
      </c>
      <c r="Y6390" t="s">
        <v>25518</v>
      </c>
      <c r="Z6390" t="s">
        <v>31965</v>
      </c>
      <c r="AA6390">
        <v>0.51542973287612104</v>
      </c>
      <c r="AB6390" t="str">
        <f>HYPERLINK("Melting_Curves/meltCurve_Q9Y5Y6_ST14.pdf", "Melting_Curves/meltCurve_Q9Y5Y6_ST14.pdf")</f>
        <v>Melting_Curves/meltCurve_Q9Y5Y6_ST14.pdf</v>
      </c>
    </row>
    <row r="6391" spans="1:28" x14ac:dyDescent="0.25">
      <c r="A6391" t="s">
        <v>6395</v>
      </c>
      <c r="B6391">
        <v>0.99673306730245903</v>
      </c>
      <c r="C6391">
        <v>0.99217684807996398</v>
      </c>
      <c r="D6391">
        <v>0.943037059458533</v>
      </c>
      <c r="E6391">
        <v>0.88667391704950804</v>
      </c>
      <c r="F6391">
        <v>0.51027932748575899</v>
      </c>
      <c r="G6391">
        <v>0.268659652585715</v>
      </c>
      <c r="H6391">
        <v>0.13652039527267101</v>
      </c>
      <c r="I6391">
        <v>0.15358128438260901</v>
      </c>
      <c r="J6391">
        <v>0.19115225556044799</v>
      </c>
      <c r="K6391">
        <v>0.206140374126629</v>
      </c>
      <c r="L6391">
        <v>1544.7157310319201</v>
      </c>
      <c r="M6391">
        <v>29.382054384032099</v>
      </c>
      <c r="N6391">
        <v>53.325951542996101</v>
      </c>
      <c r="O6391">
        <v>52.331715562957797</v>
      </c>
      <c r="P6391">
        <v>-0.116544535275989</v>
      </c>
      <c r="Q6391">
        <v>0.16970649355458101</v>
      </c>
      <c r="R6391">
        <v>0.99480994604296002</v>
      </c>
      <c r="S6391" t="s">
        <v>12843</v>
      </c>
      <c r="T6391" t="s">
        <v>12902</v>
      </c>
      <c r="U6391" t="s">
        <v>12902</v>
      </c>
      <c r="V6391" t="s">
        <v>12902</v>
      </c>
      <c r="W6391" t="s">
        <v>19240</v>
      </c>
      <c r="X6391">
        <v>14</v>
      </c>
      <c r="Y6391" t="s">
        <v>25519</v>
      </c>
      <c r="Z6391" t="s">
        <v>31966</v>
      </c>
      <c r="AA6391">
        <v>0.52326984096700702</v>
      </c>
      <c r="AB6391" t="str">
        <f>HYPERLINK("Melting_Curves/meltCurve_Q9Y5Z4_HEBP2.pdf", "Melting_Curves/meltCurve_Q9Y5Z4_HEBP2.pdf")</f>
        <v>Melting_Curves/meltCurve_Q9Y5Z4_HEBP2.pdf</v>
      </c>
    </row>
    <row r="6392" spans="1:28" x14ac:dyDescent="0.25">
      <c r="A6392" t="s">
        <v>6396</v>
      </c>
      <c r="B6392">
        <v>0.99673306730245903</v>
      </c>
      <c r="C6392">
        <v>0.97147605371689705</v>
      </c>
      <c r="D6392">
        <v>0.77939630987305497</v>
      </c>
      <c r="E6392">
        <v>0.556194932958882</v>
      </c>
      <c r="F6392">
        <v>0.26742646359661498</v>
      </c>
      <c r="G6392">
        <v>0.174897685089971</v>
      </c>
      <c r="H6392">
        <v>0.100912757293209</v>
      </c>
      <c r="I6392">
        <v>0.127693633652571</v>
      </c>
      <c r="J6392">
        <v>0.15812595038813601</v>
      </c>
      <c r="K6392">
        <v>0.15634149428174601</v>
      </c>
      <c r="L6392">
        <v>971.10030909712896</v>
      </c>
      <c r="M6392">
        <v>19.773015329888601</v>
      </c>
      <c r="N6392">
        <v>49.842211630537697</v>
      </c>
      <c r="O6392">
        <v>48.618347010096699</v>
      </c>
      <c r="P6392">
        <v>-8.8898240386243998E-2</v>
      </c>
      <c r="Q6392">
        <v>0.12568967147367399</v>
      </c>
      <c r="R6392">
        <v>0.99411510991395802</v>
      </c>
      <c r="S6392" t="s">
        <v>12844</v>
      </c>
      <c r="T6392" t="s">
        <v>12902</v>
      </c>
      <c r="U6392" t="s">
        <v>12902</v>
      </c>
      <c r="V6392" t="s">
        <v>12902</v>
      </c>
      <c r="W6392" t="s">
        <v>19241</v>
      </c>
      <c r="X6392">
        <v>1</v>
      </c>
      <c r="Y6392" t="s">
        <v>25520</v>
      </c>
      <c r="Z6392" t="s">
        <v>31967</v>
      </c>
      <c r="AA6392">
        <v>0.40377907806544627</v>
      </c>
      <c r="AB6392" t="str">
        <f>HYPERLINK("Melting_Curves/meltCurve_Q9Y605_MRFAP1.pdf", "Melting_Curves/meltCurve_Q9Y605_MRFAP1.pdf")</f>
        <v>Melting_Curves/meltCurve_Q9Y605_MRFAP1.pdf</v>
      </c>
    </row>
    <row r="6393" spans="1:28" x14ac:dyDescent="0.25">
      <c r="A6393" t="s">
        <v>6397</v>
      </c>
      <c r="B6393">
        <v>0.99673306730245903</v>
      </c>
      <c r="C6393">
        <v>0.90821990413102804</v>
      </c>
      <c r="D6393">
        <v>0.91020423806431505</v>
      </c>
      <c r="E6393">
        <v>0.79361701761406001</v>
      </c>
      <c r="F6393">
        <v>1.12023624984113</v>
      </c>
      <c r="G6393">
        <v>1.00541193880863</v>
      </c>
      <c r="H6393">
        <v>0.88460236768798395</v>
      </c>
      <c r="I6393">
        <v>1.5006732836135199</v>
      </c>
      <c r="J6393">
        <v>2.0858042715552001</v>
      </c>
      <c r="K6393">
        <v>2.1404286745277799</v>
      </c>
      <c r="L6393">
        <v>15000</v>
      </c>
      <c r="M6393">
        <v>239.00998856097399</v>
      </c>
      <c r="O6393">
        <v>62.754485547258597</v>
      </c>
      <c r="P6393">
        <v>0.47608145446156203</v>
      </c>
      <c r="Q6393">
        <v>1.5</v>
      </c>
      <c r="R6393">
        <v>0.62930097851970401</v>
      </c>
      <c r="S6393" t="s">
        <v>12845</v>
      </c>
      <c r="T6393" t="s">
        <v>12902</v>
      </c>
      <c r="U6393" t="s">
        <v>12902</v>
      </c>
      <c r="V6393" t="s">
        <v>12902</v>
      </c>
      <c r="W6393" t="s">
        <v>19242</v>
      </c>
      <c r="X6393">
        <v>14</v>
      </c>
      <c r="Y6393" t="s">
        <v>25521</v>
      </c>
      <c r="Z6393" t="s">
        <v>31968</v>
      </c>
      <c r="AA6393">
        <v>1.1206250243624529</v>
      </c>
      <c r="AB6393" t="str">
        <f>HYPERLINK("Melting_Curves/meltCurve_Q9Y608_2_LRRFIP2.pdf", "Melting_Curves/meltCurve_Q9Y608_2_LRRFIP2.pdf")</f>
        <v>Melting_Curves/meltCurve_Q9Y608_2_LRRFIP2.pdf</v>
      </c>
    </row>
    <row r="6394" spans="1:28" x14ac:dyDescent="0.25">
      <c r="A6394" t="s">
        <v>6398</v>
      </c>
      <c r="B6394">
        <v>0.99673306730245903</v>
      </c>
      <c r="C6394">
        <v>0.74924481481918603</v>
      </c>
      <c r="D6394">
        <v>0.33119419941463302</v>
      </c>
      <c r="E6394">
        <v>0.26168085358630599</v>
      </c>
      <c r="F6394">
        <v>0.196711163448717</v>
      </c>
      <c r="G6394">
        <v>0.14581348104717001</v>
      </c>
      <c r="H6394">
        <v>8.2109216249961994E-2</v>
      </c>
      <c r="I6394">
        <v>8.5165451538696896E-2</v>
      </c>
      <c r="J6394">
        <v>9.2408817533578796E-2</v>
      </c>
      <c r="K6394">
        <v>8.8947107264365E-2</v>
      </c>
      <c r="L6394">
        <v>1112.1094207216499</v>
      </c>
      <c r="M6394">
        <v>25.0396711679515</v>
      </c>
      <c r="N6394">
        <v>44.904079614564203</v>
      </c>
      <c r="O6394">
        <v>44.133532442429001</v>
      </c>
      <c r="P6394">
        <v>-0.12488052666982601</v>
      </c>
      <c r="Q6394">
        <v>0.11958199222999299</v>
      </c>
      <c r="R6394">
        <v>0.97728762790167101</v>
      </c>
      <c r="S6394" t="s">
        <v>12846</v>
      </c>
      <c r="T6394" t="s">
        <v>12902</v>
      </c>
      <c r="U6394" t="s">
        <v>12902</v>
      </c>
      <c r="V6394" t="s">
        <v>12902</v>
      </c>
      <c r="W6394" t="s">
        <v>19243</v>
      </c>
      <c r="X6394">
        <v>6</v>
      </c>
      <c r="Y6394" t="s">
        <v>25522</v>
      </c>
      <c r="Z6394" t="s">
        <v>31969</v>
      </c>
      <c r="AA6394">
        <v>0.25851300656790521</v>
      </c>
      <c r="AB6394" t="str">
        <f>HYPERLINK("Melting_Curves/meltCurve_Q9Y613_FHOD1.pdf", "Melting_Curves/meltCurve_Q9Y613_FHOD1.pdf")</f>
        <v>Melting_Curves/meltCurve_Q9Y613_FHOD1.pdf</v>
      </c>
    </row>
    <row r="6395" spans="1:28" x14ac:dyDescent="0.25">
      <c r="A6395" t="s">
        <v>6399</v>
      </c>
      <c r="B6395">
        <v>0.99673306730245903</v>
      </c>
      <c r="C6395">
        <v>1.0169032619409599</v>
      </c>
      <c r="D6395">
        <v>1.0200164949905599</v>
      </c>
      <c r="E6395">
        <v>1.0648769249368499</v>
      </c>
      <c r="F6395">
        <v>0.95612966311223202</v>
      </c>
      <c r="G6395">
        <v>0.76470938767763297</v>
      </c>
      <c r="H6395">
        <v>0.35144428202642403</v>
      </c>
      <c r="I6395">
        <v>0.16758733388771099</v>
      </c>
      <c r="J6395">
        <v>9.1659477043249699E-2</v>
      </c>
      <c r="K6395">
        <v>6.4629622937771303E-2</v>
      </c>
      <c r="L6395">
        <v>1637.47967583735</v>
      </c>
      <c r="M6395">
        <v>27.714119059046901</v>
      </c>
      <c r="N6395">
        <v>59.350666229318101</v>
      </c>
      <c r="O6395">
        <v>58.7796005849982</v>
      </c>
      <c r="P6395">
        <v>-0.110990050411301</v>
      </c>
      <c r="Q6395">
        <v>5.84013762118962E-2</v>
      </c>
      <c r="R6395">
        <v>0.99654711456016998</v>
      </c>
      <c r="S6395" t="s">
        <v>12847</v>
      </c>
      <c r="T6395" t="s">
        <v>12902</v>
      </c>
      <c r="U6395" t="s">
        <v>12902</v>
      </c>
      <c r="V6395" t="s">
        <v>12902</v>
      </c>
      <c r="W6395" t="s">
        <v>19244</v>
      </c>
      <c r="X6395">
        <v>27</v>
      </c>
      <c r="Y6395" t="s">
        <v>25523</v>
      </c>
      <c r="Z6395" t="s">
        <v>31970</v>
      </c>
      <c r="AA6395">
        <v>0.66413528156434865</v>
      </c>
      <c r="AB6395" t="str">
        <f>HYPERLINK("Melting_Curves/meltCurve_Q9Y617_PSAT1.pdf", "Melting_Curves/meltCurve_Q9Y617_PSAT1.pdf")</f>
        <v>Melting_Curves/meltCurve_Q9Y617_PSAT1.pdf</v>
      </c>
    </row>
    <row r="6396" spans="1:28" x14ac:dyDescent="0.25">
      <c r="A6396" t="s">
        <v>6400</v>
      </c>
      <c r="B6396">
        <v>0.99673306730245903</v>
      </c>
      <c r="C6396">
        <v>0.96855408057332604</v>
      </c>
      <c r="D6396">
        <v>0.86972732917818096</v>
      </c>
      <c r="E6396">
        <v>0.78282597844449298</v>
      </c>
      <c r="F6396">
        <v>0.67904278282067598</v>
      </c>
      <c r="G6396">
        <v>0.57643234465398197</v>
      </c>
      <c r="H6396">
        <v>0.52456271635396801</v>
      </c>
      <c r="I6396">
        <v>0.67548491092381402</v>
      </c>
      <c r="J6396">
        <v>0.736107044119508</v>
      </c>
      <c r="K6396">
        <v>0.55457509233165003</v>
      </c>
      <c r="L6396">
        <v>938.72004323404997</v>
      </c>
      <c r="M6396">
        <v>19.455886036580999</v>
      </c>
      <c r="O6396">
        <v>47.747591011896397</v>
      </c>
      <c r="P6396">
        <v>-3.9523954615223997E-2</v>
      </c>
      <c r="Q6396">
        <v>0.61202381727132404</v>
      </c>
      <c r="R6396">
        <v>0.85968680359718896</v>
      </c>
      <c r="S6396" t="s">
        <v>12848</v>
      </c>
      <c r="T6396" t="s">
        <v>12902</v>
      </c>
      <c r="U6396" t="s">
        <v>12902</v>
      </c>
      <c r="V6396" t="s">
        <v>12902</v>
      </c>
      <c r="W6396" t="s">
        <v>19245</v>
      </c>
      <c r="X6396">
        <v>7</v>
      </c>
      <c r="Y6396" t="s">
        <v>25524</v>
      </c>
      <c r="Z6396" t="s">
        <v>31971</v>
      </c>
      <c r="AA6396">
        <v>0.7245139687934169</v>
      </c>
      <c r="AB6396" t="str">
        <f>HYPERLINK("Melting_Curves/meltCurve_Q9Y619_SLC25A15.pdf", "Melting_Curves/meltCurve_Q9Y619_SLC25A15.pdf")</f>
        <v>Melting_Curves/meltCurve_Q9Y619_SLC25A15.pdf</v>
      </c>
    </row>
    <row r="6397" spans="1:28" x14ac:dyDescent="0.25">
      <c r="A6397" t="s">
        <v>6401</v>
      </c>
      <c r="B6397">
        <v>0.99673306730245903</v>
      </c>
      <c r="C6397">
        <v>0.95836892798435902</v>
      </c>
      <c r="D6397">
        <v>0.93888874052994498</v>
      </c>
      <c r="E6397">
        <v>0.82641003357391096</v>
      </c>
      <c r="F6397">
        <v>0.74325972063300905</v>
      </c>
      <c r="G6397">
        <v>0.61643707847920204</v>
      </c>
      <c r="H6397">
        <v>0.588551082363587</v>
      </c>
      <c r="I6397">
        <v>0.87388655262648596</v>
      </c>
      <c r="J6397">
        <v>0.89042626162336402</v>
      </c>
      <c r="K6397">
        <v>0.88847098871085495</v>
      </c>
      <c r="L6397">
        <v>1575.82151215927</v>
      </c>
      <c r="M6397">
        <v>33.245760529907301</v>
      </c>
      <c r="O6397">
        <v>47.228662058907197</v>
      </c>
      <c r="P6397">
        <v>-4.0856747945378101E-2</v>
      </c>
      <c r="Q6397">
        <v>0.76783792458776001</v>
      </c>
      <c r="R6397">
        <v>0.441408695071973</v>
      </c>
      <c r="S6397" t="s">
        <v>12849</v>
      </c>
      <c r="T6397" t="s">
        <v>12902</v>
      </c>
      <c r="U6397" t="s">
        <v>12902</v>
      </c>
      <c r="V6397" t="s">
        <v>12902</v>
      </c>
      <c r="W6397" t="s">
        <v>19246</v>
      </c>
      <c r="X6397">
        <v>10</v>
      </c>
      <c r="Y6397" t="s">
        <v>25525</v>
      </c>
      <c r="Z6397" t="s">
        <v>31972</v>
      </c>
      <c r="AA6397">
        <v>0.82621940448793296</v>
      </c>
      <c r="AB6397" t="str">
        <f>HYPERLINK("Melting_Curves/meltCurve_Q9Y639_NPTN.pdf", "Melting_Curves/meltCurve_Q9Y639_NPTN.pdf")</f>
        <v>Melting_Curves/meltCurve_Q9Y639_NPTN.pdf</v>
      </c>
    </row>
    <row r="6398" spans="1:28" x14ac:dyDescent="0.25">
      <c r="A6398" t="s">
        <v>6402</v>
      </c>
      <c r="B6398">
        <v>0.99673306730245903</v>
      </c>
      <c r="C6398">
        <v>1.00108578709009</v>
      </c>
      <c r="D6398">
        <v>1.0320613427618099</v>
      </c>
      <c r="E6398">
        <v>1.00113926078591</v>
      </c>
      <c r="F6398">
        <v>1.0030056017768101</v>
      </c>
      <c r="G6398">
        <v>0.7466290691427</v>
      </c>
      <c r="H6398">
        <v>0.59954421878366704</v>
      </c>
      <c r="I6398">
        <v>0.55849520136394204</v>
      </c>
      <c r="J6398">
        <v>0.34393690579202302</v>
      </c>
      <c r="K6398">
        <v>0.16204404456336699</v>
      </c>
      <c r="L6398">
        <v>847.51426863966401</v>
      </c>
      <c r="M6398">
        <v>13.358675175543899</v>
      </c>
      <c r="N6398">
        <v>63.443001672724399</v>
      </c>
      <c r="O6398">
        <v>62.071892520092902</v>
      </c>
      <c r="P6398">
        <v>-5.3811806066537897E-2</v>
      </c>
      <c r="Q6398">
        <v>0</v>
      </c>
      <c r="R6398">
        <v>0.96960854004502495</v>
      </c>
      <c r="S6398" t="s">
        <v>12850</v>
      </c>
      <c r="T6398" t="s">
        <v>12902</v>
      </c>
      <c r="U6398" t="s">
        <v>12902</v>
      </c>
      <c r="V6398" t="s">
        <v>12902</v>
      </c>
      <c r="W6398" t="s">
        <v>19247</v>
      </c>
      <c r="X6398">
        <v>3</v>
      </c>
      <c r="Y6398" t="s">
        <v>25526</v>
      </c>
      <c r="Z6398" t="s">
        <v>31973</v>
      </c>
      <c r="AA6398">
        <v>0.76364263181999681</v>
      </c>
      <c r="AB6398" t="str">
        <f>HYPERLINK("Melting_Curves/meltCurve_Q9Y646_CPQ.pdf", "Melting_Curves/meltCurve_Q9Y646_CPQ.pdf")</f>
        <v>Melting_Curves/meltCurve_Q9Y646_CPQ.pdf</v>
      </c>
    </row>
    <row r="6399" spans="1:28" x14ac:dyDescent="0.25">
      <c r="A6399" t="s">
        <v>6403</v>
      </c>
      <c r="B6399">
        <v>0.99673306730245903</v>
      </c>
      <c r="C6399">
        <v>0.97551629256438599</v>
      </c>
      <c r="D6399">
        <v>0.90462931378620504</v>
      </c>
      <c r="E6399">
        <v>0.78195203719926698</v>
      </c>
      <c r="F6399">
        <v>0.58600022697881904</v>
      </c>
      <c r="G6399">
        <v>0.32541056958950199</v>
      </c>
      <c r="H6399">
        <v>0.15376021255085001</v>
      </c>
      <c r="I6399">
        <v>0.113511022526192</v>
      </c>
      <c r="J6399">
        <v>0.13277927168263601</v>
      </c>
      <c r="K6399">
        <v>0.111945182284707</v>
      </c>
      <c r="L6399">
        <v>862.26140660242595</v>
      </c>
      <c r="M6399">
        <v>16.1462461306213</v>
      </c>
      <c r="N6399">
        <v>53.944083965275198</v>
      </c>
      <c r="O6399">
        <v>52.604188988201898</v>
      </c>
      <c r="P6399">
        <v>-7.1005372339645503E-2</v>
      </c>
      <c r="Q6399">
        <v>7.4732952748374507E-2</v>
      </c>
      <c r="R6399">
        <v>0.99624237525796</v>
      </c>
      <c r="S6399" t="s">
        <v>12851</v>
      </c>
      <c r="T6399" t="s">
        <v>12902</v>
      </c>
      <c r="U6399" t="s">
        <v>12902</v>
      </c>
      <c r="V6399" t="s">
        <v>12902</v>
      </c>
      <c r="W6399" t="s">
        <v>19248</v>
      </c>
      <c r="X6399">
        <v>6</v>
      </c>
      <c r="Y6399" t="s">
        <v>25527</v>
      </c>
      <c r="Z6399" t="s">
        <v>31974</v>
      </c>
      <c r="AA6399">
        <v>0.50578755131177322</v>
      </c>
      <c r="AB6399" t="str">
        <f>HYPERLINK("Melting_Curves/meltCurve_Q9Y657_SPIN1.pdf", "Melting_Curves/meltCurve_Q9Y657_SPIN1.pdf")</f>
        <v>Melting_Curves/meltCurve_Q9Y657_SPIN1.pdf</v>
      </c>
    </row>
    <row r="6400" spans="1:28" x14ac:dyDescent="0.25">
      <c r="A6400" t="s">
        <v>6404</v>
      </c>
      <c r="B6400">
        <v>0.99673306730245903</v>
      </c>
      <c r="C6400">
        <v>0.88116891674734699</v>
      </c>
      <c r="D6400">
        <v>0.72703993819002</v>
      </c>
      <c r="E6400">
        <v>0.56735022379286004</v>
      </c>
      <c r="F6400">
        <v>0.27384192066441398</v>
      </c>
      <c r="G6400">
        <v>0.159691310653994</v>
      </c>
      <c r="H6400">
        <v>0.104421721919539</v>
      </c>
      <c r="I6400">
        <v>9.0681734421559801E-2</v>
      </c>
      <c r="J6400">
        <v>9.5941742812004793E-2</v>
      </c>
      <c r="K6400">
        <v>9.1039885738622303E-2</v>
      </c>
      <c r="L6400">
        <v>727.17810918569205</v>
      </c>
      <c r="M6400">
        <v>14.756721306006099</v>
      </c>
      <c r="N6400">
        <v>49.733191851999102</v>
      </c>
      <c r="O6400">
        <v>48.3993525709312</v>
      </c>
      <c r="P6400">
        <v>-7.1413994182689094E-2</v>
      </c>
      <c r="Q6400">
        <v>6.3201420309704104E-2</v>
      </c>
      <c r="R6400">
        <v>0.99374858080380601</v>
      </c>
      <c r="S6400" t="s">
        <v>12852</v>
      </c>
      <c r="T6400" t="s">
        <v>12902</v>
      </c>
      <c r="U6400" t="s">
        <v>12902</v>
      </c>
      <c r="V6400" t="s">
        <v>12902</v>
      </c>
      <c r="W6400" t="s">
        <v>19249</v>
      </c>
      <c r="X6400">
        <v>6</v>
      </c>
      <c r="Y6400" t="s">
        <v>25528</v>
      </c>
      <c r="Z6400" t="s">
        <v>31975</v>
      </c>
      <c r="AA6400">
        <v>0.37650400261463318</v>
      </c>
      <c r="AB6400" t="str">
        <f>HYPERLINK("Melting_Curves/meltCurve_Q9Y666_SLC12A7.pdf", "Melting_Curves/meltCurve_Q9Y666_SLC12A7.pdf")</f>
        <v>Melting_Curves/meltCurve_Q9Y666_SLC12A7.pdf</v>
      </c>
    </row>
    <row r="6401" spans="1:28" x14ac:dyDescent="0.25">
      <c r="A6401" t="s">
        <v>6405</v>
      </c>
      <c r="B6401">
        <v>0.99673306730245903</v>
      </c>
      <c r="C6401">
        <v>0.93750020417354796</v>
      </c>
      <c r="D6401">
        <v>0.85324603053801096</v>
      </c>
      <c r="E6401">
        <v>0.69062416424020201</v>
      </c>
      <c r="F6401">
        <v>0.40032414440162101</v>
      </c>
      <c r="G6401">
        <v>0.13046137565291399</v>
      </c>
      <c r="H6401">
        <v>7.5994963333012006E-2</v>
      </c>
      <c r="I6401">
        <v>5.9271514973931599E-2</v>
      </c>
      <c r="J6401">
        <v>4.9096117951148099E-2</v>
      </c>
      <c r="K6401">
        <v>3.9107101239997902E-2</v>
      </c>
      <c r="L6401">
        <v>893.82748995635995</v>
      </c>
      <c r="M6401">
        <v>17.3630548092423</v>
      </c>
      <c r="N6401">
        <v>51.597307663466196</v>
      </c>
      <c r="O6401">
        <v>50.810406473027101</v>
      </c>
      <c r="P6401">
        <v>-8.3764058529067695E-2</v>
      </c>
      <c r="Q6401">
        <v>1.95633439922634E-2</v>
      </c>
      <c r="R6401">
        <v>0.99554053177298696</v>
      </c>
      <c r="S6401" t="s">
        <v>12853</v>
      </c>
      <c r="T6401" t="s">
        <v>12902</v>
      </c>
      <c r="U6401" t="s">
        <v>12902</v>
      </c>
      <c r="V6401" t="s">
        <v>12902</v>
      </c>
      <c r="W6401" t="s">
        <v>19250</v>
      </c>
      <c r="X6401">
        <v>12</v>
      </c>
      <c r="Y6401" t="s">
        <v>25529</v>
      </c>
      <c r="Z6401" t="s">
        <v>31976</v>
      </c>
      <c r="AA6401">
        <v>0.41219155552813469</v>
      </c>
      <c r="AB6401" t="str">
        <f>HYPERLINK("Melting_Curves/meltCurve_Q9Y673_ALG5.pdf", "Melting_Curves/meltCurve_Q9Y673_ALG5.pdf")</f>
        <v>Melting_Curves/meltCurve_Q9Y673_ALG5.pdf</v>
      </c>
    </row>
    <row r="6402" spans="1:28" x14ac:dyDescent="0.25">
      <c r="A6402" t="s">
        <v>6406</v>
      </c>
      <c r="B6402">
        <v>0.99673306730245903</v>
      </c>
      <c r="C6402">
        <v>1.13746028353122</v>
      </c>
      <c r="D6402">
        <v>0.78783370780542705</v>
      </c>
      <c r="E6402">
        <v>1.39305130934321</v>
      </c>
      <c r="F6402">
        <v>0.46130270040201898</v>
      </c>
      <c r="G6402">
        <v>0.28504687354358199</v>
      </c>
      <c r="H6402">
        <v>0.14871863859729001</v>
      </c>
      <c r="I6402">
        <v>0.10212186219475999</v>
      </c>
      <c r="J6402">
        <v>6.4155595891103506E-2</v>
      </c>
      <c r="K6402">
        <v>5.3372991524112498E-2</v>
      </c>
      <c r="L6402">
        <v>11804.201783365899</v>
      </c>
      <c r="M6402">
        <v>222.37167481147301</v>
      </c>
      <c r="N6402">
        <v>53.155626431551802</v>
      </c>
      <c r="O6402">
        <v>53.078927225521802</v>
      </c>
      <c r="P6402">
        <v>-0.91049088505748599</v>
      </c>
      <c r="Q6402">
        <v>0.130683031914512</v>
      </c>
      <c r="R6402">
        <v>0.88639312463550801</v>
      </c>
      <c r="S6402" t="s">
        <v>12854</v>
      </c>
      <c r="T6402" t="s">
        <v>12902</v>
      </c>
      <c r="U6402" t="s">
        <v>12902</v>
      </c>
      <c r="V6402" t="s">
        <v>12902</v>
      </c>
      <c r="W6402" t="s">
        <v>19251</v>
      </c>
      <c r="X6402">
        <v>37</v>
      </c>
      <c r="Y6402" t="s">
        <v>25530</v>
      </c>
      <c r="Z6402" t="s">
        <v>31977</v>
      </c>
      <c r="AA6402">
        <v>0.50990054385427952</v>
      </c>
      <c r="AB6402" t="str">
        <f>HYPERLINK("Melting_Curves/meltCurve_Q9Y678_COPG1.pdf", "Melting_Curves/meltCurve_Q9Y678_COPG1.pdf")</f>
        <v>Melting_Curves/meltCurve_Q9Y678_COPG1.pdf</v>
      </c>
    </row>
    <row r="6403" spans="1:28" x14ac:dyDescent="0.25">
      <c r="A6403" t="s">
        <v>6407</v>
      </c>
      <c r="B6403">
        <v>0.99673306730245903</v>
      </c>
      <c r="C6403">
        <v>0.88373491862086995</v>
      </c>
      <c r="D6403">
        <v>0.83820555622744797</v>
      </c>
      <c r="E6403">
        <v>0.47703971105315601</v>
      </c>
      <c r="F6403">
        <v>0.166124617346874</v>
      </c>
      <c r="G6403">
        <v>0.112533608425101</v>
      </c>
      <c r="H6403">
        <v>7.44762304723499E-2</v>
      </c>
      <c r="I6403">
        <v>6.1359354976643098E-2</v>
      </c>
      <c r="J6403">
        <v>7.9635519167871205E-2</v>
      </c>
      <c r="K6403">
        <v>7.1773207027917493E-2</v>
      </c>
      <c r="L6403">
        <v>1090.1028381620299</v>
      </c>
      <c r="M6403">
        <v>22.2768301227321</v>
      </c>
      <c r="N6403">
        <v>49.236860898908297</v>
      </c>
      <c r="O6403">
        <v>48.5451809436696</v>
      </c>
      <c r="P6403">
        <v>-0.107387759224451</v>
      </c>
      <c r="Q6403">
        <v>6.3951892569899402E-2</v>
      </c>
      <c r="R6403">
        <v>0.99410152116202199</v>
      </c>
      <c r="S6403" t="s">
        <v>12855</v>
      </c>
      <c r="T6403" t="s">
        <v>12902</v>
      </c>
      <c r="U6403" t="s">
        <v>12902</v>
      </c>
      <c r="V6403" t="s">
        <v>12902</v>
      </c>
      <c r="W6403" t="s">
        <v>19252</v>
      </c>
      <c r="X6403">
        <v>9</v>
      </c>
      <c r="Y6403" t="s">
        <v>25531</v>
      </c>
      <c r="Z6403" t="s">
        <v>31978</v>
      </c>
      <c r="AA6403">
        <v>0.35323709033311113</v>
      </c>
      <c r="AB6403" t="str">
        <f>HYPERLINK("Melting_Curves/meltCurve_Q9Y679_2_AUP1.pdf", "Melting_Curves/meltCurve_Q9Y679_2_AUP1.pdf")</f>
        <v>Melting_Curves/meltCurve_Q9Y679_2_AUP1.pdf</v>
      </c>
    </row>
    <row r="6404" spans="1:28" x14ac:dyDescent="0.25">
      <c r="A6404" t="s">
        <v>6408</v>
      </c>
      <c r="B6404">
        <v>0.99673306730245903</v>
      </c>
      <c r="C6404">
        <v>0.99971114623032598</v>
      </c>
      <c r="D6404">
        <v>0.95942715747986995</v>
      </c>
      <c r="E6404">
        <v>0.82942093729581401</v>
      </c>
      <c r="F6404">
        <v>0.62078466431322399</v>
      </c>
      <c r="G6404">
        <v>0.440341467866528</v>
      </c>
      <c r="H6404">
        <v>0.28207947756470803</v>
      </c>
      <c r="I6404">
        <v>0.30316424884681398</v>
      </c>
      <c r="J6404">
        <v>0.34495663383820202</v>
      </c>
      <c r="K6404">
        <v>0.280964085230894</v>
      </c>
      <c r="L6404">
        <v>1045.4314088393401</v>
      </c>
      <c r="M6404">
        <v>19.830273214653499</v>
      </c>
      <c r="N6404">
        <v>55.080214081485998</v>
      </c>
      <c r="O6404">
        <v>52.191633241564098</v>
      </c>
      <c r="P6404">
        <v>-6.7793544185502805E-2</v>
      </c>
      <c r="Q6404">
        <v>0.28631619873344599</v>
      </c>
      <c r="R6404">
        <v>0.99350120048075696</v>
      </c>
      <c r="S6404" t="s">
        <v>12856</v>
      </c>
      <c r="T6404" t="s">
        <v>12902</v>
      </c>
      <c r="U6404" t="s">
        <v>12902</v>
      </c>
      <c r="V6404" t="s">
        <v>12902</v>
      </c>
      <c r="W6404" t="s">
        <v>19253</v>
      </c>
      <c r="X6404">
        <v>6</v>
      </c>
      <c r="Y6404" t="s">
        <v>25532</v>
      </c>
      <c r="Z6404" t="s">
        <v>31979</v>
      </c>
      <c r="AA6404">
        <v>0.59887677881942969</v>
      </c>
      <c r="AB6404" t="str">
        <f>HYPERLINK("Melting_Curves/meltCurve_Q9Y680_3_FKBP7.pdf", "Melting_Curves/meltCurve_Q9Y680_3_FKBP7.pdf")</f>
        <v>Melting_Curves/meltCurve_Q9Y680_3_FKBP7.pdf</v>
      </c>
    </row>
    <row r="6405" spans="1:28" x14ac:dyDescent="0.25">
      <c r="A6405" t="s">
        <v>6409</v>
      </c>
      <c r="B6405">
        <v>0.99673306730245903</v>
      </c>
      <c r="C6405">
        <v>1.0052142168096201</v>
      </c>
      <c r="D6405">
        <v>0.77561991370849304</v>
      </c>
      <c r="E6405">
        <v>0.90823913505042098</v>
      </c>
      <c r="F6405">
        <v>0.46163989416044399</v>
      </c>
      <c r="G6405">
        <v>0.16420160367036801</v>
      </c>
      <c r="H6405">
        <v>7.6728196768533999E-2</v>
      </c>
      <c r="I6405">
        <v>7.5061825926650699E-2</v>
      </c>
      <c r="J6405">
        <v>7.5107242703467705E-2</v>
      </c>
      <c r="K6405">
        <v>6.7055403726269003E-2</v>
      </c>
      <c r="L6405">
        <v>1451.4641583462901</v>
      </c>
      <c r="M6405">
        <v>27.551634220743601</v>
      </c>
      <c r="N6405">
        <v>52.939461758679698</v>
      </c>
      <c r="O6405">
        <v>52.406419222473303</v>
      </c>
      <c r="P6405">
        <v>-0.12318065964194901</v>
      </c>
      <c r="Q6405">
        <v>6.2792848663651105E-2</v>
      </c>
      <c r="R6405">
        <v>0.97060641855701102</v>
      </c>
      <c r="S6405" t="s">
        <v>12857</v>
      </c>
      <c r="T6405" t="s">
        <v>12902</v>
      </c>
      <c r="U6405" t="s">
        <v>12902</v>
      </c>
      <c r="V6405" t="s">
        <v>12902</v>
      </c>
      <c r="W6405" t="s">
        <v>19254</v>
      </c>
      <c r="X6405">
        <v>16</v>
      </c>
      <c r="Y6405" t="s">
        <v>25533</v>
      </c>
      <c r="Z6405" t="s">
        <v>31980</v>
      </c>
      <c r="AA6405">
        <v>0.4661140168967266</v>
      </c>
      <c r="AB6405" t="str">
        <f>HYPERLINK("Melting_Curves/meltCurve_Q9Y696_CLIC4.pdf", "Melting_Curves/meltCurve_Q9Y696_CLIC4.pdf")</f>
        <v>Melting_Curves/meltCurve_Q9Y696_CLIC4.pdf</v>
      </c>
    </row>
    <row r="6406" spans="1:28" x14ac:dyDescent="0.25">
      <c r="A6406" t="s">
        <v>6410</v>
      </c>
      <c r="B6406">
        <v>0.99673306730245903</v>
      </c>
      <c r="C6406">
        <v>0.98511508353366095</v>
      </c>
      <c r="D6406">
        <v>0.98844185117664796</v>
      </c>
      <c r="E6406">
        <v>1.0465069638934901</v>
      </c>
      <c r="F6406">
        <v>0.88706004958116302</v>
      </c>
      <c r="G6406">
        <v>0.47467062140453098</v>
      </c>
      <c r="H6406">
        <v>0.28802625894098799</v>
      </c>
      <c r="I6406">
        <v>0.20340248758225499</v>
      </c>
      <c r="J6406">
        <v>0.15077733211583</v>
      </c>
      <c r="K6406">
        <v>0.102722408276526</v>
      </c>
      <c r="L6406">
        <v>1658.03591484202</v>
      </c>
      <c r="M6406">
        <v>29.4922347451257</v>
      </c>
      <c r="N6406">
        <v>56.916790411900301</v>
      </c>
      <c r="O6406">
        <v>55.962828344921498</v>
      </c>
      <c r="P6406">
        <v>-0.111772285901588</v>
      </c>
      <c r="Q6406">
        <v>0.151634362857962</v>
      </c>
      <c r="R6406">
        <v>0.99139167019275198</v>
      </c>
      <c r="S6406" t="s">
        <v>12858</v>
      </c>
      <c r="T6406" t="s">
        <v>12902</v>
      </c>
      <c r="U6406" t="s">
        <v>12902</v>
      </c>
      <c r="V6406" t="s">
        <v>12902</v>
      </c>
      <c r="W6406" t="s">
        <v>19255</v>
      </c>
      <c r="X6406">
        <v>17</v>
      </c>
      <c r="Y6406" t="s">
        <v>25534</v>
      </c>
      <c r="Z6406" t="s">
        <v>31981</v>
      </c>
      <c r="AA6406">
        <v>0.61613760986833099</v>
      </c>
      <c r="AB6406" t="str">
        <f>HYPERLINK("Melting_Curves/meltCurve_Q9Y697_2_NFS1.pdf", "Melting_Curves/meltCurve_Q9Y697_2_NFS1.pdf")</f>
        <v>Melting_Curves/meltCurve_Q9Y697_2_NFS1.pdf</v>
      </c>
    </row>
    <row r="6407" spans="1:28" x14ac:dyDescent="0.25">
      <c r="A6407" t="s">
        <v>6411</v>
      </c>
      <c r="B6407">
        <v>0.99673306730245903</v>
      </c>
      <c r="C6407">
        <v>0.89831776005364505</v>
      </c>
      <c r="D6407">
        <v>0.73183402142075404</v>
      </c>
      <c r="E6407">
        <v>0.52044369078087704</v>
      </c>
      <c r="F6407">
        <v>0.27597036730041202</v>
      </c>
      <c r="G6407">
        <v>0.18865231818918299</v>
      </c>
      <c r="H6407">
        <v>9.1336841738027294E-2</v>
      </c>
      <c r="I6407">
        <v>8.6737123016343107E-2</v>
      </c>
      <c r="J6407">
        <v>6.0283854721875002E-2</v>
      </c>
      <c r="K6407">
        <v>4.9778894366357997E-2</v>
      </c>
      <c r="L6407">
        <v>701.87860670390296</v>
      </c>
      <c r="M6407">
        <v>14.2197267004507</v>
      </c>
      <c r="N6407">
        <v>49.656841005099501</v>
      </c>
      <c r="O6407">
        <v>48.414072831589202</v>
      </c>
      <c r="P6407">
        <v>-7.0439759160299195E-2</v>
      </c>
      <c r="Q6407">
        <v>4.0811081613150703E-2</v>
      </c>
      <c r="R6407">
        <v>0.99801755050618801</v>
      </c>
      <c r="S6407" t="s">
        <v>12859</v>
      </c>
      <c r="T6407" t="s">
        <v>12902</v>
      </c>
      <c r="U6407" t="s">
        <v>12902</v>
      </c>
      <c r="V6407" t="s">
        <v>12902</v>
      </c>
      <c r="W6407" t="s">
        <v>19256</v>
      </c>
      <c r="X6407">
        <v>3</v>
      </c>
      <c r="Y6407" t="s">
        <v>25535</v>
      </c>
      <c r="Z6407" t="s">
        <v>31982</v>
      </c>
      <c r="AA6407">
        <v>0.3658177446336357</v>
      </c>
      <c r="AB6407" t="str">
        <f>HYPERLINK("Melting_Curves/meltCurve_Q9Y6A4_C16orf80.pdf", "Melting_Curves/meltCurve_Q9Y6A4_C16orf80.pdf")</f>
        <v>Melting_Curves/meltCurve_Q9Y6A4_C16orf80.pdf</v>
      </c>
    </row>
    <row r="6408" spans="1:28" x14ac:dyDescent="0.25">
      <c r="A6408" t="s">
        <v>6412</v>
      </c>
      <c r="B6408">
        <v>0.99673306730245903</v>
      </c>
      <c r="C6408">
        <v>0.77976608875646702</v>
      </c>
      <c r="D6408">
        <v>0.67049326829907396</v>
      </c>
      <c r="E6408">
        <v>0.73440429009541297</v>
      </c>
      <c r="F6408">
        <v>0.48304449972707503</v>
      </c>
      <c r="G6408">
        <v>0.33366799430022198</v>
      </c>
      <c r="H6408">
        <v>0.25620275174387902</v>
      </c>
      <c r="I6408">
        <v>0.48977932417508202</v>
      </c>
      <c r="J6408">
        <v>0.76795341295085195</v>
      </c>
      <c r="K6408">
        <v>0.78937209883687698</v>
      </c>
      <c r="L6408">
        <v>855.39885073033201</v>
      </c>
      <c r="M6408">
        <v>19.3941942395019</v>
      </c>
      <c r="O6408">
        <v>43.6450265362351</v>
      </c>
      <c r="P6408">
        <v>-5.1559781831379901E-2</v>
      </c>
      <c r="Q6408">
        <v>0.53589299273922297</v>
      </c>
      <c r="R6408">
        <v>0.429563163315617</v>
      </c>
      <c r="S6408" t="s">
        <v>12860</v>
      </c>
      <c r="T6408" t="s">
        <v>12902</v>
      </c>
      <c r="U6408" t="s">
        <v>12902</v>
      </c>
      <c r="V6408" t="s">
        <v>12902</v>
      </c>
      <c r="W6408" t="s">
        <v>19257</v>
      </c>
      <c r="X6408">
        <v>16</v>
      </c>
      <c r="Y6408" t="s">
        <v>25536</v>
      </c>
      <c r="Z6408" t="s">
        <v>31983</v>
      </c>
      <c r="AA6408">
        <v>0.60892868864553162</v>
      </c>
      <c r="AB6408" t="str">
        <f>HYPERLINK("Melting_Curves/meltCurve_Q9Y6A5_TACC3.pdf", "Melting_Curves/meltCurve_Q9Y6A5_TACC3.pdf")</f>
        <v>Melting_Curves/meltCurve_Q9Y6A5_TACC3.pdf</v>
      </c>
    </row>
    <row r="6409" spans="1:28" x14ac:dyDescent="0.25">
      <c r="A6409" t="s">
        <v>6413</v>
      </c>
      <c r="B6409">
        <v>0.99673306730245903</v>
      </c>
      <c r="C6409">
        <v>1.02710759214133</v>
      </c>
      <c r="D6409">
        <v>0.93396304141643904</v>
      </c>
      <c r="E6409">
        <v>0.84672327784578805</v>
      </c>
      <c r="F6409">
        <v>0.61758957728142605</v>
      </c>
      <c r="G6409">
        <v>0.351334036220596</v>
      </c>
      <c r="H6409">
        <v>8.9078380750637703E-2</v>
      </c>
      <c r="I6409">
        <v>6.5196727030964297E-2</v>
      </c>
      <c r="J6409">
        <v>5.8177479143029197E-2</v>
      </c>
      <c r="K6409">
        <v>4.4407650658625203E-2</v>
      </c>
      <c r="L6409">
        <v>1003.63559080059</v>
      </c>
      <c r="M6409">
        <v>18.439185346026001</v>
      </c>
      <c r="N6409">
        <v>54.506492354267699</v>
      </c>
      <c r="O6409">
        <v>53.8014356937096</v>
      </c>
      <c r="P6409">
        <v>-8.4583993632645196E-2</v>
      </c>
      <c r="Q6409">
        <v>1.2855276628256701E-2</v>
      </c>
      <c r="R6409">
        <v>0.99626897667079595</v>
      </c>
      <c r="S6409" t="s">
        <v>12861</v>
      </c>
      <c r="T6409" t="s">
        <v>12902</v>
      </c>
      <c r="U6409" t="s">
        <v>12902</v>
      </c>
      <c r="V6409" t="s">
        <v>12902</v>
      </c>
      <c r="W6409" t="s">
        <v>19258</v>
      </c>
      <c r="X6409">
        <v>9</v>
      </c>
      <c r="Y6409" t="s">
        <v>25537</v>
      </c>
      <c r="Z6409" t="s">
        <v>31984</v>
      </c>
      <c r="AA6409">
        <v>0.50271295975057895</v>
      </c>
      <c r="AB6409" t="str">
        <f>HYPERLINK("Melting_Curves/meltCurve_Q9Y6B6_SAR1B.pdf", "Melting_Curves/meltCurve_Q9Y6B6_SAR1B.pdf")</f>
        <v>Melting_Curves/meltCurve_Q9Y6B6_SAR1B.pdf</v>
      </c>
    </row>
    <row r="6410" spans="1:28" x14ac:dyDescent="0.25">
      <c r="A6410" t="s">
        <v>6414</v>
      </c>
      <c r="B6410">
        <v>0.99673306730245903</v>
      </c>
      <c r="C6410">
        <v>1.05523711514686</v>
      </c>
      <c r="D6410">
        <v>0.96845608556573204</v>
      </c>
      <c r="E6410">
        <v>0.83530023318427704</v>
      </c>
      <c r="F6410">
        <v>0.53967585039044896</v>
      </c>
      <c r="G6410">
        <v>0.33037572491969902</v>
      </c>
      <c r="H6410">
        <v>0.169347532335892</v>
      </c>
      <c r="I6410">
        <v>0.14163030095101201</v>
      </c>
      <c r="J6410">
        <v>0.13326337107515199</v>
      </c>
      <c r="K6410">
        <v>0.103085283026687</v>
      </c>
      <c r="L6410">
        <v>1060.7937740150801</v>
      </c>
      <c r="M6410">
        <v>19.924667522314401</v>
      </c>
      <c r="N6410">
        <v>53.9067070065867</v>
      </c>
      <c r="O6410">
        <v>52.7126264706339</v>
      </c>
      <c r="P6410">
        <v>-8.4183029075854204E-2</v>
      </c>
      <c r="Q6410">
        <v>0.10917219596128799</v>
      </c>
      <c r="R6410">
        <v>0.99641792196704504</v>
      </c>
      <c r="S6410" t="s">
        <v>12862</v>
      </c>
      <c r="T6410" t="s">
        <v>12902</v>
      </c>
      <c r="U6410" t="s">
        <v>12902</v>
      </c>
      <c r="V6410" t="s">
        <v>12902</v>
      </c>
      <c r="W6410" t="s">
        <v>19259</v>
      </c>
      <c r="X6410">
        <v>12</v>
      </c>
      <c r="Y6410" t="s">
        <v>19821</v>
      </c>
      <c r="Z6410" t="s">
        <v>31985</v>
      </c>
      <c r="AA6410">
        <v>0.5146337759378079</v>
      </c>
      <c r="AB6410" t="str">
        <f>HYPERLINK("Melting_Curves/meltCurve_Q9Y6C9_MTCH2.pdf", "Melting_Curves/meltCurve_Q9Y6C9_MTCH2.pdf")</f>
        <v>Melting_Curves/meltCurve_Q9Y6C9_MTCH2.pdf</v>
      </c>
    </row>
    <row r="6411" spans="1:28" x14ac:dyDescent="0.25">
      <c r="A6411" t="s">
        <v>6415</v>
      </c>
      <c r="B6411">
        <v>0.99673306730245903</v>
      </c>
      <c r="C6411">
        <v>0.93718783646061299</v>
      </c>
      <c r="D6411">
        <v>0.84577370730243595</v>
      </c>
      <c r="E6411">
        <v>0.47551056600825298</v>
      </c>
      <c r="F6411">
        <v>0.17079223998399901</v>
      </c>
      <c r="G6411">
        <v>0.114687225370934</v>
      </c>
      <c r="H6411">
        <v>8.0181922100889993E-2</v>
      </c>
      <c r="I6411">
        <v>5.4153412959779199E-2</v>
      </c>
      <c r="J6411">
        <v>8.1220602713791404E-2</v>
      </c>
      <c r="K6411">
        <v>5.7906253563120597E-2</v>
      </c>
      <c r="L6411">
        <v>1168.4569593839899</v>
      </c>
      <c r="M6411">
        <v>23.8327977724791</v>
      </c>
      <c r="N6411">
        <v>49.315913241612797</v>
      </c>
      <c r="O6411">
        <v>48.686006662361997</v>
      </c>
      <c r="P6411">
        <v>-0.11441500740656201</v>
      </c>
      <c r="Q6411">
        <v>6.5100265034128094E-2</v>
      </c>
      <c r="R6411">
        <v>0.99839011280044299</v>
      </c>
      <c r="S6411" t="s">
        <v>12863</v>
      </c>
      <c r="T6411" t="s">
        <v>12902</v>
      </c>
      <c r="U6411" t="s">
        <v>12902</v>
      </c>
      <c r="V6411" t="s">
        <v>12902</v>
      </c>
      <c r="W6411" t="s">
        <v>19260</v>
      </c>
      <c r="X6411">
        <v>11</v>
      </c>
      <c r="Y6411" t="s">
        <v>25538</v>
      </c>
      <c r="Z6411" t="s">
        <v>31986</v>
      </c>
      <c r="AA6411">
        <v>0.35556306359739348</v>
      </c>
      <c r="AB6411" t="str">
        <f>HYPERLINK("Melting_Curves/meltCurve_Q9Y6D5_ARFGEF2.pdf", "Melting_Curves/meltCurve_Q9Y6D5_ARFGEF2.pdf")</f>
        <v>Melting_Curves/meltCurve_Q9Y6D5_ARFGEF2.pdf</v>
      </c>
    </row>
    <row r="6412" spans="1:28" x14ac:dyDescent="0.25">
      <c r="A6412" t="s">
        <v>6416</v>
      </c>
      <c r="B6412">
        <v>0.99673306730245903</v>
      </c>
      <c r="C6412">
        <v>0.90609300707499096</v>
      </c>
      <c r="D6412">
        <v>0.90279070564650898</v>
      </c>
      <c r="E6412">
        <v>0.63925816558287196</v>
      </c>
      <c r="F6412">
        <v>0.18624834717779801</v>
      </c>
      <c r="G6412">
        <v>0.116940472456985</v>
      </c>
      <c r="H6412">
        <v>6.6538135556930805E-2</v>
      </c>
      <c r="I6412">
        <v>5.98762392072726E-2</v>
      </c>
      <c r="J6412">
        <v>6.0541118668119599E-2</v>
      </c>
      <c r="K6412">
        <v>5.1559618980277E-2</v>
      </c>
      <c r="L6412">
        <v>1374.1144477738201</v>
      </c>
      <c r="M6412">
        <v>27.3583509833283</v>
      </c>
      <c r="N6412">
        <v>50.447713753761199</v>
      </c>
      <c r="O6412">
        <v>49.960458456622703</v>
      </c>
      <c r="P6412">
        <v>-0.12916324859491901</v>
      </c>
      <c r="Q6412">
        <v>5.65229376527333E-2</v>
      </c>
      <c r="R6412">
        <v>0.99279728276698997</v>
      </c>
      <c r="S6412" t="s">
        <v>12864</v>
      </c>
      <c r="T6412" t="s">
        <v>12902</v>
      </c>
      <c r="U6412" t="s">
        <v>12902</v>
      </c>
      <c r="V6412" t="s">
        <v>12902</v>
      </c>
      <c r="W6412" t="s">
        <v>19261</v>
      </c>
      <c r="X6412">
        <v>27</v>
      </c>
      <c r="Y6412" t="s">
        <v>25539</v>
      </c>
      <c r="Z6412" t="s">
        <v>31987</v>
      </c>
      <c r="AA6412">
        <v>0.38519208770758012</v>
      </c>
      <c r="AB6412" t="str">
        <f>HYPERLINK("Melting_Curves/meltCurve_Q9Y6D6_ARFGEF1.pdf", "Melting_Curves/meltCurve_Q9Y6D6_ARFGEF1.pdf")</f>
        <v>Melting_Curves/meltCurve_Q9Y6D6_ARFGEF1.pdf</v>
      </c>
    </row>
    <row r="6413" spans="1:28" x14ac:dyDescent="0.25">
      <c r="A6413" t="s">
        <v>6417</v>
      </c>
      <c r="B6413">
        <v>0.99673306730245903</v>
      </c>
      <c r="C6413">
        <v>0.85739013881338599</v>
      </c>
      <c r="D6413">
        <v>0.55146366879360798</v>
      </c>
      <c r="E6413">
        <v>0.28857762470980097</v>
      </c>
      <c r="F6413">
        <v>0.221382762390128</v>
      </c>
      <c r="G6413">
        <v>0.13182617158166501</v>
      </c>
      <c r="H6413">
        <v>9.9890268753363196E-2</v>
      </c>
      <c r="I6413">
        <v>9.3587532364142106E-2</v>
      </c>
      <c r="J6413">
        <v>0.110889526954246</v>
      </c>
      <c r="K6413">
        <v>0.101829634939478</v>
      </c>
      <c r="L6413">
        <v>919.44995337011301</v>
      </c>
      <c r="M6413">
        <v>19.888304298811398</v>
      </c>
      <c r="N6413">
        <v>46.804390047516698</v>
      </c>
      <c r="O6413">
        <v>45.770900214083099</v>
      </c>
      <c r="P6413">
        <v>-9.6882530949785703E-2</v>
      </c>
      <c r="Q6413">
        <v>0.10816866792904101</v>
      </c>
      <c r="R6413">
        <v>0.99476068164425002</v>
      </c>
      <c r="S6413" t="s">
        <v>12865</v>
      </c>
      <c r="T6413" t="s">
        <v>12902</v>
      </c>
      <c r="U6413" t="s">
        <v>12902</v>
      </c>
      <c r="V6413" t="s">
        <v>12902</v>
      </c>
      <c r="W6413" t="s">
        <v>19262</v>
      </c>
      <c r="X6413">
        <v>13</v>
      </c>
      <c r="Y6413" t="s">
        <v>25540</v>
      </c>
      <c r="Z6413" t="s">
        <v>31988</v>
      </c>
      <c r="AA6413">
        <v>0.30714329466846191</v>
      </c>
      <c r="AB6413" t="str">
        <f>HYPERLINK("Melting_Curves/meltCurve_Q9Y6D9_MAD1L1.pdf", "Melting_Curves/meltCurve_Q9Y6D9_MAD1L1.pdf")</f>
        <v>Melting_Curves/meltCurve_Q9Y6D9_MAD1L1.pdf</v>
      </c>
    </row>
    <row r="6414" spans="1:28" x14ac:dyDescent="0.25">
      <c r="A6414" t="s">
        <v>6418</v>
      </c>
      <c r="B6414">
        <v>0.99673306730245903</v>
      </c>
      <c r="C6414">
        <v>1.01791790853707</v>
      </c>
      <c r="D6414">
        <v>0.84856361551881299</v>
      </c>
      <c r="E6414">
        <v>0.90227804977153103</v>
      </c>
      <c r="F6414">
        <v>0.52608930392641395</v>
      </c>
      <c r="G6414">
        <v>0.197060637227678</v>
      </c>
      <c r="H6414">
        <v>8.3837601134348502E-2</v>
      </c>
      <c r="I6414">
        <v>7.4202548797062395E-2</v>
      </c>
      <c r="J6414">
        <v>7.6958433403493495E-2</v>
      </c>
      <c r="K6414">
        <v>6.6980982445684997E-2</v>
      </c>
      <c r="L6414">
        <v>1399.1033311772601</v>
      </c>
      <c r="M6414">
        <v>26.331218337499799</v>
      </c>
      <c r="N6414">
        <v>53.402989794526299</v>
      </c>
      <c r="O6414">
        <v>52.831129350435702</v>
      </c>
      <c r="P6414">
        <v>-0.116884554110912</v>
      </c>
      <c r="Q6414">
        <v>6.1938289241801801E-2</v>
      </c>
      <c r="R6414">
        <v>0.987590070609909</v>
      </c>
      <c r="S6414" t="s">
        <v>12866</v>
      </c>
      <c r="T6414" t="s">
        <v>12902</v>
      </c>
      <c r="U6414" t="s">
        <v>12902</v>
      </c>
      <c r="V6414" t="s">
        <v>12902</v>
      </c>
      <c r="W6414" t="s">
        <v>19263</v>
      </c>
      <c r="X6414">
        <v>25</v>
      </c>
      <c r="Y6414" t="s">
        <v>25541</v>
      </c>
      <c r="Z6414" t="s">
        <v>31989</v>
      </c>
      <c r="AA6414">
        <v>0.48048513959291428</v>
      </c>
      <c r="AB6414" t="str">
        <f>HYPERLINK("Melting_Curves/meltCurve_Q9Y6E0_2_STK24.pdf", "Melting_Curves/meltCurve_Q9Y6E0_2_STK24.pdf")</f>
        <v>Melting_Curves/meltCurve_Q9Y6E0_2_STK24.pdf</v>
      </c>
    </row>
    <row r="6415" spans="1:28" x14ac:dyDescent="0.25">
      <c r="A6415" t="s">
        <v>6419</v>
      </c>
      <c r="B6415">
        <v>0.99673306730245903</v>
      </c>
      <c r="C6415">
        <v>0.88079607387651304</v>
      </c>
      <c r="D6415">
        <v>1.04263227832078</v>
      </c>
      <c r="E6415">
        <v>1.28941174817954</v>
      </c>
      <c r="F6415">
        <v>0.83889732749014401</v>
      </c>
      <c r="G6415">
        <v>0.34270472391586998</v>
      </c>
      <c r="H6415">
        <v>0.16956211158888901</v>
      </c>
      <c r="I6415">
        <v>0.17047404378713901</v>
      </c>
      <c r="J6415">
        <v>0.13169870245387</v>
      </c>
      <c r="K6415">
        <v>0.153995554706018</v>
      </c>
      <c r="L6415">
        <v>2522.84901308607</v>
      </c>
      <c r="M6415">
        <v>45.746786792494802</v>
      </c>
      <c r="N6415">
        <v>55.597638722817301</v>
      </c>
      <c r="O6415">
        <v>55.043039063546097</v>
      </c>
      <c r="P6415">
        <v>-0.17565715990077599</v>
      </c>
      <c r="Q6415">
        <v>0.154590448110795</v>
      </c>
      <c r="R6415">
        <v>0.942598215509306</v>
      </c>
      <c r="S6415" t="s">
        <v>12867</v>
      </c>
      <c r="T6415" t="s">
        <v>12902</v>
      </c>
      <c r="U6415" t="s">
        <v>12902</v>
      </c>
      <c r="V6415" t="s">
        <v>12902</v>
      </c>
      <c r="W6415" t="s">
        <v>19264</v>
      </c>
      <c r="X6415">
        <v>2</v>
      </c>
      <c r="Y6415" t="s">
        <v>25542</v>
      </c>
      <c r="Z6415" t="s">
        <v>31990</v>
      </c>
      <c r="AA6415">
        <v>0.58392502415528391</v>
      </c>
      <c r="AB6415" t="str">
        <f>HYPERLINK("Melting_Curves/meltCurve_Q9Y6G5_COMMD10.pdf", "Melting_Curves/meltCurve_Q9Y6G5_COMMD10.pdf")</f>
        <v>Melting_Curves/meltCurve_Q9Y6G5_COMMD10.pdf</v>
      </c>
    </row>
    <row r="6416" spans="1:28" x14ac:dyDescent="0.25">
      <c r="A6416" t="s">
        <v>6420</v>
      </c>
      <c r="B6416">
        <v>0.99673306730245903</v>
      </c>
      <c r="C6416">
        <v>0.95414244343476295</v>
      </c>
      <c r="D6416">
        <v>1.05579627963173</v>
      </c>
      <c r="E6416">
        <v>1.1258200409791801</v>
      </c>
      <c r="F6416">
        <v>0.40664136311012</v>
      </c>
      <c r="G6416">
        <v>0.29073171957683902</v>
      </c>
      <c r="H6416">
        <v>0.13207169185458001</v>
      </c>
      <c r="I6416">
        <v>0.111928255216238</v>
      </c>
      <c r="J6416">
        <v>0.120649234700546</v>
      </c>
      <c r="K6416">
        <v>0.104880170359122</v>
      </c>
      <c r="L6416">
        <v>9995.6236164612092</v>
      </c>
      <c r="M6416">
        <v>188.73378589986601</v>
      </c>
      <c r="N6416">
        <v>53.063438932694702</v>
      </c>
      <c r="O6416">
        <v>52.955549650409502</v>
      </c>
      <c r="P6416">
        <v>-0.75552319999445505</v>
      </c>
      <c r="Q6416">
        <v>0.15205121415419201</v>
      </c>
      <c r="R6416">
        <v>0.97447696977847598</v>
      </c>
      <c r="S6416" t="s">
        <v>12868</v>
      </c>
      <c r="T6416" t="s">
        <v>12902</v>
      </c>
      <c r="U6416" t="s">
        <v>12902</v>
      </c>
      <c r="V6416" t="s">
        <v>12902</v>
      </c>
      <c r="W6416" t="s">
        <v>19265</v>
      </c>
      <c r="X6416">
        <v>13</v>
      </c>
      <c r="Y6416" t="s">
        <v>25543</v>
      </c>
      <c r="Z6416" t="s">
        <v>31991</v>
      </c>
      <c r="AA6416">
        <v>0.51854568033650972</v>
      </c>
      <c r="AB6416" t="str">
        <f>HYPERLINK("Melting_Curves/meltCurve_Q9Y6G9_DYNC1LI1.pdf", "Melting_Curves/meltCurve_Q9Y6G9_DYNC1LI1.pdf")</f>
        <v>Melting_Curves/meltCurve_Q9Y6G9_DYNC1LI1.pdf</v>
      </c>
    </row>
    <row r="6417" spans="1:28" x14ac:dyDescent="0.25">
      <c r="A6417" t="s">
        <v>6421</v>
      </c>
      <c r="B6417">
        <v>0.99673306730245903</v>
      </c>
      <c r="C6417">
        <v>0.99067295703438996</v>
      </c>
      <c r="D6417">
        <v>1.0106046626368701</v>
      </c>
      <c r="E6417">
        <v>0.98424450438965705</v>
      </c>
      <c r="F6417">
        <v>0.89529788992124903</v>
      </c>
      <c r="G6417">
        <v>0.89281333764434401</v>
      </c>
      <c r="H6417">
        <v>0.75097335517275399</v>
      </c>
      <c r="I6417">
        <v>1.04258517023328</v>
      </c>
      <c r="J6417">
        <v>1.56007780339562</v>
      </c>
      <c r="K6417">
        <v>1.39064114874984</v>
      </c>
      <c r="L6417">
        <v>15000</v>
      </c>
      <c r="M6417">
        <v>232.061526561254</v>
      </c>
      <c r="O6417">
        <v>64.633210285115993</v>
      </c>
      <c r="P6417">
        <v>0.42671381205881498</v>
      </c>
      <c r="Q6417">
        <v>1.4753893036063099</v>
      </c>
      <c r="R6417">
        <v>0.81141996251068504</v>
      </c>
      <c r="S6417" t="s">
        <v>12869</v>
      </c>
      <c r="T6417" t="s">
        <v>12902</v>
      </c>
      <c r="U6417" t="s">
        <v>12902</v>
      </c>
      <c r="V6417" t="s">
        <v>12902</v>
      </c>
      <c r="W6417" t="s">
        <v>19266</v>
      </c>
      <c r="X6417">
        <v>7</v>
      </c>
      <c r="Y6417" t="s">
        <v>25544</v>
      </c>
      <c r="Z6417" t="s">
        <v>31992</v>
      </c>
      <c r="AA6417">
        <v>1.084904844540415</v>
      </c>
      <c r="AB6417" t="str">
        <f>HYPERLINK("Melting_Curves/meltCurve_Q9Y6H1_CHCHD2.pdf", "Melting_Curves/meltCurve_Q9Y6H1_CHCHD2.pdf")</f>
        <v>Melting_Curves/meltCurve_Q9Y6H1_CHCHD2.pdf</v>
      </c>
    </row>
    <row r="6418" spans="1:28" x14ac:dyDescent="0.25">
      <c r="A6418" t="s">
        <v>6422</v>
      </c>
      <c r="B6418">
        <v>0.99673306730245903</v>
      </c>
      <c r="C6418">
        <v>0.956660291864882</v>
      </c>
      <c r="D6418">
        <v>0.96760654524207401</v>
      </c>
      <c r="E6418">
        <v>0.71774467938991604</v>
      </c>
      <c r="F6418">
        <v>0.397427323662082</v>
      </c>
      <c r="G6418">
        <v>0.256383710577886</v>
      </c>
      <c r="H6418">
        <v>0.17560917252459199</v>
      </c>
      <c r="I6418">
        <v>0.21929610211578701</v>
      </c>
      <c r="J6418">
        <v>0.28523855703040402</v>
      </c>
      <c r="K6418">
        <v>0.32731323880952801</v>
      </c>
      <c r="L6418">
        <v>1519.2511451869</v>
      </c>
      <c r="M6418">
        <v>30.091636171298301</v>
      </c>
      <c r="N6418">
        <v>51.669010014415697</v>
      </c>
      <c r="O6418">
        <v>50.266095051815597</v>
      </c>
      <c r="P6418">
        <v>-0.11243598608943101</v>
      </c>
      <c r="Q6418">
        <v>0.248737251052248</v>
      </c>
      <c r="R6418">
        <v>0.98404412800344099</v>
      </c>
      <c r="S6418" t="s">
        <v>12870</v>
      </c>
      <c r="T6418" t="s">
        <v>12902</v>
      </c>
      <c r="U6418" t="s">
        <v>12902</v>
      </c>
      <c r="V6418" t="s">
        <v>12902</v>
      </c>
      <c r="W6418" t="s">
        <v>19267</v>
      </c>
      <c r="X6418">
        <v>7</v>
      </c>
      <c r="Y6418" t="s">
        <v>25545</v>
      </c>
      <c r="Z6418" t="s">
        <v>31993</v>
      </c>
      <c r="AA6418">
        <v>0.51602109175511124</v>
      </c>
      <c r="AB6418" t="str">
        <f>HYPERLINK("Melting_Curves/meltCurve_Q9Y6I3_EPN1.pdf", "Melting_Curves/meltCurve_Q9Y6I3_EPN1.pdf")</f>
        <v>Melting_Curves/meltCurve_Q9Y6I3_EPN1.pdf</v>
      </c>
    </row>
    <row r="6419" spans="1:28" x14ac:dyDescent="0.25">
      <c r="A6419" t="s">
        <v>6423</v>
      </c>
      <c r="B6419">
        <v>0.99673306730245903</v>
      </c>
      <c r="C6419">
        <v>1.04360097894279</v>
      </c>
      <c r="D6419">
        <v>0.69470253699489803</v>
      </c>
      <c r="E6419">
        <v>0.63134178797992502</v>
      </c>
      <c r="F6419">
        <v>0.32818147136433701</v>
      </c>
      <c r="G6419">
        <v>0.19079698902591599</v>
      </c>
      <c r="H6419">
        <v>0.12878475172539999</v>
      </c>
      <c r="I6419">
        <v>0.11681132116738401</v>
      </c>
      <c r="J6419">
        <v>0.11314825955740899</v>
      </c>
      <c r="K6419">
        <v>9.3804776488808597E-2</v>
      </c>
      <c r="L6419">
        <v>786.64058366279005</v>
      </c>
      <c r="M6419">
        <v>15.7466274754434</v>
      </c>
      <c r="N6419">
        <v>50.555664555151203</v>
      </c>
      <c r="O6419">
        <v>49.171263484731398</v>
      </c>
      <c r="P6419">
        <v>-7.3247578889705595E-2</v>
      </c>
      <c r="Q6419">
        <v>8.5169136986371602E-2</v>
      </c>
      <c r="R6419">
        <v>0.976475593156371</v>
      </c>
      <c r="S6419" t="s">
        <v>12871</v>
      </c>
      <c r="T6419" t="s">
        <v>12902</v>
      </c>
      <c r="U6419" t="s">
        <v>12902</v>
      </c>
      <c r="V6419" t="s">
        <v>12902</v>
      </c>
      <c r="W6419" t="s">
        <v>19268</v>
      </c>
      <c r="X6419">
        <v>13</v>
      </c>
      <c r="Y6419" t="s">
        <v>25546</v>
      </c>
      <c r="Z6419" t="s">
        <v>31994</v>
      </c>
      <c r="AA6419">
        <v>0.40879648466155338</v>
      </c>
      <c r="AB6419" t="str">
        <f>HYPERLINK("Melting_Curves/meltCurve_Q9Y6I9_TEX264.pdf", "Melting_Curves/meltCurve_Q9Y6I9_TEX264.pdf")</f>
        <v>Melting_Curves/meltCurve_Q9Y6I9_TEX264.pdf</v>
      </c>
    </row>
    <row r="6420" spans="1:28" x14ac:dyDescent="0.25">
      <c r="A6420" t="s">
        <v>6424</v>
      </c>
      <c r="B6420">
        <v>0.99673306730245903</v>
      </c>
      <c r="C6420">
        <v>0.91110419087342598</v>
      </c>
      <c r="D6420">
        <v>0.82290803372617805</v>
      </c>
      <c r="E6420">
        <v>0.38696234547399799</v>
      </c>
      <c r="F6420">
        <v>0.13883434438004</v>
      </c>
      <c r="G6420">
        <v>9.0669058282712503E-2</v>
      </c>
      <c r="H6420">
        <v>6.1362831503490103E-2</v>
      </c>
      <c r="I6420">
        <v>5.6339256152966997E-2</v>
      </c>
      <c r="J6420">
        <v>5.7913847110536501E-2</v>
      </c>
      <c r="K6420">
        <v>4.9434206425318802E-2</v>
      </c>
      <c r="L6420">
        <v>1205.4368812759601</v>
      </c>
      <c r="M6420">
        <v>24.887276760160098</v>
      </c>
      <c r="N6420">
        <v>48.662807592047898</v>
      </c>
      <c r="O6420">
        <v>48.126392208706903</v>
      </c>
      <c r="P6420">
        <v>-0.122199227921266</v>
      </c>
      <c r="Q6420">
        <v>5.4789747030821699E-2</v>
      </c>
      <c r="R6420">
        <v>0.997502706457015</v>
      </c>
      <c r="S6420" t="s">
        <v>12872</v>
      </c>
      <c r="T6420" t="s">
        <v>12902</v>
      </c>
      <c r="U6420" t="s">
        <v>12902</v>
      </c>
      <c r="V6420" t="s">
        <v>12902</v>
      </c>
      <c r="W6420" t="s">
        <v>19269</v>
      </c>
      <c r="X6420">
        <v>29</v>
      </c>
      <c r="Y6420" t="s">
        <v>25547</v>
      </c>
      <c r="Z6420" t="s">
        <v>31995</v>
      </c>
      <c r="AA6420">
        <v>0.32901288583886978</v>
      </c>
      <c r="AB6420" t="str">
        <f>HYPERLINK("Melting_Curves/meltCurve_Q9Y6K5_OAS3.pdf", "Melting_Curves/meltCurve_Q9Y6K5_OAS3.pdf")</f>
        <v>Melting_Curves/meltCurve_Q9Y6K5_OAS3.pdf</v>
      </c>
    </row>
    <row r="6421" spans="1:28" x14ac:dyDescent="0.25">
      <c r="A6421" t="s">
        <v>6425</v>
      </c>
      <c r="B6421">
        <v>0.99673306730245903</v>
      </c>
      <c r="C6421">
        <v>0.92787194410031704</v>
      </c>
      <c r="D6421">
        <v>0.72063942627206801</v>
      </c>
      <c r="E6421">
        <v>0.46465822054223099</v>
      </c>
      <c r="F6421">
        <v>0.441053663552049</v>
      </c>
      <c r="G6421">
        <v>0.38549824151640899</v>
      </c>
      <c r="H6421">
        <v>0.321598214449341</v>
      </c>
      <c r="I6421">
        <v>0.47685205028811201</v>
      </c>
      <c r="J6421">
        <v>0.97623626099366201</v>
      </c>
      <c r="K6421">
        <v>0.97210761908355803</v>
      </c>
      <c r="L6421">
        <v>1938.6102646606701</v>
      </c>
      <c r="M6421">
        <v>43.086231422845202</v>
      </c>
      <c r="O6421">
        <v>44.8971299450915</v>
      </c>
      <c r="P6421">
        <v>-0.101218194158467</v>
      </c>
      <c r="Q6421">
        <v>0.57811122153644601</v>
      </c>
      <c r="R6421">
        <v>0.33562779014553401</v>
      </c>
      <c r="S6421" t="s">
        <v>12873</v>
      </c>
      <c r="T6421" t="s">
        <v>12902</v>
      </c>
      <c r="U6421" t="s">
        <v>12902</v>
      </c>
      <c r="V6421" t="s">
        <v>12902</v>
      </c>
      <c r="W6421" t="s">
        <v>19270</v>
      </c>
      <c r="X6421">
        <v>13</v>
      </c>
      <c r="Y6421" t="s">
        <v>25548</v>
      </c>
      <c r="Z6421" t="s">
        <v>31996</v>
      </c>
      <c r="AA6421">
        <v>0.64951897837377148</v>
      </c>
      <c r="AB6421" t="str">
        <f>HYPERLINK("Melting_Curves/meltCurve_Q9Y6K9_IKBKG.pdf", "Melting_Curves/meltCurve_Q9Y6K9_IKBKG.pdf")</f>
        <v>Melting_Curves/meltCurve_Q9Y6K9_IKBKG.pdf</v>
      </c>
    </row>
    <row r="6422" spans="1:28" x14ac:dyDescent="0.25">
      <c r="A6422" t="s">
        <v>6426</v>
      </c>
      <c r="B6422">
        <v>0.99673306730245903</v>
      </c>
      <c r="C6422">
        <v>0.93232637321737399</v>
      </c>
      <c r="D6422">
        <v>0.86899536671460897</v>
      </c>
      <c r="E6422">
        <v>0.76323216662695603</v>
      </c>
      <c r="F6422">
        <v>0.54602673466294005</v>
      </c>
      <c r="G6422">
        <v>0.30323154813684899</v>
      </c>
      <c r="H6422">
        <v>9.2445730038291596E-2</v>
      </c>
      <c r="I6422">
        <v>8.5000321454722694E-2</v>
      </c>
      <c r="J6422">
        <v>9.1144225295798798E-2</v>
      </c>
      <c r="K6422">
        <v>7.5897066886285905E-2</v>
      </c>
      <c r="L6422">
        <v>784.771654557852</v>
      </c>
      <c r="M6422">
        <v>14.743349425715101</v>
      </c>
      <c r="N6422">
        <v>53.390949678898203</v>
      </c>
      <c r="O6422">
        <v>52.278353858257397</v>
      </c>
      <c r="P6422">
        <v>-6.8968557754881296E-2</v>
      </c>
      <c r="Q6422">
        <v>2.1884952409730998E-2</v>
      </c>
      <c r="R6422">
        <v>0.99241247173158098</v>
      </c>
      <c r="S6422" t="s">
        <v>12874</v>
      </c>
      <c r="T6422" t="s">
        <v>12902</v>
      </c>
      <c r="U6422" t="s">
        <v>12902</v>
      </c>
      <c r="V6422" t="s">
        <v>12902</v>
      </c>
      <c r="W6422" t="s">
        <v>19271</v>
      </c>
      <c r="X6422">
        <v>8</v>
      </c>
      <c r="Y6422" t="s">
        <v>25549</v>
      </c>
      <c r="Z6422" t="s">
        <v>31997</v>
      </c>
      <c r="AA6422">
        <v>0.47452718677627048</v>
      </c>
      <c r="AB6422" t="str">
        <f>HYPERLINK("Melting_Curves/meltCurve_Q9Y6M4_4_CSNK1G3.pdf", "Melting_Curves/meltCurve_Q9Y6M4_4_CSNK1G3.pdf")</f>
        <v>Melting_Curves/meltCurve_Q9Y6M4_4_CSNK1G3.pdf</v>
      </c>
    </row>
    <row r="6423" spans="1:28" x14ac:dyDescent="0.25">
      <c r="A6423" t="s">
        <v>6427</v>
      </c>
      <c r="B6423">
        <v>0.99673306730245903</v>
      </c>
      <c r="C6423">
        <v>0.93735917144742797</v>
      </c>
      <c r="D6423">
        <v>0.89844775719074399</v>
      </c>
      <c r="E6423">
        <v>0.81983874503494802</v>
      </c>
      <c r="F6423">
        <v>0.62133190481095402</v>
      </c>
      <c r="G6423">
        <v>0.50313157010473297</v>
      </c>
      <c r="H6423">
        <v>0.447370924251003</v>
      </c>
      <c r="I6423">
        <v>0.56423800326649198</v>
      </c>
      <c r="J6423">
        <v>0.47410098756879798</v>
      </c>
      <c r="K6423">
        <v>0.43497981427445798</v>
      </c>
      <c r="L6423">
        <v>877.858431569961</v>
      </c>
      <c r="M6423">
        <v>17.316237701089999</v>
      </c>
      <c r="N6423">
        <v>59.499864527594099</v>
      </c>
      <c r="O6423">
        <v>50.0340651769422</v>
      </c>
      <c r="P6423">
        <v>-4.6600468768935303E-2</v>
      </c>
      <c r="Q6423">
        <v>0.46143570188736799</v>
      </c>
      <c r="R6423">
        <v>0.96514914098191695</v>
      </c>
      <c r="S6423" t="s">
        <v>12875</v>
      </c>
      <c r="T6423" t="s">
        <v>12902</v>
      </c>
      <c r="U6423" t="s">
        <v>12902</v>
      </c>
      <c r="V6423" t="s">
        <v>12902</v>
      </c>
      <c r="W6423" t="s">
        <v>19272</v>
      </c>
      <c r="X6423">
        <v>8</v>
      </c>
      <c r="Y6423" t="s">
        <v>25550</v>
      </c>
      <c r="Z6423" t="s">
        <v>31998</v>
      </c>
      <c r="AA6423">
        <v>0.66321757834016049</v>
      </c>
      <c r="AB6423" t="str">
        <f>HYPERLINK("Melting_Curves/meltCurve_Q9Y6M5_SLC30A1.pdf", "Melting_Curves/meltCurve_Q9Y6M5_SLC30A1.pdf")</f>
        <v>Melting_Curves/meltCurve_Q9Y6M5_SLC30A1.pdf</v>
      </c>
    </row>
    <row r="6424" spans="1:28" x14ac:dyDescent="0.25">
      <c r="A6424" t="s">
        <v>6428</v>
      </c>
      <c r="B6424">
        <v>0.99673306730245903</v>
      </c>
      <c r="C6424">
        <v>1.0289467505373699</v>
      </c>
      <c r="D6424">
        <v>0.90063990495576196</v>
      </c>
      <c r="E6424">
        <v>0.85400146185678205</v>
      </c>
      <c r="F6424">
        <v>0.573382392066344</v>
      </c>
      <c r="G6424">
        <v>0.38691409058467702</v>
      </c>
      <c r="H6424">
        <v>0.18146205119428399</v>
      </c>
      <c r="I6424">
        <v>0.12444272752683901</v>
      </c>
      <c r="J6424">
        <v>0.13137995257917301</v>
      </c>
      <c r="K6424">
        <v>0.111913685054277</v>
      </c>
      <c r="L6424">
        <v>904.957823908877</v>
      </c>
      <c r="M6424">
        <v>16.7820472899073</v>
      </c>
      <c r="N6424">
        <v>54.518510209203399</v>
      </c>
      <c r="O6424">
        <v>53.175939963742699</v>
      </c>
      <c r="P6424">
        <v>-7.2307648446801098E-2</v>
      </c>
      <c r="Q6424">
        <v>8.3597534417636205E-2</v>
      </c>
      <c r="R6424">
        <v>0.99450099439121098</v>
      </c>
      <c r="S6424" t="s">
        <v>12876</v>
      </c>
      <c r="T6424" t="s">
        <v>12902</v>
      </c>
      <c r="U6424" t="s">
        <v>12902</v>
      </c>
      <c r="V6424" t="s">
        <v>12902</v>
      </c>
      <c r="W6424" t="s">
        <v>19273</v>
      </c>
      <c r="X6424">
        <v>8</v>
      </c>
      <c r="Y6424" t="s">
        <v>25551</v>
      </c>
      <c r="Z6424" t="s">
        <v>31999</v>
      </c>
      <c r="AA6424">
        <v>0.52519831534186845</v>
      </c>
      <c r="AB6424" t="str">
        <f>HYPERLINK("Melting_Curves/meltCurve_Q9Y6M9_NDUFB9.pdf", "Melting_Curves/meltCurve_Q9Y6M9_NDUFB9.pdf")</f>
        <v>Melting_Curves/meltCurve_Q9Y6M9_NDUFB9.pdf</v>
      </c>
    </row>
    <row r="6425" spans="1:28" x14ac:dyDescent="0.25">
      <c r="A6425" t="s">
        <v>6429</v>
      </c>
      <c r="B6425">
        <v>0.99673306730245903</v>
      </c>
      <c r="C6425">
        <v>0.959890423857929</v>
      </c>
      <c r="D6425">
        <v>0.86016172483688003</v>
      </c>
      <c r="E6425">
        <v>0.717889452460032</v>
      </c>
      <c r="F6425">
        <v>0.22618312242211999</v>
      </c>
      <c r="G6425">
        <v>0.134757912767143</v>
      </c>
      <c r="H6425">
        <v>7.2981644549407601E-2</v>
      </c>
      <c r="I6425">
        <v>7.7456916356645894E-2</v>
      </c>
      <c r="J6425">
        <v>0.103199547628975</v>
      </c>
      <c r="K6425">
        <v>8.2285880993642105E-2</v>
      </c>
      <c r="L6425">
        <v>1419.8018520804801</v>
      </c>
      <c r="M6425">
        <v>28.045117279164401</v>
      </c>
      <c r="N6425">
        <v>50.938373383292998</v>
      </c>
      <c r="O6425">
        <v>50.370320448460298</v>
      </c>
      <c r="P6425">
        <v>-0.128187076205521</v>
      </c>
      <c r="Q6425">
        <v>7.9088097959778503E-2</v>
      </c>
      <c r="R6425">
        <v>0.99055048321488703</v>
      </c>
      <c r="S6425" t="s">
        <v>12877</v>
      </c>
      <c r="T6425" t="s">
        <v>12902</v>
      </c>
      <c r="U6425" t="s">
        <v>12902</v>
      </c>
      <c r="V6425" t="s">
        <v>12902</v>
      </c>
      <c r="W6425" t="s">
        <v>19274</v>
      </c>
      <c r="X6425">
        <v>2</v>
      </c>
      <c r="Y6425" t="s">
        <v>25552</v>
      </c>
      <c r="Z6425" t="s">
        <v>32000</v>
      </c>
      <c r="AA6425">
        <v>0.41185195088355459</v>
      </c>
      <c r="AB6425" t="str">
        <f>HYPERLINK("Melting_Curves/meltCurve_Q9Y6N1_COX11.pdf", "Melting_Curves/meltCurve_Q9Y6N1_COX11.pdf")</f>
        <v>Melting_Curves/meltCurve_Q9Y6N1_COX11.pdf</v>
      </c>
    </row>
    <row r="6426" spans="1:28" x14ac:dyDescent="0.25">
      <c r="A6426" t="s">
        <v>6430</v>
      </c>
      <c r="B6426">
        <v>0.99673306730245903</v>
      </c>
      <c r="C6426">
        <v>1.0028615476801599</v>
      </c>
      <c r="D6426">
        <v>0.95953693673030704</v>
      </c>
      <c r="E6426">
        <v>0.899387137290665</v>
      </c>
      <c r="F6426">
        <v>0.80964451113367897</v>
      </c>
      <c r="G6426">
        <v>0.76034746504890605</v>
      </c>
      <c r="H6426">
        <v>0.63537542843607897</v>
      </c>
      <c r="I6426">
        <v>0.887549501459034</v>
      </c>
      <c r="J6426">
        <v>0.88547638470382095</v>
      </c>
      <c r="K6426">
        <v>0.72106360705841599</v>
      </c>
      <c r="L6426">
        <v>1440.7903154604401</v>
      </c>
      <c r="M6426">
        <v>29.0234644323479</v>
      </c>
      <c r="O6426">
        <v>49.408378191011103</v>
      </c>
      <c r="P6426">
        <v>-3.2609629564470097E-2</v>
      </c>
      <c r="Q6426">
        <v>0.77794836537934298</v>
      </c>
      <c r="R6426">
        <v>0.63863271378244402</v>
      </c>
      <c r="S6426" t="s">
        <v>12878</v>
      </c>
      <c r="T6426" t="s">
        <v>12902</v>
      </c>
      <c r="U6426" t="s">
        <v>12902</v>
      </c>
      <c r="V6426" t="s">
        <v>12902</v>
      </c>
      <c r="W6426" t="s">
        <v>19275</v>
      </c>
      <c r="X6426">
        <v>25</v>
      </c>
      <c r="Y6426" t="s">
        <v>25553</v>
      </c>
      <c r="Z6426" t="s">
        <v>32001</v>
      </c>
      <c r="AA6426">
        <v>0.85077826492204411</v>
      </c>
      <c r="AB6426" t="str">
        <f>HYPERLINK("Melting_Curves/meltCurve_Q9Y6N5_SQRDL.pdf", "Melting_Curves/meltCurve_Q9Y6N5_SQRDL.pdf")</f>
        <v>Melting_Curves/meltCurve_Q9Y6N5_SQRDL.pdf</v>
      </c>
    </row>
    <row r="6427" spans="1:28" x14ac:dyDescent="0.25">
      <c r="A6427" t="s">
        <v>6431</v>
      </c>
      <c r="B6427">
        <v>0.99673306730245903</v>
      </c>
      <c r="C6427">
        <v>0.99833077384341695</v>
      </c>
      <c r="D6427">
        <v>1.00879129834336</v>
      </c>
      <c r="E6427">
        <v>0.92366812954518795</v>
      </c>
      <c r="F6427">
        <v>0.66613943341066595</v>
      </c>
      <c r="G6427">
        <v>0.39783940907178</v>
      </c>
      <c r="H6427">
        <v>0.27936523383900302</v>
      </c>
      <c r="I6427">
        <v>0.231440681272884</v>
      </c>
      <c r="J6427">
        <v>0.221565903844649</v>
      </c>
      <c r="K6427">
        <v>0.17213412987395399</v>
      </c>
      <c r="L6427">
        <v>1241.59942789143</v>
      </c>
      <c r="M6427">
        <v>22.952906340764301</v>
      </c>
      <c r="N6427">
        <v>55.331165222387703</v>
      </c>
      <c r="O6427">
        <v>53.6877646600757</v>
      </c>
      <c r="P6427">
        <v>-8.5421682101951404E-2</v>
      </c>
      <c r="Q6427">
        <v>0.20079622224242499</v>
      </c>
      <c r="R6427">
        <v>0.997932060482151</v>
      </c>
      <c r="S6427" t="s">
        <v>12879</v>
      </c>
      <c r="T6427" t="s">
        <v>12902</v>
      </c>
      <c r="U6427" t="s">
        <v>12902</v>
      </c>
      <c r="V6427" t="s">
        <v>12902</v>
      </c>
      <c r="W6427" t="s">
        <v>19276</v>
      </c>
      <c r="X6427">
        <v>34</v>
      </c>
      <c r="Y6427" t="s">
        <v>25554</v>
      </c>
      <c r="Z6427" t="s">
        <v>32002</v>
      </c>
      <c r="AA6427">
        <v>0.58485710849879291</v>
      </c>
      <c r="AB6427" t="str">
        <f>HYPERLINK("Melting_Curves/meltCurve_Q9Y6N7_4_ROBO1.pdf", "Melting_Curves/meltCurve_Q9Y6N7_4_ROBO1.pdf")</f>
        <v>Melting_Curves/meltCurve_Q9Y6N7_4_ROBO1.pdf</v>
      </c>
    </row>
    <row r="6428" spans="1:28" x14ac:dyDescent="0.25">
      <c r="A6428" t="s">
        <v>6432</v>
      </c>
      <c r="B6428">
        <v>0.99673306730245903</v>
      </c>
      <c r="C6428">
        <v>0.95184591196573998</v>
      </c>
      <c r="D6428">
        <v>0.86869521309775399</v>
      </c>
      <c r="E6428">
        <v>0.56943222141842698</v>
      </c>
      <c r="F6428">
        <v>0.44145300380124503</v>
      </c>
      <c r="G6428">
        <v>0.26154123711606297</v>
      </c>
      <c r="H6428">
        <v>0.152764248760968</v>
      </c>
      <c r="I6428">
        <v>0.14789769894316601</v>
      </c>
      <c r="J6428">
        <v>0.105696543335979</v>
      </c>
      <c r="K6428">
        <v>9.5744895005162395E-2</v>
      </c>
      <c r="L6428">
        <v>726.98912412548304</v>
      </c>
      <c r="M6428">
        <v>14.279127510908999</v>
      </c>
      <c r="N6428">
        <v>51.584430378563702</v>
      </c>
      <c r="O6428">
        <v>49.945378564771197</v>
      </c>
      <c r="P6428">
        <v>-6.5418067506159999E-2</v>
      </c>
      <c r="Q6428">
        <v>8.4837662876033601E-2</v>
      </c>
      <c r="R6428">
        <v>0.9944429629789</v>
      </c>
      <c r="S6428" t="s">
        <v>12880</v>
      </c>
      <c r="T6428" t="s">
        <v>12902</v>
      </c>
      <c r="U6428" t="s">
        <v>12902</v>
      </c>
      <c r="V6428" t="s">
        <v>12902</v>
      </c>
      <c r="W6428" t="s">
        <v>19277</v>
      </c>
      <c r="X6428">
        <v>13</v>
      </c>
      <c r="Y6428" t="s">
        <v>25555</v>
      </c>
      <c r="Z6428" t="s">
        <v>32003</v>
      </c>
      <c r="AA6428">
        <v>0.44072276143136069</v>
      </c>
      <c r="AB6428" t="str">
        <f>HYPERLINK("Melting_Curves/meltCurve_Q9Y6Q5_AP1M2.pdf", "Melting_Curves/meltCurve_Q9Y6Q5_AP1M2.pdf")</f>
        <v>Melting_Curves/meltCurve_Q9Y6Q5_AP1M2.pdf</v>
      </c>
    </row>
    <row r="6429" spans="1:28" x14ac:dyDescent="0.25">
      <c r="A6429" t="s">
        <v>6433</v>
      </c>
      <c r="B6429">
        <v>0.99673306730245903</v>
      </c>
      <c r="C6429">
        <v>0.95204548928739596</v>
      </c>
      <c r="D6429">
        <v>0.78245967483106704</v>
      </c>
      <c r="E6429">
        <v>0.49094132084113201</v>
      </c>
      <c r="F6429">
        <v>0.18483247720468701</v>
      </c>
      <c r="G6429">
        <v>0.12487503148427199</v>
      </c>
      <c r="H6429">
        <v>5.0695621046094999E-2</v>
      </c>
      <c r="I6429">
        <v>4.6627633749861397E-2</v>
      </c>
      <c r="J6429">
        <v>6.8657343841032406E-2</v>
      </c>
      <c r="K6429">
        <v>6.6869637709273594E-2</v>
      </c>
      <c r="L6429">
        <v>991.46043369916799</v>
      </c>
      <c r="M6429">
        <v>20.234836851291899</v>
      </c>
      <c r="N6429">
        <v>49.261563102639997</v>
      </c>
      <c r="O6429">
        <v>48.526684150041802</v>
      </c>
      <c r="P6429">
        <v>-9.8895012037006097E-2</v>
      </c>
      <c r="Q6429">
        <v>5.1359325555875801E-2</v>
      </c>
      <c r="R6429">
        <v>0.99801301581203095</v>
      </c>
      <c r="S6429" t="s">
        <v>12881</v>
      </c>
      <c r="T6429" t="s">
        <v>12902</v>
      </c>
      <c r="U6429" t="s">
        <v>12902</v>
      </c>
      <c r="V6429" t="s">
        <v>12902</v>
      </c>
      <c r="W6429" t="s">
        <v>19278</v>
      </c>
      <c r="X6429">
        <v>3</v>
      </c>
      <c r="Y6429" t="s">
        <v>25556</v>
      </c>
      <c r="Z6429" t="s">
        <v>32004</v>
      </c>
      <c r="AA6429">
        <v>0.34885541669758019</v>
      </c>
      <c r="AB6429" t="str">
        <f>HYPERLINK("Melting_Curves/meltCurve_Q9Y6Q9_2_NCOA3.pdf", "Melting_Curves/meltCurve_Q9Y6Q9_2_NCOA3.pdf")</f>
        <v>Melting_Curves/meltCurve_Q9Y6Q9_2_NCOA3.pdf</v>
      </c>
    </row>
    <row r="6430" spans="1:28" x14ac:dyDescent="0.25">
      <c r="A6430" t="s">
        <v>6434</v>
      </c>
      <c r="B6430">
        <v>0.99673306730245903</v>
      </c>
      <c r="C6430">
        <v>0.97805516478068399</v>
      </c>
      <c r="D6430">
        <v>0.82327591165898395</v>
      </c>
      <c r="E6430">
        <v>0.46238490865349702</v>
      </c>
      <c r="F6430">
        <v>0.31752653120790397</v>
      </c>
      <c r="G6430">
        <v>0.224995270712536</v>
      </c>
      <c r="H6430">
        <v>0.132123269301607</v>
      </c>
      <c r="I6430">
        <v>0.116372505204708</v>
      </c>
      <c r="J6430">
        <v>0.13364651343868</v>
      </c>
      <c r="K6430">
        <v>0.124397108276379</v>
      </c>
      <c r="L6430">
        <v>951.52929343132098</v>
      </c>
      <c r="M6430">
        <v>19.435877253710899</v>
      </c>
      <c r="N6430">
        <v>49.723512060658599</v>
      </c>
      <c r="O6430">
        <v>48.447924254002402</v>
      </c>
      <c r="P6430">
        <v>-8.7318446335997807E-2</v>
      </c>
      <c r="Q6430">
        <v>0.12939493987161099</v>
      </c>
      <c r="R6430">
        <v>0.99394807653759498</v>
      </c>
      <c r="S6430" t="s">
        <v>12882</v>
      </c>
      <c r="T6430" t="s">
        <v>12902</v>
      </c>
      <c r="U6430" t="s">
        <v>12902</v>
      </c>
      <c r="V6430" t="s">
        <v>12902</v>
      </c>
      <c r="W6430" t="s">
        <v>19279</v>
      </c>
      <c r="X6430">
        <v>5</v>
      </c>
      <c r="Y6430" t="s">
        <v>25557</v>
      </c>
      <c r="Z6430" t="s">
        <v>32005</v>
      </c>
      <c r="AA6430">
        <v>0.40226969749322361</v>
      </c>
      <c r="AB6430" t="str">
        <f>HYPERLINK("Melting_Curves/meltCurve_Q9Y6U3_SCIN.pdf", "Melting_Curves/meltCurve_Q9Y6U3_SCIN.pdf")</f>
        <v>Melting_Curves/meltCurve_Q9Y6U3_SCIN.pdf</v>
      </c>
    </row>
    <row r="6431" spans="1:28" x14ac:dyDescent="0.25">
      <c r="A6431" t="s">
        <v>6435</v>
      </c>
      <c r="B6431">
        <v>0.99673306730245903</v>
      </c>
      <c r="C6431">
        <v>0.98721997473185397</v>
      </c>
      <c r="D6431">
        <v>1.01513944654229</v>
      </c>
      <c r="E6431">
        <v>0.90509627151989203</v>
      </c>
      <c r="F6431">
        <v>0.48849992535356002</v>
      </c>
      <c r="G6431">
        <v>0.18956604655109599</v>
      </c>
      <c r="H6431">
        <v>9.3697181958451406E-2</v>
      </c>
      <c r="I6431">
        <v>6.4445036525348207E-2</v>
      </c>
      <c r="J6431">
        <v>6.3149131729931099E-2</v>
      </c>
      <c r="K6431">
        <v>4.4390731833448202E-2</v>
      </c>
      <c r="L6431">
        <v>1582.56591294397</v>
      </c>
      <c r="M6431">
        <v>29.867331822803699</v>
      </c>
      <c r="N6431">
        <v>53.221025184510502</v>
      </c>
      <c r="O6431">
        <v>52.750675502224603</v>
      </c>
      <c r="P6431">
        <v>-0.132822989184987</v>
      </c>
      <c r="Q6431">
        <v>6.16560755722858E-2</v>
      </c>
      <c r="R6431">
        <v>0.99891452847138495</v>
      </c>
      <c r="S6431" t="s">
        <v>12883</v>
      </c>
      <c r="T6431" t="s">
        <v>12902</v>
      </c>
      <c r="U6431" t="s">
        <v>12902</v>
      </c>
      <c r="V6431" t="s">
        <v>12902</v>
      </c>
      <c r="W6431" t="s">
        <v>19280</v>
      </c>
      <c r="X6431">
        <v>11</v>
      </c>
      <c r="Y6431" t="s">
        <v>25558</v>
      </c>
      <c r="Z6431" t="s">
        <v>32006</v>
      </c>
      <c r="AA6431">
        <v>0.4739871439556585</v>
      </c>
      <c r="AB6431" t="str">
        <f>HYPERLINK("Melting_Curves/meltCurve_Q9Y6V7_DDX49.pdf", "Melting_Curves/meltCurve_Q9Y6V7_DDX49.pdf")</f>
        <v>Melting_Curves/meltCurve_Q9Y6V7_DDX49.pdf</v>
      </c>
    </row>
    <row r="6432" spans="1:28" x14ac:dyDescent="0.25">
      <c r="A6432" t="s">
        <v>6436</v>
      </c>
      <c r="B6432">
        <v>0.99673306730245903</v>
      </c>
      <c r="C6432">
        <v>0.96667272505692803</v>
      </c>
      <c r="D6432">
        <v>0.84560124558221805</v>
      </c>
      <c r="E6432">
        <v>0.53313794357753197</v>
      </c>
      <c r="F6432">
        <v>0.24242181505667701</v>
      </c>
      <c r="G6432">
        <v>0.165772351936815</v>
      </c>
      <c r="H6432">
        <v>9.0764816671703899E-2</v>
      </c>
      <c r="I6432">
        <v>8.0800047851280907E-2</v>
      </c>
      <c r="J6432">
        <v>8.7737949504545595E-2</v>
      </c>
      <c r="K6432">
        <v>7.4988286602353404E-2</v>
      </c>
      <c r="L6432">
        <v>1031.4796066148499</v>
      </c>
      <c r="M6432">
        <v>20.829871231971001</v>
      </c>
      <c r="N6432">
        <v>49.932920884130702</v>
      </c>
      <c r="O6432">
        <v>49.069604974311801</v>
      </c>
      <c r="P6432">
        <v>-9.7716630175185698E-2</v>
      </c>
      <c r="Q6432">
        <v>7.9248232106637298E-2</v>
      </c>
      <c r="R6432">
        <v>0.99922024607445903</v>
      </c>
      <c r="S6432" t="s">
        <v>12884</v>
      </c>
      <c r="T6432" t="s">
        <v>12902</v>
      </c>
      <c r="U6432" t="s">
        <v>12902</v>
      </c>
      <c r="V6432" t="s">
        <v>12902</v>
      </c>
      <c r="W6432" t="s">
        <v>19281</v>
      </c>
      <c r="X6432">
        <v>12</v>
      </c>
      <c r="Y6432" t="s">
        <v>25559</v>
      </c>
      <c r="Z6432" t="s">
        <v>32007</v>
      </c>
      <c r="AA6432">
        <v>0.38325650642363851</v>
      </c>
      <c r="AB6432" t="str">
        <f>HYPERLINK("Melting_Curves/meltCurve_Q9Y6W3_CAPN7.pdf", "Melting_Curves/meltCurve_Q9Y6W3_CAPN7.pdf")</f>
        <v>Melting_Curves/meltCurve_Q9Y6W3_CAPN7.pdf</v>
      </c>
    </row>
    <row r="6433" spans="1:28" x14ac:dyDescent="0.25">
      <c r="A6433" t="s">
        <v>6437</v>
      </c>
      <c r="B6433">
        <v>0.99673306730245903</v>
      </c>
      <c r="C6433">
        <v>0.89142702718887501</v>
      </c>
      <c r="D6433">
        <v>0.95360183622677497</v>
      </c>
      <c r="E6433">
        <v>0.99906909884495598</v>
      </c>
      <c r="F6433">
        <v>0.75397819359742901</v>
      </c>
      <c r="G6433">
        <v>0.66134830507700704</v>
      </c>
      <c r="H6433">
        <v>0.55092814872987195</v>
      </c>
      <c r="I6433">
        <v>0.62331358516786395</v>
      </c>
      <c r="J6433">
        <v>0.59921668335393197</v>
      </c>
      <c r="K6433">
        <v>0.59433207049120296</v>
      </c>
      <c r="L6433">
        <v>2144.2792541190101</v>
      </c>
      <c r="M6433">
        <v>40.625414178352003</v>
      </c>
      <c r="O6433">
        <v>52.654310595884802</v>
      </c>
      <c r="P6433">
        <v>-7.7267740552883005E-2</v>
      </c>
      <c r="Q6433">
        <v>0.59941609162657195</v>
      </c>
      <c r="R6433">
        <v>0.93346923891660705</v>
      </c>
      <c r="S6433" t="s">
        <v>12885</v>
      </c>
      <c r="T6433" t="s">
        <v>12902</v>
      </c>
      <c r="U6433" t="s">
        <v>12902</v>
      </c>
      <c r="V6433" t="s">
        <v>12902</v>
      </c>
      <c r="W6433" t="s">
        <v>19282</v>
      </c>
      <c r="X6433">
        <v>10</v>
      </c>
      <c r="Y6433" t="s">
        <v>25560</v>
      </c>
      <c r="Z6433" t="s">
        <v>32008</v>
      </c>
      <c r="AA6433">
        <v>0.77150320535516104</v>
      </c>
      <c r="AB6433" t="str">
        <f>HYPERLINK("Melting_Curves/meltCurve_Q9Y6W5_WASF2.pdf", "Melting_Curves/meltCurve_Q9Y6W5_WASF2.pdf")</f>
        <v>Melting_Curves/meltCurve_Q9Y6W5_WASF2.pdf</v>
      </c>
    </row>
    <row r="6434" spans="1:28" x14ac:dyDescent="0.25">
      <c r="A6434" t="s">
        <v>6438</v>
      </c>
      <c r="B6434">
        <v>0.99673306730245903</v>
      </c>
      <c r="C6434">
        <v>0.96557290832947895</v>
      </c>
      <c r="D6434">
        <v>0.90275762718668195</v>
      </c>
      <c r="E6434">
        <v>0.813623621962694</v>
      </c>
      <c r="F6434">
        <v>0.70881230766922598</v>
      </c>
      <c r="G6434">
        <v>0.56198342298524695</v>
      </c>
      <c r="H6434">
        <v>0.41264313740314201</v>
      </c>
      <c r="I6434">
        <v>0.48052200088615199</v>
      </c>
      <c r="J6434">
        <v>0.42713272106563999</v>
      </c>
      <c r="K6434">
        <v>0.30726948366171603</v>
      </c>
      <c r="L6434">
        <v>582.7410591217</v>
      </c>
      <c r="M6434">
        <v>10.731582116712101</v>
      </c>
      <c r="N6434">
        <v>59.467447567255903</v>
      </c>
      <c r="O6434">
        <v>52.517871895411297</v>
      </c>
      <c r="P6434">
        <v>-3.56111481766032E-2</v>
      </c>
      <c r="Q6434">
        <v>0.30316777584921001</v>
      </c>
      <c r="R6434">
        <v>0.97758029566879201</v>
      </c>
      <c r="S6434" t="s">
        <v>12886</v>
      </c>
      <c r="T6434" t="s">
        <v>12902</v>
      </c>
      <c r="U6434" t="s">
        <v>12902</v>
      </c>
      <c r="V6434" t="s">
        <v>12902</v>
      </c>
      <c r="W6434" t="s">
        <v>19283</v>
      </c>
      <c r="X6434">
        <v>10</v>
      </c>
      <c r="Y6434" t="s">
        <v>25561</v>
      </c>
      <c r="Z6434" t="s">
        <v>32009</v>
      </c>
      <c r="AA6434">
        <v>0.65462620921395775</v>
      </c>
      <c r="AB6434" t="str">
        <f>HYPERLINK("Melting_Curves/meltCurve_Q9Y6X5_ENPP4.pdf", "Melting_Curves/meltCurve_Q9Y6X5_ENPP4.pdf")</f>
        <v>Melting_Curves/meltCurve_Q9Y6X5_ENPP4.pdf</v>
      </c>
    </row>
    <row r="6435" spans="1:28" x14ac:dyDescent="0.25">
      <c r="A6435" t="s">
        <v>6439</v>
      </c>
      <c r="B6435">
        <v>0.99673306730245903</v>
      </c>
      <c r="C6435">
        <v>0.91016323433004798</v>
      </c>
      <c r="D6435">
        <v>0.67286600347054004</v>
      </c>
      <c r="E6435">
        <v>0.345279325565927</v>
      </c>
      <c r="F6435">
        <v>0.213658344588389</v>
      </c>
      <c r="G6435">
        <v>0.15826197953521201</v>
      </c>
      <c r="H6435">
        <v>0.12495606635027599</v>
      </c>
      <c r="I6435">
        <v>0.104905356110065</v>
      </c>
      <c r="J6435">
        <v>9.9025546485730406E-2</v>
      </c>
      <c r="K6435">
        <v>8.7207555741613194E-2</v>
      </c>
      <c r="L6435">
        <v>948.83099280164697</v>
      </c>
      <c r="M6435">
        <v>20.0557112361973</v>
      </c>
      <c r="N6435">
        <v>47.8809503069972</v>
      </c>
      <c r="O6435">
        <v>46.846944219030803</v>
      </c>
      <c r="P6435">
        <v>-9.5644131139692098E-2</v>
      </c>
      <c r="Q6435">
        <v>0.10639099758883</v>
      </c>
      <c r="R6435">
        <v>0.99805192917850805</v>
      </c>
      <c r="S6435" t="s">
        <v>12887</v>
      </c>
      <c r="T6435" t="s">
        <v>12902</v>
      </c>
      <c r="U6435" t="s">
        <v>12902</v>
      </c>
      <c r="V6435" t="s">
        <v>12902</v>
      </c>
      <c r="W6435" t="s">
        <v>19284</v>
      </c>
      <c r="X6435">
        <v>6</v>
      </c>
      <c r="Y6435" t="s">
        <v>25562</v>
      </c>
      <c r="Z6435" t="s">
        <v>32010</v>
      </c>
      <c r="AA6435">
        <v>0.33698274961429708</v>
      </c>
      <c r="AB6435" t="str">
        <f>HYPERLINK("Melting_Curves/meltCurve_Q9Y6X8_ZHX2.pdf", "Melting_Curves/meltCurve_Q9Y6X8_ZHX2.pdf")</f>
        <v>Melting_Curves/meltCurve_Q9Y6X8_ZHX2.pdf</v>
      </c>
    </row>
    <row r="6436" spans="1:28" x14ac:dyDescent="0.25">
      <c r="A6436" t="s">
        <v>6440</v>
      </c>
      <c r="B6436">
        <v>0.99673306730245903</v>
      </c>
      <c r="C6436">
        <v>0.901520162114677</v>
      </c>
      <c r="D6436">
        <v>0.70353627956590203</v>
      </c>
      <c r="E6436">
        <v>0.25712228627749401</v>
      </c>
      <c r="F6436">
        <v>0.19646847035823001</v>
      </c>
      <c r="G6436">
        <v>0.12428240843888901</v>
      </c>
      <c r="H6436">
        <v>9.3954168077243896E-2</v>
      </c>
      <c r="I6436">
        <v>7.6039274418378697E-2</v>
      </c>
      <c r="J6436">
        <v>7.5842064891071606E-2</v>
      </c>
      <c r="K6436">
        <v>6.5496197255010699E-2</v>
      </c>
      <c r="L6436">
        <v>1132.88698321319</v>
      </c>
      <c r="M6436">
        <v>24.025620873558399</v>
      </c>
      <c r="N6436">
        <v>47.5335954928494</v>
      </c>
      <c r="O6436">
        <v>46.830264039235402</v>
      </c>
      <c r="P6436">
        <v>-0.117046007157218</v>
      </c>
      <c r="Q6436">
        <v>8.7439506329207203E-2</v>
      </c>
      <c r="R6436">
        <v>0.99405980505629099</v>
      </c>
      <c r="S6436" t="s">
        <v>12888</v>
      </c>
      <c r="T6436" t="s">
        <v>12902</v>
      </c>
      <c r="U6436" t="s">
        <v>12902</v>
      </c>
      <c r="V6436" t="s">
        <v>12902</v>
      </c>
      <c r="W6436" t="s">
        <v>19285</v>
      </c>
      <c r="X6436">
        <v>14</v>
      </c>
      <c r="Y6436" t="s">
        <v>25563</v>
      </c>
      <c r="Z6436" t="s">
        <v>32011</v>
      </c>
      <c r="AA6436">
        <v>0.31389940327047672</v>
      </c>
      <c r="AB6436" t="str">
        <f>HYPERLINK("Melting_Curves/meltCurve_Q9Y6X9_MORC2.pdf", "Melting_Curves/meltCurve_Q9Y6X9_MORC2.pdf")</f>
        <v>Melting_Curves/meltCurve_Q9Y6X9_MORC2.pdf</v>
      </c>
    </row>
    <row r="6437" spans="1:28" x14ac:dyDescent="0.25">
      <c r="A6437" t="s">
        <v>6441</v>
      </c>
      <c r="B6437">
        <v>0.99673306730245903</v>
      </c>
      <c r="C6437">
        <v>0.97228044887001897</v>
      </c>
      <c r="D6437">
        <v>0.99922789728390704</v>
      </c>
      <c r="E6437">
        <v>1.18387638557454</v>
      </c>
      <c r="F6437">
        <v>0.96420017007909098</v>
      </c>
      <c r="G6437">
        <v>0.56757420426529304</v>
      </c>
      <c r="H6437">
        <v>0.173632170589512</v>
      </c>
      <c r="I6437">
        <v>0.12896896514157899</v>
      </c>
      <c r="J6437">
        <v>0.10860131444111</v>
      </c>
      <c r="K6437">
        <v>8.8189617735971407E-2</v>
      </c>
      <c r="L6437">
        <v>2486.5660534435401</v>
      </c>
      <c r="M6437">
        <v>43.695870251436098</v>
      </c>
      <c r="N6437">
        <v>57.229115355781097</v>
      </c>
      <c r="O6437">
        <v>56.787400629196497</v>
      </c>
      <c r="P6437">
        <v>-0.171349334739932</v>
      </c>
      <c r="Q6437">
        <v>0.10925503692880199</v>
      </c>
      <c r="R6437">
        <v>0.98038877281336501</v>
      </c>
      <c r="S6437" t="s">
        <v>12889</v>
      </c>
      <c r="T6437" t="s">
        <v>12902</v>
      </c>
      <c r="U6437" t="s">
        <v>12902</v>
      </c>
      <c r="V6437" t="s">
        <v>12902</v>
      </c>
      <c r="W6437" t="s">
        <v>19286</v>
      </c>
      <c r="X6437">
        <v>9</v>
      </c>
      <c r="Y6437" t="s">
        <v>25564</v>
      </c>
      <c r="Z6437" t="s">
        <v>32012</v>
      </c>
      <c r="AA6437">
        <v>0.61414075978149574</v>
      </c>
      <c r="AB6437" t="str">
        <f>HYPERLINK("Melting_Curves/meltCurve_R4GMR5_PSMD8.pdf", "Melting_Curves/meltCurve_R4GMR5_PSMD8.pdf")</f>
        <v>Melting_Curves/meltCurve_R4GMR5_PSMD8.pdf</v>
      </c>
    </row>
    <row r="6438" spans="1:28" x14ac:dyDescent="0.25">
      <c r="A6438" t="s">
        <v>6442</v>
      </c>
      <c r="B6438">
        <v>0.99673306730245903</v>
      </c>
      <c r="C6438">
        <v>0.94834332363603202</v>
      </c>
      <c r="D6438">
        <v>0.95154588760036196</v>
      </c>
      <c r="E6438">
        <v>0.74809683478261402</v>
      </c>
      <c r="F6438">
        <v>0.44227766803674301</v>
      </c>
      <c r="G6438">
        <v>0.30196825009415301</v>
      </c>
      <c r="H6438">
        <v>0.22687680086079701</v>
      </c>
      <c r="I6438">
        <v>0.207291984955491</v>
      </c>
      <c r="J6438">
        <v>0.26000872726705399</v>
      </c>
      <c r="K6438">
        <v>0.199867187317088</v>
      </c>
      <c r="L6438">
        <v>1161.91280682755</v>
      </c>
      <c r="M6438">
        <v>22.7013202444036</v>
      </c>
      <c r="N6438">
        <v>52.4940133699779</v>
      </c>
      <c r="O6438">
        <v>50.790428594430402</v>
      </c>
      <c r="P6438">
        <v>-8.7558815932547301E-2</v>
      </c>
      <c r="Q6438">
        <v>0.21642260663017501</v>
      </c>
      <c r="R6438">
        <v>0.99587731806899604</v>
      </c>
      <c r="S6438" t="s">
        <v>12890</v>
      </c>
      <c r="T6438" t="s">
        <v>12902</v>
      </c>
      <c r="U6438" t="s">
        <v>12902</v>
      </c>
      <c r="V6438" t="s">
        <v>12902</v>
      </c>
      <c r="W6438" t="s">
        <v>19287</v>
      </c>
      <c r="X6438">
        <v>15</v>
      </c>
      <c r="Y6438" t="s">
        <v>25565</v>
      </c>
      <c r="Z6438" t="s">
        <v>32013</v>
      </c>
      <c r="AA6438">
        <v>0.51705856054320265</v>
      </c>
      <c r="AB6438" t="str">
        <f>HYPERLINK("Melting_Curves/meltCurve_R4GMU1_H6PD.pdf", "Melting_Curves/meltCurve_R4GMU1_H6PD.pdf")</f>
        <v>Melting_Curves/meltCurve_R4GMU1_H6PD.pdf</v>
      </c>
    </row>
    <row r="6439" spans="1:28" x14ac:dyDescent="0.25">
      <c r="A6439" t="s">
        <v>6443</v>
      </c>
      <c r="B6439">
        <v>0.99673306730245903</v>
      </c>
      <c r="C6439">
        <v>0.91403799012562803</v>
      </c>
      <c r="D6439">
        <v>0.814738183271427</v>
      </c>
      <c r="E6439">
        <v>0.54398144211060195</v>
      </c>
      <c r="F6439">
        <v>0.34428254839740002</v>
      </c>
      <c r="G6439">
        <v>0.21165680737748399</v>
      </c>
      <c r="H6439">
        <v>0.12529435516678</v>
      </c>
      <c r="I6439">
        <v>9.5625005545157002E-2</v>
      </c>
      <c r="J6439">
        <v>0.102592575228116</v>
      </c>
      <c r="K6439">
        <v>8.8377542972454204E-2</v>
      </c>
      <c r="L6439">
        <v>755.68260074684599</v>
      </c>
      <c r="M6439">
        <v>15.139303913415301</v>
      </c>
      <c r="N6439">
        <v>50.459063986925699</v>
      </c>
      <c r="O6439">
        <v>49.068686436188102</v>
      </c>
      <c r="P6439">
        <v>-7.1334455351607304E-2</v>
      </c>
      <c r="Q6439">
        <v>7.5268989213551393E-2</v>
      </c>
      <c r="R6439">
        <v>0.99882800535128202</v>
      </c>
      <c r="S6439" t="s">
        <v>12891</v>
      </c>
      <c r="T6439" t="s">
        <v>12902</v>
      </c>
      <c r="U6439" t="s">
        <v>12902</v>
      </c>
      <c r="V6439" t="s">
        <v>12902</v>
      </c>
      <c r="W6439" t="s">
        <v>19288</v>
      </c>
      <c r="X6439">
        <v>10</v>
      </c>
      <c r="Y6439" t="s">
        <v>25566</v>
      </c>
      <c r="Z6439" t="s">
        <v>32014</v>
      </c>
      <c r="AA6439">
        <v>0.40265142529372983</v>
      </c>
      <c r="AB6439" t="str">
        <f>HYPERLINK("Melting_Curves/meltCurve_R4GMX3_BMI1.pdf", "Melting_Curves/meltCurve_R4GMX3_BMI1.pdf")</f>
        <v>Melting_Curves/meltCurve_R4GMX3_BMI1.pdf</v>
      </c>
    </row>
    <row r="6440" spans="1:28" x14ac:dyDescent="0.25">
      <c r="A6440" t="s">
        <v>6444</v>
      </c>
      <c r="B6440">
        <v>0.99673306730245903</v>
      </c>
      <c r="C6440">
        <v>0.79176138934880902</v>
      </c>
      <c r="D6440">
        <v>1.2825253507098699</v>
      </c>
      <c r="E6440">
        <v>0.83850849899994295</v>
      </c>
      <c r="F6440">
        <v>0.286087384306278</v>
      </c>
      <c r="G6440">
        <v>0.29214353126632803</v>
      </c>
      <c r="H6440">
        <v>0.24011011656127201</v>
      </c>
      <c r="I6440">
        <v>0.72213433792293402</v>
      </c>
      <c r="J6440">
        <v>0.53106592840861799</v>
      </c>
      <c r="K6440">
        <v>0.30900461586481498</v>
      </c>
      <c r="L6440">
        <v>12449.9121342751</v>
      </c>
      <c r="M6440">
        <v>250</v>
      </c>
      <c r="N6440">
        <v>50.115885424457602</v>
      </c>
      <c r="O6440">
        <v>49.796461619090898</v>
      </c>
      <c r="P6440">
        <v>-0.757135063788405</v>
      </c>
      <c r="Q6440">
        <v>0.396757645538652</v>
      </c>
      <c r="R6440">
        <v>0.73360643613795395</v>
      </c>
      <c r="S6440" t="s">
        <v>12892</v>
      </c>
      <c r="T6440" t="s">
        <v>12902</v>
      </c>
      <c r="U6440" t="s">
        <v>12902</v>
      </c>
      <c r="V6440" t="s">
        <v>12902</v>
      </c>
      <c r="W6440" t="s">
        <v>19289</v>
      </c>
      <c r="X6440">
        <v>4</v>
      </c>
      <c r="Y6440" t="s">
        <v>25567</v>
      </c>
      <c r="Z6440" t="s">
        <v>32015</v>
      </c>
      <c r="AA6440">
        <v>0.59386246935802556</v>
      </c>
      <c r="AB6440" t="str">
        <f>HYPERLINK("Melting_Curves/meltCurve_R4GMX8_RANBP10.pdf", "Melting_Curves/meltCurve_R4GMX8_RANBP10.pdf")</f>
        <v>Melting_Curves/meltCurve_R4GMX8_RANBP10.pdf</v>
      </c>
    </row>
    <row r="6441" spans="1:28" x14ac:dyDescent="0.25">
      <c r="A6441" t="s">
        <v>6445</v>
      </c>
      <c r="B6441">
        <v>0.99673306730245903</v>
      </c>
      <c r="C6441">
        <v>0.98189746303815095</v>
      </c>
      <c r="D6441">
        <v>0.88327781181186105</v>
      </c>
      <c r="E6441">
        <v>0.69341204826984304</v>
      </c>
      <c r="F6441">
        <v>0.48538226520421301</v>
      </c>
      <c r="G6441">
        <v>0.37228557634764797</v>
      </c>
      <c r="H6441">
        <v>0.28024651326542099</v>
      </c>
      <c r="I6441">
        <v>0.224946943088217</v>
      </c>
      <c r="J6441">
        <v>0.20582872815925499</v>
      </c>
      <c r="K6441">
        <v>0.16899941589652601</v>
      </c>
      <c r="L6441">
        <v>726.52361306864702</v>
      </c>
      <c r="M6441">
        <v>14.057590920787201</v>
      </c>
      <c r="N6441">
        <v>53.276419353365299</v>
      </c>
      <c r="O6441">
        <v>50.669805974891801</v>
      </c>
      <c r="P6441">
        <v>-5.7456428265706301E-2</v>
      </c>
      <c r="Q6441">
        <v>0.171713809993151</v>
      </c>
      <c r="R6441">
        <v>0.99743607089124897</v>
      </c>
      <c r="S6441" t="s">
        <v>12893</v>
      </c>
      <c r="T6441" t="s">
        <v>12902</v>
      </c>
      <c r="U6441" t="s">
        <v>12902</v>
      </c>
      <c r="V6441" t="s">
        <v>12902</v>
      </c>
      <c r="W6441" t="s">
        <v>19290</v>
      </c>
      <c r="X6441">
        <v>13</v>
      </c>
      <c r="Y6441" t="s">
        <v>25568</v>
      </c>
      <c r="Z6441" t="s">
        <v>32016</v>
      </c>
      <c r="AA6441">
        <v>0.51492847989636337</v>
      </c>
      <c r="AB6441" t="str">
        <f>HYPERLINK("Melting_Curves/meltCurve_R4GMZ0_PRSS56.pdf", "Melting_Curves/meltCurve_R4GMZ0_PRSS56.pdf")</f>
        <v>Melting_Curves/meltCurve_R4GMZ0_PRSS56.pdf</v>
      </c>
    </row>
    <row r="6442" spans="1:28" x14ac:dyDescent="0.25">
      <c r="A6442" t="s">
        <v>6446</v>
      </c>
      <c r="B6442">
        <v>0.99673306730245903</v>
      </c>
      <c r="C6442">
        <v>1.0053207672922799</v>
      </c>
      <c r="D6442">
        <v>0.99806948588232802</v>
      </c>
      <c r="E6442">
        <v>0.96158110247167405</v>
      </c>
      <c r="F6442">
        <v>0.83774577023183405</v>
      </c>
      <c r="G6442">
        <v>0.61242033518897598</v>
      </c>
      <c r="H6442">
        <v>0.36203264672962998</v>
      </c>
      <c r="I6442">
        <v>0.28205415947476098</v>
      </c>
      <c r="J6442">
        <v>0.278244206207794</v>
      </c>
      <c r="K6442">
        <v>0.252527449707169</v>
      </c>
      <c r="L6442">
        <v>1251.0152250066501</v>
      </c>
      <c r="M6442">
        <v>22.142827676239399</v>
      </c>
      <c r="N6442">
        <v>58.2329539898085</v>
      </c>
      <c r="O6442">
        <v>56.042772640281001</v>
      </c>
      <c r="P6442">
        <v>-7.4919154427262893E-2</v>
      </c>
      <c r="Q6442">
        <v>0.24154455218368601</v>
      </c>
      <c r="R6442">
        <v>0.99919206987599296</v>
      </c>
      <c r="S6442" t="s">
        <v>12894</v>
      </c>
      <c r="T6442" t="s">
        <v>12902</v>
      </c>
      <c r="U6442" t="s">
        <v>12902</v>
      </c>
      <c r="V6442" t="s">
        <v>12902</v>
      </c>
      <c r="W6442" t="s">
        <v>19291</v>
      </c>
      <c r="X6442">
        <v>3</v>
      </c>
      <c r="Y6442" t="s">
        <v>25569</v>
      </c>
      <c r="Z6442" t="s">
        <v>32017</v>
      </c>
      <c r="AA6442">
        <v>0.66694805694366321</v>
      </c>
      <c r="AB6442" t="str">
        <f>HYPERLINK("Melting_Curves/meltCurve_R4GN50_PTP4A2.pdf", "Melting_Curves/meltCurve_R4GN50_PTP4A2.pdf")</f>
        <v>Melting_Curves/meltCurve_R4GN50_PTP4A2.pdf</v>
      </c>
    </row>
    <row r="6443" spans="1:28" x14ac:dyDescent="0.25">
      <c r="A6443" t="s">
        <v>6447</v>
      </c>
      <c r="B6443">
        <v>0.99673306730245903</v>
      </c>
      <c r="C6443">
        <v>0.86361907814137095</v>
      </c>
      <c r="D6443">
        <v>0.74100051200018802</v>
      </c>
      <c r="E6443">
        <v>0.79979325508718702</v>
      </c>
      <c r="F6443">
        <v>0.32071880475181602</v>
      </c>
      <c r="G6443">
        <v>0.16106612927797401</v>
      </c>
      <c r="H6443">
        <v>7.7987659910902105E-2</v>
      </c>
      <c r="I6443">
        <v>6.6755671792732493E-2</v>
      </c>
      <c r="J6443">
        <v>6.6345941939662506E-2</v>
      </c>
      <c r="K6443">
        <v>6.4848431504043305E-2</v>
      </c>
      <c r="L6443">
        <v>780.80081982644197</v>
      </c>
      <c r="M6443">
        <v>15.2222171900835</v>
      </c>
      <c r="N6443">
        <v>51.424610064148801</v>
      </c>
      <c r="O6443">
        <v>50.432706759317597</v>
      </c>
      <c r="P6443">
        <v>-7.40289280664988E-2</v>
      </c>
      <c r="Q6443">
        <v>1.9033008066158801E-2</v>
      </c>
      <c r="R6443">
        <v>0.95890485446041396</v>
      </c>
      <c r="S6443" t="s">
        <v>12895</v>
      </c>
      <c r="T6443" t="s">
        <v>12902</v>
      </c>
      <c r="U6443" t="s">
        <v>12902</v>
      </c>
      <c r="V6443" t="s">
        <v>12902</v>
      </c>
      <c r="W6443" t="s">
        <v>19292</v>
      </c>
      <c r="X6443">
        <v>9</v>
      </c>
      <c r="Y6443" t="s">
        <v>25570</v>
      </c>
      <c r="Z6443" t="s">
        <v>32018</v>
      </c>
      <c r="AA6443">
        <v>0.4102421629553516</v>
      </c>
      <c r="AB6443" t="str">
        <f>HYPERLINK("Melting_Curves/meltCurve_R4GN55_YTHDF3.pdf", "Melting_Curves/meltCurve_R4GN55_YTHDF3.pdf")</f>
        <v>Melting_Curves/meltCurve_R4GN55_YTHDF3.pdf</v>
      </c>
    </row>
    <row r="6444" spans="1:28" x14ac:dyDescent="0.25">
      <c r="A6444" t="s">
        <v>6448</v>
      </c>
      <c r="B6444">
        <v>0.99673306730245903</v>
      </c>
      <c r="C6444">
        <v>1.0258371049330199</v>
      </c>
      <c r="D6444">
        <v>0.995457104023317</v>
      </c>
      <c r="E6444">
        <v>1.0161612526527499</v>
      </c>
      <c r="F6444">
        <v>0.872541984418575</v>
      </c>
      <c r="G6444">
        <v>0.74357446908478098</v>
      </c>
      <c r="H6444">
        <v>0.58376473129374096</v>
      </c>
      <c r="I6444">
        <v>0.90633318375488803</v>
      </c>
      <c r="J6444">
        <v>0.85179546102005999</v>
      </c>
      <c r="K6444">
        <v>0.75207470515508101</v>
      </c>
      <c r="L6444">
        <v>13289.705372451301</v>
      </c>
      <c r="M6444">
        <v>250</v>
      </c>
      <c r="O6444">
        <v>53.155417588915</v>
      </c>
      <c r="P6444">
        <v>-0.27336287528931302</v>
      </c>
      <c r="Q6444">
        <v>0.76750850650140201</v>
      </c>
      <c r="R6444">
        <v>0.67541036138422805</v>
      </c>
      <c r="S6444" t="s">
        <v>12896</v>
      </c>
      <c r="T6444" t="s">
        <v>12902</v>
      </c>
      <c r="U6444" t="s">
        <v>12902</v>
      </c>
      <c r="V6444" t="s">
        <v>12902</v>
      </c>
      <c r="W6444" t="s">
        <v>19293</v>
      </c>
      <c r="X6444">
        <v>10</v>
      </c>
      <c r="Y6444" t="s">
        <v>25571</v>
      </c>
      <c r="Z6444" t="s">
        <v>32019</v>
      </c>
      <c r="AA6444">
        <v>0.86950733166961613</v>
      </c>
      <c r="AB6444" t="str">
        <f>HYPERLINK("Melting_Curves/meltCurve_R4GN98_S100A6.pdf", "Melting_Curves/meltCurve_R4GN98_S100A6.pdf")</f>
        <v>Melting_Curves/meltCurve_R4GN98_S100A6.pdf</v>
      </c>
    </row>
    <row r="6445" spans="1:28" x14ac:dyDescent="0.25">
      <c r="A6445" t="s">
        <v>6449</v>
      </c>
      <c r="B6445">
        <v>0.99673306730245903</v>
      </c>
      <c r="C6445">
        <v>1.0434242744673801</v>
      </c>
      <c r="D6445">
        <v>0.91546539012533501</v>
      </c>
      <c r="E6445">
        <v>0.59203365654808104</v>
      </c>
      <c r="F6445">
        <v>0.38986710077749198</v>
      </c>
      <c r="G6445">
        <v>0.20335883029211299</v>
      </c>
      <c r="H6445">
        <v>0.13039924510148301</v>
      </c>
      <c r="I6445">
        <v>9.0150561007119906E-2</v>
      </c>
      <c r="J6445">
        <v>7.2223777838660894E-2</v>
      </c>
      <c r="K6445">
        <v>8.7036537135366507E-2</v>
      </c>
      <c r="L6445">
        <v>951.79490754498704</v>
      </c>
      <c r="M6445">
        <v>18.720677271057699</v>
      </c>
      <c r="N6445">
        <v>51.319103799595503</v>
      </c>
      <c r="O6445">
        <v>50.272445812121603</v>
      </c>
      <c r="P6445">
        <v>-8.5662891410732397E-2</v>
      </c>
      <c r="Q6445">
        <v>7.9883846847174603E-2</v>
      </c>
      <c r="R6445">
        <v>0.99294689925758695</v>
      </c>
      <c r="S6445" t="s">
        <v>12897</v>
      </c>
      <c r="T6445" t="s">
        <v>12902</v>
      </c>
      <c r="U6445" t="s">
        <v>12902</v>
      </c>
      <c r="V6445" t="s">
        <v>12902</v>
      </c>
      <c r="W6445" t="s">
        <v>19294</v>
      </c>
      <c r="X6445">
        <v>2</v>
      </c>
      <c r="Y6445" t="s">
        <v>25572</v>
      </c>
      <c r="Z6445" t="s">
        <v>32020</v>
      </c>
      <c r="AA6445">
        <v>0.42686505309329481</v>
      </c>
      <c r="AB6445" t="str">
        <f>HYPERLINK("Melting_Curves/meltCurve_R4GNB1_AASDH.pdf", "Melting_Curves/meltCurve_R4GNB1_AASDH.pdf")</f>
        <v>Melting_Curves/meltCurve_R4GNB1_AASDH.pdf</v>
      </c>
    </row>
    <row r="6446" spans="1:28" x14ac:dyDescent="0.25">
      <c r="A6446" t="s">
        <v>6450</v>
      </c>
      <c r="B6446">
        <v>0.99673306730245903</v>
      </c>
      <c r="C6446">
        <v>0.92661629468884599</v>
      </c>
      <c r="D6446">
        <v>0.795300148553859</v>
      </c>
      <c r="E6446">
        <v>0.51698190200112704</v>
      </c>
      <c r="F6446">
        <v>0.278719481009846</v>
      </c>
      <c r="G6446">
        <v>0.182618575651736</v>
      </c>
      <c r="H6446">
        <v>0.11102598067122101</v>
      </c>
      <c r="I6446">
        <v>8.11930694126244E-2</v>
      </c>
      <c r="J6446">
        <v>9.0273167991891806E-2</v>
      </c>
      <c r="K6446">
        <v>7.1047330307441495E-2</v>
      </c>
      <c r="L6446">
        <v>827.60300619761801</v>
      </c>
      <c r="M6446">
        <v>16.7553121622216</v>
      </c>
      <c r="N6446">
        <v>49.853512168241203</v>
      </c>
      <c r="O6446">
        <v>48.705977890305299</v>
      </c>
      <c r="P6446">
        <v>-7.98473946171189E-2</v>
      </c>
      <c r="Q6446">
        <v>7.1627920773575507E-2</v>
      </c>
      <c r="R6446">
        <v>0.99933175363970905</v>
      </c>
      <c r="S6446" t="s">
        <v>12898</v>
      </c>
      <c r="T6446" t="s">
        <v>12902</v>
      </c>
      <c r="U6446" t="s">
        <v>12902</v>
      </c>
      <c r="V6446" t="s">
        <v>12902</v>
      </c>
      <c r="W6446" t="s">
        <v>19295</v>
      </c>
      <c r="X6446">
        <v>12</v>
      </c>
      <c r="Y6446" t="s">
        <v>25573</v>
      </c>
      <c r="Z6446" t="s">
        <v>32021</v>
      </c>
      <c r="AA6446">
        <v>0.38066472965123282</v>
      </c>
      <c r="AB6446" t="str">
        <f>HYPERLINK("Melting_Curves/meltCurve_R4GNB2_DENND4C.pdf", "Melting_Curves/meltCurve_R4GNB2_DENND4C.pdf")</f>
        <v>Melting_Curves/meltCurve_R4GNB2_DENND4C.pdf</v>
      </c>
    </row>
    <row r="6447" spans="1:28" x14ac:dyDescent="0.25">
      <c r="A6447" t="s">
        <v>6451</v>
      </c>
      <c r="B6447">
        <v>0.99673306730245903</v>
      </c>
      <c r="C6447">
        <v>0.61003903331216702</v>
      </c>
      <c r="D6447">
        <v>0.26589505107897998</v>
      </c>
      <c r="E6447">
        <v>0.16560986045849499</v>
      </c>
      <c r="F6447">
        <v>8.4282445201892903E-2</v>
      </c>
      <c r="G6447">
        <v>4.86935681996351E-2</v>
      </c>
      <c r="H6447">
        <v>3.3173097950586997E-2</v>
      </c>
      <c r="I6447">
        <v>3.9302545664359201E-2</v>
      </c>
      <c r="J6447">
        <v>4.7808793546827502E-2</v>
      </c>
      <c r="K6447">
        <v>4.3967188889362498E-2</v>
      </c>
      <c r="L6447">
        <v>1122.9761771798301</v>
      </c>
      <c r="M6447">
        <v>25.663379970178301</v>
      </c>
      <c r="N6447">
        <v>43.962693575516298</v>
      </c>
      <c r="O6447">
        <v>43.494821517838297</v>
      </c>
      <c r="P6447">
        <v>-0.139200220433528</v>
      </c>
      <c r="Q6447">
        <v>5.6333909357313999E-2</v>
      </c>
      <c r="R6447">
        <v>0.98641088449035597</v>
      </c>
      <c r="S6447" t="s">
        <v>12899</v>
      </c>
      <c r="T6447" t="s">
        <v>12902</v>
      </c>
      <c r="U6447" t="s">
        <v>12902</v>
      </c>
      <c r="V6447" t="s">
        <v>12902</v>
      </c>
      <c r="W6447" t="s">
        <v>19296</v>
      </c>
      <c r="X6447">
        <v>3</v>
      </c>
      <c r="Y6447" t="s">
        <v>25574</v>
      </c>
      <c r="Z6447" t="s">
        <v>32022</v>
      </c>
      <c r="AA6447">
        <v>0.1851552863294407</v>
      </c>
      <c r="AB6447" t="str">
        <f>HYPERLINK("Melting_Curves/meltCurve_R4GND3_PHLDA1.pdf", "Melting_Curves/meltCurve_R4GND3_PHLDA1.pdf")</f>
        <v>Melting_Curves/meltCurve_R4GND3_PHLDA1.pdf</v>
      </c>
    </row>
    <row r="6448" spans="1:28" x14ac:dyDescent="0.25">
      <c r="A6448" t="s">
        <v>6452</v>
      </c>
      <c r="B6448">
        <v>0.99673306730245903</v>
      </c>
      <c r="C6448">
        <v>0.881835026176083</v>
      </c>
      <c r="D6448">
        <v>0.56968143225482704</v>
      </c>
      <c r="E6448">
        <v>0.303655541383206</v>
      </c>
      <c r="F6448">
        <v>0.254182379068703</v>
      </c>
      <c r="G6448">
        <v>0.20152842647298899</v>
      </c>
      <c r="H6448">
        <v>0.17590537330592501</v>
      </c>
      <c r="I6448">
        <v>7.5263338036145197E-2</v>
      </c>
      <c r="J6448">
        <v>6.1209535620228898E-2</v>
      </c>
      <c r="K6448">
        <v>4.0819522291728999E-2</v>
      </c>
      <c r="L6448">
        <v>806.42831577535503</v>
      </c>
      <c r="M6448">
        <v>17.265844397148999</v>
      </c>
      <c r="N6448">
        <v>47.313077402235798</v>
      </c>
      <c r="O6448">
        <v>46.093532324821801</v>
      </c>
      <c r="P6448">
        <v>-8.4353948096932696E-2</v>
      </c>
      <c r="Q6448">
        <v>9.9274882462037597E-2</v>
      </c>
      <c r="R6448">
        <v>0.97748930514043897</v>
      </c>
      <c r="S6448" t="s">
        <v>12900</v>
      </c>
      <c r="T6448" t="s">
        <v>12902</v>
      </c>
      <c r="U6448" t="s">
        <v>12902</v>
      </c>
      <c r="V6448" t="s">
        <v>12902</v>
      </c>
      <c r="W6448" t="s">
        <v>19297</v>
      </c>
      <c r="X6448">
        <v>1</v>
      </c>
      <c r="Y6448" t="s">
        <v>25575</v>
      </c>
      <c r="Z6448" t="s">
        <v>32023</v>
      </c>
      <c r="AA6448">
        <v>0.31912073657513201</v>
      </c>
      <c r="AB6448" t="str">
        <f>HYPERLINK("Melting_Curves/meltCurve_R4GND4_ACD.pdf", "Melting_Curves/meltCurve_R4GND4_ACD.pdf")</f>
        <v>Melting_Curves/meltCurve_R4GND4_ACD.pdf</v>
      </c>
    </row>
    <row r="6449" spans="1:28" x14ac:dyDescent="0.25">
      <c r="A6449" t="s">
        <v>6453</v>
      </c>
      <c r="B6449">
        <v>0.99673306730245903</v>
      </c>
      <c r="C6449">
        <v>0.96617476129041202</v>
      </c>
      <c r="D6449">
        <v>0.98347557439865996</v>
      </c>
      <c r="E6449">
        <v>0.95174790155631805</v>
      </c>
      <c r="F6449">
        <v>0.75134970755080799</v>
      </c>
      <c r="G6449">
        <v>0.31682075074309601</v>
      </c>
      <c r="H6449">
        <v>0.13292057201238799</v>
      </c>
      <c r="I6449">
        <v>0.10962781977410301</v>
      </c>
      <c r="J6449">
        <v>0.10622215999119999</v>
      </c>
      <c r="K6449">
        <v>9.8583375173620105E-2</v>
      </c>
      <c r="L6449">
        <v>1726.9259414734499</v>
      </c>
      <c r="M6449">
        <v>31.529590566542598</v>
      </c>
      <c r="N6449">
        <v>55.157031103254802</v>
      </c>
      <c r="O6449">
        <v>54.5526774930117</v>
      </c>
      <c r="P6449">
        <v>-0.13020591056094999</v>
      </c>
      <c r="Q6449">
        <v>9.8872778459809393E-2</v>
      </c>
      <c r="R6449">
        <v>0.998937978702925</v>
      </c>
      <c r="S6449" t="s">
        <v>12901</v>
      </c>
      <c r="T6449" t="s">
        <v>12902</v>
      </c>
      <c r="U6449" t="s">
        <v>12902</v>
      </c>
      <c r="V6449" t="s">
        <v>12902</v>
      </c>
      <c r="W6449" t="s">
        <v>19298</v>
      </c>
      <c r="X6449">
        <v>29</v>
      </c>
      <c r="Y6449" t="s">
        <v>25576</v>
      </c>
      <c r="Z6449" t="s">
        <v>32024</v>
      </c>
      <c r="AA6449">
        <v>0.5480008848121779</v>
      </c>
      <c r="AB6449" t="str">
        <f>HYPERLINK("Melting_Curves/meltCurve_R4GNH3_PSMC3.pdf", "Melting_Curves/meltCurve_R4GNH3_PSMC3.pdf")</f>
        <v>Melting_Curves/meltCurve_R4GNH3_PSMC3.pdf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2017-09-14T13:07:38Z</dcterms:created>
  <dcterms:modified xsi:type="dcterms:W3CDTF">2018-08-08T12:18:51Z</dcterms:modified>
</cp:coreProperties>
</file>